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tables/table2.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tables/table4.xml" ContentType="application/vnd.openxmlformats-officedocument.spreadsheetml.table+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tables/table5.xml" ContentType="application/vnd.openxmlformats-officedocument.spreadsheetml.table+xml"/>
  <Override PartName="/xl/comments7.xml" ContentType="application/vnd.openxmlformats-officedocument.spreadsheetml.comments+xml"/>
  <Override PartName="/xl/threadedComments/threadedComment6.xml" ContentType="application/vnd.ms-excel.threadedcomments+xml"/>
  <Override PartName="/xl/tables/table6.xml" ContentType="application/vnd.openxmlformats-officedocument.spreadsheetml.table+xml"/>
  <Override PartName="/xl/comments8.xml" ContentType="application/vnd.openxmlformats-officedocument.spreadsheetml.comments+xml"/>
  <Override PartName="/xl/threadedComments/threadedComment7.xml" ContentType="application/vnd.ms-excel.threadedcomments+xml"/>
  <Override PartName="/xl/comments9.xml" ContentType="application/vnd.openxmlformats-officedocument.spreadsheetml.comments+xml"/>
  <Override PartName="/xl/threadedComments/threadedComment8.xml" ContentType="application/vnd.ms-excel.threadedcomments+xml"/>
  <Override PartName="/xl/tables/table7.xml" ContentType="application/vnd.openxmlformats-officedocument.spreadsheetml.table+xml"/>
  <Override PartName="/xl/comments10.xml" ContentType="application/vnd.openxmlformats-officedocument.spreadsheetml.comments+xml"/>
  <Override PartName="/xl/threadedComments/threadedComment9.xml" ContentType="application/vnd.ms-excel.threaded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8.xml" ContentType="application/vnd.openxmlformats-officedocument.spreadsheetml.table+xml"/>
  <Override PartName="/xl/comments11.xml" ContentType="application/vnd.openxmlformats-officedocument.spreadsheetml.comments+xml"/>
  <Override PartName="/xl/threadedComments/threadedComment10.xml" ContentType="application/vnd.ms-excel.threadedcomments+xml"/>
  <Override PartName="/xl/comments12.xml" ContentType="application/vnd.openxmlformats-officedocument.spreadsheetml.comments+xml"/>
  <Override PartName="/xl/threadedComments/threadedComment11.xml" ContentType="application/vnd.ms-excel.threadedcomments+xml"/>
  <Override PartName="/xl/tables/table9.xml" ContentType="application/vnd.openxmlformats-officedocument.spreadsheetml.table+xml"/>
  <Override PartName="/xl/comments13.xml" ContentType="application/vnd.openxmlformats-officedocument.spreadsheetml.comments+xml"/>
  <Override PartName="/xl/threadedComments/threadedComment12.xml" ContentType="application/vnd.ms-excel.threadedcomments+xml"/>
  <Override PartName="/xl/comments14.xml" ContentType="application/vnd.openxmlformats-officedocument.spreadsheetml.comments+xml"/>
  <Override PartName="/xl/threadedComments/threadedComment13.xml" ContentType="application/vnd.ms-excel.threadedcomments+xml"/>
  <Override PartName="/xl/tables/table10.xml" ContentType="application/vnd.openxmlformats-officedocument.spreadsheetml.table+xml"/>
  <Override PartName="/xl/comments15.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https://polymtlca0-my.sharepoint.com/personal/marin_pellan_polymtlus_ca/Documents/Desktop/POST_DOC/Project/regional_minerals_sustainability/data/LCI/rsc/40bsaf-greet_october-2024/40BSAF-GREET 2024/"/>
    </mc:Choice>
  </mc:AlternateContent>
  <xr:revisionPtr revIDLastSave="0" documentId="13_ncr:1_{5B8067EE-EF2B-45B0-84E9-555F8FCC00D2}" xr6:coauthVersionLast="47" xr6:coauthVersionMax="47" xr10:uidLastSave="{00000000-0000-0000-0000-000000000000}"/>
  <bookViews>
    <workbookView xWindow="-108" yWindow="-108" windowWidth="23256" windowHeight="12456" tabRatio="730" activeTab="1" xr2:uid="{9F38D880-4305-4B9D-B7DC-5E2847D4D57B}"/>
  </bookViews>
  <sheets>
    <sheet name="Copyright" sheetId="32" r:id="rId1"/>
    <sheet name="Dashboard" sheetId="1" r:id="rId2"/>
    <sheet name="Transportation" sheetId="4" state="veryHidden" r:id="rId3"/>
    <sheet name="Pathways and Processes" sheetId="2" state="veryHidden" r:id="rId4"/>
    <sheet name="Selections" sheetId="23" state="veryHidden" r:id="rId5"/>
    <sheet name="SetupAggregatedResults" sheetId="31" state="veryHidden" r:id="rId6"/>
    <sheet name="GetAggregatedResults" sheetId="25" state="veryHidden" r:id="rId7"/>
    <sheet name="GREET Connection" sheetId="11" state="veryHidden" r:id="rId8"/>
    <sheet name="LCI" sheetId="3" state="veryHidden" r:id="rId9"/>
    <sheet name="Allocations" sheetId="19" state="veryHidden" r:id="rId10"/>
    <sheet name="Results" sheetId="6" state="veryHidden" r:id="rId11"/>
    <sheet name="Pivot Tables" sheetId="8" state="veryHidden" r:id="rId12"/>
    <sheet name="Fuel_Specs" sheetId="18" state="veryHidden" r:id="rId13"/>
    <sheet name="Indirect Effects" sheetId="28" state="veryHidden" r:id="rId14"/>
    <sheet name="Dashboard Data" sheetId="7" state="veryHidden" r:id="rId15"/>
    <sheet name="Unit" sheetId="9" state="veryHidden" r:id="rId16"/>
  </sheets>
  <functionGroups builtInGroupCount="19"/>
  <definedNames>
    <definedName name="_xlnm._FilterDatabase" localSheetId="1" hidden="1">Dashboard!$R$22:$R$22</definedName>
    <definedName name="_xlnm._FilterDatabase" localSheetId="6" hidden="1">GetAggregatedResults!$A$2:$D$121</definedName>
    <definedName name="_xlpm.a" hidden="1" xlm="1">#NAME?</definedName>
    <definedName name="_xlpm.a_1" hidden="1" xlm="1">#NAME?</definedName>
    <definedName name="_xlpm.a_2" hidden="1" xlm="1">#NAME?</definedName>
    <definedName name="_xlpm.ArrayCat" hidden="1" xlm="1">#NAME?</definedName>
    <definedName name="_xlpm.arry1" hidden="1" xlm="1">#NAME?</definedName>
    <definedName name="_xlpm.arry2" hidden="1" xlm="1">#NAME?</definedName>
    <definedName name="_xlpm.b" hidden="1" xlm="1">#NAME?</definedName>
    <definedName name="_xlpm.both" hidden="1" xlm="1">#NAME?</definedName>
    <definedName name="_xlpm.c" hidden="1" xlm="1">#NAME?</definedName>
    <definedName name="_xlpm.CA" hidden="1" xlm="1">#NAME?</definedName>
    <definedName name="_xlpm.cnt" hidden="1" xlm="1">#NAME?</definedName>
    <definedName name="_xlpm.Co" hidden="1" xlm="1">#NAME?</definedName>
    <definedName name="_xlpm.CoA" hidden="1" xlm="1">#NAME?</definedName>
    <definedName name="_xlpm.Col" hidden="1" xlm="1">#NAME?</definedName>
    <definedName name="_xlpm.ColA" hidden="1" xlm="1">#NAME?</definedName>
    <definedName name="_xlpm.colindex" hidden="1" xlm="1">#NAME?</definedName>
    <definedName name="_xlpm.Cols" hidden="1" xlm="1">#NAME?</definedName>
    <definedName name="_xlpm.cols1" hidden="1" xlm="1">#NAME?</definedName>
    <definedName name="_xlpm.cols2" hidden="1" xlm="1">#NAME?</definedName>
    <definedName name="_xlpm.ColsA" hidden="1" xlm="1">#NAME?</definedName>
    <definedName name="_xlpm.ColsC" hidden="1" xlm="1">#NAME?</definedName>
    <definedName name="_xlpm.ColsD" hidden="1" xlm="1">#NAME?</definedName>
    <definedName name="_xlpm.ColsKA" hidden="1" xlm="1">#NAME?</definedName>
    <definedName name="_xlpm.ColsKeA" hidden="1" xlm="1">#NAME?</definedName>
    <definedName name="_xlpm.ColsKeeA" hidden="1" xlm="1">#NAME?</definedName>
    <definedName name="_xlpm.ColsKeep" hidden="1" xlm="1">#NAME?</definedName>
    <definedName name="_xlpm.ColsKeepA" hidden="1" xlm="1">#NAME?</definedName>
    <definedName name="_xlpm.d" hidden="1" xlm="1">#NAME?</definedName>
    <definedName name="_xlpm.Da" hidden="1" xlm="1">#NAME?</definedName>
    <definedName name="_xlpm.Dat" hidden="1" xlm="1">#NAME?</definedName>
    <definedName name="_xlpm.Data" hidden="1" xlm="1">#NAME?</definedName>
    <definedName name="_xlpm.Data1" hidden="1" xlm="1">#NAME?</definedName>
    <definedName name="_xlpm.dataBottom" hidden="1" xlm="1">#NAME?</definedName>
    <definedName name="_xlpm.dataLeft" hidden="1" xlm="1">#NAME?</definedName>
    <definedName name="_xlpm.dataRight" hidden="1" xlm="1">#NAME?</definedName>
    <definedName name="_xlpm.dataTop" hidden="1" xlm="1">#NAME?</definedName>
    <definedName name="_xlpm.def" hidden="1" xlm="1">#NAME?</definedName>
    <definedName name="_xlpm.default" hidden="1" xlm="1">#NAME?</definedName>
    <definedName name="_xlpm.Dta" hidden="1" xlm="1">#NAME?</definedName>
    <definedName name="_xlpm.e" hidden="1" xlm="1">#NAME?</definedName>
    <definedName name="_xlpm.entries" hidden="1" xlm="1">#NAME?</definedName>
    <definedName name="_xlpm.f" hidden="1" xlm="1">#NAME?</definedName>
    <definedName name="_xlpm.g" hidden="1" xlm="1">#NAME?</definedName>
    <definedName name="_xlpm.H" hidden="1" xlm="1">#NAME?</definedName>
    <definedName name="_xlpm.He" hidden="1" xlm="1">#NAME?</definedName>
    <definedName name="_xlpm.Hea" hidden="1" xlm="1">#NAME?</definedName>
    <definedName name="_xlpm.Head" hidden="1" xlm="1">#NAME?</definedName>
    <definedName name="_xlpm.Heade" hidden="1" xlm="1">#NAME?</definedName>
    <definedName name="_xlpm.Header" hidden="1" xlm="1">#NAME?</definedName>
    <definedName name="_xlpm.Headers" hidden="1" xlm="1">#NAME?</definedName>
    <definedName name="_xlpm.i" hidden="1" xlm="1">#NAME?</definedName>
    <definedName name="_xlpm.L" hidden="1" xlm="1">#NAME?</definedName>
    <definedName name="_xlpm.La" hidden="1" xlm="1">#NAME?</definedName>
    <definedName name="_xlpm.Lab" hidden="1" xlm="1">#NAME?</definedName>
    <definedName name="_xlpm.Labe" hidden="1" xlm="1">#NAME?</definedName>
    <definedName name="_xlpm.label" hidden="1" xlm="1">#NAME?</definedName>
    <definedName name="_xlpm.label_" hidden="1" xlm="1">#NAME?</definedName>
    <definedName name="_xlpm.label_a" hidden="1" xlm="1">#NAME?</definedName>
    <definedName name="_xlpm.label_al" hidden="1" xlm="1">#NAME?</definedName>
    <definedName name="_xlpm.label_all" hidden="1" xlm="1">#NAME?</definedName>
    <definedName name="_xlpm.label_d" hidden="1" xlm="1">#NAME?</definedName>
    <definedName name="_xlpm.label_di" hidden="1" xlm="1">#NAME?</definedName>
    <definedName name="_xlpm.label_dis" hidden="1" xlm="1">#NAME?</definedName>
    <definedName name="_xlpm.label_disp" hidden="1" xlm="1">#NAME?</definedName>
    <definedName name="_xlpm.label_full" hidden="1" xlm="1">#NAME?</definedName>
    <definedName name="_xlpm.label_short" hidden="1" xlm="1">#NAME?</definedName>
    <definedName name="_xlpm.LabeledData" hidden="1" xlm="1">#NAME?</definedName>
    <definedName name="_xlpm.Labels" hidden="1" xlm="1">#NAME?</definedName>
    <definedName name="_xlpm.Labels_" hidden="1" xlm="1">#NAME?</definedName>
    <definedName name="_xlpm.Labels_F" hidden="1" xlm="1">#NAME?</definedName>
    <definedName name="_xlpm.Labels_Fu" hidden="1" xlm="1">#NAME?</definedName>
    <definedName name="_xlpm.Labels_Ful" hidden="1" xlm="1">#NAME?</definedName>
    <definedName name="_xlpm.Labels_Full" hidden="1" xlm="1">#NAME?</definedName>
    <definedName name="_xlpm.Labels_o" hidden="1" xlm="1">#NAME?</definedName>
    <definedName name="_xlpm.Labels_ol" hidden="1" xlm="1">#NAME?</definedName>
    <definedName name="_xlpm.Labels_old" hidden="1" xlm="1">#NAME?</definedName>
    <definedName name="_xlpm.len_1" hidden="1" xlm="1">#NAME?</definedName>
    <definedName name="_xlpm.len_2" hidden="1" xlm="1">#NAME?</definedName>
    <definedName name="_xlpm.N" hidden="1" xlm="1">#NAME?</definedName>
    <definedName name="_xlpm.Na" hidden="1" xlm="1">#NAME?</definedName>
    <definedName name="_xlpm.Nam" hidden="1" xlm="1">#NAME?</definedName>
    <definedName name="_xlpm.Name" hidden="1" xlm="1">#NAME?</definedName>
    <definedName name="_xlpm.name_" hidden="1" xlm="1">#NAME?</definedName>
    <definedName name="_xlpm.name_e" hidden="1" xlm="1">#NAME?</definedName>
    <definedName name="_xlpm.name_en" hidden="1" xlm="1">#NAME?</definedName>
    <definedName name="_xlpm.name_ent" hidden="1" xlm="1">#NAME?</definedName>
    <definedName name="_xlpm.name_entr" hidden="1" xlm="1">#NAME?</definedName>
    <definedName name="_xlpm.name_entri" hidden="1" xlm="1">#NAME?</definedName>
    <definedName name="_xlpm.name_entrie" hidden="1" xlm="1">#NAME?</definedName>
    <definedName name="_xlpm.name_entries" hidden="1" xlm="1">#NAME?</definedName>
    <definedName name="_xlpm.Names" hidden="1" xlm="1">#NAME?</definedName>
    <definedName name="_xlpm.new" hidden="1" xlm="1">#NAME?</definedName>
    <definedName name="_xlpm.NumCols" hidden="1" xlm="1">#NAME?</definedName>
    <definedName name="_xlpm.NumRows" hidden="1" xlm="1">#NAME?</definedName>
    <definedName name="_xlpm.Order" hidden="1" xlm="1">#NAME?</definedName>
    <definedName name="_xlpm.OrderData" hidden="1" xlm="1">#NAME?</definedName>
    <definedName name="_xlpm.OrderHeaders" hidden="1" xlm="1">#NAME?</definedName>
    <definedName name="_xlpm.param1" hidden="1" xlm="1">#NAME?</definedName>
    <definedName name="_xlpm.param2" hidden="1" xlm="1">#NAME?</definedName>
    <definedName name="_xlpm.R" hidden="1" xlm="1">#NAME?</definedName>
    <definedName name="_xlpm.r_1" hidden="1" xlm="1">#NAME?</definedName>
    <definedName name="_xlpm.r_2" hidden="1" xlm="1">#NAME?</definedName>
    <definedName name="_xlpm.r_i" hidden="1" xlm="1">#NAME?</definedName>
    <definedName name="_xlpm.range1" hidden="1" xlm="1">#NAME?</definedName>
    <definedName name="_xlpm.range2" hidden="1" xlm="1">#NAME?</definedName>
    <definedName name="_xlpm.Result" hidden="1" xlm="1">#NAME?</definedName>
    <definedName name="_xlpm.Ro" hidden="1" xlm="1">#NAME?</definedName>
    <definedName name="_xlpm.row" hidden="1" xlm="1">#NAME?</definedName>
    <definedName name="_xlpm.rowindex" hidden="1" xlm="1">#NAME?</definedName>
    <definedName name="_xlpm.Rows" hidden="1" xlm="1">#NAME?</definedName>
    <definedName name="_xlpm.rows1" hidden="1" xlm="1">#NAME?</definedName>
    <definedName name="_xlpm.rows2" hidden="1" xlm="1">#NAME?</definedName>
    <definedName name="_xlpm.RowsA" hidden="1" xlm="1">#NAME?</definedName>
    <definedName name="_xlpm.RowsB" hidden="1" xlm="1">#NAME?</definedName>
    <definedName name="_xlpm.RowsS" hidden="1" xlm="1">#NAME?</definedName>
    <definedName name="_xlpm.RowsSe" hidden="1" xlm="1">#NAME?</definedName>
    <definedName name="_xlpm.RowsSeq" hidden="1" xlm="1">#NAME?</definedName>
    <definedName name="_xlpm.s" hidden="1" xlm="1">#NAME?</definedName>
    <definedName name="_xlpm.sa" hidden="1" xlm="1">#NAME?</definedName>
    <definedName name="_xlpm.sav" hidden="1" xlm="1">#NAME?</definedName>
    <definedName name="_xlpm.save" hidden="1" xlm="1">#NAME?</definedName>
    <definedName name="_xlpm.saved" hidden="1" xlm="1">#NAME?</definedName>
    <definedName name="_xlpm.saved_" hidden="1" xlm="1">#NAME?</definedName>
    <definedName name="_xlpm.saves" hidden="1" xlm="1">#NAME?</definedName>
    <definedName name="_xlpm.Se" hidden="1" xlm="1">#NAME?</definedName>
    <definedName name="_xlpm.Seq" hidden="1" xlm="1">#NAME?</definedName>
    <definedName name="_xlpm.SeqC" hidden="1" xlm="1">#NAME?</definedName>
    <definedName name="_xlpm.SeqCo" hidden="1" xlm="1">#NAME?</definedName>
    <definedName name="_xlpm.SeqCol" hidden="1" xlm="1">#NAME?</definedName>
    <definedName name="_xlpm.SeqCols" hidden="1" xlm="1">#NAME?</definedName>
    <definedName name="_xlpm.SeqCols2" hidden="1" xlm="1">#NAME?</definedName>
    <definedName name="_xlpm.SeqColx" hidden="1" xlm="1">#NAME?</definedName>
    <definedName name="_xlpm.SeqR" hidden="1" xlm="1">#NAME?</definedName>
    <definedName name="_xlpm.SeqRo" hidden="1" xlm="1">#NAME?</definedName>
    <definedName name="_xlpm.SeqRow" hidden="1" xlm="1">#NAME?</definedName>
    <definedName name="_xlpm.SeqRows" hidden="1" xlm="1">#NAME?</definedName>
    <definedName name="_xlpm.SeqRows2" hidden="1" xlm="1">#NAME?</definedName>
    <definedName name="_xlpm.unit_f" hidden="1" xlm="1">#NAME?</definedName>
    <definedName name="_xlpm.unit_m" hidden="1" xlm="1">#NAME?</definedName>
    <definedName name="_xlpm.x" hidden="1" xlm="1">#NAME?</definedName>
    <definedName name="_xlpm.y" hidden="1" xlm="1">#NAME?</definedName>
    <definedName name="_xlpm.α" hidden="1" xlm="1">#NAME?</definedName>
    <definedName name="_xlpm.β" hidden="1" xlm="1">#NAME?</definedName>
    <definedName name="_xlpm.γ" hidden="1" xlm="1">#NAME?</definedName>
    <definedName name="_xlpm.δ" hidden="1" xlm="1">#NAME?</definedName>
    <definedName name="_xlpm.ε" hidden="1" xlm="1">#NAME?</definedName>
    <definedName name="Allocation_UD">IF(Selection_Len=0,"",Allocation_UD_startCell:INDEX(Dashboard!$F:$F, Selection_Len + CELL("row", Allocation_UD_startCell) - 1) &amp; "")</definedName>
    <definedName name="Allocation_UD_startCell">Dashboard!$F$37</definedName>
    <definedName name="AllocationNotes">'Dashboard Data'!$DR$2</definedName>
    <definedName name="BaselineCI">'Pivot Tables'!$J$15</definedName>
    <definedName name="BTU2BTU">Unit!$D$23</definedName>
    <definedName name="BTU2hph">Unit!$D$25</definedName>
    <definedName name="BTU2J">Unit!$D$19:$D$196</definedName>
    <definedName name="BTU2kJ">Unit!$D$19</definedName>
    <definedName name="BTU2kWh">Unit!$D$22</definedName>
    <definedName name="BTU2MJ">Unit!$D$20</definedName>
    <definedName name="BTU2mmBTU">Unit!$D$24</definedName>
    <definedName name="BTU2Wh">Unit!$D$21</definedName>
    <definedName name="bucorn2lb">Unit!$D$168</definedName>
    <definedName name="bucorn2ton">Unit!$D$169</definedName>
    <definedName name="busoybean2lb">Unit!$D$170</definedName>
    <definedName name="busoybean2ton">Unit!$D$171</definedName>
    <definedName name="Dash_LCIFarm">_xlfn.ANCHORARRAY('Dashboard Data'!$AJ$3)</definedName>
    <definedName name="Dash_LCIFarm_Defaults">_xlfn._xlws.FILTER(Dash_LCIFarm, ISNUMBER(MATCH(LCIFarm_h,{"Default Displayed Value"},0)))</definedName>
    <definedName name="Dash_LCIFarm_h">'Pivot Tables'!$J$7:$M$7</definedName>
    <definedName name="Dash_LCIFarm_L">IFERROR(_xlfn._xlws.FILTER(Dash_LCIFarm, ISNUMBER(MATCH(LCIFarm_h,{"Input"},0))), "")</definedName>
    <definedName name="Dash_LCIFarm_Notes">IFERROR(_xlfn._xlws.FILTER(Dash_LCIFarm, ISNUMBER(MATCH(LCIFarm_h,{"Notes"},0))), "")</definedName>
    <definedName name="Dash_LCIFarm_R">IFERROR(_xlfn._xlws.FILTER(Dash_LCIFarm, ISNUMBER(MATCH(LCIFarm_h,{"Display Unit"},0))), "")</definedName>
    <definedName name="Dash_LCIFarm_t">"Ethanol Production (per period of operation)"</definedName>
    <definedName name="Dash_LCIJetFuel">_xlfn.ANCHORARRAY('Dashboard Data'!$B$3)</definedName>
    <definedName name="Dash_LCIJetFuel_Defaults">_xlfn._xlws.FILTER(Dash_LCIJetFuel, ISNUMBER(MATCH(LCIJetFuel_h,{"Default Displayed Value"},0)))</definedName>
    <definedName name="Dash_LCIJetFuel_h">'Pivot Tables'!$J$7:$M$7</definedName>
    <definedName name="Dash_LCIJetFuel_L">IFERROR(_xlfn._xlws.FILTER(Dash_LCIJetFuel, ISNUMBER(MATCH(LCIJetFuel_h,{"Input"},0))), "")</definedName>
    <definedName name="Dash_LCIJetFuel_Notes">IFERROR(_xlfn._xlws.FILTER(Dash_LCIJetFuel, ISNUMBER(MATCH(LCIJetFuel_h,{"Notes"},0))), "")</definedName>
    <definedName name="Dash_LCIJetFuel_R">IFERROR(_xlfn._xlws.FILTER(Dash_LCIJetFuel, ISNUMBER(MATCH(LCIJetFuel_h,{"Display Unit"},0))), "")</definedName>
    <definedName name="Dash_LCIJetFuel_t">"SAF Production (per period of operation)"</definedName>
    <definedName name="Dash_Selection">_xlfn.ANCHORARRAY('Dashboard Data'!$CV$3)</definedName>
    <definedName name="Dash_Selection_Defaults">_xlfn._xlws.FILTER(Dash_Selection, ISNUMBER(MATCH(Selection_H,{"Default Value"},0)))</definedName>
    <definedName name="Dash_Selection_Format">IFERROR(_xlfn._xlws.FILTER(Dash_Selection, ISNUMBER(MATCH(Selection_H,{"Input Type","Upper Bound","Lower Bound"},0))), "")</definedName>
    <definedName name="Dash_Selection_h">'Pivot Tables'!$J$9:$L$9</definedName>
    <definedName name="Dash_Selection_L">IFERROR(_xlfn._xlws.FILTER(Dash_Selection, ISNUMBER(MATCH(Selection_H,{"Input Name"},0))), "")</definedName>
    <definedName name="Dash_Selection_Notes">_xlfn._xlws.FILTER(Dash_Selection, ISNUMBER(MATCH(Selection_H,{"Notes"},0)))</definedName>
    <definedName name="Dash_Selection_R">IFERROR(_xlfn._xlws.FILTER(Dash_Selection, ISNUMBER(MATCH(Selection_H,{"Input Type"},0))), "")</definedName>
    <definedName name="Dash_Selection_t">"Selections (per period of operation)"</definedName>
    <definedName name="Dash_Transport">_xlfn.ANCHORARRAY('Dashboard Data'!$BQ$3)</definedName>
    <definedName name="Dash_Transport_Default_Distance">_xlfn._xlws.FILTER(Dash_Transport, ISNUMBER(MATCH(Transport_H,{"Default Distance"},0)))</definedName>
    <definedName name="Dash_Transport_Default_Share">_xlfn._xlws.FILTER(Dash_Transport, ISNUMBER(MATCH(Transport_H,{"Default Share"},0)))</definedName>
    <definedName name="Dash_Transport_h">'Pivot Tables'!$J$8:$N$8</definedName>
    <definedName name="Dash_Transport_L">IFERROR(_xlfn._xlws.FILTER(Dash_Transport, ISNUMBER(MATCH(Transport_H,{"Transportation Type"},0))), "")</definedName>
    <definedName name="Dash_Transport_R">IFERROR(_xlfn._xlws.FILTER(Dash_Transport, ISNUMBER(MATCH(Transport_H,{"Notes"},0))), "")</definedName>
    <definedName name="Dash_Transport_t">"Transportation Data (per period of operation)"</definedName>
    <definedName name="DashboardUnit">Dashboard!$P$10</definedName>
    <definedName name="DieselEfficiency">'Pivot Tables'!$J$12</definedName>
    <definedName name="DisplayResults">'Pivot Tables'!$L$3</definedName>
    <definedName name="EnableFarmingInputs">'Pivot Tables'!$L$4</definedName>
    <definedName name="ft2ft">Unit!$D$119</definedName>
    <definedName name="ft2km">Unit!$D$118</definedName>
    <definedName name="ft2m">Unit!$D$117</definedName>
    <definedName name="ft2mi">Unit!$D$120</definedName>
    <definedName name="ft2mm">Unit!$D$116</definedName>
    <definedName name="ft32ft3">Unit!$D$176</definedName>
    <definedName name="ft32gal">Unit!$D$175</definedName>
    <definedName name="ft32L">Unit!$D$174</definedName>
    <definedName name="ft32m3">Unit!$D$172</definedName>
    <definedName name="ft32mL">Unit!$D$173</definedName>
    <definedName name="functional_unit">Dashboard!$P$10</definedName>
    <definedName name="g2g">Unit!$D$141</definedName>
    <definedName name="g2kg">Unit!$D$143</definedName>
    <definedName name="g2lb">Unit!$D$145</definedName>
    <definedName name="g2mg">Unit!$D$142</definedName>
    <definedName name="g2MT">Unit!$D$144</definedName>
    <definedName name="g2ton">Unit!$D$146</definedName>
    <definedName name="gal2ft3">Unit!$D$181</definedName>
    <definedName name="gal2gal">Unit!$D$180</definedName>
    <definedName name="gal2L">Unit!$D$179</definedName>
    <definedName name="gal2m3">Unit!$D$177</definedName>
    <definedName name="gal2mL">Unit!$D$178</definedName>
    <definedName name="GetSOC">IF(ShouldShowSOC,'Pivot Tables'!$D$27,0)</definedName>
    <definedName name="hph2BTU">Unit!$D$31</definedName>
    <definedName name="hph2hph">Unit!$D$33</definedName>
    <definedName name="hph2J">Unit!$D$26</definedName>
    <definedName name="hph2kJ">Unit!$D$27</definedName>
    <definedName name="hph2kWh">Unit!$D$30</definedName>
    <definedName name="hph2MJ">Unit!$D$28</definedName>
    <definedName name="hph2mmBTU">Unit!$D$32</definedName>
    <definedName name="hph2Wh">Unit!$D$29</definedName>
    <definedName name="IEffectRatio">'Dashboard Data'!$M$1</definedName>
    <definedName name="IEffectTotal">'Pivot Tables'!$H$27</definedName>
    <definedName name="J2BTU">Unit!$D$39</definedName>
    <definedName name="J2hph">Unit!$D$41</definedName>
    <definedName name="J2J">Unit!$D$34</definedName>
    <definedName name="J2kJ">Unit!$D$35</definedName>
    <definedName name="J2kWh">Unit!$D$38</definedName>
    <definedName name="J2MJ">Unit!$D$36</definedName>
    <definedName name="J2mmBTU">Unit!$D$40</definedName>
    <definedName name="J2Wh">Unit!$D$37</definedName>
    <definedName name="kg2Btu">Unit!$D$100</definedName>
    <definedName name="kg2ft3">Unit!$D$104</definedName>
    <definedName name="kg2g">Unit!$D$148</definedName>
    <definedName name="kg2gal">Unit!$D$103</definedName>
    <definedName name="kg2J">Unit!$D$99</definedName>
    <definedName name="kg2kg">Unit!$D$149</definedName>
    <definedName name="kg2kJ">Unit!$D$98</definedName>
    <definedName name="kg2kWh">Unit!$D$102</definedName>
    <definedName name="kg2L">Unit!$D$105</definedName>
    <definedName name="kg2lb">Unit!$D$151</definedName>
    <definedName name="kg2m3">Unit!$D$107</definedName>
    <definedName name="kg2MJ">Unit!$D$97</definedName>
    <definedName name="kg2mL">Unit!$D$106</definedName>
    <definedName name="kg2mmBTU">Unit!$D$101</definedName>
    <definedName name="kg2MT">Unit!$D$150</definedName>
    <definedName name="kg2ton">Unit!$D$152</definedName>
    <definedName name="kJ2BTU">Unit!$D$47</definedName>
    <definedName name="kJ2hph">Unit!$D$49</definedName>
    <definedName name="kJ2J">Unit!$D$42</definedName>
    <definedName name="kJ2kJ">Unit!$D$43</definedName>
    <definedName name="kJ2kWh">Unit!$D$46</definedName>
    <definedName name="kJ2MJ">Unit!$D$44</definedName>
    <definedName name="kJ2mmBTU">Unit!$D$48</definedName>
    <definedName name="kJ2Wh">Unit!$D$45</definedName>
    <definedName name="km2ft">Unit!$D$124</definedName>
    <definedName name="km2km">Unit!$D$123</definedName>
    <definedName name="km2m">Unit!$D$122</definedName>
    <definedName name="km2mi">Unit!$D$125</definedName>
    <definedName name="km2mm">Unit!$D$121</definedName>
    <definedName name="kWh2BTU">Unit!$D$55</definedName>
    <definedName name="kWh2hph">Unit!$D$57</definedName>
    <definedName name="kWh2J">Unit!$D$50</definedName>
    <definedName name="kWh2kJ">Unit!$D$51</definedName>
    <definedName name="kWh2kWh">Unit!$D$54</definedName>
    <definedName name="kWh2MJ">Unit!$D$52</definedName>
    <definedName name="kWh2mmBTU">Unit!$D$56</definedName>
    <definedName name="kWh2Wh">Unit!$D$53</definedName>
    <definedName name="L2ft3">Unit!$D$186</definedName>
    <definedName name="L2gal">Unit!$D$185</definedName>
    <definedName name="L2L">Unit!$D$184</definedName>
    <definedName name="L2m3">Unit!$D$182</definedName>
    <definedName name="L2mL">Unit!$D$183</definedName>
    <definedName name="lb2Btu">Unit!$D$79</definedName>
    <definedName name="lb2ft3">Unit!$D$83</definedName>
    <definedName name="lb2g">Unit!$D$153</definedName>
    <definedName name="lb2gal">Unit!$D$82</definedName>
    <definedName name="lb2J">Unit!$D$78</definedName>
    <definedName name="lb2kg">Unit!$D$154</definedName>
    <definedName name="lb2kJ">Unit!$D$77</definedName>
    <definedName name="lb2kWh">Unit!$D$81</definedName>
    <definedName name="lb2L">Unit!$D$84</definedName>
    <definedName name="lb2lb">Unit!$D$156</definedName>
    <definedName name="lb2m3">Unit!$D$86</definedName>
    <definedName name="lb2MJ">Unit!$D$76</definedName>
    <definedName name="lb2mL">Unit!$D$85</definedName>
    <definedName name="lb2mmBTU">Unit!$D$80</definedName>
    <definedName name="lb2MT">Unit!$D$155</definedName>
    <definedName name="lb2ton">Unit!$D$157</definedName>
    <definedName name="LCIFarm_Calc_UD">_xlfn._xlws.FILTER(IFERROR(_xlfn._xlws.FILTER(Dash_LCIFarm, ISNUMBER(MATCH(LCIFarm_h,{"Calculated Value"},0))), ""),LCIFarm_DoNotSend=FALSE)</definedName>
    <definedName name="LCIFarm_Defaults_BeforeCalc">IFERROR(_xlfn._xlws.FILTER(Dash_LCIFarm, ISNUMBER(MATCH(LCIFarm_h,{"Default Value"},0))), "")</definedName>
    <definedName name="LCIFarm_DoNotSend">IFERROR(_xlfn._xlws.FILTER(Dash_LCIFarm, ISNUMBER(MATCH(LCIFarm_h,{"Do Not Send"},0))), "")</definedName>
    <definedName name="LCIFarm_GREET1">_xlfn._xlws.FILTER(LCIFarm_GREET1_BeforeCalc,LCIFarm_DoNotSend=FALSE)</definedName>
    <definedName name="LCIFarm_GREET1_BeforeCalc">IFERROR(_xlfn._xlws.FILTER(Dash_LCIFarm, ISNUMBER(MATCH(LCIFarm_h,{"GREET1 Name Range"},0))), "")</definedName>
    <definedName name="LCIFarm_h">_xlfn.ANCHORARRAY('Dashboard Data'!$AJ$2)</definedName>
    <definedName name="LCIFarm_ID">_xlfn._xlws.FILTER(LCIFarm_ID_BeforeCalc,LCIFarm_DoNotSend=FALSE)</definedName>
    <definedName name="LCIFarm_ID_BeforeCalc">IFERROR(_xlfn._xlws.FILTER(Dash_LCIFarm, ISNUMBER(MATCH(LCIFarm_h,{"LCI ID"},0))), "")</definedName>
    <definedName name="LCIFarm_len">'Dashboard Data'!$AO$1</definedName>
    <definedName name="LCIFarm_Notes">_xlfn._xlws.FILTER(LCIFarm_Notes_BeforeCalc,LCIFarm_DoNotSend=FALSE)</definedName>
    <definedName name="LCIFarm_Notes_BeforeCalc">IFERROR(_xlfn._xlws.FILTER(Dash_LCIFarm, ISNUMBER(MATCH(LCIFarm_h,{"Notes"},0))), "")</definedName>
    <definedName name="LCIFarm_UD">_xlfn._xlws.FILTER(LCIFarm_UD_BeforeCalc,LCIFarm_DoNotSend=FALSE)</definedName>
    <definedName name="LCIFarm_UD_BeforeCalc">IF(EnableFarmingInputs,LCIFarm_UD_Dash,LCIFarm_Defaults_BeforeCalc)</definedName>
    <definedName name="LCIFarm_UD_Dash">IF(LCIFarm_len=0,"",LCIFarm_UD_Startcell:INDEX(Dashboard!$G:$G, LCIFarm_len + CELL("row", LCIFarm_UD_Startcell) - 1) &amp; "")</definedName>
    <definedName name="LCIFarm_UD_Startcell">Dashboard!$G$9</definedName>
    <definedName name="LCIJetFuel_Calc_UD">_xlfn._xlws.FILTER(IFERROR(_xlfn._xlws.FILTER(Dash_LCIJetFuel, ISNUMBER(MATCH(LCIJetFuel_h,{"Calculated Value"},0))), ""),LCIJetFuel_DoNotSend=FALSE)</definedName>
    <definedName name="LCIJetFuel_DoNotSend">IFERROR(_xlfn._xlws.FILTER(Dash_LCIJetFuel, ISNUMBER(MATCH(LCIJetFuel_h,{"Do Not Send"},0))), "")</definedName>
    <definedName name="LCIJetFuel_GREET1">_xlfn._xlws.FILTER(LCIJetFuel_GREET1_BeforeCalc,LCIJetFuel_DoNotSend=FALSE)</definedName>
    <definedName name="LCIJetFuel_GREET1_BeforeCalc">IFERROR(_xlfn._xlws.FILTER(Dash_LCIJetFuel, ISNUMBER(MATCH(LCIJetFuel_h,{"GREET1 Name Range"},0))), "")</definedName>
    <definedName name="LCIJetFuel_h">_xlfn.ANCHORARRAY('Dashboard Data'!$B$2)</definedName>
    <definedName name="LCIJetFuel_ID">_xlfn._xlws.FILTER(LCIJetFuel_ID_BeforeCalc,LCIJetFuel_DoNotSend=FALSE)</definedName>
    <definedName name="LCIJetFuel_ID_BeforeCalc">IFERROR(_xlfn._xlws.FILTER(Dash_LCIJetFuel, ISNUMBER(MATCH(LCIJetFuel_h,{"LCI ID"},0))), "")</definedName>
    <definedName name="LCIJetFuel_Len">'Dashboard Data'!$F$1</definedName>
    <definedName name="LCIJetFuel_Notes">_xlfn._xlws.FILTER(LCIJetFuel_Notes_BeforeCalc,LCIJetFuel_DoNotSend=FALSE)</definedName>
    <definedName name="LCIJetFuel_Notes_BeforeCalc">IFERROR(_xlfn._xlws.FILTER(Dash_LCIJetFuel, ISNUMBER(MATCH(LCIJetFuel_h,{"Notes"},0))), "")</definedName>
    <definedName name="LCIJetFuel_UD">_xlfn._xlws.FILTER(LCIJetFuel_UD_BeforeCalc,LCIJetFuel_DoNotSend=FALSE)</definedName>
    <definedName name="LCIJetFuel_UD_BeforeCalc">IF(LCIJetFuel_Len=0,"",LCIJetFuel_UD_startCell:INDEX(Dashboard!$G:$G, LCIJetFuel_Len + CELL("row", LCIJetFuel_UD_startCell) - 1) &amp; "")</definedName>
    <definedName name="LCIJetFuel_UD_startCell">Dashboard!$G$9</definedName>
    <definedName name="LCINotes">'Dashboard Data'!$DN$2</definedName>
    <definedName name="m2ft">Unit!$D$129</definedName>
    <definedName name="m2km">Unit!$D$128</definedName>
    <definedName name="m2m">Unit!$D$127</definedName>
    <definedName name="m2mi">Unit!$D$130</definedName>
    <definedName name="m2mm">Unit!$D$126</definedName>
    <definedName name="m32ft3">Unit!$D$191</definedName>
    <definedName name="m32gal">Unit!$D$190</definedName>
    <definedName name="m32L">Unit!$D$189</definedName>
    <definedName name="m32m3">Unit!$D$187</definedName>
    <definedName name="m32mL">Unit!$D$188</definedName>
    <definedName name="mg2g">Unit!$D$147</definedName>
    <definedName name="mi2ft">Unit!$D$134</definedName>
    <definedName name="mi2km">Unit!$D$133</definedName>
    <definedName name="mi2m">Unit!$D$132</definedName>
    <definedName name="mi2mi">Unit!$D$135</definedName>
    <definedName name="mi2mm">Unit!$D$131</definedName>
    <definedName name="MJ2BTU">Unit!$D$63</definedName>
    <definedName name="MJ2ft3">Unit!$D$93</definedName>
    <definedName name="MJ2g">Unit!$D$87</definedName>
    <definedName name="MJ2gal">Unit!$D$92</definedName>
    <definedName name="MJ2hph">Unit!$D$65</definedName>
    <definedName name="MJ2J">Unit!$D$58</definedName>
    <definedName name="MJ2kg">Unit!$D$88</definedName>
    <definedName name="MJ2kJ">Unit!$D$59</definedName>
    <definedName name="MJ2kWh">Unit!$D$62</definedName>
    <definedName name="MJ2L">Unit!$D$94</definedName>
    <definedName name="MJ2lb">Unit!$D$89</definedName>
    <definedName name="MJ2m3">Unit!$D$96</definedName>
    <definedName name="MJ2MJ">Unit!$D$60</definedName>
    <definedName name="MJ2mL">Unit!$D$95</definedName>
    <definedName name="MJ2mmBTU">Unit!$D$64</definedName>
    <definedName name="MJ2MT">Unit!$D$91</definedName>
    <definedName name="MJ2ton">Unit!$D$90</definedName>
    <definedName name="MJ2Wh">Unit!$D$61</definedName>
    <definedName name="mL2ft3">Unit!$D$196</definedName>
    <definedName name="mL2gal">Unit!$D$195</definedName>
    <definedName name="mL2L">Unit!$D$194</definedName>
    <definedName name="mL2m3">Unit!$D$192</definedName>
    <definedName name="mL2mL">Unit!$D$193</definedName>
    <definedName name="mm2ft">Unit!$D$139</definedName>
    <definedName name="mm2km">Unit!$D$138</definedName>
    <definedName name="mm2m">Unit!$D$137</definedName>
    <definedName name="mm2mi">Unit!$D$140</definedName>
    <definedName name="mm2mm">Unit!$D$136</definedName>
    <definedName name="mmBTU2BTU">Unit!$D$71</definedName>
    <definedName name="mmBTU2hph">Unit!$D$73</definedName>
    <definedName name="mmBTU2J">Unit!$D$66</definedName>
    <definedName name="mmBTU2kJ">Unit!$D$67</definedName>
    <definedName name="mmBTU2kWh">Unit!$D$70</definedName>
    <definedName name="mmBTU2MJ">Unit!$D$68</definedName>
    <definedName name="mmBTU2mmBTU">Unit!$D$72</definedName>
    <definedName name="mmBTU2ton">Unit!$D$74</definedName>
    <definedName name="mmBTU2Wh">Unit!$D$69</definedName>
    <definedName name="MT2g">Unit!$D$158</definedName>
    <definedName name="MT2kg">Unit!$D$159</definedName>
    <definedName name="MT2lb">Unit!$D$161</definedName>
    <definedName name="MT2MT">Unit!$D$160</definedName>
    <definedName name="MT2ton">Unit!$D$162</definedName>
    <definedName name="OldFeedstock">'Pivot Tables'!$H$1</definedName>
    <definedName name="PathSelected">'Pivot Tables'!$L$2</definedName>
    <definedName name="PathwayValues">'Pivot Tables'!$E$1</definedName>
    <definedName name="PreviousPathway">'Pivot Tables'!$G$20</definedName>
    <definedName name="RefreshDefaults">'Pivot Tables'!$H$3</definedName>
    <definedName name="ResetFeedstock">'Pivot Tables'!$H$2</definedName>
    <definedName name="Selected40B">Dashboard!$E$6</definedName>
    <definedName name="SelectedConversion">'Pivot Tables'!$B$2</definedName>
    <definedName name="SelectedDataSet">'Pivot Tables'!$E$4</definedName>
    <definedName name="SelectedDataSource">'Pivot Tables'!$B$3</definedName>
    <definedName name="SelectedEmissions">Dashboard!$S$7</definedName>
    <definedName name="SelectedFeedstock">'Pivot Tables'!$B$1</definedName>
    <definedName name="SelectedFU">Dashboard!$T$7</definedName>
    <definedName name="SelectedMetric">'Pivot Tables'!$B$11</definedName>
    <definedName name="SelectedPathway">'Pivot Tables'!$L$1</definedName>
    <definedName name="SelectedTechnology">'Pivot Tables'!$E$5</definedName>
    <definedName name="Selection_GREET1">IFERROR(_xlfn._xlws.FILTER(Dash_Selection, ISNUMBER(MATCH(Selection_H,{"GREET1 Location"},0))), "")</definedName>
    <definedName name="Selection_GREET1_Send">_xlfn._xlws.FILTER(Selection_GREET1,Selection_SendtoGREET1=TRUE)</definedName>
    <definedName name="Selection_H">_xlfn.ANCHORARRAY('Dashboard Data'!$CV$2)</definedName>
    <definedName name="Selection_ID">IFERROR(_xlfn._xlws.FILTER(Dash_Selection, ISNUMBER(MATCH(Selection_H,{"ID"},0))), "")</definedName>
    <definedName name="Selection_Len">'Dashboard Data'!$CZ$1</definedName>
    <definedName name="Selection_Notes">IFERROR(_xlfn._xlws.FILTER(Dash_Selection, ISNUMBER(MATCH(Selection_H,{"Notes"},0))), "")</definedName>
    <definedName name="Selection_SendtoGREET1">IFERROR(_xlfn._xlws.FILTER(Dash_Selection, ISNUMBER(MATCH(Selection_H,{"Send to GREET1"},0))), "")</definedName>
    <definedName name="Selection_UD">IF(Selection_Len=0,"",Selection_UD_Startcell:INDEX(Dashboard!$F:$F, Selection_Len + CELL("row", Selection_UD_Startcell) - 1) &amp; "")</definedName>
    <definedName name="Selection_UD_Before_Calc">IFERROR(_xlfn._xlws.FILTER(Dash_Selection, ISNUMBER(MATCH(Selection_H,{"Calculated Value"},0))), "")</definedName>
    <definedName name="Selection_UD_Send">_xlfn._xlws.FILTER(Selection_UD_Before_Calc,Selection_SendtoGREET1=TRUE)</definedName>
    <definedName name="Selection_UD_Startcell">Dashboard!$F$25</definedName>
    <definedName name="SelectionsResetting">Selections!$Z$2</definedName>
    <definedName name="SendData_Always_Cell">IFERROR(_xlfn._xlws.FILTER(_xlfn._xlws.FILTER(Table_AlwaysSend[],Table_AlwaysSend[Send?]=TRUE), ISNUMBER(MATCH(Table_AlwaysSend[#Headers],{"Cell"},0))), "")</definedName>
    <definedName name="SendData_Always_ID">IFERROR(_xlfn._xlws.FILTER(_xlfn._xlws.FILTER(Table_AlwaysSend[],Table_AlwaysSend[Send?]=TRUE), ISNUMBER(MATCH(Table_AlwaysSend[#Headers],{"GREET1 Location"},0))), "")</definedName>
    <definedName name="SendData_Always_NR">IFERROR(_xlfn._xlws.FILTER(_xlfn._xlws.FILTER(Table_AlwaysSend[],Table_AlwaysSend[Send?]=TRUE), ISNUMBER(MATCH(Table_AlwaysSend[#Headers],{"GREET1 Name Range"},0))), "")</definedName>
    <definedName name="SendData_Always_Tab">IFERROR(_xlfn._xlws.FILTER(_xlfn._xlws.FILTER(Table_AlwaysSend[],Table_AlwaysSend[Send?]=TRUE), ISNUMBER(MATCH(Table_AlwaysSend[#Headers],{"Tab"},0))), "")</definedName>
    <definedName name="SendData_Always_Value">IFERROR(_xlfn._xlws.FILTER(_xlfn._xlws.FILTER(Table_AlwaysSend[],Table_AlwaysSend[Send?]=TRUE), ISNUMBER(MATCH(Table_AlwaysSend[#Headers],{"Value to Send"},0))), "")</definedName>
    <definedName name="SendData_Cell">IFERROR(RIGHT(SendData_GREET1_ID,LEN(SendData_GREET1_ID)-FIND("!",SendData_GREET1_ID)),"")</definedName>
    <definedName name="SendData_GREET1_ID">MergeArrays(LCIFarm_GREET1,LCIJetFuel_GREET1,Transport_GREET1_S,Transport_GREET1_D,Selection_GREET1_Send)</definedName>
    <definedName name="SendData_ID">MergeArrays(LCIFarm_ID,LCIJetFuel_ID,Transport_ID)</definedName>
    <definedName name="SendData_NR">IFERROR(INDEX(#REF!,MATCH(SendData_GREET1_ID,#REF!,0),1),"")</definedName>
    <definedName name="SendData_Tab">IFERROR(_xlfn.TEXTSPLIT(SendData_GREET1_ID,"!"),"")</definedName>
    <definedName name="SendData_UD">MergeArrays(LCIFarm_Calc_UD,LCIJetFuel_Calc_UD,Transport_S_UD,Transport_D_UD,Selection_UD_Send)</definedName>
    <definedName name="SendToGreetNR">'GREET Connection'!$B$3</definedName>
    <definedName name="SendToGreetValues">'GREET Connection'!$A$3</definedName>
    <definedName name="ShouldShowSOC">'Pivot Tables'!$L$5</definedName>
    <definedName name="Slicer_Conversion">#N/A</definedName>
    <definedName name="Slicer_Data_Set">#N/A</definedName>
    <definedName name="Slicer_Data_Source">#N/A</definedName>
    <definedName name="Slicer_Feedstock">#N/A</definedName>
    <definedName name="Slicer_Technology">#N/A</definedName>
    <definedName name="SOCName">"SOC"</definedName>
    <definedName name="StoredLCIFarmInput">'Pivot Tables'!$R$2</definedName>
    <definedName name="StoredLCIFarmValue">'Pivot Tables'!$S$2</definedName>
    <definedName name="StoredLCIJetInput">'Pivot Tables'!$T$2</definedName>
    <definedName name="StoredLCIJetValue">'Pivot Tables'!$U$2</definedName>
    <definedName name="StoredSelectionInput">'Pivot Tables'!$P$2</definedName>
    <definedName name="StoredSelectionValue">'Pivot Tables'!$Q$2</definedName>
    <definedName name="StoredTransportDValue">'Pivot Tables'!$W$2</definedName>
    <definedName name="StoredTransportInput">'Pivot Tables'!$X$2</definedName>
    <definedName name="StoredTransportSValue">'Pivot Tables'!$V$2</definedName>
    <definedName name="ton2g">Unit!$D$163</definedName>
    <definedName name="ton2kg">Unit!$D$164</definedName>
    <definedName name="ton2lb">Unit!$D$166</definedName>
    <definedName name="ton2mmBTU">Unit!$D$75</definedName>
    <definedName name="ton2MT">Unit!$D$165</definedName>
    <definedName name="ton2ton">Unit!$D$167</definedName>
    <definedName name="Transport_D_UD">IF(Transport_Len=0,"",Transport_UD_startCell_D:INDEX(Dashboard!$I:$I, Transport_Len + CELL("row", Transport_UD_startCell_D) - 1) &amp; "")</definedName>
    <definedName name="Transport_GREET1_D">IFERROR(_xlfn._xlws.FILTER(Dash_Transport, ISNUMBER(MATCH(Transport_H,{"GREET1 Name Range, Distance"},0))), "")</definedName>
    <definedName name="Transport_GREET1_S">IFERROR(_xlfn._xlws.FILTER(Dash_Transport, ISNUMBER(MATCH(Transport_H,{"GREET1 Name Range, Share"},0))), "")</definedName>
    <definedName name="Transport_H">_xlfn.ANCHORARRAY('Dashboard Data'!$BQ$2)</definedName>
    <definedName name="Transport_ID">IFERROR(_xlfn._xlws.FILTER(Dash_Transport, ISNUMBER(MATCH(Transport_H,{"Transport ID"},0))), "")</definedName>
    <definedName name="Transport_Len">'Dashboard Data'!$BU$1</definedName>
    <definedName name="Transport_Notes">IFERROR(_xlfn._xlws.FILTER(Dash_Transport, ISNUMBER(MATCH(Transport_H,{"Notes"},0))), "")</definedName>
    <definedName name="Transport_S_UD">IF(Transport_Len=0,"",Transport_UD_startCell_S:INDEX(Dashboard!$H:$H, Transport_Len + CELL("row", Transport_UD_startCell_S) - 1) &amp; "")</definedName>
    <definedName name="Transport_U_UD">IF(Transport_Len=0,"",Transport_UD_startCell_U:INDEX(Dashboard!$I:$I, Transport_Len + CELL("row", Transport_UD_startCell_U) - 1) &amp; "")</definedName>
    <definedName name="Transport_UD_startCell_D">Dashboard!$I$29</definedName>
    <definedName name="Transport_UD_startCell_S">Dashboard!$H$29</definedName>
    <definedName name="TransportNotes">'Dashboard Data'!$DP$2</definedName>
    <definedName name="Wh2BTU">Unit!$D$113</definedName>
    <definedName name="Wh2hph">Unit!$D$115</definedName>
    <definedName name="Wh2J">Unit!$D$108</definedName>
    <definedName name="Wh2kJ">Unit!$D$109</definedName>
    <definedName name="Wh2kWh">Unit!$D$112</definedName>
    <definedName name="Wh2MJ">Unit!$D$110</definedName>
    <definedName name="Wh2mmBTU">Unit!$D$114</definedName>
    <definedName name="Wh2Wh">Unit!$D$111</definedName>
  </definedNames>
  <calcPr calcId="191029" calcMode="manual"/>
  <pivotCaches>
    <pivotCache cacheId="0" r:id="rId17"/>
    <pivotCache cacheId="1" r:id="rId18"/>
  </pivotCaches>
  <extLst>
    <ext xmlns:x14="http://schemas.microsoft.com/office/spreadsheetml/2009/9/main" uri="{BBE1A952-AA13-448e-AADC-164F8A28A991}">
      <x14:slicerCaches>
        <x14:slicerCache r:id="rId19"/>
        <x14:slicerCache r:id="rId20"/>
        <x14:slicerCache r:id="rId21"/>
        <x14:slicerCache r:id="rId22"/>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 i="8" l="1" a="1"/>
  <c r="L1" i="8"/>
  <c r="E29" i="1" a="1"/>
  <c r="E29" i="1"/>
  <c r="E28" i="1" a="1"/>
  <c r="E28" i="1"/>
  <c r="E27" i="1"/>
  <c r="E24" i="1" a="1"/>
  <c r="E24" i="1"/>
  <c r="E23" i="1"/>
  <c r="E8" i="1" a="1"/>
  <c r="E8" i="1"/>
  <c r="E7" i="1"/>
  <c r="F2" i="4"/>
  <c r="G2" i="4"/>
  <c r="H2" i="4"/>
  <c r="I2" i="4"/>
  <c r="J2" i="4"/>
  <c r="L2" i="4"/>
  <c r="F3" i="4"/>
  <c r="G3" i="4"/>
  <c r="H3" i="4"/>
  <c r="I3" i="4"/>
  <c r="J3" i="4"/>
  <c r="L3" i="4"/>
  <c r="F4" i="4"/>
  <c r="G4" i="4"/>
  <c r="H4" i="4"/>
  <c r="I4" i="4"/>
  <c r="J4" i="4"/>
  <c r="L4" i="4"/>
  <c r="F5" i="4"/>
  <c r="G5" i="4"/>
  <c r="H5" i="4"/>
  <c r="I5" i="4"/>
  <c r="J5" i="4"/>
  <c r="L5" i="4"/>
  <c r="F6" i="4"/>
  <c r="G6" i="4"/>
  <c r="H6" i="4"/>
  <c r="I6" i="4"/>
  <c r="J6" i="4"/>
  <c r="L6" i="4"/>
  <c r="F7" i="4"/>
  <c r="G7" i="4"/>
  <c r="H7" i="4"/>
  <c r="I7" i="4"/>
  <c r="J7" i="4"/>
  <c r="L7" i="4"/>
  <c r="F8" i="4"/>
  <c r="G8" i="4"/>
  <c r="H8" i="4"/>
  <c r="I8" i="4"/>
  <c r="J8" i="4"/>
  <c r="L8" i="4"/>
  <c r="F9" i="4"/>
  <c r="G9" i="4"/>
  <c r="H9" i="4"/>
  <c r="I9" i="4"/>
  <c r="J9" i="4"/>
  <c r="L9" i="4"/>
  <c r="F10" i="4"/>
  <c r="G10" i="4"/>
  <c r="H10" i="4"/>
  <c r="I10" i="4"/>
  <c r="J10" i="4"/>
  <c r="L10" i="4"/>
  <c r="F11" i="4"/>
  <c r="G11" i="4"/>
  <c r="H11" i="4"/>
  <c r="I11" i="4"/>
  <c r="J11" i="4"/>
  <c r="L11" i="4"/>
  <c r="F12" i="4"/>
  <c r="G12" i="4"/>
  <c r="H12" i="4"/>
  <c r="I12" i="4"/>
  <c r="J12" i="4"/>
  <c r="L12" i="4"/>
  <c r="F13" i="4"/>
  <c r="G13" i="4"/>
  <c r="H13" i="4"/>
  <c r="I13" i="4"/>
  <c r="J13" i="4"/>
  <c r="L13" i="4"/>
  <c r="F14" i="4"/>
  <c r="G14" i="4"/>
  <c r="H14" i="4"/>
  <c r="I14" i="4"/>
  <c r="J14" i="4"/>
  <c r="L14" i="4"/>
  <c r="F15" i="4"/>
  <c r="G15" i="4"/>
  <c r="H15" i="4"/>
  <c r="I15" i="4"/>
  <c r="J15" i="4"/>
  <c r="L15" i="4"/>
  <c r="F16" i="4"/>
  <c r="G16" i="4"/>
  <c r="H16" i="4"/>
  <c r="I16" i="4"/>
  <c r="J16" i="4"/>
  <c r="L16" i="4"/>
  <c r="F17" i="4"/>
  <c r="G17" i="4"/>
  <c r="H17" i="4"/>
  <c r="I17" i="4"/>
  <c r="J17" i="4"/>
  <c r="L17" i="4"/>
  <c r="F18" i="4"/>
  <c r="G18" i="4"/>
  <c r="H18" i="4"/>
  <c r="I18" i="4"/>
  <c r="J18" i="4"/>
  <c r="L18" i="4"/>
  <c r="F19" i="4"/>
  <c r="G19" i="4"/>
  <c r="H19" i="4"/>
  <c r="I19" i="4"/>
  <c r="J19" i="4"/>
  <c r="L19" i="4"/>
  <c r="F20" i="4"/>
  <c r="G20" i="4"/>
  <c r="H20" i="4"/>
  <c r="I20" i="4"/>
  <c r="J20" i="4"/>
  <c r="L20" i="4"/>
  <c r="F21" i="4"/>
  <c r="G21" i="4"/>
  <c r="H21" i="4"/>
  <c r="I21" i="4"/>
  <c r="J21" i="4"/>
  <c r="L21" i="4"/>
  <c r="F22" i="4"/>
  <c r="G22" i="4"/>
  <c r="H22" i="4"/>
  <c r="I22" i="4"/>
  <c r="J22" i="4"/>
  <c r="L22" i="4"/>
  <c r="F23" i="4"/>
  <c r="G23" i="4"/>
  <c r="H23" i="4"/>
  <c r="I23" i="4"/>
  <c r="J23" i="4"/>
  <c r="L23" i="4"/>
  <c r="F24" i="4"/>
  <c r="G24" i="4"/>
  <c r="H24" i="4"/>
  <c r="I24" i="4"/>
  <c r="J24" i="4"/>
  <c r="L24" i="4"/>
  <c r="F25" i="4"/>
  <c r="G25" i="4"/>
  <c r="H25" i="4"/>
  <c r="I25" i="4"/>
  <c r="J25" i="4"/>
  <c r="L25" i="4"/>
  <c r="F26" i="4"/>
  <c r="G26" i="4"/>
  <c r="H26" i="4"/>
  <c r="I26" i="4"/>
  <c r="J26" i="4"/>
  <c r="L26" i="4"/>
  <c r="F27" i="4"/>
  <c r="G27" i="4"/>
  <c r="H27" i="4"/>
  <c r="I27" i="4"/>
  <c r="J27" i="4"/>
  <c r="L27" i="4"/>
  <c r="F28" i="4"/>
  <c r="G28" i="4"/>
  <c r="H28" i="4"/>
  <c r="I28" i="4"/>
  <c r="J28" i="4"/>
  <c r="L28" i="4"/>
  <c r="F29" i="4"/>
  <c r="G29" i="4"/>
  <c r="H29" i="4"/>
  <c r="I29" i="4"/>
  <c r="J29" i="4"/>
  <c r="L29" i="4"/>
  <c r="F30" i="4"/>
  <c r="G30" i="4"/>
  <c r="H30" i="4"/>
  <c r="I30" i="4"/>
  <c r="J30" i="4"/>
  <c r="L30" i="4"/>
  <c r="F31" i="4"/>
  <c r="G31" i="4"/>
  <c r="H31" i="4"/>
  <c r="I31" i="4"/>
  <c r="J31" i="4"/>
  <c r="L31" i="4"/>
  <c r="F32" i="4"/>
  <c r="G32" i="4"/>
  <c r="H32" i="4"/>
  <c r="I32" i="4"/>
  <c r="J32" i="4"/>
  <c r="L32" i="4"/>
  <c r="F33" i="4"/>
  <c r="G33" i="4"/>
  <c r="H33" i="4"/>
  <c r="I33" i="4"/>
  <c r="J33" i="4"/>
  <c r="L33" i="4"/>
  <c r="F34" i="4"/>
  <c r="G34" i="4"/>
  <c r="H34" i="4"/>
  <c r="I34" i="4"/>
  <c r="J34" i="4"/>
  <c r="L34" i="4"/>
  <c r="F35" i="4"/>
  <c r="G35" i="4"/>
  <c r="H35" i="4"/>
  <c r="I35" i="4"/>
  <c r="J35" i="4"/>
  <c r="L35" i="4"/>
  <c r="F36" i="4"/>
  <c r="G36" i="4"/>
  <c r="H36" i="4"/>
  <c r="I36" i="4"/>
  <c r="J36" i="4"/>
  <c r="L36" i="4"/>
  <c r="F37" i="4"/>
  <c r="G37" i="4"/>
  <c r="H37" i="4"/>
  <c r="I37" i="4"/>
  <c r="J37" i="4"/>
  <c r="L37" i="4"/>
  <c r="F38" i="4"/>
  <c r="G38" i="4"/>
  <c r="H38" i="4"/>
  <c r="I38" i="4"/>
  <c r="J38" i="4"/>
  <c r="L38" i="4"/>
  <c r="F39" i="4"/>
  <c r="G39" i="4"/>
  <c r="H39" i="4"/>
  <c r="I39" i="4"/>
  <c r="J39" i="4"/>
  <c r="L39" i="4"/>
  <c r="F40" i="4"/>
  <c r="G40" i="4"/>
  <c r="H40" i="4"/>
  <c r="I40" i="4"/>
  <c r="J40" i="4"/>
  <c r="L40" i="4"/>
  <c r="F41" i="4"/>
  <c r="G41" i="4"/>
  <c r="H41" i="4"/>
  <c r="I41" i="4"/>
  <c r="J41" i="4"/>
  <c r="L41" i="4"/>
  <c r="F42" i="4"/>
  <c r="G42" i="4"/>
  <c r="H42" i="4"/>
  <c r="I42" i="4"/>
  <c r="J42" i="4"/>
  <c r="L42" i="4"/>
  <c r="F43" i="4"/>
  <c r="G43" i="4"/>
  <c r="H43" i="4"/>
  <c r="I43" i="4"/>
  <c r="J43" i="4"/>
  <c r="L43" i="4"/>
  <c r="F44" i="4"/>
  <c r="G44" i="4"/>
  <c r="H44" i="4"/>
  <c r="I44" i="4"/>
  <c r="J44" i="4"/>
  <c r="L44" i="4"/>
  <c r="F45" i="4"/>
  <c r="G45" i="4"/>
  <c r="H45" i="4"/>
  <c r="I45" i="4"/>
  <c r="J45" i="4"/>
  <c r="L45" i="4"/>
  <c r="F46" i="4"/>
  <c r="G46" i="4"/>
  <c r="H46" i="4"/>
  <c r="I46" i="4"/>
  <c r="J46" i="4"/>
  <c r="L46" i="4"/>
  <c r="F47" i="4"/>
  <c r="G47" i="4"/>
  <c r="H47" i="4"/>
  <c r="I47" i="4"/>
  <c r="J47" i="4"/>
  <c r="L47" i="4"/>
  <c r="F48" i="4"/>
  <c r="G48" i="4"/>
  <c r="H48" i="4"/>
  <c r="I48" i="4"/>
  <c r="J48" i="4"/>
  <c r="L48" i="4"/>
  <c r="F49" i="4"/>
  <c r="G49" i="4"/>
  <c r="H49" i="4"/>
  <c r="I49" i="4"/>
  <c r="J49" i="4"/>
  <c r="L49" i="4"/>
  <c r="F50" i="4"/>
  <c r="G50" i="4"/>
  <c r="H50" i="4"/>
  <c r="I50" i="4"/>
  <c r="J50" i="4"/>
  <c r="L50" i="4"/>
  <c r="F51" i="4"/>
  <c r="G51" i="4"/>
  <c r="H51" i="4"/>
  <c r="I51" i="4"/>
  <c r="J51" i="4"/>
  <c r="L51" i="4"/>
  <c r="F52" i="4"/>
  <c r="G52" i="4"/>
  <c r="H52" i="4"/>
  <c r="I52" i="4"/>
  <c r="J52" i="4"/>
  <c r="L52" i="4"/>
  <c r="F53" i="4"/>
  <c r="G53" i="4"/>
  <c r="H53" i="4"/>
  <c r="I53" i="4"/>
  <c r="J53" i="4"/>
  <c r="L53" i="4"/>
  <c r="F54" i="4"/>
  <c r="G54" i="4"/>
  <c r="H54" i="4"/>
  <c r="I54" i="4"/>
  <c r="J54" i="4"/>
  <c r="L54" i="4"/>
  <c r="F55" i="4"/>
  <c r="G55" i="4"/>
  <c r="H55" i="4"/>
  <c r="I55" i="4"/>
  <c r="J55" i="4"/>
  <c r="L55" i="4"/>
  <c r="F56" i="4"/>
  <c r="G56" i="4"/>
  <c r="H56" i="4"/>
  <c r="I56" i="4"/>
  <c r="J56" i="4"/>
  <c r="L56" i="4"/>
  <c r="F57" i="4"/>
  <c r="G57" i="4"/>
  <c r="H57" i="4"/>
  <c r="I57" i="4"/>
  <c r="J57" i="4"/>
  <c r="L57" i="4"/>
  <c r="F58" i="4"/>
  <c r="G58" i="4"/>
  <c r="H58" i="4"/>
  <c r="I58" i="4"/>
  <c r="J58" i="4"/>
  <c r="L58" i="4"/>
  <c r="F59" i="4"/>
  <c r="G59" i="4"/>
  <c r="H59" i="4"/>
  <c r="I59" i="4"/>
  <c r="J59" i="4"/>
  <c r="L59" i="4"/>
  <c r="F60" i="4"/>
  <c r="G60" i="4"/>
  <c r="H60" i="4"/>
  <c r="I60" i="4"/>
  <c r="J60" i="4"/>
  <c r="L60" i="4"/>
  <c r="F61" i="4"/>
  <c r="G61" i="4"/>
  <c r="H61" i="4"/>
  <c r="I61" i="4"/>
  <c r="J61" i="4"/>
  <c r="L61" i="4"/>
  <c r="F62" i="4"/>
  <c r="G62" i="4"/>
  <c r="H62" i="4"/>
  <c r="I62" i="4"/>
  <c r="J62" i="4"/>
  <c r="L62" i="4"/>
  <c r="F63" i="4"/>
  <c r="G63" i="4"/>
  <c r="H63" i="4"/>
  <c r="I63" i="4"/>
  <c r="J63" i="4"/>
  <c r="L63" i="4"/>
  <c r="F64" i="4"/>
  <c r="G64" i="4"/>
  <c r="H64" i="4"/>
  <c r="I64" i="4"/>
  <c r="J64" i="4"/>
  <c r="L64" i="4"/>
  <c r="F65" i="4"/>
  <c r="G65" i="4"/>
  <c r="H65" i="4"/>
  <c r="I65" i="4"/>
  <c r="J65" i="4"/>
  <c r="L65" i="4"/>
  <c r="F66" i="4"/>
  <c r="G66" i="4"/>
  <c r="H66" i="4"/>
  <c r="I66" i="4"/>
  <c r="J66" i="4"/>
  <c r="L66" i="4"/>
  <c r="F67" i="4"/>
  <c r="G67" i="4"/>
  <c r="H67" i="4"/>
  <c r="I67" i="4"/>
  <c r="J67" i="4"/>
  <c r="L67" i="4"/>
  <c r="F68" i="4"/>
  <c r="G68" i="4"/>
  <c r="H68" i="4"/>
  <c r="I68" i="4"/>
  <c r="J68" i="4"/>
  <c r="L68" i="4"/>
  <c r="F69" i="4"/>
  <c r="G69" i="4"/>
  <c r="H69" i="4"/>
  <c r="I69" i="4"/>
  <c r="J69" i="4"/>
  <c r="L69" i="4"/>
  <c r="F70" i="4"/>
  <c r="G70" i="4"/>
  <c r="H70" i="4"/>
  <c r="I70" i="4"/>
  <c r="J70" i="4"/>
  <c r="L70" i="4"/>
  <c r="F71" i="4"/>
  <c r="G71" i="4"/>
  <c r="H71" i="4"/>
  <c r="I71" i="4"/>
  <c r="J71" i="4"/>
  <c r="L71" i="4"/>
  <c r="F72" i="4"/>
  <c r="G72" i="4"/>
  <c r="H72" i="4"/>
  <c r="I72" i="4"/>
  <c r="J72" i="4"/>
  <c r="L72" i="4"/>
  <c r="F73" i="4"/>
  <c r="G73" i="4"/>
  <c r="H73" i="4"/>
  <c r="I73" i="4"/>
  <c r="J73" i="4"/>
  <c r="L73" i="4"/>
  <c r="F74" i="4"/>
  <c r="G74" i="4"/>
  <c r="H74" i="4"/>
  <c r="I74" i="4"/>
  <c r="J74" i="4"/>
  <c r="L74" i="4"/>
  <c r="F75" i="4"/>
  <c r="G75" i="4"/>
  <c r="H75" i="4"/>
  <c r="I75" i="4"/>
  <c r="J75" i="4"/>
  <c r="L75" i="4"/>
  <c r="F76" i="4"/>
  <c r="G76" i="4"/>
  <c r="H76" i="4"/>
  <c r="I76" i="4"/>
  <c r="J76" i="4"/>
  <c r="L76" i="4"/>
  <c r="F77" i="4"/>
  <c r="G77" i="4"/>
  <c r="H77" i="4"/>
  <c r="I77" i="4"/>
  <c r="J77" i="4"/>
  <c r="L77" i="4"/>
  <c r="F78" i="4"/>
  <c r="G78" i="4"/>
  <c r="H78" i="4"/>
  <c r="I78" i="4"/>
  <c r="J78" i="4"/>
  <c r="L78" i="4"/>
  <c r="F79" i="4"/>
  <c r="G79" i="4"/>
  <c r="H79" i="4"/>
  <c r="I79" i="4"/>
  <c r="J79" i="4"/>
  <c r="L79" i="4"/>
  <c r="F80" i="4"/>
  <c r="G80" i="4"/>
  <c r="H80" i="4"/>
  <c r="I80" i="4"/>
  <c r="J80" i="4"/>
  <c r="L80" i="4"/>
  <c r="F81" i="4"/>
  <c r="G81" i="4"/>
  <c r="H81" i="4"/>
  <c r="I81" i="4"/>
  <c r="J81" i="4"/>
  <c r="L81" i="4"/>
  <c r="F82" i="4"/>
  <c r="G82" i="4"/>
  <c r="H82" i="4"/>
  <c r="I82" i="4"/>
  <c r="J82" i="4"/>
  <c r="L82" i="4"/>
  <c r="F83" i="4"/>
  <c r="G83" i="4"/>
  <c r="H83" i="4"/>
  <c r="I83" i="4"/>
  <c r="J83" i="4"/>
  <c r="L83" i="4"/>
  <c r="F84" i="4"/>
  <c r="G84" i="4"/>
  <c r="H84" i="4"/>
  <c r="I84" i="4"/>
  <c r="J84" i="4"/>
  <c r="L84" i="4"/>
  <c r="F85" i="4"/>
  <c r="G85" i="4"/>
  <c r="H85" i="4"/>
  <c r="I85" i="4"/>
  <c r="J85" i="4"/>
  <c r="L85" i="4"/>
  <c r="F86" i="4"/>
  <c r="G86" i="4"/>
  <c r="H86" i="4"/>
  <c r="I86" i="4"/>
  <c r="J86" i="4"/>
  <c r="L86" i="4"/>
  <c r="F87" i="4"/>
  <c r="G87" i="4"/>
  <c r="H87" i="4"/>
  <c r="I87" i="4"/>
  <c r="J87" i="4"/>
  <c r="L87" i="4"/>
  <c r="F88" i="4"/>
  <c r="G88" i="4"/>
  <c r="H88" i="4"/>
  <c r="I88" i="4"/>
  <c r="J88" i="4"/>
  <c r="L88" i="4"/>
  <c r="F89" i="4"/>
  <c r="G89" i="4"/>
  <c r="H89" i="4"/>
  <c r="I89" i="4"/>
  <c r="J89" i="4"/>
  <c r="L89" i="4"/>
  <c r="F90" i="4"/>
  <c r="G90" i="4"/>
  <c r="H90" i="4"/>
  <c r="I90" i="4"/>
  <c r="J90" i="4"/>
  <c r="L90" i="4"/>
  <c r="F91" i="4"/>
  <c r="G91" i="4"/>
  <c r="H91" i="4"/>
  <c r="I91" i="4"/>
  <c r="J91" i="4"/>
  <c r="L91" i="4"/>
  <c r="F92" i="4"/>
  <c r="G92" i="4"/>
  <c r="H92" i="4"/>
  <c r="I92" i="4"/>
  <c r="J92" i="4"/>
  <c r="L92" i="4"/>
  <c r="F93" i="4"/>
  <c r="G93" i="4"/>
  <c r="H93" i="4"/>
  <c r="I93" i="4"/>
  <c r="J93" i="4"/>
  <c r="L93" i="4"/>
  <c r="F94" i="4"/>
  <c r="G94" i="4"/>
  <c r="H94" i="4"/>
  <c r="I94" i="4"/>
  <c r="J94" i="4"/>
  <c r="L94" i="4"/>
  <c r="F95" i="4"/>
  <c r="G95" i="4"/>
  <c r="H95" i="4"/>
  <c r="I95" i="4"/>
  <c r="J95" i="4"/>
  <c r="L95" i="4"/>
  <c r="F96" i="4"/>
  <c r="G96" i="4"/>
  <c r="H96" i="4"/>
  <c r="I96" i="4"/>
  <c r="J96" i="4"/>
  <c r="L96" i="4"/>
  <c r="F97" i="4"/>
  <c r="G97" i="4"/>
  <c r="H97" i="4"/>
  <c r="I97" i="4"/>
  <c r="J97" i="4"/>
  <c r="L97" i="4"/>
  <c r="F98" i="4"/>
  <c r="G98" i="4"/>
  <c r="H98" i="4"/>
  <c r="I98" i="4"/>
  <c r="J98" i="4"/>
  <c r="L98" i="4"/>
  <c r="F99" i="4"/>
  <c r="G99" i="4"/>
  <c r="H99" i="4"/>
  <c r="I99" i="4"/>
  <c r="J99" i="4"/>
  <c r="L99" i="4"/>
  <c r="F100" i="4"/>
  <c r="G100" i="4"/>
  <c r="H100" i="4"/>
  <c r="I100" i="4"/>
  <c r="J100" i="4"/>
  <c r="L100" i="4"/>
  <c r="F101" i="4"/>
  <c r="G101" i="4"/>
  <c r="H101" i="4"/>
  <c r="I101" i="4"/>
  <c r="J101" i="4"/>
  <c r="L101" i="4"/>
  <c r="F102" i="4"/>
  <c r="G102" i="4"/>
  <c r="H102" i="4"/>
  <c r="I102" i="4"/>
  <c r="J102" i="4"/>
  <c r="L102" i="4"/>
  <c r="F103" i="4"/>
  <c r="G103" i="4"/>
  <c r="H103" i="4"/>
  <c r="I103" i="4"/>
  <c r="J103" i="4"/>
  <c r="L103" i="4"/>
  <c r="F104" i="4"/>
  <c r="G104" i="4"/>
  <c r="H104" i="4"/>
  <c r="I104" i="4"/>
  <c r="J104" i="4"/>
  <c r="L104" i="4"/>
  <c r="F105" i="4"/>
  <c r="G105" i="4"/>
  <c r="H105" i="4"/>
  <c r="I105" i="4"/>
  <c r="J105" i="4"/>
  <c r="L105" i="4"/>
  <c r="F106" i="4"/>
  <c r="G106" i="4"/>
  <c r="H106" i="4"/>
  <c r="I106" i="4"/>
  <c r="J106" i="4"/>
  <c r="L106" i="4"/>
  <c r="F107" i="4"/>
  <c r="G107" i="4"/>
  <c r="H107" i="4"/>
  <c r="I107" i="4"/>
  <c r="J107" i="4"/>
  <c r="L107" i="4"/>
  <c r="F108" i="4"/>
  <c r="G108" i="4"/>
  <c r="H108" i="4"/>
  <c r="I108" i="4"/>
  <c r="J108" i="4"/>
  <c r="L108" i="4"/>
  <c r="F109" i="4"/>
  <c r="G109" i="4"/>
  <c r="H109" i="4"/>
  <c r="I109" i="4"/>
  <c r="J109" i="4"/>
  <c r="L109" i="4"/>
  <c r="F110" i="4"/>
  <c r="G110" i="4"/>
  <c r="H110" i="4"/>
  <c r="I110" i="4"/>
  <c r="J110" i="4"/>
  <c r="L110" i="4"/>
  <c r="F111" i="4"/>
  <c r="G111" i="4"/>
  <c r="H111" i="4"/>
  <c r="I111" i="4"/>
  <c r="J111" i="4"/>
  <c r="L111" i="4"/>
  <c r="F112" i="4"/>
  <c r="G112" i="4"/>
  <c r="H112" i="4"/>
  <c r="I112" i="4"/>
  <c r="J112" i="4"/>
  <c r="L112" i="4"/>
  <c r="F113" i="4"/>
  <c r="G113" i="4"/>
  <c r="H113" i="4"/>
  <c r="I113" i="4"/>
  <c r="J113" i="4"/>
  <c r="L113" i="4"/>
  <c r="F114" i="4"/>
  <c r="G114" i="4"/>
  <c r="H114" i="4"/>
  <c r="I114" i="4"/>
  <c r="J114" i="4"/>
  <c r="L114" i="4"/>
  <c r="F115" i="4"/>
  <c r="G115" i="4"/>
  <c r="H115" i="4"/>
  <c r="I115" i="4"/>
  <c r="J115" i="4"/>
  <c r="L115" i="4"/>
  <c r="F116" i="4"/>
  <c r="G116" i="4"/>
  <c r="H116" i="4"/>
  <c r="I116" i="4"/>
  <c r="J116" i="4"/>
  <c r="L116" i="4"/>
  <c r="F117" i="4"/>
  <c r="G117" i="4"/>
  <c r="H117" i="4"/>
  <c r="I117" i="4"/>
  <c r="J117" i="4"/>
  <c r="L117" i="4"/>
  <c r="F118" i="4"/>
  <c r="G118" i="4"/>
  <c r="H118" i="4"/>
  <c r="I118" i="4"/>
  <c r="J118" i="4"/>
  <c r="L118" i="4"/>
  <c r="F119" i="4"/>
  <c r="G119" i="4"/>
  <c r="H119" i="4"/>
  <c r="I119" i="4"/>
  <c r="J119" i="4"/>
  <c r="L119" i="4"/>
  <c r="F120" i="4"/>
  <c r="G120" i="4"/>
  <c r="H120" i="4"/>
  <c r="I120" i="4"/>
  <c r="J120" i="4"/>
  <c r="L120" i="4"/>
  <c r="F121" i="4"/>
  <c r="G121" i="4"/>
  <c r="H121" i="4"/>
  <c r="I121" i="4"/>
  <c r="J121" i="4"/>
  <c r="L121" i="4"/>
  <c r="F122" i="4"/>
  <c r="G122" i="4"/>
  <c r="H122" i="4"/>
  <c r="I122" i="4"/>
  <c r="J122" i="4"/>
  <c r="L122" i="4"/>
  <c r="F123" i="4"/>
  <c r="G123" i="4"/>
  <c r="H123" i="4"/>
  <c r="I123" i="4"/>
  <c r="J123" i="4"/>
  <c r="L123" i="4"/>
  <c r="F124" i="4"/>
  <c r="G124" i="4"/>
  <c r="H124" i="4"/>
  <c r="I124" i="4"/>
  <c r="J124" i="4"/>
  <c r="L124" i="4"/>
  <c r="F125" i="4"/>
  <c r="G125" i="4"/>
  <c r="H125" i="4"/>
  <c r="I125" i="4"/>
  <c r="J125" i="4"/>
  <c r="L125" i="4"/>
  <c r="F126" i="4"/>
  <c r="G126" i="4"/>
  <c r="H126" i="4"/>
  <c r="I126" i="4"/>
  <c r="J126" i="4"/>
  <c r="L126" i="4"/>
  <c r="F127" i="4"/>
  <c r="G127" i="4"/>
  <c r="H127" i="4"/>
  <c r="I127" i="4"/>
  <c r="J127" i="4"/>
  <c r="L127" i="4"/>
  <c r="F128" i="4"/>
  <c r="G128" i="4"/>
  <c r="H128" i="4"/>
  <c r="I128" i="4"/>
  <c r="J128" i="4"/>
  <c r="L128" i="4"/>
  <c r="F129" i="4"/>
  <c r="G129" i="4"/>
  <c r="H129" i="4"/>
  <c r="I129" i="4"/>
  <c r="J129" i="4"/>
  <c r="L129" i="4"/>
  <c r="F130" i="4"/>
  <c r="G130" i="4"/>
  <c r="H130" i="4"/>
  <c r="I130" i="4"/>
  <c r="J130" i="4"/>
  <c r="L130" i="4"/>
  <c r="F131" i="4"/>
  <c r="G131" i="4"/>
  <c r="H131" i="4"/>
  <c r="I131" i="4"/>
  <c r="J131" i="4"/>
  <c r="L131" i="4"/>
  <c r="F132" i="4"/>
  <c r="G132" i="4"/>
  <c r="H132" i="4"/>
  <c r="I132" i="4"/>
  <c r="J132" i="4"/>
  <c r="L132" i="4"/>
  <c r="F133" i="4"/>
  <c r="G133" i="4"/>
  <c r="H133" i="4"/>
  <c r="I133" i="4"/>
  <c r="J133" i="4"/>
  <c r="L133" i="4"/>
  <c r="F134" i="4"/>
  <c r="G134" i="4"/>
  <c r="H134" i="4"/>
  <c r="I134" i="4"/>
  <c r="J134" i="4"/>
  <c r="L134" i="4"/>
  <c r="F135" i="4"/>
  <c r="G135" i="4"/>
  <c r="H135" i="4"/>
  <c r="I135" i="4"/>
  <c r="J135" i="4"/>
  <c r="L135" i="4"/>
  <c r="F136" i="4"/>
  <c r="G136" i="4"/>
  <c r="H136" i="4"/>
  <c r="I136" i="4"/>
  <c r="J136" i="4"/>
  <c r="L136" i="4"/>
  <c r="F137" i="4"/>
  <c r="G137" i="4"/>
  <c r="H137" i="4"/>
  <c r="I137" i="4"/>
  <c r="J137" i="4"/>
  <c r="L137" i="4"/>
  <c r="F138" i="4"/>
  <c r="G138" i="4"/>
  <c r="H138" i="4"/>
  <c r="I138" i="4"/>
  <c r="J138" i="4"/>
  <c r="L138" i="4"/>
  <c r="F139" i="4"/>
  <c r="G139" i="4"/>
  <c r="H139" i="4"/>
  <c r="I139" i="4"/>
  <c r="J139" i="4"/>
  <c r="L139" i="4"/>
  <c r="F140" i="4"/>
  <c r="G140" i="4"/>
  <c r="H140" i="4"/>
  <c r="I140" i="4"/>
  <c r="J140" i="4"/>
  <c r="L140" i="4"/>
  <c r="F141" i="4"/>
  <c r="G141" i="4"/>
  <c r="H141" i="4"/>
  <c r="I141" i="4"/>
  <c r="J141" i="4"/>
  <c r="L141" i="4"/>
  <c r="F142" i="4"/>
  <c r="G142" i="4"/>
  <c r="H142" i="4"/>
  <c r="I142" i="4"/>
  <c r="J142" i="4"/>
  <c r="L142" i="4"/>
  <c r="F143" i="4"/>
  <c r="G143" i="4"/>
  <c r="H143" i="4"/>
  <c r="I143" i="4"/>
  <c r="J143" i="4"/>
  <c r="L143" i="4"/>
  <c r="F144" i="4"/>
  <c r="G144" i="4"/>
  <c r="H144" i="4"/>
  <c r="I144" i="4"/>
  <c r="J144" i="4"/>
  <c r="L144" i="4"/>
  <c r="F145" i="4"/>
  <c r="G145" i="4"/>
  <c r="H145" i="4"/>
  <c r="I145" i="4"/>
  <c r="J145" i="4"/>
  <c r="L145" i="4"/>
  <c r="F146" i="4"/>
  <c r="G146" i="4"/>
  <c r="H146" i="4"/>
  <c r="I146" i="4"/>
  <c r="J146" i="4"/>
  <c r="L146" i="4"/>
  <c r="F147" i="4"/>
  <c r="G147" i="4"/>
  <c r="H147" i="4"/>
  <c r="I147" i="4"/>
  <c r="J147" i="4"/>
  <c r="L147" i="4"/>
  <c r="F148" i="4"/>
  <c r="G148" i="4"/>
  <c r="H148" i="4"/>
  <c r="I148" i="4"/>
  <c r="J148" i="4"/>
  <c r="L148" i="4"/>
  <c r="F149" i="4"/>
  <c r="G149" i="4"/>
  <c r="H149" i="4"/>
  <c r="I149" i="4"/>
  <c r="J149" i="4"/>
  <c r="L149" i="4"/>
  <c r="F150" i="4"/>
  <c r="G150" i="4"/>
  <c r="H150" i="4"/>
  <c r="I150" i="4"/>
  <c r="J150" i="4"/>
  <c r="L150" i="4"/>
  <c r="F151" i="4"/>
  <c r="G151" i="4"/>
  <c r="H151" i="4"/>
  <c r="I151" i="4"/>
  <c r="J151" i="4"/>
  <c r="L151" i="4"/>
  <c r="F152" i="4"/>
  <c r="G152" i="4"/>
  <c r="H152" i="4"/>
  <c r="I152" i="4"/>
  <c r="J152" i="4"/>
  <c r="L152" i="4"/>
  <c r="F153" i="4"/>
  <c r="G153" i="4"/>
  <c r="H153" i="4"/>
  <c r="I153" i="4"/>
  <c r="J153" i="4"/>
  <c r="L153" i="4"/>
  <c r="F154" i="4"/>
  <c r="G154" i="4"/>
  <c r="H154" i="4"/>
  <c r="I154" i="4"/>
  <c r="J154" i="4"/>
  <c r="L154" i="4"/>
  <c r="F155" i="4"/>
  <c r="G155" i="4"/>
  <c r="H155" i="4"/>
  <c r="I155" i="4"/>
  <c r="J155" i="4"/>
  <c r="L155" i="4"/>
  <c r="F156" i="4"/>
  <c r="G156" i="4"/>
  <c r="H156" i="4"/>
  <c r="I156" i="4"/>
  <c r="J156" i="4"/>
  <c r="L156" i="4"/>
  <c r="F157" i="4"/>
  <c r="G157" i="4"/>
  <c r="H157" i="4"/>
  <c r="I157" i="4"/>
  <c r="J157" i="4"/>
  <c r="L157" i="4"/>
  <c r="F158" i="4"/>
  <c r="G158" i="4"/>
  <c r="H158" i="4"/>
  <c r="I158" i="4"/>
  <c r="J158" i="4"/>
  <c r="L158" i="4"/>
  <c r="F159" i="4"/>
  <c r="G159" i="4"/>
  <c r="H159" i="4"/>
  <c r="I159" i="4"/>
  <c r="J159" i="4"/>
  <c r="L159" i="4"/>
  <c r="F160" i="4"/>
  <c r="G160" i="4"/>
  <c r="H160" i="4"/>
  <c r="I160" i="4"/>
  <c r="J160" i="4"/>
  <c r="L160" i="4"/>
  <c r="F161" i="4"/>
  <c r="G161" i="4"/>
  <c r="H161" i="4"/>
  <c r="I161" i="4"/>
  <c r="J161" i="4"/>
  <c r="L161" i="4"/>
  <c r="F162" i="4"/>
  <c r="G162" i="4"/>
  <c r="H162" i="4"/>
  <c r="I162" i="4"/>
  <c r="J162" i="4"/>
  <c r="L162" i="4"/>
  <c r="F163" i="4"/>
  <c r="G163" i="4"/>
  <c r="H163" i="4"/>
  <c r="I163" i="4"/>
  <c r="J163" i="4"/>
  <c r="L163" i="4"/>
  <c r="F164" i="4"/>
  <c r="G164" i="4"/>
  <c r="H164" i="4"/>
  <c r="I164" i="4"/>
  <c r="J164" i="4"/>
  <c r="L164" i="4"/>
  <c r="F165" i="4"/>
  <c r="G165" i="4"/>
  <c r="H165" i="4"/>
  <c r="I165" i="4"/>
  <c r="J165" i="4"/>
  <c r="L165" i="4"/>
  <c r="F166" i="4"/>
  <c r="G166" i="4"/>
  <c r="H166" i="4"/>
  <c r="I166" i="4"/>
  <c r="J166" i="4"/>
  <c r="L166" i="4"/>
  <c r="F167" i="4"/>
  <c r="G167" i="4"/>
  <c r="H167" i="4"/>
  <c r="I167" i="4"/>
  <c r="J167" i="4"/>
  <c r="L167" i="4"/>
  <c r="F168" i="4"/>
  <c r="G168" i="4"/>
  <c r="H168" i="4"/>
  <c r="I168" i="4"/>
  <c r="J168" i="4"/>
  <c r="L168" i="4"/>
  <c r="F169" i="4"/>
  <c r="G169" i="4"/>
  <c r="H169" i="4"/>
  <c r="I169" i="4"/>
  <c r="J169" i="4"/>
  <c r="L169" i="4"/>
  <c r="F170" i="4"/>
  <c r="G170" i="4"/>
  <c r="H170" i="4"/>
  <c r="I170" i="4"/>
  <c r="J170" i="4"/>
  <c r="L170" i="4"/>
  <c r="F171" i="4"/>
  <c r="G171" i="4"/>
  <c r="H171" i="4"/>
  <c r="I171" i="4"/>
  <c r="J171" i="4"/>
  <c r="L171" i="4"/>
  <c r="F172" i="4"/>
  <c r="G172" i="4"/>
  <c r="H172" i="4"/>
  <c r="I172" i="4"/>
  <c r="J172" i="4"/>
  <c r="L172" i="4"/>
  <c r="F173" i="4"/>
  <c r="G173" i="4"/>
  <c r="H173" i="4"/>
  <c r="I173" i="4"/>
  <c r="J173" i="4"/>
  <c r="L173" i="4"/>
  <c r="F174" i="4"/>
  <c r="G174" i="4"/>
  <c r="H174" i="4"/>
  <c r="I174" i="4"/>
  <c r="J174" i="4"/>
  <c r="L174" i="4"/>
  <c r="F175" i="4"/>
  <c r="G175" i="4"/>
  <c r="H175" i="4"/>
  <c r="I175" i="4"/>
  <c r="J175" i="4"/>
  <c r="L175" i="4"/>
  <c r="F176" i="4"/>
  <c r="G176" i="4"/>
  <c r="H176" i="4"/>
  <c r="I176" i="4"/>
  <c r="J176" i="4"/>
  <c r="L176" i="4"/>
  <c r="F177" i="4"/>
  <c r="G177" i="4"/>
  <c r="H177" i="4"/>
  <c r="I177" i="4"/>
  <c r="J177" i="4"/>
  <c r="L177" i="4"/>
  <c r="F178" i="4"/>
  <c r="G178" i="4"/>
  <c r="H178" i="4"/>
  <c r="I178" i="4"/>
  <c r="J178" i="4"/>
  <c r="L178" i="4"/>
  <c r="F179" i="4"/>
  <c r="G179" i="4"/>
  <c r="H179" i="4"/>
  <c r="I179" i="4"/>
  <c r="J179" i="4"/>
  <c r="L179" i="4"/>
  <c r="F180" i="4"/>
  <c r="G180" i="4"/>
  <c r="H180" i="4"/>
  <c r="I180" i="4"/>
  <c r="J180" i="4"/>
  <c r="L180" i="4"/>
  <c r="F181" i="4"/>
  <c r="G181" i="4"/>
  <c r="H181" i="4"/>
  <c r="I181" i="4"/>
  <c r="J181" i="4"/>
  <c r="L181" i="4"/>
  <c r="F182" i="4"/>
  <c r="G182" i="4"/>
  <c r="H182" i="4"/>
  <c r="I182" i="4"/>
  <c r="J182" i="4"/>
  <c r="L182" i="4"/>
  <c r="F183" i="4"/>
  <c r="G183" i="4"/>
  <c r="H183" i="4"/>
  <c r="I183" i="4"/>
  <c r="J183" i="4"/>
  <c r="L183" i="4"/>
  <c r="F184" i="4"/>
  <c r="G184" i="4"/>
  <c r="H184" i="4"/>
  <c r="I184" i="4"/>
  <c r="J184" i="4"/>
  <c r="L184" i="4"/>
  <c r="F185" i="4"/>
  <c r="G185" i="4"/>
  <c r="H185" i="4"/>
  <c r="I185" i="4"/>
  <c r="J185" i="4"/>
  <c r="L185" i="4"/>
  <c r="F186" i="4"/>
  <c r="G186" i="4"/>
  <c r="H186" i="4"/>
  <c r="I186" i="4"/>
  <c r="J186" i="4"/>
  <c r="L186" i="4"/>
  <c r="F187" i="4"/>
  <c r="G187" i="4"/>
  <c r="H187" i="4"/>
  <c r="I187" i="4"/>
  <c r="J187" i="4"/>
  <c r="L187" i="4"/>
  <c r="F188" i="4"/>
  <c r="G188" i="4"/>
  <c r="H188" i="4"/>
  <c r="I188" i="4"/>
  <c r="J188" i="4"/>
  <c r="L188" i="4"/>
  <c r="F189" i="4"/>
  <c r="G189" i="4"/>
  <c r="H189" i="4"/>
  <c r="I189" i="4"/>
  <c r="J189" i="4"/>
  <c r="L189" i="4"/>
  <c r="F190" i="4"/>
  <c r="G190" i="4"/>
  <c r="H190" i="4"/>
  <c r="I190" i="4"/>
  <c r="J190" i="4"/>
  <c r="L190" i="4"/>
  <c r="F191" i="4"/>
  <c r="G191" i="4"/>
  <c r="H191" i="4"/>
  <c r="I191" i="4"/>
  <c r="J191" i="4"/>
  <c r="L191" i="4"/>
  <c r="F192" i="4"/>
  <c r="G192" i="4"/>
  <c r="H192" i="4"/>
  <c r="I192" i="4"/>
  <c r="J192" i="4"/>
  <c r="L192" i="4"/>
  <c r="F193" i="4"/>
  <c r="G193" i="4"/>
  <c r="H193" i="4"/>
  <c r="I193" i="4"/>
  <c r="J193" i="4"/>
  <c r="L193" i="4"/>
  <c r="F194" i="4"/>
  <c r="G194" i="4"/>
  <c r="H194" i="4"/>
  <c r="I194" i="4"/>
  <c r="J194" i="4"/>
  <c r="L194" i="4"/>
  <c r="F195" i="4"/>
  <c r="G195" i="4"/>
  <c r="H195" i="4"/>
  <c r="I195" i="4"/>
  <c r="J195" i="4"/>
  <c r="L195" i="4"/>
  <c r="F196" i="4"/>
  <c r="G196" i="4"/>
  <c r="H196" i="4"/>
  <c r="I196" i="4"/>
  <c r="J196" i="4"/>
  <c r="L196" i="4"/>
  <c r="F197" i="4"/>
  <c r="G197" i="4"/>
  <c r="H197" i="4"/>
  <c r="I197" i="4"/>
  <c r="J197" i="4"/>
  <c r="L197" i="4"/>
  <c r="F198" i="4"/>
  <c r="G198" i="4"/>
  <c r="H198" i="4"/>
  <c r="I198" i="4"/>
  <c r="J198" i="4"/>
  <c r="L198" i="4"/>
  <c r="F199" i="4"/>
  <c r="G199" i="4"/>
  <c r="H199" i="4"/>
  <c r="I199" i="4"/>
  <c r="J199" i="4"/>
  <c r="L199" i="4"/>
  <c r="F200" i="4"/>
  <c r="G200" i="4"/>
  <c r="H200" i="4"/>
  <c r="I200" i="4"/>
  <c r="J200" i="4"/>
  <c r="L200" i="4"/>
  <c r="F201" i="4"/>
  <c r="G201" i="4"/>
  <c r="H201" i="4"/>
  <c r="I201" i="4"/>
  <c r="J201" i="4"/>
  <c r="L201" i="4"/>
  <c r="F202" i="4"/>
  <c r="G202" i="4"/>
  <c r="H202" i="4"/>
  <c r="I202" i="4"/>
  <c r="J202" i="4"/>
  <c r="L202" i="4"/>
  <c r="F203" i="4"/>
  <c r="G203" i="4"/>
  <c r="H203" i="4"/>
  <c r="I203" i="4"/>
  <c r="J203" i="4"/>
  <c r="L203" i="4"/>
  <c r="F204" i="4"/>
  <c r="G204" i="4"/>
  <c r="H204" i="4"/>
  <c r="I204" i="4"/>
  <c r="J204" i="4"/>
  <c r="L204" i="4"/>
  <c r="F205" i="4"/>
  <c r="G205" i="4"/>
  <c r="H205" i="4"/>
  <c r="I205" i="4"/>
  <c r="J205" i="4"/>
  <c r="L205" i="4"/>
  <c r="F206" i="4"/>
  <c r="G206" i="4"/>
  <c r="H206" i="4"/>
  <c r="I206" i="4"/>
  <c r="J206" i="4"/>
  <c r="L206" i="4"/>
  <c r="F207" i="4"/>
  <c r="G207" i="4"/>
  <c r="H207" i="4"/>
  <c r="I207" i="4"/>
  <c r="J207" i="4"/>
  <c r="L207" i="4"/>
  <c r="F208" i="4"/>
  <c r="G208" i="4"/>
  <c r="H208" i="4"/>
  <c r="I208" i="4"/>
  <c r="J208" i="4"/>
  <c r="L208" i="4"/>
  <c r="F209" i="4"/>
  <c r="G209" i="4"/>
  <c r="H209" i="4"/>
  <c r="I209" i="4"/>
  <c r="J209" i="4"/>
  <c r="L209" i="4"/>
  <c r="F210" i="4"/>
  <c r="G210" i="4"/>
  <c r="H210" i="4"/>
  <c r="I210" i="4"/>
  <c r="J210" i="4"/>
  <c r="L210" i="4"/>
  <c r="F211" i="4"/>
  <c r="G211" i="4"/>
  <c r="H211" i="4"/>
  <c r="I211" i="4"/>
  <c r="J211" i="4"/>
  <c r="L211" i="4"/>
  <c r="F212" i="4"/>
  <c r="G212" i="4"/>
  <c r="H212" i="4"/>
  <c r="I212" i="4"/>
  <c r="J212" i="4"/>
  <c r="L212" i="4"/>
  <c r="F213" i="4"/>
  <c r="G213" i="4"/>
  <c r="H213" i="4"/>
  <c r="I213" i="4"/>
  <c r="J213" i="4"/>
  <c r="L213" i="4"/>
  <c r="F214" i="4"/>
  <c r="G214" i="4"/>
  <c r="H214" i="4"/>
  <c r="I214" i="4"/>
  <c r="J214" i="4"/>
  <c r="L214" i="4"/>
  <c r="F215" i="4"/>
  <c r="G215" i="4"/>
  <c r="H215" i="4"/>
  <c r="I215" i="4"/>
  <c r="J215" i="4"/>
  <c r="L215" i="4"/>
  <c r="F216" i="4"/>
  <c r="G216" i="4"/>
  <c r="H216" i="4"/>
  <c r="I216" i="4"/>
  <c r="J216" i="4"/>
  <c r="L216" i="4"/>
  <c r="F217" i="4"/>
  <c r="G217" i="4"/>
  <c r="H217" i="4"/>
  <c r="I217" i="4"/>
  <c r="J217" i="4"/>
  <c r="L217" i="4"/>
  <c r="F218" i="4"/>
  <c r="G218" i="4"/>
  <c r="H218" i="4"/>
  <c r="I218" i="4"/>
  <c r="J218" i="4"/>
  <c r="L218" i="4"/>
  <c r="F219" i="4"/>
  <c r="G219" i="4"/>
  <c r="H219" i="4"/>
  <c r="I219" i="4"/>
  <c r="J219" i="4"/>
  <c r="L219" i="4"/>
  <c r="F220" i="4"/>
  <c r="G220" i="4"/>
  <c r="H220" i="4"/>
  <c r="I220" i="4"/>
  <c r="J220" i="4"/>
  <c r="L220" i="4"/>
  <c r="F221" i="4"/>
  <c r="G221" i="4"/>
  <c r="H221" i="4"/>
  <c r="I221" i="4"/>
  <c r="J221" i="4"/>
  <c r="L221" i="4"/>
  <c r="F222" i="4"/>
  <c r="G222" i="4"/>
  <c r="H222" i="4"/>
  <c r="I222" i="4"/>
  <c r="J222" i="4"/>
  <c r="L222" i="4"/>
  <c r="F223" i="4"/>
  <c r="G223" i="4"/>
  <c r="H223" i="4"/>
  <c r="I223" i="4"/>
  <c r="J223" i="4"/>
  <c r="L223" i="4"/>
  <c r="F224" i="4"/>
  <c r="G224" i="4"/>
  <c r="H224" i="4"/>
  <c r="I224" i="4"/>
  <c r="J224" i="4"/>
  <c r="L224" i="4"/>
  <c r="F225" i="4"/>
  <c r="G225" i="4"/>
  <c r="H225" i="4"/>
  <c r="I225" i="4"/>
  <c r="J225" i="4"/>
  <c r="L225" i="4"/>
  <c r="F226" i="4"/>
  <c r="G226" i="4"/>
  <c r="H226" i="4"/>
  <c r="I226" i="4"/>
  <c r="J226" i="4"/>
  <c r="L226" i="4"/>
  <c r="F227" i="4"/>
  <c r="G227" i="4"/>
  <c r="H227" i="4"/>
  <c r="I227" i="4"/>
  <c r="J227" i="4"/>
  <c r="L227" i="4"/>
  <c r="F228" i="4"/>
  <c r="G228" i="4"/>
  <c r="H228" i="4"/>
  <c r="I228" i="4"/>
  <c r="J228" i="4"/>
  <c r="L228" i="4"/>
  <c r="F229" i="4"/>
  <c r="G229" i="4"/>
  <c r="H229" i="4"/>
  <c r="I229" i="4"/>
  <c r="J229" i="4"/>
  <c r="L229" i="4"/>
  <c r="F230" i="4"/>
  <c r="G230" i="4"/>
  <c r="H230" i="4"/>
  <c r="I230" i="4"/>
  <c r="J230" i="4"/>
  <c r="L230" i="4"/>
  <c r="F231" i="4"/>
  <c r="G231" i="4"/>
  <c r="H231" i="4"/>
  <c r="I231" i="4"/>
  <c r="J231" i="4"/>
  <c r="L231" i="4"/>
  <c r="F232" i="4"/>
  <c r="G232" i="4"/>
  <c r="H232" i="4"/>
  <c r="I232" i="4"/>
  <c r="J232" i="4"/>
  <c r="L232" i="4"/>
  <c r="F233" i="4"/>
  <c r="G233" i="4"/>
  <c r="H233" i="4"/>
  <c r="I233" i="4"/>
  <c r="J233" i="4"/>
  <c r="L233" i="4"/>
  <c r="F234" i="4"/>
  <c r="G234" i="4"/>
  <c r="H234" i="4"/>
  <c r="I234" i="4"/>
  <c r="J234" i="4"/>
  <c r="L234" i="4"/>
  <c r="F235" i="4"/>
  <c r="G235" i="4"/>
  <c r="H235" i="4"/>
  <c r="I235" i="4"/>
  <c r="J235" i="4"/>
  <c r="L235" i="4"/>
  <c r="F236" i="4"/>
  <c r="G236" i="4"/>
  <c r="H236" i="4"/>
  <c r="I236" i="4"/>
  <c r="J236" i="4"/>
  <c r="L236" i="4"/>
  <c r="F237" i="4"/>
  <c r="G237" i="4"/>
  <c r="H237" i="4"/>
  <c r="I237" i="4"/>
  <c r="J237" i="4"/>
  <c r="L237" i="4"/>
  <c r="F238" i="4"/>
  <c r="G238" i="4"/>
  <c r="H238" i="4"/>
  <c r="I238" i="4"/>
  <c r="J238" i="4"/>
  <c r="L238" i="4"/>
  <c r="F239" i="4"/>
  <c r="G239" i="4"/>
  <c r="H239" i="4"/>
  <c r="I239" i="4"/>
  <c r="J239" i="4"/>
  <c r="L239" i="4"/>
  <c r="F240" i="4"/>
  <c r="G240" i="4"/>
  <c r="H240" i="4"/>
  <c r="I240" i="4"/>
  <c r="J240" i="4"/>
  <c r="L240" i="4"/>
  <c r="F241" i="4"/>
  <c r="G241" i="4"/>
  <c r="H241" i="4"/>
  <c r="I241" i="4"/>
  <c r="J241" i="4"/>
  <c r="L241" i="4"/>
  <c r="F242" i="4"/>
  <c r="G242" i="4"/>
  <c r="H242" i="4"/>
  <c r="I242" i="4"/>
  <c r="J242" i="4"/>
  <c r="L242" i="4"/>
  <c r="F243" i="4"/>
  <c r="G243" i="4"/>
  <c r="H243" i="4"/>
  <c r="I243" i="4"/>
  <c r="J243" i="4"/>
  <c r="L243" i="4"/>
  <c r="F244" i="4"/>
  <c r="G244" i="4"/>
  <c r="H244" i="4"/>
  <c r="I244" i="4"/>
  <c r="J244" i="4"/>
  <c r="L244" i="4"/>
  <c r="F245" i="4"/>
  <c r="G245" i="4"/>
  <c r="H245" i="4"/>
  <c r="I245" i="4"/>
  <c r="J245" i="4"/>
  <c r="L245" i="4"/>
  <c r="F246" i="4"/>
  <c r="G246" i="4"/>
  <c r="H246" i="4"/>
  <c r="I246" i="4"/>
  <c r="J246" i="4"/>
  <c r="L246" i="4"/>
  <c r="F247" i="4"/>
  <c r="G247" i="4"/>
  <c r="H247" i="4"/>
  <c r="I247" i="4"/>
  <c r="J247" i="4"/>
  <c r="L247" i="4"/>
  <c r="F248" i="4"/>
  <c r="G248" i="4"/>
  <c r="H248" i="4"/>
  <c r="I248" i="4"/>
  <c r="J248" i="4"/>
  <c r="L248" i="4"/>
  <c r="F249" i="4"/>
  <c r="G249" i="4"/>
  <c r="H249" i="4"/>
  <c r="I249" i="4"/>
  <c r="J249" i="4"/>
  <c r="L249" i="4"/>
  <c r="F250" i="4"/>
  <c r="G250" i="4"/>
  <c r="H250" i="4"/>
  <c r="I250" i="4"/>
  <c r="J250" i="4"/>
  <c r="L250" i="4"/>
  <c r="F251" i="4"/>
  <c r="G251" i="4"/>
  <c r="H251" i="4"/>
  <c r="I251" i="4"/>
  <c r="J251" i="4"/>
  <c r="L251" i="4"/>
  <c r="F252" i="4"/>
  <c r="G252" i="4"/>
  <c r="H252" i="4"/>
  <c r="I252" i="4"/>
  <c r="J252" i="4"/>
  <c r="L252" i="4"/>
  <c r="F253" i="4"/>
  <c r="G253" i="4"/>
  <c r="H253" i="4"/>
  <c r="I253" i="4"/>
  <c r="J253" i="4"/>
  <c r="L253" i="4"/>
  <c r="F254" i="4"/>
  <c r="G254" i="4"/>
  <c r="H254" i="4"/>
  <c r="I254" i="4"/>
  <c r="J254" i="4"/>
  <c r="L254" i="4"/>
  <c r="F255" i="4"/>
  <c r="G255" i="4"/>
  <c r="H255" i="4"/>
  <c r="I255" i="4"/>
  <c r="J255" i="4"/>
  <c r="L255" i="4"/>
  <c r="F256" i="4"/>
  <c r="G256" i="4"/>
  <c r="H256" i="4"/>
  <c r="I256" i="4"/>
  <c r="J256" i="4"/>
  <c r="L256" i="4"/>
  <c r="F257" i="4"/>
  <c r="G257" i="4"/>
  <c r="H257" i="4"/>
  <c r="I257" i="4"/>
  <c r="J257" i="4"/>
  <c r="L257" i="4"/>
  <c r="F258" i="4"/>
  <c r="G258" i="4"/>
  <c r="H258" i="4"/>
  <c r="I258" i="4"/>
  <c r="J258" i="4"/>
  <c r="L258" i="4"/>
  <c r="F259" i="4"/>
  <c r="G259" i="4"/>
  <c r="H259" i="4"/>
  <c r="I259" i="4"/>
  <c r="J259" i="4"/>
  <c r="L259" i="4"/>
  <c r="F260" i="4"/>
  <c r="G260" i="4"/>
  <c r="H260" i="4"/>
  <c r="I260" i="4"/>
  <c r="J260" i="4"/>
  <c r="L260" i="4"/>
  <c r="F261" i="4"/>
  <c r="G261" i="4"/>
  <c r="H261" i="4"/>
  <c r="I261" i="4"/>
  <c r="J261" i="4"/>
  <c r="L261" i="4"/>
  <c r="F262" i="4"/>
  <c r="G262" i="4"/>
  <c r="H262" i="4"/>
  <c r="I262" i="4"/>
  <c r="J262" i="4"/>
  <c r="L262" i="4"/>
  <c r="F263" i="4"/>
  <c r="G263" i="4"/>
  <c r="H263" i="4"/>
  <c r="I263" i="4"/>
  <c r="J263" i="4"/>
  <c r="L263" i="4"/>
  <c r="F264" i="4"/>
  <c r="G264" i="4"/>
  <c r="H264" i="4"/>
  <c r="I264" i="4"/>
  <c r="J264" i="4"/>
  <c r="L264" i="4"/>
  <c r="F265" i="4"/>
  <c r="G265" i="4"/>
  <c r="H265" i="4"/>
  <c r="I265" i="4"/>
  <c r="J265" i="4"/>
  <c r="L265" i="4"/>
  <c r="F266" i="4"/>
  <c r="G266" i="4"/>
  <c r="H266" i="4"/>
  <c r="I266" i="4"/>
  <c r="J266" i="4"/>
  <c r="L266" i="4"/>
  <c r="F267" i="4"/>
  <c r="G267" i="4"/>
  <c r="H267" i="4"/>
  <c r="I267" i="4"/>
  <c r="J267" i="4"/>
  <c r="L267" i="4"/>
  <c r="F268" i="4"/>
  <c r="G268" i="4"/>
  <c r="H268" i="4"/>
  <c r="I268" i="4"/>
  <c r="J268" i="4"/>
  <c r="L268" i="4"/>
  <c r="F269" i="4"/>
  <c r="G269" i="4"/>
  <c r="H269" i="4"/>
  <c r="I269" i="4"/>
  <c r="J269" i="4"/>
  <c r="L269" i="4"/>
  <c r="F270" i="4"/>
  <c r="G270" i="4"/>
  <c r="H270" i="4"/>
  <c r="I270" i="4"/>
  <c r="J270" i="4"/>
  <c r="L270" i="4"/>
  <c r="F271" i="4"/>
  <c r="G271" i="4"/>
  <c r="H271" i="4"/>
  <c r="I271" i="4"/>
  <c r="J271" i="4"/>
  <c r="L271" i="4"/>
  <c r="F272" i="4"/>
  <c r="G272" i="4"/>
  <c r="H272" i="4"/>
  <c r="I272" i="4"/>
  <c r="J272" i="4"/>
  <c r="L272" i="4"/>
  <c r="F273" i="4"/>
  <c r="G273" i="4"/>
  <c r="H273" i="4"/>
  <c r="I273" i="4"/>
  <c r="J273" i="4"/>
  <c r="L273" i="4"/>
  <c r="F274" i="4"/>
  <c r="G274" i="4"/>
  <c r="H274" i="4"/>
  <c r="I274" i="4"/>
  <c r="J274" i="4"/>
  <c r="L274" i="4"/>
  <c r="F275" i="4"/>
  <c r="G275" i="4"/>
  <c r="H275" i="4"/>
  <c r="I275" i="4"/>
  <c r="J275" i="4"/>
  <c r="L275" i="4"/>
  <c r="F276" i="4"/>
  <c r="G276" i="4"/>
  <c r="H276" i="4"/>
  <c r="I276" i="4"/>
  <c r="J276" i="4"/>
  <c r="L276" i="4"/>
  <c r="F277" i="4"/>
  <c r="G277" i="4"/>
  <c r="H277" i="4"/>
  <c r="I277" i="4"/>
  <c r="J277" i="4"/>
  <c r="L277" i="4"/>
  <c r="F278" i="4"/>
  <c r="G278" i="4"/>
  <c r="H278" i="4"/>
  <c r="I278" i="4"/>
  <c r="J278" i="4"/>
  <c r="L278" i="4"/>
  <c r="F279" i="4"/>
  <c r="G279" i="4"/>
  <c r="H279" i="4"/>
  <c r="I279" i="4"/>
  <c r="J279" i="4"/>
  <c r="L279" i="4"/>
  <c r="F280" i="4"/>
  <c r="G280" i="4"/>
  <c r="H280" i="4"/>
  <c r="I280" i="4"/>
  <c r="J280" i="4"/>
  <c r="L280" i="4"/>
  <c r="F281" i="4"/>
  <c r="G281" i="4"/>
  <c r="H281" i="4"/>
  <c r="I281" i="4"/>
  <c r="J281" i="4"/>
  <c r="L281" i="4"/>
  <c r="F282" i="4"/>
  <c r="G282" i="4"/>
  <c r="H282" i="4"/>
  <c r="I282" i="4"/>
  <c r="J282" i="4"/>
  <c r="L282" i="4"/>
  <c r="F283" i="4"/>
  <c r="G283" i="4"/>
  <c r="H283" i="4"/>
  <c r="I283" i="4"/>
  <c r="J283" i="4"/>
  <c r="L283" i="4"/>
  <c r="F284" i="4"/>
  <c r="G284" i="4"/>
  <c r="H284" i="4"/>
  <c r="I284" i="4"/>
  <c r="J284" i="4"/>
  <c r="L284" i="4"/>
  <c r="F285" i="4"/>
  <c r="G285" i="4"/>
  <c r="H285" i="4"/>
  <c r="I285" i="4"/>
  <c r="J285" i="4"/>
  <c r="L285" i="4"/>
  <c r="F286" i="4"/>
  <c r="G286" i="4"/>
  <c r="H286" i="4"/>
  <c r="I286" i="4"/>
  <c r="J286" i="4"/>
  <c r="L286" i="4"/>
  <c r="F287" i="4"/>
  <c r="G287" i="4"/>
  <c r="H287" i="4"/>
  <c r="I287" i="4"/>
  <c r="J287" i="4"/>
  <c r="L287" i="4"/>
  <c r="F288" i="4"/>
  <c r="G288" i="4"/>
  <c r="H288" i="4"/>
  <c r="I288" i="4"/>
  <c r="J288" i="4"/>
  <c r="L288" i="4"/>
  <c r="F289" i="4"/>
  <c r="G289" i="4"/>
  <c r="H289" i="4"/>
  <c r="I289" i="4"/>
  <c r="J289" i="4"/>
  <c r="L289" i="4"/>
  <c r="F290" i="4"/>
  <c r="G290" i="4"/>
  <c r="H290" i="4"/>
  <c r="I290" i="4"/>
  <c r="J290" i="4"/>
  <c r="L290" i="4"/>
  <c r="F291" i="4"/>
  <c r="G291" i="4"/>
  <c r="H291" i="4"/>
  <c r="I291" i="4"/>
  <c r="J291" i="4"/>
  <c r="L291" i="4"/>
  <c r="F292" i="4"/>
  <c r="G292" i="4"/>
  <c r="H292" i="4"/>
  <c r="I292" i="4"/>
  <c r="J292" i="4"/>
  <c r="L292" i="4"/>
  <c r="F293" i="4"/>
  <c r="G293" i="4"/>
  <c r="H293" i="4"/>
  <c r="I293" i="4"/>
  <c r="J293" i="4"/>
  <c r="L293" i="4"/>
  <c r="F294" i="4"/>
  <c r="G294" i="4"/>
  <c r="H294" i="4"/>
  <c r="I294" i="4"/>
  <c r="J294" i="4"/>
  <c r="L294" i="4"/>
  <c r="F295" i="4"/>
  <c r="G295" i="4"/>
  <c r="H295" i="4"/>
  <c r="I295" i="4"/>
  <c r="J295" i="4"/>
  <c r="L295" i="4"/>
  <c r="F296" i="4"/>
  <c r="G296" i="4"/>
  <c r="H296" i="4"/>
  <c r="I296" i="4"/>
  <c r="J296" i="4"/>
  <c r="L296" i="4"/>
  <c r="F297" i="4"/>
  <c r="G297" i="4"/>
  <c r="H297" i="4"/>
  <c r="I297" i="4"/>
  <c r="J297" i="4"/>
  <c r="L297" i="4"/>
  <c r="F298" i="4"/>
  <c r="G298" i="4"/>
  <c r="H298" i="4"/>
  <c r="I298" i="4"/>
  <c r="J298" i="4"/>
  <c r="L298" i="4"/>
  <c r="F299" i="4"/>
  <c r="G299" i="4"/>
  <c r="H299" i="4"/>
  <c r="I299" i="4"/>
  <c r="J299" i="4"/>
  <c r="L299" i="4"/>
  <c r="F300" i="4"/>
  <c r="G300" i="4"/>
  <c r="H300" i="4"/>
  <c r="I300" i="4"/>
  <c r="J300" i="4"/>
  <c r="L300" i="4"/>
  <c r="F301" i="4"/>
  <c r="G301" i="4"/>
  <c r="H301" i="4"/>
  <c r="I301" i="4"/>
  <c r="J301" i="4"/>
  <c r="L301" i="4"/>
  <c r="F302" i="4"/>
  <c r="G302" i="4"/>
  <c r="H302" i="4"/>
  <c r="I302" i="4"/>
  <c r="J302" i="4"/>
  <c r="L302" i="4"/>
  <c r="F303" i="4"/>
  <c r="G303" i="4"/>
  <c r="H303" i="4"/>
  <c r="I303" i="4"/>
  <c r="J303" i="4"/>
  <c r="L303" i="4"/>
  <c r="F304" i="4"/>
  <c r="G304" i="4"/>
  <c r="H304" i="4"/>
  <c r="I304" i="4"/>
  <c r="J304" i="4"/>
  <c r="L304" i="4"/>
  <c r="F305" i="4"/>
  <c r="G305" i="4"/>
  <c r="H305" i="4"/>
  <c r="I305" i="4"/>
  <c r="J305" i="4"/>
  <c r="L305" i="4"/>
  <c r="F306" i="4"/>
  <c r="G306" i="4"/>
  <c r="H306" i="4"/>
  <c r="I306" i="4"/>
  <c r="J306" i="4"/>
  <c r="L306" i="4"/>
  <c r="F307" i="4"/>
  <c r="G307" i="4"/>
  <c r="H307" i="4"/>
  <c r="I307" i="4"/>
  <c r="J307" i="4"/>
  <c r="L307" i="4"/>
  <c r="F308" i="4"/>
  <c r="G308" i="4"/>
  <c r="H308" i="4"/>
  <c r="I308" i="4"/>
  <c r="J308" i="4"/>
  <c r="L308" i="4"/>
  <c r="F309" i="4"/>
  <c r="G309" i="4"/>
  <c r="H309" i="4"/>
  <c r="I309" i="4"/>
  <c r="J309" i="4"/>
  <c r="L309" i="4"/>
  <c r="F310" i="4"/>
  <c r="G310" i="4"/>
  <c r="H310" i="4"/>
  <c r="I310" i="4"/>
  <c r="J310" i="4"/>
  <c r="L310" i="4"/>
  <c r="F311" i="4"/>
  <c r="G311" i="4"/>
  <c r="H311" i="4"/>
  <c r="I311" i="4"/>
  <c r="J311" i="4"/>
  <c r="L311" i="4"/>
  <c r="F312" i="4"/>
  <c r="G312" i="4"/>
  <c r="H312" i="4"/>
  <c r="I312" i="4"/>
  <c r="J312" i="4"/>
  <c r="L312" i="4"/>
  <c r="F313" i="4"/>
  <c r="G313" i="4"/>
  <c r="H313" i="4"/>
  <c r="I313" i="4"/>
  <c r="J313" i="4"/>
  <c r="L313" i="4"/>
  <c r="F314" i="4"/>
  <c r="G314" i="4"/>
  <c r="H314" i="4"/>
  <c r="I314" i="4"/>
  <c r="J314" i="4"/>
  <c r="L314" i="4"/>
  <c r="F315" i="4"/>
  <c r="G315" i="4"/>
  <c r="H315" i="4"/>
  <c r="I315" i="4"/>
  <c r="J315" i="4"/>
  <c r="L315" i="4"/>
  <c r="F316" i="4"/>
  <c r="G316" i="4"/>
  <c r="H316" i="4"/>
  <c r="I316" i="4"/>
  <c r="J316" i="4"/>
  <c r="L316" i="4"/>
  <c r="F317" i="4"/>
  <c r="G317" i="4"/>
  <c r="H317" i="4"/>
  <c r="I317" i="4"/>
  <c r="J317" i="4"/>
  <c r="L317" i="4"/>
  <c r="F318" i="4"/>
  <c r="G318" i="4"/>
  <c r="H318" i="4"/>
  <c r="I318" i="4"/>
  <c r="J318" i="4"/>
  <c r="L318" i="4"/>
  <c r="F319" i="4"/>
  <c r="G319" i="4"/>
  <c r="H319" i="4"/>
  <c r="I319" i="4"/>
  <c r="J319" i="4"/>
  <c r="L319" i="4"/>
  <c r="F320" i="4"/>
  <c r="G320" i="4"/>
  <c r="H320" i="4"/>
  <c r="I320" i="4"/>
  <c r="J320" i="4"/>
  <c r="L320" i="4"/>
  <c r="F321" i="4"/>
  <c r="G321" i="4"/>
  <c r="H321" i="4"/>
  <c r="I321" i="4"/>
  <c r="J321" i="4"/>
  <c r="L321" i="4"/>
  <c r="F322" i="4"/>
  <c r="G322" i="4"/>
  <c r="H322" i="4"/>
  <c r="I322" i="4"/>
  <c r="J322" i="4"/>
  <c r="L322" i="4"/>
  <c r="F323" i="4"/>
  <c r="G323" i="4"/>
  <c r="H323" i="4"/>
  <c r="I323" i="4"/>
  <c r="J323" i="4"/>
  <c r="L323" i="4"/>
  <c r="F324" i="4"/>
  <c r="G324" i="4"/>
  <c r="H324" i="4"/>
  <c r="I324" i="4"/>
  <c r="J324" i="4"/>
  <c r="L324" i="4"/>
  <c r="F325" i="4"/>
  <c r="G325" i="4"/>
  <c r="H325" i="4"/>
  <c r="I325" i="4"/>
  <c r="J325" i="4"/>
  <c r="L325" i="4"/>
  <c r="F326" i="4"/>
  <c r="G326" i="4"/>
  <c r="H326" i="4"/>
  <c r="I326" i="4"/>
  <c r="J326" i="4"/>
  <c r="L326" i="4"/>
  <c r="F327" i="4"/>
  <c r="G327" i="4"/>
  <c r="H327" i="4"/>
  <c r="I327" i="4"/>
  <c r="J327" i="4"/>
  <c r="L327" i="4"/>
  <c r="F328" i="4"/>
  <c r="G328" i="4"/>
  <c r="H328" i="4"/>
  <c r="I328" i="4"/>
  <c r="J328" i="4"/>
  <c r="L328" i="4"/>
  <c r="F329" i="4"/>
  <c r="G329" i="4"/>
  <c r="H329" i="4"/>
  <c r="I329" i="4"/>
  <c r="J329" i="4"/>
  <c r="L329" i="4"/>
  <c r="F330" i="4"/>
  <c r="G330" i="4"/>
  <c r="H330" i="4"/>
  <c r="I330" i="4"/>
  <c r="J330" i="4"/>
  <c r="L330" i="4"/>
  <c r="F331" i="4"/>
  <c r="G331" i="4"/>
  <c r="H331" i="4"/>
  <c r="I331" i="4"/>
  <c r="J331" i="4"/>
  <c r="L331" i="4"/>
  <c r="F332" i="4"/>
  <c r="G332" i="4"/>
  <c r="H332" i="4"/>
  <c r="I332" i="4"/>
  <c r="J332" i="4"/>
  <c r="L332" i="4"/>
  <c r="F333" i="4"/>
  <c r="G333" i="4"/>
  <c r="H333" i="4"/>
  <c r="I333" i="4"/>
  <c r="J333" i="4"/>
  <c r="L333" i="4"/>
  <c r="F334" i="4"/>
  <c r="G334" i="4"/>
  <c r="H334" i="4"/>
  <c r="I334" i="4"/>
  <c r="J334" i="4"/>
  <c r="L334" i="4"/>
  <c r="F335" i="4"/>
  <c r="G335" i="4"/>
  <c r="H335" i="4"/>
  <c r="I335" i="4"/>
  <c r="J335" i="4"/>
  <c r="L335" i="4"/>
  <c r="F336" i="4"/>
  <c r="G336" i="4"/>
  <c r="H336" i="4"/>
  <c r="I336" i="4"/>
  <c r="J336" i="4"/>
  <c r="L336" i="4"/>
  <c r="F337" i="4"/>
  <c r="G337" i="4"/>
  <c r="H337" i="4"/>
  <c r="I337" i="4"/>
  <c r="J337" i="4"/>
  <c r="L337" i="4"/>
  <c r="F338" i="4"/>
  <c r="G338" i="4"/>
  <c r="H338" i="4"/>
  <c r="I338" i="4"/>
  <c r="J338" i="4"/>
  <c r="L338" i="4"/>
  <c r="F339" i="4"/>
  <c r="G339" i="4"/>
  <c r="H339" i="4"/>
  <c r="I339" i="4"/>
  <c r="J339" i="4"/>
  <c r="L339" i="4"/>
  <c r="F340" i="4"/>
  <c r="G340" i="4"/>
  <c r="H340" i="4"/>
  <c r="I340" i="4"/>
  <c r="J340" i="4"/>
  <c r="L340" i="4"/>
  <c r="F341" i="4"/>
  <c r="G341" i="4"/>
  <c r="H341" i="4"/>
  <c r="I341" i="4"/>
  <c r="J341" i="4"/>
  <c r="L341" i="4"/>
  <c r="F342" i="4"/>
  <c r="G342" i="4"/>
  <c r="H342" i="4"/>
  <c r="I342" i="4"/>
  <c r="J342" i="4"/>
  <c r="L342" i="4"/>
  <c r="F343" i="4"/>
  <c r="G343" i="4"/>
  <c r="H343" i="4"/>
  <c r="I343" i="4"/>
  <c r="J343" i="4"/>
  <c r="L343" i="4"/>
  <c r="F344" i="4"/>
  <c r="G344" i="4"/>
  <c r="H344" i="4"/>
  <c r="I344" i="4"/>
  <c r="J344" i="4"/>
  <c r="L344" i="4"/>
  <c r="F345" i="4"/>
  <c r="G345" i="4"/>
  <c r="H345" i="4"/>
  <c r="I345" i="4"/>
  <c r="J345" i="4"/>
  <c r="L345" i="4"/>
  <c r="F346" i="4"/>
  <c r="G346" i="4"/>
  <c r="H346" i="4"/>
  <c r="I346" i="4"/>
  <c r="J346" i="4"/>
  <c r="L346" i="4"/>
  <c r="F347" i="4"/>
  <c r="G347" i="4"/>
  <c r="H347" i="4"/>
  <c r="I347" i="4"/>
  <c r="J347" i="4"/>
  <c r="L347" i="4"/>
  <c r="F348" i="4"/>
  <c r="G348" i="4"/>
  <c r="H348" i="4"/>
  <c r="I348" i="4"/>
  <c r="J348" i="4"/>
  <c r="L348" i="4"/>
  <c r="F349" i="4"/>
  <c r="G349" i="4"/>
  <c r="H349" i="4"/>
  <c r="I349" i="4"/>
  <c r="J349" i="4"/>
  <c r="L349" i="4"/>
  <c r="F350" i="4"/>
  <c r="G350" i="4"/>
  <c r="H350" i="4"/>
  <c r="I350" i="4"/>
  <c r="J350" i="4"/>
  <c r="L350" i="4"/>
  <c r="F351" i="4"/>
  <c r="G351" i="4"/>
  <c r="H351" i="4"/>
  <c r="I351" i="4"/>
  <c r="J351" i="4"/>
  <c r="L351" i="4"/>
  <c r="F352" i="4"/>
  <c r="G352" i="4"/>
  <c r="H352" i="4"/>
  <c r="I352" i="4"/>
  <c r="J352" i="4"/>
  <c r="L352" i="4"/>
  <c r="F353" i="4"/>
  <c r="G353" i="4"/>
  <c r="H353" i="4"/>
  <c r="I353" i="4"/>
  <c r="J353" i="4"/>
  <c r="L353" i="4"/>
  <c r="F354" i="4"/>
  <c r="G354" i="4"/>
  <c r="H354" i="4"/>
  <c r="I354" i="4"/>
  <c r="J354" i="4"/>
  <c r="L354" i="4"/>
  <c r="F355" i="4"/>
  <c r="G355" i="4"/>
  <c r="H355" i="4"/>
  <c r="I355" i="4"/>
  <c r="J355" i="4"/>
  <c r="L355" i="4"/>
  <c r="F356" i="4"/>
  <c r="G356" i="4"/>
  <c r="H356" i="4"/>
  <c r="I356" i="4"/>
  <c r="J356" i="4"/>
  <c r="L356" i="4"/>
  <c r="F357" i="4"/>
  <c r="G357" i="4"/>
  <c r="H357" i="4"/>
  <c r="I357" i="4"/>
  <c r="J357" i="4"/>
  <c r="L357" i="4"/>
  <c r="F358" i="4"/>
  <c r="G358" i="4"/>
  <c r="H358" i="4"/>
  <c r="I358" i="4"/>
  <c r="J358" i="4"/>
  <c r="L358" i="4"/>
  <c r="F359" i="4"/>
  <c r="G359" i="4"/>
  <c r="H359" i="4"/>
  <c r="I359" i="4"/>
  <c r="J359" i="4"/>
  <c r="L359" i="4"/>
  <c r="F360" i="4"/>
  <c r="G360" i="4"/>
  <c r="H360" i="4"/>
  <c r="I360" i="4"/>
  <c r="J360" i="4"/>
  <c r="L360" i="4"/>
  <c r="F361" i="4"/>
  <c r="G361" i="4"/>
  <c r="H361" i="4"/>
  <c r="I361" i="4"/>
  <c r="J361" i="4"/>
  <c r="L361" i="4"/>
  <c r="F362" i="4"/>
  <c r="G362" i="4"/>
  <c r="H362" i="4"/>
  <c r="I362" i="4"/>
  <c r="J362" i="4"/>
  <c r="L362" i="4"/>
  <c r="F363" i="4"/>
  <c r="G363" i="4"/>
  <c r="H363" i="4"/>
  <c r="I363" i="4"/>
  <c r="J363" i="4"/>
  <c r="L363" i="4"/>
  <c r="F364" i="4"/>
  <c r="G364" i="4"/>
  <c r="H364" i="4"/>
  <c r="I364" i="4"/>
  <c r="J364" i="4"/>
  <c r="L364" i="4"/>
  <c r="F365" i="4"/>
  <c r="G365" i="4"/>
  <c r="H365" i="4"/>
  <c r="I365" i="4"/>
  <c r="J365" i="4"/>
  <c r="L365" i="4"/>
  <c r="F366" i="4"/>
  <c r="G366" i="4"/>
  <c r="H366" i="4"/>
  <c r="I366" i="4"/>
  <c r="J366" i="4"/>
  <c r="L366" i="4"/>
  <c r="F367" i="4"/>
  <c r="G367" i="4"/>
  <c r="H367" i="4"/>
  <c r="I367" i="4"/>
  <c r="J367" i="4"/>
  <c r="L367" i="4"/>
  <c r="F368" i="4"/>
  <c r="G368" i="4"/>
  <c r="H368" i="4"/>
  <c r="I368" i="4"/>
  <c r="J368" i="4"/>
  <c r="L368" i="4"/>
  <c r="F369" i="4"/>
  <c r="G369" i="4"/>
  <c r="H369" i="4"/>
  <c r="I369" i="4"/>
  <c r="J369" i="4"/>
  <c r="L369" i="4"/>
  <c r="F370" i="4"/>
  <c r="G370" i="4"/>
  <c r="H370" i="4"/>
  <c r="I370" i="4"/>
  <c r="J370" i="4"/>
  <c r="L370" i="4"/>
  <c r="F371" i="4"/>
  <c r="G371" i="4"/>
  <c r="H371" i="4"/>
  <c r="I371" i="4"/>
  <c r="J371" i="4"/>
  <c r="L371" i="4"/>
  <c r="F372" i="4"/>
  <c r="G372" i="4"/>
  <c r="H372" i="4"/>
  <c r="I372" i="4"/>
  <c r="J372" i="4"/>
  <c r="L372" i="4"/>
  <c r="F373" i="4"/>
  <c r="G373" i="4"/>
  <c r="H373" i="4"/>
  <c r="I373" i="4"/>
  <c r="J373" i="4"/>
  <c r="L373" i="4"/>
  <c r="F374" i="4"/>
  <c r="G374" i="4"/>
  <c r="H374" i="4"/>
  <c r="I374" i="4"/>
  <c r="J374" i="4"/>
  <c r="L374" i="4"/>
  <c r="F375" i="4"/>
  <c r="G375" i="4"/>
  <c r="H375" i="4"/>
  <c r="I375" i="4"/>
  <c r="J375" i="4"/>
  <c r="L375" i="4"/>
  <c r="F376" i="4"/>
  <c r="G376" i="4"/>
  <c r="H376" i="4"/>
  <c r="I376" i="4"/>
  <c r="J376" i="4"/>
  <c r="L376" i="4"/>
  <c r="F377" i="4"/>
  <c r="G377" i="4"/>
  <c r="H377" i="4"/>
  <c r="I377" i="4"/>
  <c r="J377" i="4"/>
  <c r="L377" i="4"/>
  <c r="F378" i="4"/>
  <c r="G378" i="4"/>
  <c r="H378" i="4"/>
  <c r="I378" i="4"/>
  <c r="J378" i="4"/>
  <c r="L378" i="4"/>
  <c r="F379" i="4"/>
  <c r="G379" i="4"/>
  <c r="H379" i="4"/>
  <c r="I379" i="4"/>
  <c r="J379" i="4"/>
  <c r="L379" i="4"/>
  <c r="F380" i="4"/>
  <c r="G380" i="4"/>
  <c r="H380" i="4"/>
  <c r="I380" i="4"/>
  <c r="J380" i="4"/>
  <c r="L380" i="4"/>
  <c r="F381" i="4"/>
  <c r="G381" i="4"/>
  <c r="H381" i="4"/>
  <c r="I381" i="4"/>
  <c r="J381" i="4"/>
  <c r="L381" i="4"/>
  <c r="F382" i="4"/>
  <c r="G382" i="4"/>
  <c r="H382" i="4"/>
  <c r="I382" i="4"/>
  <c r="J382" i="4"/>
  <c r="L382" i="4"/>
  <c r="F383" i="4"/>
  <c r="G383" i="4"/>
  <c r="H383" i="4"/>
  <c r="I383" i="4"/>
  <c r="J383" i="4"/>
  <c r="L383" i="4"/>
  <c r="F384" i="4"/>
  <c r="G384" i="4"/>
  <c r="H384" i="4"/>
  <c r="I384" i="4"/>
  <c r="J384" i="4"/>
  <c r="L384" i="4"/>
  <c r="F385" i="4"/>
  <c r="G385" i="4"/>
  <c r="H385" i="4"/>
  <c r="I385" i="4"/>
  <c r="J385" i="4"/>
  <c r="L385" i="4"/>
  <c r="F386" i="4"/>
  <c r="G386" i="4"/>
  <c r="H386" i="4"/>
  <c r="I386" i="4"/>
  <c r="J386" i="4"/>
  <c r="L386" i="4"/>
  <c r="F387" i="4"/>
  <c r="G387" i="4"/>
  <c r="H387" i="4"/>
  <c r="I387" i="4"/>
  <c r="J387" i="4"/>
  <c r="L387" i="4"/>
  <c r="F388" i="4"/>
  <c r="G388" i="4"/>
  <c r="H388" i="4"/>
  <c r="I388" i="4"/>
  <c r="J388" i="4"/>
  <c r="L388" i="4"/>
  <c r="F389" i="4"/>
  <c r="G389" i="4"/>
  <c r="H389" i="4"/>
  <c r="I389" i="4"/>
  <c r="J389" i="4"/>
  <c r="L389" i="4"/>
  <c r="F390" i="4"/>
  <c r="G390" i="4"/>
  <c r="H390" i="4"/>
  <c r="I390" i="4"/>
  <c r="J390" i="4"/>
  <c r="L390" i="4"/>
  <c r="F391" i="4"/>
  <c r="G391" i="4"/>
  <c r="H391" i="4"/>
  <c r="I391" i="4"/>
  <c r="J391" i="4"/>
  <c r="L391" i="4"/>
  <c r="F392" i="4"/>
  <c r="G392" i="4"/>
  <c r="H392" i="4"/>
  <c r="I392" i="4"/>
  <c r="J392" i="4"/>
  <c r="L392" i="4"/>
  <c r="F393" i="4"/>
  <c r="G393" i="4"/>
  <c r="H393" i="4"/>
  <c r="I393" i="4"/>
  <c r="J393" i="4"/>
  <c r="L393" i="4"/>
  <c r="F394" i="4"/>
  <c r="G394" i="4"/>
  <c r="H394" i="4"/>
  <c r="I394" i="4"/>
  <c r="J394" i="4"/>
  <c r="L394" i="4"/>
  <c r="F395" i="4"/>
  <c r="G395" i="4"/>
  <c r="H395" i="4"/>
  <c r="I395" i="4"/>
  <c r="J395" i="4"/>
  <c r="L395" i="4"/>
  <c r="F396" i="4"/>
  <c r="G396" i="4"/>
  <c r="H396" i="4"/>
  <c r="I396" i="4"/>
  <c r="J396" i="4"/>
  <c r="L396" i="4"/>
  <c r="F397" i="4"/>
  <c r="G397" i="4"/>
  <c r="H397" i="4"/>
  <c r="I397" i="4"/>
  <c r="J397" i="4"/>
  <c r="L397" i="4"/>
  <c r="F398" i="4"/>
  <c r="G398" i="4"/>
  <c r="H398" i="4"/>
  <c r="I398" i="4"/>
  <c r="J398" i="4"/>
  <c r="L398" i="4"/>
  <c r="F399" i="4"/>
  <c r="G399" i="4"/>
  <c r="H399" i="4"/>
  <c r="I399" i="4"/>
  <c r="J399" i="4"/>
  <c r="L399" i="4"/>
  <c r="F400" i="4"/>
  <c r="G400" i="4"/>
  <c r="H400" i="4"/>
  <c r="I400" i="4"/>
  <c r="J400" i="4"/>
  <c r="L400" i="4"/>
  <c r="F401" i="4"/>
  <c r="G401" i="4"/>
  <c r="H401" i="4"/>
  <c r="I401" i="4"/>
  <c r="J401" i="4"/>
  <c r="L401" i="4"/>
  <c r="F402" i="4"/>
  <c r="G402" i="4"/>
  <c r="H402" i="4"/>
  <c r="I402" i="4"/>
  <c r="J402" i="4"/>
  <c r="L402" i="4"/>
  <c r="F403" i="4"/>
  <c r="G403" i="4"/>
  <c r="H403" i="4"/>
  <c r="I403" i="4"/>
  <c r="J403" i="4"/>
  <c r="L403" i="4"/>
  <c r="F404" i="4"/>
  <c r="G404" i="4"/>
  <c r="H404" i="4"/>
  <c r="I404" i="4"/>
  <c r="J404" i="4"/>
  <c r="L404" i="4"/>
  <c r="F405" i="4"/>
  <c r="G405" i="4"/>
  <c r="H405" i="4"/>
  <c r="I405" i="4"/>
  <c r="J405" i="4"/>
  <c r="L405" i="4"/>
  <c r="F406" i="4"/>
  <c r="G406" i="4"/>
  <c r="H406" i="4"/>
  <c r="I406" i="4"/>
  <c r="J406" i="4"/>
  <c r="L406" i="4"/>
  <c r="F407" i="4"/>
  <c r="G407" i="4"/>
  <c r="H407" i="4"/>
  <c r="I407" i="4"/>
  <c r="J407" i="4"/>
  <c r="L407" i="4"/>
  <c r="F408" i="4"/>
  <c r="G408" i="4"/>
  <c r="H408" i="4"/>
  <c r="I408" i="4"/>
  <c r="J408" i="4"/>
  <c r="L408" i="4"/>
  <c r="F409" i="4"/>
  <c r="G409" i="4"/>
  <c r="H409" i="4"/>
  <c r="I409" i="4"/>
  <c r="J409" i="4"/>
  <c r="L409" i="4"/>
  <c r="F410" i="4"/>
  <c r="G410" i="4"/>
  <c r="H410" i="4"/>
  <c r="I410" i="4"/>
  <c r="J410" i="4"/>
  <c r="L410" i="4"/>
  <c r="F411" i="4"/>
  <c r="G411" i="4"/>
  <c r="H411" i="4"/>
  <c r="I411" i="4"/>
  <c r="J411" i="4"/>
  <c r="L411" i="4"/>
  <c r="F412" i="4"/>
  <c r="G412" i="4"/>
  <c r="H412" i="4"/>
  <c r="I412" i="4"/>
  <c r="J412" i="4"/>
  <c r="L412" i="4"/>
  <c r="F413" i="4"/>
  <c r="G413" i="4"/>
  <c r="H413" i="4"/>
  <c r="I413" i="4"/>
  <c r="J413" i="4"/>
  <c r="L413" i="4"/>
  <c r="F414" i="4"/>
  <c r="G414" i="4"/>
  <c r="H414" i="4"/>
  <c r="I414" i="4"/>
  <c r="J414" i="4"/>
  <c r="L414" i="4"/>
  <c r="F415" i="4"/>
  <c r="G415" i="4"/>
  <c r="H415" i="4"/>
  <c r="I415" i="4"/>
  <c r="J415" i="4"/>
  <c r="L415" i="4"/>
  <c r="F416" i="4"/>
  <c r="G416" i="4"/>
  <c r="H416" i="4"/>
  <c r="I416" i="4"/>
  <c r="J416" i="4"/>
  <c r="L416" i="4"/>
  <c r="F417" i="4"/>
  <c r="G417" i="4"/>
  <c r="H417" i="4"/>
  <c r="I417" i="4"/>
  <c r="J417" i="4"/>
  <c r="L417" i="4"/>
  <c r="F418" i="4"/>
  <c r="G418" i="4"/>
  <c r="H418" i="4"/>
  <c r="I418" i="4"/>
  <c r="J418" i="4"/>
  <c r="L418" i="4"/>
  <c r="F419" i="4"/>
  <c r="G419" i="4"/>
  <c r="H419" i="4"/>
  <c r="I419" i="4"/>
  <c r="J419" i="4"/>
  <c r="L419" i="4"/>
  <c r="F420" i="4"/>
  <c r="G420" i="4"/>
  <c r="H420" i="4"/>
  <c r="I420" i="4"/>
  <c r="J420" i="4"/>
  <c r="L420" i="4"/>
  <c r="F421" i="4"/>
  <c r="G421" i="4"/>
  <c r="H421" i="4"/>
  <c r="I421" i="4"/>
  <c r="J421" i="4"/>
  <c r="L421" i="4"/>
  <c r="F422" i="4"/>
  <c r="G422" i="4"/>
  <c r="H422" i="4"/>
  <c r="I422" i="4"/>
  <c r="J422" i="4"/>
  <c r="L422" i="4"/>
  <c r="F423" i="4"/>
  <c r="G423" i="4"/>
  <c r="H423" i="4"/>
  <c r="I423" i="4"/>
  <c r="J423" i="4"/>
  <c r="L423" i="4"/>
  <c r="F424" i="4"/>
  <c r="G424" i="4"/>
  <c r="H424" i="4"/>
  <c r="I424" i="4"/>
  <c r="J424" i="4"/>
  <c r="L424" i="4"/>
  <c r="F425" i="4"/>
  <c r="G425" i="4"/>
  <c r="H425" i="4"/>
  <c r="I425" i="4"/>
  <c r="J425" i="4"/>
  <c r="L425" i="4"/>
  <c r="F426" i="4"/>
  <c r="G426" i="4"/>
  <c r="H426" i="4"/>
  <c r="I426" i="4"/>
  <c r="J426" i="4"/>
  <c r="L426" i="4"/>
  <c r="F427" i="4"/>
  <c r="G427" i="4"/>
  <c r="H427" i="4"/>
  <c r="I427" i="4"/>
  <c r="J427" i="4"/>
  <c r="L427" i="4"/>
  <c r="F428" i="4"/>
  <c r="G428" i="4"/>
  <c r="H428" i="4"/>
  <c r="I428" i="4"/>
  <c r="J428" i="4"/>
  <c r="L428" i="4"/>
  <c r="F429" i="4"/>
  <c r="G429" i="4"/>
  <c r="H429" i="4"/>
  <c r="I429" i="4"/>
  <c r="J429" i="4"/>
  <c r="L429" i="4"/>
  <c r="F430" i="4"/>
  <c r="G430" i="4"/>
  <c r="H430" i="4"/>
  <c r="I430" i="4"/>
  <c r="J430" i="4"/>
  <c r="L430" i="4"/>
  <c r="F431" i="4"/>
  <c r="G431" i="4"/>
  <c r="H431" i="4"/>
  <c r="I431" i="4"/>
  <c r="J431" i="4"/>
  <c r="L431" i="4"/>
  <c r="F432" i="4"/>
  <c r="G432" i="4"/>
  <c r="H432" i="4"/>
  <c r="I432" i="4"/>
  <c r="J432" i="4"/>
  <c r="L432" i="4"/>
  <c r="F433" i="4"/>
  <c r="G433" i="4"/>
  <c r="H433" i="4"/>
  <c r="I433" i="4"/>
  <c r="J433" i="4"/>
  <c r="L433" i="4"/>
  <c r="F434" i="4"/>
  <c r="G434" i="4"/>
  <c r="H434" i="4"/>
  <c r="I434" i="4"/>
  <c r="J434" i="4"/>
  <c r="L434" i="4"/>
  <c r="F435" i="4"/>
  <c r="G435" i="4"/>
  <c r="H435" i="4"/>
  <c r="I435" i="4"/>
  <c r="J435" i="4"/>
  <c r="L435" i="4"/>
  <c r="F436" i="4"/>
  <c r="G436" i="4"/>
  <c r="H436" i="4"/>
  <c r="I436" i="4"/>
  <c r="J436" i="4"/>
  <c r="L436" i="4"/>
  <c r="F437" i="4"/>
  <c r="G437" i="4"/>
  <c r="H437" i="4"/>
  <c r="I437" i="4"/>
  <c r="J437" i="4"/>
  <c r="L437" i="4"/>
  <c r="F438" i="4"/>
  <c r="G438" i="4"/>
  <c r="H438" i="4"/>
  <c r="I438" i="4"/>
  <c r="J438" i="4"/>
  <c r="L438" i="4"/>
  <c r="F439" i="4"/>
  <c r="G439" i="4"/>
  <c r="H439" i="4"/>
  <c r="I439" i="4"/>
  <c r="J439" i="4"/>
  <c r="L439" i="4"/>
  <c r="F440" i="4"/>
  <c r="G440" i="4"/>
  <c r="H440" i="4"/>
  <c r="I440" i="4"/>
  <c r="J440" i="4"/>
  <c r="L440" i="4"/>
  <c r="F441" i="4"/>
  <c r="G441" i="4"/>
  <c r="H441" i="4"/>
  <c r="I441" i="4"/>
  <c r="J441" i="4"/>
  <c r="L441" i="4"/>
  <c r="F442" i="4"/>
  <c r="G442" i="4"/>
  <c r="H442" i="4"/>
  <c r="I442" i="4"/>
  <c r="J442" i="4"/>
  <c r="L442" i="4"/>
  <c r="F443" i="4"/>
  <c r="G443" i="4"/>
  <c r="H443" i="4"/>
  <c r="I443" i="4"/>
  <c r="J443" i="4"/>
  <c r="L443" i="4"/>
  <c r="F444" i="4"/>
  <c r="G444" i="4"/>
  <c r="H444" i="4"/>
  <c r="I444" i="4"/>
  <c r="J444" i="4"/>
  <c r="L444" i="4"/>
  <c r="F445" i="4"/>
  <c r="G445" i="4"/>
  <c r="H445" i="4"/>
  <c r="I445" i="4"/>
  <c r="J445" i="4"/>
  <c r="L445" i="4"/>
  <c r="F446" i="4"/>
  <c r="G446" i="4"/>
  <c r="H446" i="4"/>
  <c r="I446" i="4"/>
  <c r="J446" i="4"/>
  <c r="L446" i="4"/>
  <c r="F447" i="4"/>
  <c r="G447" i="4"/>
  <c r="H447" i="4"/>
  <c r="I447" i="4"/>
  <c r="J447" i="4"/>
  <c r="L447" i="4"/>
  <c r="F448" i="4"/>
  <c r="G448" i="4"/>
  <c r="H448" i="4"/>
  <c r="I448" i="4"/>
  <c r="J448" i="4"/>
  <c r="L448" i="4"/>
  <c r="F449" i="4"/>
  <c r="G449" i="4"/>
  <c r="H449" i="4"/>
  <c r="I449" i="4"/>
  <c r="J449" i="4"/>
  <c r="L449" i="4"/>
  <c r="F450" i="4"/>
  <c r="G450" i="4"/>
  <c r="H450" i="4"/>
  <c r="I450" i="4"/>
  <c r="J450" i="4"/>
  <c r="L450" i="4"/>
  <c r="F451" i="4"/>
  <c r="G451" i="4"/>
  <c r="H451" i="4"/>
  <c r="I451" i="4"/>
  <c r="J451" i="4"/>
  <c r="L451" i="4"/>
  <c r="F452" i="4"/>
  <c r="G452" i="4"/>
  <c r="H452" i="4"/>
  <c r="I452" i="4"/>
  <c r="J452" i="4"/>
  <c r="L452" i="4"/>
  <c r="F453" i="4"/>
  <c r="G453" i="4"/>
  <c r="H453" i="4"/>
  <c r="I453" i="4"/>
  <c r="J453" i="4"/>
  <c r="L453" i="4"/>
  <c r="F454" i="4"/>
  <c r="G454" i="4"/>
  <c r="H454" i="4"/>
  <c r="I454" i="4"/>
  <c r="J454" i="4"/>
  <c r="L454" i="4"/>
  <c r="F455" i="4"/>
  <c r="G455" i="4"/>
  <c r="H455" i="4"/>
  <c r="I455" i="4"/>
  <c r="J455" i="4"/>
  <c r="L455" i="4"/>
  <c r="F456" i="4"/>
  <c r="G456" i="4"/>
  <c r="H456" i="4"/>
  <c r="I456" i="4"/>
  <c r="J456" i="4"/>
  <c r="L456" i="4"/>
  <c r="F457" i="4"/>
  <c r="G457" i="4"/>
  <c r="H457" i="4"/>
  <c r="I457" i="4"/>
  <c r="J457" i="4"/>
  <c r="L457" i="4"/>
  <c r="F458" i="4"/>
  <c r="G458" i="4"/>
  <c r="H458" i="4"/>
  <c r="I458" i="4"/>
  <c r="J458" i="4"/>
  <c r="L458" i="4"/>
  <c r="F459" i="4"/>
  <c r="G459" i="4"/>
  <c r="H459" i="4"/>
  <c r="I459" i="4"/>
  <c r="J459" i="4"/>
  <c r="L459" i="4"/>
  <c r="F460" i="4"/>
  <c r="G460" i="4"/>
  <c r="H460" i="4"/>
  <c r="I460" i="4"/>
  <c r="J460" i="4"/>
  <c r="L460" i="4"/>
  <c r="F461" i="4"/>
  <c r="G461" i="4"/>
  <c r="H461" i="4"/>
  <c r="I461" i="4"/>
  <c r="J461" i="4"/>
  <c r="L461" i="4"/>
  <c r="F462" i="4"/>
  <c r="G462" i="4"/>
  <c r="H462" i="4"/>
  <c r="I462" i="4"/>
  <c r="J462" i="4"/>
  <c r="L462" i="4"/>
  <c r="F463" i="4"/>
  <c r="G463" i="4"/>
  <c r="H463" i="4"/>
  <c r="I463" i="4"/>
  <c r="J463" i="4"/>
  <c r="L463" i="4"/>
  <c r="F464" i="4"/>
  <c r="G464" i="4"/>
  <c r="H464" i="4"/>
  <c r="I464" i="4"/>
  <c r="J464" i="4"/>
  <c r="L464" i="4"/>
  <c r="F465" i="4"/>
  <c r="G465" i="4"/>
  <c r="H465" i="4"/>
  <c r="I465" i="4"/>
  <c r="J465" i="4"/>
  <c r="L465" i="4"/>
  <c r="F466" i="4"/>
  <c r="G466" i="4"/>
  <c r="H466" i="4"/>
  <c r="I466" i="4"/>
  <c r="J466" i="4"/>
  <c r="L466" i="4"/>
  <c r="F467" i="4"/>
  <c r="G467" i="4"/>
  <c r="H467" i="4"/>
  <c r="I467" i="4"/>
  <c r="J467" i="4"/>
  <c r="L467" i="4"/>
  <c r="F468" i="4"/>
  <c r="G468" i="4"/>
  <c r="H468" i="4"/>
  <c r="I468" i="4"/>
  <c r="J468" i="4"/>
  <c r="L468" i="4"/>
  <c r="F469" i="4"/>
  <c r="G469" i="4"/>
  <c r="H469" i="4"/>
  <c r="I469" i="4"/>
  <c r="J469" i="4"/>
  <c r="L469" i="4"/>
  <c r="F470" i="4"/>
  <c r="G470" i="4"/>
  <c r="H470" i="4"/>
  <c r="I470" i="4"/>
  <c r="J470" i="4"/>
  <c r="L470" i="4"/>
  <c r="F471" i="4"/>
  <c r="G471" i="4"/>
  <c r="H471" i="4"/>
  <c r="I471" i="4"/>
  <c r="J471" i="4"/>
  <c r="L471" i="4"/>
  <c r="F472" i="4"/>
  <c r="G472" i="4"/>
  <c r="H472" i="4"/>
  <c r="I472" i="4"/>
  <c r="J472" i="4"/>
  <c r="L472" i="4"/>
  <c r="F473" i="4"/>
  <c r="G473" i="4"/>
  <c r="H473" i="4"/>
  <c r="I473" i="4"/>
  <c r="J473" i="4"/>
  <c r="L473" i="4"/>
  <c r="F474" i="4"/>
  <c r="G474" i="4"/>
  <c r="H474" i="4"/>
  <c r="I474" i="4"/>
  <c r="J474" i="4"/>
  <c r="L474" i="4"/>
  <c r="F475" i="4"/>
  <c r="G475" i="4"/>
  <c r="H475" i="4"/>
  <c r="I475" i="4"/>
  <c r="J475" i="4"/>
  <c r="L475" i="4"/>
  <c r="F476" i="4"/>
  <c r="G476" i="4"/>
  <c r="H476" i="4"/>
  <c r="I476" i="4"/>
  <c r="J476" i="4"/>
  <c r="L476" i="4"/>
  <c r="F477" i="4"/>
  <c r="G477" i="4"/>
  <c r="H477" i="4"/>
  <c r="I477" i="4"/>
  <c r="J477" i="4"/>
  <c r="L477" i="4"/>
  <c r="F478" i="4"/>
  <c r="G478" i="4"/>
  <c r="H478" i="4"/>
  <c r="I478" i="4"/>
  <c r="J478" i="4"/>
  <c r="L478" i="4"/>
  <c r="F479" i="4"/>
  <c r="G479" i="4"/>
  <c r="H479" i="4"/>
  <c r="I479" i="4"/>
  <c r="J479" i="4"/>
  <c r="L479" i="4"/>
  <c r="F480" i="4"/>
  <c r="G480" i="4"/>
  <c r="H480" i="4"/>
  <c r="I480" i="4"/>
  <c r="J480" i="4"/>
  <c r="L480" i="4"/>
  <c r="F481" i="4"/>
  <c r="G481" i="4"/>
  <c r="H481" i="4"/>
  <c r="I481" i="4"/>
  <c r="J481" i="4"/>
  <c r="L481" i="4"/>
  <c r="F482" i="4"/>
  <c r="G482" i="4"/>
  <c r="H482" i="4"/>
  <c r="I482" i="4"/>
  <c r="J482" i="4"/>
  <c r="L482" i="4"/>
  <c r="F483" i="4"/>
  <c r="G483" i="4"/>
  <c r="H483" i="4"/>
  <c r="I483" i="4"/>
  <c r="J483" i="4"/>
  <c r="L483" i="4"/>
  <c r="F484" i="4"/>
  <c r="G484" i="4"/>
  <c r="H484" i="4"/>
  <c r="I484" i="4"/>
  <c r="J484" i="4"/>
  <c r="L484" i="4"/>
  <c r="F485" i="4"/>
  <c r="G485" i="4"/>
  <c r="H485" i="4"/>
  <c r="I485" i="4"/>
  <c r="J485" i="4"/>
  <c r="L485" i="4"/>
  <c r="F486" i="4"/>
  <c r="G486" i="4"/>
  <c r="H486" i="4"/>
  <c r="I486" i="4"/>
  <c r="J486" i="4"/>
  <c r="L486" i="4"/>
  <c r="F487" i="4"/>
  <c r="G487" i="4"/>
  <c r="H487" i="4"/>
  <c r="I487" i="4"/>
  <c r="J487" i="4"/>
  <c r="L487" i="4"/>
  <c r="F488" i="4"/>
  <c r="G488" i="4"/>
  <c r="H488" i="4"/>
  <c r="I488" i="4"/>
  <c r="J488" i="4"/>
  <c r="L488" i="4"/>
  <c r="F489" i="4"/>
  <c r="G489" i="4"/>
  <c r="H489" i="4"/>
  <c r="I489" i="4"/>
  <c r="J489" i="4"/>
  <c r="L489" i="4"/>
  <c r="F490" i="4"/>
  <c r="G490" i="4"/>
  <c r="H490" i="4"/>
  <c r="I490" i="4"/>
  <c r="J490" i="4"/>
  <c r="L490" i="4"/>
  <c r="F491" i="4"/>
  <c r="G491" i="4"/>
  <c r="H491" i="4"/>
  <c r="I491" i="4"/>
  <c r="J491" i="4"/>
  <c r="L491" i="4"/>
  <c r="F492" i="4"/>
  <c r="G492" i="4"/>
  <c r="H492" i="4"/>
  <c r="I492" i="4"/>
  <c r="J492" i="4"/>
  <c r="L492" i="4"/>
  <c r="F493" i="4"/>
  <c r="G493" i="4"/>
  <c r="H493" i="4"/>
  <c r="I493" i="4"/>
  <c r="J493" i="4"/>
  <c r="L493" i="4"/>
  <c r="F494" i="4"/>
  <c r="G494" i="4"/>
  <c r="H494" i="4"/>
  <c r="I494" i="4"/>
  <c r="J494" i="4"/>
  <c r="L494" i="4"/>
  <c r="F495" i="4"/>
  <c r="G495" i="4"/>
  <c r="H495" i="4"/>
  <c r="I495" i="4"/>
  <c r="J495" i="4"/>
  <c r="L495" i="4"/>
  <c r="F496" i="4"/>
  <c r="G496" i="4"/>
  <c r="H496" i="4"/>
  <c r="I496" i="4"/>
  <c r="J496" i="4"/>
  <c r="L496" i="4"/>
  <c r="F497" i="4"/>
  <c r="G497" i="4"/>
  <c r="H497" i="4"/>
  <c r="I497" i="4"/>
  <c r="J497" i="4"/>
  <c r="L497" i="4"/>
  <c r="F498" i="4"/>
  <c r="G498" i="4"/>
  <c r="H498" i="4"/>
  <c r="I498" i="4"/>
  <c r="J498" i="4"/>
  <c r="L498" i="4"/>
  <c r="F499" i="4"/>
  <c r="G499" i="4"/>
  <c r="H499" i="4"/>
  <c r="I499" i="4"/>
  <c r="J499" i="4"/>
  <c r="L499" i="4"/>
  <c r="F500" i="4"/>
  <c r="G500" i="4"/>
  <c r="H500" i="4"/>
  <c r="I500" i="4"/>
  <c r="J500" i="4"/>
  <c r="L500" i="4"/>
  <c r="F501" i="4"/>
  <c r="G501" i="4"/>
  <c r="H501" i="4"/>
  <c r="I501" i="4"/>
  <c r="J501" i="4"/>
  <c r="L501" i="4"/>
  <c r="F502" i="4"/>
  <c r="G502" i="4"/>
  <c r="H502" i="4"/>
  <c r="I502" i="4"/>
  <c r="J502" i="4"/>
  <c r="L502" i="4"/>
  <c r="F503" i="4"/>
  <c r="G503" i="4"/>
  <c r="H503" i="4"/>
  <c r="I503" i="4"/>
  <c r="J503" i="4"/>
  <c r="L503" i="4"/>
  <c r="F504" i="4"/>
  <c r="G504" i="4"/>
  <c r="H504" i="4"/>
  <c r="I504" i="4"/>
  <c r="J504" i="4"/>
  <c r="L504" i="4"/>
  <c r="F505" i="4"/>
  <c r="G505" i="4"/>
  <c r="H505" i="4"/>
  <c r="I505" i="4"/>
  <c r="J505" i="4"/>
  <c r="L505" i="4"/>
  <c r="F506" i="4"/>
  <c r="G506" i="4"/>
  <c r="H506" i="4"/>
  <c r="I506" i="4"/>
  <c r="J506" i="4"/>
  <c r="L506" i="4"/>
  <c r="F507" i="4"/>
  <c r="G507" i="4"/>
  <c r="H507" i="4"/>
  <c r="I507" i="4"/>
  <c r="J507" i="4"/>
  <c r="L507" i="4"/>
  <c r="F508" i="4"/>
  <c r="G508" i="4"/>
  <c r="H508" i="4"/>
  <c r="I508" i="4"/>
  <c r="J508" i="4"/>
  <c r="L508" i="4"/>
  <c r="F509" i="4"/>
  <c r="G509" i="4"/>
  <c r="H509" i="4"/>
  <c r="I509" i="4"/>
  <c r="J509" i="4"/>
  <c r="L509" i="4"/>
  <c r="F510" i="4"/>
  <c r="G510" i="4"/>
  <c r="H510" i="4"/>
  <c r="I510" i="4"/>
  <c r="J510" i="4"/>
  <c r="L510" i="4"/>
  <c r="F511" i="4"/>
  <c r="G511" i="4"/>
  <c r="H511" i="4"/>
  <c r="I511" i="4"/>
  <c r="J511" i="4"/>
  <c r="L511" i="4"/>
  <c r="F512" i="4"/>
  <c r="G512" i="4"/>
  <c r="H512" i="4"/>
  <c r="I512" i="4"/>
  <c r="J512" i="4"/>
  <c r="L512" i="4"/>
  <c r="F513" i="4"/>
  <c r="G513" i="4"/>
  <c r="H513" i="4"/>
  <c r="I513" i="4"/>
  <c r="J513" i="4"/>
  <c r="L513" i="4"/>
  <c r="F514" i="4"/>
  <c r="G514" i="4"/>
  <c r="H514" i="4"/>
  <c r="I514" i="4"/>
  <c r="J514" i="4"/>
  <c r="L514" i="4"/>
  <c r="F515" i="4"/>
  <c r="G515" i="4"/>
  <c r="H515" i="4"/>
  <c r="I515" i="4"/>
  <c r="J515" i="4"/>
  <c r="L515" i="4"/>
  <c r="F516" i="4"/>
  <c r="G516" i="4"/>
  <c r="H516" i="4"/>
  <c r="I516" i="4"/>
  <c r="J516" i="4"/>
  <c r="L516" i="4"/>
  <c r="F517" i="4"/>
  <c r="G517" i="4"/>
  <c r="H517" i="4"/>
  <c r="I517" i="4"/>
  <c r="J517" i="4"/>
  <c r="L517" i="4"/>
  <c r="F518" i="4"/>
  <c r="G518" i="4"/>
  <c r="H518" i="4"/>
  <c r="I518" i="4"/>
  <c r="J518" i="4"/>
  <c r="L518" i="4"/>
  <c r="F519" i="4"/>
  <c r="G519" i="4"/>
  <c r="H519" i="4"/>
  <c r="I519" i="4"/>
  <c r="J519" i="4"/>
  <c r="L519" i="4"/>
  <c r="F520" i="4"/>
  <c r="G520" i="4"/>
  <c r="H520" i="4"/>
  <c r="I520" i="4"/>
  <c r="J520" i="4"/>
  <c r="L520" i="4"/>
  <c r="F521" i="4"/>
  <c r="G521" i="4"/>
  <c r="H521" i="4"/>
  <c r="I521" i="4"/>
  <c r="J521" i="4"/>
  <c r="L521" i="4"/>
  <c r="F522" i="4"/>
  <c r="G522" i="4"/>
  <c r="H522" i="4"/>
  <c r="I522" i="4"/>
  <c r="J522" i="4"/>
  <c r="L522" i="4"/>
  <c r="F523" i="4"/>
  <c r="G523" i="4"/>
  <c r="H523" i="4"/>
  <c r="I523" i="4"/>
  <c r="J523" i="4"/>
  <c r="L523" i="4"/>
  <c r="F524" i="4"/>
  <c r="G524" i="4"/>
  <c r="H524" i="4"/>
  <c r="I524" i="4"/>
  <c r="J524" i="4"/>
  <c r="L524" i="4"/>
  <c r="F525" i="4"/>
  <c r="G525" i="4"/>
  <c r="H525" i="4"/>
  <c r="I525" i="4"/>
  <c r="J525" i="4"/>
  <c r="L525" i="4"/>
  <c r="F526" i="4"/>
  <c r="G526" i="4"/>
  <c r="H526" i="4"/>
  <c r="I526" i="4"/>
  <c r="J526" i="4"/>
  <c r="L526" i="4"/>
  <c r="F527" i="4"/>
  <c r="G527" i="4"/>
  <c r="H527" i="4"/>
  <c r="I527" i="4"/>
  <c r="J527" i="4"/>
  <c r="L527" i="4"/>
  <c r="F528" i="4"/>
  <c r="G528" i="4"/>
  <c r="H528" i="4"/>
  <c r="I528" i="4"/>
  <c r="J528" i="4"/>
  <c r="L528" i="4"/>
  <c r="F529" i="4"/>
  <c r="G529" i="4"/>
  <c r="H529" i="4"/>
  <c r="I529" i="4"/>
  <c r="J529" i="4"/>
  <c r="L529" i="4"/>
  <c r="F530" i="4"/>
  <c r="G530" i="4"/>
  <c r="H530" i="4"/>
  <c r="I530" i="4"/>
  <c r="J530" i="4"/>
  <c r="L530" i="4"/>
  <c r="F531" i="4"/>
  <c r="G531" i="4"/>
  <c r="H531" i="4"/>
  <c r="I531" i="4"/>
  <c r="J531" i="4"/>
  <c r="L531" i="4"/>
  <c r="F532" i="4"/>
  <c r="G532" i="4"/>
  <c r="H532" i="4"/>
  <c r="I532" i="4"/>
  <c r="J532" i="4"/>
  <c r="L532" i="4"/>
  <c r="F533" i="4"/>
  <c r="G533" i="4"/>
  <c r="H533" i="4"/>
  <c r="I533" i="4"/>
  <c r="J533" i="4"/>
  <c r="L533" i="4"/>
  <c r="F534" i="4"/>
  <c r="G534" i="4"/>
  <c r="H534" i="4"/>
  <c r="I534" i="4"/>
  <c r="J534" i="4"/>
  <c r="L534" i="4"/>
  <c r="F535" i="4"/>
  <c r="G535" i="4"/>
  <c r="H535" i="4"/>
  <c r="I535" i="4"/>
  <c r="J535" i="4"/>
  <c r="L535" i="4"/>
  <c r="F536" i="4"/>
  <c r="G536" i="4"/>
  <c r="H536" i="4"/>
  <c r="I536" i="4"/>
  <c r="J536" i="4"/>
  <c r="L536" i="4"/>
  <c r="F537" i="4"/>
  <c r="G537" i="4"/>
  <c r="H537" i="4"/>
  <c r="I537" i="4"/>
  <c r="J537" i="4"/>
  <c r="L537" i="4"/>
  <c r="F538" i="4"/>
  <c r="G538" i="4"/>
  <c r="H538" i="4"/>
  <c r="I538" i="4"/>
  <c r="J538" i="4"/>
  <c r="L538" i="4"/>
  <c r="F539" i="4"/>
  <c r="G539" i="4"/>
  <c r="H539" i="4"/>
  <c r="I539" i="4"/>
  <c r="J539" i="4"/>
  <c r="L539" i="4"/>
  <c r="F540" i="4"/>
  <c r="G540" i="4"/>
  <c r="H540" i="4"/>
  <c r="I540" i="4"/>
  <c r="J540" i="4"/>
  <c r="L540" i="4"/>
  <c r="F541" i="4"/>
  <c r="G541" i="4"/>
  <c r="H541" i="4"/>
  <c r="I541" i="4"/>
  <c r="J541" i="4"/>
  <c r="L541" i="4"/>
  <c r="F542" i="4"/>
  <c r="G542" i="4"/>
  <c r="H542" i="4"/>
  <c r="I542" i="4"/>
  <c r="J542" i="4"/>
  <c r="L542" i="4"/>
  <c r="F543" i="4"/>
  <c r="G543" i="4"/>
  <c r="H543" i="4"/>
  <c r="I543" i="4"/>
  <c r="J543" i="4"/>
  <c r="L543" i="4"/>
  <c r="F544" i="4"/>
  <c r="G544" i="4"/>
  <c r="H544" i="4"/>
  <c r="I544" i="4"/>
  <c r="J544" i="4"/>
  <c r="L544" i="4"/>
  <c r="F545" i="4"/>
  <c r="G545" i="4"/>
  <c r="H545" i="4"/>
  <c r="I545" i="4"/>
  <c r="J545" i="4"/>
  <c r="L545" i="4"/>
  <c r="F546" i="4"/>
  <c r="G546" i="4"/>
  <c r="H546" i="4"/>
  <c r="I546" i="4"/>
  <c r="J546" i="4"/>
  <c r="L546" i="4"/>
  <c r="F547" i="4"/>
  <c r="G547" i="4"/>
  <c r="H547" i="4"/>
  <c r="I547" i="4"/>
  <c r="J547" i="4"/>
  <c r="L547" i="4"/>
  <c r="F548" i="4"/>
  <c r="G548" i="4"/>
  <c r="H548" i="4"/>
  <c r="I548" i="4"/>
  <c r="J548" i="4"/>
  <c r="L548" i="4"/>
  <c r="F549" i="4"/>
  <c r="G549" i="4"/>
  <c r="H549" i="4"/>
  <c r="I549" i="4"/>
  <c r="J549" i="4"/>
  <c r="L549" i="4"/>
  <c r="F550" i="4"/>
  <c r="G550" i="4"/>
  <c r="H550" i="4"/>
  <c r="I550" i="4"/>
  <c r="J550" i="4"/>
  <c r="L550" i="4"/>
  <c r="F551" i="4"/>
  <c r="G551" i="4"/>
  <c r="H551" i="4"/>
  <c r="I551" i="4"/>
  <c r="J551" i="4"/>
  <c r="L551" i="4"/>
  <c r="F552" i="4"/>
  <c r="G552" i="4"/>
  <c r="H552" i="4"/>
  <c r="I552" i="4"/>
  <c r="J552" i="4"/>
  <c r="L552" i="4"/>
  <c r="F553" i="4"/>
  <c r="G553" i="4"/>
  <c r="H553" i="4"/>
  <c r="I553" i="4"/>
  <c r="J553" i="4"/>
  <c r="L553" i="4"/>
  <c r="F554" i="4"/>
  <c r="G554" i="4"/>
  <c r="H554" i="4"/>
  <c r="I554" i="4"/>
  <c r="J554" i="4"/>
  <c r="L554" i="4"/>
  <c r="F555" i="4"/>
  <c r="G555" i="4"/>
  <c r="H555" i="4"/>
  <c r="I555" i="4"/>
  <c r="J555" i="4"/>
  <c r="L555" i="4"/>
  <c r="F556" i="4"/>
  <c r="G556" i="4"/>
  <c r="H556" i="4"/>
  <c r="I556" i="4"/>
  <c r="J556" i="4"/>
  <c r="L556" i="4"/>
  <c r="F557" i="4"/>
  <c r="G557" i="4"/>
  <c r="H557" i="4"/>
  <c r="I557" i="4"/>
  <c r="J557" i="4"/>
  <c r="L557" i="4"/>
  <c r="F558" i="4"/>
  <c r="G558" i="4"/>
  <c r="H558" i="4"/>
  <c r="I558" i="4"/>
  <c r="J558" i="4"/>
  <c r="L558" i="4"/>
  <c r="F559" i="4"/>
  <c r="G559" i="4"/>
  <c r="H559" i="4"/>
  <c r="I559" i="4"/>
  <c r="J559" i="4"/>
  <c r="L559" i="4"/>
  <c r="F560" i="4"/>
  <c r="G560" i="4"/>
  <c r="H560" i="4"/>
  <c r="I560" i="4"/>
  <c r="J560" i="4"/>
  <c r="L560" i="4"/>
  <c r="F561" i="4"/>
  <c r="G561" i="4"/>
  <c r="H561" i="4"/>
  <c r="I561" i="4"/>
  <c r="J561" i="4"/>
  <c r="L561" i="4"/>
  <c r="F562" i="4"/>
  <c r="G562" i="4"/>
  <c r="H562" i="4"/>
  <c r="I562" i="4"/>
  <c r="J562" i="4"/>
  <c r="L562" i="4"/>
  <c r="F563" i="4"/>
  <c r="G563" i="4"/>
  <c r="H563" i="4"/>
  <c r="I563" i="4"/>
  <c r="J563" i="4"/>
  <c r="L563" i="4"/>
  <c r="F564" i="4"/>
  <c r="G564" i="4"/>
  <c r="H564" i="4"/>
  <c r="I564" i="4"/>
  <c r="J564" i="4"/>
  <c r="L564" i="4"/>
  <c r="F565" i="4"/>
  <c r="G565" i="4"/>
  <c r="H565" i="4"/>
  <c r="I565" i="4"/>
  <c r="J565" i="4"/>
  <c r="L565" i="4"/>
  <c r="F566" i="4"/>
  <c r="G566" i="4"/>
  <c r="H566" i="4"/>
  <c r="I566" i="4"/>
  <c r="J566" i="4"/>
  <c r="L566" i="4"/>
  <c r="F567" i="4"/>
  <c r="G567" i="4"/>
  <c r="H567" i="4"/>
  <c r="I567" i="4"/>
  <c r="J567" i="4"/>
  <c r="L567" i="4"/>
  <c r="F568" i="4"/>
  <c r="G568" i="4"/>
  <c r="H568" i="4"/>
  <c r="I568" i="4"/>
  <c r="J568" i="4"/>
  <c r="L568" i="4"/>
  <c r="F569" i="4"/>
  <c r="G569" i="4"/>
  <c r="H569" i="4"/>
  <c r="I569" i="4"/>
  <c r="J569" i="4"/>
  <c r="L569" i="4"/>
  <c r="F570" i="4"/>
  <c r="G570" i="4"/>
  <c r="H570" i="4"/>
  <c r="I570" i="4"/>
  <c r="J570" i="4"/>
  <c r="L570" i="4"/>
  <c r="F571" i="4"/>
  <c r="G571" i="4"/>
  <c r="H571" i="4"/>
  <c r="I571" i="4"/>
  <c r="J571" i="4"/>
  <c r="L571" i="4"/>
  <c r="F572" i="4"/>
  <c r="G572" i="4"/>
  <c r="H572" i="4"/>
  <c r="I572" i="4"/>
  <c r="J572" i="4"/>
  <c r="L572" i="4"/>
  <c r="F573" i="4"/>
  <c r="G573" i="4"/>
  <c r="H573" i="4"/>
  <c r="I573" i="4"/>
  <c r="J573" i="4"/>
  <c r="L573" i="4"/>
  <c r="F574" i="4"/>
  <c r="G574" i="4"/>
  <c r="H574" i="4"/>
  <c r="I574" i="4"/>
  <c r="J574" i="4"/>
  <c r="L574" i="4"/>
  <c r="F575" i="4"/>
  <c r="G575" i="4"/>
  <c r="H575" i="4"/>
  <c r="I575" i="4"/>
  <c r="J575" i="4"/>
  <c r="L575" i="4"/>
  <c r="F576" i="4"/>
  <c r="G576" i="4"/>
  <c r="H576" i="4"/>
  <c r="I576" i="4"/>
  <c r="J576" i="4"/>
  <c r="L576" i="4"/>
  <c r="F577" i="4"/>
  <c r="G577" i="4"/>
  <c r="H577" i="4"/>
  <c r="I577" i="4"/>
  <c r="J577" i="4"/>
  <c r="L577" i="4"/>
  <c r="F578" i="4"/>
  <c r="G578" i="4"/>
  <c r="H578" i="4"/>
  <c r="I578" i="4"/>
  <c r="J578" i="4"/>
  <c r="L578" i="4"/>
  <c r="F579" i="4"/>
  <c r="G579" i="4"/>
  <c r="H579" i="4"/>
  <c r="I579" i="4"/>
  <c r="J579" i="4"/>
  <c r="L579" i="4"/>
  <c r="F580" i="4"/>
  <c r="G580" i="4"/>
  <c r="H580" i="4"/>
  <c r="I580" i="4"/>
  <c r="J580" i="4"/>
  <c r="L580" i="4"/>
  <c r="F581" i="4"/>
  <c r="G581" i="4"/>
  <c r="H581" i="4"/>
  <c r="I581" i="4"/>
  <c r="J581" i="4"/>
  <c r="L581" i="4"/>
  <c r="F582" i="4"/>
  <c r="G582" i="4"/>
  <c r="H582" i="4"/>
  <c r="I582" i="4"/>
  <c r="J582" i="4"/>
  <c r="L582" i="4"/>
  <c r="F583" i="4"/>
  <c r="G583" i="4"/>
  <c r="H583" i="4"/>
  <c r="I583" i="4"/>
  <c r="J583" i="4"/>
  <c r="L583" i="4"/>
  <c r="F584" i="4"/>
  <c r="G584" i="4"/>
  <c r="H584" i="4"/>
  <c r="I584" i="4"/>
  <c r="J584" i="4"/>
  <c r="L584" i="4"/>
  <c r="F585" i="4"/>
  <c r="G585" i="4"/>
  <c r="H585" i="4"/>
  <c r="I585" i="4"/>
  <c r="J585" i="4"/>
  <c r="L585" i="4"/>
  <c r="F586" i="4"/>
  <c r="G586" i="4"/>
  <c r="H586" i="4"/>
  <c r="I586" i="4"/>
  <c r="J586" i="4"/>
  <c r="L586" i="4"/>
  <c r="F587" i="4"/>
  <c r="G587" i="4"/>
  <c r="H587" i="4"/>
  <c r="I587" i="4"/>
  <c r="J587" i="4"/>
  <c r="L587" i="4"/>
  <c r="F588" i="4"/>
  <c r="G588" i="4"/>
  <c r="H588" i="4"/>
  <c r="I588" i="4"/>
  <c r="J588" i="4"/>
  <c r="L588" i="4"/>
  <c r="F589" i="4"/>
  <c r="G589" i="4"/>
  <c r="H589" i="4"/>
  <c r="I589" i="4"/>
  <c r="J589" i="4"/>
  <c r="L589" i="4"/>
  <c r="F590" i="4"/>
  <c r="G590" i="4"/>
  <c r="H590" i="4"/>
  <c r="I590" i="4"/>
  <c r="J590" i="4"/>
  <c r="L590" i="4"/>
  <c r="F591" i="4"/>
  <c r="G591" i="4"/>
  <c r="H591" i="4"/>
  <c r="I591" i="4"/>
  <c r="J591" i="4"/>
  <c r="L591" i="4"/>
  <c r="F592" i="4"/>
  <c r="G592" i="4"/>
  <c r="H592" i="4"/>
  <c r="I592" i="4"/>
  <c r="J592" i="4"/>
  <c r="L592" i="4"/>
  <c r="F593" i="4"/>
  <c r="G593" i="4"/>
  <c r="H593" i="4"/>
  <c r="I593" i="4"/>
  <c r="J593" i="4"/>
  <c r="L593" i="4"/>
  <c r="F594" i="4"/>
  <c r="G594" i="4"/>
  <c r="H594" i="4"/>
  <c r="I594" i="4"/>
  <c r="J594" i="4"/>
  <c r="L594" i="4"/>
  <c r="F595" i="4"/>
  <c r="G595" i="4"/>
  <c r="H595" i="4"/>
  <c r="I595" i="4"/>
  <c r="J595" i="4"/>
  <c r="L595" i="4"/>
  <c r="F596" i="4"/>
  <c r="G596" i="4"/>
  <c r="H596" i="4"/>
  <c r="I596" i="4"/>
  <c r="J596" i="4"/>
  <c r="L596" i="4"/>
  <c r="F597" i="4"/>
  <c r="G597" i="4"/>
  <c r="H597" i="4"/>
  <c r="I597" i="4"/>
  <c r="J597" i="4"/>
  <c r="L597" i="4"/>
  <c r="F598" i="4"/>
  <c r="G598" i="4"/>
  <c r="H598" i="4"/>
  <c r="I598" i="4"/>
  <c r="J598" i="4"/>
  <c r="L598" i="4"/>
  <c r="F599" i="4"/>
  <c r="G599" i="4"/>
  <c r="H599" i="4"/>
  <c r="I599" i="4"/>
  <c r="J599" i="4"/>
  <c r="L599" i="4"/>
  <c r="F600" i="4"/>
  <c r="G600" i="4"/>
  <c r="H600" i="4"/>
  <c r="I600" i="4"/>
  <c r="J600" i="4"/>
  <c r="L600" i="4"/>
  <c r="F601" i="4"/>
  <c r="G601" i="4"/>
  <c r="H601" i="4"/>
  <c r="I601" i="4"/>
  <c r="J601" i="4"/>
  <c r="L601" i="4"/>
  <c r="F602" i="4"/>
  <c r="G602" i="4"/>
  <c r="H602" i="4"/>
  <c r="I602" i="4"/>
  <c r="J602" i="4"/>
  <c r="L602" i="4"/>
  <c r="F603" i="4"/>
  <c r="G603" i="4"/>
  <c r="H603" i="4"/>
  <c r="I603" i="4"/>
  <c r="J603" i="4"/>
  <c r="L603" i="4"/>
  <c r="F604" i="4"/>
  <c r="G604" i="4"/>
  <c r="H604" i="4"/>
  <c r="I604" i="4"/>
  <c r="J604" i="4"/>
  <c r="L604" i="4"/>
  <c r="F605" i="4"/>
  <c r="G605" i="4"/>
  <c r="H605" i="4"/>
  <c r="I605" i="4"/>
  <c r="J605" i="4"/>
  <c r="L605" i="4"/>
  <c r="F606" i="4"/>
  <c r="G606" i="4"/>
  <c r="H606" i="4"/>
  <c r="I606" i="4"/>
  <c r="J606" i="4"/>
  <c r="L606" i="4"/>
  <c r="F607" i="4"/>
  <c r="G607" i="4"/>
  <c r="H607" i="4"/>
  <c r="I607" i="4"/>
  <c r="J607" i="4"/>
  <c r="L607" i="4"/>
  <c r="F608" i="4"/>
  <c r="G608" i="4"/>
  <c r="H608" i="4"/>
  <c r="I608" i="4"/>
  <c r="J608" i="4"/>
  <c r="L608" i="4"/>
  <c r="F609" i="4"/>
  <c r="G609" i="4"/>
  <c r="H609" i="4"/>
  <c r="I609" i="4"/>
  <c r="J609" i="4"/>
  <c r="L609" i="4"/>
  <c r="F610" i="4"/>
  <c r="G610" i="4"/>
  <c r="H610" i="4"/>
  <c r="I610" i="4"/>
  <c r="J610" i="4"/>
  <c r="L610" i="4"/>
  <c r="F611" i="4"/>
  <c r="G611" i="4"/>
  <c r="H611" i="4"/>
  <c r="I611" i="4"/>
  <c r="J611" i="4"/>
  <c r="L611" i="4"/>
  <c r="F612" i="4"/>
  <c r="G612" i="4"/>
  <c r="H612" i="4"/>
  <c r="I612" i="4"/>
  <c r="J612" i="4"/>
  <c r="L612" i="4"/>
  <c r="F613" i="4"/>
  <c r="G613" i="4"/>
  <c r="H613" i="4"/>
  <c r="I613" i="4"/>
  <c r="J613" i="4"/>
  <c r="L613" i="4"/>
  <c r="F614" i="4"/>
  <c r="G614" i="4"/>
  <c r="H614" i="4"/>
  <c r="I614" i="4"/>
  <c r="J614" i="4"/>
  <c r="L614" i="4"/>
  <c r="F615" i="4"/>
  <c r="G615" i="4"/>
  <c r="H615" i="4"/>
  <c r="I615" i="4"/>
  <c r="J615" i="4"/>
  <c r="L615" i="4"/>
  <c r="F616" i="4"/>
  <c r="G616" i="4"/>
  <c r="H616" i="4"/>
  <c r="I616" i="4"/>
  <c r="J616" i="4"/>
  <c r="L616" i="4"/>
  <c r="F617" i="4"/>
  <c r="G617" i="4"/>
  <c r="H617" i="4"/>
  <c r="I617" i="4"/>
  <c r="J617" i="4"/>
  <c r="L617" i="4"/>
  <c r="F618" i="4"/>
  <c r="G618" i="4"/>
  <c r="H618" i="4"/>
  <c r="I618" i="4"/>
  <c r="J618" i="4"/>
  <c r="L618" i="4"/>
  <c r="F619" i="4"/>
  <c r="G619" i="4"/>
  <c r="H619" i="4"/>
  <c r="I619" i="4"/>
  <c r="J619" i="4"/>
  <c r="L619" i="4"/>
  <c r="F620" i="4"/>
  <c r="G620" i="4"/>
  <c r="H620" i="4"/>
  <c r="I620" i="4"/>
  <c r="J620" i="4"/>
  <c r="L620" i="4"/>
  <c r="F621" i="4"/>
  <c r="G621" i="4"/>
  <c r="H621" i="4"/>
  <c r="I621" i="4"/>
  <c r="J621" i="4"/>
  <c r="L621" i="4"/>
  <c r="F622" i="4"/>
  <c r="G622" i="4"/>
  <c r="H622" i="4"/>
  <c r="I622" i="4"/>
  <c r="J622" i="4"/>
  <c r="L622" i="4"/>
  <c r="F623" i="4"/>
  <c r="G623" i="4"/>
  <c r="H623" i="4"/>
  <c r="I623" i="4"/>
  <c r="J623" i="4"/>
  <c r="L623" i="4"/>
  <c r="F624" i="4"/>
  <c r="G624" i="4"/>
  <c r="H624" i="4"/>
  <c r="I624" i="4"/>
  <c r="J624" i="4"/>
  <c r="L624" i="4"/>
  <c r="F625" i="4"/>
  <c r="G625" i="4"/>
  <c r="H625" i="4"/>
  <c r="I625" i="4"/>
  <c r="J625" i="4"/>
  <c r="L625" i="4"/>
  <c r="F626" i="4"/>
  <c r="G626" i="4"/>
  <c r="H626" i="4"/>
  <c r="I626" i="4"/>
  <c r="J626" i="4"/>
  <c r="L626" i="4"/>
  <c r="F627" i="4"/>
  <c r="G627" i="4"/>
  <c r="H627" i="4"/>
  <c r="I627" i="4"/>
  <c r="J627" i="4"/>
  <c r="L627" i="4"/>
  <c r="F628" i="4"/>
  <c r="G628" i="4"/>
  <c r="H628" i="4"/>
  <c r="I628" i="4"/>
  <c r="J628" i="4"/>
  <c r="L628" i="4"/>
  <c r="F629" i="4"/>
  <c r="G629" i="4"/>
  <c r="H629" i="4"/>
  <c r="I629" i="4"/>
  <c r="J629" i="4"/>
  <c r="L629" i="4"/>
  <c r="F630" i="4"/>
  <c r="G630" i="4"/>
  <c r="H630" i="4"/>
  <c r="I630" i="4"/>
  <c r="J630" i="4"/>
  <c r="L630" i="4"/>
  <c r="F631" i="4"/>
  <c r="G631" i="4"/>
  <c r="H631" i="4"/>
  <c r="I631" i="4"/>
  <c r="J631" i="4"/>
  <c r="L631" i="4"/>
  <c r="F632" i="4"/>
  <c r="G632" i="4"/>
  <c r="H632" i="4"/>
  <c r="I632" i="4"/>
  <c r="J632" i="4"/>
  <c r="L632" i="4"/>
  <c r="F633" i="4"/>
  <c r="G633" i="4"/>
  <c r="H633" i="4"/>
  <c r="I633" i="4"/>
  <c r="J633" i="4"/>
  <c r="L633" i="4"/>
  <c r="F634" i="4"/>
  <c r="G634" i="4"/>
  <c r="H634" i="4"/>
  <c r="I634" i="4"/>
  <c r="J634" i="4"/>
  <c r="L634" i="4"/>
  <c r="F635" i="4"/>
  <c r="G635" i="4"/>
  <c r="H635" i="4"/>
  <c r="I635" i="4"/>
  <c r="J635" i="4"/>
  <c r="L635" i="4"/>
  <c r="F636" i="4"/>
  <c r="G636" i="4"/>
  <c r="H636" i="4"/>
  <c r="I636" i="4"/>
  <c r="J636" i="4"/>
  <c r="L636" i="4"/>
  <c r="F637" i="4"/>
  <c r="G637" i="4"/>
  <c r="H637" i="4"/>
  <c r="I637" i="4"/>
  <c r="J637" i="4"/>
  <c r="L637" i="4"/>
  <c r="F638" i="4"/>
  <c r="G638" i="4"/>
  <c r="H638" i="4"/>
  <c r="I638" i="4"/>
  <c r="J638" i="4"/>
  <c r="L638" i="4"/>
  <c r="F639" i="4"/>
  <c r="G639" i="4"/>
  <c r="H639" i="4"/>
  <c r="I639" i="4"/>
  <c r="J639" i="4"/>
  <c r="L639" i="4"/>
  <c r="F640" i="4"/>
  <c r="G640" i="4"/>
  <c r="H640" i="4"/>
  <c r="I640" i="4"/>
  <c r="J640" i="4"/>
  <c r="L640" i="4"/>
  <c r="F641" i="4"/>
  <c r="G641" i="4"/>
  <c r="H641" i="4"/>
  <c r="I641" i="4"/>
  <c r="J641" i="4"/>
  <c r="L641" i="4"/>
  <c r="F642" i="4"/>
  <c r="G642" i="4"/>
  <c r="H642" i="4"/>
  <c r="I642" i="4"/>
  <c r="J642" i="4"/>
  <c r="L642" i="4"/>
  <c r="F643" i="4"/>
  <c r="G643" i="4"/>
  <c r="H643" i="4"/>
  <c r="I643" i="4"/>
  <c r="J643" i="4"/>
  <c r="L643" i="4"/>
  <c r="F644" i="4"/>
  <c r="G644" i="4"/>
  <c r="H644" i="4"/>
  <c r="I644" i="4"/>
  <c r="J644" i="4"/>
  <c r="L644" i="4"/>
  <c r="F645" i="4"/>
  <c r="G645" i="4"/>
  <c r="H645" i="4"/>
  <c r="I645" i="4"/>
  <c r="J645" i="4"/>
  <c r="L645" i="4"/>
  <c r="F646" i="4"/>
  <c r="G646" i="4"/>
  <c r="H646" i="4"/>
  <c r="I646" i="4"/>
  <c r="J646" i="4"/>
  <c r="L646" i="4"/>
  <c r="F647" i="4"/>
  <c r="G647" i="4"/>
  <c r="H647" i="4"/>
  <c r="I647" i="4"/>
  <c r="J647" i="4"/>
  <c r="L647" i="4"/>
  <c r="F648" i="4"/>
  <c r="G648" i="4"/>
  <c r="H648" i="4"/>
  <c r="I648" i="4"/>
  <c r="J648" i="4"/>
  <c r="L648" i="4"/>
  <c r="F649" i="4"/>
  <c r="G649" i="4"/>
  <c r="H649" i="4"/>
  <c r="I649" i="4"/>
  <c r="J649" i="4"/>
  <c r="L649" i="4"/>
  <c r="F650" i="4"/>
  <c r="G650" i="4"/>
  <c r="H650" i="4"/>
  <c r="I650" i="4"/>
  <c r="J650" i="4"/>
  <c r="L650" i="4"/>
  <c r="F651" i="4"/>
  <c r="G651" i="4"/>
  <c r="H651" i="4"/>
  <c r="I651" i="4"/>
  <c r="J651" i="4"/>
  <c r="L651" i="4"/>
  <c r="F652" i="4"/>
  <c r="G652" i="4"/>
  <c r="H652" i="4"/>
  <c r="I652" i="4"/>
  <c r="J652" i="4"/>
  <c r="L652" i="4"/>
  <c r="F653" i="4"/>
  <c r="G653" i="4"/>
  <c r="H653" i="4"/>
  <c r="I653" i="4"/>
  <c r="J653" i="4"/>
  <c r="L653" i="4"/>
  <c r="F654" i="4"/>
  <c r="G654" i="4"/>
  <c r="H654" i="4"/>
  <c r="I654" i="4"/>
  <c r="J654" i="4"/>
  <c r="L654" i="4"/>
  <c r="F655" i="4"/>
  <c r="G655" i="4"/>
  <c r="H655" i="4"/>
  <c r="I655" i="4"/>
  <c r="J655" i="4"/>
  <c r="L655" i="4"/>
  <c r="F656" i="4"/>
  <c r="G656" i="4"/>
  <c r="H656" i="4"/>
  <c r="I656" i="4"/>
  <c r="J656" i="4"/>
  <c r="L656" i="4"/>
  <c r="F657" i="4"/>
  <c r="G657" i="4"/>
  <c r="H657" i="4"/>
  <c r="I657" i="4"/>
  <c r="J657" i="4"/>
  <c r="L657" i="4"/>
  <c r="F658" i="4"/>
  <c r="G658" i="4"/>
  <c r="H658" i="4"/>
  <c r="I658" i="4"/>
  <c r="J658" i="4"/>
  <c r="L658" i="4"/>
  <c r="F659" i="4"/>
  <c r="G659" i="4"/>
  <c r="H659" i="4"/>
  <c r="I659" i="4"/>
  <c r="J659" i="4"/>
  <c r="L659" i="4"/>
  <c r="F660" i="4"/>
  <c r="G660" i="4"/>
  <c r="H660" i="4"/>
  <c r="I660" i="4"/>
  <c r="J660" i="4"/>
  <c r="L660" i="4"/>
  <c r="F661" i="4"/>
  <c r="G661" i="4"/>
  <c r="H661" i="4"/>
  <c r="I661" i="4"/>
  <c r="J661" i="4"/>
  <c r="L661" i="4"/>
  <c r="F662" i="4"/>
  <c r="G662" i="4"/>
  <c r="H662" i="4"/>
  <c r="I662" i="4"/>
  <c r="J662" i="4"/>
  <c r="L662" i="4"/>
  <c r="F663" i="4"/>
  <c r="G663" i="4"/>
  <c r="H663" i="4"/>
  <c r="I663" i="4"/>
  <c r="J663" i="4"/>
  <c r="L663" i="4"/>
  <c r="F664" i="4"/>
  <c r="G664" i="4"/>
  <c r="H664" i="4"/>
  <c r="I664" i="4"/>
  <c r="J664" i="4"/>
  <c r="L664" i="4"/>
  <c r="F665" i="4"/>
  <c r="G665" i="4"/>
  <c r="H665" i="4"/>
  <c r="I665" i="4"/>
  <c r="J665" i="4"/>
  <c r="L665" i="4"/>
  <c r="F666" i="4"/>
  <c r="G666" i="4"/>
  <c r="H666" i="4"/>
  <c r="I666" i="4"/>
  <c r="J666" i="4"/>
  <c r="L666" i="4"/>
  <c r="F667" i="4"/>
  <c r="G667" i="4"/>
  <c r="H667" i="4"/>
  <c r="I667" i="4"/>
  <c r="J667" i="4"/>
  <c r="L667" i="4"/>
  <c r="F668" i="4"/>
  <c r="G668" i="4"/>
  <c r="H668" i="4"/>
  <c r="I668" i="4"/>
  <c r="J668" i="4"/>
  <c r="L668" i="4"/>
  <c r="F669" i="4"/>
  <c r="G669" i="4"/>
  <c r="H669" i="4"/>
  <c r="I669" i="4"/>
  <c r="J669" i="4"/>
  <c r="L669" i="4"/>
  <c r="F670" i="4"/>
  <c r="G670" i="4"/>
  <c r="H670" i="4"/>
  <c r="I670" i="4"/>
  <c r="J670" i="4"/>
  <c r="L670" i="4"/>
  <c r="F671" i="4"/>
  <c r="G671" i="4"/>
  <c r="H671" i="4"/>
  <c r="I671" i="4"/>
  <c r="J671" i="4"/>
  <c r="L671" i="4"/>
  <c r="F672" i="4"/>
  <c r="G672" i="4"/>
  <c r="H672" i="4"/>
  <c r="I672" i="4"/>
  <c r="J672" i="4"/>
  <c r="L672" i="4"/>
  <c r="F673" i="4"/>
  <c r="G673" i="4"/>
  <c r="H673" i="4"/>
  <c r="I673" i="4"/>
  <c r="J673" i="4"/>
  <c r="L673" i="4"/>
  <c r="F674" i="4"/>
  <c r="G674" i="4"/>
  <c r="H674" i="4"/>
  <c r="I674" i="4"/>
  <c r="J674" i="4"/>
  <c r="L674" i="4"/>
  <c r="F675" i="4"/>
  <c r="G675" i="4"/>
  <c r="H675" i="4"/>
  <c r="I675" i="4"/>
  <c r="J675" i="4"/>
  <c r="L675" i="4"/>
  <c r="F676" i="4"/>
  <c r="G676" i="4"/>
  <c r="H676" i="4"/>
  <c r="I676" i="4"/>
  <c r="J676" i="4"/>
  <c r="L676" i="4"/>
  <c r="F677" i="4"/>
  <c r="G677" i="4"/>
  <c r="H677" i="4"/>
  <c r="I677" i="4"/>
  <c r="J677" i="4"/>
  <c r="L677" i="4"/>
  <c r="F678" i="4"/>
  <c r="G678" i="4"/>
  <c r="H678" i="4"/>
  <c r="I678" i="4"/>
  <c r="J678" i="4"/>
  <c r="L678" i="4"/>
  <c r="F679" i="4"/>
  <c r="G679" i="4"/>
  <c r="H679" i="4"/>
  <c r="I679" i="4"/>
  <c r="J679" i="4"/>
  <c r="L679" i="4"/>
  <c r="F680" i="4"/>
  <c r="G680" i="4"/>
  <c r="H680" i="4"/>
  <c r="I680" i="4"/>
  <c r="J680" i="4"/>
  <c r="L680" i="4"/>
  <c r="F681" i="4"/>
  <c r="G681" i="4"/>
  <c r="H681" i="4"/>
  <c r="I681" i="4"/>
  <c r="J681" i="4"/>
  <c r="L681" i="4"/>
  <c r="F682" i="4"/>
  <c r="G682" i="4"/>
  <c r="H682" i="4"/>
  <c r="I682" i="4"/>
  <c r="J682" i="4"/>
  <c r="L682" i="4"/>
  <c r="F683" i="4"/>
  <c r="G683" i="4"/>
  <c r="H683" i="4"/>
  <c r="I683" i="4"/>
  <c r="J683" i="4"/>
  <c r="L683" i="4"/>
  <c r="F684" i="4"/>
  <c r="G684" i="4"/>
  <c r="H684" i="4"/>
  <c r="I684" i="4"/>
  <c r="J684" i="4"/>
  <c r="L684" i="4"/>
  <c r="F685" i="4"/>
  <c r="G685" i="4"/>
  <c r="H685" i="4"/>
  <c r="I685" i="4"/>
  <c r="J685" i="4"/>
  <c r="L685" i="4"/>
  <c r="F686" i="4"/>
  <c r="G686" i="4"/>
  <c r="H686" i="4"/>
  <c r="I686" i="4"/>
  <c r="J686" i="4"/>
  <c r="L686" i="4"/>
  <c r="F687" i="4"/>
  <c r="G687" i="4"/>
  <c r="H687" i="4"/>
  <c r="I687" i="4"/>
  <c r="J687" i="4"/>
  <c r="L687" i="4"/>
  <c r="F688" i="4"/>
  <c r="G688" i="4"/>
  <c r="H688" i="4"/>
  <c r="I688" i="4"/>
  <c r="J688" i="4"/>
  <c r="L688" i="4"/>
  <c r="F689" i="4"/>
  <c r="G689" i="4"/>
  <c r="H689" i="4"/>
  <c r="I689" i="4"/>
  <c r="J689" i="4"/>
  <c r="L689" i="4"/>
  <c r="F690" i="4"/>
  <c r="G690" i="4"/>
  <c r="H690" i="4"/>
  <c r="I690" i="4"/>
  <c r="J690" i="4"/>
  <c r="L690" i="4"/>
  <c r="F691" i="4"/>
  <c r="G691" i="4"/>
  <c r="H691" i="4"/>
  <c r="I691" i="4"/>
  <c r="J691" i="4"/>
  <c r="L691" i="4"/>
  <c r="F692" i="4"/>
  <c r="G692" i="4"/>
  <c r="H692" i="4"/>
  <c r="I692" i="4"/>
  <c r="J692" i="4"/>
  <c r="L692" i="4"/>
  <c r="F693" i="4"/>
  <c r="G693" i="4"/>
  <c r="H693" i="4"/>
  <c r="I693" i="4"/>
  <c r="J693" i="4"/>
  <c r="L693" i="4"/>
  <c r="F694" i="4"/>
  <c r="G694" i="4"/>
  <c r="H694" i="4"/>
  <c r="I694" i="4"/>
  <c r="J694" i="4"/>
  <c r="L694" i="4"/>
  <c r="F695" i="4"/>
  <c r="G695" i="4"/>
  <c r="H695" i="4"/>
  <c r="I695" i="4"/>
  <c r="J695" i="4"/>
  <c r="L695" i="4"/>
  <c r="F696" i="4"/>
  <c r="G696" i="4"/>
  <c r="H696" i="4"/>
  <c r="I696" i="4"/>
  <c r="J696" i="4"/>
  <c r="L696" i="4"/>
  <c r="F697" i="4"/>
  <c r="G697" i="4"/>
  <c r="H697" i="4"/>
  <c r="I697" i="4"/>
  <c r="J697" i="4"/>
  <c r="L697" i="4"/>
  <c r="F698" i="4"/>
  <c r="G698" i="4"/>
  <c r="H698" i="4"/>
  <c r="I698" i="4"/>
  <c r="J698" i="4"/>
  <c r="L698" i="4"/>
  <c r="F699" i="4"/>
  <c r="G699" i="4"/>
  <c r="H699" i="4"/>
  <c r="I699" i="4"/>
  <c r="J699" i="4"/>
  <c r="L699" i="4"/>
  <c r="F700" i="4"/>
  <c r="G700" i="4"/>
  <c r="H700" i="4"/>
  <c r="I700" i="4"/>
  <c r="J700" i="4"/>
  <c r="L700" i="4"/>
  <c r="F701" i="4"/>
  <c r="G701" i="4"/>
  <c r="H701" i="4"/>
  <c r="I701" i="4"/>
  <c r="J701" i="4"/>
  <c r="L701" i="4"/>
  <c r="F702" i="4"/>
  <c r="G702" i="4"/>
  <c r="H702" i="4"/>
  <c r="I702" i="4"/>
  <c r="J702" i="4"/>
  <c r="L702" i="4"/>
  <c r="F703" i="4"/>
  <c r="G703" i="4"/>
  <c r="H703" i="4"/>
  <c r="I703" i="4"/>
  <c r="J703" i="4"/>
  <c r="L703" i="4"/>
  <c r="F704" i="4"/>
  <c r="G704" i="4"/>
  <c r="H704" i="4"/>
  <c r="I704" i="4"/>
  <c r="J704" i="4"/>
  <c r="L704" i="4"/>
  <c r="F705" i="4"/>
  <c r="G705" i="4"/>
  <c r="H705" i="4"/>
  <c r="I705" i="4"/>
  <c r="J705" i="4"/>
  <c r="L705" i="4"/>
  <c r="F706" i="4"/>
  <c r="G706" i="4"/>
  <c r="H706" i="4"/>
  <c r="I706" i="4"/>
  <c r="J706" i="4"/>
  <c r="L706" i="4"/>
  <c r="F707" i="4"/>
  <c r="G707" i="4"/>
  <c r="H707" i="4"/>
  <c r="I707" i="4"/>
  <c r="J707" i="4"/>
  <c r="L707" i="4"/>
  <c r="F708" i="4"/>
  <c r="G708" i="4"/>
  <c r="H708" i="4"/>
  <c r="I708" i="4"/>
  <c r="J708" i="4"/>
  <c r="L708" i="4"/>
  <c r="F709" i="4"/>
  <c r="G709" i="4"/>
  <c r="H709" i="4"/>
  <c r="I709" i="4"/>
  <c r="J709" i="4"/>
  <c r="L709" i="4"/>
  <c r="F710" i="4"/>
  <c r="G710" i="4"/>
  <c r="H710" i="4"/>
  <c r="I710" i="4"/>
  <c r="J710" i="4"/>
  <c r="L710" i="4"/>
  <c r="F711" i="4"/>
  <c r="G711" i="4"/>
  <c r="H711" i="4"/>
  <c r="I711" i="4"/>
  <c r="J711" i="4"/>
  <c r="L711" i="4"/>
  <c r="F712" i="4"/>
  <c r="G712" i="4"/>
  <c r="H712" i="4"/>
  <c r="I712" i="4"/>
  <c r="J712" i="4"/>
  <c r="L712" i="4"/>
  <c r="F713" i="4"/>
  <c r="G713" i="4"/>
  <c r="H713" i="4"/>
  <c r="I713" i="4"/>
  <c r="J713" i="4"/>
  <c r="L713" i="4"/>
  <c r="F714" i="4"/>
  <c r="G714" i="4"/>
  <c r="H714" i="4"/>
  <c r="I714" i="4"/>
  <c r="J714" i="4"/>
  <c r="L714" i="4"/>
  <c r="F715" i="4"/>
  <c r="G715" i="4"/>
  <c r="H715" i="4"/>
  <c r="I715" i="4"/>
  <c r="J715" i="4"/>
  <c r="L715" i="4"/>
  <c r="F716" i="4"/>
  <c r="G716" i="4"/>
  <c r="H716" i="4"/>
  <c r="I716" i="4"/>
  <c r="J716" i="4"/>
  <c r="L716" i="4"/>
  <c r="F717" i="4"/>
  <c r="G717" i="4"/>
  <c r="H717" i="4"/>
  <c r="I717" i="4"/>
  <c r="J717" i="4"/>
  <c r="L717" i="4"/>
  <c r="F718" i="4"/>
  <c r="G718" i="4"/>
  <c r="H718" i="4"/>
  <c r="I718" i="4"/>
  <c r="J718" i="4"/>
  <c r="L718" i="4"/>
  <c r="F719" i="4"/>
  <c r="G719" i="4"/>
  <c r="H719" i="4"/>
  <c r="I719" i="4"/>
  <c r="J719" i="4"/>
  <c r="L719" i="4"/>
  <c r="F720" i="4"/>
  <c r="G720" i="4"/>
  <c r="H720" i="4"/>
  <c r="I720" i="4"/>
  <c r="J720" i="4"/>
  <c r="L720" i="4"/>
  <c r="F721" i="4"/>
  <c r="G721" i="4"/>
  <c r="H721" i="4"/>
  <c r="I721" i="4"/>
  <c r="J721" i="4"/>
  <c r="L721" i="4"/>
  <c r="F722" i="4"/>
  <c r="G722" i="4"/>
  <c r="H722" i="4"/>
  <c r="I722" i="4"/>
  <c r="J722" i="4"/>
  <c r="L722" i="4"/>
  <c r="F723" i="4"/>
  <c r="G723" i="4"/>
  <c r="H723" i="4"/>
  <c r="I723" i="4"/>
  <c r="J723" i="4"/>
  <c r="L723" i="4"/>
  <c r="F724" i="4"/>
  <c r="G724" i="4"/>
  <c r="H724" i="4"/>
  <c r="I724" i="4"/>
  <c r="J724" i="4"/>
  <c r="L724" i="4"/>
  <c r="F725" i="4"/>
  <c r="G725" i="4"/>
  <c r="H725" i="4"/>
  <c r="I725" i="4"/>
  <c r="J725" i="4"/>
  <c r="L725" i="4"/>
  <c r="F726" i="4"/>
  <c r="G726" i="4"/>
  <c r="H726" i="4"/>
  <c r="I726" i="4"/>
  <c r="J726" i="4"/>
  <c r="L726" i="4"/>
  <c r="F727" i="4"/>
  <c r="G727" i="4"/>
  <c r="H727" i="4"/>
  <c r="I727" i="4"/>
  <c r="J727" i="4"/>
  <c r="L727" i="4"/>
  <c r="F728" i="4"/>
  <c r="G728" i="4"/>
  <c r="H728" i="4"/>
  <c r="I728" i="4"/>
  <c r="J728" i="4"/>
  <c r="L728" i="4"/>
  <c r="F729" i="4"/>
  <c r="G729" i="4"/>
  <c r="H729" i="4"/>
  <c r="I729" i="4"/>
  <c r="J729" i="4"/>
  <c r="L729" i="4"/>
  <c r="F730" i="4"/>
  <c r="G730" i="4"/>
  <c r="H730" i="4"/>
  <c r="I730" i="4"/>
  <c r="J730" i="4"/>
  <c r="L730" i="4"/>
  <c r="F731" i="4"/>
  <c r="G731" i="4"/>
  <c r="H731" i="4"/>
  <c r="I731" i="4"/>
  <c r="J731" i="4"/>
  <c r="L731" i="4"/>
  <c r="F732" i="4"/>
  <c r="G732" i="4"/>
  <c r="H732" i="4"/>
  <c r="I732" i="4"/>
  <c r="J732" i="4"/>
  <c r="L732" i="4"/>
  <c r="F733" i="4"/>
  <c r="G733" i="4"/>
  <c r="H733" i="4"/>
  <c r="I733" i="4"/>
  <c r="J733" i="4"/>
  <c r="L733" i="4"/>
  <c r="F734" i="4"/>
  <c r="G734" i="4"/>
  <c r="H734" i="4"/>
  <c r="I734" i="4"/>
  <c r="J734" i="4"/>
  <c r="L734" i="4"/>
  <c r="F735" i="4"/>
  <c r="G735" i="4"/>
  <c r="H735" i="4"/>
  <c r="I735" i="4"/>
  <c r="J735" i="4"/>
  <c r="L735" i="4"/>
  <c r="F736" i="4"/>
  <c r="G736" i="4"/>
  <c r="H736" i="4"/>
  <c r="I736" i="4"/>
  <c r="J736" i="4"/>
  <c r="L736" i="4"/>
  <c r="F737" i="4"/>
  <c r="G737" i="4"/>
  <c r="H737" i="4"/>
  <c r="I737" i="4"/>
  <c r="J737" i="4"/>
  <c r="L737" i="4"/>
  <c r="F738" i="4"/>
  <c r="G738" i="4"/>
  <c r="H738" i="4"/>
  <c r="I738" i="4"/>
  <c r="J738" i="4"/>
  <c r="L738" i="4"/>
  <c r="F739" i="4"/>
  <c r="G739" i="4"/>
  <c r="H739" i="4"/>
  <c r="I739" i="4"/>
  <c r="J739" i="4"/>
  <c r="L739" i="4"/>
  <c r="F740" i="4"/>
  <c r="G740" i="4"/>
  <c r="H740" i="4"/>
  <c r="I740" i="4"/>
  <c r="J740" i="4"/>
  <c r="L740" i="4"/>
  <c r="F741" i="4"/>
  <c r="G741" i="4"/>
  <c r="H741" i="4"/>
  <c r="I741" i="4"/>
  <c r="J741" i="4"/>
  <c r="L741" i="4"/>
  <c r="F742" i="4"/>
  <c r="G742" i="4"/>
  <c r="H742" i="4"/>
  <c r="I742" i="4"/>
  <c r="J742" i="4"/>
  <c r="L742" i="4"/>
  <c r="F743" i="4"/>
  <c r="G743" i="4"/>
  <c r="H743" i="4"/>
  <c r="I743" i="4"/>
  <c r="J743" i="4"/>
  <c r="L743" i="4"/>
  <c r="F744" i="4"/>
  <c r="G744" i="4"/>
  <c r="H744" i="4"/>
  <c r="I744" i="4"/>
  <c r="J744" i="4"/>
  <c r="L744" i="4"/>
  <c r="F745" i="4"/>
  <c r="G745" i="4"/>
  <c r="H745" i="4"/>
  <c r="I745" i="4"/>
  <c r="J745" i="4"/>
  <c r="L745" i="4"/>
  <c r="F746" i="4"/>
  <c r="G746" i="4"/>
  <c r="H746" i="4"/>
  <c r="I746" i="4"/>
  <c r="J746" i="4"/>
  <c r="L746" i="4"/>
  <c r="F747" i="4"/>
  <c r="G747" i="4"/>
  <c r="H747" i="4"/>
  <c r="I747" i="4"/>
  <c r="J747" i="4"/>
  <c r="L747" i="4"/>
  <c r="F748" i="4"/>
  <c r="G748" i="4"/>
  <c r="H748" i="4"/>
  <c r="I748" i="4"/>
  <c r="J748" i="4"/>
  <c r="L748" i="4"/>
  <c r="F749" i="4"/>
  <c r="G749" i="4"/>
  <c r="H749" i="4"/>
  <c r="I749" i="4"/>
  <c r="J749" i="4"/>
  <c r="L749" i="4"/>
  <c r="F750" i="4"/>
  <c r="G750" i="4"/>
  <c r="H750" i="4"/>
  <c r="I750" i="4"/>
  <c r="J750" i="4"/>
  <c r="L750" i="4"/>
  <c r="F751" i="4"/>
  <c r="G751" i="4"/>
  <c r="H751" i="4"/>
  <c r="I751" i="4"/>
  <c r="J751" i="4"/>
  <c r="L751" i="4"/>
  <c r="F752" i="4"/>
  <c r="G752" i="4"/>
  <c r="H752" i="4"/>
  <c r="I752" i="4"/>
  <c r="J752" i="4"/>
  <c r="L752" i="4"/>
  <c r="F753" i="4"/>
  <c r="G753" i="4"/>
  <c r="H753" i="4"/>
  <c r="I753" i="4"/>
  <c r="J753" i="4"/>
  <c r="L753" i="4"/>
  <c r="F754" i="4"/>
  <c r="G754" i="4"/>
  <c r="H754" i="4"/>
  <c r="I754" i="4"/>
  <c r="J754" i="4"/>
  <c r="L754" i="4"/>
  <c r="F755" i="4"/>
  <c r="G755" i="4"/>
  <c r="H755" i="4"/>
  <c r="I755" i="4"/>
  <c r="J755" i="4"/>
  <c r="L755" i="4"/>
  <c r="F756" i="4"/>
  <c r="G756" i="4"/>
  <c r="H756" i="4"/>
  <c r="I756" i="4"/>
  <c r="J756" i="4"/>
  <c r="L756" i="4"/>
  <c r="F757" i="4"/>
  <c r="G757" i="4"/>
  <c r="H757" i="4"/>
  <c r="I757" i="4"/>
  <c r="J757" i="4"/>
  <c r="L757" i="4"/>
  <c r="F758" i="4"/>
  <c r="G758" i="4"/>
  <c r="H758" i="4"/>
  <c r="I758" i="4"/>
  <c r="J758" i="4"/>
  <c r="L758" i="4"/>
  <c r="F759" i="4"/>
  <c r="G759" i="4"/>
  <c r="H759" i="4"/>
  <c r="I759" i="4"/>
  <c r="J759" i="4"/>
  <c r="L759" i="4"/>
  <c r="F760" i="4"/>
  <c r="G760" i="4"/>
  <c r="H760" i="4"/>
  <c r="I760" i="4"/>
  <c r="J760" i="4"/>
  <c r="L760" i="4"/>
  <c r="F761" i="4"/>
  <c r="G761" i="4"/>
  <c r="H761" i="4"/>
  <c r="I761" i="4"/>
  <c r="J761" i="4"/>
  <c r="L761" i="4"/>
  <c r="F762" i="4"/>
  <c r="G762" i="4"/>
  <c r="H762" i="4"/>
  <c r="I762" i="4"/>
  <c r="J762" i="4"/>
  <c r="L762" i="4"/>
  <c r="F763" i="4"/>
  <c r="G763" i="4"/>
  <c r="H763" i="4"/>
  <c r="I763" i="4"/>
  <c r="J763" i="4"/>
  <c r="L763" i="4"/>
  <c r="F764" i="4"/>
  <c r="G764" i="4"/>
  <c r="H764" i="4"/>
  <c r="I764" i="4"/>
  <c r="J764" i="4"/>
  <c r="L764" i="4"/>
  <c r="F765" i="4"/>
  <c r="G765" i="4"/>
  <c r="H765" i="4"/>
  <c r="I765" i="4"/>
  <c r="J765" i="4"/>
  <c r="L765" i="4"/>
  <c r="F766" i="4"/>
  <c r="G766" i="4"/>
  <c r="H766" i="4"/>
  <c r="I766" i="4"/>
  <c r="J766" i="4"/>
  <c r="L766" i="4"/>
  <c r="F767" i="4"/>
  <c r="G767" i="4"/>
  <c r="H767" i="4"/>
  <c r="I767" i="4"/>
  <c r="J767" i="4"/>
  <c r="L767" i="4"/>
  <c r="F768" i="4"/>
  <c r="G768" i="4"/>
  <c r="H768" i="4"/>
  <c r="I768" i="4"/>
  <c r="J768" i="4"/>
  <c r="L768" i="4"/>
  <c r="F769" i="4"/>
  <c r="G769" i="4"/>
  <c r="H769" i="4"/>
  <c r="I769" i="4"/>
  <c r="J769" i="4"/>
  <c r="L769" i="4"/>
  <c r="F770" i="4"/>
  <c r="G770" i="4"/>
  <c r="H770" i="4"/>
  <c r="I770" i="4"/>
  <c r="J770" i="4"/>
  <c r="L770" i="4"/>
  <c r="F771" i="4"/>
  <c r="G771" i="4"/>
  <c r="H771" i="4"/>
  <c r="I771" i="4"/>
  <c r="J771" i="4"/>
  <c r="L771" i="4"/>
  <c r="F772" i="4"/>
  <c r="G772" i="4"/>
  <c r="H772" i="4"/>
  <c r="I772" i="4"/>
  <c r="J772" i="4"/>
  <c r="L772" i="4"/>
  <c r="F773" i="4"/>
  <c r="G773" i="4"/>
  <c r="H773" i="4"/>
  <c r="I773" i="4"/>
  <c r="J773" i="4"/>
  <c r="L773" i="4"/>
  <c r="F774" i="4"/>
  <c r="G774" i="4"/>
  <c r="H774" i="4"/>
  <c r="I774" i="4"/>
  <c r="J774" i="4"/>
  <c r="L774" i="4"/>
  <c r="F775" i="4"/>
  <c r="G775" i="4"/>
  <c r="H775" i="4"/>
  <c r="I775" i="4"/>
  <c r="J775" i="4"/>
  <c r="L775" i="4"/>
  <c r="F776" i="4"/>
  <c r="G776" i="4"/>
  <c r="H776" i="4"/>
  <c r="I776" i="4"/>
  <c r="J776" i="4"/>
  <c r="L776" i="4"/>
  <c r="F777" i="4"/>
  <c r="G777" i="4"/>
  <c r="H777" i="4"/>
  <c r="I777" i="4"/>
  <c r="J777" i="4"/>
  <c r="L777" i="4"/>
  <c r="F778" i="4"/>
  <c r="G778" i="4"/>
  <c r="H778" i="4"/>
  <c r="I778" i="4"/>
  <c r="J778" i="4"/>
  <c r="L778" i="4"/>
  <c r="F779" i="4"/>
  <c r="G779" i="4"/>
  <c r="H779" i="4"/>
  <c r="I779" i="4"/>
  <c r="J779" i="4"/>
  <c r="L779" i="4"/>
  <c r="F780" i="4"/>
  <c r="G780" i="4"/>
  <c r="H780" i="4"/>
  <c r="I780" i="4"/>
  <c r="J780" i="4"/>
  <c r="L780" i="4"/>
  <c r="F781" i="4"/>
  <c r="G781" i="4"/>
  <c r="H781" i="4"/>
  <c r="I781" i="4"/>
  <c r="J781" i="4"/>
  <c r="L781" i="4"/>
  <c r="F782" i="4"/>
  <c r="G782" i="4"/>
  <c r="H782" i="4"/>
  <c r="I782" i="4"/>
  <c r="J782" i="4"/>
  <c r="L782" i="4"/>
  <c r="F783" i="4"/>
  <c r="G783" i="4"/>
  <c r="H783" i="4"/>
  <c r="I783" i="4"/>
  <c r="J783" i="4"/>
  <c r="L783" i="4"/>
  <c r="F784" i="4"/>
  <c r="G784" i="4"/>
  <c r="H784" i="4"/>
  <c r="I784" i="4"/>
  <c r="J784" i="4"/>
  <c r="L784" i="4"/>
  <c r="F785" i="4"/>
  <c r="G785" i="4"/>
  <c r="H785" i="4"/>
  <c r="I785" i="4"/>
  <c r="J785" i="4"/>
  <c r="L785" i="4"/>
  <c r="F786" i="4"/>
  <c r="G786" i="4"/>
  <c r="H786" i="4"/>
  <c r="I786" i="4"/>
  <c r="J786" i="4"/>
  <c r="L786" i="4"/>
  <c r="F787" i="4"/>
  <c r="G787" i="4"/>
  <c r="H787" i="4"/>
  <c r="I787" i="4"/>
  <c r="J787" i="4"/>
  <c r="L787" i="4"/>
  <c r="F788" i="4"/>
  <c r="G788" i="4"/>
  <c r="H788" i="4"/>
  <c r="I788" i="4"/>
  <c r="J788" i="4"/>
  <c r="L788" i="4"/>
  <c r="F789" i="4"/>
  <c r="G789" i="4"/>
  <c r="H789" i="4"/>
  <c r="I789" i="4"/>
  <c r="J789" i="4"/>
  <c r="L789" i="4"/>
  <c r="F790" i="4"/>
  <c r="G790" i="4"/>
  <c r="H790" i="4"/>
  <c r="I790" i="4"/>
  <c r="J790" i="4"/>
  <c r="L790" i="4"/>
  <c r="F791" i="4"/>
  <c r="G791" i="4"/>
  <c r="H791" i="4"/>
  <c r="I791" i="4"/>
  <c r="J791" i="4"/>
  <c r="L791" i="4"/>
  <c r="F792" i="4"/>
  <c r="G792" i="4"/>
  <c r="H792" i="4"/>
  <c r="I792" i="4"/>
  <c r="J792" i="4"/>
  <c r="L792" i="4"/>
  <c r="F793" i="4"/>
  <c r="G793" i="4"/>
  <c r="H793" i="4"/>
  <c r="I793" i="4"/>
  <c r="J793" i="4"/>
  <c r="L793" i="4"/>
  <c r="F794" i="4"/>
  <c r="G794" i="4"/>
  <c r="H794" i="4"/>
  <c r="I794" i="4"/>
  <c r="J794" i="4"/>
  <c r="L794" i="4"/>
  <c r="F795" i="4"/>
  <c r="G795" i="4"/>
  <c r="H795" i="4"/>
  <c r="I795" i="4"/>
  <c r="J795" i="4"/>
  <c r="L795" i="4"/>
  <c r="F796" i="4"/>
  <c r="G796" i="4"/>
  <c r="H796" i="4"/>
  <c r="I796" i="4"/>
  <c r="J796" i="4"/>
  <c r="L796" i="4"/>
  <c r="F797" i="4"/>
  <c r="G797" i="4"/>
  <c r="H797" i="4"/>
  <c r="I797" i="4"/>
  <c r="J797" i="4"/>
  <c r="L797" i="4"/>
  <c r="F798" i="4"/>
  <c r="G798" i="4"/>
  <c r="H798" i="4"/>
  <c r="I798" i="4"/>
  <c r="J798" i="4"/>
  <c r="L798" i="4"/>
  <c r="F799" i="4"/>
  <c r="G799" i="4"/>
  <c r="H799" i="4"/>
  <c r="I799" i="4"/>
  <c r="J799" i="4"/>
  <c r="L799" i="4"/>
  <c r="F800" i="4"/>
  <c r="G800" i="4"/>
  <c r="H800" i="4"/>
  <c r="I800" i="4"/>
  <c r="J800" i="4"/>
  <c r="L800" i="4"/>
  <c r="F801" i="4"/>
  <c r="G801" i="4"/>
  <c r="H801" i="4"/>
  <c r="I801" i="4"/>
  <c r="J801" i="4"/>
  <c r="L801" i="4"/>
  <c r="F802" i="4"/>
  <c r="G802" i="4"/>
  <c r="H802" i="4"/>
  <c r="I802" i="4"/>
  <c r="J802" i="4"/>
  <c r="L802" i="4"/>
  <c r="F803" i="4"/>
  <c r="G803" i="4"/>
  <c r="H803" i="4"/>
  <c r="I803" i="4"/>
  <c r="J803" i="4"/>
  <c r="L803" i="4"/>
  <c r="F804" i="4"/>
  <c r="G804" i="4"/>
  <c r="H804" i="4"/>
  <c r="I804" i="4"/>
  <c r="J804" i="4"/>
  <c r="L804" i="4"/>
  <c r="F805" i="4"/>
  <c r="G805" i="4"/>
  <c r="H805" i="4"/>
  <c r="I805" i="4"/>
  <c r="J805" i="4"/>
  <c r="L805" i="4"/>
  <c r="F806" i="4"/>
  <c r="G806" i="4"/>
  <c r="H806" i="4"/>
  <c r="I806" i="4"/>
  <c r="J806" i="4"/>
  <c r="L806" i="4"/>
  <c r="F807" i="4"/>
  <c r="G807" i="4"/>
  <c r="H807" i="4"/>
  <c r="I807" i="4"/>
  <c r="J807" i="4"/>
  <c r="L807" i="4"/>
  <c r="F808" i="4"/>
  <c r="G808" i="4"/>
  <c r="H808" i="4"/>
  <c r="I808" i="4"/>
  <c r="J808" i="4"/>
  <c r="L808" i="4"/>
  <c r="F809" i="4"/>
  <c r="G809" i="4"/>
  <c r="H809" i="4"/>
  <c r="I809" i="4"/>
  <c r="J809" i="4"/>
  <c r="L809" i="4"/>
  <c r="F810" i="4"/>
  <c r="G810" i="4"/>
  <c r="H810" i="4"/>
  <c r="I810" i="4"/>
  <c r="J810" i="4"/>
  <c r="L810" i="4"/>
  <c r="F811" i="4"/>
  <c r="G811" i="4"/>
  <c r="H811" i="4"/>
  <c r="I811" i="4"/>
  <c r="J811" i="4"/>
  <c r="L811" i="4"/>
  <c r="F812" i="4"/>
  <c r="G812" i="4"/>
  <c r="H812" i="4"/>
  <c r="I812" i="4"/>
  <c r="J812" i="4"/>
  <c r="L812" i="4"/>
  <c r="F813" i="4"/>
  <c r="G813" i="4"/>
  <c r="H813" i="4"/>
  <c r="I813" i="4"/>
  <c r="J813" i="4"/>
  <c r="L813" i="4"/>
  <c r="F814" i="4"/>
  <c r="G814" i="4"/>
  <c r="H814" i="4"/>
  <c r="I814" i="4"/>
  <c r="J814" i="4"/>
  <c r="L814" i="4"/>
  <c r="F815" i="4"/>
  <c r="G815" i="4"/>
  <c r="H815" i="4"/>
  <c r="I815" i="4"/>
  <c r="J815" i="4"/>
  <c r="L815" i="4"/>
  <c r="F816" i="4"/>
  <c r="G816" i="4"/>
  <c r="H816" i="4"/>
  <c r="I816" i="4"/>
  <c r="J816" i="4"/>
  <c r="L816" i="4"/>
  <c r="F817" i="4"/>
  <c r="G817" i="4"/>
  <c r="H817" i="4"/>
  <c r="I817" i="4"/>
  <c r="J817" i="4"/>
  <c r="L817" i="4"/>
  <c r="F818" i="4"/>
  <c r="G818" i="4"/>
  <c r="H818" i="4"/>
  <c r="I818" i="4"/>
  <c r="J818" i="4"/>
  <c r="L818" i="4"/>
  <c r="F819" i="4"/>
  <c r="G819" i="4"/>
  <c r="H819" i="4"/>
  <c r="I819" i="4"/>
  <c r="J819" i="4"/>
  <c r="L819" i="4"/>
  <c r="F820" i="4"/>
  <c r="G820" i="4"/>
  <c r="H820" i="4"/>
  <c r="I820" i="4"/>
  <c r="J820" i="4"/>
  <c r="L820" i="4"/>
  <c r="F821" i="4"/>
  <c r="G821" i="4"/>
  <c r="H821" i="4"/>
  <c r="I821" i="4"/>
  <c r="J821" i="4"/>
  <c r="L821" i="4"/>
  <c r="F822" i="4"/>
  <c r="G822" i="4"/>
  <c r="H822" i="4"/>
  <c r="I822" i="4"/>
  <c r="J822" i="4"/>
  <c r="L822" i="4"/>
  <c r="F823" i="4"/>
  <c r="G823" i="4"/>
  <c r="H823" i="4"/>
  <c r="I823" i="4"/>
  <c r="J823" i="4"/>
  <c r="L823" i="4"/>
  <c r="F824" i="4"/>
  <c r="G824" i="4"/>
  <c r="H824" i="4"/>
  <c r="I824" i="4"/>
  <c r="J824" i="4"/>
  <c r="L824" i="4"/>
  <c r="F825" i="4"/>
  <c r="G825" i="4"/>
  <c r="H825" i="4"/>
  <c r="I825" i="4"/>
  <c r="J825" i="4"/>
  <c r="L825" i="4"/>
  <c r="F826" i="4"/>
  <c r="G826" i="4"/>
  <c r="H826" i="4"/>
  <c r="I826" i="4"/>
  <c r="J826" i="4"/>
  <c r="L826" i="4"/>
  <c r="F827" i="4"/>
  <c r="G827" i="4"/>
  <c r="H827" i="4"/>
  <c r="I827" i="4"/>
  <c r="J827" i="4"/>
  <c r="L827" i="4"/>
  <c r="F828" i="4"/>
  <c r="G828" i="4"/>
  <c r="H828" i="4"/>
  <c r="I828" i="4"/>
  <c r="J828" i="4"/>
  <c r="L828" i="4"/>
  <c r="F829" i="4"/>
  <c r="G829" i="4"/>
  <c r="H829" i="4"/>
  <c r="I829" i="4"/>
  <c r="J829" i="4"/>
  <c r="L829" i="4"/>
  <c r="F830" i="4"/>
  <c r="G830" i="4"/>
  <c r="H830" i="4"/>
  <c r="I830" i="4"/>
  <c r="J830" i="4"/>
  <c r="L830" i="4"/>
  <c r="F831" i="4"/>
  <c r="G831" i="4"/>
  <c r="H831" i="4"/>
  <c r="I831" i="4"/>
  <c r="J831" i="4"/>
  <c r="L831" i="4"/>
  <c r="F832" i="4"/>
  <c r="G832" i="4"/>
  <c r="H832" i="4"/>
  <c r="I832" i="4"/>
  <c r="J832" i="4"/>
  <c r="L832" i="4"/>
  <c r="F833" i="4"/>
  <c r="G833" i="4"/>
  <c r="H833" i="4"/>
  <c r="I833" i="4"/>
  <c r="J833" i="4"/>
  <c r="L833" i="4"/>
  <c r="F834" i="4"/>
  <c r="G834" i="4"/>
  <c r="H834" i="4"/>
  <c r="I834" i="4"/>
  <c r="J834" i="4"/>
  <c r="L834" i="4"/>
  <c r="F835" i="4"/>
  <c r="G835" i="4"/>
  <c r="H835" i="4"/>
  <c r="I835" i="4"/>
  <c r="J835" i="4"/>
  <c r="L835" i="4"/>
  <c r="F836" i="4"/>
  <c r="G836" i="4"/>
  <c r="H836" i="4"/>
  <c r="I836" i="4"/>
  <c r="J836" i="4"/>
  <c r="L836" i="4"/>
  <c r="F837" i="4"/>
  <c r="G837" i="4"/>
  <c r="H837" i="4"/>
  <c r="I837" i="4"/>
  <c r="J837" i="4"/>
  <c r="L837" i="4"/>
  <c r="F838" i="4"/>
  <c r="G838" i="4"/>
  <c r="H838" i="4"/>
  <c r="I838" i="4"/>
  <c r="J838" i="4"/>
  <c r="L838" i="4"/>
  <c r="F839" i="4"/>
  <c r="G839" i="4"/>
  <c r="H839" i="4"/>
  <c r="I839" i="4"/>
  <c r="J839" i="4"/>
  <c r="L839" i="4"/>
  <c r="F840" i="4"/>
  <c r="G840" i="4"/>
  <c r="H840" i="4"/>
  <c r="I840" i="4"/>
  <c r="J840" i="4"/>
  <c r="L840" i="4"/>
  <c r="F841" i="4"/>
  <c r="G841" i="4"/>
  <c r="H841" i="4"/>
  <c r="I841" i="4"/>
  <c r="J841" i="4"/>
  <c r="L841" i="4"/>
  <c r="F842" i="4"/>
  <c r="G842" i="4"/>
  <c r="H842" i="4"/>
  <c r="I842" i="4"/>
  <c r="J842" i="4"/>
  <c r="L842" i="4"/>
  <c r="F843" i="4"/>
  <c r="G843" i="4"/>
  <c r="H843" i="4"/>
  <c r="I843" i="4"/>
  <c r="J843" i="4"/>
  <c r="L843" i="4"/>
  <c r="F844" i="4"/>
  <c r="G844" i="4"/>
  <c r="H844" i="4"/>
  <c r="I844" i="4"/>
  <c r="J844" i="4"/>
  <c r="L844" i="4"/>
  <c r="F845" i="4"/>
  <c r="G845" i="4"/>
  <c r="H845" i="4"/>
  <c r="I845" i="4"/>
  <c r="J845" i="4"/>
  <c r="L845" i="4"/>
  <c r="F846" i="4"/>
  <c r="G846" i="4"/>
  <c r="H846" i="4"/>
  <c r="I846" i="4"/>
  <c r="J846" i="4"/>
  <c r="L846" i="4"/>
  <c r="F847" i="4"/>
  <c r="G847" i="4"/>
  <c r="H847" i="4"/>
  <c r="I847" i="4"/>
  <c r="J847" i="4"/>
  <c r="L847" i="4"/>
  <c r="F848" i="4"/>
  <c r="G848" i="4"/>
  <c r="H848" i="4"/>
  <c r="I848" i="4"/>
  <c r="J848" i="4"/>
  <c r="L848" i="4"/>
  <c r="F849" i="4"/>
  <c r="G849" i="4"/>
  <c r="H849" i="4"/>
  <c r="I849" i="4"/>
  <c r="J849" i="4"/>
  <c r="L849" i="4"/>
  <c r="F850" i="4"/>
  <c r="G850" i="4"/>
  <c r="H850" i="4"/>
  <c r="I850" i="4"/>
  <c r="J850" i="4"/>
  <c r="L850" i="4"/>
  <c r="F851" i="4"/>
  <c r="G851" i="4"/>
  <c r="H851" i="4"/>
  <c r="I851" i="4"/>
  <c r="J851" i="4"/>
  <c r="L851" i="4"/>
  <c r="F852" i="4"/>
  <c r="G852" i="4"/>
  <c r="H852" i="4"/>
  <c r="I852" i="4"/>
  <c r="J852" i="4"/>
  <c r="L852" i="4"/>
  <c r="F853" i="4"/>
  <c r="G853" i="4"/>
  <c r="H853" i="4"/>
  <c r="I853" i="4"/>
  <c r="J853" i="4"/>
  <c r="L853" i="4"/>
  <c r="F854" i="4"/>
  <c r="G854" i="4"/>
  <c r="H854" i="4"/>
  <c r="I854" i="4"/>
  <c r="J854" i="4"/>
  <c r="L854" i="4"/>
  <c r="F855" i="4"/>
  <c r="G855" i="4"/>
  <c r="H855" i="4"/>
  <c r="I855" i="4"/>
  <c r="J855" i="4"/>
  <c r="L855" i="4"/>
  <c r="F856" i="4"/>
  <c r="G856" i="4"/>
  <c r="H856" i="4"/>
  <c r="I856" i="4"/>
  <c r="J856" i="4"/>
  <c r="L856" i="4"/>
  <c r="F857" i="4"/>
  <c r="G857" i="4"/>
  <c r="H857" i="4"/>
  <c r="I857" i="4"/>
  <c r="J857" i="4"/>
  <c r="L857" i="4"/>
  <c r="F858" i="4"/>
  <c r="G858" i="4"/>
  <c r="H858" i="4"/>
  <c r="I858" i="4"/>
  <c r="J858" i="4"/>
  <c r="L858" i="4"/>
  <c r="F859" i="4"/>
  <c r="G859" i="4"/>
  <c r="H859" i="4"/>
  <c r="I859" i="4"/>
  <c r="J859" i="4"/>
  <c r="L859" i="4"/>
  <c r="F860" i="4"/>
  <c r="G860" i="4"/>
  <c r="H860" i="4"/>
  <c r="I860" i="4"/>
  <c r="J860" i="4"/>
  <c r="L860" i="4"/>
  <c r="F861" i="4"/>
  <c r="G861" i="4"/>
  <c r="H861" i="4"/>
  <c r="I861" i="4"/>
  <c r="J861" i="4"/>
  <c r="L861" i="4"/>
  <c r="F862" i="4"/>
  <c r="G862" i="4"/>
  <c r="H862" i="4"/>
  <c r="I862" i="4"/>
  <c r="J862" i="4"/>
  <c r="L862" i="4"/>
  <c r="F863" i="4"/>
  <c r="G863" i="4"/>
  <c r="H863" i="4"/>
  <c r="I863" i="4"/>
  <c r="J863" i="4"/>
  <c r="L863" i="4"/>
  <c r="F864" i="4"/>
  <c r="G864" i="4"/>
  <c r="H864" i="4"/>
  <c r="I864" i="4"/>
  <c r="J864" i="4"/>
  <c r="L864" i="4"/>
  <c r="F865" i="4"/>
  <c r="G865" i="4"/>
  <c r="H865" i="4"/>
  <c r="I865" i="4"/>
  <c r="J865" i="4"/>
  <c r="L865" i="4"/>
  <c r="F866" i="4"/>
  <c r="G866" i="4"/>
  <c r="H866" i="4"/>
  <c r="I866" i="4"/>
  <c r="J866" i="4"/>
  <c r="L866" i="4"/>
  <c r="F867" i="4"/>
  <c r="G867" i="4"/>
  <c r="H867" i="4"/>
  <c r="I867" i="4"/>
  <c r="J867" i="4"/>
  <c r="L867" i="4"/>
  <c r="F868" i="4"/>
  <c r="G868" i="4"/>
  <c r="H868" i="4"/>
  <c r="I868" i="4"/>
  <c r="J868" i="4"/>
  <c r="L868" i="4"/>
  <c r="F869" i="4"/>
  <c r="G869" i="4"/>
  <c r="H869" i="4"/>
  <c r="I869" i="4"/>
  <c r="J869" i="4"/>
  <c r="L869" i="4"/>
  <c r="F870" i="4"/>
  <c r="G870" i="4"/>
  <c r="H870" i="4"/>
  <c r="I870" i="4"/>
  <c r="J870" i="4"/>
  <c r="L870" i="4"/>
  <c r="F871" i="4"/>
  <c r="G871" i="4"/>
  <c r="H871" i="4"/>
  <c r="I871" i="4"/>
  <c r="J871" i="4"/>
  <c r="L871" i="4"/>
  <c r="F872" i="4"/>
  <c r="G872" i="4"/>
  <c r="H872" i="4"/>
  <c r="I872" i="4"/>
  <c r="J872" i="4"/>
  <c r="L872" i="4"/>
  <c r="F873" i="4"/>
  <c r="G873" i="4"/>
  <c r="H873" i="4"/>
  <c r="I873" i="4"/>
  <c r="J873" i="4"/>
  <c r="L873" i="4"/>
  <c r="F874" i="4"/>
  <c r="G874" i="4"/>
  <c r="H874" i="4"/>
  <c r="I874" i="4"/>
  <c r="J874" i="4"/>
  <c r="L874" i="4"/>
  <c r="F875" i="4"/>
  <c r="G875" i="4"/>
  <c r="H875" i="4"/>
  <c r="I875" i="4"/>
  <c r="J875" i="4"/>
  <c r="L875" i="4"/>
  <c r="F876" i="4"/>
  <c r="G876" i="4"/>
  <c r="H876" i="4"/>
  <c r="I876" i="4"/>
  <c r="J876" i="4"/>
  <c r="L876" i="4"/>
  <c r="F877" i="4"/>
  <c r="G877" i="4"/>
  <c r="H877" i="4"/>
  <c r="I877" i="4"/>
  <c r="J877" i="4"/>
  <c r="L877" i="4"/>
  <c r="F878" i="4"/>
  <c r="G878" i="4"/>
  <c r="H878" i="4"/>
  <c r="I878" i="4"/>
  <c r="J878" i="4"/>
  <c r="L878" i="4"/>
  <c r="F879" i="4"/>
  <c r="G879" i="4"/>
  <c r="H879" i="4"/>
  <c r="I879" i="4"/>
  <c r="J879" i="4"/>
  <c r="L879" i="4"/>
  <c r="F880" i="4"/>
  <c r="G880" i="4"/>
  <c r="H880" i="4"/>
  <c r="I880" i="4"/>
  <c r="J880" i="4"/>
  <c r="L880" i="4"/>
  <c r="F881" i="4"/>
  <c r="G881" i="4"/>
  <c r="H881" i="4"/>
  <c r="I881" i="4"/>
  <c r="J881" i="4"/>
  <c r="L881" i="4"/>
  <c r="F882" i="4"/>
  <c r="G882" i="4"/>
  <c r="H882" i="4"/>
  <c r="I882" i="4"/>
  <c r="J882" i="4"/>
  <c r="L882" i="4"/>
  <c r="BQ3" i="7" a="1"/>
  <c r="G2" i="3"/>
  <c r="H2" i="3"/>
  <c r="I2" i="3"/>
  <c r="J2" i="3"/>
  <c r="K2" i="3"/>
  <c r="N2" i="3"/>
  <c r="G3" i="3"/>
  <c r="H3" i="3"/>
  <c r="I3" i="3"/>
  <c r="J3" i="3"/>
  <c r="K3" i="3"/>
  <c r="N3" i="3"/>
  <c r="G4" i="3"/>
  <c r="H4" i="3"/>
  <c r="I4" i="3"/>
  <c r="J4" i="3"/>
  <c r="K4" i="3"/>
  <c r="N4" i="3"/>
  <c r="G5" i="3"/>
  <c r="H5" i="3"/>
  <c r="I5" i="3"/>
  <c r="J5" i="3"/>
  <c r="K5" i="3"/>
  <c r="N5" i="3"/>
  <c r="G6" i="3"/>
  <c r="H6" i="3"/>
  <c r="I6" i="3"/>
  <c r="J6" i="3"/>
  <c r="K6" i="3"/>
  <c r="N6" i="3"/>
  <c r="G7" i="3"/>
  <c r="H7" i="3"/>
  <c r="I7" i="3"/>
  <c r="J7" i="3"/>
  <c r="K7" i="3"/>
  <c r="N7" i="3"/>
  <c r="G8" i="3"/>
  <c r="H8" i="3"/>
  <c r="I8" i="3"/>
  <c r="J8" i="3"/>
  <c r="K8" i="3"/>
  <c r="N8" i="3"/>
  <c r="G9" i="3"/>
  <c r="H9" i="3"/>
  <c r="I9" i="3"/>
  <c r="J9" i="3"/>
  <c r="K9" i="3"/>
  <c r="N9" i="3"/>
  <c r="G10" i="3"/>
  <c r="H10" i="3"/>
  <c r="I10" i="3"/>
  <c r="J10" i="3"/>
  <c r="K10" i="3"/>
  <c r="N10" i="3"/>
  <c r="G11" i="3"/>
  <c r="H11" i="3"/>
  <c r="I11" i="3"/>
  <c r="J11" i="3"/>
  <c r="K11" i="3"/>
  <c r="N11" i="3"/>
  <c r="G12" i="3"/>
  <c r="H12" i="3"/>
  <c r="I12" i="3"/>
  <c r="J12" i="3"/>
  <c r="K12" i="3"/>
  <c r="N12" i="3"/>
  <c r="G13" i="3"/>
  <c r="H13" i="3"/>
  <c r="I13" i="3"/>
  <c r="J13" i="3"/>
  <c r="K13" i="3"/>
  <c r="N13" i="3"/>
  <c r="G14" i="3"/>
  <c r="H14" i="3"/>
  <c r="I14" i="3"/>
  <c r="J14" i="3"/>
  <c r="K14" i="3"/>
  <c r="N14" i="3"/>
  <c r="G15" i="3"/>
  <c r="H15" i="3"/>
  <c r="I15" i="3"/>
  <c r="J15" i="3"/>
  <c r="K15" i="3"/>
  <c r="N15" i="3"/>
  <c r="G16" i="3"/>
  <c r="H16" i="3"/>
  <c r="I16" i="3"/>
  <c r="J16" i="3"/>
  <c r="K16" i="3"/>
  <c r="N16" i="3"/>
  <c r="G17" i="3"/>
  <c r="H17" i="3"/>
  <c r="I17" i="3"/>
  <c r="J17" i="3"/>
  <c r="K17" i="3"/>
  <c r="N17" i="3"/>
  <c r="G18" i="3"/>
  <c r="H18" i="3"/>
  <c r="I18" i="3"/>
  <c r="J18" i="3"/>
  <c r="K18" i="3"/>
  <c r="N18" i="3"/>
  <c r="G19" i="3"/>
  <c r="H19" i="3"/>
  <c r="I19" i="3"/>
  <c r="J19" i="3"/>
  <c r="K19" i="3"/>
  <c r="N19" i="3"/>
  <c r="G20" i="3"/>
  <c r="H20" i="3"/>
  <c r="I20" i="3"/>
  <c r="J20" i="3"/>
  <c r="K20" i="3"/>
  <c r="N20" i="3"/>
  <c r="G21" i="3"/>
  <c r="H21" i="3"/>
  <c r="I21" i="3"/>
  <c r="J21" i="3"/>
  <c r="K21" i="3"/>
  <c r="N21" i="3"/>
  <c r="G22" i="3"/>
  <c r="H22" i="3"/>
  <c r="I22" i="3"/>
  <c r="J22" i="3"/>
  <c r="K22" i="3"/>
  <c r="N22" i="3"/>
  <c r="G35" i="3"/>
  <c r="H35" i="3"/>
  <c r="I35" i="3"/>
  <c r="J35" i="3"/>
  <c r="K35" i="3"/>
  <c r="N35" i="3"/>
  <c r="G36" i="3"/>
  <c r="H36" i="3"/>
  <c r="I36" i="3"/>
  <c r="J36" i="3"/>
  <c r="K36" i="3"/>
  <c r="N36" i="3"/>
  <c r="G37" i="3"/>
  <c r="H37" i="3"/>
  <c r="I37" i="3"/>
  <c r="J37" i="3"/>
  <c r="K37" i="3"/>
  <c r="N37" i="3"/>
  <c r="G38" i="3"/>
  <c r="H38" i="3"/>
  <c r="I38" i="3"/>
  <c r="J38" i="3"/>
  <c r="K38" i="3"/>
  <c r="N38" i="3"/>
  <c r="G39" i="3"/>
  <c r="H39" i="3"/>
  <c r="I39" i="3"/>
  <c r="J39" i="3"/>
  <c r="K39" i="3"/>
  <c r="N39" i="3"/>
  <c r="G40" i="3"/>
  <c r="H40" i="3"/>
  <c r="I40" i="3"/>
  <c r="J40" i="3"/>
  <c r="K40" i="3"/>
  <c r="N40" i="3"/>
  <c r="G41" i="3"/>
  <c r="H41" i="3"/>
  <c r="I41" i="3"/>
  <c r="J41" i="3"/>
  <c r="K41" i="3"/>
  <c r="N41" i="3"/>
  <c r="G42" i="3"/>
  <c r="H42" i="3"/>
  <c r="I42" i="3"/>
  <c r="J42" i="3"/>
  <c r="K42" i="3"/>
  <c r="N42" i="3"/>
  <c r="G43" i="3"/>
  <c r="H43" i="3"/>
  <c r="I43" i="3"/>
  <c r="J43" i="3"/>
  <c r="K43" i="3"/>
  <c r="N43" i="3"/>
  <c r="G44" i="3"/>
  <c r="H44" i="3"/>
  <c r="I44" i="3"/>
  <c r="J44" i="3"/>
  <c r="K44" i="3"/>
  <c r="N44" i="3"/>
  <c r="G45" i="3"/>
  <c r="H45" i="3"/>
  <c r="I45" i="3"/>
  <c r="J45" i="3"/>
  <c r="K45" i="3"/>
  <c r="N45" i="3"/>
  <c r="G46" i="3"/>
  <c r="H46" i="3"/>
  <c r="I46" i="3"/>
  <c r="J46" i="3"/>
  <c r="K46" i="3"/>
  <c r="N46" i="3"/>
  <c r="G47" i="3"/>
  <c r="H47" i="3"/>
  <c r="I47" i="3"/>
  <c r="J47" i="3"/>
  <c r="K47" i="3"/>
  <c r="N47" i="3"/>
  <c r="G48" i="3"/>
  <c r="H48" i="3"/>
  <c r="I48" i="3"/>
  <c r="J48" i="3"/>
  <c r="K48" i="3"/>
  <c r="N48" i="3"/>
  <c r="G49" i="3"/>
  <c r="H49" i="3"/>
  <c r="I49" i="3"/>
  <c r="J49" i="3"/>
  <c r="K49" i="3"/>
  <c r="N49" i="3"/>
  <c r="G50" i="3"/>
  <c r="H50" i="3"/>
  <c r="I50" i="3"/>
  <c r="J50" i="3"/>
  <c r="K50" i="3"/>
  <c r="N50" i="3"/>
  <c r="G51" i="3"/>
  <c r="H51" i="3"/>
  <c r="I51" i="3"/>
  <c r="J51" i="3"/>
  <c r="K51" i="3"/>
  <c r="N51" i="3"/>
  <c r="G52" i="3"/>
  <c r="H52" i="3"/>
  <c r="I52" i="3"/>
  <c r="J52" i="3"/>
  <c r="K52" i="3"/>
  <c r="N52" i="3"/>
  <c r="G53" i="3"/>
  <c r="H53" i="3"/>
  <c r="I53" i="3"/>
  <c r="J53" i="3"/>
  <c r="K53" i="3"/>
  <c r="N53" i="3"/>
  <c r="G54" i="3"/>
  <c r="H54" i="3"/>
  <c r="I54" i="3"/>
  <c r="J54" i="3"/>
  <c r="K54" i="3"/>
  <c r="N54" i="3"/>
  <c r="G55" i="3"/>
  <c r="H55" i="3"/>
  <c r="I55" i="3"/>
  <c r="J55" i="3"/>
  <c r="K55" i="3"/>
  <c r="N55" i="3"/>
  <c r="G56" i="3"/>
  <c r="H56" i="3"/>
  <c r="I56" i="3"/>
  <c r="J56" i="3"/>
  <c r="K56" i="3"/>
  <c r="N56" i="3"/>
  <c r="G57" i="3"/>
  <c r="H57" i="3"/>
  <c r="I57" i="3"/>
  <c r="J57" i="3"/>
  <c r="K57" i="3"/>
  <c r="N57" i="3"/>
  <c r="G58" i="3"/>
  <c r="H58" i="3"/>
  <c r="I58" i="3"/>
  <c r="J58" i="3"/>
  <c r="K58" i="3"/>
  <c r="N58" i="3"/>
  <c r="G59" i="3"/>
  <c r="H59" i="3"/>
  <c r="I59" i="3"/>
  <c r="J59" i="3"/>
  <c r="K59" i="3"/>
  <c r="N59" i="3"/>
  <c r="G60" i="3"/>
  <c r="H60" i="3"/>
  <c r="I60" i="3"/>
  <c r="J60" i="3"/>
  <c r="K60" i="3"/>
  <c r="N60" i="3"/>
  <c r="G61" i="3"/>
  <c r="H61" i="3"/>
  <c r="I61" i="3"/>
  <c r="J61" i="3"/>
  <c r="K61" i="3"/>
  <c r="N61" i="3"/>
  <c r="G62" i="3"/>
  <c r="H62" i="3"/>
  <c r="I62" i="3"/>
  <c r="J62" i="3"/>
  <c r="K62" i="3"/>
  <c r="N62" i="3"/>
  <c r="G63" i="3"/>
  <c r="H63" i="3"/>
  <c r="I63" i="3"/>
  <c r="J63" i="3"/>
  <c r="K63" i="3"/>
  <c r="N63" i="3"/>
  <c r="G64" i="3"/>
  <c r="H64" i="3"/>
  <c r="I64" i="3"/>
  <c r="J64" i="3"/>
  <c r="K64" i="3"/>
  <c r="N64" i="3"/>
  <c r="G65" i="3"/>
  <c r="H65" i="3"/>
  <c r="I65" i="3"/>
  <c r="J65" i="3"/>
  <c r="K65" i="3"/>
  <c r="N65" i="3"/>
  <c r="G66" i="3"/>
  <c r="H66" i="3"/>
  <c r="I66" i="3"/>
  <c r="J66" i="3"/>
  <c r="K66" i="3"/>
  <c r="N66" i="3"/>
  <c r="G67" i="3"/>
  <c r="H67" i="3"/>
  <c r="I67" i="3"/>
  <c r="J67" i="3"/>
  <c r="K67" i="3"/>
  <c r="N67" i="3"/>
  <c r="G68" i="3"/>
  <c r="H68" i="3"/>
  <c r="I68" i="3"/>
  <c r="J68" i="3"/>
  <c r="K68" i="3"/>
  <c r="N68" i="3"/>
  <c r="G69" i="3"/>
  <c r="H69" i="3"/>
  <c r="I69" i="3"/>
  <c r="J69" i="3"/>
  <c r="K69" i="3"/>
  <c r="N69" i="3"/>
  <c r="G70" i="3"/>
  <c r="H70" i="3"/>
  <c r="I70" i="3"/>
  <c r="J70" i="3"/>
  <c r="K70" i="3"/>
  <c r="N70" i="3"/>
  <c r="G71" i="3"/>
  <c r="H71" i="3"/>
  <c r="I71" i="3"/>
  <c r="J71" i="3"/>
  <c r="K71" i="3"/>
  <c r="N71" i="3"/>
  <c r="G72" i="3"/>
  <c r="H72" i="3"/>
  <c r="I72" i="3"/>
  <c r="J72" i="3"/>
  <c r="K72" i="3"/>
  <c r="N72" i="3"/>
  <c r="G73" i="3"/>
  <c r="H73" i="3"/>
  <c r="I73" i="3"/>
  <c r="J73" i="3"/>
  <c r="K73" i="3"/>
  <c r="N73" i="3"/>
  <c r="G74" i="3"/>
  <c r="H74" i="3"/>
  <c r="I74" i="3"/>
  <c r="J74" i="3"/>
  <c r="K74" i="3"/>
  <c r="N74" i="3"/>
  <c r="G75" i="3"/>
  <c r="H75" i="3"/>
  <c r="I75" i="3"/>
  <c r="J75" i="3"/>
  <c r="K75" i="3"/>
  <c r="N75" i="3"/>
  <c r="G76" i="3"/>
  <c r="H76" i="3"/>
  <c r="I76" i="3"/>
  <c r="J76" i="3"/>
  <c r="K76" i="3"/>
  <c r="N76" i="3"/>
  <c r="G77" i="3"/>
  <c r="H77" i="3"/>
  <c r="I77" i="3"/>
  <c r="J77" i="3"/>
  <c r="K77" i="3"/>
  <c r="N77" i="3"/>
  <c r="G78" i="3"/>
  <c r="H78" i="3"/>
  <c r="I78" i="3"/>
  <c r="J78" i="3"/>
  <c r="K78" i="3"/>
  <c r="N78" i="3"/>
  <c r="G79" i="3"/>
  <c r="H79" i="3"/>
  <c r="I79" i="3"/>
  <c r="J79" i="3"/>
  <c r="K79" i="3"/>
  <c r="N79" i="3"/>
  <c r="G80" i="3"/>
  <c r="H80" i="3"/>
  <c r="I80" i="3"/>
  <c r="J80" i="3"/>
  <c r="K80" i="3"/>
  <c r="N80" i="3"/>
  <c r="G81" i="3"/>
  <c r="H81" i="3"/>
  <c r="I81" i="3"/>
  <c r="J81" i="3"/>
  <c r="K81" i="3"/>
  <c r="N81" i="3"/>
  <c r="G82" i="3"/>
  <c r="H82" i="3"/>
  <c r="I82" i="3"/>
  <c r="J82" i="3"/>
  <c r="K82" i="3"/>
  <c r="N82" i="3"/>
  <c r="G83" i="3"/>
  <c r="H83" i="3"/>
  <c r="I83" i="3"/>
  <c r="J83" i="3"/>
  <c r="K83" i="3"/>
  <c r="N83" i="3"/>
  <c r="G84" i="3"/>
  <c r="H84" i="3"/>
  <c r="I84" i="3"/>
  <c r="J84" i="3"/>
  <c r="K84" i="3"/>
  <c r="N84" i="3"/>
  <c r="G85" i="3"/>
  <c r="H85" i="3"/>
  <c r="I85" i="3"/>
  <c r="J85" i="3"/>
  <c r="K85" i="3"/>
  <c r="N85" i="3"/>
  <c r="G86" i="3"/>
  <c r="H86" i="3"/>
  <c r="I86" i="3"/>
  <c r="J86" i="3"/>
  <c r="K86" i="3"/>
  <c r="N86" i="3"/>
  <c r="G87" i="3"/>
  <c r="H87" i="3"/>
  <c r="I87" i="3"/>
  <c r="J87" i="3"/>
  <c r="K87" i="3"/>
  <c r="N87" i="3"/>
  <c r="G88" i="3"/>
  <c r="H88" i="3"/>
  <c r="I88" i="3"/>
  <c r="J88" i="3"/>
  <c r="K88" i="3"/>
  <c r="N88" i="3"/>
  <c r="G89" i="3"/>
  <c r="H89" i="3"/>
  <c r="I89" i="3"/>
  <c r="J89" i="3"/>
  <c r="K89" i="3"/>
  <c r="N89" i="3"/>
  <c r="G90" i="3"/>
  <c r="H90" i="3"/>
  <c r="I90" i="3"/>
  <c r="J90" i="3"/>
  <c r="K90" i="3"/>
  <c r="N90" i="3"/>
  <c r="G91" i="3"/>
  <c r="H91" i="3"/>
  <c r="I91" i="3"/>
  <c r="J91" i="3"/>
  <c r="K91" i="3"/>
  <c r="N91" i="3"/>
  <c r="G92" i="3"/>
  <c r="H92" i="3"/>
  <c r="I92" i="3"/>
  <c r="J92" i="3"/>
  <c r="K92" i="3"/>
  <c r="N92" i="3"/>
  <c r="G93" i="3"/>
  <c r="H93" i="3"/>
  <c r="I93" i="3"/>
  <c r="J93" i="3"/>
  <c r="K93" i="3"/>
  <c r="N93" i="3"/>
  <c r="G94" i="3"/>
  <c r="H94" i="3"/>
  <c r="I94" i="3"/>
  <c r="J94" i="3"/>
  <c r="K94" i="3"/>
  <c r="N94" i="3"/>
  <c r="G95" i="3"/>
  <c r="H95" i="3"/>
  <c r="I95" i="3"/>
  <c r="J95" i="3"/>
  <c r="K95" i="3"/>
  <c r="N95" i="3"/>
  <c r="G96" i="3"/>
  <c r="H96" i="3"/>
  <c r="I96" i="3"/>
  <c r="J96" i="3"/>
  <c r="K96" i="3"/>
  <c r="N96" i="3"/>
  <c r="G97" i="3"/>
  <c r="H97" i="3"/>
  <c r="I97" i="3"/>
  <c r="J97" i="3"/>
  <c r="K97" i="3"/>
  <c r="N97" i="3"/>
  <c r="G98" i="3"/>
  <c r="H98" i="3"/>
  <c r="I98" i="3"/>
  <c r="J98" i="3"/>
  <c r="K98" i="3"/>
  <c r="N98" i="3"/>
  <c r="G99" i="3"/>
  <c r="H99" i="3"/>
  <c r="I99" i="3"/>
  <c r="J99" i="3"/>
  <c r="K99" i="3"/>
  <c r="N99" i="3"/>
  <c r="G100" i="3"/>
  <c r="H100" i="3"/>
  <c r="I100" i="3"/>
  <c r="J100" i="3"/>
  <c r="K100" i="3"/>
  <c r="N100" i="3"/>
  <c r="G101" i="3"/>
  <c r="H101" i="3"/>
  <c r="I101" i="3"/>
  <c r="J101" i="3"/>
  <c r="K101" i="3"/>
  <c r="N101" i="3"/>
  <c r="G102" i="3"/>
  <c r="H102" i="3"/>
  <c r="I102" i="3"/>
  <c r="J102" i="3"/>
  <c r="K102" i="3"/>
  <c r="N102" i="3"/>
  <c r="G103" i="3"/>
  <c r="H103" i="3"/>
  <c r="I103" i="3"/>
  <c r="J103" i="3"/>
  <c r="K103" i="3"/>
  <c r="N103" i="3"/>
  <c r="G104" i="3"/>
  <c r="H104" i="3"/>
  <c r="I104" i="3"/>
  <c r="J104" i="3"/>
  <c r="K104" i="3"/>
  <c r="N104" i="3"/>
  <c r="G105" i="3"/>
  <c r="H105" i="3"/>
  <c r="I105" i="3"/>
  <c r="J105" i="3"/>
  <c r="K105" i="3"/>
  <c r="N105" i="3"/>
  <c r="G106" i="3"/>
  <c r="H106" i="3"/>
  <c r="I106" i="3"/>
  <c r="J106" i="3"/>
  <c r="K106" i="3"/>
  <c r="N106" i="3"/>
  <c r="G107" i="3"/>
  <c r="H107" i="3"/>
  <c r="I107" i="3"/>
  <c r="J107" i="3"/>
  <c r="K107" i="3"/>
  <c r="N107" i="3"/>
  <c r="G108" i="3"/>
  <c r="H108" i="3"/>
  <c r="I108" i="3"/>
  <c r="J108" i="3"/>
  <c r="K108" i="3"/>
  <c r="N108" i="3"/>
  <c r="G109" i="3"/>
  <c r="H109" i="3"/>
  <c r="I109" i="3"/>
  <c r="J109" i="3"/>
  <c r="K109" i="3"/>
  <c r="N109" i="3"/>
  <c r="G110" i="3"/>
  <c r="H110" i="3"/>
  <c r="I110" i="3"/>
  <c r="J110" i="3"/>
  <c r="K110" i="3"/>
  <c r="N110" i="3"/>
  <c r="G111" i="3"/>
  <c r="H111" i="3"/>
  <c r="I111" i="3"/>
  <c r="J111" i="3"/>
  <c r="K111" i="3"/>
  <c r="N111" i="3"/>
  <c r="G112" i="3"/>
  <c r="H112" i="3"/>
  <c r="I112" i="3"/>
  <c r="J112" i="3"/>
  <c r="K112" i="3"/>
  <c r="N112" i="3"/>
  <c r="G113" i="3"/>
  <c r="H113" i="3"/>
  <c r="I113" i="3"/>
  <c r="J113" i="3"/>
  <c r="K113" i="3"/>
  <c r="N113" i="3"/>
  <c r="G114" i="3"/>
  <c r="H114" i="3"/>
  <c r="I114" i="3"/>
  <c r="J114" i="3"/>
  <c r="K114" i="3"/>
  <c r="N114" i="3"/>
  <c r="G115" i="3"/>
  <c r="H115" i="3"/>
  <c r="I115" i="3"/>
  <c r="J115" i="3"/>
  <c r="K115" i="3"/>
  <c r="N115" i="3"/>
  <c r="G116" i="3"/>
  <c r="H116" i="3"/>
  <c r="I116" i="3"/>
  <c r="J116" i="3"/>
  <c r="K116" i="3"/>
  <c r="N116" i="3"/>
  <c r="G117" i="3"/>
  <c r="H117" i="3"/>
  <c r="I117" i="3"/>
  <c r="J117" i="3"/>
  <c r="K117" i="3"/>
  <c r="N117" i="3"/>
  <c r="G118" i="3"/>
  <c r="H118" i="3"/>
  <c r="I118" i="3"/>
  <c r="J118" i="3"/>
  <c r="K118" i="3"/>
  <c r="N118" i="3"/>
  <c r="G119" i="3"/>
  <c r="H119" i="3"/>
  <c r="I119" i="3"/>
  <c r="J119" i="3"/>
  <c r="K119" i="3"/>
  <c r="N119" i="3"/>
  <c r="G120" i="3"/>
  <c r="H120" i="3"/>
  <c r="I120" i="3"/>
  <c r="J120" i="3"/>
  <c r="K120" i="3"/>
  <c r="N120" i="3"/>
  <c r="G121" i="3"/>
  <c r="H121" i="3"/>
  <c r="I121" i="3"/>
  <c r="J121" i="3"/>
  <c r="K121" i="3"/>
  <c r="N121" i="3"/>
  <c r="G122" i="3"/>
  <c r="H122" i="3"/>
  <c r="I122" i="3"/>
  <c r="J122" i="3"/>
  <c r="K122" i="3"/>
  <c r="N122" i="3"/>
  <c r="G123" i="3"/>
  <c r="H123" i="3"/>
  <c r="I123" i="3"/>
  <c r="J123" i="3"/>
  <c r="K123" i="3"/>
  <c r="N123" i="3"/>
  <c r="G124" i="3"/>
  <c r="H124" i="3"/>
  <c r="I124" i="3"/>
  <c r="J124" i="3"/>
  <c r="K124" i="3"/>
  <c r="N124" i="3"/>
  <c r="G125" i="3"/>
  <c r="H125" i="3"/>
  <c r="I125" i="3"/>
  <c r="J125" i="3"/>
  <c r="K125" i="3"/>
  <c r="N125" i="3"/>
  <c r="G126" i="3"/>
  <c r="H126" i="3"/>
  <c r="I126" i="3"/>
  <c r="J126" i="3"/>
  <c r="K126" i="3"/>
  <c r="N126" i="3"/>
  <c r="G127" i="3"/>
  <c r="H127" i="3"/>
  <c r="I127" i="3"/>
  <c r="J127" i="3"/>
  <c r="K127" i="3"/>
  <c r="N127" i="3"/>
  <c r="G128" i="3"/>
  <c r="H128" i="3"/>
  <c r="I128" i="3"/>
  <c r="J128" i="3"/>
  <c r="K128" i="3"/>
  <c r="N128" i="3"/>
  <c r="G134" i="3"/>
  <c r="H134" i="3"/>
  <c r="I134" i="3"/>
  <c r="J134" i="3"/>
  <c r="K134" i="3"/>
  <c r="N134" i="3"/>
  <c r="G135" i="3"/>
  <c r="H135" i="3"/>
  <c r="I135" i="3"/>
  <c r="J135" i="3"/>
  <c r="K135" i="3"/>
  <c r="N135" i="3"/>
  <c r="G136" i="3"/>
  <c r="H136" i="3"/>
  <c r="I136" i="3"/>
  <c r="J136" i="3"/>
  <c r="K136" i="3"/>
  <c r="N136" i="3"/>
  <c r="G137" i="3"/>
  <c r="H137" i="3"/>
  <c r="I137" i="3"/>
  <c r="J137" i="3"/>
  <c r="K137" i="3"/>
  <c r="N137" i="3"/>
  <c r="G138" i="3"/>
  <c r="H138" i="3"/>
  <c r="I138" i="3"/>
  <c r="J138" i="3"/>
  <c r="K138" i="3"/>
  <c r="N138" i="3"/>
  <c r="G139" i="3"/>
  <c r="H139" i="3"/>
  <c r="I139" i="3"/>
  <c r="J139" i="3"/>
  <c r="K139" i="3"/>
  <c r="N139" i="3"/>
  <c r="G140" i="3"/>
  <c r="H140" i="3"/>
  <c r="I140" i="3"/>
  <c r="J140" i="3"/>
  <c r="K140" i="3"/>
  <c r="N140" i="3"/>
  <c r="G141" i="3"/>
  <c r="H141" i="3"/>
  <c r="I141" i="3"/>
  <c r="J141" i="3"/>
  <c r="K141" i="3"/>
  <c r="N141" i="3"/>
  <c r="G142" i="3"/>
  <c r="H142" i="3"/>
  <c r="I142" i="3"/>
  <c r="J142" i="3"/>
  <c r="K142" i="3"/>
  <c r="N142" i="3"/>
  <c r="G143" i="3"/>
  <c r="H143" i="3"/>
  <c r="I143" i="3"/>
  <c r="J143" i="3"/>
  <c r="K143" i="3"/>
  <c r="N143" i="3"/>
  <c r="G144" i="3"/>
  <c r="H144" i="3"/>
  <c r="I144" i="3"/>
  <c r="J144" i="3"/>
  <c r="K144" i="3"/>
  <c r="N144" i="3"/>
  <c r="G145" i="3"/>
  <c r="H145" i="3"/>
  <c r="I145" i="3"/>
  <c r="J145" i="3"/>
  <c r="K145" i="3"/>
  <c r="N145" i="3"/>
  <c r="G146" i="3"/>
  <c r="H146" i="3"/>
  <c r="I146" i="3"/>
  <c r="J146" i="3"/>
  <c r="K146" i="3"/>
  <c r="N146" i="3"/>
  <c r="G147" i="3"/>
  <c r="H147" i="3"/>
  <c r="I147" i="3"/>
  <c r="J147" i="3"/>
  <c r="K147" i="3"/>
  <c r="N147" i="3"/>
  <c r="G148" i="3"/>
  <c r="H148" i="3"/>
  <c r="I148" i="3"/>
  <c r="J148" i="3"/>
  <c r="K148" i="3"/>
  <c r="N148" i="3"/>
  <c r="G149" i="3"/>
  <c r="H149" i="3"/>
  <c r="I149" i="3"/>
  <c r="J149" i="3"/>
  <c r="K149" i="3"/>
  <c r="N149" i="3"/>
  <c r="G150" i="3"/>
  <c r="H150" i="3"/>
  <c r="I150" i="3"/>
  <c r="J150" i="3"/>
  <c r="K150" i="3"/>
  <c r="N150" i="3"/>
  <c r="G151" i="3"/>
  <c r="H151" i="3"/>
  <c r="I151" i="3"/>
  <c r="J151" i="3"/>
  <c r="K151" i="3"/>
  <c r="N151" i="3"/>
  <c r="G152" i="3"/>
  <c r="H152" i="3"/>
  <c r="I152" i="3"/>
  <c r="J152" i="3"/>
  <c r="K152" i="3"/>
  <c r="N152" i="3"/>
  <c r="G153" i="3"/>
  <c r="H153" i="3"/>
  <c r="I153" i="3"/>
  <c r="J153" i="3"/>
  <c r="K153" i="3"/>
  <c r="N153" i="3"/>
  <c r="G154" i="3"/>
  <c r="H154" i="3"/>
  <c r="I154" i="3"/>
  <c r="J154" i="3"/>
  <c r="K154" i="3"/>
  <c r="N154" i="3"/>
  <c r="G155" i="3"/>
  <c r="H155" i="3"/>
  <c r="I155" i="3"/>
  <c r="J155" i="3"/>
  <c r="K155" i="3"/>
  <c r="N155" i="3"/>
  <c r="G156" i="3"/>
  <c r="H156" i="3"/>
  <c r="I156" i="3"/>
  <c r="J156" i="3"/>
  <c r="K156" i="3"/>
  <c r="N156" i="3"/>
  <c r="G157" i="3"/>
  <c r="H157" i="3"/>
  <c r="I157" i="3"/>
  <c r="J157" i="3"/>
  <c r="K157" i="3"/>
  <c r="N157" i="3"/>
  <c r="G158" i="3"/>
  <c r="H158" i="3"/>
  <c r="I158" i="3"/>
  <c r="J158" i="3"/>
  <c r="K158" i="3"/>
  <c r="N158" i="3"/>
  <c r="G159" i="3"/>
  <c r="H159" i="3"/>
  <c r="I159" i="3"/>
  <c r="J159" i="3"/>
  <c r="K159" i="3"/>
  <c r="N159" i="3"/>
  <c r="G160" i="3"/>
  <c r="H160" i="3"/>
  <c r="I160" i="3"/>
  <c r="J160" i="3"/>
  <c r="K160" i="3"/>
  <c r="N160" i="3"/>
  <c r="G161" i="3"/>
  <c r="H161" i="3"/>
  <c r="I161" i="3"/>
  <c r="J161" i="3"/>
  <c r="K161" i="3"/>
  <c r="N161" i="3"/>
  <c r="G162" i="3"/>
  <c r="H162" i="3"/>
  <c r="I162" i="3"/>
  <c r="J162" i="3"/>
  <c r="K162" i="3"/>
  <c r="N162" i="3"/>
  <c r="G163" i="3"/>
  <c r="H163" i="3"/>
  <c r="I163" i="3"/>
  <c r="J163" i="3"/>
  <c r="K163" i="3"/>
  <c r="N163" i="3"/>
  <c r="G164" i="3"/>
  <c r="H164" i="3"/>
  <c r="I164" i="3"/>
  <c r="J164" i="3"/>
  <c r="K164" i="3"/>
  <c r="N164" i="3"/>
  <c r="G165" i="3"/>
  <c r="H165" i="3"/>
  <c r="I165" i="3"/>
  <c r="J165" i="3"/>
  <c r="K165" i="3"/>
  <c r="N165" i="3"/>
  <c r="G166" i="3"/>
  <c r="H166" i="3"/>
  <c r="I166" i="3"/>
  <c r="J166" i="3"/>
  <c r="K166" i="3"/>
  <c r="N166" i="3"/>
  <c r="G167" i="3"/>
  <c r="H167" i="3"/>
  <c r="I167" i="3"/>
  <c r="J167" i="3"/>
  <c r="K167" i="3"/>
  <c r="N167" i="3"/>
  <c r="G168" i="3"/>
  <c r="H168" i="3"/>
  <c r="I168" i="3"/>
  <c r="J168" i="3"/>
  <c r="K168" i="3"/>
  <c r="N168" i="3"/>
  <c r="G169" i="3"/>
  <c r="H169" i="3"/>
  <c r="I169" i="3"/>
  <c r="J169" i="3"/>
  <c r="K169" i="3"/>
  <c r="N169" i="3"/>
  <c r="G170" i="3"/>
  <c r="H170" i="3"/>
  <c r="I170" i="3"/>
  <c r="J170" i="3"/>
  <c r="K170" i="3"/>
  <c r="N170" i="3"/>
  <c r="G171" i="3"/>
  <c r="H171" i="3"/>
  <c r="I171" i="3"/>
  <c r="J171" i="3"/>
  <c r="K171" i="3"/>
  <c r="N171" i="3"/>
  <c r="G172" i="3"/>
  <c r="H172" i="3"/>
  <c r="I172" i="3"/>
  <c r="J172" i="3"/>
  <c r="K172" i="3"/>
  <c r="N172" i="3"/>
  <c r="G173" i="3"/>
  <c r="H173" i="3"/>
  <c r="I173" i="3"/>
  <c r="J173" i="3"/>
  <c r="K173" i="3"/>
  <c r="N173" i="3"/>
  <c r="G174" i="3"/>
  <c r="H174" i="3"/>
  <c r="I174" i="3"/>
  <c r="J174" i="3"/>
  <c r="K174" i="3"/>
  <c r="N174" i="3"/>
  <c r="G175" i="3"/>
  <c r="H175" i="3"/>
  <c r="I175" i="3"/>
  <c r="J175" i="3"/>
  <c r="K175" i="3"/>
  <c r="N175" i="3"/>
  <c r="G176" i="3"/>
  <c r="H176" i="3"/>
  <c r="I176" i="3"/>
  <c r="J176" i="3"/>
  <c r="K176" i="3"/>
  <c r="N176" i="3"/>
  <c r="G177" i="3"/>
  <c r="H177" i="3"/>
  <c r="I177" i="3"/>
  <c r="J177" i="3"/>
  <c r="K177" i="3"/>
  <c r="N177" i="3"/>
  <c r="G178" i="3"/>
  <c r="H178" i="3"/>
  <c r="I178" i="3"/>
  <c r="J178" i="3"/>
  <c r="K178" i="3"/>
  <c r="N178" i="3"/>
  <c r="G179" i="3"/>
  <c r="H179" i="3"/>
  <c r="I179" i="3"/>
  <c r="J179" i="3"/>
  <c r="K179" i="3"/>
  <c r="N179" i="3"/>
  <c r="G180" i="3"/>
  <c r="H180" i="3"/>
  <c r="I180" i="3"/>
  <c r="J180" i="3"/>
  <c r="K180" i="3"/>
  <c r="N180" i="3"/>
  <c r="G181" i="3"/>
  <c r="H181" i="3"/>
  <c r="I181" i="3"/>
  <c r="J181" i="3"/>
  <c r="K181" i="3"/>
  <c r="N181" i="3"/>
  <c r="G182" i="3"/>
  <c r="H182" i="3"/>
  <c r="I182" i="3"/>
  <c r="J182" i="3"/>
  <c r="K182" i="3"/>
  <c r="N182" i="3"/>
  <c r="G183" i="3"/>
  <c r="H183" i="3"/>
  <c r="I183" i="3"/>
  <c r="J183" i="3"/>
  <c r="K183" i="3"/>
  <c r="N183" i="3"/>
  <c r="G184" i="3"/>
  <c r="H184" i="3"/>
  <c r="I184" i="3"/>
  <c r="J184" i="3"/>
  <c r="K184" i="3"/>
  <c r="N184" i="3"/>
  <c r="G185" i="3"/>
  <c r="H185" i="3"/>
  <c r="I185" i="3"/>
  <c r="J185" i="3"/>
  <c r="K185" i="3"/>
  <c r="N185" i="3"/>
  <c r="G186" i="3"/>
  <c r="H186" i="3"/>
  <c r="I186" i="3"/>
  <c r="J186" i="3"/>
  <c r="K186" i="3"/>
  <c r="N186" i="3"/>
  <c r="G187" i="3"/>
  <c r="H187" i="3"/>
  <c r="I187" i="3"/>
  <c r="J187" i="3"/>
  <c r="K187" i="3"/>
  <c r="N187" i="3"/>
  <c r="G188" i="3"/>
  <c r="H188" i="3"/>
  <c r="I188" i="3"/>
  <c r="J188" i="3"/>
  <c r="K188" i="3"/>
  <c r="N188" i="3"/>
  <c r="G189" i="3"/>
  <c r="H189" i="3"/>
  <c r="I189" i="3"/>
  <c r="J189" i="3"/>
  <c r="K189" i="3"/>
  <c r="N189" i="3"/>
  <c r="G190" i="3"/>
  <c r="H190" i="3"/>
  <c r="I190" i="3"/>
  <c r="J190" i="3"/>
  <c r="K190" i="3"/>
  <c r="N190" i="3"/>
  <c r="G191" i="3"/>
  <c r="H191" i="3"/>
  <c r="I191" i="3"/>
  <c r="J191" i="3"/>
  <c r="K191" i="3"/>
  <c r="N191" i="3"/>
  <c r="G192" i="3"/>
  <c r="H192" i="3"/>
  <c r="I192" i="3"/>
  <c r="J192" i="3"/>
  <c r="K192" i="3"/>
  <c r="N192" i="3"/>
  <c r="G193" i="3"/>
  <c r="H193" i="3"/>
  <c r="I193" i="3"/>
  <c r="J193" i="3"/>
  <c r="K193" i="3"/>
  <c r="N193" i="3"/>
  <c r="G194" i="3"/>
  <c r="H194" i="3"/>
  <c r="I194" i="3"/>
  <c r="J194" i="3"/>
  <c r="K194" i="3"/>
  <c r="N194" i="3"/>
  <c r="G195" i="3"/>
  <c r="H195" i="3"/>
  <c r="I195" i="3"/>
  <c r="J195" i="3"/>
  <c r="K195" i="3"/>
  <c r="N195" i="3"/>
  <c r="G196" i="3"/>
  <c r="H196" i="3"/>
  <c r="I196" i="3"/>
  <c r="J196" i="3"/>
  <c r="K196" i="3"/>
  <c r="N196" i="3"/>
  <c r="G197" i="3"/>
  <c r="H197" i="3"/>
  <c r="I197" i="3"/>
  <c r="J197" i="3"/>
  <c r="K197" i="3"/>
  <c r="N197" i="3"/>
  <c r="G198" i="3"/>
  <c r="H198" i="3"/>
  <c r="I198" i="3"/>
  <c r="J198" i="3"/>
  <c r="K198" i="3"/>
  <c r="N198" i="3"/>
  <c r="G199" i="3"/>
  <c r="H199" i="3"/>
  <c r="I199" i="3"/>
  <c r="J199" i="3"/>
  <c r="K199" i="3"/>
  <c r="N199" i="3"/>
  <c r="G200" i="3"/>
  <c r="H200" i="3"/>
  <c r="I200" i="3"/>
  <c r="J200" i="3"/>
  <c r="K200" i="3"/>
  <c r="N200" i="3"/>
  <c r="G201" i="3"/>
  <c r="H201" i="3"/>
  <c r="I201" i="3"/>
  <c r="J201" i="3"/>
  <c r="K201" i="3"/>
  <c r="N201" i="3"/>
  <c r="G202" i="3"/>
  <c r="H202" i="3"/>
  <c r="I202" i="3"/>
  <c r="J202" i="3"/>
  <c r="K202" i="3"/>
  <c r="N202" i="3"/>
  <c r="G203" i="3"/>
  <c r="H203" i="3"/>
  <c r="I203" i="3"/>
  <c r="J203" i="3"/>
  <c r="K203" i="3"/>
  <c r="N203" i="3"/>
  <c r="G204" i="3"/>
  <c r="H204" i="3"/>
  <c r="I204" i="3"/>
  <c r="J204" i="3"/>
  <c r="K204" i="3"/>
  <c r="N204" i="3"/>
  <c r="G205" i="3"/>
  <c r="H205" i="3"/>
  <c r="I205" i="3"/>
  <c r="J205" i="3"/>
  <c r="K205" i="3"/>
  <c r="N205" i="3"/>
  <c r="G206" i="3"/>
  <c r="H206" i="3"/>
  <c r="I206" i="3"/>
  <c r="J206" i="3"/>
  <c r="K206" i="3"/>
  <c r="N206" i="3"/>
  <c r="G207" i="3"/>
  <c r="H207" i="3"/>
  <c r="I207" i="3"/>
  <c r="J207" i="3"/>
  <c r="K207" i="3"/>
  <c r="N207" i="3"/>
  <c r="G208" i="3"/>
  <c r="H208" i="3"/>
  <c r="I208" i="3"/>
  <c r="J208" i="3"/>
  <c r="K208" i="3"/>
  <c r="N208" i="3"/>
  <c r="G209" i="3"/>
  <c r="H209" i="3"/>
  <c r="I209" i="3"/>
  <c r="J209" i="3"/>
  <c r="K209" i="3"/>
  <c r="N209" i="3"/>
  <c r="G210" i="3"/>
  <c r="H210" i="3"/>
  <c r="I210" i="3"/>
  <c r="J210" i="3"/>
  <c r="K210" i="3"/>
  <c r="N210" i="3"/>
  <c r="G211" i="3"/>
  <c r="H211" i="3"/>
  <c r="I211" i="3"/>
  <c r="J211" i="3"/>
  <c r="K211" i="3"/>
  <c r="N211" i="3"/>
  <c r="G212" i="3"/>
  <c r="H212" i="3"/>
  <c r="I212" i="3"/>
  <c r="J212" i="3"/>
  <c r="K212" i="3"/>
  <c r="N212" i="3"/>
  <c r="G213" i="3"/>
  <c r="H213" i="3"/>
  <c r="I213" i="3"/>
  <c r="J213" i="3"/>
  <c r="K213" i="3"/>
  <c r="N213" i="3"/>
  <c r="G214" i="3"/>
  <c r="H214" i="3"/>
  <c r="I214" i="3"/>
  <c r="J214" i="3"/>
  <c r="K214" i="3"/>
  <c r="N214" i="3"/>
  <c r="G215" i="3"/>
  <c r="H215" i="3"/>
  <c r="I215" i="3"/>
  <c r="J215" i="3"/>
  <c r="K215" i="3"/>
  <c r="N215" i="3"/>
  <c r="G216" i="3"/>
  <c r="H216" i="3"/>
  <c r="I216" i="3"/>
  <c r="J216" i="3"/>
  <c r="K216" i="3"/>
  <c r="N216" i="3"/>
  <c r="G217" i="3"/>
  <c r="H217" i="3"/>
  <c r="I217" i="3"/>
  <c r="J217" i="3"/>
  <c r="K217" i="3"/>
  <c r="N217" i="3"/>
  <c r="G218" i="3"/>
  <c r="H218" i="3"/>
  <c r="I218" i="3"/>
  <c r="J218" i="3"/>
  <c r="K218" i="3"/>
  <c r="N218" i="3"/>
  <c r="G219" i="3"/>
  <c r="H219" i="3"/>
  <c r="I219" i="3"/>
  <c r="J219" i="3"/>
  <c r="K219" i="3"/>
  <c r="N219" i="3"/>
  <c r="G220" i="3"/>
  <c r="H220" i="3"/>
  <c r="I220" i="3"/>
  <c r="J220" i="3"/>
  <c r="K220" i="3"/>
  <c r="N220" i="3"/>
  <c r="G221" i="3"/>
  <c r="H221" i="3"/>
  <c r="I221" i="3"/>
  <c r="J221" i="3"/>
  <c r="K221" i="3"/>
  <c r="N221" i="3"/>
  <c r="G222" i="3"/>
  <c r="H222" i="3"/>
  <c r="I222" i="3"/>
  <c r="J222" i="3"/>
  <c r="K222" i="3"/>
  <c r="N222" i="3"/>
  <c r="G223" i="3"/>
  <c r="H223" i="3"/>
  <c r="I223" i="3"/>
  <c r="J223" i="3"/>
  <c r="K223" i="3"/>
  <c r="N223" i="3"/>
  <c r="G224" i="3"/>
  <c r="H224" i="3"/>
  <c r="I224" i="3"/>
  <c r="J224" i="3"/>
  <c r="K224" i="3"/>
  <c r="N224" i="3"/>
  <c r="G225" i="3"/>
  <c r="H225" i="3"/>
  <c r="I225" i="3"/>
  <c r="J225" i="3"/>
  <c r="K225" i="3"/>
  <c r="N225" i="3"/>
  <c r="G226" i="3"/>
  <c r="H226" i="3"/>
  <c r="I226" i="3"/>
  <c r="J226" i="3"/>
  <c r="K226" i="3"/>
  <c r="N226" i="3"/>
  <c r="G240" i="3"/>
  <c r="H240" i="3"/>
  <c r="I240" i="3"/>
  <c r="J240" i="3"/>
  <c r="K240" i="3"/>
  <c r="N240" i="3"/>
  <c r="G241" i="3"/>
  <c r="H241" i="3"/>
  <c r="I241" i="3"/>
  <c r="J241" i="3"/>
  <c r="K241" i="3"/>
  <c r="N241" i="3"/>
  <c r="G242" i="3"/>
  <c r="H242" i="3"/>
  <c r="I242" i="3"/>
  <c r="J242" i="3"/>
  <c r="K242" i="3"/>
  <c r="N242" i="3"/>
  <c r="G243" i="3"/>
  <c r="H243" i="3"/>
  <c r="I243" i="3"/>
  <c r="J243" i="3"/>
  <c r="K243" i="3"/>
  <c r="N243" i="3"/>
  <c r="G244" i="3"/>
  <c r="H244" i="3"/>
  <c r="I244" i="3"/>
  <c r="J244" i="3"/>
  <c r="K244" i="3"/>
  <c r="N244" i="3"/>
  <c r="G245" i="3"/>
  <c r="H245" i="3"/>
  <c r="I245" i="3"/>
  <c r="J245" i="3"/>
  <c r="K245" i="3"/>
  <c r="N245" i="3"/>
  <c r="G246" i="3"/>
  <c r="H246" i="3"/>
  <c r="I246" i="3"/>
  <c r="J246" i="3"/>
  <c r="K246" i="3"/>
  <c r="N246" i="3"/>
  <c r="G247" i="3"/>
  <c r="H247" i="3"/>
  <c r="I247" i="3"/>
  <c r="J247" i="3"/>
  <c r="K247" i="3"/>
  <c r="N247" i="3"/>
  <c r="G248" i="3"/>
  <c r="H248" i="3"/>
  <c r="I248" i="3"/>
  <c r="J248" i="3"/>
  <c r="K248" i="3"/>
  <c r="N248" i="3"/>
  <c r="G249" i="3"/>
  <c r="H249" i="3"/>
  <c r="I249" i="3"/>
  <c r="J249" i="3"/>
  <c r="K249" i="3"/>
  <c r="N249" i="3"/>
  <c r="G250" i="3"/>
  <c r="H250" i="3"/>
  <c r="I250" i="3"/>
  <c r="J250" i="3"/>
  <c r="K250" i="3"/>
  <c r="N250" i="3"/>
  <c r="G251" i="3"/>
  <c r="H251" i="3"/>
  <c r="I251" i="3"/>
  <c r="J251" i="3"/>
  <c r="K251" i="3"/>
  <c r="N251" i="3"/>
  <c r="G252" i="3"/>
  <c r="H252" i="3"/>
  <c r="I252" i="3"/>
  <c r="J252" i="3"/>
  <c r="K252" i="3"/>
  <c r="N252" i="3"/>
  <c r="G253" i="3"/>
  <c r="H253" i="3"/>
  <c r="I253" i="3"/>
  <c r="J253" i="3"/>
  <c r="K253" i="3"/>
  <c r="N253" i="3"/>
  <c r="G254" i="3"/>
  <c r="H254" i="3"/>
  <c r="I254" i="3"/>
  <c r="J254" i="3"/>
  <c r="K254" i="3"/>
  <c r="N254" i="3"/>
  <c r="G255" i="3"/>
  <c r="H255" i="3"/>
  <c r="I255" i="3"/>
  <c r="J255" i="3"/>
  <c r="K255" i="3"/>
  <c r="N255" i="3"/>
  <c r="G256" i="3"/>
  <c r="H256" i="3"/>
  <c r="I256" i="3"/>
  <c r="J256" i="3"/>
  <c r="K256" i="3"/>
  <c r="N256" i="3"/>
  <c r="G257" i="3"/>
  <c r="H257" i="3"/>
  <c r="I257" i="3"/>
  <c r="J257" i="3"/>
  <c r="K257" i="3"/>
  <c r="N257" i="3"/>
  <c r="G258" i="3"/>
  <c r="H258" i="3"/>
  <c r="I258" i="3"/>
  <c r="J258" i="3"/>
  <c r="K258" i="3"/>
  <c r="N258" i="3"/>
  <c r="G259" i="3"/>
  <c r="H259" i="3"/>
  <c r="I259" i="3"/>
  <c r="J259" i="3"/>
  <c r="K259" i="3"/>
  <c r="N259" i="3"/>
  <c r="G260" i="3"/>
  <c r="H260" i="3"/>
  <c r="I260" i="3"/>
  <c r="J260" i="3"/>
  <c r="K260" i="3"/>
  <c r="N260" i="3"/>
  <c r="G261" i="3"/>
  <c r="H261" i="3"/>
  <c r="I261" i="3"/>
  <c r="J261" i="3"/>
  <c r="K261" i="3"/>
  <c r="N261" i="3"/>
  <c r="G262" i="3"/>
  <c r="H262" i="3"/>
  <c r="I262" i="3"/>
  <c r="J262" i="3"/>
  <c r="K262" i="3"/>
  <c r="N262" i="3"/>
  <c r="G263" i="3"/>
  <c r="H263" i="3"/>
  <c r="I263" i="3"/>
  <c r="J263" i="3"/>
  <c r="K263" i="3"/>
  <c r="N263" i="3"/>
  <c r="G264" i="3"/>
  <c r="H264" i="3"/>
  <c r="I264" i="3"/>
  <c r="J264" i="3"/>
  <c r="K264" i="3"/>
  <c r="N264" i="3"/>
  <c r="G265" i="3"/>
  <c r="H265" i="3"/>
  <c r="I265" i="3"/>
  <c r="J265" i="3"/>
  <c r="K265" i="3"/>
  <c r="N265" i="3"/>
  <c r="G266" i="3"/>
  <c r="H266" i="3"/>
  <c r="I266" i="3"/>
  <c r="J266" i="3"/>
  <c r="K266" i="3"/>
  <c r="N266" i="3"/>
  <c r="G267" i="3"/>
  <c r="H267" i="3"/>
  <c r="I267" i="3"/>
  <c r="J267" i="3"/>
  <c r="K267" i="3"/>
  <c r="N267" i="3"/>
  <c r="G268" i="3"/>
  <c r="H268" i="3"/>
  <c r="I268" i="3"/>
  <c r="J268" i="3"/>
  <c r="K268" i="3"/>
  <c r="N268" i="3"/>
  <c r="G269" i="3"/>
  <c r="H269" i="3"/>
  <c r="I269" i="3"/>
  <c r="J269" i="3"/>
  <c r="K269" i="3"/>
  <c r="N269" i="3"/>
  <c r="G270" i="3"/>
  <c r="H270" i="3"/>
  <c r="I270" i="3"/>
  <c r="J270" i="3"/>
  <c r="K270" i="3"/>
  <c r="N270" i="3"/>
  <c r="G271" i="3"/>
  <c r="H271" i="3"/>
  <c r="I271" i="3"/>
  <c r="J271" i="3"/>
  <c r="K271" i="3"/>
  <c r="N271" i="3"/>
  <c r="G272" i="3"/>
  <c r="H272" i="3"/>
  <c r="I272" i="3"/>
  <c r="J272" i="3"/>
  <c r="K272" i="3"/>
  <c r="N272" i="3"/>
  <c r="G273" i="3"/>
  <c r="H273" i="3"/>
  <c r="I273" i="3"/>
  <c r="J273" i="3"/>
  <c r="K273" i="3"/>
  <c r="N273" i="3"/>
  <c r="G274" i="3"/>
  <c r="H274" i="3"/>
  <c r="I274" i="3"/>
  <c r="J274" i="3"/>
  <c r="K274" i="3"/>
  <c r="N274" i="3"/>
  <c r="G275" i="3"/>
  <c r="H275" i="3"/>
  <c r="I275" i="3"/>
  <c r="J275" i="3"/>
  <c r="K275" i="3"/>
  <c r="N275" i="3"/>
  <c r="G276" i="3"/>
  <c r="H276" i="3"/>
  <c r="I276" i="3"/>
  <c r="J276" i="3"/>
  <c r="K276" i="3"/>
  <c r="N276" i="3"/>
  <c r="G277" i="3"/>
  <c r="H277" i="3"/>
  <c r="I277" i="3"/>
  <c r="J277" i="3"/>
  <c r="K277" i="3"/>
  <c r="N277" i="3"/>
  <c r="G278" i="3"/>
  <c r="H278" i="3"/>
  <c r="I278" i="3"/>
  <c r="J278" i="3"/>
  <c r="K278" i="3"/>
  <c r="N278" i="3"/>
  <c r="G279" i="3"/>
  <c r="H279" i="3"/>
  <c r="I279" i="3"/>
  <c r="J279" i="3"/>
  <c r="K279" i="3"/>
  <c r="N279" i="3"/>
  <c r="G280" i="3"/>
  <c r="H280" i="3"/>
  <c r="I280" i="3"/>
  <c r="J280" i="3"/>
  <c r="K280" i="3"/>
  <c r="N280" i="3"/>
  <c r="G281" i="3"/>
  <c r="H281" i="3"/>
  <c r="I281" i="3"/>
  <c r="J281" i="3"/>
  <c r="K281" i="3"/>
  <c r="N281" i="3"/>
  <c r="G282" i="3"/>
  <c r="H282" i="3"/>
  <c r="I282" i="3"/>
  <c r="J282" i="3"/>
  <c r="K282" i="3"/>
  <c r="N282" i="3"/>
  <c r="G283" i="3"/>
  <c r="H283" i="3"/>
  <c r="I283" i="3"/>
  <c r="J283" i="3"/>
  <c r="K283" i="3"/>
  <c r="N283" i="3"/>
  <c r="G284" i="3"/>
  <c r="H284" i="3"/>
  <c r="I284" i="3"/>
  <c r="J284" i="3"/>
  <c r="K284" i="3"/>
  <c r="N284" i="3"/>
  <c r="G285" i="3"/>
  <c r="H285" i="3"/>
  <c r="I285" i="3"/>
  <c r="J285" i="3"/>
  <c r="K285" i="3"/>
  <c r="N285" i="3"/>
  <c r="G286" i="3"/>
  <c r="H286" i="3"/>
  <c r="I286" i="3"/>
  <c r="J286" i="3"/>
  <c r="K286" i="3"/>
  <c r="N286" i="3"/>
  <c r="G287" i="3"/>
  <c r="H287" i="3"/>
  <c r="I287" i="3"/>
  <c r="J287" i="3"/>
  <c r="K287" i="3"/>
  <c r="N287" i="3"/>
  <c r="G288" i="3"/>
  <c r="H288" i="3"/>
  <c r="I288" i="3"/>
  <c r="J288" i="3"/>
  <c r="K288" i="3"/>
  <c r="N288" i="3"/>
  <c r="G289" i="3"/>
  <c r="H289" i="3"/>
  <c r="I289" i="3"/>
  <c r="J289" i="3"/>
  <c r="K289" i="3"/>
  <c r="N289" i="3"/>
  <c r="G290" i="3"/>
  <c r="H290" i="3"/>
  <c r="I290" i="3"/>
  <c r="J290" i="3"/>
  <c r="K290" i="3"/>
  <c r="N290" i="3"/>
  <c r="G291" i="3"/>
  <c r="H291" i="3"/>
  <c r="I291" i="3"/>
  <c r="J291" i="3"/>
  <c r="K291" i="3"/>
  <c r="N291" i="3"/>
  <c r="G292" i="3"/>
  <c r="H292" i="3"/>
  <c r="I292" i="3"/>
  <c r="J292" i="3"/>
  <c r="K292" i="3"/>
  <c r="N292" i="3"/>
  <c r="G293" i="3"/>
  <c r="H293" i="3"/>
  <c r="I293" i="3"/>
  <c r="J293" i="3"/>
  <c r="K293" i="3"/>
  <c r="N293" i="3"/>
  <c r="G294" i="3"/>
  <c r="H294" i="3"/>
  <c r="I294" i="3"/>
  <c r="J294" i="3"/>
  <c r="K294" i="3"/>
  <c r="N294" i="3"/>
  <c r="G295" i="3"/>
  <c r="H295" i="3"/>
  <c r="I295" i="3"/>
  <c r="J295" i="3"/>
  <c r="K295" i="3"/>
  <c r="N295" i="3"/>
  <c r="G296" i="3"/>
  <c r="H296" i="3"/>
  <c r="I296" i="3"/>
  <c r="J296" i="3"/>
  <c r="K296" i="3"/>
  <c r="N296" i="3"/>
  <c r="G297" i="3"/>
  <c r="H297" i="3"/>
  <c r="I297" i="3"/>
  <c r="J297" i="3"/>
  <c r="K297" i="3"/>
  <c r="N297" i="3"/>
  <c r="G298" i="3"/>
  <c r="H298" i="3"/>
  <c r="I298" i="3"/>
  <c r="J298" i="3"/>
  <c r="K298" i="3"/>
  <c r="N298" i="3"/>
  <c r="G299" i="3"/>
  <c r="H299" i="3"/>
  <c r="I299" i="3"/>
  <c r="J299" i="3"/>
  <c r="K299" i="3"/>
  <c r="N299" i="3"/>
  <c r="G300" i="3"/>
  <c r="H300" i="3"/>
  <c r="I300" i="3"/>
  <c r="J300" i="3"/>
  <c r="K300" i="3"/>
  <c r="N300" i="3"/>
  <c r="G301" i="3"/>
  <c r="H301" i="3"/>
  <c r="I301" i="3"/>
  <c r="J301" i="3"/>
  <c r="K301" i="3"/>
  <c r="N301" i="3"/>
  <c r="G302" i="3"/>
  <c r="H302" i="3"/>
  <c r="I302" i="3"/>
  <c r="J302" i="3"/>
  <c r="K302" i="3"/>
  <c r="N302" i="3"/>
  <c r="G303" i="3"/>
  <c r="H303" i="3"/>
  <c r="I303" i="3"/>
  <c r="J303" i="3"/>
  <c r="K303" i="3"/>
  <c r="N303" i="3"/>
  <c r="G304" i="3"/>
  <c r="H304" i="3"/>
  <c r="I304" i="3"/>
  <c r="J304" i="3"/>
  <c r="K304" i="3"/>
  <c r="N304" i="3"/>
  <c r="G305" i="3"/>
  <c r="H305" i="3"/>
  <c r="I305" i="3"/>
  <c r="J305" i="3"/>
  <c r="K305" i="3"/>
  <c r="N305" i="3"/>
  <c r="G306" i="3"/>
  <c r="H306" i="3"/>
  <c r="I306" i="3"/>
  <c r="J306" i="3"/>
  <c r="K306" i="3"/>
  <c r="N306" i="3"/>
  <c r="G307" i="3"/>
  <c r="H307" i="3"/>
  <c r="I307" i="3"/>
  <c r="J307" i="3"/>
  <c r="K307" i="3"/>
  <c r="N307" i="3"/>
  <c r="G308" i="3"/>
  <c r="H308" i="3"/>
  <c r="I308" i="3"/>
  <c r="J308" i="3"/>
  <c r="K308" i="3"/>
  <c r="N308" i="3"/>
  <c r="G309" i="3"/>
  <c r="H309" i="3"/>
  <c r="I309" i="3"/>
  <c r="J309" i="3"/>
  <c r="K309" i="3"/>
  <c r="N309" i="3"/>
  <c r="G310" i="3"/>
  <c r="H310" i="3"/>
  <c r="I310" i="3"/>
  <c r="J310" i="3"/>
  <c r="K310" i="3"/>
  <c r="N310" i="3"/>
  <c r="G311" i="3"/>
  <c r="H311" i="3"/>
  <c r="I311" i="3"/>
  <c r="J311" i="3"/>
  <c r="K311" i="3"/>
  <c r="N311" i="3"/>
  <c r="G312" i="3"/>
  <c r="H312" i="3"/>
  <c r="I312" i="3"/>
  <c r="J312" i="3"/>
  <c r="K312" i="3"/>
  <c r="N312" i="3"/>
  <c r="G313" i="3"/>
  <c r="H313" i="3"/>
  <c r="I313" i="3"/>
  <c r="J313" i="3"/>
  <c r="K313" i="3"/>
  <c r="N313" i="3"/>
  <c r="G314" i="3"/>
  <c r="H314" i="3"/>
  <c r="I314" i="3"/>
  <c r="J314" i="3"/>
  <c r="K314" i="3"/>
  <c r="N314" i="3"/>
  <c r="G315" i="3"/>
  <c r="H315" i="3"/>
  <c r="I315" i="3"/>
  <c r="J315" i="3"/>
  <c r="K315" i="3"/>
  <c r="N315" i="3"/>
  <c r="G316" i="3"/>
  <c r="H316" i="3"/>
  <c r="I316" i="3"/>
  <c r="J316" i="3"/>
  <c r="K316" i="3"/>
  <c r="N316" i="3"/>
  <c r="G317" i="3"/>
  <c r="H317" i="3"/>
  <c r="I317" i="3"/>
  <c r="J317" i="3"/>
  <c r="K317" i="3"/>
  <c r="N317" i="3"/>
  <c r="G318" i="3"/>
  <c r="H318" i="3"/>
  <c r="I318" i="3"/>
  <c r="J318" i="3"/>
  <c r="K318" i="3"/>
  <c r="N318" i="3"/>
  <c r="G319" i="3"/>
  <c r="H319" i="3"/>
  <c r="I319" i="3"/>
  <c r="J319" i="3"/>
  <c r="K319" i="3"/>
  <c r="N319" i="3"/>
  <c r="G320" i="3"/>
  <c r="H320" i="3"/>
  <c r="I320" i="3"/>
  <c r="J320" i="3"/>
  <c r="K320" i="3"/>
  <c r="N320" i="3"/>
  <c r="G321" i="3"/>
  <c r="H321" i="3"/>
  <c r="I321" i="3"/>
  <c r="J321" i="3"/>
  <c r="K321" i="3"/>
  <c r="N321" i="3"/>
  <c r="G322" i="3"/>
  <c r="H322" i="3"/>
  <c r="I322" i="3"/>
  <c r="J322" i="3"/>
  <c r="K322" i="3"/>
  <c r="N322" i="3"/>
  <c r="G323" i="3"/>
  <c r="H323" i="3"/>
  <c r="I323" i="3"/>
  <c r="J323" i="3"/>
  <c r="K323" i="3"/>
  <c r="N323" i="3"/>
  <c r="G324" i="3"/>
  <c r="H324" i="3"/>
  <c r="I324" i="3"/>
  <c r="J324" i="3"/>
  <c r="K324" i="3"/>
  <c r="N324" i="3"/>
  <c r="G325" i="3"/>
  <c r="H325" i="3"/>
  <c r="I325" i="3"/>
  <c r="J325" i="3"/>
  <c r="K325" i="3"/>
  <c r="N325" i="3"/>
  <c r="G326" i="3"/>
  <c r="H326" i="3"/>
  <c r="I326" i="3"/>
  <c r="J326" i="3"/>
  <c r="K326" i="3"/>
  <c r="N326" i="3"/>
  <c r="G327" i="3"/>
  <c r="H327" i="3"/>
  <c r="I327" i="3"/>
  <c r="J327" i="3"/>
  <c r="K327" i="3"/>
  <c r="N327" i="3"/>
  <c r="G328" i="3"/>
  <c r="H328" i="3"/>
  <c r="I328" i="3"/>
  <c r="J328" i="3"/>
  <c r="K328" i="3"/>
  <c r="N328" i="3"/>
  <c r="G329" i="3"/>
  <c r="H329" i="3"/>
  <c r="I329" i="3"/>
  <c r="J329" i="3"/>
  <c r="K329" i="3"/>
  <c r="N329" i="3"/>
  <c r="G330" i="3"/>
  <c r="H330" i="3"/>
  <c r="I330" i="3"/>
  <c r="J330" i="3"/>
  <c r="K330" i="3"/>
  <c r="N330" i="3"/>
  <c r="G331" i="3"/>
  <c r="H331" i="3"/>
  <c r="I331" i="3"/>
  <c r="J331" i="3"/>
  <c r="K331" i="3"/>
  <c r="N331" i="3"/>
  <c r="G332" i="3"/>
  <c r="H332" i="3"/>
  <c r="I332" i="3"/>
  <c r="J332" i="3"/>
  <c r="K332" i="3"/>
  <c r="N332" i="3"/>
  <c r="G333" i="3"/>
  <c r="H333" i="3"/>
  <c r="I333" i="3"/>
  <c r="J333" i="3"/>
  <c r="K333" i="3"/>
  <c r="N333" i="3"/>
  <c r="G334" i="3"/>
  <c r="H334" i="3"/>
  <c r="I334" i="3"/>
  <c r="J334" i="3"/>
  <c r="K334" i="3"/>
  <c r="N334" i="3"/>
  <c r="G343" i="3"/>
  <c r="H343" i="3"/>
  <c r="I343" i="3"/>
  <c r="J343" i="3"/>
  <c r="K343" i="3"/>
  <c r="N343" i="3"/>
  <c r="G344" i="3"/>
  <c r="H344" i="3"/>
  <c r="I344" i="3"/>
  <c r="J344" i="3"/>
  <c r="K344" i="3"/>
  <c r="N344" i="3"/>
  <c r="G345" i="3"/>
  <c r="H345" i="3"/>
  <c r="I345" i="3"/>
  <c r="J345" i="3"/>
  <c r="K345" i="3"/>
  <c r="N345" i="3"/>
  <c r="G346" i="3"/>
  <c r="H346" i="3"/>
  <c r="I346" i="3"/>
  <c r="J346" i="3"/>
  <c r="K346" i="3"/>
  <c r="N346" i="3"/>
  <c r="G347" i="3"/>
  <c r="H347" i="3"/>
  <c r="I347" i="3"/>
  <c r="J347" i="3"/>
  <c r="K347" i="3"/>
  <c r="N347" i="3"/>
  <c r="G348" i="3"/>
  <c r="H348" i="3"/>
  <c r="I348" i="3"/>
  <c r="J348" i="3"/>
  <c r="K348" i="3"/>
  <c r="N348" i="3"/>
  <c r="G349" i="3"/>
  <c r="H349" i="3"/>
  <c r="I349" i="3"/>
  <c r="J349" i="3"/>
  <c r="K349" i="3"/>
  <c r="N349" i="3"/>
  <c r="G350" i="3"/>
  <c r="H350" i="3"/>
  <c r="I350" i="3"/>
  <c r="J350" i="3"/>
  <c r="K350" i="3"/>
  <c r="N350" i="3"/>
  <c r="G351" i="3"/>
  <c r="H351" i="3"/>
  <c r="I351" i="3"/>
  <c r="J351" i="3"/>
  <c r="K351" i="3"/>
  <c r="N351" i="3"/>
  <c r="G352" i="3"/>
  <c r="H352" i="3"/>
  <c r="I352" i="3"/>
  <c r="J352" i="3"/>
  <c r="K352" i="3"/>
  <c r="N352" i="3"/>
  <c r="G353" i="3"/>
  <c r="H353" i="3"/>
  <c r="I353" i="3"/>
  <c r="J353" i="3"/>
  <c r="K353" i="3"/>
  <c r="N353" i="3"/>
  <c r="G354" i="3"/>
  <c r="H354" i="3"/>
  <c r="I354" i="3"/>
  <c r="J354" i="3"/>
  <c r="K354" i="3"/>
  <c r="N354" i="3"/>
  <c r="G355" i="3"/>
  <c r="H355" i="3"/>
  <c r="I355" i="3"/>
  <c r="J355" i="3"/>
  <c r="K355" i="3"/>
  <c r="N355" i="3"/>
  <c r="G356" i="3"/>
  <c r="H356" i="3"/>
  <c r="I356" i="3"/>
  <c r="J356" i="3"/>
  <c r="K356" i="3"/>
  <c r="N356" i="3"/>
  <c r="G357" i="3"/>
  <c r="H357" i="3"/>
  <c r="I357" i="3"/>
  <c r="J357" i="3"/>
  <c r="K357" i="3"/>
  <c r="N357" i="3"/>
  <c r="G358" i="3"/>
  <c r="H358" i="3"/>
  <c r="I358" i="3"/>
  <c r="J358" i="3"/>
  <c r="K358" i="3"/>
  <c r="N358" i="3"/>
  <c r="G359" i="3"/>
  <c r="H359" i="3"/>
  <c r="I359" i="3"/>
  <c r="J359" i="3"/>
  <c r="K359" i="3"/>
  <c r="N359" i="3"/>
  <c r="G360" i="3"/>
  <c r="H360" i="3"/>
  <c r="I360" i="3"/>
  <c r="J360" i="3"/>
  <c r="K360" i="3"/>
  <c r="N360" i="3"/>
  <c r="G361" i="3"/>
  <c r="H361" i="3"/>
  <c r="I361" i="3"/>
  <c r="J361" i="3"/>
  <c r="K361" i="3"/>
  <c r="N361" i="3"/>
  <c r="G362" i="3"/>
  <c r="H362" i="3"/>
  <c r="I362" i="3"/>
  <c r="J362" i="3"/>
  <c r="K362" i="3"/>
  <c r="N362" i="3"/>
  <c r="G363" i="3"/>
  <c r="H363" i="3"/>
  <c r="I363" i="3"/>
  <c r="J363" i="3"/>
  <c r="K363" i="3"/>
  <c r="N363" i="3"/>
  <c r="G364" i="3"/>
  <c r="H364" i="3"/>
  <c r="I364" i="3"/>
  <c r="J364" i="3"/>
  <c r="K364" i="3"/>
  <c r="N364" i="3"/>
  <c r="G365" i="3"/>
  <c r="H365" i="3"/>
  <c r="I365" i="3"/>
  <c r="J365" i="3"/>
  <c r="K365" i="3"/>
  <c r="N365" i="3"/>
  <c r="G366" i="3"/>
  <c r="H366" i="3"/>
  <c r="I366" i="3"/>
  <c r="J366" i="3"/>
  <c r="K366" i="3"/>
  <c r="N366" i="3"/>
  <c r="G367" i="3"/>
  <c r="H367" i="3"/>
  <c r="I367" i="3"/>
  <c r="J367" i="3"/>
  <c r="K367" i="3"/>
  <c r="N367" i="3"/>
  <c r="G368" i="3"/>
  <c r="H368" i="3"/>
  <c r="I368" i="3"/>
  <c r="J368" i="3"/>
  <c r="K368" i="3"/>
  <c r="N368" i="3"/>
  <c r="G369" i="3"/>
  <c r="H369" i="3"/>
  <c r="I369" i="3"/>
  <c r="J369" i="3"/>
  <c r="K369" i="3"/>
  <c r="N369" i="3"/>
  <c r="G370" i="3"/>
  <c r="H370" i="3"/>
  <c r="I370" i="3"/>
  <c r="J370" i="3"/>
  <c r="K370" i="3"/>
  <c r="N370" i="3"/>
  <c r="G371" i="3"/>
  <c r="H371" i="3"/>
  <c r="I371" i="3"/>
  <c r="J371" i="3"/>
  <c r="K371" i="3"/>
  <c r="N371" i="3"/>
  <c r="G372" i="3"/>
  <c r="H372" i="3"/>
  <c r="I372" i="3"/>
  <c r="J372" i="3"/>
  <c r="K372" i="3"/>
  <c r="N372" i="3"/>
  <c r="G373" i="3"/>
  <c r="H373" i="3"/>
  <c r="I373" i="3"/>
  <c r="J373" i="3"/>
  <c r="K373" i="3"/>
  <c r="N373" i="3"/>
  <c r="G374" i="3"/>
  <c r="H374" i="3"/>
  <c r="I374" i="3"/>
  <c r="J374" i="3"/>
  <c r="K374" i="3"/>
  <c r="N374" i="3"/>
  <c r="G375" i="3"/>
  <c r="H375" i="3"/>
  <c r="I375" i="3"/>
  <c r="J375" i="3"/>
  <c r="K375" i="3"/>
  <c r="N375" i="3"/>
  <c r="G376" i="3"/>
  <c r="H376" i="3"/>
  <c r="I376" i="3"/>
  <c r="J376" i="3"/>
  <c r="K376" i="3"/>
  <c r="N376" i="3"/>
  <c r="G377" i="3"/>
  <c r="H377" i="3"/>
  <c r="I377" i="3"/>
  <c r="J377" i="3"/>
  <c r="K377" i="3"/>
  <c r="N377" i="3"/>
  <c r="G378" i="3"/>
  <c r="H378" i="3"/>
  <c r="I378" i="3"/>
  <c r="J378" i="3"/>
  <c r="K378" i="3"/>
  <c r="N378" i="3"/>
  <c r="G379" i="3"/>
  <c r="H379" i="3"/>
  <c r="I379" i="3"/>
  <c r="J379" i="3"/>
  <c r="K379" i="3"/>
  <c r="N379" i="3"/>
  <c r="G380" i="3"/>
  <c r="H380" i="3"/>
  <c r="I380" i="3"/>
  <c r="J380" i="3"/>
  <c r="K380" i="3"/>
  <c r="N380" i="3"/>
  <c r="G381" i="3"/>
  <c r="H381" i="3"/>
  <c r="I381" i="3"/>
  <c r="J381" i="3"/>
  <c r="K381" i="3"/>
  <c r="N381" i="3"/>
  <c r="G382" i="3"/>
  <c r="H382" i="3"/>
  <c r="I382" i="3"/>
  <c r="J382" i="3"/>
  <c r="K382" i="3"/>
  <c r="N382" i="3"/>
  <c r="G383" i="3"/>
  <c r="H383" i="3"/>
  <c r="I383" i="3"/>
  <c r="J383" i="3"/>
  <c r="K383" i="3"/>
  <c r="N383" i="3"/>
  <c r="G384" i="3"/>
  <c r="H384" i="3"/>
  <c r="I384" i="3"/>
  <c r="J384" i="3"/>
  <c r="K384" i="3"/>
  <c r="N384" i="3"/>
  <c r="G385" i="3"/>
  <c r="H385" i="3"/>
  <c r="I385" i="3"/>
  <c r="J385" i="3"/>
  <c r="K385" i="3"/>
  <c r="N385" i="3"/>
  <c r="G386" i="3"/>
  <c r="H386" i="3"/>
  <c r="I386" i="3"/>
  <c r="J386" i="3"/>
  <c r="K386" i="3"/>
  <c r="N386" i="3"/>
  <c r="G387" i="3"/>
  <c r="H387" i="3"/>
  <c r="I387" i="3"/>
  <c r="J387" i="3"/>
  <c r="K387" i="3"/>
  <c r="N387" i="3"/>
  <c r="G388" i="3"/>
  <c r="H388" i="3"/>
  <c r="I388" i="3"/>
  <c r="J388" i="3"/>
  <c r="K388" i="3"/>
  <c r="N388" i="3"/>
  <c r="G389" i="3"/>
  <c r="H389" i="3"/>
  <c r="I389" i="3"/>
  <c r="J389" i="3"/>
  <c r="K389" i="3"/>
  <c r="N389" i="3"/>
  <c r="G390" i="3"/>
  <c r="H390" i="3"/>
  <c r="I390" i="3"/>
  <c r="J390" i="3"/>
  <c r="K390" i="3"/>
  <c r="N390" i="3"/>
  <c r="G391" i="3"/>
  <c r="H391" i="3"/>
  <c r="I391" i="3"/>
  <c r="J391" i="3"/>
  <c r="K391" i="3"/>
  <c r="N391" i="3"/>
  <c r="G392" i="3"/>
  <c r="H392" i="3"/>
  <c r="I392" i="3"/>
  <c r="J392" i="3"/>
  <c r="K392" i="3"/>
  <c r="N392" i="3"/>
  <c r="G393" i="3"/>
  <c r="H393" i="3"/>
  <c r="I393" i="3"/>
  <c r="J393" i="3"/>
  <c r="K393" i="3"/>
  <c r="N393" i="3"/>
  <c r="G394" i="3"/>
  <c r="H394" i="3"/>
  <c r="I394" i="3"/>
  <c r="J394" i="3"/>
  <c r="K394" i="3"/>
  <c r="N394" i="3"/>
  <c r="G395" i="3"/>
  <c r="H395" i="3"/>
  <c r="I395" i="3"/>
  <c r="J395" i="3"/>
  <c r="K395" i="3"/>
  <c r="N395" i="3"/>
  <c r="G396" i="3"/>
  <c r="H396" i="3"/>
  <c r="I396" i="3"/>
  <c r="J396" i="3"/>
  <c r="K396" i="3"/>
  <c r="N396" i="3"/>
  <c r="G397" i="3"/>
  <c r="H397" i="3"/>
  <c r="I397" i="3"/>
  <c r="J397" i="3"/>
  <c r="K397" i="3"/>
  <c r="N397" i="3"/>
  <c r="G398" i="3"/>
  <c r="H398" i="3"/>
  <c r="I398" i="3"/>
  <c r="J398" i="3"/>
  <c r="K398" i="3"/>
  <c r="N398" i="3"/>
  <c r="G399" i="3"/>
  <c r="H399" i="3"/>
  <c r="I399" i="3"/>
  <c r="J399" i="3"/>
  <c r="K399" i="3"/>
  <c r="N399" i="3"/>
  <c r="G400" i="3"/>
  <c r="H400" i="3"/>
  <c r="I400" i="3"/>
  <c r="J400" i="3"/>
  <c r="K400" i="3"/>
  <c r="N400" i="3"/>
  <c r="G401" i="3"/>
  <c r="H401" i="3"/>
  <c r="I401" i="3"/>
  <c r="J401" i="3"/>
  <c r="K401" i="3"/>
  <c r="N401" i="3"/>
  <c r="G402" i="3"/>
  <c r="H402" i="3"/>
  <c r="I402" i="3"/>
  <c r="J402" i="3"/>
  <c r="K402" i="3"/>
  <c r="N402" i="3"/>
  <c r="G403" i="3"/>
  <c r="H403" i="3"/>
  <c r="I403" i="3"/>
  <c r="J403" i="3"/>
  <c r="K403" i="3"/>
  <c r="N403" i="3"/>
  <c r="G404" i="3"/>
  <c r="H404" i="3"/>
  <c r="I404" i="3"/>
  <c r="J404" i="3"/>
  <c r="K404" i="3"/>
  <c r="N404" i="3"/>
  <c r="G405" i="3"/>
  <c r="H405" i="3"/>
  <c r="I405" i="3"/>
  <c r="J405" i="3"/>
  <c r="K405" i="3"/>
  <c r="N405" i="3"/>
  <c r="G406" i="3"/>
  <c r="H406" i="3"/>
  <c r="I406" i="3"/>
  <c r="J406" i="3"/>
  <c r="K406" i="3"/>
  <c r="N406" i="3"/>
  <c r="G407" i="3"/>
  <c r="H407" i="3"/>
  <c r="I407" i="3"/>
  <c r="J407" i="3"/>
  <c r="K407" i="3"/>
  <c r="N407" i="3"/>
  <c r="G408" i="3"/>
  <c r="H408" i="3"/>
  <c r="I408" i="3"/>
  <c r="J408" i="3"/>
  <c r="K408" i="3"/>
  <c r="N408" i="3"/>
  <c r="G409" i="3"/>
  <c r="H409" i="3"/>
  <c r="I409" i="3"/>
  <c r="J409" i="3"/>
  <c r="K409" i="3"/>
  <c r="N409" i="3"/>
  <c r="G410" i="3"/>
  <c r="H410" i="3"/>
  <c r="I410" i="3"/>
  <c r="J410" i="3"/>
  <c r="K410" i="3"/>
  <c r="N410" i="3"/>
  <c r="G411" i="3"/>
  <c r="H411" i="3"/>
  <c r="I411" i="3"/>
  <c r="J411" i="3"/>
  <c r="K411" i="3"/>
  <c r="N411" i="3"/>
  <c r="G412" i="3"/>
  <c r="H412" i="3"/>
  <c r="I412" i="3"/>
  <c r="J412" i="3"/>
  <c r="K412" i="3"/>
  <c r="N412" i="3"/>
  <c r="G413" i="3"/>
  <c r="H413" i="3"/>
  <c r="I413" i="3"/>
  <c r="J413" i="3"/>
  <c r="K413" i="3"/>
  <c r="N413" i="3"/>
  <c r="G414" i="3"/>
  <c r="H414" i="3"/>
  <c r="I414" i="3"/>
  <c r="J414" i="3"/>
  <c r="K414" i="3"/>
  <c r="N414" i="3"/>
  <c r="G415" i="3"/>
  <c r="H415" i="3"/>
  <c r="I415" i="3"/>
  <c r="J415" i="3"/>
  <c r="K415" i="3"/>
  <c r="N415" i="3"/>
  <c r="G416" i="3"/>
  <c r="H416" i="3"/>
  <c r="I416" i="3"/>
  <c r="J416" i="3"/>
  <c r="K416" i="3"/>
  <c r="N416" i="3"/>
  <c r="G417" i="3"/>
  <c r="H417" i="3"/>
  <c r="I417" i="3"/>
  <c r="J417" i="3"/>
  <c r="K417" i="3"/>
  <c r="N417" i="3"/>
  <c r="G418" i="3"/>
  <c r="H418" i="3"/>
  <c r="I418" i="3"/>
  <c r="J418" i="3"/>
  <c r="K418" i="3"/>
  <c r="N418" i="3"/>
  <c r="G419" i="3"/>
  <c r="H419" i="3"/>
  <c r="I419" i="3"/>
  <c r="J419" i="3"/>
  <c r="K419" i="3"/>
  <c r="N419" i="3"/>
  <c r="G420" i="3"/>
  <c r="H420" i="3"/>
  <c r="I420" i="3"/>
  <c r="J420" i="3"/>
  <c r="K420" i="3"/>
  <c r="N420" i="3"/>
  <c r="G421" i="3"/>
  <c r="H421" i="3"/>
  <c r="I421" i="3"/>
  <c r="J421" i="3"/>
  <c r="K421" i="3"/>
  <c r="N421" i="3"/>
  <c r="G422" i="3"/>
  <c r="H422" i="3"/>
  <c r="I422" i="3"/>
  <c r="J422" i="3"/>
  <c r="K422" i="3"/>
  <c r="N422" i="3"/>
  <c r="G423" i="3"/>
  <c r="H423" i="3"/>
  <c r="I423" i="3"/>
  <c r="J423" i="3"/>
  <c r="K423" i="3"/>
  <c r="N423" i="3"/>
  <c r="G424" i="3"/>
  <c r="H424" i="3"/>
  <c r="I424" i="3"/>
  <c r="J424" i="3"/>
  <c r="K424" i="3"/>
  <c r="N424" i="3"/>
  <c r="G425" i="3"/>
  <c r="H425" i="3"/>
  <c r="I425" i="3"/>
  <c r="J425" i="3"/>
  <c r="K425" i="3"/>
  <c r="N425" i="3"/>
  <c r="G426" i="3"/>
  <c r="H426" i="3"/>
  <c r="I426" i="3"/>
  <c r="J426" i="3"/>
  <c r="K426" i="3"/>
  <c r="N426" i="3"/>
  <c r="G427" i="3"/>
  <c r="H427" i="3"/>
  <c r="I427" i="3"/>
  <c r="J427" i="3"/>
  <c r="K427" i="3"/>
  <c r="N427" i="3"/>
  <c r="G428" i="3"/>
  <c r="H428" i="3"/>
  <c r="I428" i="3"/>
  <c r="J428" i="3"/>
  <c r="K428" i="3"/>
  <c r="N428" i="3"/>
  <c r="G429" i="3"/>
  <c r="H429" i="3"/>
  <c r="I429" i="3"/>
  <c r="J429" i="3"/>
  <c r="K429" i="3"/>
  <c r="N429" i="3"/>
  <c r="G430" i="3"/>
  <c r="H430" i="3"/>
  <c r="I430" i="3"/>
  <c r="J430" i="3"/>
  <c r="K430" i="3"/>
  <c r="N430" i="3"/>
  <c r="G431" i="3"/>
  <c r="H431" i="3"/>
  <c r="I431" i="3"/>
  <c r="J431" i="3"/>
  <c r="K431" i="3"/>
  <c r="N431" i="3"/>
  <c r="G432" i="3"/>
  <c r="H432" i="3"/>
  <c r="I432" i="3"/>
  <c r="J432" i="3"/>
  <c r="K432" i="3"/>
  <c r="N432" i="3"/>
  <c r="G433" i="3"/>
  <c r="H433" i="3"/>
  <c r="I433" i="3"/>
  <c r="J433" i="3"/>
  <c r="K433" i="3"/>
  <c r="N433" i="3"/>
  <c r="G434" i="3"/>
  <c r="H434" i="3"/>
  <c r="I434" i="3"/>
  <c r="J434" i="3"/>
  <c r="K434" i="3"/>
  <c r="N434" i="3"/>
  <c r="G435" i="3"/>
  <c r="H435" i="3"/>
  <c r="I435" i="3"/>
  <c r="J435" i="3"/>
  <c r="K435" i="3"/>
  <c r="N435" i="3"/>
  <c r="G436" i="3"/>
  <c r="H436" i="3"/>
  <c r="I436" i="3"/>
  <c r="J436" i="3"/>
  <c r="K436" i="3"/>
  <c r="N436" i="3"/>
  <c r="G437" i="3"/>
  <c r="H437" i="3"/>
  <c r="I437" i="3"/>
  <c r="J437" i="3"/>
  <c r="K437" i="3"/>
  <c r="N437" i="3"/>
  <c r="G438" i="3"/>
  <c r="H438" i="3"/>
  <c r="I438" i="3"/>
  <c r="J438" i="3"/>
  <c r="K438" i="3"/>
  <c r="N438" i="3"/>
  <c r="G439" i="3"/>
  <c r="H439" i="3"/>
  <c r="I439" i="3"/>
  <c r="J439" i="3"/>
  <c r="K439" i="3"/>
  <c r="N439" i="3"/>
  <c r="G440" i="3"/>
  <c r="H440" i="3"/>
  <c r="I440" i="3"/>
  <c r="J440" i="3"/>
  <c r="K440" i="3"/>
  <c r="N440" i="3"/>
  <c r="G441" i="3"/>
  <c r="H441" i="3"/>
  <c r="I441" i="3"/>
  <c r="J441" i="3"/>
  <c r="K441" i="3"/>
  <c r="N441" i="3"/>
  <c r="G442" i="3"/>
  <c r="H442" i="3"/>
  <c r="I442" i="3"/>
  <c r="J442" i="3"/>
  <c r="K442" i="3"/>
  <c r="N442" i="3"/>
  <c r="G443" i="3"/>
  <c r="H443" i="3"/>
  <c r="I443" i="3"/>
  <c r="J443" i="3"/>
  <c r="K443" i="3"/>
  <c r="N443" i="3"/>
  <c r="G444" i="3"/>
  <c r="H444" i="3"/>
  <c r="I444" i="3"/>
  <c r="J444" i="3"/>
  <c r="K444" i="3"/>
  <c r="N444" i="3"/>
  <c r="G445" i="3"/>
  <c r="H445" i="3"/>
  <c r="I445" i="3"/>
  <c r="J445" i="3"/>
  <c r="K445" i="3"/>
  <c r="N445" i="3"/>
  <c r="G446" i="3"/>
  <c r="H446" i="3"/>
  <c r="I446" i="3"/>
  <c r="J446" i="3"/>
  <c r="K446" i="3"/>
  <c r="N446" i="3"/>
  <c r="G447" i="3"/>
  <c r="H447" i="3"/>
  <c r="I447" i="3"/>
  <c r="J447" i="3"/>
  <c r="K447" i="3"/>
  <c r="N447" i="3"/>
  <c r="G448" i="3"/>
  <c r="H448" i="3"/>
  <c r="I448" i="3"/>
  <c r="J448" i="3"/>
  <c r="K448" i="3"/>
  <c r="N448" i="3"/>
  <c r="G449" i="3"/>
  <c r="H449" i="3"/>
  <c r="I449" i="3"/>
  <c r="J449" i="3"/>
  <c r="K449" i="3"/>
  <c r="N449" i="3"/>
  <c r="G450" i="3"/>
  <c r="H450" i="3"/>
  <c r="I450" i="3"/>
  <c r="J450" i="3"/>
  <c r="K450" i="3"/>
  <c r="N450" i="3"/>
  <c r="G451" i="3"/>
  <c r="H451" i="3"/>
  <c r="I451" i="3"/>
  <c r="J451" i="3"/>
  <c r="K451" i="3"/>
  <c r="N451" i="3"/>
  <c r="G452" i="3"/>
  <c r="H452" i="3"/>
  <c r="I452" i="3"/>
  <c r="J452" i="3"/>
  <c r="K452" i="3"/>
  <c r="N452" i="3"/>
  <c r="G453" i="3"/>
  <c r="H453" i="3"/>
  <c r="I453" i="3"/>
  <c r="J453" i="3"/>
  <c r="K453" i="3"/>
  <c r="N453" i="3"/>
  <c r="G454" i="3"/>
  <c r="H454" i="3"/>
  <c r="I454" i="3"/>
  <c r="J454" i="3"/>
  <c r="K454" i="3"/>
  <c r="N454" i="3"/>
  <c r="G455" i="3"/>
  <c r="H455" i="3"/>
  <c r="I455" i="3"/>
  <c r="J455" i="3"/>
  <c r="K455" i="3"/>
  <c r="N455" i="3"/>
  <c r="G456" i="3"/>
  <c r="H456" i="3"/>
  <c r="I456" i="3"/>
  <c r="J456" i="3"/>
  <c r="K456" i="3"/>
  <c r="N456" i="3"/>
  <c r="G457" i="3"/>
  <c r="H457" i="3"/>
  <c r="I457" i="3"/>
  <c r="J457" i="3"/>
  <c r="K457" i="3"/>
  <c r="N457" i="3"/>
  <c r="G458" i="3"/>
  <c r="H458" i="3"/>
  <c r="I458" i="3"/>
  <c r="J458" i="3"/>
  <c r="K458" i="3"/>
  <c r="N458" i="3"/>
  <c r="G459" i="3"/>
  <c r="H459" i="3"/>
  <c r="I459" i="3"/>
  <c r="J459" i="3"/>
  <c r="K459" i="3"/>
  <c r="N459" i="3"/>
  <c r="G460" i="3"/>
  <c r="H460" i="3"/>
  <c r="I460" i="3"/>
  <c r="J460" i="3"/>
  <c r="K460" i="3"/>
  <c r="N460" i="3"/>
  <c r="G461" i="3"/>
  <c r="H461" i="3"/>
  <c r="I461" i="3"/>
  <c r="J461" i="3"/>
  <c r="K461" i="3"/>
  <c r="N461" i="3"/>
  <c r="G462" i="3"/>
  <c r="H462" i="3"/>
  <c r="I462" i="3"/>
  <c r="J462" i="3"/>
  <c r="K462" i="3"/>
  <c r="N462" i="3"/>
  <c r="G463" i="3"/>
  <c r="H463" i="3"/>
  <c r="I463" i="3"/>
  <c r="J463" i="3"/>
  <c r="K463" i="3"/>
  <c r="N463" i="3"/>
  <c r="G464" i="3"/>
  <c r="H464" i="3"/>
  <c r="I464" i="3"/>
  <c r="J464" i="3"/>
  <c r="K464" i="3"/>
  <c r="N464" i="3"/>
  <c r="G465" i="3"/>
  <c r="H465" i="3"/>
  <c r="I465" i="3"/>
  <c r="J465" i="3"/>
  <c r="K465" i="3"/>
  <c r="N465" i="3"/>
  <c r="G466" i="3"/>
  <c r="H466" i="3"/>
  <c r="I466" i="3"/>
  <c r="J466" i="3"/>
  <c r="K466" i="3"/>
  <c r="N466" i="3"/>
  <c r="G467" i="3"/>
  <c r="H467" i="3"/>
  <c r="I467" i="3"/>
  <c r="J467" i="3"/>
  <c r="K467" i="3"/>
  <c r="N467" i="3"/>
  <c r="G468" i="3"/>
  <c r="H468" i="3"/>
  <c r="I468" i="3"/>
  <c r="J468" i="3"/>
  <c r="K468" i="3"/>
  <c r="N468" i="3"/>
  <c r="G469" i="3"/>
  <c r="H469" i="3"/>
  <c r="I469" i="3"/>
  <c r="J469" i="3"/>
  <c r="K469" i="3"/>
  <c r="N469" i="3"/>
  <c r="G470" i="3"/>
  <c r="H470" i="3"/>
  <c r="I470" i="3"/>
  <c r="J470" i="3"/>
  <c r="K470" i="3"/>
  <c r="N470" i="3"/>
  <c r="G471" i="3"/>
  <c r="H471" i="3"/>
  <c r="I471" i="3"/>
  <c r="J471" i="3"/>
  <c r="K471" i="3"/>
  <c r="N471" i="3"/>
  <c r="G472" i="3"/>
  <c r="H472" i="3"/>
  <c r="I472" i="3"/>
  <c r="J472" i="3"/>
  <c r="K472" i="3"/>
  <c r="N472" i="3"/>
  <c r="G473" i="3"/>
  <c r="H473" i="3"/>
  <c r="I473" i="3"/>
  <c r="J473" i="3"/>
  <c r="K473" i="3"/>
  <c r="N473" i="3"/>
  <c r="G474" i="3"/>
  <c r="H474" i="3"/>
  <c r="I474" i="3"/>
  <c r="J474" i="3"/>
  <c r="K474" i="3"/>
  <c r="N474" i="3"/>
  <c r="G475" i="3"/>
  <c r="H475" i="3"/>
  <c r="I475" i="3"/>
  <c r="J475" i="3"/>
  <c r="K475" i="3"/>
  <c r="N475" i="3"/>
  <c r="G476" i="3"/>
  <c r="H476" i="3"/>
  <c r="I476" i="3"/>
  <c r="J476" i="3"/>
  <c r="K476" i="3"/>
  <c r="N476" i="3"/>
  <c r="G477" i="3"/>
  <c r="H477" i="3"/>
  <c r="I477" i="3"/>
  <c r="J477" i="3"/>
  <c r="K477" i="3"/>
  <c r="N477" i="3"/>
  <c r="G478" i="3"/>
  <c r="H478" i="3"/>
  <c r="I478" i="3"/>
  <c r="J478" i="3"/>
  <c r="K478" i="3"/>
  <c r="N478" i="3"/>
  <c r="G479" i="3"/>
  <c r="H479" i="3"/>
  <c r="I479" i="3"/>
  <c r="J479" i="3"/>
  <c r="K479" i="3"/>
  <c r="N479" i="3"/>
  <c r="G480" i="3"/>
  <c r="H480" i="3"/>
  <c r="I480" i="3"/>
  <c r="J480" i="3"/>
  <c r="K480" i="3"/>
  <c r="N480" i="3"/>
  <c r="G481" i="3"/>
  <c r="H481" i="3"/>
  <c r="I481" i="3"/>
  <c r="J481" i="3"/>
  <c r="K481" i="3"/>
  <c r="N481" i="3"/>
  <c r="G482" i="3"/>
  <c r="H482" i="3"/>
  <c r="I482" i="3"/>
  <c r="J482" i="3"/>
  <c r="K482" i="3"/>
  <c r="N482" i="3"/>
  <c r="G483" i="3"/>
  <c r="H483" i="3"/>
  <c r="I483" i="3"/>
  <c r="J483" i="3"/>
  <c r="K483" i="3"/>
  <c r="N483" i="3"/>
  <c r="G484" i="3"/>
  <c r="H484" i="3"/>
  <c r="I484" i="3"/>
  <c r="J484" i="3"/>
  <c r="K484" i="3"/>
  <c r="N484" i="3"/>
  <c r="G485" i="3"/>
  <c r="H485" i="3"/>
  <c r="I485" i="3"/>
  <c r="J485" i="3"/>
  <c r="K485" i="3"/>
  <c r="N485" i="3"/>
  <c r="G486" i="3"/>
  <c r="H486" i="3"/>
  <c r="I486" i="3"/>
  <c r="J486" i="3"/>
  <c r="K486" i="3"/>
  <c r="N486" i="3"/>
  <c r="G487" i="3"/>
  <c r="H487" i="3"/>
  <c r="I487" i="3"/>
  <c r="J487" i="3"/>
  <c r="K487" i="3"/>
  <c r="N487" i="3"/>
  <c r="G488" i="3"/>
  <c r="H488" i="3"/>
  <c r="I488" i="3"/>
  <c r="J488" i="3"/>
  <c r="K488" i="3"/>
  <c r="N488" i="3"/>
  <c r="G489" i="3"/>
  <c r="H489" i="3"/>
  <c r="I489" i="3"/>
  <c r="J489" i="3"/>
  <c r="K489" i="3"/>
  <c r="N489" i="3"/>
  <c r="G490" i="3"/>
  <c r="H490" i="3"/>
  <c r="I490" i="3"/>
  <c r="J490" i="3"/>
  <c r="K490" i="3"/>
  <c r="N490" i="3"/>
  <c r="G491" i="3"/>
  <c r="H491" i="3"/>
  <c r="I491" i="3"/>
  <c r="J491" i="3"/>
  <c r="K491" i="3"/>
  <c r="N491" i="3"/>
  <c r="G492" i="3"/>
  <c r="H492" i="3"/>
  <c r="I492" i="3"/>
  <c r="J492" i="3"/>
  <c r="K492" i="3"/>
  <c r="N492" i="3"/>
  <c r="G493" i="3"/>
  <c r="H493" i="3"/>
  <c r="I493" i="3"/>
  <c r="J493" i="3"/>
  <c r="K493" i="3"/>
  <c r="N493" i="3"/>
  <c r="G494" i="3"/>
  <c r="H494" i="3"/>
  <c r="I494" i="3"/>
  <c r="J494" i="3"/>
  <c r="K494" i="3"/>
  <c r="N494" i="3"/>
  <c r="G495" i="3"/>
  <c r="H495" i="3"/>
  <c r="I495" i="3"/>
  <c r="J495" i="3"/>
  <c r="K495" i="3"/>
  <c r="N495" i="3"/>
  <c r="G496" i="3"/>
  <c r="H496" i="3"/>
  <c r="I496" i="3"/>
  <c r="J496" i="3"/>
  <c r="K496" i="3"/>
  <c r="N496" i="3"/>
  <c r="G497" i="3"/>
  <c r="H497" i="3"/>
  <c r="I497" i="3"/>
  <c r="J497" i="3"/>
  <c r="K497" i="3"/>
  <c r="N497" i="3"/>
  <c r="G498" i="3"/>
  <c r="H498" i="3"/>
  <c r="I498" i="3"/>
  <c r="J498" i="3"/>
  <c r="K498" i="3"/>
  <c r="N498" i="3"/>
  <c r="G499" i="3"/>
  <c r="H499" i="3"/>
  <c r="I499" i="3"/>
  <c r="J499" i="3"/>
  <c r="K499" i="3"/>
  <c r="N499" i="3"/>
  <c r="G500" i="3"/>
  <c r="H500" i="3"/>
  <c r="I500" i="3"/>
  <c r="J500" i="3"/>
  <c r="K500" i="3"/>
  <c r="N500" i="3"/>
  <c r="G501" i="3"/>
  <c r="H501" i="3"/>
  <c r="I501" i="3"/>
  <c r="J501" i="3"/>
  <c r="K501" i="3"/>
  <c r="N501" i="3"/>
  <c r="G502" i="3"/>
  <c r="H502" i="3"/>
  <c r="I502" i="3"/>
  <c r="J502" i="3"/>
  <c r="K502" i="3"/>
  <c r="N502" i="3"/>
  <c r="G503" i="3"/>
  <c r="H503" i="3"/>
  <c r="I503" i="3"/>
  <c r="J503" i="3"/>
  <c r="K503" i="3"/>
  <c r="N503" i="3"/>
  <c r="G504" i="3"/>
  <c r="H504" i="3"/>
  <c r="I504" i="3"/>
  <c r="J504" i="3"/>
  <c r="K504" i="3"/>
  <c r="N504" i="3"/>
  <c r="G505" i="3"/>
  <c r="H505" i="3"/>
  <c r="I505" i="3"/>
  <c r="J505" i="3"/>
  <c r="K505" i="3"/>
  <c r="N505" i="3"/>
  <c r="G506" i="3"/>
  <c r="H506" i="3"/>
  <c r="I506" i="3"/>
  <c r="J506" i="3"/>
  <c r="K506" i="3"/>
  <c r="N506" i="3"/>
  <c r="G507" i="3"/>
  <c r="H507" i="3"/>
  <c r="I507" i="3"/>
  <c r="J507" i="3"/>
  <c r="K507" i="3"/>
  <c r="N507" i="3"/>
  <c r="G508" i="3"/>
  <c r="H508" i="3"/>
  <c r="I508" i="3"/>
  <c r="J508" i="3"/>
  <c r="K508" i="3"/>
  <c r="N508" i="3"/>
  <c r="G509" i="3"/>
  <c r="H509" i="3"/>
  <c r="I509" i="3"/>
  <c r="J509" i="3"/>
  <c r="K509" i="3"/>
  <c r="N509" i="3"/>
  <c r="G510" i="3"/>
  <c r="H510" i="3"/>
  <c r="I510" i="3"/>
  <c r="J510" i="3"/>
  <c r="K510" i="3"/>
  <c r="N510" i="3"/>
  <c r="G511" i="3"/>
  <c r="H511" i="3"/>
  <c r="I511" i="3"/>
  <c r="J511" i="3"/>
  <c r="K511" i="3"/>
  <c r="N511" i="3"/>
  <c r="G512" i="3"/>
  <c r="H512" i="3"/>
  <c r="I512" i="3"/>
  <c r="J512" i="3"/>
  <c r="K512" i="3"/>
  <c r="N512" i="3"/>
  <c r="G513" i="3"/>
  <c r="H513" i="3"/>
  <c r="I513" i="3"/>
  <c r="J513" i="3"/>
  <c r="K513" i="3"/>
  <c r="N513" i="3"/>
  <c r="G514" i="3"/>
  <c r="H514" i="3"/>
  <c r="I514" i="3"/>
  <c r="J514" i="3"/>
  <c r="K514" i="3"/>
  <c r="N514" i="3"/>
  <c r="G515" i="3"/>
  <c r="H515" i="3"/>
  <c r="I515" i="3"/>
  <c r="J515" i="3"/>
  <c r="K515" i="3"/>
  <c r="N515" i="3"/>
  <c r="G516" i="3"/>
  <c r="H516" i="3"/>
  <c r="I516" i="3"/>
  <c r="J516" i="3"/>
  <c r="K516" i="3"/>
  <c r="N516" i="3"/>
  <c r="G517" i="3"/>
  <c r="H517" i="3"/>
  <c r="I517" i="3"/>
  <c r="J517" i="3"/>
  <c r="K517" i="3"/>
  <c r="N517" i="3"/>
  <c r="G518" i="3"/>
  <c r="H518" i="3"/>
  <c r="I518" i="3"/>
  <c r="J518" i="3"/>
  <c r="K518" i="3"/>
  <c r="N518" i="3"/>
  <c r="G519" i="3"/>
  <c r="H519" i="3"/>
  <c r="I519" i="3"/>
  <c r="J519" i="3"/>
  <c r="K519" i="3"/>
  <c r="N519" i="3"/>
  <c r="G520" i="3"/>
  <c r="H520" i="3"/>
  <c r="I520" i="3"/>
  <c r="J520" i="3"/>
  <c r="K520" i="3"/>
  <c r="N520" i="3"/>
  <c r="G521" i="3"/>
  <c r="H521" i="3"/>
  <c r="I521" i="3"/>
  <c r="J521" i="3"/>
  <c r="K521" i="3"/>
  <c r="N521" i="3"/>
  <c r="G522" i="3"/>
  <c r="H522" i="3"/>
  <c r="I522" i="3"/>
  <c r="J522" i="3"/>
  <c r="K522" i="3"/>
  <c r="N522" i="3"/>
  <c r="G523" i="3"/>
  <c r="H523" i="3"/>
  <c r="I523" i="3"/>
  <c r="J523" i="3"/>
  <c r="K523" i="3"/>
  <c r="N523" i="3"/>
  <c r="G524" i="3"/>
  <c r="H524" i="3"/>
  <c r="I524" i="3"/>
  <c r="J524" i="3"/>
  <c r="K524" i="3"/>
  <c r="N524" i="3"/>
  <c r="G525" i="3"/>
  <c r="H525" i="3"/>
  <c r="I525" i="3"/>
  <c r="J525" i="3"/>
  <c r="K525" i="3"/>
  <c r="N525" i="3"/>
  <c r="G526" i="3"/>
  <c r="H526" i="3"/>
  <c r="I526" i="3"/>
  <c r="J526" i="3"/>
  <c r="K526" i="3"/>
  <c r="N526" i="3"/>
  <c r="G527" i="3"/>
  <c r="H527" i="3"/>
  <c r="I527" i="3"/>
  <c r="J527" i="3"/>
  <c r="K527" i="3"/>
  <c r="N527" i="3"/>
  <c r="G528" i="3"/>
  <c r="H528" i="3"/>
  <c r="I528" i="3"/>
  <c r="J528" i="3"/>
  <c r="K528" i="3"/>
  <c r="N528" i="3"/>
  <c r="G529" i="3"/>
  <c r="H529" i="3"/>
  <c r="I529" i="3"/>
  <c r="J529" i="3"/>
  <c r="K529" i="3"/>
  <c r="N529" i="3"/>
  <c r="G530" i="3"/>
  <c r="H530" i="3"/>
  <c r="I530" i="3"/>
  <c r="J530" i="3"/>
  <c r="K530" i="3"/>
  <c r="N530" i="3"/>
  <c r="G531" i="3"/>
  <c r="H531" i="3"/>
  <c r="I531" i="3"/>
  <c r="J531" i="3"/>
  <c r="K531" i="3"/>
  <c r="N531" i="3"/>
  <c r="G532" i="3"/>
  <c r="H532" i="3"/>
  <c r="I532" i="3"/>
  <c r="J532" i="3"/>
  <c r="K532" i="3"/>
  <c r="N532" i="3"/>
  <c r="G533" i="3"/>
  <c r="H533" i="3"/>
  <c r="I533" i="3"/>
  <c r="J533" i="3"/>
  <c r="K533" i="3"/>
  <c r="N533" i="3"/>
  <c r="G534" i="3"/>
  <c r="H534" i="3"/>
  <c r="I534" i="3"/>
  <c r="J534" i="3"/>
  <c r="K534" i="3"/>
  <c r="N534" i="3"/>
  <c r="G535" i="3"/>
  <c r="H535" i="3"/>
  <c r="I535" i="3"/>
  <c r="J535" i="3"/>
  <c r="K535" i="3"/>
  <c r="N535" i="3"/>
  <c r="G536" i="3"/>
  <c r="H536" i="3"/>
  <c r="I536" i="3"/>
  <c r="J536" i="3"/>
  <c r="K536" i="3"/>
  <c r="N536" i="3"/>
  <c r="G537" i="3"/>
  <c r="H537" i="3"/>
  <c r="I537" i="3"/>
  <c r="J537" i="3"/>
  <c r="K537" i="3"/>
  <c r="N537" i="3"/>
  <c r="G538" i="3"/>
  <c r="H538" i="3"/>
  <c r="I538" i="3"/>
  <c r="J538" i="3"/>
  <c r="K538" i="3"/>
  <c r="N538" i="3"/>
  <c r="G539" i="3"/>
  <c r="H539" i="3"/>
  <c r="I539" i="3"/>
  <c r="J539" i="3"/>
  <c r="K539" i="3"/>
  <c r="N539" i="3"/>
  <c r="G540" i="3"/>
  <c r="H540" i="3"/>
  <c r="I540" i="3"/>
  <c r="J540" i="3"/>
  <c r="K540" i="3"/>
  <c r="N540" i="3"/>
  <c r="G541" i="3"/>
  <c r="H541" i="3"/>
  <c r="I541" i="3"/>
  <c r="J541" i="3"/>
  <c r="K541" i="3"/>
  <c r="N541" i="3"/>
  <c r="G542" i="3"/>
  <c r="H542" i="3"/>
  <c r="I542" i="3"/>
  <c r="J542" i="3"/>
  <c r="K542" i="3"/>
  <c r="N542" i="3"/>
  <c r="G543" i="3"/>
  <c r="H543" i="3"/>
  <c r="I543" i="3"/>
  <c r="J543" i="3"/>
  <c r="K543" i="3"/>
  <c r="N543" i="3"/>
  <c r="G544" i="3"/>
  <c r="H544" i="3"/>
  <c r="I544" i="3"/>
  <c r="J544" i="3"/>
  <c r="K544" i="3"/>
  <c r="N544" i="3"/>
  <c r="G545" i="3"/>
  <c r="H545" i="3"/>
  <c r="I545" i="3"/>
  <c r="J545" i="3"/>
  <c r="K545" i="3"/>
  <c r="N545" i="3"/>
  <c r="G546" i="3"/>
  <c r="H546" i="3"/>
  <c r="I546" i="3"/>
  <c r="J546" i="3"/>
  <c r="K546" i="3"/>
  <c r="N546" i="3"/>
  <c r="G547" i="3"/>
  <c r="H547" i="3"/>
  <c r="I547" i="3"/>
  <c r="J547" i="3"/>
  <c r="K547" i="3"/>
  <c r="N547" i="3"/>
  <c r="G548" i="3"/>
  <c r="H548" i="3"/>
  <c r="I548" i="3"/>
  <c r="J548" i="3"/>
  <c r="K548" i="3"/>
  <c r="N548" i="3"/>
  <c r="G549" i="3"/>
  <c r="H549" i="3"/>
  <c r="I549" i="3"/>
  <c r="J549" i="3"/>
  <c r="K549" i="3"/>
  <c r="N549" i="3"/>
  <c r="G550" i="3"/>
  <c r="H550" i="3"/>
  <c r="I550" i="3"/>
  <c r="J550" i="3"/>
  <c r="K550" i="3"/>
  <c r="N550" i="3"/>
  <c r="G551" i="3"/>
  <c r="H551" i="3"/>
  <c r="I551" i="3"/>
  <c r="J551" i="3"/>
  <c r="K551" i="3"/>
  <c r="N551" i="3"/>
  <c r="G552" i="3"/>
  <c r="H552" i="3"/>
  <c r="I552" i="3"/>
  <c r="J552" i="3"/>
  <c r="K552" i="3"/>
  <c r="N552" i="3"/>
  <c r="G553" i="3"/>
  <c r="H553" i="3"/>
  <c r="I553" i="3"/>
  <c r="J553" i="3"/>
  <c r="K553" i="3"/>
  <c r="N553" i="3"/>
  <c r="G554" i="3"/>
  <c r="H554" i="3"/>
  <c r="I554" i="3"/>
  <c r="J554" i="3"/>
  <c r="K554" i="3"/>
  <c r="N554" i="3"/>
  <c r="G555" i="3"/>
  <c r="H555" i="3"/>
  <c r="I555" i="3"/>
  <c r="J555" i="3"/>
  <c r="K555" i="3"/>
  <c r="N555" i="3"/>
  <c r="G556" i="3"/>
  <c r="H556" i="3"/>
  <c r="I556" i="3"/>
  <c r="J556" i="3"/>
  <c r="K556" i="3"/>
  <c r="N556" i="3"/>
  <c r="G557" i="3"/>
  <c r="H557" i="3"/>
  <c r="I557" i="3"/>
  <c r="J557" i="3"/>
  <c r="K557" i="3"/>
  <c r="N557" i="3"/>
  <c r="G558" i="3"/>
  <c r="H558" i="3"/>
  <c r="I558" i="3"/>
  <c r="J558" i="3"/>
  <c r="K558" i="3"/>
  <c r="N558" i="3"/>
  <c r="G559" i="3"/>
  <c r="H559" i="3"/>
  <c r="I559" i="3"/>
  <c r="J559" i="3"/>
  <c r="K559" i="3"/>
  <c r="N559" i="3"/>
  <c r="G560" i="3"/>
  <c r="H560" i="3"/>
  <c r="I560" i="3"/>
  <c r="J560" i="3"/>
  <c r="K560" i="3"/>
  <c r="N560" i="3"/>
  <c r="G561" i="3"/>
  <c r="H561" i="3"/>
  <c r="I561" i="3"/>
  <c r="J561" i="3"/>
  <c r="K561" i="3"/>
  <c r="N561" i="3"/>
  <c r="G562" i="3"/>
  <c r="H562" i="3"/>
  <c r="I562" i="3"/>
  <c r="J562" i="3"/>
  <c r="K562" i="3"/>
  <c r="N562" i="3"/>
  <c r="G563" i="3"/>
  <c r="H563" i="3"/>
  <c r="I563" i="3"/>
  <c r="J563" i="3"/>
  <c r="K563" i="3"/>
  <c r="N563" i="3"/>
  <c r="G564" i="3"/>
  <c r="H564" i="3"/>
  <c r="I564" i="3"/>
  <c r="J564" i="3"/>
  <c r="K564" i="3"/>
  <c r="N564" i="3"/>
  <c r="G565" i="3"/>
  <c r="H565" i="3"/>
  <c r="I565" i="3"/>
  <c r="J565" i="3"/>
  <c r="K565" i="3"/>
  <c r="N565" i="3"/>
  <c r="G566" i="3"/>
  <c r="H566" i="3"/>
  <c r="I566" i="3"/>
  <c r="J566" i="3"/>
  <c r="K566" i="3"/>
  <c r="N566" i="3"/>
  <c r="G567" i="3"/>
  <c r="H567" i="3"/>
  <c r="I567" i="3"/>
  <c r="J567" i="3"/>
  <c r="K567" i="3"/>
  <c r="N567" i="3"/>
  <c r="G568" i="3"/>
  <c r="H568" i="3"/>
  <c r="I568" i="3"/>
  <c r="J568" i="3"/>
  <c r="K568" i="3"/>
  <c r="N568" i="3"/>
  <c r="G569" i="3"/>
  <c r="H569" i="3"/>
  <c r="I569" i="3"/>
  <c r="J569" i="3"/>
  <c r="K569" i="3"/>
  <c r="N569" i="3"/>
  <c r="G570" i="3"/>
  <c r="H570" i="3"/>
  <c r="I570" i="3"/>
  <c r="J570" i="3"/>
  <c r="K570" i="3"/>
  <c r="N570" i="3"/>
  <c r="G571" i="3"/>
  <c r="H571" i="3"/>
  <c r="I571" i="3"/>
  <c r="J571" i="3"/>
  <c r="K571" i="3"/>
  <c r="N571" i="3"/>
  <c r="G572" i="3"/>
  <c r="H572" i="3"/>
  <c r="I572" i="3"/>
  <c r="J572" i="3"/>
  <c r="K572" i="3"/>
  <c r="N572" i="3"/>
  <c r="G573" i="3"/>
  <c r="H573" i="3"/>
  <c r="I573" i="3"/>
  <c r="J573" i="3"/>
  <c r="K573" i="3"/>
  <c r="N573" i="3"/>
  <c r="G574" i="3"/>
  <c r="H574" i="3"/>
  <c r="I574" i="3"/>
  <c r="J574" i="3"/>
  <c r="K574" i="3"/>
  <c r="N574" i="3"/>
  <c r="G575" i="3"/>
  <c r="H575" i="3"/>
  <c r="I575" i="3"/>
  <c r="J575" i="3"/>
  <c r="K575" i="3"/>
  <c r="N575" i="3"/>
  <c r="G576" i="3"/>
  <c r="H576" i="3"/>
  <c r="I576" i="3"/>
  <c r="J576" i="3"/>
  <c r="K576" i="3"/>
  <c r="N576" i="3"/>
  <c r="G577" i="3"/>
  <c r="H577" i="3"/>
  <c r="I577" i="3"/>
  <c r="J577" i="3"/>
  <c r="K577" i="3"/>
  <c r="N577" i="3"/>
  <c r="G578" i="3"/>
  <c r="H578" i="3"/>
  <c r="I578" i="3"/>
  <c r="J578" i="3"/>
  <c r="K578" i="3"/>
  <c r="N578" i="3"/>
  <c r="G579" i="3"/>
  <c r="H579" i="3"/>
  <c r="I579" i="3"/>
  <c r="J579" i="3"/>
  <c r="K579" i="3"/>
  <c r="N579" i="3"/>
  <c r="G580" i="3"/>
  <c r="H580" i="3"/>
  <c r="I580" i="3"/>
  <c r="J580" i="3"/>
  <c r="K580" i="3"/>
  <c r="N580" i="3"/>
  <c r="G581" i="3"/>
  <c r="H581" i="3"/>
  <c r="I581" i="3"/>
  <c r="J581" i="3"/>
  <c r="K581" i="3"/>
  <c r="N581" i="3"/>
  <c r="G582" i="3"/>
  <c r="H582" i="3"/>
  <c r="I582" i="3"/>
  <c r="J582" i="3"/>
  <c r="K582" i="3"/>
  <c r="N582" i="3"/>
  <c r="G583" i="3"/>
  <c r="H583" i="3"/>
  <c r="I583" i="3"/>
  <c r="J583" i="3"/>
  <c r="K583" i="3"/>
  <c r="N583" i="3"/>
  <c r="G584" i="3"/>
  <c r="H584" i="3"/>
  <c r="I584" i="3"/>
  <c r="J584" i="3"/>
  <c r="K584" i="3"/>
  <c r="N584" i="3"/>
  <c r="G585" i="3"/>
  <c r="H585" i="3"/>
  <c r="I585" i="3"/>
  <c r="J585" i="3"/>
  <c r="K585" i="3"/>
  <c r="N585" i="3"/>
  <c r="G586" i="3"/>
  <c r="H586" i="3"/>
  <c r="I586" i="3"/>
  <c r="J586" i="3"/>
  <c r="K586" i="3"/>
  <c r="N586" i="3"/>
  <c r="G587" i="3"/>
  <c r="H587" i="3"/>
  <c r="I587" i="3"/>
  <c r="J587" i="3"/>
  <c r="K587" i="3"/>
  <c r="N587" i="3"/>
  <c r="G588" i="3"/>
  <c r="H588" i="3"/>
  <c r="I588" i="3"/>
  <c r="J588" i="3"/>
  <c r="K588" i="3"/>
  <c r="N588" i="3"/>
  <c r="G589" i="3"/>
  <c r="H589" i="3"/>
  <c r="I589" i="3"/>
  <c r="J589" i="3"/>
  <c r="K589" i="3"/>
  <c r="N589" i="3"/>
  <c r="G590" i="3"/>
  <c r="H590" i="3"/>
  <c r="I590" i="3"/>
  <c r="J590" i="3"/>
  <c r="K590" i="3"/>
  <c r="N590" i="3"/>
  <c r="G591" i="3"/>
  <c r="H591" i="3"/>
  <c r="I591" i="3"/>
  <c r="J591" i="3"/>
  <c r="K591" i="3"/>
  <c r="N591" i="3"/>
  <c r="G592" i="3"/>
  <c r="H592" i="3"/>
  <c r="I592" i="3"/>
  <c r="J592" i="3"/>
  <c r="K592" i="3"/>
  <c r="N592" i="3"/>
  <c r="G593" i="3"/>
  <c r="H593" i="3"/>
  <c r="I593" i="3"/>
  <c r="J593" i="3"/>
  <c r="K593" i="3"/>
  <c r="N593" i="3"/>
  <c r="G594" i="3"/>
  <c r="H594" i="3"/>
  <c r="I594" i="3"/>
  <c r="J594" i="3"/>
  <c r="K594" i="3"/>
  <c r="N594" i="3"/>
  <c r="G595" i="3"/>
  <c r="H595" i="3"/>
  <c r="I595" i="3"/>
  <c r="J595" i="3"/>
  <c r="K595" i="3"/>
  <c r="N595" i="3"/>
  <c r="G596" i="3"/>
  <c r="H596" i="3"/>
  <c r="I596" i="3"/>
  <c r="J596" i="3"/>
  <c r="K596" i="3"/>
  <c r="N596" i="3"/>
  <c r="G597" i="3"/>
  <c r="H597" i="3"/>
  <c r="I597" i="3"/>
  <c r="J597" i="3"/>
  <c r="K597" i="3"/>
  <c r="N597" i="3"/>
  <c r="G598" i="3"/>
  <c r="H598" i="3"/>
  <c r="I598" i="3"/>
  <c r="J598" i="3"/>
  <c r="K598" i="3"/>
  <c r="N598" i="3"/>
  <c r="G599" i="3"/>
  <c r="H599" i="3"/>
  <c r="I599" i="3"/>
  <c r="J599" i="3"/>
  <c r="K599" i="3"/>
  <c r="N599" i="3"/>
  <c r="G600" i="3"/>
  <c r="H600" i="3"/>
  <c r="I600" i="3"/>
  <c r="J600" i="3"/>
  <c r="K600" i="3"/>
  <c r="N600" i="3"/>
  <c r="G601" i="3"/>
  <c r="H601" i="3"/>
  <c r="I601" i="3"/>
  <c r="J601" i="3"/>
  <c r="K601" i="3"/>
  <c r="N601" i="3"/>
  <c r="G602" i="3"/>
  <c r="H602" i="3"/>
  <c r="I602" i="3"/>
  <c r="J602" i="3"/>
  <c r="K602" i="3"/>
  <c r="N602" i="3"/>
  <c r="G603" i="3"/>
  <c r="H603" i="3"/>
  <c r="I603" i="3"/>
  <c r="J603" i="3"/>
  <c r="K603" i="3"/>
  <c r="N603" i="3"/>
  <c r="G604" i="3"/>
  <c r="H604" i="3"/>
  <c r="I604" i="3"/>
  <c r="J604" i="3"/>
  <c r="K604" i="3"/>
  <c r="N604" i="3"/>
  <c r="G605" i="3"/>
  <c r="H605" i="3"/>
  <c r="I605" i="3"/>
  <c r="J605" i="3"/>
  <c r="K605" i="3"/>
  <c r="N605" i="3"/>
  <c r="G606" i="3"/>
  <c r="H606" i="3"/>
  <c r="I606" i="3"/>
  <c r="J606" i="3"/>
  <c r="K606" i="3"/>
  <c r="N606" i="3"/>
  <c r="G607" i="3"/>
  <c r="H607" i="3"/>
  <c r="I607" i="3"/>
  <c r="J607" i="3"/>
  <c r="K607" i="3"/>
  <c r="N607" i="3"/>
  <c r="G608" i="3"/>
  <c r="H608" i="3"/>
  <c r="I608" i="3"/>
  <c r="J608" i="3"/>
  <c r="K608" i="3"/>
  <c r="N608" i="3"/>
  <c r="G609" i="3"/>
  <c r="H609" i="3"/>
  <c r="I609" i="3"/>
  <c r="J609" i="3"/>
  <c r="K609" i="3"/>
  <c r="N609" i="3"/>
  <c r="G610" i="3"/>
  <c r="H610" i="3"/>
  <c r="I610" i="3"/>
  <c r="J610" i="3"/>
  <c r="K610" i="3"/>
  <c r="N610" i="3"/>
  <c r="G611" i="3"/>
  <c r="H611" i="3"/>
  <c r="I611" i="3"/>
  <c r="J611" i="3"/>
  <c r="K611" i="3"/>
  <c r="N611" i="3"/>
  <c r="G612" i="3"/>
  <c r="H612" i="3"/>
  <c r="I612" i="3"/>
  <c r="J612" i="3"/>
  <c r="K612" i="3"/>
  <c r="N612" i="3"/>
  <c r="G613" i="3"/>
  <c r="H613" i="3"/>
  <c r="I613" i="3"/>
  <c r="J613" i="3"/>
  <c r="K613" i="3"/>
  <c r="N613" i="3"/>
  <c r="G614" i="3"/>
  <c r="H614" i="3"/>
  <c r="I614" i="3"/>
  <c r="J614" i="3"/>
  <c r="K614" i="3"/>
  <c r="N614" i="3"/>
  <c r="G615" i="3"/>
  <c r="H615" i="3"/>
  <c r="I615" i="3"/>
  <c r="J615" i="3"/>
  <c r="K615" i="3"/>
  <c r="N615" i="3"/>
  <c r="G616" i="3"/>
  <c r="H616" i="3"/>
  <c r="I616" i="3"/>
  <c r="J616" i="3"/>
  <c r="K616" i="3"/>
  <c r="N616" i="3"/>
  <c r="G617" i="3"/>
  <c r="H617" i="3"/>
  <c r="I617" i="3"/>
  <c r="J617" i="3"/>
  <c r="K617" i="3"/>
  <c r="N617" i="3"/>
  <c r="G618" i="3"/>
  <c r="H618" i="3"/>
  <c r="I618" i="3"/>
  <c r="J618" i="3"/>
  <c r="K618" i="3"/>
  <c r="N618" i="3"/>
  <c r="G619" i="3"/>
  <c r="H619" i="3"/>
  <c r="I619" i="3"/>
  <c r="J619" i="3"/>
  <c r="K619" i="3"/>
  <c r="N619" i="3"/>
  <c r="G620" i="3"/>
  <c r="H620" i="3"/>
  <c r="I620" i="3"/>
  <c r="J620" i="3"/>
  <c r="K620" i="3"/>
  <c r="N620" i="3"/>
  <c r="G621" i="3"/>
  <c r="H621" i="3"/>
  <c r="I621" i="3"/>
  <c r="J621" i="3"/>
  <c r="K621" i="3"/>
  <c r="N621" i="3"/>
  <c r="G622" i="3"/>
  <c r="H622" i="3"/>
  <c r="I622" i="3"/>
  <c r="J622" i="3"/>
  <c r="K622" i="3"/>
  <c r="N622" i="3"/>
  <c r="G623" i="3"/>
  <c r="H623" i="3"/>
  <c r="I623" i="3"/>
  <c r="J623" i="3"/>
  <c r="K623" i="3"/>
  <c r="N623" i="3"/>
  <c r="G624" i="3"/>
  <c r="H624" i="3"/>
  <c r="I624" i="3"/>
  <c r="J624" i="3"/>
  <c r="K624" i="3"/>
  <c r="N624" i="3"/>
  <c r="G625" i="3"/>
  <c r="H625" i="3"/>
  <c r="I625" i="3"/>
  <c r="J625" i="3"/>
  <c r="K625" i="3"/>
  <c r="N625" i="3"/>
  <c r="G626" i="3"/>
  <c r="H626" i="3"/>
  <c r="I626" i="3"/>
  <c r="J626" i="3"/>
  <c r="K626" i="3"/>
  <c r="N626" i="3"/>
  <c r="G627" i="3"/>
  <c r="H627" i="3"/>
  <c r="I627" i="3"/>
  <c r="J627" i="3"/>
  <c r="K627" i="3"/>
  <c r="N627" i="3"/>
  <c r="G628" i="3"/>
  <c r="H628" i="3"/>
  <c r="I628" i="3"/>
  <c r="J628" i="3"/>
  <c r="K628" i="3"/>
  <c r="N628" i="3"/>
  <c r="G629" i="3"/>
  <c r="H629" i="3"/>
  <c r="I629" i="3"/>
  <c r="J629" i="3"/>
  <c r="K629" i="3"/>
  <c r="N629" i="3"/>
  <c r="G630" i="3"/>
  <c r="H630" i="3"/>
  <c r="I630" i="3"/>
  <c r="J630" i="3"/>
  <c r="K630" i="3"/>
  <c r="N630" i="3"/>
  <c r="G631" i="3"/>
  <c r="H631" i="3"/>
  <c r="I631" i="3"/>
  <c r="J631" i="3"/>
  <c r="K631" i="3"/>
  <c r="N631" i="3"/>
  <c r="G632" i="3"/>
  <c r="H632" i="3"/>
  <c r="I632" i="3"/>
  <c r="J632" i="3"/>
  <c r="K632" i="3"/>
  <c r="N632" i="3"/>
  <c r="G633" i="3"/>
  <c r="H633" i="3"/>
  <c r="I633" i="3"/>
  <c r="J633" i="3"/>
  <c r="K633" i="3"/>
  <c r="N633" i="3"/>
  <c r="G634" i="3"/>
  <c r="H634" i="3"/>
  <c r="I634" i="3"/>
  <c r="J634" i="3"/>
  <c r="K634" i="3"/>
  <c r="N634" i="3"/>
  <c r="G635" i="3"/>
  <c r="H635" i="3"/>
  <c r="I635" i="3"/>
  <c r="J635" i="3"/>
  <c r="K635" i="3"/>
  <c r="N635" i="3"/>
  <c r="G636" i="3"/>
  <c r="H636" i="3"/>
  <c r="I636" i="3"/>
  <c r="J636" i="3"/>
  <c r="K636" i="3"/>
  <c r="N636" i="3"/>
  <c r="G637" i="3"/>
  <c r="H637" i="3"/>
  <c r="I637" i="3"/>
  <c r="J637" i="3"/>
  <c r="K637" i="3"/>
  <c r="N637" i="3"/>
  <c r="G638" i="3"/>
  <c r="H638" i="3"/>
  <c r="I638" i="3"/>
  <c r="J638" i="3"/>
  <c r="K638" i="3"/>
  <c r="N638" i="3"/>
  <c r="G639" i="3"/>
  <c r="H639" i="3"/>
  <c r="I639" i="3"/>
  <c r="J639" i="3"/>
  <c r="K639" i="3"/>
  <c r="N639" i="3"/>
  <c r="G640" i="3"/>
  <c r="H640" i="3"/>
  <c r="I640" i="3"/>
  <c r="J640" i="3"/>
  <c r="K640" i="3"/>
  <c r="N640" i="3"/>
  <c r="G641" i="3"/>
  <c r="H641" i="3"/>
  <c r="I641" i="3"/>
  <c r="J641" i="3"/>
  <c r="K641" i="3"/>
  <c r="N641" i="3"/>
  <c r="G642" i="3"/>
  <c r="H642" i="3"/>
  <c r="I642" i="3"/>
  <c r="J642" i="3"/>
  <c r="K642" i="3"/>
  <c r="N642" i="3"/>
  <c r="G643" i="3"/>
  <c r="H643" i="3"/>
  <c r="I643" i="3"/>
  <c r="J643" i="3"/>
  <c r="K643" i="3"/>
  <c r="N643" i="3"/>
  <c r="G644" i="3"/>
  <c r="H644" i="3"/>
  <c r="I644" i="3"/>
  <c r="J644" i="3"/>
  <c r="K644" i="3"/>
  <c r="N644" i="3"/>
  <c r="G645" i="3"/>
  <c r="H645" i="3"/>
  <c r="I645" i="3"/>
  <c r="J645" i="3"/>
  <c r="K645" i="3"/>
  <c r="N645" i="3"/>
  <c r="G646" i="3"/>
  <c r="H646" i="3"/>
  <c r="I646" i="3"/>
  <c r="J646" i="3"/>
  <c r="K646" i="3"/>
  <c r="N646" i="3"/>
  <c r="G647" i="3"/>
  <c r="H647" i="3"/>
  <c r="I647" i="3"/>
  <c r="J647" i="3"/>
  <c r="K647" i="3"/>
  <c r="N647" i="3"/>
  <c r="G648" i="3"/>
  <c r="H648" i="3"/>
  <c r="I648" i="3"/>
  <c r="J648" i="3"/>
  <c r="K648" i="3"/>
  <c r="N648" i="3"/>
  <c r="G649" i="3"/>
  <c r="H649" i="3"/>
  <c r="I649" i="3"/>
  <c r="J649" i="3"/>
  <c r="K649" i="3"/>
  <c r="N649" i="3"/>
  <c r="G650" i="3"/>
  <c r="H650" i="3"/>
  <c r="I650" i="3"/>
  <c r="J650" i="3"/>
  <c r="K650" i="3"/>
  <c r="N650" i="3"/>
  <c r="G651" i="3"/>
  <c r="H651" i="3"/>
  <c r="I651" i="3"/>
  <c r="J651" i="3"/>
  <c r="K651" i="3"/>
  <c r="N651" i="3"/>
  <c r="G652" i="3"/>
  <c r="H652" i="3"/>
  <c r="I652" i="3"/>
  <c r="J652" i="3"/>
  <c r="K652" i="3"/>
  <c r="N652" i="3"/>
  <c r="G653" i="3"/>
  <c r="H653" i="3"/>
  <c r="I653" i="3"/>
  <c r="J653" i="3"/>
  <c r="K653" i="3"/>
  <c r="N653" i="3"/>
  <c r="G654" i="3"/>
  <c r="H654" i="3"/>
  <c r="I654" i="3"/>
  <c r="J654" i="3"/>
  <c r="K654" i="3"/>
  <c r="N654" i="3"/>
  <c r="G655" i="3"/>
  <c r="H655" i="3"/>
  <c r="I655" i="3"/>
  <c r="J655" i="3"/>
  <c r="K655" i="3"/>
  <c r="N655" i="3"/>
  <c r="G656" i="3"/>
  <c r="H656" i="3"/>
  <c r="I656" i="3"/>
  <c r="J656" i="3"/>
  <c r="K656" i="3"/>
  <c r="N656" i="3"/>
  <c r="G657" i="3"/>
  <c r="H657" i="3"/>
  <c r="I657" i="3"/>
  <c r="J657" i="3"/>
  <c r="K657" i="3"/>
  <c r="N657" i="3"/>
  <c r="G658" i="3"/>
  <c r="H658" i="3"/>
  <c r="I658" i="3"/>
  <c r="J658" i="3"/>
  <c r="K658" i="3"/>
  <c r="N658" i="3"/>
  <c r="G659" i="3"/>
  <c r="H659" i="3"/>
  <c r="I659" i="3"/>
  <c r="J659" i="3"/>
  <c r="K659" i="3"/>
  <c r="N659" i="3"/>
  <c r="G660" i="3"/>
  <c r="H660" i="3"/>
  <c r="I660" i="3"/>
  <c r="J660" i="3"/>
  <c r="K660" i="3"/>
  <c r="N660" i="3"/>
  <c r="G661" i="3"/>
  <c r="H661" i="3"/>
  <c r="I661" i="3"/>
  <c r="J661" i="3"/>
  <c r="K661" i="3"/>
  <c r="N661" i="3"/>
  <c r="G662" i="3"/>
  <c r="H662" i="3"/>
  <c r="I662" i="3"/>
  <c r="J662" i="3"/>
  <c r="K662" i="3"/>
  <c r="N662" i="3"/>
  <c r="G663" i="3"/>
  <c r="H663" i="3"/>
  <c r="I663" i="3"/>
  <c r="J663" i="3"/>
  <c r="K663" i="3"/>
  <c r="N663" i="3"/>
  <c r="G664" i="3"/>
  <c r="H664" i="3"/>
  <c r="I664" i="3"/>
  <c r="J664" i="3"/>
  <c r="K664" i="3"/>
  <c r="N664" i="3"/>
  <c r="G665" i="3"/>
  <c r="H665" i="3"/>
  <c r="I665" i="3"/>
  <c r="J665" i="3"/>
  <c r="K665" i="3"/>
  <c r="N665" i="3"/>
  <c r="G666" i="3"/>
  <c r="H666" i="3"/>
  <c r="I666" i="3"/>
  <c r="J666" i="3"/>
  <c r="K666" i="3"/>
  <c r="N666" i="3"/>
  <c r="G667" i="3"/>
  <c r="H667" i="3"/>
  <c r="I667" i="3"/>
  <c r="J667" i="3"/>
  <c r="K667" i="3"/>
  <c r="N667" i="3"/>
  <c r="G668" i="3"/>
  <c r="H668" i="3"/>
  <c r="I668" i="3"/>
  <c r="J668" i="3"/>
  <c r="K668" i="3"/>
  <c r="N668" i="3"/>
  <c r="G669" i="3"/>
  <c r="H669" i="3"/>
  <c r="I669" i="3"/>
  <c r="J669" i="3"/>
  <c r="K669" i="3"/>
  <c r="N669" i="3"/>
  <c r="G670" i="3"/>
  <c r="H670" i="3"/>
  <c r="I670" i="3"/>
  <c r="J670" i="3"/>
  <c r="K670" i="3"/>
  <c r="N670" i="3"/>
  <c r="G671" i="3"/>
  <c r="H671" i="3"/>
  <c r="I671" i="3"/>
  <c r="J671" i="3"/>
  <c r="K671" i="3"/>
  <c r="N671" i="3"/>
  <c r="G672" i="3"/>
  <c r="H672" i="3"/>
  <c r="I672" i="3"/>
  <c r="J672" i="3"/>
  <c r="K672" i="3"/>
  <c r="N672" i="3"/>
  <c r="G673" i="3"/>
  <c r="H673" i="3"/>
  <c r="I673" i="3"/>
  <c r="J673" i="3"/>
  <c r="K673" i="3"/>
  <c r="N673" i="3"/>
  <c r="G674" i="3"/>
  <c r="H674" i="3"/>
  <c r="I674" i="3"/>
  <c r="J674" i="3"/>
  <c r="K674" i="3"/>
  <c r="N674" i="3"/>
  <c r="G675" i="3"/>
  <c r="H675" i="3"/>
  <c r="I675" i="3"/>
  <c r="J675" i="3"/>
  <c r="K675" i="3"/>
  <c r="N675" i="3"/>
  <c r="G676" i="3"/>
  <c r="H676" i="3"/>
  <c r="I676" i="3"/>
  <c r="J676" i="3"/>
  <c r="K676" i="3"/>
  <c r="N676" i="3"/>
  <c r="G677" i="3"/>
  <c r="H677" i="3"/>
  <c r="I677" i="3"/>
  <c r="J677" i="3"/>
  <c r="K677" i="3"/>
  <c r="N677" i="3"/>
  <c r="G678" i="3"/>
  <c r="H678" i="3"/>
  <c r="I678" i="3"/>
  <c r="J678" i="3"/>
  <c r="K678" i="3"/>
  <c r="N678" i="3"/>
  <c r="G679" i="3"/>
  <c r="H679" i="3"/>
  <c r="I679" i="3"/>
  <c r="J679" i="3"/>
  <c r="K679" i="3"/>
  <c r="N679" i="3"/>
  <c r="G680" i="3"/>
  <c r="H680" i="3"/>
  <c r="I680" i="3"/>
  <c r="J680" i="3"/>
  <c r="K680" i="3"/>
  <c r="N680" i="3"/>
  <c r="G681" i="3"/>
  <c r="H681" i="3"/>
  <c r="I681" i="3"/>
  <c r="J681" i="3"/>
  <c r="K681" i="3"/>
  <c r="N681" i="3"/>
  <c r="G682" i="3"/>
  <c r="H682" i="3"/>
  <c r="I682" i="3"/>
  <c r="J682" i="3"/>
  <c r="K682" i="3"/>
  <c r="N682" i="3"/>
  <c r="G683" i="3"/>
  <c r="H683" i="3"/>
  <c r="I683" i="3"/>
  <c r="J683" i="3"/>
  <c r="K683" i="3"/>
  <c r="N683" i="3"/>
  <c r="G684" i="3"/>
  <c r="H684" i="3"/>
  <c r="I684" i="3"/>
  <c r="J684" i="3"/>
  <c r="K684" i="3"/>
  <c r="N684" i="3"/>
  <c r="G685" i="3"/>
  <c r="H685" i="3"/>
  <c r="I685" i="3"/>
  <c r="J685" i="3"/>
  <c r="K685" i="3"/>
  <c r="N685" i="3"/>
  <c r="G686" i="3"/>
  <c r="H686" i="3"/>
  <c r="I686" i="3"/>
  <c r="J686" i="3"/>
  <c r="K686" i="3"/>
  <c r="N686" i="3"/>
  <c r="G687" i="3"/>
  <c r="H687" i="3"/>
  <c r="I687" i="3"/>
  <c r="J687" i="3"/>
  <c r="K687" i="3"/>
  <c r="N687" i="3"/>
  <c r="G688" i="3"/>
  <c r="H688" i="3"/>
  <c r="I688" i="3"/>
  <c r="J688" i="3"/>
  <c r="K688" i="3"/>
  <c r="N688" i="3"/>
  <c r="G689" i="3"/>
  <c r="H689" i="3"/>
  <c r="I689" i="3"/>
  <c r="J689" i="3"/>
  <c r="K689" i="3"/>
  <c r="N689" i="3"/>
  <c r="G690" i="3"/>
  <c r="H690" i="3"/>
  <c r="I690" i="3"/>
  <c r="J690" i="3"/>
  <c r="K690" i="3"/>
  <c r="N690" i="3"/>
  <c r="G691" i="3"/>
  <c r="H691" i="3"/>
  <c r="I691" i="3"/>
  <c r="J691" i="3"/>
  <c r="K691" i="3"/>
  <c r="N691" i="3"/>
  <c r="G692" i="3"/>
  <c r="H692" i="3"/>
  <c r="I692" i="3"/>
  <c r="J692" i="3"/>
  <c r="K692" i="3"/>
  <c r="N692" i="3"/>
  <c r="G693" i="3"/>
  <c r="H693" i="3"/>
  <c r="I693" i="3"/>
  <c r="J693" i="3"/>
  <c r="K693" i="3"/>
  <c r="N693" i="3"/>
  <c r="G694" i="3"/>
  <c r="H694" i="3"/>
  <c r="I694" i="3"/>
  <c r="J694" i="3"/>
  <c r="K694" i="3"/>
  <c r="N694" i="3"/>
  <c r="G695" i="3"/>
  <c r="H695" i="3"/>
  <c r="I695" i="3"/>
  <c r="J695" i="3"/>
  <c r="K695" i="3"/>
  <c r="N695" i="3"/>
  <c r="G696" i="3"/>
  <c r="H696" i="3"/>
  <c r="I696" i="3"/>
  <c r="J696" i="3"/>
  <c r="K696" i="3"/>
  <c r="N696" i="3"/>
  <c r="G697" i="3"/>
  <c r="H697" i="3"/>
  <c r="I697" i="3"/>
  <c r="J697" i="3"/>
  <c r="K697" i="3"/>
  <c r="N697" i="3"/>
  <c r="G698" i="3"/>
  <c r="H698" i="3"/>
  <c r="I698" i="3"/>
  <c r="J698" i="3"/>
  <c r="K698" i="3"/>
  <c r="N698" i="3"/>
  <c r="G699" i="3"/>
  <c r="H699" i="3"/>
  <c r="I699" i="3"/>
  <c r="J699" i="3"/>
  <c r="K699" i="3"/>
  <c r="N699" i="3"/>
  <c r="G700" i="3"/>
  <c r="H700" i="3"/>
  <c r="I700" i="3"/>
  <c r="J700" i="3"/>
  <c r="K700" i="3"/>
  <c r="N700" i="3"/>
  <c r="G701" i="3"/>
  <c r="H701" i="3"/>
  <c r="I701" i="3"/>
  <c r="J701" i="3"/>
  <c r="K701" i="3"/>
  <c r="N701" i="3"/>
  <c r="G702" i="3"/>
  <c r="H702" i="3"/>
  <c r="I702" i="3"/>
  <c r="J702" i="3"/>
  <c r="K702" i="3"/>
  <c r="N702" i="3"/>
  <c r="G703" i="3"/>
  <c r="H703" i="3"/>
  <c r="I703" i="3"/>
  <c r="J703" i="3"/>
  <c r="K703" i="3"/>
  <c r="N703" i="3"/>
  <c r="G704" i="3"/>
  <c r="H704" i="3"/>
  <c r="I704" i="3"/>
  <c r="J704" i="3"/>
  <c r="K704" i="3"/>
  <c r="N704" i="3"/>
  <c r="G705" i="3"/>
  <c r="H705" i="3"/>
  <c r="I705" i="3"/>
  <c r="J705" i="3"/>
  <c r="K705" i="3"/>
  <c r="N705" i="3"/>
  <c r="G706" i="3"/>
  <c r="H706" i="3"/>
  <c r="I706" i="3"/>
  <c r="J706" i="3"/>
  <c r="K706" i="3"/>
  <c r="N706" i="3"/>
  <c r="G707" i="3"/>
  <c r="H707" i="3"/>
  <c r="I707" i="3"/>
  <c r="J707" i="3"/>
  <c r="K707" i="3"/>
  <c r="N707" i="3"/>
  <c r="G708" i="3"/>
  <c r="H708" i="3"/>
  <c r="I708" i="3"/>
  <c r="J708" i="3"/>
  <c r="K708" i="3"/>
  <c r="N708" i="3"/>
  <c r="G709" i="3"/>
  <c r="H709" i="3"/>
  <c r="I709" i="3"/>
  <c r="J709" i="3"/>
  <c r="K709" i="3"/>
  <c r="N709" i="3"/>
  <c r="G710" i="3"/>
  <c r="H710" i="3"/>
  <c r="I710" i="3"/>
  <c r="J710" i="3"/>
  <c r="K710" i="3"/>
  <c r="N710" i="3"/>
  <c r="G711" i="3"/>
  <c r="H711" i="3"/>
  <c r="I711" i="3"/>
  <c r="J711" i="3"/>
  <c r="K711" i="3"/>
  <c r="N711" i="3"/>
  <c r="G712" i="3"/>
  <c r="H712" i="3"/>
  <c r="I712" i="3"/>
  <c r="J712" i="3"/>
  <c r="K712" i="3"/>
  <c r="N712" i="3"/>
  <c r="G713" i="3"/>
  <c r="H713" i="3"/>
  <c r="I713" i="3"/>
  <c r="J713" i="3"/>
  <c r="K713" i="3"/>
  <c r="N713" i="3"/>
  <c r="G714" i="3"/>
  <c r="H714" i="3"/>
  <c r="I714" i="3"/>
  <c r="J714" i="3"/>
  <c r="K714" i="3"/>
  <c r="N714" i="3"/>
  <c r="G715" i="3"/>
  <c r="H715" i="3"/>
  <c r="I715" i="3"/>
  <c r="J715" i="3"/>
  <c r="K715" i="3"/>
  <c r="N715" i="3"/>
  <c r="G716" i="3"/>
  <c r="H716" i="3"/>
  <c r="I716" i="3"/>
  <c r="J716" i="3"/>
  <c r="K716" i="3"/>
  <c r="N716" i="3"/>
  <c r="G717" i="3"/>
  <c r="H717" i="3"/>
  <c r="I717" i="3"/>
  <c r="J717" i="3"/>
  <c r="K717" i="3"/>
  <c r="N717" i="3"/>
  <c r="G718" i="3"/>
  <c r="H718" i="3"/>
  <c r="I718" i="3"/>
  <c r="J718" i="3"/>
  <c r="K718" i="3"/>
  <c r="N718" i="3"/>
  <c r="G719" i="3"/>
  <c r="H719" i="3"/>
  <c r="I719" i="3"/>
  <c r="J719" i="3"/>
  <c r="K719" i="3"/>
  <c r="N719" i="3"/>
  <c r="G720" i="3"/>
  <c r="H720" i="3"/>
  <c r="I720" i="3"/>
  <c r="J720" i="3"/>
  <c r="K720" i="3"/>
  <c r="N720" i="3"/>
  <c r="G721" i="3"/>
  <c r="H721" i="3"/>
  <c r="I721" i="3"/>
  <c r="J721" i="3"/>
  <c r="K721" i="3"/>
  <c r="N721" i="3"/>
  <c r="G722" i="3"/>
  <c r="H722" i="3"/>
  <c r="I722" i="3"/>
  <c r="J722" i="3"/>
  <c r="K722" i="3"/>
  <c r="N722" i="3"/>
  <c r="G723" i="3"/>
  <c r="H723" i="3"/>
  <c r="I723" i="3"/>
  <c r="J723" i="3"/>
  <c r="K723" i="3"/>
  <c r="N723" i="3"/>
  <c r="G724" i="3"/>
  <c r="H724" i="3"/>
  <c r="I724" i="3"/>
  <c r="J724" i="3"/>
  <c r="K724" i="3"/>
  <c r="N724" i="3"/>
  <c r="G725" i="3"/>
  <c r="H725" i="3"/>
  <c r="I725" i="3"/>
  <c r="J725" i="3"/>
  <c r="K725" i="3"/>
  <c r="N725" i="3"/>
  <c r="G726" i="3"/>
  <c r="H726" i="3"/>
  <c r="I726" i="3"/>
  <c r="J726" i="3"/>
  <c r="K726" i="3"/>
  <c r="N726" i="3"/>
  <c r="G727" i="3"/>
  <c r="H727" i="3"/>
  <c r="I727" i="3"/>
  <c r="J727" i="3"/>
  <c r="K727" i="3"/>
  <c r="N727" i="3"/>
  <c r="G728" i="3"/>
  <c r="H728" i="3"/>
  <c r="I728" i="3"/>
  <c r="J728" i="3"/>
  <c r="K728" i="3"/>
  <c r="N728" i="3"/>
  <c r="G729" i="3"/>
  <c r="H729" i="3"/>
  <c r="I729" i="3"/>
  <c r="J729" i="3"/>
  <c r="K729" i="3"/>
  <c r="N729" i="3"/>
  <c r="G730" i="3"/>
  <c r="H730" i="3"/>
  <c r="I730" i="3"/>
  <c r="J730" i="3"/>
  <c r="K730" i="3"/>
  <c r="N730" i="3"/>
  <c r="G731" i="3"/>
  <c r="H731" i="3"/>
  <c r="I731" i="3"/>
  <c r="J731" i="3"/>
  <c r="K731" i="3"/>
  <c r="N731" i="3"/>
  <c r="G732" i="3"/>
  <c r="H732" i="3"/>
  <c r="I732" i="3"/>
  <c r="J732" i="3"/>
  <c r="K732" i="3"/>
  <c r="N732" i="3"/>
  <c r="G733" i="3"/>
  <c r="H733" i="3"/>
  <c r="I733" i="3"/>
  <c r="J733" i="3"/>
  <c r="K733" i="3"/>
  <c r="N733" i="3"/>
  <c r="G734" i="3"/>
  <c r="H734" i="3"/>
  <c r="I734" i="3"/>
  <c r="J734" i="3"/>
  <c r="K734" i="3"/>
  <c r="N734" i="3"/>
  <c r="G735" i="3"/>
  <c r="H735" i="3"/>
  <c r="I735" i="3"/>
  <c r="J735" i="3"/>
  <c r="K735" i="3"/>
  <c r="N735" i="3"/>
  <c r="G736" i="3"/>
  <c r="H736" i="3"/>
  <c r="I736" i="3"/>
  <c r="J736" i="3"/>
  <c r="K736" i="3"/>
  <c r="N736" i="3"/>
  <c r="G737" i="3"/>
  <c r="H737" i="3"/>
  <c r="I737" i="3"/>
  <c r="J737" i="3"/>
  <c r="K737" i="3"/>
  <c r="N737" i="3"/>
  <c r="G738" i="3"/>
  <c r="H738" i="3"/>
  <c r="I738" i="3"/>
  <c r="J738" i="3"/>
  <c r="K738" i="3"/>
  <c r="N738" i="3"/>
  <c r="G739" i="3"/>
  <c r="H739" i="3"/>
  <c r="I739" i="3"/>
  <c r="J739" i="3"/>
  <c r="K739" i="3"/>
  <c r="N739" i="3"/>
  <c r="G740" i="3"/>
  <c r="H740" i="3"/>
  <c r="I740" i="3"/>
  <c r="J740" i="3"/>
  <c r="K740" i="3"/>
  <c r="N740" i="3"/>
  <c r="G741" i="3"/>
  <c r="H741" i="3"/>
  <c r="I741" i="3"/>
  <c r="J741" i="3"/>
  <c r="K741" i="3"/>
  <c r="N741" i="3"/>
  <c r="G742" i="3"/>
  <c r="H742" i="3"/>
  <c r="I742" i="3"/>
  <c r="J742" i="3"/>
  <c r="K742" i="3"/>
  <c r="N742" i="3"/>
  <c r="G743" i="3"/>
  <c r="H743" i="3"/>
  <c r="I743" i="3"/>
  <c r="J743" i="3"/>
  <c r="K743" i="3"/>
  <c r="N743" i="3"/>
  <c r="G744" i="3"/>
  <c r="H744" i="3"/>
  <c r="I744" i="3"/>
  <c r="J744" i="3"/>
  <c r="K744" i="3"/>
  <c r="N744" i="3"/>
  <c r="G745" i="3"/>
  <c r="H745" i="3"/>
  <c r="I745" i="3"/>
  <c r="J745" i="3"/>
  <c r="K745" i="3"/>
  <c r="N745" i="3"/>
  <c r="G746" i="3"/>
  <c r="H746" i="3"/>
  <c r="I746" i="3"/>
  <c r="J746" i="3"/>
  <c r="K746" i="3"/>
  <c r="N746" i="3"/>
  <c r="G747" i="3"/>
  <c r="H747" i="3"/>
  <c r="I747" i="3"/>
  <c r="J747" i="3"/>
  <c r="K747" i="3"/>
  <c r="N747" i="3"/>
  <c r="G748" i="3"/>
  <c r="H748" i="3"/>
  <c r="I748" i="3"/>
  <c r="J748" i="3"/>
  <c r="K748" i="3"/>
  <c r="N748" i="3"/>
  <c r="G749" i="3"/>
  <c r="H749" i="3"/>
  <c r="I749" i="3"/>
  <c r="J749" i="3"/>
  <c r="K749" i="3"/>
  <c r="N749" i="3"/>
  <c r="G750" i="3"/>
  <c r="H750" i="3"/>
  <c r="I750" i="3"/>
  <c r="J750" i="3"/>
  <c r="K750" i="3"/>
  <c r="N750" i="3"/>
  <c r="G751" i="3"/>
  <c r="H751" i="3"/>
  <c r="I751" i="3"/>
  <c r="J751" i="3"/>
  <c r="K751" i="3"/>
  <c r="N751" i="3"/>
  <c r="G752" i="3"/>
  <c r="H752" i="3"/>
  <c r="I752" i="3"/>
  <c r="J752" i="3"/>
  <c r="K752" i="3"/>
  <c r="N752" i="3"/>
  <c r="G753" i="3"/>
  <c r="H753" i="3"/>
  <c r="I753" i="3"/>
  <c r="J753" i="3"/>
  <c r="K753" i="3"/>
  <c r="N753" i="3"/>
  <c r="G754" i="3"/>
  <c r="H754" i="3"/>
  <c r="I754" i="3"/>
  <c r="J754" i="3"/>
  <c r="K754" i="3"/>
  <c r="N754" i="3"/>
  <c r="G755" i="3"/>
  <c r="H755" i="3"/>
  <c r="I755" i="3"/>
  <c r="J755" i="3"/>
  <c r="K755" i="3"/>
  <c r="N755" i="3"/>
  <c r="G756" i="3"/>
  <c r="H756" i="3"/>
  <c r="I756" i="3"/>
  <c r="J756" i="3"/>
  <c r="K756" i="3"/>
  <c r="N756" i="3"/>
  <c r="G757" i="3"/>
  <c r="H757" i="3"/>
  <c r="I757" i="3"/>
  <c r="J757" i="3"/>
  <c r="K757" i="3"/>
  <c r="N757" i="3"/>
  <c r="G758" i="3"/>
  <c r="H758" i="3"/>
  <c r="I758" i="3"/>
  <c r="J758" i="3"/>
  <c r="K758" i="3"/>
  <c r="N758" i="3"/>
  <c r="G759" i="3"/>
  <c r="H759" i="3"/>
  <c r="I759" i="3"/>
  <c r="J759" i="3"/>
  <c r="K759" i="3"/>
  <c r="N759" i="3"/>
  <c r="G760" i="3"/>
  <c r="H760" i="3"/>
  <c r="I760" i="3"/>
  <c r="J760" i="3"/>
  <c r="K760" i="3"/>
  <c r="N760" i="3"/>
  <c r="G761" i="3"/>
  <c r="H761" i="3"/>
  <c r="I761" i="3"/>
  <c r="J761" i="3"/>
  <c r="K761" i="3"/>
  <c r="N761" i="3"/>
  <c r="G762" i="3"/>
  <c r="H762" i="3"/>
  <c r="I762" i="3"/>
  <c r="J762" i="3"/>
  <c r="K762" i="3"/>
  <c r="N762" i="3"/>
  <c r="G763" i="3"/>
  <c r="H763" i="3"/>
  <c r="I763" i="3"/>
  <c r="J763" i="3"/>
  <c r="K763" i="3"/>
  <c r="N763" i="3"/>
  <c r="G764" i="3"/>
  <c r="H764" i="3"/>
  <c r="I764" i="3"/>
  <c r="J764" i="3"/>
  <c r="K764" i="3"/>
  <c r="N764" i="3"/>
  <c r="G765" i="3"/>
  <c r="H765" i="3"/>
  <c r="I765" i="3"/>
  <c r="J765" i="3"/>
  <c r="K765" i="3"/>
  <c r="N765" i="3"/>
  <c r="G766" i="3"/>
  <c r="H766" i="3"/>
  <c r="I766" i="3"/>
  <c r="J766" i="3"/>
  <c r="K766" i="3"/>
  <c r="N766" i="3"/>
  <c r="G767" i="3"/>
  <c r="H767" i="3"/>
  <c r="I767" i="3"/>
  <c r="J767" i="3"/>
  <c r="K767" i="3"/>
  <c r="N767" i="3"/>
  <c r="G768" i="3"/>
  <c r="H768" i="3"/>
  <c r="I768" i="3"/>
  <c r="J768" i="3"/>
  <c r="K768" i="3"/>
  <c r="N768" i="3"/>
  <c r="G769" i="3"/>
  <c r="H769" i="3"/>
  <c r="I769" i="3"/>
  <c r="J769" i="3"/>
  <c r="K769" i="3"/>
  <c r="N769" i="3"/>
  <c r="G770" i="3"/>
  <c r="H770" i="3"/>
  <c r="I770" i="3"/>
  <c r="J770" i="3"/>
  <c r="K770" i="3"/>
  <c r="N770" i="3"/>
  <c r="G771" i="3"/>
  <c r="H771" i="3"/>
  <c r="I771" i="3"/>
  <c r="J771" i="3"/>
  <c r="K771" i="3"/>
  <c r="N771" i="3"/>
  <c r="G772" i="3"/>
  <c r="H772" i="3"/>
  <c r="I772" i="3"/>
  <c r="J772" i="3"/>
  <c r="K772" i="3"/>
  <c r="N772" i="3"/>
  <c r="G773" i="3"/>
  <c r="H773" i="3"/>
  <c r="I773" i="3"/>
  <c r="J773" i="3"/>
  <c r="K773" i="3"/>
  <c r="N773" i="3"/>
  <c r="G774" i="3"/>
  <c r="H774" i="3"/>
  <c r="I774" i="3"/>
  <c r="J774" i="3"/>
  <c r="K774" i="3"/>
  <c r="N774" i="3"/>
  <c r="G775" i="3"/>
  <c r="H775" i="3"/>
  <c r="I775" i="3"/>
  <c r="J775" i="3"/>
  <c r="K775" i="3"/>
  <c r="N775" i="3"/>
  <c r="G776" i="3"/>
  <c r="H776" i="3"/>
  <c r="I776" i="3"/>
  <c r="J776" i="3"/>
  <c r="K776" i="3"/>
  <c r="N776" i="3"/>
  <c r="G777" i="3"/>
  <c r="H777" i="3"/>
  <c r="I777" i="3"/>
  <c r="J777" i="3"/>
  <c r="K777" i="3"/>
  <c r="N777" i="3"/>
  <c r="G778" i="3"/>
  <c r="H778" i="3"/>
  <c r="I778" i="3"/>
  <c r="J778" i="3"/>
  <c r="K778" i="3"/>
  <c r="N778" i="3"/>
  <c r="G779" i="3"/>
  <c r="H779" i="3"/>
  <c r="I779" i="3"/>
  <c r="J779" i="3"/>
  <c r="K779" i="3"/>
  <c r="N779" i="3"/>
  <c r="G780" i="3"/>
  <c r="H780" i="3"/>
  <c r="I780" i="3"/>
  <c r="J780" i="3"/>
  <c r="K780" i="3"/>
  <c r="N780" i="3"/>
  <c r="G781" i="3"/>
  <c r="H781" i="3"/>
  <c r="I781" i="3"/>
  <c r="J781" i="3"/>
  <c r="K781" i="3"/>
  <c r="N781" i="3"/>
  <c r="G782" i="3"/>
  <c r="H782" i="3"/>
  <c r="I782" i="3"/>
  <c r="J782" i="3"/>
  <c r="K782" i="3"/>
  <c r="N782" i="3"/>
  <c r="G783" i="3"/>
  <c r="H783" i="3"/>
  <c r="I783" i="3"/>
  <c r="J783" i="3"/>
  <c r="K783" i="3"/>
  <c r="N783" i="3"/>
  <c r="G784" i="3"/>
  <c r="H784" i="3"/>
  <c r="I784" i="3"/>
  <c r="J784" i="3"/>
  <c r="K784" i="3"/>
  <c r="N784" i="3"/>
  <c r="G785" i="3"/>
  <c r="H785" i="3"/>
  <c r="I785" i="3"/>
  <c r="J785" i="3"/>
  <c r="K785" i="3"/>
  <c r="N785" i="3"/>
  <c r="G786" i="3"/>
  <c r="H786" i="3"/>
  <c r="I786" i="3"/>
  <c r="J786" i="3"/>
  <c r="K786" i="3"/>
  <c r="N786" i="3"/>
  <c r="G787" i="3"/>
  <c r="H787" i="3"/>
  <c r="I787" i="3"/>
  <c r="J787" i="3"/>
  <c r="K787" i="3"/>
  <c r="N787" i="3"/>
  <c r="G788" i="3"/>
  <c r="H788" i="3"/>
  <c r="I788" i="3"/>
  <c r="J788" i="3"/>
  <c r="K788" i="3"/>
  <c r="N788" i="3"/>
  <c r="G789" i="3"/>
  <c r="H789" i="3"/>
  <c r="I789" i="3"/>
  <c r="J789" i="3"/>
  <c r="K789" i="3"/>
  <c r="N789" i="3"/>
  <c r="G790" i="3"/>
  <c r="H790" i="3"/>
  <c r="I790" i="3"/>
  <c r="J790" i="3"/>
  <c r="K790" i="3"/>
  <c r="N790" i="3"/>
  <c r="G791" i="3"/>
  <c r="H791" i="3"/>
  <c r="I791" i="3"/>
  <c r="J791" i="3"/>
  <c r="K791" i="3"/>
  <c r="N791" i="3"/>
  <c r="G792" i="3"/>
  <c r="H792" i="3"/>
  <c r="I792" i="3"/>
  <c r="J792" i="3"/>
  <c r="K792" i="3"/>
  <c r="N792" i="3"/>
  <c r="G793" i="3"/>
  <c r="H793" i="3"/>
  <c r="I793" i="3"/>
  <c r="J793" i="3"/>
  <c r="K793" i="3"/>
  <c r="N793" i="3"/>
  <c r="G794" i="3"/>
  <c r="H794" i="3"/>
  <c r="I794" i="3"/>
  <c r="J794" i="3"/>
  <c r="K794" i="3"/>
  <c r="N794" i="3"/>
  <c r="G795" i="3"/>
  <c r="H795" i="3"/>
  <c r="I795" i="3"/>
  <c r="J795" i="3"/>
  <c r="K795" i="3"/>
  <c r="N795" i="3"/>
  <c r="G796" i="3"/>
  <c r="H796" i="3"/>
  <c r="I796" i="3"/>
  <c r="J796" i="3"/>
  <c r="K796" i="3"/>
  <c r="N796" i="3"/>
  <c r="G797" i="3"/>
  <c r="H797" i="3"/>
  <c r="I797" i="3"/>
  <c r="J797" i="3"/>
  <c r="K797" i="3"/>
  <c r="N797" i="3"/>
  <c r="G798" i="3"/>
  <c r="H798" i="3"/>
  <c r="I798" i="3"/>
  <c r="J798" i="3"/>
  <c r="K798" i="3"/>
  <c r="N798" i="3"/>
  <c r="G799" i="3"/>
  <c r="H799" i="3"/>
  <c r="I799" i="3"/>
  <c r="J799" i="3"/>
  <c r="K799" i="3"/>
  <c r="N799" i="3"/>
  <c r="G800" i="3"/>
  <c r="H800" i="3"/>
  <c r="I800" i="3"/>
  <c r="J800" i="3"/>
  <c r="K800" i="3"/>
  <c r="N800" i="3"/>
  <c r="G801" i="3"/>
  <c r="H801" i="3"/>
  <c r="I801" i="3"/>
  <c r="J801" i="3"/>
  <c r="K801" i="3"/>
  <c r="N801" i="3"/>
  <c r="G802" i="3"/>
  <c r="H802" i="3"/>
  <c r="I802" i="3"/>
  <c r="J802" i="3"/>
  <c r="K802" i="3"/>
  <c r="N802" i="3"/>
  <c r="G803" i="3"/>
  <c r="H803" i="3"/>
  <c r="I803" i="3"/>
  <c r="J803" i="3"/>
  <c r="K803" i="3"/>
  <c r="N803" i="3"/>
  <c r="G804" i="3"/>
  <c r="H804" i="3"/>
  <c r="I804" i="3"/>
  <c r="J804" i="3"/>
  <c r="K804" i="3"/>
  <c r="N804" i="3"/>
  <c r="G805" i="3"/>
  <c r="H805" i="3"/>
  <c r="I805" i="3"/>
  <c r="J805" i="3"/>
  <c r="K805" i="3"/>
  <c r="N805" i="3"/>
  <c r="G806" i="3"/>
  <c r="H806" i="3"/>
  <c r="I806" i="3"/>
  <c r="J806" i="3"/>
  <c r="K806" i="3"/>
  <c r="N806" i="3"/>
  <c r="G807" i="3"/>
  <c r="H807" i="3"/>
  <c r="I807" i="3"/>
  <c r="J807" i="3"/>
  <c r="K807" i="3"/>
  <c r="N807" i="3"/>
  <c r="G808" i="3"/>
  <c r="H808" i="3"/>
  <c r="I808" i="3"/>
  <c r="J808" i="3"/>
  <c r="K808" i="3"/>
  <c r="N808" i="3"/>
  <c r="G809" i="3"/>
  <c r="H809" i="3"/>
  <c r="I809" i="3"/>
  <c r="J809" i="3"/>
  <c r="K809" i="3"/>
  <c r="N809" i="3"/>
  <c r="G810" i="3"/>
  <c r="H810" i="3"/>
  <c r="I810" i="3"/>
  <c r="J810" i="3"/>
  <c r="K810" i="3"/>
  <c r="N810" i="3"/>
  <c r="G811" i="3"/>
  <c r="H811" i="3"/>
  <c r="I811" i="3"/>
  <c r="J811" i="3"/>
  <c r="K811" i="3"/>
  <c r="N811" i="3"/>
  <c r="G812" i="3"/>
  <c r="H812" i="3"/>
  <c r="I812" i="3"/>
  <c r="J812" i="3"/>
  <c r="K812" i="3"/>
  <c r="N812" i="3"/>
  <c r="G813" i="3"/>
  <c r="H813" i="3"/>
  <c r="I813" i="3"/>
  <c r="J813" i="3"/>
  <c r="K813" i="3"/>
  <c r="N813" i="3"/>
  <c r="G814" i="3"/>
  <c r="H814" i="3"/>
  <c r="I814" i="3"/>
  <c r="J814" i="3"/>
  <c r="K814" i="3"/>
  <c r="N814" i="3"/>
  <c r="G815" i="3"/>
  <c r="H815" i="3"/>
  <c r="I815" i="3"/>
  <c r="J815" i="3"/>
  <c r="K815" i="3"/>
  <c r="N815" i="3"/>
  <c r="G816" i="3"/>
  <c r="H816" i="3"/>
  <c r="I816" i="3"/>
  <c r="J816" i="3"/>
  <c r="K816" i="3"/>
  <c r="N816" i="3"/>
  <c r="G817" i="3"/>
  <c r="H817" i="3"/>
  <c r="I817" i="3"/>
  <c r="J817" i="3"/>
  <c r="K817" i="3"/>
  <c r="N817" i="3"/>
  <c r="G818" i="3"/>
  <c r="H818" i="3"/>
  <c r="I818" i="3"/>
  <c r="J818" i="3"/>
  <c r="K818" i="3"/>
  <c r="N818" i="3"/>
  <c r="G819" i="3"/>
  <c r="H819" i="3"/>
  <c r="I819" i="3"/>
  <c r="J819" i="3"/>
  <c r="K819" i="3"/>
  <c r="N819" i="3"/>
  <c r="G820" i="3"/>
  <c r="H820" i="3"/>
  <c r="I820" i="3"/>
  <c r="J820" i="3"/>
  <c r="K820" i="3"/>
  <c r="N820" i="3"/>
  <c r="G821" i="3"/>
  <c r="H821" i="3"/>
  <c r="I821" i="3"/>
  <c r="J821" i="3"/>
  <c r="K821" i="3"/>
  <c r="N821" i="3"/>
  <c r="G822" i="3"/>
  <c r="H822" i="3"/>
  <c r="I822" i="3"/>
  <c r="J822" i="3"/>
  <c r="K822" i="3"/>
  <c r="N822" i="3"/>
  <c r="G823" i="3"/>
  <c r="H823" i="3"/>
  <c r="I823" i="3"/>
  <c r="J823" i="3"/>
  <c r="K823" i="3"/>
  <c r="N823" i="3"/>
  <c r="G824" i="3"/>
  <c r="H824" i="3"/>
  <c r="I824" i="3"/>
  <c r="J824" i="3"/>
  <c r="K824" i="3"/>
  <c r="N824" i="3"/>
  <c r="G825" i="3"/>
  <c r="H825" i="3"/>
  <c r="I825" i="3"/>
  <c r="J825" i="3"/>
  <c r="K825" i="3"/>
  <c r="N825" i="3"/>
  <c r="G826" i="3"/>
  <c r="H826" i="3"/>
  <c r="I826" i="3"/>
  <c r="J826" i="3"/>
  <c r="K826" i="3"/>
  <c r="N826" i="3"/>
  <c r="G827" i="3"/>
  <c r="H827" i="3"/>
  <c r="I827" i="3"/>
  <c r="J827" i="3"/>
  <c r="K827" i="3"/>
  <c r="N827" i="3"/>
  <c r="G828" i="3"/>
  <c r="H828" i="3"/>
  <c r="I828" i="3"/>
  <c r="J828" i="3"/>
  <c r="K828" i="3"/>
  <c r="N828" i="3"/>
  <c r="G829" i="3"/>
  <c r="H829" i="3"/>
  <c r="I829" i="3"/>
  <c r="J829" i="3"/>
  <c r="K829" i="3"/>
  <c r="N829" i="3"/>
  <c r="G830" i="3"/>
  <c r="H830" i="3"/>
  <c r="I830" i="3"/>
  <c r="J830" i="3"/>
  <c r="K830" i="3"/>
  <c r="N830" i="3"/>
  <c r="G831" i="3"/>
  <c r="H831" i="3"/>
  <c r="I831" i="3"/>
  <c r="J831" i="3"/>
  <c r="K831" i="3"/>
  <c r="N831" i="3"/>
  <c r="G832" i="3"/>
  <c r="H832" i="3"/>
  <c r="I832" i="3"/>
  <c r="J832" i="3"/>
  <c r="K832" i="3"/>
  <c r="N832" i="3"/>
  <c r="G833" i="3"/>
  <c r="H833" i="3"/>
  <c r="I833" i="3"/>
  <c r="J833" i="3"/>
  <c r="K833" i="3"/>
  <c r="N833" i="3"/>
  <c r="G834" i="3"/>
  <c r="H834" i="3"/>
  <c r="I834" i="3"/>
  <c r="J834" i="3"/>
  <c r="K834" i="3"/>
  <c r="N834" i="3"/>
  <c r="G835" i="3"/>
  <c r="H835" i="3"/>
  <c r="I835" i="3"/>
  <c r="J835" i="3"/>
  <c r="K835" i="3"/>
  <c r="N835" i="3"/>
  <c r="G836" i="3"/>
  <c r="H836" i="3"/>
  <c r="I836" i="3"/>
  <c r="J836" i="3"/>
  <c r="K836" i="3"/>
  <c r="N836" i="3"/>
  <c r="G837" i="3"/>
  <c r="H837" i="3"/>
  <c r="I837" i="3"/>
  <c r="J837" i="3"/>
  <c r="K837" i="3"/>
  <c r="N837" i="3"/>
  <c r="G838" i="3"/>
  <c r="H838" i="3"/>
  <c r="I838" i="3"/>
  <c r="J838" i="3"/>
  <c r="K838" i="3"/>
  <c r="N838" i="3"/>
  <c r="G839" i="3"/>
  <c r="H839" i="3"/>
  <c r="I839" i="3"/>
  <c r="J839" i="3"/>
  <c r="K839" i="3"/>
  <c r="N839" i="3"/>
  <c r="G840" i="3"/>
  <c r="H840" i="3"/>
  <c r="I840" i="3"/>
  <c r="J840" i="3"/>
  <c r="K840" i="3"/>
  <c r="N840" i="3"/>
  <c r="G841" i="3"/>
  <c r="H841" i="3"/>
  <c r="I841" i="3"/>
  <c r="J841" i="3"/>
  <c r="K841" i="3"/>
  <c r="N841" i="3"/>
  <c r="G842" i="3"/>
  <c r="H842" i="3"/>
  <c r="I842" i="3"/>
  <c r="J842" i="3"/>
  <c r="K842" i="3"/>
  <c r="N842" i="3"/>
  <c r="G843" i="3"/>
  <c r="H843" i="3"/>
  <c r="I843" i="3"/>
  <c r="J843" i="3"/>
  <c r="K843" i="3"/>
  <c r="N843" i="3"/>
  <c r="G844" i="3"/>
  <c r="H844" i="3"/>
  <c r="I844" i="3"/>
  <c r="J844" i="3"/>
  <c r="K844" i="3"/>
  <c r="N844" i="3"/>
  <c r="G845" i="3"/>
  <c r="H845" i="3"/>
  <c r="I845" i="3"/>
  <c r="J845" i="3"/>
  <c r="K845" i="3"/>
  <c r="N845" i="3"/>
  <c r="G846" i="3"/>
  <c r="H846" i="3"/>
  <c r="I846" i="3"/>
  <c r="J846" i="3"/>
  <c r="K846" i="3"/>
  <c r="N846" i="3"/>
  <c r="G847" i="3"/>
  <c r="H847" i="3"/>
  <c r="I847" i="3"/>
  <c r="J847" i="3"/>
  <c r="K847" i="3"/>
  <c r="N847" i="3"/>
  <c r="G848" i="3"/>
  <c r="H848" i="3"/>
  <c r="I848" i="3"/>
  <c r="J848" i="3"/>
  <c r="K848" i="3"/>
  <c r="N848" i="3"/>
  <c r="G849" i="3"/>
  <c r="H849" i="3"/>
  <c r="I849" i="3"/>
  <c r="J849" i="3"/>
  <c r="K849" i="3"/>
  <c r="N849" i="3"/>
  <c r="G850" i="3"/>
  <c r="H850" i="3"/>
  <c r="I850" i="3"/>
  <c r="J850" i="3"/>
  <c r="K850" i="3"/>
  <c r="N850" i="3"/>
  <c r="G851" i="3"/>
  <c r="H851" i="3"/>
  <c r="I851" i="3"/>
  <c r="J851" i="3"/>
  <c r="K851" i="3"/>
  <c r="N851" i="3"/>
  <c r="G852" i="3"/>
  <c r="H852" i="3"/>
  <c r="I852" i="3"/>
  <c r="J852" i="3"/>
  <c r="K852" i="3"/>
  <c r="N852" i="3"/>
  <c r="G853" i="3"/>
  <c r="H853" i="3"/>
  <c r="I853" i="3"/>
  <c r="J853" i="3"/>
  <c r="K853" i="3"/>
  <c r="N853" i="3"/>
  <c r="G854" i="3"/>
  <c r="H854" i="3"/>
  <c r="I854" i="3"/>
  <c r="J854" i="3"/>
  <c r="K854" i="3"/>
  <c r="N854" i="3"/>
  <c r="G855" i="3"/>
  <c r="H855" i="3"/>
  <c r="I855" i="3"/>
  <c r="J855" i="3"/>
  <c r="K855" i="3"/>
  <c r="N855" i="3"/>
  <c r="G856" i="3"/>
  <c r="H856" i="3"/>
  <c r="I856" i="3"/>
  <c r="J856" i="3"/>
  <c r="K856" i="3"/>
  <c r="N856" i="3"/>
  <c r="G857" i="3"/>
  <c r="H857" i="3"/>
  <c r="I857" i="3"/>
  <c r="J857" i="3"/>
  <c r="K857" i="3"/>
  <c r="N857" i="3"/>
  <c r="G858" i="3"/>
  <c r="H858" i="3"/>
  <c r="I858" i="3"/>
  <c r="J858" i="3"/>
  <c r="K858" i="3"/>
  <c r="N858" i="3"/>
  <c r="G859" i="3"/>
  <c r="H859" i="3"/>
  <c r="I859" i="3"/>
  <c r="J859" i="3"/>
  <c r="K859" i="3"/>
  <c r="N859" i="3"/>
  <c r="G860" i="3"/>
  <c r="H860" i="3"/>
  <c r="I860" i="3"/>
  <c r="J860" i="3"/>
  <c r="K860" i="3"/>
  <c r="N860" i="3"/>
  <c r="G861" i="3"/>
  <c r="H861" i="3"/>
  <c r="I861" i="3"/>
  <c r="J861" i="3"/>
  <c r="K861" i="3"/>
  <c r="N861" i="3"/>
  <c r="G862" i="3"/>
  <c r="H862" i="3"/>
  <c r="I862" i="3"/>
  <c r="J862" i="3"/>
  <c r="K862" i="3"/>
  <c r="N862" i="3"/>
  <c r="G863" i="3"/>
  <c r="H863" i="3"/>
  <c r="I863" i="3"/>
  <c r="J863" i="3"/>
  <c r="K863" i="3"/>
  <c r="N863" i="3"/>
  <c r="G864" i="3"/>
  <c r="H864" i="3"/>
  <c r="I864" i="3"/>
  <c r="J864" i="3"/>
  <c r="K864" i="3"/>
  <c r="N864" i="3"/>
  <c r="G865" i="3"/>
  <c r="H865" i="3"/>
  <c r="I865" i="3"/>
  <c r="J865" i="3"/>
  <c r="K865" i="3"/>
  <c r="N865" i="3"/>
  <c r="G866" i="3"/>
  <c r="H866" i="3"/>
  <c r="I866" i="3"/>
  <c r="J866" i="3"/>
  <c r="K866" i="3"/>
  <c r="N866" i="3"/>
  <c r="G867" i="3"/>
  <c r="H867" i="3"/>
  <c r="I867" i="3"/>
  <c r="J867" i="3"/>
  <c r="K867" i="3"/>
  <c r="N867" i="3"/>
  <c r="G868" i="3"/>
  <c r="H868" i="3"/>
  <c r="I868" i="3"/>
  <c r="J868" i="3"/>
  <c r="K868" i="3"/>
  <c r="N868" i="3"/>
  <c r="G869" i="3"/>
  <c r="H869" i="3"/>
  <c r="I869" i="3"/>
  <c r="J869" i="3"/>
  <c r="K869" i="3"/>
  <c r="N869" i="3"/>
  <c r="G870" i="3"/>
  <c r="H870" i="3"/>
  <c r="I870" i="3"/>
  <c r="J870" i="3"/>
  <c r="K870" i="3"/>
  <c r="N870" i="3"/>
  <c r="G871" i="3"/>
  <c r="H871" i="3"/>
  <c r="I871" i="3"/>
  <c r="J871" i="3"/>
  <c r="K871" i="3"/>
  <c r="N871" i="3"/>
  <c r="G872" i="3"/>
  <c r="H872" i="3"/>
  <c r="I872" i="3"/>
  <c r="J872" i="3"/>
  <c r="K872" i="3"/>
  <c r="N872" i="3"/>
  <c r="G873" i="3"/>
  <c r="H873" i="3"/>
  <c r="I873" i="3"/>
  <c r="J873" i="3"/>
  <c r="K873" i="3"/>
  <c r="N873" i="3"/>
  <c r="G874" i="3"/>
  <c r="H874" i="3"/>
  <c r="I874" i="3"/>
  <c r="J874" i="3"/>
  <c r="K874" i="3"/>
  <c r="N874" i="3"/>
  <c r="G875" i="3"/>
  <c r="H875" i="3"/>
  <c r="I875" i="3"/>
  <c r="J875" i="3"/>
  <c r="K875" i="3"/>
  <c r="N875" i="3"/>
  <c r="G876" i="3"/>
  <c r="H876" i="3"/>
  <c r="I876" i="3"/>
  <c r="J876" i="3"/>
  <c r="K876" i="3"/>
  <c r="N876" i="3"/>
  <c r="G877" i="3"/>
  <c r="H877" i="3"/>
  <c r="I877" i="3"/>
  <c r="J877" i="3"/>
  <c r="K877" i="3"/>
  <c r="N877" i="3"/>
  <c r="G878" i="3"/>
  <c r="H878" i="3"/>
  <c r="I878" i="3"/>
  <c r="J878" i="3"/>
  <c r="K878" i="3"/>
  <c r="N878" i="3"/>
  <c r="G879" i="3"/>
  <c r="H879" i="3"/>
  <c r="I879" i="3"/>
  <c r="J879" i="3"/>
  <c r="K879" i="3"/>
  <c r="N879" i="3"/>
  <c r="G880" i="3"/>
  <c r="H880" i="3"/>
  <c r="I880" i="3"/>
  <c r="J880" i="3"/>
  <c r="K880" i="3"/>
  <c r="N880" i="3"/>
  <c r="G881" i="3"/>
  <c r="H881" i="3"/>
  <c r="I881" i="3"/>
  <c r="J881" i="3"/>
  <c r="K881" i="3"/>
  <c r="N881" i="3"/>
  <c r="G882" i="3"/>
  <c r="H882" i="3"/>
  <c r="I882" i="3"/>
  <c r="J882" i="3"/>
  <c r="K882" i="3"/>
  <c r="N882" i="3"/>
  <c r="G883" i="3"/>
  <c r="H883" i="3"/>
  <c r="I883" i="3"/>
  <c r="J883" i="3"/>
  <c r="K883" i="3"/>
  <c r="N883" i="3"/>
  <c r="G884" i="3"/>
  <c r="H884" i="3"/>
  <c r="I884" i="3"/>
  <c r="J884" i="3"/>
  <c r="K884" i="3"/>
  <c r="N884" i="3"/>
  <c r="G885" i="3"/>
  <c r="H885" i="3"/>
  <c r="I885" i="3"/>
  <c r="J885" i="3"/>
  <c r="K885" i="3"/>
  <c r="N885" i="3"/>
  <c r="G886" i="3"/>
  <c r="H886" i="3"/>
  <c r="I886" i="3"/>
  <c r="J886" i="3"/>
  <c r="K886" i="3"/>
  <c r="N886" i="3"/>
  <c r="G887" i="3"/>
  <c r="H887" i="3"/>
  <c r="I887" i="3"/>
  <c r="J887" i="3"/>
  <c r="K887" i="3"/>
  <c r="N887" i="3"/>
  <c r="G888" i="3"/>
  <c r="H888" i="3"/>
  <c r="I888" i="3"/>
  <c r="J888" i="3"/>
  <c r="K888" i="3"/>
  <c r="N888" i="3"/>
  <c r="G889" i="3"/>
  <c r="H889" i="3"/>
  <c r="I889" i="3"/>
  <c r="J889" i="3"/>
  <c r="K889" i="3"/>
  <c r="N889" i="3"/>
  <c r="G890" i="3"/>
  <c r="H890" i="3"/>
  <c r="I890" i="3"/>
  <c r="J890" i="3"/>
  <c r="K890" i="3"/>
  <c r="N890" i="3"/>
  <c r="G891" i="3"/>
  <c r="H891" i="3"/>
  <c r="I891" i="3"/>
  <c r="J891" i="3"/>
  <c r="K891" i="3"/>
  <c r="N891" i="3"/>
  <c r="G892" i="3"/>
  <c r="H892" i="3"/>
  <c r="I892" i="3"/>
  <c r="J892" i="3"/>
  <c r="K892" i="3"/>
  <c r="N892" i="3"/>
  <c r="G893" i="3"/>
  <c r="H893" i="3"/>
  <c r="I893" i="3"/>
  <c r="J893" i="3"/>
  <c r="K893" i="3"/>
  <c r="N893" i="3"/>
  <c r="G894" i="3"/>
  <c r="H894" i="3"/>
  <c r="I894" i="3"/>
  <c r="J894" i="3"/>
  <c r="K894" i="3"/>
  <c r="N894" i="3"/>
  <c r="G895" i="3"/>
  <c r="H895" i="3"/>
  <c r="I895" i="3"/>
  <c r="J895" i="3"/>
  <c r="K895" i="3"/>
  <c r="N895" i="3"/>
  <c r="G896" i="3"/>
  <c r="H896" i="3"/>
  <c r="I896" i="3"/>
  <c r="J896" i="3"/>
  <c r="K896" i="3"/>
  <c r="N896" i="3"/>
  <c r="G897" i="3"/>
  <c r="H897" i="3"/>
  <c r="I897" i="3"/>
  <c r="J897" i="3"/>
  <c r="K897" i="3"/>
  <c r="N897" i="3"/>
  <c r="G898" i="3"/>
  <c r="H898" i="3"/>
  <c r="I898" i="3"/>
  <c r="J898" i="3"/>
  <c r="K898" i="3"/>
  <c r="N898" i="3"/>
  <c r="G899" i="3"/>
  <c r="H899" i="3"/>
  <c r="I899" i="3"/>
  <c r="J899" i="3"/>
  <c r="K899" i="3"/>
  <c r="N899" i="3"/>
  <c r="G900" i="3"/>
  <c r="H900" i="3"/>
  <c r="I900" i="3"/>
  <c r="J900" i="3"/>
  <c r="K900" i="3"/>
  <c r="N900" i="3"/>
  <c r="G901" i="3"/>
  <c r="H901" i="3"/>
  <c r="I901" i="3"/>
  <c r="J901" i="3"/>
  <c r="K901" i="3"/>
  <c r="N901" i="3"/>
  <c r="G902" i="3"/>
  <c r="H902" i="3"/>
  <c r="I902" i="3"/>
  <c r="J902" i="3"/>
  <c r="K902" i="3"/>
  <c r="N902" i="3"/>
  <c r="G903" i="3"/>
  <c r="H903" i="3"/>
  <c r="I903" i="3"/>
  <c r="J903" i="3"/>
  <c r="K903" i="3"/>
  <c r="N903" i="3"/>
  <c r="G904" i="3"/>
  <c r="H904" i="3"/>
  <c r="I904" i="3"/>
  <c r="J904" i="3"/>
  <c r="K904" i="3"/>
  <c r="N904" i="3"/>
  <c r="G905" i="3"/>
  <c r="H905" i="3"/>
  <c r="I905" i="3"/>
  <c r="J905" i="3"/>
  <c r="K905" i="3"/>
  <c r="N905" i="3"/>
  <c r="G906" i="3"/>
  <c r="H906" i="3"/>
  <c r="I906" i="3"/>
  <c r="J906" i="3"/>
  <c r="K906" i="3"/>
  <c r="N906" i="3"/>
  <c r="G907" i="3"/>
  <c r="H907" i="3"/>
  <c r="I907" i="3"/>
  <c r="J907" i="3"/>
  <c r="K907" i="3"/>
  <c r="N907" i="3"/>
  <c r="G908" i="3"/>
  <c r="H908" i="3"/>
  <c r="I908" i="3"/>
  <c r="J908" i="3"/>
  <c r="K908" i="3"/>
  <c r="N908" i="3"/>
  <c r="G909" i="3"/>
  <c r="H909" i="3"/>
  <c r="I909" i="3"/>
  <c r="J909" i="3"/>
  <c r="K909" i="3"/>
  <c r="N909" i="3"/>
  <c r="G910" i="3"/>
  <c r="H910" i="3"/>
  <c r="I910" i="3"/>
  <c r="J910" i="3"/>
  <c r="K910" i="3"/>
  <c r="N910" i="3"/>
  <c r="G911" i="3"/>
  <c r="H911" i="3"/>
  <c r="I911" i="3"/>
  <c r="J911" i="3"/>
  <c r="K911" i="3"/>
  <c r="N911" i="3"/>
  <c r="G912" i="3"/>
  <c r="H912" i="3"/>
  <c r="I912" i="3"/>
  <c r="J912" i="3"/>
  <c r="K912" i="3"/>
  <c r="N912" i="3"/>
  <c r="G913" i="3"/>
  <c r="H913" i="3"/>
  <c r="I913" i="3"/>
  <c r="J913" i="3"/>
  <c r="K913" i="3"/>
  <c r="N913" i="3"/>
  <c r="G914" i="3"/>
  <c r="H914" i="3"/>
  <c r="I914" i="3"/>
  <c r="J914" i="3"/>
  <c r="K914" i="3"/>
  <c r="N914" i="3"/>
  <c r="G915" i="3"/>
  <c r="H915" i="3"/>
  <c r="I915" i="3"/>
  <c r="J915" i="3"/>
  <c r="K915" i="3"/>
  <c r="N915" i="3"/>
  <c r="G916" i="3"/>
  <c r="H916" i="3"/>
  <c r="I916" i="3"/>
  <c r="J916" i="3"/>
  <c r="K916" i="3"/>
  <c r="N916" i="3"/>
  <c r="G917" i="3"/>
  <c r="H917" i="3"/>
  <c r="I917" i="3"/>
  <c r="J917" i="3"/>
  <c r="K917" i="3"/>
  <c r="N917" i="3"/>
  <c r="G918" i="3"/>
  <c r="H918" i="3"/>
  <c r="I918" i="3"/>
  <c r="J918" i="3"/>
  <c r="K918" i="3"/>
  <c r="N918" i="3"/>
  <c r="G919" i="3"/>
  <c r="H919" i="3"/>
  <c r="I919" i="3"/>
  <c r="J919" i="3"/>
  <c r="K919" i="3"/>
  <c r="N919" i="3"/>
  <c r="G920" i="3"/>
  <c r="H920" i="3"/>
  <c r="I920" i="3"/>
  <c r="J920" i="3"/>
  <c r="K920" i="3"/>
  <c r="N920" i="3"/>
  <c r="G921" i="3"/>
  <c r="H921" i="3"/>
  <c r="I921" i="3"/>
  <c r="J921" i="3"/>
  <c r="K921" i="3"/>
  <c r="N921" i="3"/>
  <c r="G922" i="3"/>
  <c r="H922" i="3"/>
  <c r="I922" i="3"/>
  <c r="J922" i="3"/>
  <c r="K922" i="3"/>
  <c r="N922" i="3"/>
  <c r="G923" i="3"/>
  <c r="H923" i="3"/>
  <c r="I923" i="3"/>
  <c r="J923" i="3"/>
  <c r="K923" i="3"/>
  <c r="N923" i="3"/>
  <c r="G924" i="3"/>
  <c r="H924" i="3"/>
  <c r="I924" i="3"/>
  <c r="J924" i="3"/>
  <c r="K924" i="3"/>
  <c r="N924" i="3"/>
  <c r="G925" i="3"/>
  <c r="H925" i="3"/>
  <c r="I925" i="3"/>
  <c r="J925" i="3"/>
  <c r="K925" i="3"/>
  <c r="N925" i="3"/>
  <c r="G926" i="3"/>
  <c r="H926" i="3"/>
  <c r="I926" i="3"/>
  <c r="J926" i="3"/>
  <c r="K926" i="3"/>
  <c r="N926" i="3"/>
  <c r="G927" i="3"/>
  <c r="H927" i="3"/>
  <c r="I927" i="3"/>
  <c r="J927" i="3"/>
  <c r="K927" i="3"/>
  <c r="N927" i="3"/>
  <c r="G928" i="3"/>
  <c r="H928" i="3"/>
  <c r="I928" i="3"/>
  <c r="J928" i="3"/>
  <c r="K928" i="3"/>
  <c r="N928" i="3"/>
  <c r="G929" i="3"/>
  <c r="H929" i="3"/>
  <c r="I929" i="3"/>
  <c r="J929" i="3"/>
  <c r="K929" i="3"/>
  <c r="N929" i="3"/>
  <c r="G930" i="3"/>
  <c r="H930" i="3"/>
  <c r="I930" i="3"/>
  <c r="J930" i="3"/>
  <c r="K930" i="3"/>
  <c r="N930" i="3"/>
  <c r="G931" i="3"/>
  <c r="H931" i="3"/>
  <c r="I931" i="3"/>
  <c r="J931" i="3"/>
  <c r="K931" i="3"/>
  <c r="N931" i="3"/>
  <c r="G932" i="3"/>
  <c r="H932" i="3"/>
  <c r="I932" i="3"/>
  <c r="J932" i="3"/>
  <c r="K932" i="3"/>
  <c r="N932" i="3"/>
  <c r="G933" i="3"/>
  <c r="H933" i="3"/>
  <c r="I933" i="3"/>
  <c r="J933" i="3"/>
  <c r="K933" i="3"/>
  <c r="N933" i="3"/>
  <c r="G934" i="3"/>
  <c r="H934" i="3"/>
  <c r="I934" i="3"/>
  <c r="J934" i="3"/>
  <c r="K934" i="3"/>
  <c r="N934" i="3"/>
  <c r="G935" i="3"/>
  <c r="H935" i="3"/>
  <c r="I935" i="3"/>
  <c r="J935" i="3"/>
  <c r="K935" i="3"/>
  <c r="N935" i="3"/>
  <c r="G936" i="3"/>
  <c r="H936" i="3"/>
  <c r="I936" i="3"/>
  <c r="J936" i="3"/>
  <c r="K936" i="3"/>
  <c r="N936" i="3"/>
  <c r="G937" i="3"/>
  <c r="H937" i="3"/>
  <c r="I937" i="3"/>
  <c r="J937" i="3"/>
  <c r="K937" i="3"/>
  <c r="N937" i="3"/>
  <c r="G938" i="3"/>
  <c r="H938" i="3"/>
  <c r="I938" i="3"/>
  <c r="J938" i="3"/>
  <c r="K938" i="3"/>
  <c r="N938" i="3"/>
  <c r="G939" i="3"/>
  <c r="H939" i="3"/>
  <c r="I939" i="3"/>
  <c r="J939" i="3"/>
  <c r="K939" i="3"/>
  <c r="N939" i="3"/>
  <c r="G940" i="3"/>
  <c r="H940" i="3"/>
  <c r="I940" i="3"/>
  <c r="J940" i="3"/>
  <c r="K940" i="3"/>
  <c r="N940" i="3"/>
  <c r="G941" i="3"/>
  <c r="H941" i="3"/>
  <c r="I941" i="3"/>
  <c r="J941" i="3"/>
  <c r="K941" i="3"/>
  <c r="N941" i="3"/>
  <c r="G942" i="3"/>
  <c r="H942" i="3"/>
  <c r="I942" i="3"/>
  <c r="J942" i="3"/>
  <c r="K942" i="3"/>
  <c r="N942" i="3"/>
  <c r="G943" i="3"/>
  <c r="H943" i="3"/>
  <c r="I943" i="3"/>
  <c r="J943" i="3"/>
  <c r="K943" i="3"/>
  <c r="N943" i="3"/>
  <c r="G944" i="3"/>
  <c r="H944" i="3"/>
  <c r="I944" i="3"/>
  <c r="J944" i="3"/>
  <c r="K944" i="3"/>
  <c r="N944" i="3"/>
  <c r="G945" i="3"/>
  <c r="H945" i="3"/>
  <c r="I945" i="3"/>
  <c r="J945" i="3"/>
  <c r="K945" i="3"/>
  <c r="N945" i="3"/>
  <c r="G946" i="3"/>
  <c r="H946" i="3"/>
  <c r="I946" i="3"/>
  <c r="J946" i="3"/>
  <c r="K946" i="3"/>
  <c r="N946" i="3"/>
  <c r="G947" i="3"/>
  <c r="H947" i="3"/>
  <c r="I947" i="3"/>
  <c r="J947" i="3"/>
  <c r="K947" i="3"/>
  <c r="N947" i="3"/>
  <c r="G948" i="3"/>
  <c r="H948" i="3"/>
  <c r="I948" i="3"/>
  <c r="J948" i="3"/>
  <c r="K948" i="3"/>
  <c r="N948" i="3"/>
  <c r="G949" i="3"/>
  <c r="H949" i="3"/>
  <c r="I949" i="3"/>
  <c r="J949" i="3"/>
  <c r="K949" i="3"/>
  <c r="N949" i="3"/>
  <c r="G950" i="3"/>
  <c r="H950" i="3"/>
  <c r="I950" i="3"/>
  <c r="J950" i="3"/>
  <c r="K950" i="3"/>
  <c r="N950" i="3"/>
  <c r="G951" i="3"/>
  <c r="H951" i="3"/>
  <c r="I951" i="3"/>
  <c r="J951" i="3"/>
  <c r="K951" i="3"/>
  <c r="N951" i="3"/>
  <c r="G952" i="3"/>
  <c r="H952" i="3"/>
  <c r="I952" i="3"/>
  <c r="J952" i="3"/>
  <c r="K952" i="3"/>
  <c r="N952" i="3"/>
  <c r="G953" i="3"/>
  <c r="H953" i="3"/>
  <c r="I953" i="3"/>
  <c r="J953" i="3"/>
  <c r="K953" i="3"/>
  <c r="N953" i="3"/>
  <c r="G954" i="3"/>
  <c r="H954" i="3"/>
  <c r="I954" i="3"/>
  <c r="J954" i="3"/>
  <c r="K954" i="3"/>
  <c r="N954" i="3"/>
  <c r="G955" i="3"/>
  <c r="H955" i="3"/>
  <c r="I955" i="3"/>
  <c r="J955" i="3"/>
  <c r="K955" i="3"/>
  <c r="N955" i="3"/>
  <c r="G956" i="3"/>
  <c r="H956" i="3"/>
  <c r="I956" i="3"/>
  <c r="J956" i="3"/>
  <c r="K956" i="3"/>
  <c r="N956" i="3"/>
  <c r="G957" i="3"/>
  <c r="H957" i="3"/>
  <c r="I957" i="3"/>
  <c r="J957" i="3"/>
  <c r="K957" i="3"/>
  <c r="N957" i="3"/>
  <c r="G958" i="3"/>
  <c r="H958" i="3"/>
  <c r="I958" i="3"/>
  <c r="J958" i="3"/>
  <c r="K958" i="3"/>
  <c r="N958" i="3"/>
  <c r="G959" i="3"/>
  <c r="H959" i="3"/>
  <c r="I959" i="3"/>
  <c r="J959" i="3"/>
  <c r="K959" i="3"/>
  <c r="N959" i="3"/>
  <c r="G960" i="3"/>
  <c r="H960" i="3"/>
  <c r="I960" i="3"/>
  <c r="J960" i="3"/>
  <c r="K960" i="3"/>
  <c r="N960" i="3"/>
  <c r="G961" i="3"/>
  <c r="H961" i="3"/>
  <c r="I961" i="3"/>
  <c r="J961" i="3"/>
  <c r="K961" i="3"/>
  <c r="N961" i="3"/>
  <c r="G962" i="3"/>
  <c r="H962" i="3"/>
  <c r="I962" i="3"/>
  <c r="J962" i="3"/>
  <c r="K962" i="3"/>
  <c r="N962" i="3"/>
  <c r="G963" i="3"/>
  <c r="H963" i="3"/>
  <c r="I963" i="3"/>
  <c r="J963" i="3"/>
  <c r="K963" i="3"/>
  <c r="N963" i="3"/>
  <c r="G964" i="3"/>
  <c r="H964" i="3"/>
  <c r="I964" i="3"/>
  <c r="J964" i="3"/>
  <c r="K964" i="3"/>
  <c r="N964" i="3"/>
  <c r="G965" i="3"/>
  <c r="H965" i="3"/>
  <c r="I965" i="3"/>
  <c r="J965" i="3"/>
  <c r="K965" i="3"/>
  <c r="N965" i="3"/>
  <c r="G966" i="3"/>
  <c r="H966" i="3"/>
  <c r="I966" i="3"/>
  <c r="J966" i="3"/>
  <c r="K966" i="3"/>
  <c r="N966" i="3"/>
  <c r="G967" i="3"/>
  <c r="H967" i="3"/>
  <c r="I967" i="3"/>
  <c r="J967" i="3"/>
  <c r="K967" i="3"/>
  <c r="N967" i="3"/>
  <c r="G968" i="3"/>
  <c r="H968" i="3"/>
  <c r="I968" i="3"/>
  <c r="J968" i="3"/>
  <c r="K968" i="3"/>
  <c r="N968" i="3"/>
  <c r="G969" i="3"/>
  <c r="H969" i="3"/>
  <c r="I969" i="3"/>
  <c r="J969" i="3"/>
  <c r="K969" i="3"/>
  <c r="N969" i="3"/>
  <c r="G970" i="3"/>
  <c r="H970" i="3"/>
  <c r="I970" i="3"/>
  <c r="J970" i="3"/>
  <c r="K970" i="3"/>
  <c r="N970" i="3"/>
  <c r="G971" i="3"/>
  <c r="H971" i="3"/>
  <c r="I971" i="3"/>
  <c r="J971" i="3"/>
  <c r="K971" i="3"/>
  <c r="N971" i="3"/>
  <c r="G972" i="3"/>
  <c r="H972" i="3"/>
  <c r="I972" i="3"/>
  <c r="J972" i="3"/>
  <c r="K972" i="3"/>
  <c r="N972" i="3"/>
  <c r="G973" i="3"/>
  <c r="H973" i="3"/>
  <c r="I973" i="3"/>
  <c r="J973" i="3"/>
  <c r="K973" i="3"/>
  <c r="N973" i="3"/>
  <c r="G974" i="3"/>
  <c r="H974" i="3"/>
  <c r="I974" i="3"/>
  <c r="J974" i="3"/>
  <c r="K974" i="3"/>
  <c r="N974" i="3"/>
  <c r="G975" i="3"/>
  <c r="H975" i="3"/>
  <c r="I975" i="3"/>
  <c r="J975" i="3"/>
  <c r="K975" i="3"/>
  <c r="N975" i="3"/>
  <c r="G976" i="3"/>
  <c r="H976" i="3"/>
  <c r="I976" i="3"/>
  <c r="J976" i="3"/>
  <c r="K976" i="3"/>
  <c r="N976" i="3"/>
  <c r="G977" i="3"/>
  <c r="H977" i="3"/>
  <c r="I977" i="3"/>
  <c r="J977" i="3"/>
  <c r="K977" i="3"/>
  <c r="N977" i="3"/>
  <c r="G978" i="3"/>
  <c r="H978" i="3"/>
  <c r="I978" i="3"/>
  <c r="J978" i="3"/>
  <c r="K978" i="3"/>
  <c r="N978" i="3"/>
  <c r="G979" i="3"/>
  <c r="H979" i="3"/>
  <c r="I979" i="3"/>
  <c r="J979" i="3"/>
  <c r="K979" i="3"/>
  <c r="N979" i="3"/>
  <c r="G980" i="3"/>
  <c r="H980" i="3"/>
  <c r="I980" i="3"/>
  <c r="J980" i="3"/>
  <c r="K980" i="3"/>
  <c r="N980" i="3"/>
  <c r="G981" i="3"/>
  <c r="H981" i="3"/>
  <c r="I981" i="3"/>
  <c r="J981" i="3"/>
  <c r="K981" i="3"/>
  <c r="N981" i="3"/>
  <c r="G982" i="3"/>
  <c r="H982" i="3"/>
  <c r="I982" i="3"/>
  <c r="J982" i="3"/>
  <c r="K982" i="3"/>
  <c r="N982" i="3"/>
  <c r="G983" i="3"/>
  <c r="H983" i="3"/>
  <c r="I983" i="3"/>
  <c r="J983" i="3"/>
  <c r="K983" i="3"/>
  <c r="N983" i="3"/>
  <c r="G984" i="3"/>
  <c r="H984" i="3"/>
  <c r="I984" i="3"/>
  <c r="J984" i="3"/>
  <c r="K984" i="3"/>
  <c r="N984" i="3"/>
  <c r="G985" i="3"/>
  <c r="H985" i="3"/>
  <c r="I985" i="3"/>
  <c r="J985" i="3"/>
  <c r="K985" i="3"/>
  <c r="N985" i="3"/>
  <c r="G986" i="3"/>
  <c r="H986" i="3"/>
  <c r="I986" i="3"/>
  <c r="J986" i="3"/>
  <c r="K986" i="3"/>
  <c r="N986" i="3"/>
  <c r="G987" i="3"/>
  <c r="H987" i="3"/>
  <c r="I987" i="3"/>
  <c r="J987" i="3"/>
  <c r="K987" i="3"/>
  <c r="N987" i="3"/>
  <c r="G988" i="3"/>
  <c r="H988" i="3"/>
  <c r="I988" i="3"/>
  <c r="J988" i="3"/>
  <c r="K988" i="3"/>
  <c r="N988" i="3"/>
  <c r="G989" i="3"/>
  <c r="H989" i="3"/>
  <c r="I989" i="3"/>
  <c r="J989" i="3"/>
  <c r="K989" i="3"/>
  <c r="N989" i="3"/>
  <c r="G990" i="3"/>
  <c r="H990" i="3"/>
  <c r="I990" i="3"/>
  <c r="J990" i="3"/>
  <c r="K990" i="3"/>
  <c r="N990" i="3"/>
  <c r="G991" i="3"/>
  <c r="H991" i="3"/>
  <c r="I991" i="3"/>
  <c r="J991" i="3"/>
  <c r="K991" i="3"/>
  <c r="N991" i="3"/>
  <c r="G992" i="3"/>
  <c r="H992" i="3"/>
  <c r="I992" i="3"/>
  <c r="J992" i="3"/>
  <c r="K992" i="3"/>
  <c r="N992" i="3"/>
  <c r="G993" i="3"/>
  <c r="H993" i="3"/>
  <c r="I993" i="3"/>
  <c r="J993" i="3"/>
  <c r="K993" i="3"/>
  <c r="N993" i="3"/>
  <c r="G994" i="3"/>
  <c r="H994" i="3"/>
  <c r="I994" i="3"/>
  <c r="J994" i="3"/>
  <c r="K994" i="3"/>
  <c r="N994" i="3"/>
  <c r="G995" i="3"/>
  <c r="H995" i="3"/>
  <c r="I995" i="3"/>
  <c r="J995" i="3"/>
  <c r="K995" i="3"/>
  <c r="N995" i="3"/>
  <c r="G996" i="3"/>
  <c r="H996" i="3"/>
  <c r="I996" i="3"/>
  <c r="J996" i="3"/>
  <c r="K996" i="3"/>
  <c r="N996" i="3"/>
  <c r="G997" i="3"/>
  <c r="H997" i="3"/>
  <c r="I997" i="3"/>
  <c r="J997" i="3"/>
  <c r="K997" i="3"/>
  <c r="N997" i="3"/>
  <c r="G998" i="3"/>
  <c r="H998" i="3"/>
  <c r="I998" i="3"/>
  <c r="J998" i="3"/>
  <c r="K998" i="3"/>
  <c r="N998" i="3"/>
  <c r="G999" i="3"/>
  <c r="H999" i="3"/>
  <c r="I999" i="3"/>
  <c r="J999" i="3"/>
  <c r="K999" i="3"/>
  <c r="N999" i="3"/>
  <c r="G1000" i="3"/>
  <c r="H1000" i="3"/>
  <c r="I1000" i="3"/>
  <c r="J1000" i="3"/>
  <c r="K1000" i="3"/>
  <c r="N1000" i="3"/>
  <c r="G1001" i="3"/>
  <c r="H1001" i="3"/>
  <c r="I1001" i="3"/>
  <c r="J1001" i="3"/>
  <c r="K1001" i="3"/>
  <c r="N1001" i="3"/>
  <c r="G1002" i="3"/>
  <c r="H1002" i="3"/>
  <c r="I1002" i="3"/>
  <c r="J1002" i="3"/>
  <c r="K1002" i="3"/>
  <c r="N1002" i="3"/>
  <c r="G1003" i="3"/>
  <c r="H1003" i="3"/>
  <c r="I1003" i="3"/>
  <c r="J1003" i="3"/>
  <c r="K1003" i="3"/>
  <c r="N1003" i="3"/>
  <c r="G1004" i="3"/>
  <c r="H1004" i="3"/>
  <c r="I1004" i="3"/>
  <c r="J1004" i="3"/>
  <c r="K1004" i="3"/>
  <c r="N1004" i="3"/>
  <c r="G1005" i="3"/>
  <c r="H1005" i="3"/>
  <c r="I1005" i="3"/>
  <c r="J1005" i="3"/>
  <c r="K1005" i="3"/>
  <c r="N1005" i="3"/>
  <c r="G1006" i="3"/>
  <c r="H1006" i="3"/>
  <c r="I1006" i="3"/>
  <c r="J1006" i="3"/>
  <c r="K1006" i="3"/>
  <c r="N1006" i="3"/>
  <c r="G1007" i="3"/>
  <c r="H1007" i="3"/>
  <c r="I1007" i="3"/>
  <c r="J1007" i="3"/>
  <c r="K1007" i="3"/>
  <c r="N1007" i="3"/>
  <c r="G1008" i="3"/>
  <c r="H1008" i="3"/>
  <c r="I1008" i="3"/>
  <c r="J1008" i="3"/>
  <c r="K1008" i="3"/>
  <c r="N1008" i="3"/>
  <c r="G1009" i="3"/>
  <c r="H1009" i="3"/>
  <c r="I1009" i="3"/>
  <c r="J1009" i="3"/>
  <c r="K1009" i="3"/>
  <c r="N1009" i="3"/>
  <c r="G1010" i="3"/>
  <c r="H1010" i="3"/>
  <c r="I1010" i="3"/>
  <c r="J1010" i="3"/>
  <c r="K1010" i="3"/>
  <c r="N1010" i="3"/>
  <c r="G1011" i="3"/>
  <c r="H1011" i="3"/>
  <c r="I1011" i="3"/>
  <c r="J1011" i="3"/>
  <c r="K1011" i="3"/>
  <c r="N1011" i="3"/>
  <c r="G1012" i="3"/>
  <c r="H1012" i="3"/>
  <c r="I1012" i="3"/>
  <c r="J1012" i="3"/>
  <c r="K1012" i="3"/>
  <c r="N1012" i="3"/>
  <c r="G1013" i="3"/>
  <c r="H1013" i="3"/>
  <c r="I1013" i="3"/>
  <c r="J1013" i="3"/>
  <c r="K1013" i="3"/>
  <c r="N1013" i="3"/>
  <c r="G1014" i="3"/>
  <c r="H1014" i="3"/>
  <c r="I1014" i="3"/>
  <c r="J1014" i="3"/>
  <c r="K1014" i="3"/>
  <c r="N1014" i="3"/>
  <c r="G1015" i="3"/>
  <c r="H1015" i="3"/>
  <c r="I1015" i="3"/>
  <c r="J1015" i="3"/>
  <c r="K1015" i="3"/>
  <c r="N1015" i="3"/>
  <c r="G1016" i="3"/>
  <c r="H1016" i="3"/>
  <c r="I1016" i="3"/>
  <c r="J1016" i="3"/>
  <c r="K1016" i="3"/>
  <c r="N1016" i="3"/>
  <c r="G1017" i="3"/>
  <c r="H1017" i="3"/>
  <c r="I1017" i="3"/>
  <c r="J1017" i="3"/>
  <c r="K1017" i="3"/>
  <c r="N1017" i="3"/>
  <c r="G1018" i="3"/>
  <c r="H1018" i="3"/>
  <c r="I1018" i="3"/>
  <c r="J1018" i="3"/>
  <c r="K1018" i="3"/>
  <c r="N1018" i="3"/>
  <c r="G1019" i="3"/>
  <c r="H1019" i="3"/>
  <c r="I1019" i="3"/>
  <c r="J1019" i="3"/>
  <c r="K1019" i="3"/>
  <c r="N1019" i="3"/>
  <c r="G1020" i="3"/>
  <c r="H1020" i="3"/>
  <c r="I1020" i="3"/>
  <c r="J1020" i="3"/>
  <c r="K1020" i="3"/>
  <c r="N1020" i="3"/>
  <c r="G1021" i="3"/>
  <c r="H1021" i="3"/>
  <c r="I1021" i="3"/>
  <c r="J1021" i="3"/>
  <c r="K1021" i="3"/>
  <c r="N1021" i="3"/>
  <c r="G1022" i="3"/>
  <c r="H1022" i="3"/>
  <c r="I1022" i="3"/>
  <c r="J1022" i="3"/>
  <c r="K1022" i="3"/>
  <c r="N1022" i="3"/>
  <c r="G1023" i="3"/>
  <c r="H1023" i="3"/>
  <c r="I1023" i="3"/>
  <c r="J1023" i="3"/>
  <c r="K1023" i="3"/>
  <c r="N1023" i="3"/>
  <c r="G1024" i="3"/>
  <c r="H1024" i="3"/>
  <c r="I1024" i="3"/>
  <c r="J1024" i="3"/>
  <c r="K1024" i="3"/>
  <c r="N1024" i="3"/>
  <c r="G1025" i="3"/>
  <c r="H1025" i="3"/>
  <c r="I1025" i="3"/>
  <c r="J1025" i="3"/>
  <c r="K1025" i="3"/>
  <c r="N1025" i="3"/>
  <c r="G1026" i="3"/>
  <c r="H1026" i="3"/>
  <c r="I1026" i="3"/>
  <c r="J1026" i="3"/>
  <c r="K1026" i="3"/>
  <c r="N1026" i="3"/>
  <c r="G1027" i="3"/>
  <c r="H1027" i="3"/>
  <c r="I1027" i="3"/>
  <c r="J1027" i="3"/>
  <c r="K1027" i="3"/>
  <c r="N1027" i="3"/>
  <c r="G1028" i="3"/>
  <c r="H1028" i="3"/>
  <c r="I1028" i="3"/>
  <c r="J1028" i="3"/>
  <c r="K1028" i="3"/>
  <c r="N1028" i="3"/>
  <c r="G1029" i="3"/>
  <c r="H1029" i="3"/>
  <c r="I1029" i="3"/>
  <c r="J1029" i="3"/>
  <c r="K1029" i="3"/>
  <c r="N1029" i="3"/>
  <c r="G1030" i="3"/>
  <c r="H1030" i="3"/>
  <c r="I1030" i="3"/>
  <c r="J1030" i="3"/>
  <c r="K1030" i="3"/>
  <c r="N1030" i="3"/>
  <c r="G1031" i="3"/>
  <c r="H1031" i="3"/>
  <c r="I1031" i="3"/>
  <c r="J1031" i="3"/>
  <c r="K1031" i="3"/>
  <c r="N1031" i="3"/>
  <c r="G1032" i="3"/>
  <c r="H1032" i="3"/>
  <c r="I1032" i="3"/>
  <c r="J1032" i="3"/>
  <c r="K1032" i="3"/>
  <c r="N1032" i="3"/>
  <c r="G1033" i="3"/>
  <c r="H1033" i="3"/>
  <c r="I1033" i="3"/>
  <c r="J1033" i="3"/>
  <c r="K1033" i="3"/>
  <c r="N1033" i="3"/>
  <c r="G1034" i="3"/>
  <c r="H1034" i="3"/>
  <c r="I1034" i="3"/>
  <c r="J1034" i="3"/>
  <c r="K1034" i="3"/>
  <c r="N1034" i="3"/>
  <c r="G1035" i="3"/>
  <c r="H1035" i="3"/>
  <c r="I1035" i="3"/>
  <c r="J1035" i="3"/>
  <c r="K1035" i="3"/>
  <c r="N1035" i="3"/>
  <c r="G1036" i="3"/>
  <c r="H1036" i="3"/>
  <c r="I1036" i="3"/>
  <c r="J1036" i="3"/>
  <c r="K1036" i="3"/>
  <c r="N1036" i="3"/>
  <c r="G1037" i="3"/>
  <c r="H1037" i="3"/>
  <c r="I1037" i="3"/>
  <c r="J1037" i="3"/>
  <c r="K1037" i="3"/>
  <c r="N1037" i="3"/>
  <c r="G1038" i="3"/>
  <c r="H1038" i="3"/>
  <c r="I1038" i="3"/>
  <c r="J1038" i="3"/>
  <c r="K1038" i="3"/>
  <c r="N1038" i="3"/>
  <c r="G1039" i="3"/>
  <c r="H1039" i="3"/>
  <c r="I1039" i="3"/>
  <c r="J1039" i="3"/>
  <c r="K1039" i="3"/>
  <c r="N1039" i="3"/>
  <c r="G1040" i="3"/>
  <c r="H1040" i="3"/>
  <c r="I1040" i="3"/>
  <c r="J1040" i="3"/>
  <c r="K1040" i="3"/>
  <c r="N1040" i="3"/>
  <c r="G1041" i="3"/>
  <c r="H1041" i="3"/>
  <c r="I1041" i="3"/>
  <c r="J1041" i="3"/>
  <c r="K1041" i="3"/>
  <c r="N1041" i="3"/>
  <c r="G1042" i="3"/>
  <c r="H1042" i="3"/>
  <c r="I1042" i="3"/>
  <c r="J1042" i="3"/>
  <c r="K1042" i="3"/>
  <c r="N1042" i="3"/>
  <c r="G1043" i="3"/>
  <c r="H1043" i="3"/>
  <c r="I1043" i="3"/>
  <c r="J1043" i="3"/>
  <c r="K1043" i="3"/>
  <c r="N1043" i="3"/>
  <c r="G1044" i="3"/>
  <c r="H1044" i="3"/>
  <c r="I1044" i="3"/>
  <c r="J1044" i="3"/>
  <c r="K1044" i="3"/>
  <c r="N1044" i="3"/>
  <c r="G1045" i="3"/>
  <c r="H1045" i="3"/>
  <c r="I1045" i="3"/>
  <c r="J1045" i="3"/>
  <c r="K1045" i="3"/>
  <c r="N1045" i="3"/>
  <c r="G1046" i="3"/>
  <c r="H1046" i="3"/>
  <c r="I1046" i="3"/>
  <c r="J1046" i="3"/>
  <c r="K1046" i="3"/>
  <c r="N1046" i="3"/>
  <c r="G1047" i="3"/>
  <c r="H1047" i="3"/>
  <c r="I1047" i="3"/>
  <c r="J1047" i="3"/>
  <c r="K1047" i="3"/>
  <c r="N1047" i="3"/>
  <c r="G1048" i="3"/>
  <c r="H1048" i="3"/>
  <c r="I1048" i="3"/>
  <c r="J1048" i="3"/>
  <c r="K1048" i="3"/>
  <c r="N1048" i="3"/>
  <c r="G1049" i="3"/>
  <c r="H1049" i="3"/>
  <c r="I1049" i="3"/>
  <c r="J1049" i="3"/>
  <c r="K1049" i="3"/>
  <c r="N1049" i="3"/>
  <c r="G1050" i="3"/>
  <c r="H1050" i="3"/>
  <c r="I1050" i="3"/>
  <c r="J1050" i="3"/>
  <c r="K1050" i="3"/>
  <c r="N1050" i="3"/>
  <c r="G1051" i="3"/>
  <c r="H1051" i="3"/>
  <c r="I1051" i="3"/>
  <c r="J1051" i="3"/>
  <c r="K1051" i="3"/>
  <c r="N1051" i="3"/>
  <c r="G1052" i="3"/>
  <c r="H1052" i="3"/>
  <c r="I1052" i="3"/>
  <c r="J1052" i="3"/>
  <c r="K1052" i="3"/>
  <c r="N1052" i="3"/>
  <c r="G1053" i="3"/>
  <c r="H1053" i="3"/>
  <c r="I1053" i="3"/>
  <c r="J1053" i="3"/>
  <c r="K1053" i="3"/>
  <c r="N1053" i="3"/>
  <c r="G1054" i="3"/>
  <c r="H1054" i="3"/>
  <c r="I1054" i="3"/>
  <c r="J1054" i="3"/>
  <c r="K1054" i="3"/>
  <c r="N1054" i="3"/>
  <c r="G1055" i="3"/>
  <c r="H1055" i="3"/>
  <c r="I1055" i="3"/>
  <c r="J1055" i="3"/>
  <c r="K1055" i="3"/>
  <c r="N1055" i="3"/>
  <c r="G1056" i="3"/>
  <c r="H1056" i="3"/>
  <c r="I1056" i="3"/>
  <c r="J1056" i="3"/>
  <c r="K1056" i="3"/>
  <c r="N1056" i="3"/>
  <c r="G1057" i="3"/>
  <c r="H1057" i="3"/>
  <c r="I1057" i="3"/>
  <c r="J1057" i="3"/>
  <c r="K1057" i="3"/>
  <c r="N1057" i="3"/>
  <c r="G1058" i="3"/>
  <c r="H1058" i="3"/>
  <c r="I1058" i="3"/>
  <c r="J1058" i="3"/>
  <c r="K1058" i="3"/>
  <c r="N1058" i="3"/>
  <c r="G1059" i="3"/>
  <c r="H1059" i="3"/>
  <c r="I1059" i="3"/>
  <c r="J1059" i="3"/>
  <c r="K1059" i="3"/>
  <c r="N1059" i="3"/>
  <c r="G1060" i="3"/>
  <c r="H1060" i="3"/>
  <c r="I1060" i="3"/>
  <c r="J1060" i="3"/>
  <c r="K1060" i="3"/>
  <c r="N1060" i="3"/>
  <c r="G1061" i="3"/>
  <c r="H1061" i="3"/>
  <c r="I1061" i="3"/>
  <c r="J1061" i="3"/>
  <c r="K1061" i="3"/>
  <c r="N1061" i="3"/>
  <c r="G1062" i="3"/>
  <c r="H1062" i="3"/>
  <c r="I1062" i="3"/>
  <c r="J1062" i="3"/>
  <c r="K1062" i="3"/>
  <c r="N1062" i="3"/>
  <c r="G1063" i="3"/>
  <c r="H1063" i="3"/>
  <c r="I1063" i="3"/>
  <c r="J1063" i="3"/>
  <c r="K1063" i="3"/>
  <c r="N1063" i="3"/>
  <c r="G1064" i="3"/>
  <c r="H1064" i="3"/>
  <c r="I1064" i="3"/>
  <c r="J1064" i="3"/>
  <c r="K1064" i="3"/>
  <c r="N1064" i="3"/>
  <c r="G1065" i="3"/>
  <c r="H1065" i="3"/>
  <c r="I1065" i="3"/>
  <c r="J1065" i="3"/>
  <c r="K1065" i="3"/>
  <c r="N1065" i="3"/>
  <c r="G1066" i="3"/>
  <c r="H1066" i="3"/>
  <c r="I1066" i="3"/>
  <c r="J1066" i="3"/>
  <c r="K1066" i="3"/>
  <c r="N1066" i="3"/>
  <c r="G1067" i="3"/>
  <c r="H1067" i="3"/>
  <c r="I1067" i="3"/>
  <c r="J1067" i="3"/>
  <c r="K1067" i="3"/>
  <c r="N1067" i="3"/>
  <c r="G1068" i="3"/>
  <c r="H1068" i="3"/>
  <c r="I1068" i="3"/>
  <c r="J1068" i="3"/>
  <c r="K1068" i="3"/>
  <c r="N1068" i="3"/>
  <c r="G1069" i="3"/>
  <c r="H1069" i="3"/>
  <c r="I1069" i="3"/>
  <c r="J1069" i="3"/>
  <c r="K1069" i="3"/>
  <c r="N1069" i="3"/>
  <c r="G1070" i="3"/>
  <c r="H1070" i="3"/>
  <c r="I1070" i="3"/>
  <c r="J1070" i="3"/>
  <c r="K1070" i="3"/>
  <c r="N1070" i="3"/>
  <c r="G1071" i="3"/>
  <c r="H1071" i="3"/>
  <c r="I1071" i="3"/>
  <c r="J1071" i="3"/>
  <c r="K1071" i="3"/>
  <c r="N1071" i="3"/>
  <c r="G1072" i="3"/>
  <c r="H1072" i="3"/>
  <c r="I1072" i="3"/>
  <c r="J1072" i="3"/>
  <c r="K1072" i="3"/>
  <c r="N1072" i="3"/>
  <c r="G1073" i="3"/>
  <c r="H1073" i="3"/>
  <c r="I1073" i="3"/>
  <c r="J1073" i="3"/>
  <c r="K1073" i="3"/>
  <c r="N1073" i="3"/>
  <c r="G1074" i="3"/>
  <c r="H1074" i="3"/>
  <c r="I1074" i="3"/>
  <c r="J1074" i="3"/>
  <c r="K1074" i="3"/>
  <c r="N1074" i="3"/>
  <c r="G1075" i="3"/>
  <c r="H1075" i="3"/>
  <c r="I1075" i="3"/>
  <c r="J1075" i="3"/>
  <c r="K1075" i="3"/>
  <c r="N1075" i="3"/>
  <c r="G1076" i="3"/>
  <c r="H1076" i="3"/>
  <c r="I1076" i="3"/>
  <c r="J1076" i="3"/>
  <c r="K1076" i="3"/>
  <c r="N1076" i="3"/>
  <c r="G1077" i="3"/>
  <c r="H1077" i="3"/>
  <c r="I1077" i="3"/>
  <c r="J1077" i="3"/>
  <c r="K1077" i="3"/>
  <c r="N1077" i="3"/>
  <c r="G1078" i="3"/>
  <c r="H1078" i="3"/>
  <c r="I1078" i="3"/>
  <c r="J1078" i="3"/>
  <c r="K1078" i="3"/>
  <c r="N1078" i="3"/>
  <c r="G1079" i="3"/>
  <c r="H1079" i="3"/>
  <c r="I1079" i="3"/>
  <c r="J1079" i="3"/>
  <c r="K1079" i="3"/>
  <c r="N1079" i="3"/>
  <c r="G1080" i="3"/>
  <c r="H1080" i="3"/>
  <c r="I1080" i="3"/>
  <c r="J1080" i="3"/>
  <c r="K1080" i="3"/>
  <c r="N1080" i="3"/>
  <c r="G1081" i="3"/>
  <c r="H1081" i="3"/>
  <c r="I1081" i="3"/>
  <c r="J1081" i="3"/>
  <c r="K1081" i="3"/>
  <c r="N1081" i="3"/>
  <c r="G1082" i="3"/>
  <c r="H1082" i="3"/>
  <c r="I1082" i="3"/>
  <c r="J1082" i="3"/>
  <c r="K1082" i="3"/>
  <c r="N1082" i="3"/>
  <c r="G1083" i="3"/>
  <c r="H1083" i="3"/>
  <c r="I1083" i="3"/>
  <c r="J1083" i="3"/>
  <c r="K1083" i="3"/>
  <c r="N1083" i="3"/>
  <c r="G1084" i="3"/>
  <c r="H1084" i="3"/>
  <c r="I1084" i="3"/>
  <c r="J1084" i="3"/>
  <c r="K1084" i="3"/>
  <c r="N1084" i="3"/>
  <c r="G1085" i="3"/>
  <c r="H1085" i="3"/>
  <c r="I1085" i="3"/>
  <c r="J1085" i="3"/>
  <c r="K1085" i="3"/>
  <c r="N1085" i="3"/>
  <c r="G1086" i="3"/>
  <c r="H1086" i="3"/>
  <c r="I1086" i="3"/>
  <c r="J1086" i="3"/>
  <c r="K1086" i="3"/>
  <c r="N1086" i="3"/>
  <c r="G1087" i="3"/>
  <c r="H1087" i="3"/>
  <c r="I1087" i="3"/>
  <c r="J1087" i="3"/>
  <c r="K1087" i="3"/>
  <c r="N1087" i="3"/>
  <c r="G1088" i="3"/>
  <c r="H1088" i="3"/>
  <c r="I1088" i="3"/>
  <c r="J1088" i="3"/>
  <c r="K1088" i="3"/>
  <c r="N1088" i="3"/>
  <c r="G1089" i="3"/>
  <c r="H1089" i="3"/>
  <c r="I1089" i="3"/>
  <c r="J1089" i="3"/>
  <c r="K1089" i="3"/>
  <c r="N1089" i="3"/>
  <c r="G1090" i="3"/>
  <c r="H1090" i="3"/>
  <c r="I1090" i="3"/>
  <c r="J1090" i="3"/>
  <c r="K1090" i="3"/>
  <c r="N1090" i="3"/>
  <c r="G1091" i="3"/>
  <c r="H1091" i="3"/>
  <c r="I1091" i="3"/>
  <c r="J1091" i="3"/>
  <c r="K1091" i="3"/>
  <c r="N1091" i="3"/>
  <c r="G1092" i="3"/>
  <c r="H1092" i="3"/>
  <c r="I1092" i="3"/>
  <c r="J1092" i="3"/>
  <c r="K1092" i="3"/>
  <c r="N1092" i="3"/>
  <c r="G1093" i="3"/>
  <c r="H1093" i="3"/>
  <c r="I1093" i="3"/>
  <c r="J1093" i="3"/>
  <c r="K1093" i="3"/>
  <c r="N1093" i="3"/>
  <c r="G1094" i="3"/>
  <c r="H1094" i="3"/>
  <c r="I1094" i="3"/>
  <c r="J1094" i="3"/>
  <c r="K1094" i="3"/>
  <c r="N1094" i="3"/>
  <c r="G1095" i="3"/>
  <c r="H1095" i="3"/>
  <c r="I1095" i="3"/>
  <c r="J1095" i="3"/>
  <c r="K1095" i="3"/>
  <c r="N1095" i="3"/>
  <c r="G1096" i="3"/>
  <c r="H1096" i="3"/>
  <c r="I1096" i="3"/>
  <c r="J1096" i="3"/>
  <c r="K1096" i="3"/>
  <c r="N1096" i="3"/>
  <c r="G1097" i="3"/>
  <c r="H1097" i="3"/>
  <c r="I1097" i="3"/>
  <c r="J1097" i="3"/>
  <c r="K1097" i="3"/>
  <c r="N1097" i="3"/>
  <c r="G1098" i="3"/>
  <c r="H1098" i="3"/>
  <c r="I1098" i="3"/>
  <c r="J1098" i="3"/>
  <c r="K1098" i="3"/>
  <c r="N1098" i="3"/>
  <c r="G1099" i="3"/>
  <c r="H1099" i="3"/>
  <c r="I1099" i="3"/>
  <c r="J1099" i="3"/>
  <c r="K1099" i="3"/>
  <c r="N1099" i="3"/>
  <c r="G1100" i="3"/>
  <c r="H1100" i="3"/>
  <c r="I1100" i="3"/>
  <c r="J1100" i="3"/>
  <c r="K1100" i="3"/>
  <c r="N1100" i="3"/>
  <c r="G1101" i="3"/>
  <c r="H1101" i="3"/>
  <c r="I1101" i="3"/>
  <c r="J1101" i="3"/>
  <c r="K1101" i="3"/>
  <c r="N1101" i="3"/>
  <c r="G1102" i="3"/>
  <c r="H1102" i="3"/>
  <c r="I1102" i="3"/>
  <c r="J1102" i="3"/>
  <c r="K1102" i="3"/>
  <c r="N1102" i="3"/>
  <c r="G1103" i="3"/>
  <c r="H1103" i="3"/>
  <c r="I1103" i="3"/>
  <c r="J1103" i="3"/>
  <c r="K1103" i="3"/>
  <c r="N1103" i="3"/>
  <c r="G1104" i="3"/>
  <c r="H1104" i="3"/>
  <c r="I1104" i="3"/>
  <c r="J1104" i="3"/>
  <c r="K1104" i="3"/>
  <c r="N1104" i="3"/>
  <c r="G1105" i="3"/>
  <c r="H1105" i="3"/>
  <c r="I1105" i="3"/>
  <c r="J1105" i="3"/>
  <c r="K1105" i="3"/>
  <c r="N1105" i="3"/>
  <c r="G1106" i="3"/>
  <c r="H1106" i="3"/>
  <c r="I1106" i="3"/>
  <c r="J1106" i="3"/>
  <c r="K1106" i="3"/>
  <c r="N1106" i="3"/>
  <c r="G1107" i="3"/>
  <c r="H1107" i="3"/>
  <c r="I1107" i="3"/>
  <c r="J1107" i="3"/>
  <c r="K1107" i="3"/>
  <c r="N1107" i="3"/>
  <c r="G1108" i="3"/>
  <c r="H1108" i="3"/>
  <c r="I1108" i="3"/>
  <c r="J1108" i="3"/>
  <c r="K1108" i="3"/>
  <c r="N1108" i="3"/>
  <c r="G1109" i="3"/>
  <c r="H1109" i="3"/>
  <c r="I1109" i="3"/>
  <c r="J1109" i="3"/>
  <c r="K1109" i="3"/>
  <c r="N1109" i="3"/>
  <c r="G1110" i="3"/>
  <c r="H1110" i="3"/>
  <c r="I1110" i="3"/>
  <c r="J1110" i="3"/>
  <c r="K1110" i="3"/>
  <c r="N1110" i="3"/>
  <c r="G1111" i="3"/>
  <c r="H1111" i="3"/>
  <c r="I1111" i="3"/>
  <c r="J1111" i="3"/>
  <c r="K1111" i="3"/>
  <c r="N1111" i="3"/>
  <c r="G1112" i="3"/>
  <c r="H1112" i="3"/>
  <c r="I1112" i="3"/>
  <c r="J1112" i="3"/>
  <c r="K1112" i="3"/>
  <c r="N1112" i="3"/>
  <c r="G1113" i="3"/>
  <c r="H1113" i="3"/>
  <c r="I1113" i="3"/>
  <c r="J1113" i="3"/>
  <c r="K1113" i="3"/>
  <c r="N1113" i="3"/>
  <c r="G1114" i="3"/>
  <c r="H1114" i="3"/>
  <c r="I1114" i="3"/>
  <c r="J1114" i="3"/>
  <c r="K1114" i="3"/>
  <c r="N1114" i="3"/>
  <c r="G1115" i="3"/>
  <c r="H1115" i="3"/>
  <c r="I1115" i="3"/>
  <c r="J1115" i="3"/>
  <c r="K1115" i="3"/>
  <c r="N1115" i="3"/>
  <c r="G1116" i="3"/>
  <c r="H1116" i="3"/>
  <c r="I1116" i="3"/>
  <c r="J1116" i="3"/>
  <c r="K1116" i="3"/>
  <c r="N1116" i="3"/>
  <c r="G1117" i="3"/>
  <c r="H1117" i="3"/>
  <c r="I1117" i="3"/>
  <c r="J1117" i="3"/>
  <c r="K1117" i="3"/>
  <c r="N1117" i="3"/>
  <c r="G1118" i="3"/>
  <c r="H1118" i="3"/>
  <c r="I1118" i="3"/>
  <c r="J1118" i="3"/>
  <c r="K1118" i="3"/>
  <c r="N1118" i="3"/>
  <c r="G1119" i="3"/>
  <c r="H1119" i="3"/>
  <c r="I1119" i="3"/>
  <c r="J1119" i="3"/>
  <c r="K1119" i="3"/>
  <c r="N1119" i="3"/>
  <c r="G1120" i="3"/>
  <c r="H1120" i="3"/>
  <c r="I1120" i="3"/>
  <c r="J1120" i="3"/>
  <c r="K1120" i="3"/>
  <c r="N1120" i="3"/>
  <c r="G1121" i="3"/>
  <c r="H1121" i="3"/>
  <c r="I1121" i="3"/>
  <c r="J1121" i="3"/>
  <c r="K1121" i="3"/>
  <c r="N1121" i="3"/>
  <c r="G1122" i="3"/>
  <c r="H1122" i="3"/>
  <c r="I1122" i="3"/>
  <c r="J1122" i="3"/>
  <c r="K1122" i="3"/>
  <c r="N1122" i="3"/>
  <c r="G1123" i="3"/>
  <c r="H1123" i="3"/>
  <c r="I1123" i="3"/>
  <c r="J1123" i="3"/>
  <c r="K1123" i="3"/>
  <c r="N1123" i="3"/>
  <c r="G1124" i="3"/>
  <c r="H1124" i="3"/>
  <c r="I1124" i="3"/>
  <c r="J1124" i="3"/>
  <c r="K1124" i="3"/>
  <c r="N1124" i="3"/>
  <c r="G1125" i="3"/>
  <c r="H1125" i="3"/>
  <c r="I1125" i="3"/>
  <c r="J1125" i="3"/>
  <c r="K1125" i="3"/>
  <c r="N1125" i="3"/>
  <c r="G1126" i="3"/>
  <c r="H1126" i="3"/>
  <c r="I1126" i="3"/>
  <c r="J1126" i="3"/>
  <c r="K1126" i="3"/>
  <c r="N1126" i="3"/>
  <c r="G1127" i="3"/>
  <c r="H1127" i="3"/>
  <c r="I1127" i="3"/>
  <c r="J1127" i="3"/>
  <c r="K1127" i="3"/>
  <c r="N1127" i="3"/>
  <c r="G1128" i="3"/>
  <c r="H1128" i="3"/>
  <c r="I1128" i="3"/>
  <c r="J1128" i="3"/>
  <c r="K1128" i="3"/>
  <c r="N1128" i="3"/>
  <c r="G1129" i="3"/>
  <c r="H1129" i="3"/>
  <c r="I1129" i="3"/>
  <c r="J1129" i="3"/>
  <c r="K1129" i="3"/>
  <c r="N1129" i="3"/>
  <c r="G1130" i="3"/>
  <c r="H1130" i="3"/>
  <c r="I1130" i="3"/>
  <c r="J1130" i="3"/>
  <c r="K1130" i="3"/>
  <c r="N1130" i="3"/>
  <c r="G1131" i="3"/>
  <c r="H1131" i="3"/>
  <c r="I1131" i="3"/>
  <c r="J1131" i="3"/>
  <c r="K1131" i="3"/>
  <c r="N1131" i="3"/>
  <c r="G1132" i="3"/>
  <c r="H1132" i="3"/>
  <c r="I1132" i="3"/>
  <c r="J1132" i="3"/>
  <c r="K1132" i="3"/>
  <c r="N1132" i="3"/>
  <c r="G1133" i="3"/>
  <c r="H1133" i="3"/>
  <c r="I1133" i="3"/>
  <c r="J1133" i="3"/>
  <c r="K1133" i="3"/>
  <c r="N1133" i="3"/>
  <c r="G1134" i="3"/>
  <c r="H1134" i="3"/>
  <c r="I1134" i="3"/>
  <c r="J1134" i="3"/>
  <c r="K1134" i="3"/>
  <c r="N1134" i="3"/>
  <c r="G1135" i="3"/>
  <c r="H1135" i="3"/>
  <c r="I1135" i="3"/>
  <c r="J1135" i="3"/>
  <c r="K1135" i="3"/>
  <c r="N1135" i="3"/>
  <c r="G1136" i="3"/>
  <c r="H1136" i="3"/>
  <c r="I1136" i="3"/>
  <c r="J1136" i="3"/>
  <c r="K1136" i="3"/>
  <c r="N1136" i="3"/>
  <c r="G1137" i="3"/>
  <c r="H1137" i="3"/>
  <c r="I1137" i="3"/>
  <c r="J1137" i="3"/>
  <c r="K1137" i="3"/>
  <c r="N1137" i="3"/>
  <c r="G1138" i="3"/>
  <c r="H1138" i="3"/>
  <c r="I1138" i="3"/>
  <c r="J1138" i="3"/>
  <c r="K1138" i="3"/>
  <c r="N1138" i="3"/>
  <c r="G1139" i="3"/>
  <c r="H1139" i="3"/>
  <c r="I1139" i="3"/>
  <c r="J1139" i="3"/>
  <c r="K1139" i="3"/>
  <c r="N1139" i="3"/>
  <c r="G1140" i="3"/>
  <c r="H1140" i="3"/>
  <c r="I1140" i="3"/>
  <c r="J1140" i="3"/>
  <c r="K1140" i="3"/>
  <c r="N1140" i="3"/>
  <c r="G1141" i="3"/>
  <c r="H1141" i="3"/>
  <c r="I1141" i="3"/>
  <c r="J1141" i="3"/>
  <c r="K1141" i="3"/>
  <c r="N1141" i="3"/>
  <c r="G1142" i="3"/>
  <c r="H1142" i="3"/>
  <c r="I1142" i="3"/>
  <c r="J1142" i="3"/>
  <c r="K1142" i="3"/>
  <c r="N1142" i="3"/>
  <c r="G1143" i="3"/>
  <c r="H1143" i="3"/>
  <c r="I1143" i="3"/>
  <c r="J1143" i="3"/>
  <c r="K1143" i="3"/>
  <c r="N1143" i="3"/>
  <c r="G1144" i="3"/>
  <c r="H1144" i="3"/>
  <c r="I1144" i="3"/>
  <c r="J1144" i="3"/>
  <c r="K1144" i="3"/>
  <c r="N1144" i="3"/>
  <c r="G1145" i="3"/>
  <c r="H1145" i="3"/>
  <c r="I1145" i="3"/>
  <c r="J1145" i="3"/>
  <c r="K1145" i="3"/>
  <c r="N1145" i="3"/>
  <c r="G1146" i="3"/>
  <c r="H1146" i="3"/>
  <c r="I1146" i="3"/>
  <c r="J1146" i="3"/>
  <c r="K1146" i="3"/>
  <c r="N1146" i="3"/>
  <c r="G1147" i="3"/>
  <c r="H1147" i="3"/>
  <c r="I1147" i="3"/>
  <c r="J1147" i="3"/>
  <c r="K1147" i="3"/>
  <c r="N1147" i="3"/>
  <c r="G1148" i="3"/>
  <c r="H1148" i="3"/>
  <c r="I1148" i="3"/>
  <c r="J1148" i="3"/>
  <c r="K1148" i="3"/>
  <c r="N1148" i="3"/>
  <c r="G1149" i="3"/>
  <c r="H1149" i="3"/>
  <c r="I1149" i="3"/>
  <c r="J1149" i="3"/>
  <c r="K1149" i="3"/>
  <c r="N1149" i="3"/>
  <c r="G1150" i="3"/>
  <c r="H1150" i="3"/>
  <c r="I1150" i="3"/>
  <c r="J1150" i="3"/>
  <c r="K1150" i="3"/>
  <c r="N1150" i="3"/>
  <c r="G1151" i="3"/>
  <c r="H1151" i="3"/>
  <c r="I1151" i="3"/>
  <c r="J1151" i="3"/>
  <c r="K1151" i="3"/>
  <c r="N1151" i="3"/>
  <c r="G1152" i="3"/>
  <c r="H1152" i="3"/>
  <c r="I1152" i="3"/>
  <c r="J1152" i="3"/>
  <c r="K1152" i="3"/>
  <c r="N1152" i="3"/>
  <c r="G1153" i="3"/>
  <c r="H1153" i="3"/>
  <c r="I1153" i="3"/>
  <c r="J1153" i="3"/>
  <c r="K1153" i="3"/>
  <c r="N1153" i="3"/>
  <c r="G1154" i="3"/>
  <c r="H1154" i="3"/>
  <c r="I1154" i="3"/>
  <c r="J1154" i="3"/>
  <c r="K1154" i="3"/>
  <c r="N1154" i="3"/>
  <c r="G1155" i="3"/>
  <c r="H1155" i="3"/>
  <c r="I1155" i="3"/>
  <c r="J1155" i="3"/>
  <c r="K1155" i="3"/>
  <c r="N1155" i="3"/>
  <c r="G1156" i="3"/>
  <c r="H1156" i="3"/>
  <c r="I1156" i="3"/>
  <c r="J1156" i="3"/>
  <c r="K1156" i="3"/>
  <c r="N1156" i="3"/>
  <c r="G1157" i="3"/>
  <c r="H1157" i="3"/>
  <c r="I1157" i="3"/>
  <c r="J1157" i="3"/>
  <c r="K1157" i="3"/>
  <c r="N1157" i="3"/>
  <c r="G1158" i="3"/>
  <c r="H1158" i="3"/>
  <c r="I1158" i="3"/>
  <c r="J1158" i="3"/>
  <c r="K1158" i="3"/>
  <c r="N1158" i="3"/>
  <c r="G1159" i="3"/>
  <c r="H1159" i="3"/>
  <c r="I1159" i="3"/>
  <c r="J1159" i="3"/>
  <c r="K1159" i="3"/>
  <c r="N1159" i="3"/>
  <c r="G1160" i="3"/>
  <c r="H1160" i="3"/>
  <c r="I1160" i="3"/>
  <c r="J1160" i="3"/>
  <c r="K1160" i="3"/>
  <c r="N1160" i="3"/>
  <c r="G1161" i="3"/>
  <c r="H1161" i="3"/>
  <c r="I1161" i="3"/>
  <c r="J1161" i="3"/>
  <c r="K1161" i="3"/>
  <c r="N1161" i="3"/>
  <c r="G1162" i="3"/>
  <c r="H1162" i="3"/>
  <c r="I1162" i="3"/>
  <c r="J1162" i="3"/>
  <c r="K1162" i="3"/>
  <c r="N1162" i="3"/>
  <c r="G1163" i="3"/>
  <c r="H1163" i="3"/>
  <c r="I1163" i="3"/>
  <c r="J1163" i="3"/>
  <c r="K1163" i="3"/>
  <c r="N1163" i="3"/>
  <c r="G1164" i="3"/>
  <c r="H1164" i="3"/>
  <c r="I1164" i="3"/>
  <c r="J1164" i="3"/>
  <c r="K1164" i="3"/>
  <c r="N1164" i="3"/>
  <c r="G1165" i="3"/>
  <c r="H1165" i="3"/>
  <c r="I1165" i="3"/>
  <c r="J1165" i="3"/>
  <c r="K1165" i="3"/>
  <c r="N1165" i="3"/>
  <c r="G1166" i="3"/>
  <c r="H1166" i="3"/>
  <c r="I1166" i="3"/>
  <c r="J1166" i="3"/>
  <c r="K1166" i="3"/>
  <c r="N1166" i="3"/>
  <c r="G1167" i="3"/>
  <c r="H1167" i="3"/>
  <c r="I1167" i="3"/>
  <c r="J1167" i="3"/>
  <c r="K1167" i="3"/>
  <c r="N1167" i="3"/>
  <c r="G1168" i="3"/>
  <c r="H1168" i="3"/>
  <c r="I1168" i="3"/>
  <c r="J1168" i="3"/>
  <c r="K1168" i="3"/>
  <c r="N1168" i="3"/>
  <c r="G1169" i="3"/>
  <c r="H1169" i="3"/>
  <c r="I1169" i="3"/>
  <c r="J1169" i="3"/>
  <c r="K1169" i="3"/>
  <c r="N1169" i="3"/>
  <c r="G1170" i="3"/>
  <c r="H1170" i="3"/>
  <c r="I1170" i="3"/>
  <c r="J1170" i="3"/>
  <c r="K1170" i="3"/>
  <c r="N1170" i="3"/>
  <c r="G1171" i="3"/>
  <c r="H1171" i="3"/>
  <c r="I1171" i="3"/>
  <c r="J1171" i="3"/>
  <c r="K1171" i="3"/>
  <c r="N1171" i="3"/>
  <c r="G1172" i="3"/>
  <c r="H1172" i="3"/>
  <c r="I1172" i="3"/>
  <c r="J1172" i="3"/>
  <c r="K1172" i="3"/>
  <c r="N1172" i="3"/>
  <c r="G1173" i="3"/>
  <c r="H1173" i="3"/>
  <c r="I1173" i="3"/>
  <c r="J1173" i="3"/>
  <c r="K1173" i="3"/>
  <c r="N1173" i="3"/>
  <c r="G1174" i="3"/>
  <c r="H1174" i="3"/>
  <c r="I1174" i="3"/>
  <c r="J1174" i="3"/>
  <c r="K1174" i="3"/>
  <c r="N1174" i="3"/>
  <c r="G1175" i="3"/>
  <c r="H1175" i="3"/>
  <c r="I1175" i="3"/>
  <c r="J1175" i="3"/>
  <c r="K1175" i="3"/>
  <c r="N1175" i="3"/>
  <c r="G1176" i="3"/>
  <c r="H1176" i="3"/>
  <c r="I1176" i="3"/>
  <c r="J1176" i="3"/>
  <c r="K1176" i="3"/>
  <c r="N1176" i="3"/>
  <c r="G1177" i="3"/>
  <c r="H1177" i="3"/>
  <c r="I1177" i="3"/>
  <c r="J1177" i="3"/>
  <c r="K1177" i="3"/>
  <c r="N1177" i="3"/>
  <c r="G1178" i="3"/>
  <c r="H1178" i="3"/>
  <c r="I1178" i="3"/>
  <c r="J1178" i="3"/>
  <c r="K1178" i="3"/>
  <c r="N1178" i="3"/>
  <c r="G1179" i="3"/>
  <c r="H1179" i="3"/>
  <c r="I1179" i="3"/>
  <c r="J1179" i="3"/>
  <c r="K1179" i="3"/>
  <c r="N1179" i="3"/>
  <c r="G1180" i="3"/>
  <c r="H1180" i="3"/>
  <c r="I1180" i="3"/>
  <c r="J1180" i="3"/>
  <c r="K1180" i="3"/>
  <c r="N1180" i="3"/>
  <c r="G1181" i="3"/>
  <c r="H1181" i="3"/>
  <c r="I1181" i="3"/>
  <c r="J1181" i="3"/>
  <c r="K1181" i="3"/>
  <c r="N1181" i="3"/>
  <c r="G1182" i="3"/>
  <c r="H1182" i="3"/>
  <c r="I1182" i="3"/>
  <c r="J1182" i="3"/>
  <c r="K1182" i="3"/>
  <c r="N1182" i="3"/>
  <c r="G1183" i="3"/>
  <c r="H1183" i="3"/>
  <c r="I1183" i="3"/>
  <c r="J1183" i="3"/>
  <c r="K1183" i="3"/>
  <c r="N1183" i="3"/>
  <c r="G1184" i="3"/>
  <c r="H1184" i="3"/>
  <c r="I1184" i="3"/>
  <c r="J1184" i="3"/>
  <c r="K1184" i="3"/>
  <c r="N1184" i="3"/>
  <c r="G1185" i="3"/>
  <c r="H1185" i="3"/>
  <c r="I1185" i="3"/>
  <c r="J1185" i="3"/>
  <c r="K1185" i="3"/>
  <c r="N1185" i="3"/>
  <c r="G1186" i="3"/>
  <c r="H1186" i="3"/>
  <c r="I1186" i="3"/>
  <c r="J1186" i="3"/>
  <c r="K1186" i="3"/>
  <c r="N1186" i="3"/>
  <c r="G1187" i="3"/>
  <c r="H1187" i="3"/>
  <c r="I1187" i="3"/>
  <c r="J1187" i="3"/>
  <c r="K1187" i="3"/>
  <c r="N1187" i="3"/>
  <c r="G1188" i="3"/>
  <c r="H1188" i="3"/>
  <c r="I1188" i="3"/>
  <c r="J1188" i="3"/>
  <c r="K1188" i="3"/>
  <c r="N1188" i="3"/>
  <c r="G1189" i="3"/>
  <c r="H1189" i="3"/>
  <c r="I1189" i="3"/>
  <c r="J1189" i="3"/>
  <c r="K1189" i="3"/>
  <c r="N1189" i="3"/>
  <c r="G1190" i="3"/>
  <c r="H1190" i="3"/>
  <c r="I1190" i="3"/>
  <c r="J1190" i="3"/>
  <c r="K1190" i="3"/>
  <c r="N1190" i="3"/>
  <c r="G1191" i="3"/>
  <c r="H1191" i="3"/>
  <c r="I1191" i="3"/>
  <c r="J1191" i="3"/>
  <c r="K1191" i="3"/>
  <c r="N1191" i="3"/>
  <c r="G1192" i="3"/>
  <c r="H1192" i="3"/>
  <c r="I1192" i="3"/>
  <c r="J1192" i="3"/>
  <c r="K1192" i="3"/>
  <c r="N1192" i="3"/>
  <c r="G1193" i="3"/>
  <c r="H1193" i="3"/>
  <c r="I1193" i="3"/>
  <c r="J1193" i="3"/>
  <c r="K1193" i="3"/>
  <c r="N1193" i="3"/>
  <c r="G1194" i="3"/>
  <c r="H1194" i="3"/>
  <c r="I1194" i="3"/>
  <c r="J1194" i="3"/>
  <c r="K1194" i="3"/>
  <c r="N1194" i="3"/>
  <c r="G1195" i="3"/>
  <c r="H1195" i="3"/>
  <c r="I1195" i="3"/>
  <c r="J1195" i="3"/>
  <c r="K1195" i="3"/>
  <c r="N1195" i="3"/>
  <c r="G1196" i="3"/>
  <c r="H1196" i="3"/>
  <c r="I1196" i="3"/>
  <c r="J1196" i="3"/>
  <c r="K1196" i="3"/>
  <c r="N1196" i="3"/>
  <c r="G1197" i="3"/>
  <c r="H1197" i="3"/>
  <c r="I1197" i="3"/>
  <c r="J1197" i="3"/>
  <c r="K1197" i="3"/>
  <c r="N1197" i="3"/>
  <c r="G1198" i="3"/>
  <c r="H1198" i="3"/>
  <c r="I1198" i="3"/>
  <c r="J1198" i="3"/>
  <c r="K1198" i="3"/>
  <c r="N1198" i="3"/>
  <c r="G1199" i="3"/>
  <c r="H1199" i="3"/>
  <c r="I1199" i="3"/>
  <c r="J1199" i="3"/>
  <c r="K1199" i="3"/>
  <c r="N1199" i="3"/>
  <c r="G1200" i="3"/>
  <c r="H1200" i="3"/>
  <c r="I1200" i="3"/>
  <c r="J1200" i="3"/>
  <c r="K1200" i="3"/>
  <c r="N1200" i="3"/>
  <c r="G1201" i="3"/>
  <c r="H1201" i="3"/>
  <c r="I1201" i="3"/>
  <c r="J1201" i="3"/>
  <c r="K1201" i="3"/>
  <c r="N1201" i="3"/>
  <c r="G1202" i="3"/>
  <c r="H1202" i="3"/>
  <c r="I1202" i="3"/>
  <c r="J1202" i="3"/>
  <c r="K1202" i="3"/>
  <c r="N1202" i="3"/>
  <c r="G1203" i="3"/>
  <c r="H1203" i="3"/>
  <c r="I1203" i="3"/>
  <c r="J1203" i="3"/>
  <c r="K1203" i="3"/>
  <c r="N1203" i="3"/>
  <c r="G1204" i="3"/>
  <c r="H1204" i="3"/>
  <c r="I1204" i="3"/>
  <c r="J1204" i="3"/>
  <c r="K1204" i="3"/>
  <c r="N1204" i="3"/>
  <c r="G1205" i="3"/>
  <c r="H1205" i="3"/>
  <c r="I1205" i="3"/>
  <c r="J1205" i="3"/>
  <c r="K1205" i="3"/>
  <c r="N1205" i="3"/>
  <c r="G1206" i="3"/>
  <c r="H1206" i="3"/>
  <c r="I1206" i="3"/>
  <c r="J1206" i="3"/>
  <c r="K1206" i="3"/>
  <c r="N1206" i="3"/>
  <c r="G1207" i="3"/>
  <c r="H1207" i="3"/>
  <c r="I1207" i="3"/>
  <c r="J1207" i="3"/>
  <c r="K1207" i="3"/>
  <c r="N1207" i="3"/>
  <c r="G1208" i="3"/>
  <c r="H1208" i="3"/>
  <c r="I1208" i="3"/>
  <c r="J1208" i="3"/>
  <c r="K1208" i="3"/>
  <c r="N1208" i="3"/>
  <c r="G1209" i="3"/>
  <c r="H1209" i="3"/>
  <c r="I1209" i="3"/>
  <c r="J1209" i="3"/>
  <c r="K1209" i="3"/>
  <c r="N1209" i="3"/>
  <c r="G1210" i="3"/>
  <c r="H1210" i="3"/>
  <c r="I1210" i="3"/>
  <c r="J1210" i="3"/>
  <c r="K1210" i="3"/>
  <c r="N1210" i="3"/>
  <c r="G1211" i="3"/>
  <c r="H1211" i="3"/>
  <c r="I1211" i="3"/>
  <c r="J1211" i="3"/>
  <c r="K1211" i="3"/>
  <c r="N1211" i="3"/>
  <c r="G1212" i="3"/>
  <c r="H1212" i="3"/>
  <c r="I1212" i="3"/>
  <c r="J1212" i="3"/>
  <c r="K1212" i="3"/>
  <c r="N1212" i="3"/>
  <c r="G1213" i="3"/>
  <c r="H1213" i="3"/>
  <c r="I1213" i="3"/>
  <c r="J1213" i="3"/>
  <c r="K1213" i="3"/>
  <c r="N1213" i="3"/>
  <c r="G1214" i="3"/>
  <c r="H1214" i="3"/>
  <c r="I1214" i="3"/>
  <c r="J1214" i="3"/>
  <c r="K1214" i="3"/>
  <c r="N1214" i="3"/>
  <c r="G1215" i="3"/>
  <c r="H1215" i="3"/>
  <c r="I1215" i="3"/>
  <c r="J1215" i="3"/>
  <c r="K1215" i="3"/>
  <c r="N1215" i="3"/>
  <c r="G1216" i="3"/>
  <c r="H1216" i="3"/>
  <c r="I1216" i="3"/>
  <c r="J1216" i="3"/>
  <c r="K1216" i="3"/>
  <c r="N1216" i="3"/>
  <c r="G1217" i="3"/>
  <c r="H1217" i="3"/>
  <c r="I1217" i="3"/>
  <c r="J1217" i="3"/>
  <c r="K1217" i="3"/>
  <c r="N1217" i="3"/>
  <c r="G1218" i="3"/>
  <c r="H1218" i="3"/>
  <c r="I1218" i="3"/>
  <c r="J1218" i="3"/>
  <c r="K1218" i="3"/>
  <c r="N1218" i="3"/>
  <c r="G1219" i="3"/>
  <c r="H1219" i="3"/>
  <c r="I1219" i="3"/>
  <c r="J1219" i="3"/>
  <c r="K1219" i="3"/>
  <c r="N1219" i="3"/>
  <c r="G1220" i="3"/>
  <c r="H1220" i="3"/>
  <c r="I1220" i="3"/>
  <c r="J1220" i="3"/>
  <c r="K1220" i="3"/>
  <c r="N1220" i="3"/>
  <c r="G1221" i="3"/>
  <c r="H1221" i="3"/>
  <c r="I1221" i="3"/>
  <c r="J1221" i="3"/>
  <c r="K1221" i="3"/>
  <c r="N1221" i="3"/>
  <c r="G1222" i="3"/>
  <c r="H1222" i="3"/>
  <c r="I1222" i="3"/>
  <c r="J1222" i="3"/>
  <c r="K1222" i="3"/>
  <c r="N1222" i="3"/>
  <c r="G1223" i="3"/>
  <c r="H1223" i="3"/>
  <c r="I1223" i="3"/>
  <c r="J1223" i="3"/>
  <c r="K1223" i="3"/>
  <c r="N1223" i="3"/>
  <c r="G1224" i="3"/>
  <c r="H1224" i="3"/>
  <c r="I1224" i="3"/>
  <c r="J1224" i="3"/>
  <c r="K1224" i="3"/>
  <c r="N1224" i="3"/>
  <c r="G1225" i="3"/>
  <c r="H1225" i="3"/>
  <c r="I1225" i="3"/>
  <c r="J1225" i="3"/>
  <c r="K1225" i="3"/>
  <c r="N1225" i="3"/>
  <c r="G1226" i="3"/>
  <c r="H1226" i="3"/>
  <c r="I1226" i="3"/>
  <c r="J1226" i="3"/>
  <c r="K1226" i="3"/>
  <c r="N1226" i="3"/>
  <c r="G1227" i="3"/>
  <c r="H1227" i="3"/>
  <c r="I1227" i="3"/>
  <c r="J1227" i="3"/>
  <c r="K1227" i="3"/>
  <c r="N1227" i="3"/>
  <c r="G1228" i="3"/>
  <c r="H1228" i="3"/>
  <c r="I1228" i="3"/>
  <c r="J1228" i="3"/>
  <c r="K1228" i="3"/>
  <c r="N1228" i="3"/>
  <c r="G1229" i="3"/>
  <c r="H1229" i="3"/>
  <c r="I1229" i="3"/>
  <c r="J1229" i="3"/>
  <c r="K1229" i="3"/>
  <c r="N1229" i="3"/>
  <c r="G1230" i="3"/>
  <c r="H1230" i="3"/>
  <c r="I1230" i="3"/>
  <c r="J1230" i="3"/>
  <c r="K1230" i="3"/>
  <c r="N1230" i="3"/>
  <c r="G1231" i="3"/>
  <c r="H1231" i="3"/>
  <c r="I1231" i="3"/>
  <c r="J1231" i="3"/>
  <c r="K1231" i="3"/>
  <c r="N1231" i="3"/>
  <c r="G1232" i="3"/>
  <c r="H1232" i="3"/>
  <c r="I1232" i="3"/>
  <c r="J1232" i="3"/>
  <c r="K1232" i="3"/>
  <c r="N1232" i="3"/>
  <c r="G1233" i="3"/>
  <c r="H1233" i="3"/>
  <c r="I1233" i="3"/>
  <c r="J1233" i="3"/>
  <c r="K1233" i="3"/>
  <c r="N1233" i="3"/>
  <c r="G1234" i="3"/>
  <c r="H1234" i="3"/>
  <c r="I1234" i="3"/>
  <c r="J1234" i="3"/>
  <c r="K1234" i="3"/>
  <c r="N1234" i="3"/>
  <c r="G1235" i="3"/>
  <c r="H1235" i="3"/>
  <c r="I1235" i="3"/>
  <c r="J1235" i="3"/>
  <c r="K1235" i="3"/>
  <c r="N1235" i="3"/>
  <c r="G1236" i="3"/>
  <c r="H1236" i="3"/>
  <c r="I1236" i="3"/>
  <c r="J1236" i="3"/>
  <c r="K1236" i="3"/>
  <c r="N1236" i="3"/>
  <c r="G1237" i="3"/>
  <c r="H1237" i="3"/>
  <c r="I1237" i="3"/>
  <c r="J1237" i="3"/>
  <c r="K1237" i="3"/>
  <c r="N1237" i="3"/>
  <c r="G1238" i="3"/>
  <c r="H1238" i="3"/>
  <c r="I1238" i="3"/>
  <c r="J1238" i="3"/>
  <c r="K1238" i="3"/>
  <c r="N1238" i="3"/>
  <c r="G1239" i="3"/>
  <c r="H1239" i="3"/>
  <c r="I1239" i="3"/>
  <c r="J1239" i="3"/>
  <c r="K1239" i="3"/>
  <c r="N1239" i="3"/>
  <c r="G1240" i="3"/>
  <c r="H1240" i="3"/>
  <c r="I1240" i="3"/>
  <c r="J1240" i="3"/>
  <c r="K1240" i="3"/>
  <c r="N1240" i="3"/>
  <c r="G1241" i="3"/>
  <c r="H1241" i="3"/>
  <c r="I1241" i="3"/>
  <c r="J1241" i="3"/>
  <c r="K1241" i="3"/>
  <c r="N1241" i="3"/>
  <c r="G1242" i="3"/>
  <c r="H1242" i="3"/>
  <c r="I1242" i="3"/>
  <c r="J1242" i="3"/>
  <c r="K1242" i="3"/>
  <c r="N1242" i="3"/>
  <c r="G1243" i="3"/>
  <c r="H1243" i="3"/>
  <c r="I1243" i="3"/>
  <c r="J1243" i="3"/>
  <c r="K1243" i="3"/>
  <c r="N1243" i="3"/>
  <c r="G1244" i="3"/>
  <c r="H1244" i="3"/>
  <c r="I1244" i="3"/>
  <c r="J1244" i="3"/>
  <c r="K1244" i="3"/>
  <c r="N1244" i="3"/>
  <c r="G1245" i="3"/>
  <c r="H1245" i="3"/>
  <c r="I1245" i="3"/>
  <c r="J1245" i="3"/>
  <c r="K1245" i="3"/>
  <c r="N1245" i="3"/>
  <c r="G1246" i="3"/>
  <c r="H1246" i="3"/>
  <c r="I1246" i="3"/>
  <c r="J1246" i="3"/>
  <c r="K1246" i="3"/>
  <c r="N1246" i="3"/>
  <c r="G1247" i="3"/>
  <c r="H1247" i="3"/>
  <c r="I1247" i="3"/>
  <c r="J1247" i="3"/>
  <c r="K1247" i="3"/>
  <c r="N1247" i="3"/>
  <c r="G1248" i="3"/>
  <c r="H1248" i="3"/>
  <c r="I1248" i="3"/>
  <c r="J1248" i="3"/>
  <c r="K1248" i="3"/>
  <c r="N1248" i="3"/>
  <c r="G1249" i="3"/>
  <c r="H1249" i="3"/>
  <c r="I1249" i="3"/>
  <c r="J1249" i="3"/>
  <c r="K1249" i="3"/>
  <c r="N1249" i="3"/>
  <c r="G1250" i="3"/>
  <c r="H1250" i="3"/>
  <c r="I1250" i="3"/>
  <c r="J1250" i="3"/>
  <c r="K1250" i="3"/>
  <c r="N1250" i="3"/>
  <c r="G1251" i="3"/>
  <c r="H1251" i="3"/>
  <c r="I1251" i="3"/>
  <c r="J1251" i="3"/>
  <c r="K1251" i="3"/>
  <c r="N1251" i="3"/>
  <c r="G1252" i="3"/>
  <c r="H1252" i="3"/>
  <c r="I1252" i="3"/>
  <c r="J1252" i="3"/>
  <c r="K1252" i="3"/>
  <c r="N1252" i="3"/>
  <c r="G1253" i="3"/>
  <c r="H1253" i="3"/>
  <c r="I1253" i="3"/>
  <c r="J1253" i="3"/>
  <c r="K1253" i="3"/>
  <c r="N1253" i="3"/>
  <c r="G1254" i="3"/>
  <c r="H1254" i="3"/>
  <c r="I1254" i="3"/>
  <c r="J1254" i="3"/>
  <c r="K1254" i="3"/>
  <c r="N1254" i="3"/>
  <c r="G1255" i="3"/>
  <c r="H1255" i="3"/>
  <c r="I1255" i="3"/>
  <c r="J1255" i="3"/>
  <c r="K1255" i="3"/>
  <c r="N1255" i="3"/>
  <c r="G1256" i="3"/>
  <c r="H1256" i="3"/>
  <c r="I1256" i="3"/>
  <c r="J1256" i="3"/>
  <c r="K1256" i="3"/>
  <c r="N1256" i="3"/>
  <c r="G1257" i="3"/>
  <c r="H1257" i="3"/>
  <c r="I1257" i="3"/>
  <c r="J1257" i="3"/>
  <c r="K1257" i="3"/>
  <c r="N1257" i="3"/>
  <c r="G1258" i="3"/>
  <c r="H1258" i="3"/>
  <c r="I1258" i="3"/>
  <c r="J1258" i="3"/>
  <c r="K1258" i="3"/>
  <c r="N1258" i="3"/>
  <c r="G1259" i="3"/>
  <c r="H1259" i="3"/>
  <c r="I1259" i="3"/>
  <c r="J1259" i="3"/>
  <c r="K1259" i="3"/>
  <c r="N1259" i="3"/>
  <c r="G1260" i="3"/>
  <c r="H1260" i="3"/>
  <c r="I1260" i="3"/>
  <c r="J1260" i="3"/>
  <c r="K1260" i="3"/>
  <c r="N1260" i="3"/>
  <c r="G1261" i="3"/>
  <c r="H1261" i="3"/>
  <c r="I1261" i="3"/>
  <c r="J1261" i="3"/>
  <c r="K1261" i="3"/>
  <c r="N1261" i="3"/>
  <c r="G1262" i="3"/>
  <c r="H1262" i="3"/>
  <c r="I1262" i="3"/>
  <c r="J1262" i="3"/>
  <c r="K1262" i="3"/>
  <c r="N1262" i="3"/>
  <c r="G1263" i="3"/>
  <c r="H1263" i="3"/>
  <c r="I1263" i="3"/>
  <c r="J1263" i="3"/>
  <c r="K1263" i="3"/>
  <c r="N1263" i="3"/>
  <c r="G1264" i="3"/>
  <c r="H1264" i="3"/>
  <c r="I1264" i="3"/>
  <c r="J1264" i="3"/>
  <c r="K1264" i="3"/>
  <c r="N1264" i="3"/>
  <c r="G1265" i="3"/>
  <c r="H1265" i="3"/>
  <c r="I1265" i="3"/>
  <c r="J1265" i="3"/>
  <c r="K1265" i="3"/>
  <c r="N1265" i="3"/>
  <c r="G1266" i="3"/>
  <c r="H1266" i="3"/>
  <c r="I1266" i="3"/>
  <c r="J1266" i="3"/>
  <c r="K1266" i="3"/>
  <c r="N1266" i="3"/>
  <c r="G1267" i="3"/>
  <c r="H1267" i="3"/>
  <c r="I1267" i="3"/>
  <c r="J1267" i="3"/>
  <c r="K1267" i="3"/>
  <c r="N1267" i="3"/>
  <c r="G1268" i="3"/>
  <c r="H1268" i="3"/>
  <c r="I1268" i="3"/>
  <c r="J1268" i="3"/>
  <c r="K1268" i="3"/>
  <c r="N1268" i="3"/>
  <c r="G1269" i="3"/>
  <c r="H1269" i="3"/>
  <c r="I1269" i="3"/>
  <c r="J1269" i="3"/>
  <c r="K1269" i="3"/>
  <c r="N1269" i="3"/>
  <c r="G1270" i="3"/>
  <c r="H1270" i="3"/>
  <c r="I1270" i="3"/>
  <c r="J1270" i="3"/>
  <c r="K1270" i="3"/>
  <c r="N1270" i="3"/>
  <c r="G1271" i="3"/>
  <c r="H1271" i="3"/>
  <c r="I1271" i="3"/>
  <c r="J1271" i="3"/>
  <c r="K1271" i="3"/>
  <c r="N1271" i="3"/>
  <c r="G1272" i="3"/>
  <c r="H1272" i="3"/>
  <c r="I1272" i="3"/>
  <c r="J1272" i="3"/>
  <c r="K1272" i="3"/>
  <c r="N1272" i="3"/>
  <c r="G1273" i="3"/>
  <c r="H1273" i="3"/>
  <c r="I1273" i="3"/>
  <c r="J1273" i="3"/>
  <c r="K1273" i="3"/>
  <c r="N1273" i="3"/>
  <c r="G1274" i="3"/>
  <c r="H1274" i="3"/>
  <c r="I1274" i="3"/>
  <c r="J1274" i="3"/>
  <c r="K1274" i="3"/>
  <c r="N1274" i="3"/>
  <c r="G1275" i="3"/>
  <c r="H1275" i="3"/>
  <c r="I1275" i="3"/>
  <c r="J1275" i="3"/>
  <c r="K1275" i="3"/>
  <c r="N1275" i="3"/>
  <c r="G1276" i="3"/>
  <c r="H1276" i="3"/>
  <c r="I1276" i="3"/>
  <c r="J1276" i="3"/>
  <c r="K1276" i="3"/>
  <c r="N1276" i="3"/>
  <c r="G1277" i="3"/>
  <c r="H1277" i="3"/>
  <c r="I1277" i="3"/>
  <c r="J1277" i="3"/>
  <c r="K1277" i="3"/>
  <c r="N1277" i="3"/>
  <c r="G1278" i="3"/>
  <c r="H1278" i="3"/>
  <c r="I1278" i="3"/>
  <c r="J1278" i="3"/>
  <c r="K1278" i="3"/>
  <c r="N1278" i="3"/>
  <c r="G1279" i="3"/>
  <c r="H1279" i="3"/>
  <c r="I1279" i="3"/>
  <c r="J1279" i="3"/>
  <c r="K1279" i="3"/>
  <c r="N1279" i="3"/>
  <c r="G1280" i="3"/>
  <c r="H1280" i="3"/>
  <c r="I1280" i="3"/>
  <c r="J1280" i="3"/>
  <c r="K1280" i="3"/>
  <c r="N1280" i="3"/>
  <c r="G1281" i="3"/>
  <c r="H1281" i="3"/>
  <c r="I1281" i="3"/>
  <c r="J1281" i="3"/>
  <c r="K1281" i="3"/>
  <c r="N1281" i="3"/>
  <c r="G1282" i="3"/>
  <c r="H1282" i="3"/>
  <c r="I1282" i="3"/>
  <c r="J1282" i="3"/>
  <c r="K1282" i="3"/>
  <c r="N1282" i="3"/>
  <c r="G1283" i="3"/>
  <c r="H1283" i="3"/>
  <c r="I1283" i="3"/>
  <c r="J1283" i="3"/>
  <c r="K1283" i="3"/>
  <c r="N1283" i="3"/>
  <c r="G1284" i="3"/>
  <c r="H1284" i="3"/>
  <c r="I1284" i="3"/>
  <c r="J1284" i="3"/>
  <c r="K1284" i="3"/>
  <c r="N1284" i="3"/>
  <c r="G1285" i="3"/>
  <c r="H1285" i="3"/>
  <c r="I1285" i="3"/>
  <c r="J1285" i="3"/>
  <c r="K1285" i="3"/>
  <c r="N1285" i="3"/>
  <c r="G1286" i="3"/>
  <c r="H1286" i="3"/>
  <c r="I1286" i="3"/>
  <c r="J1286" i="3"/>
  <c r="K1286" i="3"/>
  <c r="N1286" i="3"/>
  <c r="G1287" i="3"/>
  <c r="H1287" i="3"/>
  <c r="I1287" i="3"/>
  <c r="J1287" i="3"/>
  <c r="K1287" i="3"/>
  <c r="N1287" i="3"/>
  <c r="G1288" i="3"/>
  <c r="H1288" i="3"/>
  <c r="I1288" i="3"/>
  <c r="J1288" i="3"/>
  <c r="K1288" i="3"/>
  <c r="N1288" i="3"/>
  <c r="G1289" i="3"/>
  <c r="H1289" i="3"/>
  <c r="I1289" i="3"/>
  <c r="J1289" i="3"/>
  <c r="K1289" i="3"/>
  <c r="N1289" i="3"/>
  <c r="G1290" i="3"/>
  <c r="H1290" i="3"/>
  <c r="I1290" i="3"/>
  <c r="J1290" i="3"/>
  <c r="K1290" i="3"/>
  <c r="N1290" i="3"/>
  <c r="G1291" i="3"/>
  <c r="H1291" i="3"/>
  <c r="I1291" i="3"/>
  <c r="J1291" i="3"/>
  <c r="K1291" i="3"/>
  <c r="N1291" i="3"/>
  <c r="G1292" i="3"/>
  <c r="H1292" i="3"/>
  <c r="I1292" i="3"/>
  <c r="J1292" i="3"/>
  <c r="K1292" i="3"/>
  <c r="N1292" i="3"/>
  <c r="G1293" i="3"/>
  <c r="H1293" i="3"/>
  <c r="I1293" i="3"/>
  <c r="J1293" i="3"/>
  <c r="K1293" i="3"/>
  <c r="N1293" i="3"/>
  <c r="G1294" i="3"/>
  <c r="H1294" i="3"/>
  <c r="I1294" i="3"/>
  <c r="J1294" i="3"/>
  <c r="K1294" i="3"/>
  <c r="N1294" i="3"/>
  <c r="G1295" i="3"/>
  <c r="H1295" i="3"/>
  <c r="I1295" i="3"/>
  <c r="J1295" i="3"/>
  <c r="K1295" i="3"/>
  <c r="N1295" i="3"/>
  <c r="G1296" i="3"/>
  <c r="H1296" i="3"/>
  <c r="I1296" i="3"/>
  <c r="J1296" i="3"/>
  <c r="K1296" i="3"/>
  <c r="N1296" i="3"/>
  <c r="G1297" i="3"/>
  <c r="H1297" i="3"/>
  <c r="I1297" i="3"/>
  <c r="J1297" i="3"/>
  <c r="K1297" i="3"/>
  <c r="N1297" i="3"/>
  <c r="G1298" i="3"/>
  <c r="H1298" i="3"/>
  <c r="I1298" i="3"/>
  <c r="J1298" i="3"/>
  <c r="K1298" i="3"/>
  <c r="N1298" i="3"/>
  <c r="G1299" i="3"/>
  <c r="H1299" i="3"/>
  <c r="I1299" i="3"/>
  <c r="J1299" i="3"/>
  <c r="K1299" i="3"/>
  <c r="N1299" i="3"/>
  <c r="G1300" i="3"/>
  <c r="H1300" i="3"/>
  <c r="I1300" i="3"/>
  <c r="J1300" i="3"/>
  <c r="K1300" i="3"/>
  <c r="N1300" i="3"/>
  <c r="G1301" i="3"/>
  <c r="H1301" i="3"/>
  <c r="I1301" i="3"/>
  <c r="J1301" i="3"/>
  <c r="K1301" i="3"/>
  <c r="N1301" i="3"/>
  <c r="G1302" i="3"/>
  <c r="H1302" i="3"/>
  <c r="I1302" i="3"/>
  <c r="J1302" i="3"/>
  <c r="K1302" i="3"/>
  <c r="N1302" i="3"/>
  <c r="G1303" i="3"/>
  <c r="H1303" i="3"/>
  <c r="I1303" i="3"/>
  <c r="J1303" i="3"/>
  <c r="K1303" i="3"/>
  <c r="N1303" i="3"/>
  <c r="G1304" i="3"/>
  <c r="H1304" i="3"/>
  <c r="I1304" i="3"/>
  <c r="J1304" i="3"/>
  <c r="K1304" i="3"/>
  <c r="N1304" i="3"/>
  <c r="G1305" i="3"/>
  <c r="H1305" i="3"/>
  <c r="I1305" i="3"/>
  <c r="J1305" i="3"/>
  <c r="K1305" i="3"/>
  <c r="N1305" i="3"/>
  <c r="G1306" i="3"/>
  <c r="H1306" i="3"/>
  <c r="I1306" i="3"/>
  <c r="J1306" i="3"/>
  <c r="K1306" i="3"/>
  <c r="N1306" i="3"/>
  <c r="G1307" i="3"/>
  <c r="H1307" i="3"/>
  <c r="I1307" i="3"/>
  <c r="J1307" i="3"/>
  <c r="K1307" i="3"/>
  <c r="N1307" i="3"/>
  <c r="G1308" i="3"/>
  <c r="H1308" i="3"/>
  <c r="I1308" i="3"/>
  <c r="J1308" i="3"/>
  <c r="K1308" i="3"/>
  <c r="N1308" i="3"/>
  <c r="G1309" i="3"/>
  <c r="H1309" i="3"/>
  <c r="I1309" i="3"/>
  <c r="J1309" i="3"/>
  <c r="K1309" i="3"/>
  <c r="N1309" i="3"/>
  <c r="G1310" i="3"/>
  <c r="H1310" i="3"/>
  <c r="I1310" i="3"/>
  <c r="J1310" i="3"/>
  <c r="K1310" i="3"/>
  <c r="N1310" i="3"/>
  <c r="G1311" i="3"/>
  <c r="H1311" i="3"/>
  <c r="I1311" i="3"/>
  <c r="J1311" i="3"/>
  <c r="K1311" i="3"/>
  <c r="N1311" i="3"/>
  <c r="G1312" i="3"/>
  <c r="H1312" i="3"/>
  <c r="I1312" i="3"/>
  <c r="J1312" i="3"/>
  <c r="K1312" i="3"/>
  <c r="N1312" i="3"/>
  <c r="G1313" i="3"/>
  <c r="H1313" i="3"/>
  <c r="I1313" i="3"/>
  <c r="J1313" i="3"/>
  <c r="K1313" i="3"/>
  <c r="N1313" i="3"/>
  <c r="G1314" i="3"/>
  <c r="H1314" i="3"/>
  <c r="I1314" i="3"/>
  <c r="J1314" i="3"/>
  <c r="K1314" i="3"/>
  <c r="N1314" i="3"/>
  <c r="G1315" i="3"/>
  <c r="H1315" i="3"/>
  <c r="I1315" i="3"/>
  <c r="J1315" i="3"/>
  <c r="K1315" i="3"/>
  <c r="N1315" i="3"/>
  <c r="G1316" i="3"/>
  <c r="H1316" i="3"/>
  <c r="I1316" i="3"/>
  <c r="J1316" i="3"/>
  <c r="K1316" i="3"/>
  <c r="N1316" i="3"/>
  <c r="G1317" i="3"/>
  <c r="H1317" i="3"/>
  <c r="I1317" i="3"/>
  <c r="J1317" i="3"/>
  <c r="K1317" i="3"/>
  <c r="N1317" i="3"/>
  <c r="G1318" i="3"/>
  <c r="H1318" i="3"/>
  <c r="I1318" i="3"/>
  <c r="J1318" i="3"/>
  <c r="K1318" i="3"/>
  <c r="N1318" i="3"/>
  <c r="G1319" i="3"/>
  <c r="H1319" i="3"/>
  <c r="I1319" i="3"/>
  <c r="J1319" i="3"/>
  <c r="K1319" i="3"/>
  <c r="N1319" i="3"/>
  <c r="G1320" i="3"/>
  <c r="H1320" i="3"/>
  <c r="I1320" i="3"/>
  <c r="J1320" i="3"/>
  <c r="K1320" i="3"/>
  <c r="N1320" i="3"/>
  <c r="G1321" i="3"/>
  <c r="H1321" i="3"/>
  <c r="I1321" i="3"/>
  <c r="J1321" i="3"/>
  <c r="K1321" i="3"/>
  <c r="N1321" i="3"/>
  <c r="G1322" i="3"/>
  <c r="H1322" i="3"/>
  <c r="I1322" i="3"/>
  <c r="J1322" i="3"/>
  <c r="K1322" i="3"/>
  <c r="N1322" i="3"/>
  <c r="G1323" i="3"/>
  <c r="H1323" i="3"/>
  <c r="I1323" i="3"/>
  <c r="J1323" i="3"/>
  <c r="K1323" i="3"/>
  <c r="N1323" i="3"/>
  <c r="G1324" i="3"/>
  <c r="H1324" i="3"/>
  <c r="I1324" i="3"/>
  <c r="J1324" i="3"/>
  <c r="K1324" i="3"/>
  <c r="N1324" i="3"/>
  <c r="G1325" i="3"/>
  <c r="H1325" i="3"/>
  <c r="I1325" i="3"/>
  <c r="J1325" i="3"/>
  <c r="K1325" i="3"/>
  <c r="N1325" i="3"/>
  <c r="G1326" i="3"/>
  <c r="H1326" i="3"/>
  <c r="I1326" i="3"/>
  <c r="J1326" i="3"/>
  <c r="K1326" i="3"/>
  <c r="N1326" i="3"/>
  <c r="G1327" i="3"/>
  <c r="H1327" i="3"/>
  <c r="I1327" i="3"/>
  <c r="J1327" i="3"/>
  <c r="K1327" i="3"/>
  <c r="N1327" i="3"/>
  <c r="G1328" i="3"/>
  <c r="H1328" i="3"/>
  <c r="I1328" i="3"/>
  <c r="J1328" i="3"/>
  <c r="K1328" i="3"/>
  <c r="N1328" i="3"/>
  <c r="G1329" i="3"/>
  <c r="H1329" i="3"/>
  <c r="I1329" i="3"/>
  <c r="J1329" i="3"/>
  <c r="K1329" i="3"/>
  <c r="N1329" i="3"/>
  <c r="G1330" i="3"/>
  <c r="H1330" i="3"/>
  <c r="I1330" i="3"/>
  <c r="J1330" i="3"/>
  <c r="K1330" i="3"/>
  <c r="N1330" i="3"/>
  <c r="G1331" i="3"/>
  <c r="H1331" i="3"/>
  <c r="I1331" i="3"/>
  <c r="J1331" i="3"/>
  <c r="K1331" i="3"/>
  <c r="N1331" i="3"/>
  <c r="G1332" i="3"/>
  <c r="H1332" i="3"/>
  <c r="I1332" i="3"/>
  <c r="J1332" i="3"/>
  <c r="K1332" i="3"/>
  <c r="N1332" i="3"/>
  <c r="G1333" i="3"/>
  <c r="H1333" i="3"/>
  <c r="I1333" i="3"/>
  <c r="J1333" i="3"/>
  <c r="K1333" i="3"/>
  <c r="N1333" i="3"/>
  <c r="G1334" i="3"/>
  <c r="H1334" i="3"/>
  <c r="I1334" i="3"/>
  <c r="J1334" i="3"/>
  <c r="K1334" i="3"/>
  <c r="N1334" i="3"/>
  <c r="G1335" i="3"/>
  <c r="H1335" i="3"/>
  <c r="I1335" i="3"/>
  <c r="J1335" i="3"/>
  <c r="K1335" i="3"/>
  <c r="N1335" i="3"/>
  <c r="G1336" i="3"/>
  <c r="H1336" i="3"/>
  <c r="I1336" i="3"/>
  <c r="J1336" i="3"/>
  <c r="K1336" i="3"/>
  <c r="N1336" i="3"/>
  <c r="G1337" i="3"/>
  <c r="H1337" i="3"/>
  <c r="I1337" i="3"/>
  <c r="J1337" i="3"/>
  <c r="K1337" i="3"/>
  <c r="N1337" i="3"/>
  <c r="G1338" i="3"/>
  <c r="H1338" i="3"/>
  <c r="I1338" i="3"/>
  <c r="J1338" i="3"/>
  <c r="K1338" i="3"/>
  <c r="N1338" i="3"/>
  <c r="G1339" i="3"/>
  <c r="H1339" i="3"/>
  <c r="I1339" i="3"/>
  <c r="J1339" i="3"/>
  <c r="K1339" i="3"/>
  <c r="N1339" i="3"/>
  <c r="G1340" i="3"/>
  <c r="H1340" i="3"/>
  <c r="I1340" i="3"/>
  <c r="J1340" i="3"/>
  <c r="K1340" i="3"/>
  <c r="N1340" i="3"/>
  <c r="G1341" i="3"/>
  <c r="H1341" i="3"/>
  <c r="I1341" i="3"/>
  <c r="J1341" i="3"/>
  <c r="K1341" i="3"/>
  <c r="N1341" i="3"/>
  <c r="G1342" i="3"/>
  <c r="H1342" i="3"/>
  <c r="I1342" i="3"/>
  <c r="J1342" i="3"/>
  <c r="K1342" i="3"/>
  <c r="N1342" i="3"/>
  <c r="G1343" i="3"/>
  <c r="H1343" i="3"/>
  <c r="I1343" i="3"/>
  <c r="J1343" i="3"/>
  <c r="K1343" i="3"/>
  <c r="N1343" i="3"/>
  <c r="G1344" i="3"/>
  <c r="H1344" i="3"/>
  <c r="I1344" i="3"/>
  <c r="J1344" i="3"/>
  <c r="K1344" i="3"/>
  <c r="N1344" i="3"/>
  <c r="G1345" i="3"/>
  <c r="H1345" i="3"/>
  <c r="I1345" i="3"/>
  <c r="J1345" i="3"/>
  <c r="K1345" i="3"/>
  <c r="N1345" i="3"/>
  <c r="G1346" i="3"/>
  <c r="H1346" i="3"/>
  <c r="I1346" i="3"/>
  <c r="J1346" i="3"/>
  <c r="K1346" i="3"/>
  <c r="N1346" i="3"/>
  <c r="G1347" i="3"/>
  <c r="H1347" i="3"/>
  <c r="I1347" i="3"/>
  <c r="J1347" i="3"/>
  <c r="K1347" i="3"/>
  <c r="N1347" i="3"/>
  <c r="G1348" i="3"/>
  <c r="H1348" i="3"/>
  <c r="I1348" i="3"/>
  <c r="J1348" i="3"/>
  <c r="K1348" i="3"/>
  <c r="N1348" i="3"/>
  <c r="G1349" i="3"/>
  <c r="H1349" i="3"/>
  <c r="I1349" i="3"/>
  <c r="J1349" i="3"/>
  <c r="K1349" i="3"/>
  <c r="N1349" i="3"/>
  <c r="G1350" i="3"/>
  <c r="H1350" i="3"/>
  <c r="I1350" i="3"/>
  <c r="J1350" i="3"/>
  <c r="K1350" i="3"/>
  <c r="N1350" i="3"/>
  <c r="G1351" i="3"/>
  <c r="H1351" i="3"/>
  <c r="I1351" i="3"/>
  <c r="J1351" i="3"/>
  <c r="K1351" i="3"/>
  <c r="N1351" i="3"/>
  <c r="G1352" i="3"/>
  <c r="H1352" i="3"/>
  <c r="I1352" i="3"/>
  <c r="J1352" i="3"/>
  <c r="K1352" i="3"/>
  <c r="N1352" i="3"/>
  <c r="G1353" i="3"/>
  <c r="H1353" i="3"/>
  <c r="I1353" i="3"/>
  <c r="J1353" i="3"/>
  <c r="K1353" i="3"/>
  <c r="N1353" i="3"/>
  <c r="G1354" i="3"/>
  <c r="H1354" i="3"/>
  <c r="I1354" i="3"/>
  <c r="J1354" i="3"/>
  <c r="K1354" i="3"/>
  <c r="N1354" i="3"/>
  <c r="G1355" i="3"/>
  <c r="H1355" i="3"/>
  <c r="I1355" i="3"/>
  <c r="J1355" i="3"/>
  <c r="K1355" i="3"/>
  <c r="N1355" i="3"/>
  <c r="G1356" i="3"/>
  <c r="H1356" i="3"/>
  <c r="I1356" i="3"/>
  <c r="J1356" i="3"/>
  <c r="K1356" i="3"/>
  <c r="N1356" i="3"/>
  <c r="G1357" i="3"/>
  <c r="H1357" i="3"/>
  <c r="I1357" i="3"/>
  <c r="J1357" i="3"/>
  <c r="K1357" i="3"/>
  <c r="N1357" i="3"/>
  <c r="G1358" i="3"/>
  <c r="H1358" i="3"/>
  <c r="I1358" i="3"/>
  <c r="J1358" i="3"/>
  <c r="K1358" i="3"/>
  <c r="N1358" i="3"/>
  <c r="G1359" i="3"/>
  <c r="H1359" i="3"/>
  <c r="I1359" i="3"/>
  <c r="J1359" i="3"/>
  <c r="K1359" i="3"/>
  <c r="N1359" i="3"/>
  <c r="G1360" i="3"/>
  <c r="H1360" i="3"/>
  <c r="I1360" i="3"/>
  <c r="J1360" i="3"/>
  <c r="K1360" i="3"/>
  <c r="N1360" i="3"/>
  <c r="G1361" i="3"/>
  <c r="H1361" i="3"/>
  <c r="I1361" i="3"/>
  <c r="J1361" i="3"/>
  <c r="K1361" i="3"/>
  <c r="N1361" i="3"/>
  <c r="G1362" i="3"/>
  <c r="H1362" i="3"/>
  <c r="I1362" i="3"/>
  <c r="J1362" i="3"/>
  <c r="K1362" i="3"/>
  <c r="N1362" i="3"/>
  <c r="G1363" i="3"/>
  <c r="H1363" i="3"/>
  <c r="I1363" i="3"/>
  <c r="J1363" i="3"/>
  <c r="K1363" i="3"/>
  <c r="N1363" i="3"/>
  <c r="G1364" i="3"/>
  <c r="H1364" i="3"/>
  <c r="I1364" i="3"/>
  <c r="J1364" i="3"/>
  <c r="K1364" i="3"/>
  <c r="N1364" i="3"/>
  <c r="G1365" i="3"/>
  <c r="H1365" i="3"/>
  <c r="I1365" i="3"/>
  <c r="J1365" i="3"/>
  <c r="K1365" i="3"/>
  <c r="N1365" i="3"/>
  <c r="G1366" i="3"/>
  <c r="H1366" i="3"/>
  <c r="I1366" i="3"/>
  <c r="J1366" i="3"/>
  <c r="K1366" i="3"/>
  <c r="N1366" i="3"/>
  <c r="G1367" i="3"/>
  <c r="H1367" i="3"/>
  <c r="I1367" i="3"/>
  <c r="J1367" i="3"/>
  <c r="K1367" i="3"/>
  <c r="N1367" i="3"/>
  <c r="G1368" i="3"/>
  <c r="H1368" i="3"/>
  <c r="I1368" i="3"/>
  <c r="J1368" i="3"/>
  <c r="K1368" i="3"/>
  <c r="N1368" i="3"/>
  <c r="G1369" i="3"/>
  <c r="H1369" i="3"/>
  <c r="I1369" i="3"/>
  <c r="J1369" i="3"/>
  <c r="K1369" i="3"/>
  <c r="N1369" i="3"/>
  <c r="G1370" i="3"/>
  <c r="H1370" i="3"/>
  <c r="I1370" i="3"/>
  <c r="J1370" i="3"/>
  <c r="K1370" i="3"/>
  <c r="N1370" i="3"/>
  <c r="G1371" i="3"/>
  <c r="H1371" i="3"/>
  <c r="I1371" i="3"/>
  <c r="J1371" i="3"/>
  <c r="K1371" i="3"/>
  <c r="N1371" i="3"/>
  <c r="G1372" i="3"/>
  <c r="H1372" i="3"/>
  <c r="I1372" i="3"/>
  <c r="J1372" i="3"/>
  <c r="K1372" i="3"/>
  <c r="N1372" i="3"/>
  <c r="G1373" i="3"/>
  <c r="H1373" i="3"/>
  <c r="I1373" i="3"/>
  <c r="J1373" i="3"/>
  <c r="K1373" i="3"/>
  <c r="N1373" i="3"/>
  <c r="G1374" i="3"/>
  <c r="H1374" i="3"/>
  <c r="I1374" i="3"/>
  <c r="J1374" i="3"/>
  <c r="K1374" i="3"/>
  <c r="N1374" i="3"/>
  <c r="G1375" i="3"/>
  <c r="H1375" i="3"/>
  <c r="I1375" i="3"/>
  <c r="J1375" i="3"/>
  <c r="K1375" i="3"/>
  <c r="N1375" i="3"/>
  <c r="G1376" i="3"/>
  <c r="H1376" i="3"/>
  <c r="I1376" i="3"/>
  <c r="J1376" i="3"/>
  <c r="K1376" i="3"/>
  <c r="N1376" i="3"/>
  <c r="G1377" i="3"/>
  <c r="H1377" i="3"/>
  <c r="I1377" i="3"/>
  <c r="J1377" i="3"/>
  <c r="K1377" i="3"/>
  <c r="N1377" i="3"/>
  <c r="G1378" i="3"/>
  <c r="H1378" i="3"/>
  <c r="I1378" i="3"/>
  <c r="J1378" i="3"/>
  <c r="K1378" i="3"/>
  <c r="N1378" i="3"/>
  <c r="G1379" i="3"/>
  <c r="H1379" i="3"/>
  <c r="I1379" i="3"/>
  <c r="J1379" i="3"/>
  <c r="K1379" i="3"/>
  <c r="N1379" i="3"/>
  <c r="G1380" i="3"/>
  <c r="H1380" i="3"/>
  <c r="I1380" i="3"/>
  <c r="J1380" i="3"/>
  <c r="K1380" i="3"/>
  <c r="N1380" i="3"/>
  <c r="G1381" i="3"/>
  <c r="H1381" i="3"/>
  <c r="I1381" i="3"/>
  <c r="J1381" i="3"/>
  <c r="K1381" i="3"/>
  <c r="N1381" i="3"/>
  <c r="G1382" i="3"/>
  <c r="H1382" i="3"/>
  <c r="I1382" i="3"/>
  <c r="J1382" i="3"/>
  <c r="K1382" i="3"/>
  <c r="N1382" i="3"/>
  <c r="G1383" i="3"/>
  <c r="H1383" i="3"/>
  <c r="I1383" i="3"/>
  <c r="J1383" i="3"/>
  <c r="K1383" i="3"/>
  <c r="N1383" i="3"/>
  <c r="G1384" i="3"/>
  <c r="H1384" i="3"/>
  <c r="I1384" i="3"/>
  <c r="J1384" i="3"/>
  <c r="K1384" i="3"/>
  <c r="N1384" i="3"/>
  <c r="G1385" i="3"/>
  <c r="H1385" i="3"/>
  <c r="I1385" i="3"/>
  <c r="J1385" i="3"/>
  <c r="K1385" i="3"/>
  <c r="N1385" i="3"/>
  <c r="G1386" i="3"/>
  <c r="H1386" i="3"/>
  <c r="I1386" i="3"/>
  <c r="J1386" i="3"/>
  <c r="K1386" i="3"/>
  <c r="N1386" i="3"/>
  <c r="G1387" i="3"/>
  <c r="H1387" i="3"/>
  <c r="I1387" i="3"/>
  <c r="J1387" i="3"/>
  <c r="K1387" i="3"/>
  <c r="N1387" i="3"/>
  <c r="G1388" i="3"/>
  <c r="H1388" i="3"/>
  <c r="I1388" i="3"/>
  <c r="J1388" i="3"/>
  <c r="K1388" i="3"/>
  <c r="N1388" i="3"/>
  <c r="G1389" i="3"/>
  <c r="H1389" i="3"/>
  <c r="I1389" i="3"/>
  <c r="J1389" i="3"/>
  <c r="K1389" i="3"/>
  <c r="N1389" i="3"/>
  <c r="G1390" i="3"/>
  <c r="H1390" i="3"/>
  <c r="I1390" i="3"/>
  <c r="J1390" i="3"/>
  <c r="K1390" i="3"/>
  <c r="N1390" i="3"/>
  <c r="G1391" i="3"/>
  <c r="H1391" i="3"/>
  <c r="I1391" i="3"/>
  <c r="J1391" i="3"/>
  <c r="K1391" i="3"/>
  <c r="N1391" i="3"/>
  <c r="G1392" i="3"/>
  <c r="H1392" i="3"/>
  <c r="I1392" i="3"/>
  <c r="J1392" i="3"/>
  <c r="K1392" i="3"/>
  <c r="N1392" i="3"/>
  <c r="G1393" i="3"/>
  <c r="H1393" i="3"/>
  <c r="I1393" i="3"/>
  <c r="J1393" i="3"/>
  <c r="K1393" i="3"/>
  <c r="N1393" i="3"/>
  <c r="G1394" i="3"/>
  <c r="H1394" i="3"/>
  <c r="I1394" i="3"/>
  <c r="J1394" i="3"/>
  <c r="K1394" i="3"/>
  <c r="N1394" i="3"/>
  <c r="G1395" i="3"/>
  <c r="H1395" i="3"/>
  <c r="I1395" i="3"/>
  <c r="J1395" i="3"/>
  <c r="K1395" i="3"/>
  <c r="N1395" i="3"/>
  <c r="G1396" i="3"/>
  <c r="H1396" i="3"/>
  <c r="I1396" i="3"/>
  <c r="J1396" i="3"/>
  <c r="K1396" i="3"/>
  <c r="N1396" i="3"/>
  <c r="G1397" i="3"/>
  <c r="H1397" i="3"/>
  <c r="I1397" i="3"/>
  <c r="J1397" i="3"/>
  <c r="K1397" i="3"/>
  <c r="N1397" i="3"/>
  <c r="G1398" i="3"/>
  <c r="H1398" i="3"/>
  <c r="I1398" i="3"/>
  <c r="J1398" i="3"/>
  <c r="K1398" i="3"/>
  <c r="N1398" i="3"/>
  <c r="G1399" i="3"/>
  <c r="H1399" i="3"/>
  <c r="I1399" i="3"/>
  <c r="J1399" i="3"/>
  <c r="K1399" i="3"/>
  <c r="N1399" i="3"/>
  <c r="G1400" i="3"/>
  <c r="H1400" i="3"/>
  <c r="I1400" i="3"/>
  <c r="J1400" i="3"/>
  <c r="K1400" i="3"/>
  <c r="N1400" i="3"/>
  <c r="G1401" i="3"/>
  <c r="H1401" i="3"/>
  <c r="I1401" i="3"/>
  <c r="J1401" i="3"/>
  <c r="K1401" i="3"/>
  <c r="N1401" i="3"/>
  <c r="G1402" i="3"/>
  <c r="H1402" i="3"/>
  <c r="I1402" i="3"/>
  <c r="J1402" i="3"/>
  <c r="K1402" i="3"/>
  <c r="N1402" i="3"/>
  <c r="G1403" i="3"/>
  <c r="H1403" i="3"/>
  <c r="I1403" i="3"/>
  <c r="J1403" i="3"/>
  <c r="K1403" i="3"/>
  <c r="N1403" i="3"/>
  <c r="G1404" i="3"/>
  <c r="H1404" i="3"/>
  <c r="I1404" i="3"/>
  <c r="J1404" i="3"/>
  <c r="K1404" i="3"/>
  <c r="N1404" i="3"/>
  <c r="G1405" i="3"/>
  <c r="H1405" i="3"/>
  <c r="I1405" i="3"/>
  <c r="J1405" i="3"/>
  <c r="K1405" i="3"/>
  <c r="N1405" i="3"/>
  <c r="G1406" i="3"/>
  <c r="H1406" i="3"/>
  <c r="I1406" i="3"/>
  <c r="J1406" i="3"/>
  <c r="K1406" i="3"/>
  <c r="N1406" i="3"/>
  <c r="G1407" i="3"/>
  <c r="H1407" i="3"/>
  <c r="I1407" i="3"/>
  <c r="J1407" i="3"/>
  <c r="K1407" i="3"/>
  <c r="N1407" i="3"/>
  <c r="G1408" i="3"/>
  <c r="H1408" i="3"/>
  <c r="I1408" i="3"/>
  <c r="J1408" i="3"/>
  <c r="K1408" i="3"/>
  <c r="N1408" i="3"/>
  <c r="G1409" i="3"/>
  <c r="H1409" i="3"/>
  <c r="I1409" i="3"/>
  <c r="J1409" i="3"/>
  <c r="K1409" i="3"/>
  <c r="N1409" i="3"/>
  <c r="G1410" i="3"/>
  <c r="H1410" i="3"/>
  <c r="I1410" i="3"/>
  <c r="J1410" i="3"/>
  <c r="K1410" i="3"/>
  <c r="N1410" i="3"/>
  <c r="G1411" i="3"/>
  <c r="H1411" i="3"/>
  <c r="I1411" i="3"/>
  <c r="J1411" i="3"/>
  <c r="K1411" i="3"/>
  <c r="N1411" i="3"/>
  <c r="G1412" i="3"/>
  <c r="H1412" i="3"/>
  <c r="I1412" i="3"/>
  <c r="J1412" i="3"/>
  <c r="K1412" i="3"/>
  <c r="N1412" i="3"/>
  <c r="G1413" i="3"/>
  <c r="H1413" i="3"/>
  <c r="I1413" i="3"/>
  <c r="J1413" i="3"/>
  <c r="K1413" i="3"/>
  <c r="N1413" i="3"/>
  <c r="G1414" i="3"/>
  <c r="H1414" i="3"/>
  <c r="I1414" i="3"/>
  <c r="J1414" i="3"/>
  <c r="K1414" i="3"/>
  <c r="N1414" i="3"/>
  <c r="G1415" i="3"/>
  <c r="H1415" i="3"/>
  <c r="I1415" i="3"/>
  <c r="J1415" i="3"/>
  <c r="K1415" i="3"/>
  <c r="N1415" i="3"/>
  <c r="G1416" i="3"/>
  <c r="H1416" i="3"/>
  <c r="I1416" i="3"/>
  <c r="J1416" i="3"/>
  <c r="K1416" i="3"/>
  <c r="N1416" i="3"/>
  <c r="G1417" i="3"/>
  <c r="H1417" i="3"/>
  <c r="I1417" i="3"/>
  <c r="J1417" i="3"/>
  <c r="K1417" i="3"/>
  <c r="N1417" i="3"/>
  <c r="G1418" i="3"/>
  <c r="H1418" i="3"/>
  <c r="I1418" i="3"/>
  <c r="J1418" i="3"/>
  <c r="K1418" i="3"/>
  <c r="N1418" i="3"/>
  <c r="G1419" i="3"/>
  <c r="H1419" i="3"/>
  <c r="I1419" i="3"/>
  <c r="J1419" i="3"/>
  <c r="K1419" i="3"/>
  <c r="N1419" i="3"/>
  <c r="G1420" i="3"/>
  <c r="H1420" i="3"/>
  <c r="I1420" i="3"/>
  <c r="J1420" i="3"/>
  <c r="K1420" i="3"/>
  <c r="N1420" i="3"/>
  <c r="G1421" i="3"/>
  <c r="H1421" i="3"/>
  <c r="I1421" i="3"/>
  <c r="J1421" i="3"/>
  <c r="K1421" i="3"/>
  <c r="N1421" i="3"/>
  <c r="G1422" i="3"/>
  <c r="H1422" i="3"/>
  <c r="I1422" i="3"/>
  <c r="J1422" i="3"/>
  <c r="K1422" i="3"/>
  <c r="N1422" i="3"/>
  <c r="G1423" i="3"/>
  <c r="H1423" i="3"/>
  <c r="I1423" i="3"/>
  <c r="J1423" i="3"/>
  <c r="K1423" i="3"/>
  <c r="N1423" i="3"/>
  <c r="G1424" i="3"/>
  <c r="H1424" i="3"/>
  <c r="I1424" i="3"/>
  <c r="J1424" i="3"/>
  <c r="K1424" i="3"/>
  <c r="N1424" i="3"/>
  <c r="G1425" i="3"/>
  <c r="H1425" i="3"/>
  <c r="I1425" i="3"/>
  <c r="J1425" i="3"/>
  <c r="K1425" i="3"/>
  <c r="N1425" i="3"/>
  <c r="G1426" i="3"/>
  <c r="H1426" i="3"/>
  <c r="I1426" i="3"/>
  <c r="J1426" i="3"/>
  <c r="K1426" i="3"/>
  <c r="N1426" i="3"/>
  <c r="G1427" i="3"/>
  <c r="H1427" i="3"/>
  <c r="I1427" i="3"/>
  <c r="J1427" i="3"/>
  <c r="K1427" i="3"/>
  <c r="N1427" i="3"/>
  <c r="G1428" i="3"/>
  <c r="H1428" i="3"/>
  <c r="I1428" i="3"/>
  <c r="J1428" i="3"/>
  <c r="K1428" i="3"/>
  <c r="N1428" i="3"/>
  <c r="G1429" i="3"/>
  <c r="H1429" i="3"/>
  <c r="I1429" i="3"/>
  <c r="J1429" i="3"/>
  <c r="K1429" i="3"/>
  <c r="N1429" i="3"/>
  <c r="G1430" i="3"/>
  <c r="H1430" i="3"/>
  <c r="I1430" i="3"/>
  <c r="J1430" i="3"/>
  <c r="K1430" i="3"/>
  <c r="N1430" i="3"/>
  <c r="G1431" i="3"/>
  <c r="H1431" i="3"/>
  <c r="I1431" i="3"/>
  <c r="J1431" i="3"/>
  <c r="K1431" i="3"/>
  <c r="N1431" i="3"/>
  <c r="G1432" i="3"/>
  <c r="H1432" i="3"/>
  <c r="I1432" i="3"/>
  <c r="J1432" i="3"/>
  <c r="K1432" i="3"/>
  <c r="N1432" i="3"/>
  <c r="G1433" i="3"/>
  <c r="H1433" i="3"/>
  <c r="I1433" i="3"/>
  <c r="J1433" i="3"/>
  <c r="K1433" i="3"/>
  <c r="N1433" i="3"/>
  <c r="G1434" i="3"/>
  <c r="H1434" i="3"/>
  <c r="I1434" i="3"/>
  <c r="J1434" i="3"/>
  <c r="K1434" i="3"/>
  <c r="N1434" i="3"/>
  <c r="G1435" i="3"/>
  <c r="H1435" i="3"/>
  <c r="I1435" i="3"/>
  <c r="J1435" i="3"/>
  <c r="K1435" i="3"/>
  <c r="N1435" i="3"/>
  <c r="G1436" i="3"/>
  <c r="H1436" i="3"/>
  <c r="I1436" i="3"/>
  <c r="J1436" i="3"/>
  <c r="K1436" i="3"/>
  <c r="N1436" i="3"/>
  <c r="G1437" i="3"/>
  <c r="H1437" i="3"/>
  <c r="I1437" i="3"/>
  <c r="J1437" i="3"/>
  <c r="K1437" i="3"/>
  <c r="N1437" i="3"/>
  <c r="G1438" i="3"/>
  <c r="H1438" i="3"/>
  <c r="I1438" i="3"/>
  <c r="J1438" i="3"/>
  <c r="K1438" i="3"/>
  <c r="N1438" i="3"/>
  <c r="G1439" i="3"/>
  <c r="H1439" i="3"/>
  <c r="I1439" i="3"/>
  <c r="J1439" i="3"/>
  <c r="K1439" i="3"/>
  <c r="N1439" i="3"/>
  <c r="G1440" i="3"/>
  <c r="H1440" i="3"/>
  <c r="I1440" i="3"/>
  <c r="J1440" i="3"/>
  <c r="K1440" i="3"/>
  <c r="N1440" i="3"/>
  <c r="G1441" i="3"/>
  <c r="H1441" i="3"/>
  <c r="I1441" i="3"/>
  <c r="J1441" i="3"/>
  <c r="K1441" i="3"/>
  <c r="N1441" i="3"/>
  <c r="G1442" i="3"/>
  <c r="H1442" i="3"/>
  <c r="I1442" i="3"/>
  <c r="J1442" i="3"/>
  <c r="K1442" i="3"/>
  <c r="N1442" i="3"/>
  <c r="G1443" i="3"/>
  <c r="H1443" i="3"/>
  <c r="I1443" i="3"/>
  <c r="J1443" i="3"/>
  <c r="K1443" i="3"/>
  <c r="N1443" i="3"/>
  <c r="G1444" i="3"/>
  <c r="H1444" i="3"/>
  <c r="I1444" i="3"/>
  <c r="J1444" i="3"/>
  <c r="K1444" i="3"/>
  <c r="N1444" i="3"/>
  <c r="G1445" i="3"/>
  <c r="H1445" i="3"/>
  <c r="I1445" i="3"/>
  <c r="J1445" i="3"/>
  <c r="K1445" i="3"/>
  <c r="N1445" i="3"/>
  <c r="G1446" i="3"/>
  <c r="H1446" i="3"/>
  <c r="I1446" i="3"/>
  <c r="J1446" i="3"/>
  <c r="K1446" i="3"/>
  <c r="N1446" i="3"/>
  <c r="G1447" i="3"/>
  <c r="H1447" i="3"/>
  <c r="I1447" i="3"/>
  <c r="J1447" i="3"/>
  <c r="K1447" i="3"/>
  <c r="N1447" i="3"/>
  <c r="G1448" i="3"/>
  <c r="H1448" i="3"/>
  <c r="I1448" i="3"/>
  <c r="J1448" i="3"/>
  <c r="K1448" i="3"/>
  <c r="N1448" i="3"/>
  <c r="G1449" i="3"/>
  <c r="H1449" i="3"/>
  <c r="I1449" i="3"/>
  <c r="J1449" i="3"/>
  <c r="K1449" i="3"/>
  <c r="N1449" i="3"/>
  <c r="G1450" i="3"/>
  <c r="H1450" i="3"/>
  <c r="I1450" i="3"/>
  <c r="J1450" i="3"/>
  <c r="K1450" i="3"/>
  <c r="N1450" i="3"/>
  <c r="G1451" i="3"/>
  <c r="H1451" i="3"/>
  <c r="I1451" i="3"/>
  <c r="J1451" i="3"/>
  <c r="K1451" i="3"/>
  <c r="N1451" i="3"/>
  <c r="G1452" i="3"/>
  <c r="H1452" i="3"/>
  <c r="I1452" i="3"/>
  <c r="J1452" i="3"/>
  <c r="K1452" i="3"/>
  <c r="N1452" i="3"/>
  <c r="G1453" i="3"/>
  <c r="H1453" i="3"/>
  <c r="I1453" i="3"/>
  <c r="J1453" i="3"/>
  <c r="K1453" i="3"/>
  <c r="N1453" i="3"/>
  <c r="G1454" i="3"/>
  <c r="H1454" i="3"/>
  <c r="I1454" i="3"/>
  <c r="J1454" i="3"/>
  <c r="K1454" i="3"/>
  <c r="N1454" i="3"/>
  <c r="G1455" i="3"/>
  <c r="H1455" i="3"/>
  <c r="I1455" i="3"/>
  <c r="J1455" i="3"/>
  <c r="K1455" i="3"/>
  <c r="N1455" i="3"/>
  <c r="G1456" i="3"/>
  <c r="H1456" i="3"/>
  <c r="I1456" i="3"/>
  <c r="J1456" i="3"/>
  <c r="K1456" i="3"/>
  <c r="N1456" i="3"/>
  <c r="G1457" i="3"/>
  <c r="H1457" i="3"/>
  <c r="I1457" i="3"/>
  <c r="J1457" i="3"/>
  <c r="K1457" i="3"/>
  <c r="N1457" i="3"/>
  <c r="G1458" i="3"/>
  <c r="H1458" i="3"/>
  <c r="I1458" i="3"/>
  <c r="J1458" i="3"/>
  <c r="K1458" i="3"/>
  <c r="N1458" i="3"/>
  <c r="G1459" i="3"/>
  <c r="H1459" i="3"/>
  <c r="I1459" i="3"/>
  <c r="J1459" i="3"/>
  <c r="K1459" i="3"/>
  <c r="N1459" i="3"/>
  <c r="G1460" i="3"/>
  <c r="H1460" i="3"/>
  <c r="I1460" i="3"/>
  <c r="J1460" i="3"/>
  <c r="K1460" i="3"/>
  <c r="N1460" i="3"/>
  <c r="G1461" i="3"/>
  <c r="H1461" i="3"/>
  <c r="I1461" i="3"/>
  <c r="J1461" i="3"/>
  <c r="K1461" i="3"/>
  <c r="N1461" i="3"/>
  <c r="G1462" i="3"/>
  <c r="H1462" i="3"/>
  <c r="I1462" i="3"/>
  <c r="J1462" i="3"/>
  <c r="K1462" i="3"/>
  <c r="N1462" i="3"/>
  <c r="G1463" i="3"/>
  <c r="H1463" i="3"/>
  <c r="I1463" i="3"/>
  <c r="J1463" i="3"/>
  <c r="K1463" i="3"/>
  <c r="N1463" i="3"/>
  <c r="G1464" i="3"/>
  <c r="H1464" i="3"/>
  <c r="I1464" i="3"/>
  <c r="J1464" i="3"/>
  <c r="K1464" i="3"/>
  <c r="N1464" i="3"/>
  <c r="G1465" i="3"/>
  <c r="H1465" i="3"/>
  <c r="I1465" i="3"/>
  <c r="J1465" i="3"/>
  <c r="K1465" i="3"/>
  <c r="N1465" i="3"/>
  <c r="G1466" i="3"/>
  <c r="H1466" i="3"/>
  <c r="I1466" i="3"/>
  <c r="J1466" i="3"/>
  <c r="K1466" i="3"/>
  <c r="N1466" i="3"/>
  <c r="G1467" i="3"/>
  <c r="H1467" i="3"/>
  <c r="I1467" i="3"/>
  <c r="J1467" i="3"/>
  <c r="K1467" i="3"/>
  <c r="N1467" i="3"/>
  <c r="G1468" i="3"/>
  <c r="H1468" i="3"/>
  <c r="I1468" i="3"/>
  <c r="J1468" i="3"/>
  <c r="K1468" i="3"/>
  <c r="N1468" i="3"/>
  <c r="G1469" i="3"/>
  <c r="H1469" i="3"/>
  <c r="I1469" i="3"/>
  <c r="J1469" i="3"/>
  <c r="K1469" i="3"/>
  <c r="N1469" i="3"/>
  <c r="G1470" i="3"/>
  <c r="H1470" i="3"/>
  <c r="I1470" i="3"/>
  <c r="J1470" i="3"/>
  <c r="K1470" i="3"/>
  <c r="N1470" i="3"/>
  <c r="G1471" i="3"/>
  <c r="H1471" i="3"/>
  <c r="I1471" i="3"/>
  <c r="J1471" i="3"/>
  <c r="K1471" i="3"/>
  <c r="N1471" i="3"/>
  <c r="G1472" i="3"/>
  <c r="H1472" i="3"/>
  <c r="I1472" i="3"/>
  <c r="J1472" i="3"/>
  <c r="K1472" i="3"/>
  <c r="N1472" i="3"/>
  <c r="G1473" i="3"/>
  <c r="H1473" i="3"/>
  <c r="I1473" i="3"/>
  <c r="J1473" i="3"/>
  <c r="K1473" i="3"/>
  <c r="N1473" i="3"/>
  <c r="G1474" i="3"/>
  <c r="H1474" i="3"/>
  <c r="I1474" i="3"/>
  <c r="J1474" i="3"/>
  <c r="K1474" i="3"/>
  <c r="N1474" i="3"/>
  <c r="G1475" i="3"/>
  <c r="H1475" i="3"/>
  <c r="I1475" i="3"/>
  <c r="J1475" i="3"/>
  <c r="K1475" i="3"/>
  <c r="N1475" i="3"/>
  <c r="G1476" i="3"/>
  <c r="H1476" i="3"/>
  <c r="I1476" i="3"/>
  <c r="J1476" i="3"/>
  <c r="K1476" i="3"/>
  <c r="N1476" i="3"/>
  <c r="G1477" i="3"/>
  <c r="H1477" i="3"/>
  <c r="I1477" i="3"/>
  <c r="J1477" i="3"/>
  <c r="K1477" i="3"/>
  <c r="N1477" i="3"/>
  <c r="G1478" i="3"/>
  <c r="H1478" i="3"/>
  <c r="I1478" i="3"/>
  <c r="J1478" i="3"/>
  <c r="K1478" i="3"/>
  <c r="N1478" i="3"/>
  <c r="G1479" i="3"/>
  <c r="H1479" i="3"/>
  <c r="I1479" i="3"/>
  <c r="J1479" i="3"/>
  <c r="K1479" i="3"/>
  <c r="N1479" i="3"/>
  <c r="G1480" i="3"/>
  <c r="H1480" i="3"/>
  <c r="I1480" i="3"/>
  <c r="J1480" i="3"/>
  <c r="K1480" i="3"/>
  <c r="N1480" i="3"/>
  <c r="G1481" i="3"/>
  <c r="H1481" i="3"/>
  <c r="I1481" i="3"/>
  <c r="J1481" i="3"/>
  <c r="K1481" i="3"/>
  <c r="N1481" i="3"/>
  <c r="G1482" i="3"/>
  <c r="H1482" i="3"/>
  <c r="I1482" i="3"/>
  <c r="J1482" i="3"/>
  <c r="K1482" i="3"/>
  <c r="N1482" i="3"/>
  <c r="G1483" i="3"/>
  <c r="H1483" i="3"/>
  <c r="I1483" i="3"/>
  <c r="J1483" i="3"/>
  <c r="K1483" i="3"/>
  <c r="N1483" i="3"/>
  <c r="G1484" i="3"/>
  <c r="H1484" i="3"/>
  <c r="I1484" i="3"/>
  <c r="J1484" i="3"/>
  <c r="K1484" i="3"/>
  <c r="N1484" i="3"/>
  <c r="G1485" i="3"/>
  <c r="H1485" i="3"/>
  <c r="I1485" i="3"/>
  <c r="J1485" i="3"/>
  <c r="K1485" i="3"/>
  <c r="N1485" i="3"/>
  <c r="G1486" i="3"/>
  <c r="H1486" i="3"/>
  <c r="I1486" i="3"/>
  <c r="J1486" i="3"/>
  <c r="K1486" i="3"/>
  <c r="N1486" i="3"/>
  <c r="G1487" i="3"/>
  <c r="H1487" i="3"/>
  <c r="I1487" i="3"/>
  <c r="J1487" i="3"/>
  <c r="K1487" i="3"/>
  <c r="N1487" i="3"/>
  <c r="G1488" i="3"/>
  <c r="H1488" i="3"/>
  <c r="I1488" i="3"/>
  <c r="J1488" i="3"/>
  <c r="K1488" i="3"/>
  <c r="N1488" i="3"/>
  <c r="G1489" i="3"/>
  <c r="H1489" i="3"/>
  <c r="I1489" i="3"/>
  <c r="J1489" i="3"/>
  <c r="K1489" i="3"/>
  <c r="N1489" i="3"/>
  <c r="G1490" i="3"/>
  <c r="H1490" i="3"/>
  <c r="I1490" i="3"/>
  <c r="J1490" i="3"/>
  <c r="K1490" i="3"/>
  <c r="N1490" i="3"/>
  <c r="G1491" i="3"/>
  <c r="H1491" i="3"/>
  <c r="I1491" i="3"/>
  <c r="J1491" i="3"/>
  <c r="K1491" i="3"/>
  <c r="N1491" i="3"/>
  <c r="G1492" i="3"/>
  <c r="H1492" i="3"/>
  <c r="I1492" i="3"/>
  <c r="J1492" i="3"/>
  <c r="K1492" i="3"/>
  <c r="N1492" i="3"/>
  <c r="G1493" i="3"/>
  <c r="H1493" i="3"/>
  <c r="I1493" i="3"/>
  <c r="J1493" i="3"/>
  <c r="K1493" i="3"/>
  <c r="N1493" i="3"/>
  <c r="G1494" i="3"/>
  <c r="H1494" i="3"/>
  <c r="I1494" i="3"/>
  <c r="J1494" i="3"/>
  <c r="K1494" i="3"/>
  <c r="N1494" i="3"/>
  <c r="G1495" i="3"/>
  <c r="H1495" i="3"/>
  <c r="I1495" i="3"/>
  <c r="J1495" i="3"/>
  <c r="K1495" i="3"/>
  <c r="N1495" i="3"/>
  <c r="G1496" i="3"/>
  <c r="H1496" i="3"/>
  <c r="I1496" i="3"/>
  <c r="J1496" i="3"/>
  <c r="K1496" i="3"/>
  <c r="N1496" i="3"/>
  <c r="G1497" i="3"/>
  <c r="H1497" i="3"/>
  <c r="I1497" i="3"/>
  <c r="J1497" i="3"/>
  <c r="K1497" i="3"/>
  <c r="N1497" i="3"/>
  <c r="G1498" i="3"/>
  <c r="H1498" i="3"/>
  <c r="I1498" i="3"/>
  <c r="J1498" i="3"/>
  <c r="K1498" i="3"/>
  <c r="N1498" i="3"/>
  <c r="G1499" i="3"/>
  <c r="H1499" i="3"/>
  <c r="I1499" i="3"/>
  <c r="J1499" i="3"/>
  <c r="K1499" i="3"/>
  <c r="N1499" i="3"/>
  <c r="G1500" i="3"/>
  <c r="H1500" i="3"/>
  <c r="I1500" i="3"/>
  <c r="J1500" i="3"/>
  <c r="K1500" i="3"/>
  <c r="N1500" i="3"/>
  <c r="G1501" i="3"/>
  <c r="H1501" i="3"/>
  <c r="I1501" i="3"/>
  <c r="J1501" i="3"/>
  <c r="K1501" i="3"/>
  <c r="N1501" i="3"/>
  <c r="G1502" i="3"/>
  <c r="H1502" i="3"/>
  <c r="I1502" i="3"/>
  <c r="J1502" i="3"/>
  <c r="K1502" i="3"/>
  <c r="N1502" i="3"/>
  <c r="G1503" i="3"/>
  <c r="H1503" i="3"/>
  <c r="I1503" i="3"/>
  <c r="J1503" i="3"/>
  <c r="K1503" i="3"/>
  <c r="N1503" i="3"/>
  <c r="G1504" i="3"/>
  <c r="H1504" i="3"/>
  <c r="I1504" i="3"/>
  <c r="J1504" i="3"/>
  <c r="K1504" i="3"/>
  <c r="N1504" i="3"/>
  <c r="G1505" i="3"/>
  <c r="H1505" i="3"/>
  <c r="I1505" i="3"/>
  <c r="J1505" i="3"/>
  <c r="K1505" i="3"/>
  <c r="N1505" i="3"/>
  <c r="G1506" i="3"/>
  <c r="H1506" i="3"/>
  <c r="I1506" i="3"/>
  <c r="J1506" i="3"/>
  <c r="K1506" i="3"/>
  <c r="N1506" i="3"/>
  <c r="G1507" i="3"/>
  <c r="H1507" i="3"/>
  <c r="I1507" i="3"/>
  <c r="J1507" i="3"/>
  <c r="K1507" i="3"/>
  <c r="N1507" i="3"/>
  <c r="G1508" i="3"/>
  <c r="H1508" i="3"/>
  <c r="I1508" i="3"/>
  <c r="J1508" i="3"/>
  <c r="K1508" i="3"/>
  <c r="N1508" i="3"/>
  <c r="G1509" i="3"/>
  <c r="H1509" i="3"/>
  <c r="I1509" i="3"/>
  <c r="J1509" i="3"/>
  <c r="K1509" i="3"/>
  <c r="N1509" i="3"/>
  <c r="G1510" i="3"/>
  <c r="H1510" i="3"/>
  <c r="I1510" i="3"/>
  <c r="J1510" i="3"/>
  <c r="K1510" i="3"/>
  <c r="N1510" i="3"/>
  <c r="G1511" i="3"/>
  <c r="H1511" i="3"/>
  <c r="I1511" i="3"/>
  <c r="J1511" i="3"/>
  <c r="K1511" i="3"/>
  <c r="N1511" i="3"/>
  <c r="G1512" i="3"/>
  <c r="H1512" i="3"/>
  <c r="I1512" i="3"/>
  <c r="J1512" i="3"/>
  <c r="K1512" i="3"/>
  <c r="N1512" i="3"/>
  <c r="G1513" i="3"/>
  <c r="H1513" i="3"/>
  <c r="I1513" i="3"/>
  <c r="J1513" i="3"/>
  <c r="K1513" i="3"/>
  <c r="N1513" i="3"/>
  <c r="G1514" i="3"/>
  <c r="H1514" i="3"/>
  <c r="I1514" i="3"/>
  <c r="J1514" i="3"/>
  <c r="K1514" i="3"/>
  <c r="N1514" i="3"/>
  <c r="G1515" i="3"/>
  <c r="H1515" i="3"/>
  <c r="I1515" i="3"/>
  <c r="J1515" i="3"/>
  <c r="K1515" i="3"/>
  <c r="N1515" i="3"/>
  <c r="G1516" i="3"/>
  <c r="H1516" i="3"/>
  <c r="I1516" i="3"/>
  <c r="J1516" i="3"/>
  <c r="K1516" i="3"/>
  <c r="N1516" i="3"/>
  <c r="G1517" i="3"/>
  <c r="H1517" i="3"/>
  <c r="I1517" i="3"/>
  <c r="J1517" i="3"/>
  <c r="K1517" i="3"/>
  <c r="N1517" i="3"/>
  <c r="G1518" i="3"/>
  <c r="H1518" i="3"/>
  <c r="I1518" i="3"/>
  <c r="J1518" i="3"/>
  <c r="K1518" i="3"/>
  <c r="N1518" i="3"/>
  <c r="G1519" i="3"/>
  <c r="H1519" i="3"/>
  <c r="I1519" i="3"/>
  <c r="J1519" i="3"/>
  <c r="K1519" i="3"/>
  <c r="N1519" i="3"/>
  <c r="G1520" i="3"/>
  <c r="H1520" i="3"/>
  <c r="I1520" i="3"/>
  <c r="J1520" i="3"/>
  <c r="K1520" i="3"/>
  <c r="N1520" i="3"/>
  <c r="G1521" i="3"/>
  <c r="H1521" i="3"/>
  <c r="I1521" i="3"/>
  <c r="J1521" i="3"/>
  <c r="K1521" i="3"/>
  <c r="N1521" i="3"/>
  <c r="G1522" i="3"/>
  <c r="H1522" i="3"/>
  <c r="I1522" i="3"/>
  <c r="J1522" i="3"/>
  <c r="K1522" i="3"/>
  <c r="N1522" i="3"/>
  <c r="G1523" i="3"/>
  <c r="H1523" i="3"/>
  <c r="I1523" i="3"/>
  <c r="J1523" i="3"/>
  <c r="K1523" i="3"/>
  <c r="N1523" i="3"/>
  <c r="G1524" i="3"/>
  <c r="H1524" i="3"/>
  <c r="I1524" i="3"/>
  <c r="J1524" i="3"/>
  <c r="K1524" i="3"/>
  <c r="N1524" i="3"/>
  <c r="G1525" i="3"/>
  <c r="H1525" i="3"/>
  <c r="I1525" i="3"/>
  <c r="J1525" i="3"/>
  <c r="K1525" i="3"/>
  <c r="N1525" i="3"/>
  <c r="G1526" i="3"/>
  <c r="H1526" i="3"/>
  <c r="I1526" i="3"/>
  <c r="J1526" i="3"/>
  <c r="K1526" i="3"/>
  <c r="N1526" i="3"/>
  <c r="G1527" i="3"/>
  <c r="H1527" i="3"/>
  <c r="I1527" i="3"/>
  <c r="J1527" i="3"/>
  <c r="K1527" i="3"/>
  <c r="N1527" i="3"/>
  <c r="G1528" i="3"/>
  <c r="H1528" i="3"/>
  <c r="I1528" i="3"/>
  <c r="J1528" i="3"/>
  <c r="K1528" i="3"/>
  <c r="N1528" i="3"/>
  <c r="G1529" i="3"/>
  <c r="H1529" i="3"/>
  <c r="I1529" i="3"/>
  <c r="J1529" i="3"/>
  <c r="K1529" i="3"/>
  <c r="N1529" i="3"/>
  <c r="G1530" i="3"/>
  <c r="H1530" i="3"/>
  <c r="I1530" i="3"/>
  <c r="J1530" i="3"/>
  <c r="K1530" i="3"/>
  <c r="N1530" i="3"/>
  <c r="G1531" i="3"/>
  <c r="H1531" i="3"/>
  <c r="I1531" i="3"/>
  <c r="J1531" i="3"/>
  <c r="K1531" i="3"/>
  <c r="N1531" i="3"/>
  <c r="G1532" i="3"/>
  <c r="H1532" i="3"/>
  <c r="I1532" i="3"/>
  <c r="J1532" i="3"/>
  <c r="K1532" i="3"/>
  <c r="N1532" i="3"/>
  <c r="G1533" i="3"/>
  <c r="H1533" i="3"/>
  <c r="I1533" i="3"/>
  <c r="J1533" i="3"/>
  <c r="K1533" i="3"/>
  <c r="N1533" i="3"/>
  <c r="G1534" i="3"/>
  <c r="H1534" i="3"/>
  <c r="I1534" i="3"/>
  <c r="J1534" i="3"/>
  <c r="K1534" i="3"/>
  <c r="N1534" i="3"/>
  <c r="G1535" i="3"/>
  <c r="H1535" i="3"/>
  <c r="I1535" i="3"/>
  <c r="J1535" i="3"/>
  <c r="K1535" i="3"/>
  <c r="N1535" i="3"/>
  <c r="G1536" i="3"/>
  <c r="H1536" i="3"/>
  <c r="I1536" i="3"/>
  <c r="J1536" i="3"/>
  <c r="K1536" i="3"/>
  <c r="N1536" i="3"/>
  <c r="G1537" i="3"/>
  <c r="H1537" i="3"/>
  <c r="I1537" i="3"/>
  <c r="J1537" i="3"/>
  <c r="K1537" i="3"/>
  <c r="N1537" i="3"/>
  <c r="G1538" i="3"/>
  <c r="H1538" i="3"/>
  <c r="I1538" i="3"/>
  <c r="J1538" i="3"/>
  <c r="K1538" i="3"/>
  <c r="N1538" i="3"/>
  <c r="G1539" i="3"/>
  <c r="H1539" i="3"/>
  <c r="I1539" i="3"/>
  <c r="J1539" i="3"/>
  <c r="K1539" i="3"/>
  <c r="N1539" i="3"/>
  <c r="G1540" i="3"/>
  <c r="H1540" i="3"/>
  <c r="I1540" i="3"/>
  <c r="J1540" i="3"/>
  <c r="K1540" i="3"/>
  <c r="N1540" i="3"/>
  <c r="G1541" i="3"/>
  <c r="H1541" i="3"/>
  <c r="I1541" i="3"/>
  <c r="J1541" i="3"/>
  <c r="K1541" i="3"/>
  <c r="N1541" i="3"/>
  <c r="G1542" i="3"/>
  <c r="H1542" i="3"/>
  <c r="I1542" i="3"/>
  <c r="J1542" i="3"/>
  <c r="K1542" i="3"/>
  <c r="N1542" i="3"/>
  <c r="G1543" i="3"/>
  <c r="H1543" i="3"/>
  <c r="I1543" i="3"/>
  <c r="J1543" i="3"/>
  <c r="K1543" i="3"/>
  <c r="N1543" i="3"/>
  <c r="G1544" i="3"/>
  <c r="H1544" i="3"/>
  <c r="I1544" i="3"/>
  <c r="J1544" i="3"/>
  <c r="K1544" i="3"/>
  <c r="N1544" i="3"/>
  <c r="G1545" i="3"/>
  <c r="H1545" i="3"/>
  <c r="I1545" i="3"/>
  <c r="J1545" i="3"/>
  <c r="K1545" i="3"/>
  <c r="N1545" i="3"/>
  <c r="G1546" i="3"/>
  <c r="H1546" i="3"/>
  <c r="I1546" i="3"/>
  <c r="J1546" i="3"/>
  <c r="K1546" i="3"/>
  <c r="N1546" i="3"/>
  <c r="G1547" i="3"/>
  <c r="H1547" i="3"/>
  <c r="I1547" i="3"/>
  <c r="J1547" i="3"/>
  <c r="K1547" i="3"/>
  <c r="N1547" i="3"/>
  <c r="G1548" i="3"/>
  <c r="H1548" i="3"/>
  <c r="I1548" i="3"/>
  <c r="J1548" i="3"/>
  <c r="K1548" i="3"/>
  <c r="N1548" i="3"/>
  <c r="G1549" i="3"/>
  <c r="H1549" i="3"/>
  <c r="I1549" i="3"/>
  <c r="J1549" i="3"/>
  <c r="K1549" i="3"/>
  <c r="N1549" i="3"/>
  <c r="G1550" i="3"/>
  <c r="H1550" i="3"/>
  <c r="I1550" i="3"/>
  <c r="J1550" i="3"/>
  <c r="K1550" i="3"/>
  <c r="N1550" i="3"/>
  <c r="G1551" i="3"/>
  <c r="H1551" i="3"/>
  <c r="I1551" i="3"/>
  <c r="J1551" i="3"/>
  <c r="K1551" i="3"/>
  <c r="N1551" i="3"/>
  <c r="G1552" i="3"/>
  <c r="H1552" i="3"/>
  <c r="I1552" i="3"/>
  <c r="J1552" i="3"/>
  <c r="K1552" i="3"/>
  <c r="N1552" i="3"/>
  <c r="G1553" i="3"/>
  <c r="H1553" i="3"/>
  <c r="I1553" i="3"/>
  <c r="J1553" i="3"/>
  <c r="K1553" i="3"/>
  <c r="N1553" i="3"/>
  <c r="G1554" i="3"/>
  <c r="H1554" i="3"/>
  <c r="I1554" i="3"/>
  <c r="J1554" i="3"/>
  <c r="K1554" i="3"/>
  <c r="N1554" i="3"/>
  <c r="G1555" i="3"/>
  <c r="H1555" i="3"/>
  <c r="I1555" i="3"/>
  <c r="J1555" i="3"/>
  <c r="K1555" i="3"/>
  <c r="N1555" i="3"/>
  <c r="G1556" i="3"/>
  <c r="H1556" i="3"/>
  <c r="I1556" i="3"/>
  <c r="J1556" i="3"/>
  <c r="K1556" i="3"/>
  <c r="N1556" i="3"/>
  <c r="G1557" i="3"/>
  <c r="H1557" i="3"/>
  <c r="I1557" i="3"/>
  <c r="J1557" i="3"/>
  <c r="K1557" i="3"/>
  <c r="N1557" i="3"/>
  <c r="G1558" i="3"/>
  <c r="H1558" i="3"/>
  <c r="I1558" i="3"/>
  <c r="J1558" i="3"/>
  <c r="K1558" i="3"/>
  <c r="N1558" i="3"/>
  <c r="G1559" i="3"/>
  <c r="H1559" i="3"/>
  <c r="I1559" i="3"/>
  <c r="J1559" i="3"/>
  <c r="K1559" i="3"/>
  <c r="N1559" i="3"/>
  <c r="G1560" i="3"/>
  <c r="H1560" i="3"/>
  <c r="I1560" i="3"/>
  <c r="J1560" i="3"/>
  <c r="K1560" i="3"/>
  <c r="N1560" i="3"/>
  <c r="G1561" i="3"/>
  <c r="H1561" i="3"/>
  <c r="I1561" i="3"/>
  <c r="J1561" i="3"/>
  <c r="K1561" i="3"/>
  <c r="N1561" i="3"/>
  <c r="G1562" i="3"/>
  <c r="H1562" i="3"/>
  <c r="I1562" i="3"/>
  <c r="J1562" i="3"/>
  <c r="K1562" i="3"/>
  <c r="N1562" i="3"/>
  <c r="G1563" i="3"/>
  <c r="H1563" i="3"/>
  <c r="I1563" i="3"/>
  <c r="J1563" i="3"/>
  <c r="K1563" i="3"/>
  <c r="N1563" i="3"/>
  <c r="G1564" i="3"/>
  <c r="H1564" i="3"/>
  <c r="I1564" i="3"/>
  <c r="J1564" i="3"/>
  <c r="K1564" i="3"/>
  <c r="N1564" i="3"/>
  <c r="G1565" i="3"/>
  <c r="H1565" i="3"/>
  <c r="I1565" i="3"/>
  <c r="J1565" i="3"/>
  <c r="K1565" i="3"/>
  <c r="N1565" i="3"/>
  <c r="G1566" i="3"/>
  <c r="H1566" i="3"/>
  <c r="I1566" i="3"/>
  <c r="J1566" i="3"/>
  <c r="K1566" i="3"/>
  <c r="N1566" i="3"/>
  <c r="G1567" i="3"/>
  <c r="H1567" i="3"/>
  <c r="I1567" i="3"/>
  <c r="J1567" i="3"/>
  <c r="K1567" i="3"/>
  <c r="N1567" i="3"/>
  <c r="G1568" i="3"/>
  <c r="H1568" i="3"/>
  <c r="I1568" i="3"/>
  <c r="J1568" i="3"/>
  <c r="K1568" i="3"/>
  <c r="N1568" i="3"/>
  <c r="G1569" i="3"/>
  <c r="H1569" i="3"/>
  <c r="I1569" i="3"/>
  <c r="J1569" i="3"/>
  <c r="K1569" i="3"/>
  <c r="N1569" i="3"/>
  <c r="G1570" i="3"/>
  <c r="H1570" i="3"/>
  <c r="I1570" i="3"/>
  <c r="J1570" i="3"/>
  <c r="K1570" i="3"/>
  <c r="N1570" i="3"/>
  <c r="G1571" i="3"/>
  <c r="H1571" i="3"/>
  <c r="I1571" i="3"/>
  <c r="J1571" i="3"/>
  <c r="K1571" i="3"/>
  <c r="N1571" i="3"/>
  <c r="G1572" i="3"/>
  <c r="H1572" i="3"/>
  <c r="I1572" i="3"/>
  <c r="J1572" i="3"/>
  <c r="K1572" i="3"/>
  <c r="N1572" i="3"/>
  <c r="G1573" i="3"/>
  <c r="H1573" i="3"/>
  <c r="I1573" i="3"/>
  <c r="J1573" i="3"/>
  <c r="K1573" i="3"/>
  <c r="N1573" i="3"/>
  <c r="G1574" i="3"/>
  <c r="H1574" i="3"/>
  <c r="I1574" i="3"/>
  <c r="J1574" i="3"/>
  <c r="K1574" i="3"/>
  <c r="N1574" i="3"/>
  <c r="G1575" i="3"/>
  <c r="H1575" i="3"/>
  <c r="I1575" i="3"/>
  <c r="J1575" i="3"/>
  <c r="K1575" i="3"/>
  <c r="N1575" i="3"/>
  <c r="G1576" i="3"/>
  <c r="H1576" i="3"/>
  <c r="I1576" i="3"/>
  <c r="J1576" i="3"/>
  <c r="K1576" i="3"/>
  <c r="N1576" i="3"/>
  <c r="G1577" i="3"/>
  <c r="H1577" i="3"/>
  <c r="I1577" i="3"/>
  <c r="J1577" i="3"/>
  <c r="K1577" i="3"/>
  <c r="N1577" i="3"/>
  <c r="G1578" i="3"/>
  <c r="H1578" i="3"/>
  <c r="I1578" i="3"/>
  <c r="J1578" i="3"/>
  <c r="K1578" i="3"/>
  <c r="N1578" i="3"/>
  <c r="G1579" i="3"/>
  <c r="H1579" i="3"/>
  <c r="I1579" i="3"/>
  <c r="J1579" i="3"/>
  <c r="K1579" i="3"/>
  <c r="N1579" i="3"/>
  <c r="G1580" i="3"/>
  <c r="H1580" i="3"/>
  <c r="I1580" i="3"/>
  <c r="J1580" i="3"/>
  <c r="K1580" i="3"/>
  <c r="N1580" i="3"/>
  <c r="G1581" i="3"/>
  <c r="H1581" i="3"/>
  <c r="I1581" i="3"/>
  <c r="J1581" i="3"/>
  <c r="K1581" i="3"/>
  <c r="N1581" i="3"/>
  <c r="G1582" i="3"/>
  <c r="H1582" i="3"/>
  <c r="I1582" i="3"/>
  <c r="J1582" i="3"/>
  <c r="K1582" i="3"/>
  <c r="N1582" i="3"/>
  <c r="G1583" i="3"/>
  <c r="H1583" i="3"/>
  <c r="I1583" i="3"/>
  <c r="J1583" i="3"/>
  <c r="K1583" i="3"/>
  <c r="N1583" i="3"/>
  <c r="G1584" i="3"/>
  <c r="H1584" i="3"/>
  <c r="I1584" i="3"/>
  <c r="J1584" i="3"/>
  <c r="K1584" i="3"/>
  <c r="N1584" i="3"/>
  <c r="G1585" i="3"/>
  <c r="H1585" i="3"/>
  <c r="I1585" i="3"/>
  <c r="J1585" i="3"/>
  <c r="K1585" i="3"/>
  <c r="N1585" i="3"/>
  <c r="G1586" i="3"/>
  <c r="H1586" i="3"/>
  <c r="I1586" i="3"/>
  <c r="J1586" i="3"/>
  <c r="K1586" i="3"/>
  <c r="N1586" i="3"/>
  <c r="G1587" i="3"/>
  <c r="H1587" i="3"/>
  <c r="I1587" i="3"/>
  <c r="J1587" i="3"/>
  <c r="K1587" i="3"/>
  <c r="N1587" i="3"/>
  <c r="G1588" i="3"/>
  <c r="H1588" i="3"/>
  <c r="I1588" i="3"/>
  <c r="J1588" i="3"/>
  <c r="K1588" i="3"/>
  <c r="N1588" i="3"/>
  <c r="G1589" i="3"/>
  <c r="H1589" i="3"/>
  <c r="I1589" i="3"/>
  <c r="J1589" i="3"/>
  <c r="K1589" i="3"/>
  <c r="N1589" i="3"/>
  <c r="G1590" i="3"/>
  <c r="H1590" i="3"/>
  <c r="I1590" i="3"/>
  <c r="J1590" i="3"/>
  <c r="K1590" i="3"/>
  <c r="N1590" i="3"/>
  <c r="G1591" i="3"/>
  <c r="H1591" i="3"/>
  <c r="I1591" i="3"/>
  <c r="J1591" i="3"/>
  <c r="K1591" i="3"/>
  <c r="N1591" i="3"/>
  <c r="G1592" i="3"/>
  <c r="H1592" i="3"/>
  <c r="I1592" i="3"/>
  <c r="J1592" i="3"/>
  <c r="K1592" i="3"/>
  <c r="N1592" i="3"/>
  <c r="G1593" i="3"/>
  <c r="H1593" i="3"/>
  <c r="I1593" i="3"/>
  <c r="J1593" i="3"/>
  <c r="K1593" i="3"/>
  <c r="N1593" i="3"/>
  <c r="G1594" i="3"/>
  <c r="H1594" i="3"/>
  <c r="I1594" i="3"/>
  <c r="J1594" i="3"/>
  <c r="K1594" i="3"/>
  <c r="N1594" i="3"/>
  <c r="G1595" i="3"/>
  <c r="H1595" i="3"/>
  <c r="I1595" i="3"/>
  <c r="J1595" i="3"/>
  <c r="K1595" i="3"/>
  <c r="N1595" i="3"/>
  <c r="G1596" i="3"/>
  <c r="H1596" i="3"/>
  <c r="I1596" i="3"/>
  <c r="J1596" i="3"/>
  <c r="K1596" i="3"/>
  <c r="N1596" i="3"/>
  <c r="G1597" i="3"/>
  <c r="H1597" i="3"/>
  <c r="I1597" i="3"/>
  <c r="J1597" i="3"/>
  <c r="K1597" i="3"/>
  <c r="N1597" i="3"/>
  <c r="G1598" i="3"/>
  <c r="H1598" i="3"/>
  <c r="I1598" i="3"/>
  <c r="J1598" i="3"/>
  <c r="K1598" i="3"/>
  <c r="N1598" i="3"/>
  <c r="G1599" i="3"/>
  <c r="H1599" i="3"/>
  <c r="I1599" i="3"/>
  <c r="J1599" i="3"/>
  <c r="K1599" i="3"/>
  <c r="N1599" i="3"/>
  <c r="G1600" i="3"/>
  <c r="H1600" i="3"/>
  <c r="I1600" i="3"/>
  <c r="J1600" i="3"/>
  <c r="K1600" i="3"/>
  <c r="N1600" i="3"/>
  <c r="G1601" i="3"/>
  <c r="H1601" i="3"/>
  <c r="I1601" i="3"/>
  <c r="J1601" i="3"/>
  <c r="K1601" i="3"/>
  <c r="N1601" i="3"/>
  <c r="G1602" i="3"/>
  <c r="H1602" i="3"/>
  <c r="I1602" i="3"/>
  <c r="J1602" i="3"/>
  <c r="K1602" i="3"/>
  <c r="N1602" i="3"/>
  <c r="G1603" i="3"/>
  <c r="H1603" i="3"/>
  <c r="I1603" i="3"/>
  <c r="J1603" i="3"/>
  <c r="K1603" i="3"/>
  <c r="N1603" i="3"/>
  <c r="G1604" i="3"/>
  <c r="H1604" i="3"/>
  <c r="I1604" i="3"/>
  <c r="J1604" i="3"/>
  <c r="K1604" i="3"/>
  <c r="N1604" i="3"/>
  <c r="G1605" i="3"/>
  <c r="H1605" i="3"/>
  <c r="I1605" i="3"/>
  <c r="J1605" i="3"/>
  <c r="K1605" i="3"/>
  <c r="N1605" i="3"/>
  <c r="G1606" i="3"/>
  <c r="H1606" i="3"/>
  <c r="I1606" i="3"/>
  <c r="J1606" i="3"/>
  <c r="K1606" i="3"/>
  <c r="N1606" i="3"/>
  <c r="G1607" i="3"/>
  <c r="H1607" i="3"/>
  <c r="I1607" i="3"/>
  <c r="J1607" i="3"/>
  <c r="K1607" i="3"/>
  <c r="N1607" i="3"/>
  <c r="G1608" i="3"/>
  <c r="H1608" i="3"/>
  <c r="I1608" i="3"/>
  <c r="J1608" i="3"/>
  <c r="K1608" i="3"/>
  <c r="N1608" i="3"/>
  <c r="G1609" i="3"/>
  <c r="H1609" i="3"/>
  <c r="I1609" i="3"/>
  <c r="J1609" i="3"/>
  <c r="K1609" i="3"/>
  <c r="N1609" i="3"/>
  <c r="G1610" i="3"/>
  <c r="H1610" i="3"/>
  <c r="I1610" i="3"/>
  <c r="J1610" i="3"/>
  <c r="K1610" i="3"/>
  <c r="N1610" i="3"/>
  <c r="G1611" i="3"/>
  <c r="H1611" i="3"/>
  <c r="I1611" i="3"/>
  <c r="J1611" i="3"/>
  <c r="K1611" i="3"/>
  <c r="N1611" i="3"/>
  <c r="G1612" i="3"/>
  <c r="H1612" i="3"/>
  <c r="I1612" i="3"/>
  <c r="J1612" i="3"/>
  <c r="K1612" i="3"/>
  <c r="N1612" i="3"/>
  <c r="G1613" i="3"/>
  <c r="H1613" i="3"/>
  <c r="I1613" i="3"/>
  <c r="J1613" i="3"/>
  <c r="K1613" i="3"/>
  <c r="N1613" i="3"/>
  <c r="G1614" i="3"/>
  <c r="H1614" i="3"/>
  <c r="I1614" i="3"/>
  <c r="J1614" i="3"/>
  <c r="K1614" i="3"/>
  <c r="N1614" i="3"/>
  <c r="G1615" i="3"/>
  <c r="H1615" i="3"/>
  <c r="I1615" i="3"/>
  <c r="J1615" i="3"/>
  <c r="K1615" i="3"/>
  <c r="N1615" i="3"/>
  <c r="G1616" i="3"/>
  <c r="H1616" i="3"/>
  <c r="I1616" i="3"/>
  <c r="J1616" i="3"/>
  <c r="K1616" i="3"/>
  <c r="N1616" i="3"/>
  <c r="G1617" i="3"/>
  <c r="H1617" i="3"/>
  <c r="I1617" i="3"/>
  <c r="J1617" i="3"/>
  <c r="K1617" i="3"/>
  <c r="N1617" i="3"/>
  <c r="G1618" i="3"/>
  <c r="H1618" i="3"/>
  <c r="I1618" i="3"/>
  <c r="J1618" i="3"/>
  <c r="K1618" i="3"/>
  <c r="N1618" i="3"/>
  <c r="G1619" i="3"/>
  <c r="H1619" i="3"/>
  <c r="I1619" i="3"/>
  <c r="J1619" i="3"/>
  <c r="K1619" i="3"/>
  <c r="N1619" i="3"/>
  <c r="G1620" i="3"/>
  <c r="H1620" i="3"/>
  <c r="I1620" i="3"/>
  <c r="J1620" i="3"/>
  <c r="K1620" i="3"/>
  <c r="N1620" i="3"/>
  <c r="G1621" i="3"/>
  <c r="H1621" i="3"/>
  <c r="I1621" i="3"/>
  <c r="J1621" i="3"/>
  <c r="K1621" i="3"/>
  <c r="N1621" i="3"/>
  <c r="G1622" i="3"/>
  <c r="H1622" i="3"/>
  <c r="I1622" i="3"/>
  <c r="J1622" i="3"/>
  <c r="K1622" i="3"/>
  <c r="N1622" i="3"/>
  <c r="G1623" i="3"/>
  <c r="H1623" i="3"/>
  <c r="I1623" i="3"/>
  <c r="J1623" i="3"/>
  <c r="K1623" i="3"/>
  <c r="N1623" i="3"/>
  <c r="G1624" i="3"/>
  <c r="H1624" i="3"/>
  <c r="I1624" i="3"/>
  <c r="J1624" i="3"/>
  <c r="K1624" i="3"/>
  <c r="N1624" i="3"/>
  <c r="G1625" i="3"/>
  <c r="H1625" i="3"/>
  <c r="I1625" i="3"/>
  <c r="J1625" i="3"/>
  <c r="K1625" i="3"/>
  <c r="N1625" i="3"/>
  <c r="G1626" i="3"/>
  <c r="H1626" i="3"/>
  <c r="I1626" i="3"/>
  <c r="J1626" i="3"/>
  <c r="K1626" i="3"/>
  <c r="N1626" i="3"/>
  <c r="G1627" i="3"/>
  <c r="H1627" i="3"/>
  <c r="I1627" i="3"/>
  <c r="J1627" i="3"/>
  <c r="K1627" i="3"/>
  <c r="N1627" i="3"/>
  <c r="G1628" i="3"/>
  <c r="H1628" i="3"/>
  <c r="I1628" i="3"/>
  <c r="J1628" i="3"/>
  <c r="K1628" i="3"/>
  <c r="N1628" i="3"/>
  <c r="G1629" i="3"/>
  <c r="H1629" i="3"/>
  <c r="I1629" i="3"/>
  <c r="J1629" i="3"/>
  <c r="K1629" i="3"/>
  <c r="N1629" i="3"/>
  <c r="G1630" i="3"/>
  <c r="H1630" i="3"/>
  <c r="I1630" i="3"/>
  <c r="J1630" i="3"/>
  <c r="K1630" i="3"/>
  <c r="N1630" i="3"/>
  <c r="G1631" i="3"/>
  <c r="H1631" i="3"/>
  <c r="I1631" i="3"/>
  <c r="J1631" i="3"/>
  <c r="K1631" i="3"/>
  <c r="N1631" i="3"/>
  <c r="G1632" i="3"/>
  <c r="H1632" i="3"/>
  <c r="I1632" i="3"/>
  <c r="J1632" i="3"/>
  <c r="K1632" i="3"/>
  <c r="N1632" i="3"/>
  <c r="G1633" i="3"/>
  <c r="H1633" i="3"/>
  <c r="I1633" i="3"/>
  <c r="J1633" i="3"/>
  <c r="K1633" i="3"/>
  <c r="N1633" i="3"/>
  <c r="G1634" i="3"/>
  <c r="H1634" i="3"/>
  <c r="I1634" i="3"/>
  <c r="J1634" i="3"/>
  <c r="K1634" i="3"/>
  <c r="N1634" i="3"/>
  <c r="G1635" i="3"/>
  <c r="H1635" i="3"/>
  <c r="I1635" i="3"/>
  <c r="J1635" i="3"/>
  <c r="K1635" i="3"/>
  <c r="N1635" i="3"/>
  <c r="G1636" i="3"/>
  <c r="H1636" i="3"/>
  <c r="I1636" i="3"/>
  <c r="J1636" i="3"/>
  <c r="K1636" i="3"/>
  <c r="N1636" i="3"/>
  <c r="G1637" i="3"/>
  <c r="H1637" i="3"/>
  <c r="I1637" i="3"/>
  <c r="J1637" i="3"/>
  <c r="K1637" i="3"/>
  <c r="N1637" i="3"/>
  <c r="G1638" i="3"/>
  <c r="H1638" i="3"/>
  <c r="I1638" i="3"/>
  <c r="J1638" i="3"/>
  <c r="K1638" i="3"/>
  <c r="N1638" i="3"/>
  <c r="G1639" i="3"/>
  <c r="H1639" i="3"/>
  <c r="I1639" i="3"/>
  <c r="J1639" i="3"/>
  <c r="K1639" i="3"/>
  <c r="N1639" i="3"/>
  <c r="G1640" i="3"/>
  <c r="H1640" i="3"/>
  <c r="I1640" i="3"/>
  <c r="J1640" i="3"/>
  <c r="K1640" i="3"/>
  <c r="N1640" i="3"/>
  <c r="G1641" i="3"/>
  <c r="H1641" i="3"/>
  <c r="I1641" i="3"/>
  <c r="J1641" i="3"/>
  <c r="K1641" i="3"/>
  <c r="N1641" i="3"/>
  <c r="G1642" i="3"/>
  <c r="H1642" i="3"/>
  <c r="I1642" i="3"/>
  <c r="J1642" i="3"/>
  <c r="K1642" i="3"/>
  <c r="N1642" i="3"/>
  <c r="G1643" i="3"/>
  <c r="H1643" i="3"/>
  <c r="I1643" i="3"/>
  <c r="J1643" i="3"/>
  <c r="K1643" i="3"/>
  <c r="N1643" i="3"/>
  <c r="G1644" i="3"/>
  <c r="H1644" i="3"/>
  <c r="I1644" i="3"/>
  <c r="J1644" i="3"/>
  <c r="K1644" i="3"/>
  <c r="N1644" i="3"/>
  <c r="G1645" i="3"/>
  <c r="H1645" i="3"/>
  <c r="I1645" i="3"/>
  <c r="J1645" i="3"/>
  <c r="K1645" i="3"/>
  <c r="N1645" i="3"/>
  <c r="G1646" i="3"/>
  <c r="H1646" i="3"/>
  <c r="I1646" i="3"/>
  <c r="J1646" i="3"/>
  <c r="K1646" i="3"/>
  <c r="N1646" i="3"/>
  <c r="G1647" i="3"/>
  <c r="H1647" i="3"/>
  <c r="I1647" i="3"/>
  <c r="J1647" i="3"/>
  <c r="K1647" i="3"/>
  <c r="N1647" i="3"/>
  <c r="G1648" i="3"/>
  <c r="H1648" i="3"/>
  <c r="I1648" i="3"/>
  <c r="J1648" i="3"/>
  <c r="K1648" i="3"/>
  <c r="N1648" i="3"/>
  <c r="G1649" i="3"/>
  <c r="H1649" i="3"/>
  <c r="I1649" i="3"/>
  <c r="J1649" i="3"/>
  <c r="K1649" i="3"/>
  <c r="N1649" i="3"/>
  <c r="G1650" i="3"/>
  <c r="H1650" i="3"/>
  <c r="I1650" i="3"/>
  <c r="J1650" i="3"/>
  <c r="K1650" i="3"/>
  <c r="N1650" i="3"/>
  <c r="G1651" i="3"/>
  <c r="H1651" i="3"/>
  <c r="I1651" i="3"/>
  <c r="J1651" i="3"/>
  <c r="K1651" i="3"/>
  <c r="N1651" i="3"/>
  <c r="G1652" i="3"/>
  <c r="H1652" i="3"/>
  <c r="I1652" i="3"/>
  <c r="J1652" i="3"/>
  <c r="K1652" i="3"/>
  <c r="N1652" i="3"/>
  <c r="G1653" i="3"/>
  <c r="H1653" i="3"/>
  <c r="I1653" i="3"/>
  <c r="J1653" i="3"/>
  <c r="K1653" i="3"/>
  <c r="N1653" i="3"/>
  <c r="G1654" i="3"/>
  <c r="H1654" i="3"/>
  <c r="I1654" i="3"/>
  <c r="J1654" i="3"/>
  <c r="K1654" i="3"/>
  <c r="N1654" i="3"/>
  <c r="G1655" i="3"/>
  <c r="H1655" i="3"/>
  <c r="I1655" i="3"/>
  <c r="J1655" i="3"/>
  <c r="K1655" i="3"/>
  <c r="N1655" i="3"/>
  <c r="G1656" i="3"/>
  <c r="H1656" i="3"/>
  <c r="I1656" i="3"/>
  <c r="J1656" i="3"/>
  <c r="K1656" i="3"/>
  <c r="N1656" i="3"/>
  <c r="G1657" i="3"/>
  <c r="H1657" i="3"/>
  <c r="I1657" i="3"/>
  <c r="J1657" i="3"/>
  <c r="K1657" i="3"/>
  <c r="N1657" i="3"/>
  <c r="G1658" i="3"/>
  <c r="H1658" i="3"/>
  <c r="I1658" i="3"/>
  <c r="J1658" i="3"/>
  <c r="K1658" i="3"/>
  <c r="N1658" i="3"/>
  <c r="G1659" i="3"/>
  <c r="H1659" i="3"/>
  <c r="I1659" i="3"/>
  <c r="J1659" i="3"/>
  <c r="K1659" i="3"/>
  <c r="N1659" i="3"/>
  <c r="G1660" i="3"/>
  <c r="H1660" i="3"/>
  <c r="I1660" i="3"/>
  <c r="J1660" i="3"/>
  <c r="K1660" i="3"/>
  <c r="N1660" i="3"/>
  <c r="G1661" i="3"/>
  <c r="H1661" i="3"/>
  <c r="I1661" i="3"/>
  <c r="J1661" i="3"/>
  <c r="K1661" i="3"/>
  <c r="N1661" i="3"/>
  <c r="G1662" i="3"/>
  <c r="H1662" i="3"/>
  <c r="I1662" i="3"/>
  <c r="J1662" i="3"/>
  <c r="K1662" i="3"/>
  <c r="N1662" i="3"/>
  <c r="G1663" i="3"/>
  <c r="H1663" i="3"/>
  <c r="I1663" i="3"/>
  <c r="J1663" i="3"/>
  <c r="K1663" i="3"/>
  <c r="N1663" i="3"/>
  <c r="G1664" i="3"/>
  <c r="H1664" i="3"/>
  <c r="I1664" i="3"/>
  <c r="J1664" i="3"/>
  <c r="K1664" i="3"/>
  <c r="N1664" i="3"/>
  <c r="G1665" i="3"/>
  <c r="H1665" i="3"/>
  <c r="I1665" i="3"/>
  <c r="J1665" i="3"/>
  <c r="K1665" i="3"/>
  <c r="N1665" i="3"/>
  <c r="G1666" i="3"/>
  <c r="H1666" i="3"/>
  <c r="I1666" i="3"/>
  <c r="J1666" i="3"/>
  <c r="K1666" i="3"/>
  <c r="N1666" i="3"/>
  <c r="G1667" i="3"/>
  <c r="H1667" i="3"/>
  <c r="I1667" i="3"/>
  <c r="J1667" i="3"/>
  <c r="K1667" i="3"/>
  <c r="N1667" i="3"/>
  <c r="G1668" i="3"/>
  <c r="H1668" i="3"/>
  <c r="I1668" i="3"/>
  <c r="J1668" i="3"/>
  <c r="K1668" i="3"/>
  <c r="N1668" i="3"/>
  <c r="G1669" i="3"/>
  <c r="H1669" i="3"/>
  <c r="I1669" i="3"/>
  <c r="J1669" i="3"/>
  <c r="K1669" i="3"/>
  <c r="N1669" i="3"/>
  <c r="G1670" i="3"/>
  <c r="H1670" i="3"/>
  <c r="I1670" i="3"/>
  <c r="J1670" i="3"/>
  <c r="K1670" i="3"/>
  <c r="N1670" i="3"/>
  <c r="G1671" i="3"/>
  <c r="H1671" i="3"/>
  <c r="I1671" i="3"/>
  <c r="J1671" i="3"/>
  <c r="K1671" i="3"/>
  <c r="N1671" i="3"/>
  <c r="G1672" i="3"/>
  <c r="H1672" i="3"/>
  <c r="I1672" i="3"/>
  <c r="J1672" i="3"/>
  <c r="K1672" i="3"/>
  <c r="N1672" i="3"/>
  <c r="G1673" i="3"/>
  <c r="H1673" i="3"/>
  <c r="I1673" i="3"/>
  <c r="J1673" i="3"/>
  <c r="K1673" i="3"/>
  <c r="N1673" i="3"/>
  <c r="G1674" i="3"/>
  <c r="H1674" i="3"/>
  <c r="I1674" i="3"/>
  <c r="J1674" i="3"/>
  <c r="K1674" i="3"/>
  <c r="N1674" i="3"/>
  <c r="G1675" i="3"/>
  <c r="H1675" i="3"/>
  <c r="I1675" i="3"/>
  <c r="J1675" i="3"/>
  <c r="K1675" i="3"/>
  <c r="N1675" i="3"/>
  <c r="G1676" i="3"/>
  <c r="H1676" i="3"/>
  <c r="I1676" i="3"/>
  <c r="J1676" i="3"/>
  <c r="K1676" i="3"/>
  <c r="N1676" i="3"/>
  <c r="G1677" i="3"/>
  <c r="H1677" i="3"/>
  <c r="I1677" i="3"/>
  <c r="J1677" i="3"/>
  <c r="K1677" i="3"/>
  <c r="N1677" i="3"/>
  <c r="G1678" i="3"/>
  <c r="H1678" i="3"/>
  <c r="I1678" i="3"/>
  <c r="J1678" i="3"/>
  <c r="K1678" i="3"/>
  <c r="N1678" i="3"/>
  <c r="G1679" i="3"/>
  <c r="H1679" i="3"/>
  <c r="I1679" i="3"/>
  <c r="J1679" i="3"/>
  <c r="K1679" i="3"/>
  <c r="N1679" i="3"/>
  <c r="G1680" i="3"/>
  <c r="H1680" i="3"/>
  <c r="I1680" i="3"/>
  <c r="J1680" i="3"/>
  <c r="K1680" i="3"/>
  <c r="N1680" i="3"/>
  <c r="G1681" i="3"/>
  <c r="H1681" i="3"/>
  <c r="I1681" i="3"/>
  <c r="J1681" i="3"/>
  <c r="K1681" i="3"/>
  <c r="N1681" i="3"/>
  <c r="G1682" i="3"/>
  <c r="H1682" i="3"/>
  <c r="I1682" i="3"/>
  <c r="J1682" i="3"/>
  <c r="K1682" i="3"/>
  <c r="N1682" i="3"/>
  <c r="G1683" i="3"/>
  <c r="H1683" i="3"/>
  <c r="I1683" i="3"/>
  <c r="J1683" i="3"/>
  <c r="K1683" i="3"/>
  <c r="N1683" i="3"/>
  <c r="G1684" i="3"/>
  <c r="H1684" i="3"/>
  <c r="I1684" i="3"/>
  <c r="J1684" i="3"/>
  <c r="K1684" i="3"/>
  <c r="N1684" i="3"/>
  <c r="G1685" i="3"/>
  <c r="H1685" i="3"/>
  <c r="I1685" i="3"/>
  <c r="J1685" i="3"/>
  <c r="K1685" i="3"/>
  <c r="N1685" i="3"/>
  <c r="G1686" i="3"/>
  <c r="H1686" i="3"/>
  <c r="I1686" i="3"/>
  <c r="J1686" i="3"/>
  <c r="K1686" i="3"/>
  <c r="N1686" i="3"/>
  <c r="G1687" i="3"/>
  <c r="H1687" i="3"/>
  <c r="I1687" i="3"/>
  <c r="J1687" i="3"/>
  <c r="K1687" i="3"/>
  <c r="N1687" i="3"/>
  <c r="G1688" i="3"/>
  <c r="H1688" i="3"/>
  <c r="I1688" i="3"/>
  <c r="J1688" i="3"/>
  <c r="K1688" i="3"/>
  <c r="N1688" i="3"/>
  <c r="G1689" i="3"/>
  <c r="H1689" i="3"/>
  <c r="I1689" i="3"/>
  <c r="J1689" i="3"/>
  <c r="K1689" i="3"/>
  <c r="N1689" i="3"/>
  <c r="G1690" i="3"/>
  <c r="H1690" i="3"/>
  <c r="I1690" i="3"/>
  <c r="J1690" i="3"/>
  <c r="K1690" i="3"/>
  <c r="N1690" i="3"/>
  <c r="G1691" i="3"/>
  <c r="H1691" i="3"/>
  <c r="I1691" i="3"/>
  <c r="J1691" i="3"/>
  <c r="K1691" i="3"/>
  <c r="N1691" i="3"/>
  <c r="G1692" i="3"/>
  <c r="H1692" i="3"/>
  <c r="I1692" i="3"/>
  <c r="J1692" i="3"/>
  <c r="K1692" i="3"/>
  <c r="N1692" i="3"/>
  <c r="G1693" i="3"/>
  <c r="H1693" i="3"/>
  <c r="I1693" i="3"/>
  <c r="J1693" i="3"/>
  <c r="K1693" i="3"/>
  <c r="N1693" i="3"/>
  <c r="G1694" i="3"/>
  <c r="H1694" i="3"/>
  <c r="I1694" i="3"/>
  <c r="J1694" i="3"/>
  <c r="K1694" i="3"/>
  <c r="N1694" i="3"/>
  <c r="G1695" i="3"/>
  <c r="H1695" i="3"/>
  <c r="I1695" i="3"/>
  <c r="J1695" i="3"/>
  <c r="K1695" i="3"/>
  <c r="N1695" i="3"/>
  <c r="G1696" i="3"/>
  <c r="H1696" i="3"/>
  <c r="I1696" i="3"/>
  <c r="J1696" i="3"/>
  <c r="K1696" i="3"/>
  <c r="N1696" i="3"/>
  <c r="G1697" i="3"/>
  <c r="H1697" i="3"/>
  <c r="I1697" i="3"/>
  <c r="J1697" i="3"/>
  <c r="K1697" i="3"/>
  <c r="N1697" i="3"/>
  <c r="G1698" i="3"/>
  <c r="H1698" i="3"/>
  <c r="I1698" i="3"/>
  <c r="J1698" i="3"/>
  <c r="K1698" i="3"/>
  <c r="N1698" i="3"/>
  <c r="G1699" i="3"/>
  <c r="H1699" i="3"/>
  <c r="I1699" i="3"/>
  <c r="J1699" i="3"/>
  <c r="K1699" i="3"/>
  <c r="N1699" i="3"/>
  <c r="G1700" i="3"/>
  <c r="H1700" i="3"/>
  <c r="I1700" i="3"/>
  <c r="J1700" i="3"/>
  <c r="K1700" i="3"/>
  <c r="N1700" i="3"/>
  <c r="G1701" i="3"/>
  <c r="H1701" i="3"/>
  <c r="I1701" i="3"/>
  <c r="J1701" i="3"/>
  <c r="K1701" i="3"/>
  <c r="N1701" i="3"/>
  <c r="G1702" i="3"/>
  <c r="H1702" i="3"/>
  <c r="I1702" i="3"/>
  <c r="J1702" i="3"/>
  <c r="K1702" i="3"/>
  <c r="N1702" i="3"/>
  <c r="G1703" i="3"/>
  <c r="H1703" i="3"/>
  <c r="I1703" i="3"/>
  <c r="J1703" i="3"/>
  <c r="K1703" i="3"/>
  <c r="N1703" i="3"/>
  <c r="G1704" i="3"/>
  <c r="H1704" i="3"/>
  <c r="I1704" i="3"/>
  <c r="J1704" i="3"/>
  <c r="K1704" i="3"/>
  <c r="N1704" i="3"/>
  <c r="G1705" i="3"/>
  <c r="H1705" i="3"/>
  <c r="I1705" i="3"/>
  <c r="J1705" i="3"/>
  <c r="K1705" i="3"/>
  <c r="N1705" i="3"/>
  <c r="G1706" i="3"/>
  <c r="H1706" i="3"/>
  <c r="I1706" i="3"/>
  <c r="J1706" i="3"/>
  <c r="K1706" i="3"/>
  <c r="N1706" i="3"/>
  <c r="G1707" i="3"/>
  <c r="H1707" i="3"/>
  <c r="I1707" i="3"/>
  <c r="J1707" i="3"/>
  <c r="K1707" i="3"/>
  <c r="N1707" i="3"/>
  <c r="G1708" i="3"/>
  <c r="H1708" i="3"/>
  <c r="I1708" i="3"/>
  <c r="J1708" i="3"/>
  <c r="K1708" i="3"/>
  <c r="N1708" i="3"/>
  <c r="G1709" i="3"/>
  <c r="H1709" i="3"/>
  <c r="I1709" i="3"/>
  <c r="J1709" i="3"/>
  <c r="K1709" i="3"/>
  <c r="N1709" i="3"/>
  <c r="G1710" i="3"/>
  <c r="H1710" i="3"/>
  <c r="I1710" i="3"/>
  <c r="J1710" i="3"/>
  <c r="K1710" i="3"/>
  <c r="N1710" i="3"/>
  <c r="G1711" i="3"/>
  <c r="H1711" i="3"/>
  <c r="I1711" i="3"/>
  <c r="J1711" i="3"/>
  <c r="K1711" i="3"/>
  <c r="N1711" i="3"/>
  <c r="G1712" i="3"/>
  <c r="H1712" i="3"/>
  <c r="I1712" i="3"/>
  <c r="J1712" i="3"/>
  <c r="K1712" i="3"/>
  <c r="N1712" i="3"/>
  <c r="G1713" i="3"/>
  <c r="H1713" i="3"/>
  <c r="I1713" i="3"/>
  <c r="J1713" i="3"/>
  <c r="K1713" i="3"/>
  <c r="N1713" i="3"/>
  <c r="G1714" i="3"/>
  <c r="H1714" i="3"/>
  <c r="I1714" i="3"/>
  <c r="J1714" i="3"/>
  <c r="K1714" i="3"/>
  <c r="N1714" i="3"/>
  <c r="G1715" i="3"/>
  <c r="H1715" i="3"/>
  <c r="I1715" i="3"/>
  <c r="J1715" i="3"/>
  <c r="K1715" i="3"/>
  <c r="N1715" i="3"/>
  <c r="G1716" i="3"/>
  <c r="H1716" i="3"/>
  <c r="I1716" i="3"/>
  <c r="J1716" i="3"/>
  <c r="K1716" i="3"/>
  <c r="N1716" i="3"/>
  <c r="G1717" i="3"/>
  <c r="H1717" i="3"/>
  <c r="I1717" i="3"/>
  <c r="J1717" i="3"/>
  <c r="K1717" i="3"/>
  <c r="N1717" i="3"/>
  <c r="G1718" i="3"/>
  <c r="H1718" i="3"/>
  <c r="I1718" i="3"/>
  <c r="J1718" i="3"/>
  <c r="K1718" i="3"/>
  <c r="N1718" i="3"/>
  <c r="G1719" i="3"/>
  <c r="H1719" i="3"/>
  <c r="I1719" i="3"/>
  <c r="J1719" i="3"/>
  <c r="K1719" i="3"/>
  <c r="N1719" i="3"/>
  <c r="G1720" i="3"/>
  <c r="H1720" i="3"/>
  <c r="I1720" i="3"/>
  <c r="J1720" i="3"/>
  <c r="K1720" i="3"/>
  <c r="N1720" i="3"/>
  <c r="G1721" i="3"/>
  <c r="H1721" i="3"/>
  <c r="I1721" i="3"/>
  <c r="J1721" i="3"/>
  <c r="K1721" i="3"/>
  <c r="N1721" i="3"/>
  <c r="G1722" i="3"/>
  <c r="H1722" i="3"/>
  <c r="I1722" i="3"/>
  <c r="J1722" i="3"/>
  <c r="K1722" i="3"/>
  <c r="N1722" i="3"/>
  <c r="G1723" i="3"/>
  <c r="H1723" i="3"/>
  <c r="I1723" i="3"/>
  <c r="J1723" i="3"/>
  <c r="K1723" i="3"/>
  <c r="N1723" i="3"/>
  <c r="G1724" i="3"/>
  <c r="H1724" i="3"/>
  <c r="I1724" i="3"/>
  <c r="J1724" i="3"/>
  <c r="K1724" i="3"/>
  <c r="N1724" i="3"/>
  <c r="G1725" i="3"/>
  <c r="H1725" i="3"/>
  <c r="I1725" i="3"/>
  <c r="J1725" i="3"/>
  <c r="K1725" i="3"/>
  <c r="N1725" i="3"/>
  <c r="G1726" i="3"/>
  <c r="H1726" i="3"/>
  <c r="I1726" i="3"/>
  <c r="J1726" i="3"/>
  <c r="K1726" i="3"/>
  <c r="N1726" i="3"/>
  <c r="G1727" i="3"/>
  <c r="H1727" i="3"/>
  <c r="I1727" i="3"/>
  <c r="J1727" i="3"/>
  <c r="K1727" i="3"/>
  <c r="N1727" i="3"/>
  <c r="G1728" i="3"/>
  <c r="H1728" i="3"/>
  <c r="I1728" i="3"/>
  <c r="J1728" i="3"/>
  <c r="K1728" i="3"/>
  <c r="N1728" i="3"/>
  <c r="G1729" i="3"/>
  <c r="H1729" i="3"/>
  <c r="I1729" i="3"/>
  <c r="J1729" i="3"/>
  <c r="K1729" i="3"/>
  <c r="N1729" i="3"/>
  <c r="G1730" i="3"/>
  <c r="H1730" i="3"/>
  <c r="I1730" i="3"/>
  <c r="J1730" i="3"/>
  <c r="K1730" i="3"/>
  <c r="N1730" i="3"/>
  <c r="G1731" i="3"/>
  <c r="H1731" i="3"/>
  <c r="I1731" i="3"/>
  <c r="J1731" i="3"/>
  <c r="K1731" i="3"/>
  <c r="N1731" i="3"/>
  <c r="G1732" i="3"/>
  <c r="H1732" i="3"/>
  <c r="I1732" i="3"/>
  <c r="J1732" i="3"/>
  <c r="K1732" i="3"/>
  <c r="N1732" i="3"/>
  <c r="G1733" i="3"/>
  <c r="H1733" i="3"/>
  <c r="I1733" i="3"/>
  <c r="J1733" i="3"/>
  <c r="K1733" i="3"/>
  <c r="N1733" i="3"/>
  <c r="G1734" i="3"/>
  <c r="H1734" i="3"/>
  <c r="I1734" i="3"/>
  <c r="J1734" i="3"/>
  <c r="K1734" i="3"/>
  <c r="N1734" i="3"/>
  <c r="G1735" i="3"/>
  <c r="H1735" i="3"/>
  <c r="I1735" i="3"/>
  <c r="J1735" i="3"/>
  <c r="K1735" i="3"/>
  <c r="N1735" i="3"/>
  <c r="G1736" i="3"/>
  <c r="H1736" i="3"/>
  <c r="I1736" i="3"/>
  <c r="J1736" i="3"/>
  <c r="K1736" i="3"/>
  <c r="N1736" i="3"/>
  <c r="G1737" i="3"/>
  <c r="H1737" i="3"/>
  <c r="I1737" i="3"/>
  <c r="J1737" i="3"/>
  <c r="K1737" i="3"/>
  <c r="N1737" i="3"/>
  <c r="G1738" i="3"/>
  <c r="H1738" i="3"/>
  <c r="I1738" i="3"/>
  <c r="J1738" i="3"/>
  <c r="K1738" i="3"/>
  <c r="N1738" i="3"/>
  <c r="G1739" i="3"/>
  <c r="H1739" i="3"/>
  <c r="I1739" i="3"/>
  <c r="J1739" i="3"/>
  <c r="K1739" i="3"/>
  <c r="N1739" i="3"/>
  <c r="G1740" i="3"/>
  <c r="H1740" i="3"/>
  <c r="I1740" i="3"/>
  <c r="J1740" i="3"/>
  <c r="K1740" i="3"/>
  <c r="N1740" i="3"/>
  <c r="G1741" i="3"/>
  <c r="H1741" i="3"/>
  <c r="I1741" i="3"/>
  <c r="J1741" i="3"/>
  <c r="K1741" i="3"/>
  <c r="N1741" i="3"/>
  <c r="G1742" i="3"/>
  <c r="H1742" i="3"/>
  <c r="I1742" i="3"/>
  <c r="J1742" i="3"/>
  <c r="K1742" i="3"/>
  <c r="N1742" i="3"/>
  <c r="G1743" i="3"/>
  <c r="H1743" i="3"/>
  <c r="I1743" i="3"/>
  <c r="J1743" i="3"/>
  <c r="K1743" i="3"/>
  <c r="N1743" i="3"/>
  <c r="G1744" i="3"/>
  <c r="H1744" i="3"/>
  <c r="I1744" i="3"/>
  <c r="J1744" i="3"/>
  <c r="K1744" i="3"/>
  <c r="N1744" i="3"/>
  <c r="G1745" i="3"/>
  <c r="H1745" i="3"/>
  <c r="I1745" i="3"/>
  <c r="J1745" i="3"/>
  <c r="K1745" i="3"/>
  <c r="N1745" i="3"/>
  <c r="G1746" i="3"/>
  <c r="H1746" i="3"/>
  <c r="I1746" i="3"/>
  <c r="J1746" i="3"/>
  <c r="K1746" i="3"/>
  <c r="N1746" i="3"/>
  <c r="G1747" i="3"/>
  <c r="H1747" i="3"/>
  <c r="I1747" i="3"/>
  <c r="J1747" i="3"/>
  <c r="K1747" i="3"/>
  <c r="N1747" i="3"/>
  <c r="G1748" i="3"/>
  <c r="H1748" i="3"/>
  <c r="I1748" i="3"/>
  <c r="J1748" i="3"/>
  <c r="K1748" i="3"/>
  <c r="N1748" i="3"/>
  <c r="G1749" i="3"/>
  <c r="H1749" i="3"/>
  <c r="I1749" i="3"/>
  <c r="J1749" i="3"/>
  <c r="K1749" i="3"/>
  <c r="N1749" i="3"/>
  <c r="G1750" i="3"/>
  <c r="H1750" i="3"/>
  <c r="I1750" i="3"/>
  <c r="J1750" i="3"/>
  <c r="K1750" i="3"/>
  <c r="N1750" i="3"/>
  <c r="G1751" i="3"/>
  <c r="H1751" i="3"/>
  <c r="I1751" i="3"/>
  <c r="J1751" i="3"/>
  <c r="K1751" i="3"/>
  <c r="N1751" i="3"/>
  <c r="G1752" i="3"/>
  <c r="H1752" i="3"/>
  <c r="I1752" i="3"/>
  <c r="J1752" i="3"/>
  <c r="K1752" i="3"/>
  <c r="N1752" i="3"/>
  <c r="G1753" i="3"/>
  <c r="H1753" i="3"/>
  <c r="I1753" i="3"/>
  <c r="J1753" i="3"/>
  <c r="K1753" i="3"/>
  <c r="N1753" i="3"/>
  <c r="G1754" i="3"/>
  <c r="H1754" i="3"/>
  <c r="I1754" i="3"/>
  <c r="J1754" i="3"/>
  <c r="K1754" i="3"/>
  <c r="N1754" i="3"/>
  <c r="G1755" i="3"/>
  <c r="H1755" i="3"/>
  <c r="I1755" i="3"/>
  <c r="J1755" i="3"/>
  <c r="K1755" i="3"/>
  <c r="N1755" i="3"/>
  <c r="G1756" i="3"/>
  <c r="H1756" i="3"/>
  <c r="I1756" i="3"/>
  <c r="J1756" i="3"/>
  <c r="K1756" i="3"/>
  <c r="N1756" i="3"/>
  <c r="G1757" i="3"/>
  <c r="H1757" i="3"/>
  <c r="I1757" i="3"/>
  <c r="J1757" i="3"/>
  <c r="K1757" i="3"/>
  <c r="N1757" i="3"/>
  <c r="G1758" i="3"/>
  <c r="H1758" i="3"/>
  <c r="I1758" i="3"/>
  <c r="J1758" i="3"/>
  <c r="K1758" i="3"/>
  <c r="N1758" i="3"/>
  <c r="G1759" i="3"/>
  <c r="H1759" i="3"/>
  <c r="I1759" i="3"/>
  <c r="J1759" i="3"/>
  <c r="K1759" i="3"/>
  <c r="N1759" i="3"/>
  <c r="G1760" i="3"/>
  <c r="H1760" i="3"/>
  <c r="I1760" i="3"/>
  <c r="J1760" i="3"/>
  <c r="K1760" i="3"/>
  <c r="N1760" i="3"/>
  <c r="G1761" i="3"/>
  <c r="H1761" i="3"/>
  <c r="I1761" i="3"/>
  <c r="J1761" i="3"/>
  <c r="K1761" i="3"/>
  <c r="N1761" i="3"/>
  <c r="G1762" i="3"/>
  <c r="H1762" i="3"/>
  <c r="I1762" i="3"/>
  <c r="J1762" i="3"/>
  <c r="K1762" i="3"/>
  <c r="N1762" i="3"/>
  <c r="G1763" i="3"/>
  <c r="H1763" i="3"/>
  <c r="I1763" i="3"/>
  <c r="J1763" i="3"/>
  <c r="K1763" i="3"/>
  <c r="N1763" i="3"/>
  <c r="G1764" i="3"/>
  <c r="H1764" i="3"/>
  <c r="I1764" i="3"/>
  <c r="J1764" i="3"/>
  <c r="K1764" i="3"/>
  <c r="N1764" i="3"/>
  <c r="G1765" i="3"/>
  <c r="H1765" i="3"/>
  <c r="I1765" i="3"/>
  <c r="J1765" i="3"/>
  <c r="K1765" i="3"/>
  <c r="N1765" i="3"/>
  <c r="G1766" i="3"/>
  <c r="H1766" i="3"/>
  <c r="I1766" i="3"/>
  <c r="J1766" i="3"/>
  <c r="K1766" i="3"/>
  <c r="N1766" i="3"/>
  <c r="G1767" i="3"/>
  <c r="H1767" i="3"/>
  <c r="I1767" i="3"/>
  <c r="J1767" i="3"/>
  <c r="K1767" i="3"/>
  <c r="N1767" i="3"/>
  <c r="G1768" i="3"/>
  <c r="H1768" i="3"/>
  <c r="I1768" i="3"/>
  <c r="J1768" i="3"/>
  <c r="K1768" i="3"/>
  <c r="N1768" i="3"/>
  <c r="G1769" i="3"/>
  <c r="H1769" i="3"/>
  <c r="I1769" i="3"/>
  <c r="J1769" i="3"/>
  <c r="K1769" i="3"/>
  <c r="N1769" i="3"/>
  <c r="G1770" i="3"/>
  <c r="H1770" i="3"/>
  <c r="I1770" i="3"/>
  <c r="J1770" i="3"/>
  <c r="K1770" i="3"/>
  <c r="N1770" i="3"/>
  <c r="G1771" i="3"/>
  <c r="H1771" i="3"/>
  <c r="I1771" i="3"/>
  <c r="J1771" i="3"/>
  <c r="K1771" i="3"/>
  <c r="N1771" i="3"/>
  <c r="G1772" i="3"/>
  <c r="H1772" i="3"/>
  <c r="I1772" i="3"/>
  <c r="J1772" i="3"/>
  <c r="K1772" i="3"/>
  <c r="N1772" i="3"/>
  <c r="G1773" i="3"/>
  <c r="H1773" i="3"/>
  <c r="I1773" i="3"/>
  <c r="J1773" i="3"/>
  <c r="K1773" i="3"/>
  <c r="N1773" i="3"/>
  <c r="G1774" i="3"/>
  <c r="H1774" i="3"/>
  <c r="I1774" i="3"/>
  <c r="J1774" i="3"/>
  <c r="K1774" i="3"/>
  <c r="N1774" i="3"/>
  <c r="G1775" i="3"/>
  <c r="H1775" i="3"/>
  <c r="I1775" i="3"/>
  <c r="J1775" i="3"/>
  <c r="K1775" i="3"/>
  <c r="N1775" i="3"/>
  <c r="G1776" i="3"/>
  <c r="H1776" i="3"/>
  <c r="I1776" i="3"/>
  <c r="J1776" i="3"/>
  <c r="K1776" i="3"/>
  <c r="N1776" i="3"/>
  <c r="G1777" i="3"/>
  <c r="H1777" i="3"/>
  <c r="I1777" i="3"/>
  <c r="J1777" i="3"/>
  <c r="K1777" i="3"/>
  <c r="N1777" i="3"/>
  <c r="G1778" i="3"/>
  <c r="H1778" i="3"/>
  <c r="I1778" i="3"/>
  <c r="J1778" i="3"/>
  <c r="K1778" i="3"/>
  <c r="N1778" i="3"/>
  <c r="G1779" i="3"/>
  <c r="H1779" i="3"/>
  <c r="I1779" i="3"/>
  <c r="J1779" i="3"/>
  <c r="K1779" i="3"/>
  <c r="N1779" i="3"/>
  <c r="G1780" i="3"/>
  <c r="H1780" i="3"/>
  <c r="I1780" i="3"/>
  <c r="J1780" i="3"/>
  <c r="K1780" i="3"/>
  <c r="N1780" i="3"/>
  <c r="G1781" i="3"/>
  <c r="H1781" i="3"/>
  <c r="I1781" i="3"/>
  <c r="J1781" i="3"/>
  <c r="K1781" i="3"/>
  <c r="N1781" i="3"/>
  <c r="G1782" i="3"/>
  <c r="H1782" i="3"/>
  <c r="I1782" i="3"/>
  <c r="J1782" i="3"/>
  <c r="K1782" i="3"/>
  <c r="N1782" i="3"/>
  <c r="G1783" i="3"/>
  <c r="H1783" i="3"/>
  <c r="I1783" i="3"/>
  <c r="J1783" i="3"/>
  <c r="K1783" i="3"/>
  <c r="N1783" i="3"/>
  <c r="G1784" i="3"/>
  <c r="H1784" i="3"/>
  <c r="I1784" i="3"/>
  <c r="J1784" i="3"/>
  <c r="K1784" i="3"/>
  <c r="N1784" i="3"/>
  <c r="G1785" i="3"/>
  <c r="H1785" i="3"/>
  <c r="I1785" i="3"/>
  <c r="J1785" i="3"/>
  <c r="K1785" i="3"/>
  <c r="N1785" i="3"/>
  <c r="G1786" i="3"/>
  <c r="H1786" i="3"/>
  <c r="I1786" i="3"/>
  <c r="J1786" i="3"/>
  <c r="K1786" i="3"/>
  <c r="N1786" i="3"/>
  <c r="G1787" i="3"/>
  <c r="H1787" i="3"/>
  <c r="I1787" i="3"/>
  <c r="J1787" i="3"/>
  <c r="K1787" i="3"/>
  <c r="N1787" i="3"/>
  <c r="G1788" i="3"/>
  <c r="H1788" i="3"/>
  <c r="I1788" i="3"/>
  <c r="J1788" i="3"/>
  <c r="K1788" i="3"/>
  <c r="N1788" i="3"/>
  <c r="G1789" i="3"/>
  <c r="H1789" i="3"/>
  <c r="I1789" i="3"/>
  <c r="J1789" i="3"/>
  <c r="K1789" i="3"/>
  <c r="N1789" i="3"/>
  <c r="G1790" i="3"/>
  <c r="H1790" i="3"/>
  <c r="I1790" i="3"/>
  <c r="J1790" i="3"/>
  <c r="K1790" i="3"/>
  <c r="N1790" i="3"/>
  <c r="G1791" i="3"/>
  <c r="H1791" i="3"/>
  <c r="I1791" i="3"/>
  <c r="J1791" i="3"/>
  <c r="K1791" i="3"/>
  <c r="N1791" i="3"/>
  <c r="G1792" i="3"/>
  <c r="H1792" i="3"/>
  <c r="I1792" i="3"/>
  <c r="J1792" i="3"/>
  <c r="K1792" i="3"/>
  <c r="N1792" i="3"/>
  <c r="G1793" i="3"/>
  <c r="H1793" i="3"/>
  <c r="I1793" i="3"/>
  <c r="J1793" i="3"/>
  <c r="K1793" i="3"/>
  <c r="N1793" i="3"/>
  <c r="G1794" i="3"/>
  <c r="H1794" i="3"/>
  <c r="I1794" i="3"/>
  <c r="J1794" i="3"/>
  <c r="K1794" i="3"/>
  <c r="N1794" i="3"/>
  <c r="G1795" i="3"/>
  <c r="H1795" i="3"/>
  <c r="I1795" i="3"/>
  <c r="J1795" i="3"/>
  <c r="K1795" i="3"/>
  <c r="N1795" i="3"/>
  <c r="G1796" i="3"/>
  <c r="H1796" i="3"/>
  <c r="I1796" i="3"/>
  <c r="J1796" i="3"/>
  <c r="K1796" i="3"/>
  <c r="N1796" i="3"/>
  <c r="G1797" i="3"/>
  <c r="H1797" i="3"/>
  <c r="I1797" i="3"/>
  <c r="J1797" i="3"/>
  <c r="K1797" i="3"/>
  <c r="N1797" i="3"/>
  <c r="G1798" i="3"/>
  <c r="H1798" i="3"/>
  <c r="I1798" i="3"/>
  <c r="J1798" i="3"/>
  <c r="K1798" i="3"/>
  <c r="N1798" i="3"/>
  <c r="G1799" i="3"/>
  <c r="H1799" i="3"/>
  <c r="I1799" i="3"/>
  <c r="J1799" i="3"/>
  <c r="K1799" i="3"/>
  <c r="N1799" i="3"/>
  <c r="G1800" i="3"/>
  <c r="H1800" i="3"/>
  <c r="I1800" i="3"/>
  <c r="J1800" i="3"/>
  <c r="K1800" i="3"/>
  <c r="N1800" i="3"/>
  <c r="G1801" i="3"/>
  <c r="H1801" i="3"/>
  <c r="I1801" i="3"/>
  <c r="J1801" i="3"/>
  <c r="K1801" i="3"/>
  <c r="N1801" i="3"/>
  <c r="G1802" i="3"/>
  <c r="H1802" i="3"/>
  <c r="I1802" i="3"/>
  <c r="J1802" i="3"/>
  <c r="K1802" i="3"/>
  <c r="N1802" i="3"/>
  <c r="G1803" i="3"/>
  <c r="H1803" i="3"/>
  <c r="I1803" i="3"/>
  <c r="J1803" i="3"/>
  <c r="K1803" i="3"/>
  <c r="N1803" i="3"/>
  <c r="G1804" i="3"/>
  <c r="H1804" i="3"/>
  <c r="I1804" i="3"/>
  <c r="J1804" i="3"/>
  <c r="K1804" i="3"/>
  <c r="N1804" i="3"/>
  <c r="G1805" i="3"/>
  <c r="H1805" i="3"/>
  <c r="I1805" i="3"/>
  <c r="J1805" i="3"/>
  <c r="K1805" i="3"/>
  <c r="N1805" i="3"/>
  <c r="G1806" i="3"/>
  <c r="H1806" i="3"/>
  <c r="I1806" i="3"/>
  <c r="J1806" i="3"/>
  <c r="K1806" i="3"/>
  <c r="N1806" i="3"/>
  <c r="G1807" i="3"/>
  <c r="H1807" i="3"/>
  <c r="I1807" i="3"/>
  <c r="J1807" i="3"/>
  <c r="K1807" i="3"/>
  <c r="N1807" i="3"/>
  <c r="G1808" i="3"/>
  <c r="H1808" i="3"/>
  <c r="I1808" i="3"/>
  <c r="J1808" i="3"/>
  <c r="K1808" i="3"/>
  <c r="N1808" i="3"/>
  <c r="G1809" i="3"/>
  <c r="H1809" i="3"/>
  <c r="I1809" i="3"/>
  <c r="J1809" i="3"/>
  <c r="K1809" i="3"/>
  <c r="N1809" i="3"/>
  <c r="G1810" i="3"/>
  <c r="H1810" i="3"/>
  <c r="I1810" i="3"/>
  <c r="J1810" i="3"/>
  <c r="K1810" i="3"/>
  <c r="N1810" i="3"/>
  <c r="G1811" i="3"/>
  <c r="H1811" i="3"/>
  <c r="I1811" i="3"/>
  <c r="J1811" i="3"/>
  <c r="K1811" i="3"/>
  <c r="N1811" i="3"/>
  <c r="G1812" i="3"/>
  <c r="H1812" i="3"/>
  <c r="I1812" i="3"/>
  <c r="J1812" i="3"/>
  <c r="K1812" i="3"/>
  <c r="N1812" i="3"/>
  <c r="G1813" i="3"/>
  <c r="H1813" i="3"/>
  <c r="I1813" i="3"/>
  <c r="J1813" i="3"/>
  <c r="K1813" i="3"/>
  <c r="N1813" i="3"/>
  <c r="G1814" i="3"/>
  <c r="H1814" i="3"/>
  <c r="I1814" i="3"/>
  <c r="J1814" i="3"/>
  <c r="K1814" i="3"/>
  <c r="N1814" i="3"/>
  <c r="G1815" i="3"/>
  <c r="H1815" i="3"/>
  <c r="I1815" i="3"/>
  <c r="J1815" i="3"/>
  <c r="K1815" i="3"/>
  <c r="N1815" i="3"/>
  <c r="G1816" i="3"/>
  <c r="H1816" i="3"/>
  <c r="I1816" i="3"/>
  <c r="J1816" i="3"/>
  <c r="K1816" i="3"/>
  <c r="N1816" i="3"/>
  <c r="G1817" i="3"/>
  <c r="H1817" i="3"/>
  <c r="I1817" i="3"/>
  <c r="J1817" i="3"/>
  <c r="K1817" i="3"/>
  <c r="N1817" i="3"/>
  <c r="G1818" i="3"/>
  <c r="H1818" i="3"/>
  <c r="I1818" i="3"/>
  <c r="J1818" i="3"/>
  <c r="K1818" i="3"/>
  <c r="N1818" i="3"/>
  <c r="G1819" i="3"/>
  <c r="H1819" i="3"/>
  <c r="I1819" i="3"/>
  <c r="J1819" i="3"/>
  <c r="K1819" i="3"/>
  <c r="N1819" i="3"/>
  <c r="G1820" i="3"/>
  <c r="H1820" i="3"/>
  <c r="I1820" i="3"/>
  <c r="J1820" i="3"/>
  <c r="K1820" i="3"/>
  <c r="N1820" i="3"/>
  <c r="G1821" i="3"/>
  <c r="H1821" i="3"/>
  <c r="I1821" i="3"/>
  <c r="J1821" i="3"/>
  <c r="K1821" i="3"/>
  <c r="N1821" i="3"/>
  <c r="G1822" i="3"/>
  <c r="H1822" i="3"/>
  <c r="I1822" i="3"/>
  <c r="J1822" i="3"/>
  <c r="K1822" i="3"/>
  <c r="N1822" i="3"/>
  <c r="G1823" i="3"/>
  <c r="H1823" i="3"/>
  <c r="I1823" i="3"/>
  <c r="J1823" i="3"/>
  <c r="K1823" i="3"/>
  <c r="N1823" i="3"/>
  <c r="G1824" i="3"/>
  <c r="H1824" i="3"/>
  <c r="I1824" i="3"/>
  <c r="J1824" i="3"/>
  <c r="K1824" i="3"/>
  <c r="N1824" i="3"/>
  <c r="G1825" i="3"/>
  <c r="H1825" i="3"/>
  <c r="I1825" i="3"/>
  <c r="J1825" i="3"/>
  <c r="K1825" i="3"/>
  <c r="N1825" i="3"/>
  <c r="G1826" i="3"/>
  <c r="H1826" i="3"/>
  <c r="I1826" i="3"/>
  <c r="J1826" i="3"/>
  <c r="K1826" i="3"/>
  <c r="N1826" i="3"/>
  <c r="G1827" i="3"/>
  <c r="H1827" i="3"/>
  <c r="I1827" i="3"/>
  <c r="J1827" i="3"/>
  <c r="K1827" i="3"/>
  <c r="N1827" i="3"/>
  <c r="G1828" i="3"/>
  <c r="H1828" i="3"/>
  <c r="I1828" i="3"/>
  <c r="J1828" i="3"/>
  <c r="K1828" i="3"/>
  <c r="N1828" i="3"/>
  <c r="G1829" i="3"/>
  <c r="H1829" i="3"/>
  <c r="I1829" i="3"/>
  <c r="J1829" i="3"/>
  <c r="K1829" i="3"/>
  <c r="N1829" i="3"/>
  <c r="G1830" i="3"/>
  <c r="H1830" i="3"/>
  <c r="I1830" i="3"/>
  <c r="J1830" i="3"/>
  <c r="K1830" i="3"/>
  <c r="N1830" i="3"/>
  <c r="G1831" i="3"/>
  <c r="H1831" i="3"/>
  <c r="I1831" i="3"/>
  <c r="J1831" i="3"/>
  <c r="K1831" i="3"/>
  <c r="N1831" i="3"/>
  <c r="G1832" i="3"/>
  <c r="H1832" i="3"/>
  <c r="I1832" i="3"/>
  <c r="J1832" i="3"/>
  <c r="K1832" i="3"/>
  <c r="N1832" i="3"/>
  <c r="G1833" i="3"/>
  <c r="H1833" i="3"/>
  <c r="I1833" i="3"/>
  <c r="J1833" i="3"/>
  <c r="K1833" i="3"/>
  <c r="N1833" i="3"/>
  <c r="G1834" i="3"/>
  <c r="H1834" i="3"/>
  <c r="I1834" i="3"/>
  <c r="J1834" i="3"/>
  <c r="K1834" i="3"/>
  <c r="N1834" i="3"/>
  <c r="G1835" i="3"/>
  <c r="H1835" i="3"/>
  <c r="I1835" i="3"/>
  <c r="J1835" i="3"/>
  <c r="K1835" i="3"/>
  <c r="N1835" i="3"/>
  <c r="G1836" i="3"/>
  <c r="H1836" i="3"/>
  <c r="I1836" i="3"/>
  <c r="J1836" i="3"/>
  <c r="K1836" i="3"/>
  <c r="N1836" i="3"/>
  <c r="G1837" i="3"/>
  <c r="H1837" i="3"/>
  <c r="I1837" i="3"/>
  <c r="J1837" i="3"/>
  <c r="K1837" i="3"/>
  <c r="N1837" i="3"/>
  <c r="G1838" i="3"/>
  <c r="H1838" i="3"/>
  <c r="I1838" i="3"/>
  <c r="J1838" i="3"/>
  <c r="K1838" i="3"/>
  <c r="N1838" i="3"/>
  <c r="G1839" i="3"/>
  <c r="H1839" i="3"/>
  <c r="I1839" i="3"/>
  <c r="J1839" i="3"/>
  <c r="K1839" i="3"/>
  <c r="N1839" i="3"/>
  <c r="G1840" i="3"/>
  <c r="H1840" i="3"/>
  <c r="I1840" i="3"/>
  <c r="J1840" i="3"/>
  <c r="K1840" i="3"/>
  <c r="N1840" i="3"/>
  <c r="G1841" i="3"/>
  <c r="H1841" i="3"/>
  <c r="I1841" i="3"/>
  <c r="J1841" i="3"/>
  <c r="K1841" i="3"/>
  <c r="N1841" i="3"/>
  <c r="G1842" i="3"/>
  <c r="H1842" i="3"/>
  <c r="I1842" i="3"/>
  <c r="J1842" i="3"/>
  <c r="K1842" i="3"/>
  <c r="N1842" i="3"/>
  <c r="G1843" i="3"/>
  <c r="H1843" i="3"/>
  <c r="I1843" i="3"/>
  <c r="J1843" i="3"/>
  <c r="K1843" i="3"/>
  <c r="N1843" i="3"/>
  <c r="G1844" i="3"/>
  <c r="H1844" i="3"/>
  <c r="I1844" i="3"/>
  <c r="J1844" i="3"/>
  <c r="K1844" i="3"/>
  <c r="N1844" i="3"/>
  <c r="G1845" i="3"/>
  <c r="H1845" i="3"/>
  <c r="I1845" i="3"/>
  <c r="J1845" i="3"/>
  <c r="K1845" i="3"/>
  <c r="N1845" i="3"/>
  <c r="G1846" i="3"/>
  <c r="H1846" i="3"/>
  <c r="I1846" i="3"/>
  <c r="J1846" i="3"/>
  <c r="K1846" i="3"/>
  <c r="N1846" i="3"/>
  <c r="G1847" i="3"/>
  <c r="H1847" i="3"/>
  <c r="I1847" i="3"/>
  <c r="J1847" i="3"/>
  <c r="K1847" i="3"/>
  <c r="N1847" i="3"/>
  <c r="G1848" i="3"/>
  <c r="H1848" i="3"/>
  <c r="I1848" i="3"/>
  <c r="J1848" i="3"/>
  <c r="K1848" i="3"/>
  <c r="N1848" i="3"/>
  <c r="G1849" i="3"/>
  <c r="H1849" i="3"/>
  <c r="I1849" i="3"/>
  <c r="J1849" i="3"/>
  <c r="K1849" i="3"/>
  <c r="N1849" i="3"/>
  <c r="G1850" i="3"/>
  <c r="H1850" i="3"/>
  <c r="I1850" i="3"/>
  <c r="J1850" i="3"/>
  <c r="K1850" i="3"/>
  <c r="N1850" i="3"/>
  <c r="G1851" i="3"/>
  <c r="H1851" i="3"/>
  <c r="I1851" i="3"/>
  <c r="J1851" i="3"/>
  <c r="K1851" i="3"/>
  <c r="N1851" i="3"/>
  <c r="G1852" i="3"/>
  <c r="H1852" i="3"/>
  <c r="I1852" i="3"/>
  <c r="J1852" i="3"/>
  <c r="K1852" i="3"/>
  <c r="N1852" i="3"/>
  <c r="G1853" i="3"/>
  <c r="H1853" i="3"/>
  <c r="I1853" i="3"/>
  <c r="J1853" i="3"/>
  <c r="K1853" i="3"/>
  <c r="N1853" i="3"/>
  <c r="G1854" i="3"/>
  <c r="H1854" i="3"/>
  <c r="I1854" i="3"/>
  <c r="J1854" i="3"/>
  <c r="K1854" i="3"/>
  <c r="N1854" i="3"/>
  <c r="G1855" i="3"/>
  <c r="H1855" i="3"/>
  <c r="I1855" i="3"/>
  <c r="J1855" i="3"/>
  <c r="K1855" i="3"/>
  <c r="N1855" i="3"/>
  <c r="G1856" i="3"/>
  <c r="H1856" i="3"/>
  <c r="I1856" i="3"/>
  <c r="J1856" i="3"/>
  <c r="K1856" i="3"/>
  <c r="N1856" i="3"/>
  <c r="G1857" i="3"/>
  <c r="H1857" i="3"/>
  <c r="I1857" i="3"/>
  <c r="J1857" i="3"/>
  <c r="K1857" i="3"/>
  <c r="N1857" i="3"/>
  <c r="G1858" i="3"/>
  <c r="H1858" i="3"/>
  <c r="I1858" i="3"/>
  <c r="J1858" i="3"/>
  <c r="K1858" i="3"/>
  <c r="N1858" i="3"/>
  <c r="G1859" i="3"/>
  <c r="H1859" i="3"/>
  <c r="I1859" i="3"/>
  <c r="J1859" i="3"/>
  <c r="K1859" i="3"/>
  <c r="N1859" i="3"/>
  <c r="G1860" i="3"/>
  <c r="H1860" i="3"/>
  <c r="I1860" i="3"/>
  <c r="J1860" i="3"/>
  <c r="K1860" i="3"/>
  <c r="N1860" i="3"/>
  <c r="G1861" i="3"/>
  <c r="H1861" i="3"/>
  <c r="I1861" i="3"/>
  <c r="J1861" i="3"/>
  <c r="K1861" i="3"/>
  <c r="N1861" i="3"/>
  <c r="G1862" i="3"/>
  <c r="H1862" i="3"/>
  <c r="I1862" i="3"/>
  <c r="J1862" i="3"/>
  <c r="K1862" i="3"/>
  <c r="N1862" i="3"/>
  <c r="G1863" i="3"/>
  <c r="H1863" i="3"/>
  <c r="I1863" i="3"/>
  <c r="J1863" i="3"/>
  <c r="K1863" i="3"/>
  <c r="N1863" i="3"/>
  <c r="G1864" i="3"/>
  <c r="H1864" i="3"/>
  <c r="I1864" i="3"/>
  <c r="J1864" i="3"/>
  <c r="K1864" i="3"/>
  <c r="N1864" i="3"/>
  <c r="G1865" i="3"/>
  <c r="H1865" i="3"/>
  <c r="I1865" i="3"/>
  <c r="J1865" i="3"/>
  <c r="K1865" i="3"/>
  <c r="N1865" i="3"/>
  <c r="G1866" i="3"/>
  <c r="H1866" i="3"/>
  <c r="I1866" i="3"/>
  <c r="J1866" i="3"/>
  <c r="K1866" i="3"/>
  <c r="N1866" i="3"/>
  <c r="G1867" i="3"/>
  <c r="H1867" i="3"/>
  <c r="I1867" i="3"/>
  <c r="J1867" i="3"/>
  <c r="K1867" i="3"/>
  <c r="N1867" i="3"/>
  <c r="G1868" i="3"/>
  <c r="H1868" i="3"/>
  <c r="I1868" i="3"/>
  <c r="J1868" i="3"/>
  <c r="K1868" i="3"/>
  <c r="N1868" i="3"/>
  <c r="G1869" i="3"/>
  <c r="H1869" i="3"/>
  <c r="I1869" i="3"/>
  <c r="J1869" i="3"/>
  <c r="K1869" i="3"/>
  <c r="N1869" i="3"/>
  <c r="G1870" i="3"/>
  <c r="H1870" i="3"/>
  <c r="I1870" i="3"/>
  <c r="J1870" i="3"/>
  <c r="K1870" i="3"/>
  <c r="N1870" i="3"/>
  <c r="G1871" i="3"/>
  <c r="H1871" i="3"/>
  <c r="I1871" i="3"/>
  <c r="J1871" i="3"/>
  <c r="K1871" i="3"/>
  <c r="N1871" i="3"/>
  <c r="G1872" i="3"/>
  <c r="H1872" i="3"/>
  <c r="I1872" i="3"/>
  <c r="J1872" i="3"/>
  <c r="K1872" i="3"/>
  <c r="N1872" i="3"/>
  <c r="G1873" i="3"/>
  <c r="H1873" i="3"/>
  <c r="I1873" i="3"/>
  <c r="J1873" i="3"/>
  <c r="K1873" i="3"/>
  <c r="N1873" i="3"/>
  <c r="G1874" i="3"/>
  <c r="H1874" i="3"/>
  <c r="I1874" i="3"/>
  <c r="J1874" i="3"/>
  <c r="K1874" i="3"/>
  <c r="N1874" i="3"/>
  <c r="G1875" i="3"/>
  <c r="H1875" i="3"/>
  <c r="I1875" i="3"/>
  <c r="J1875" i="3"/>
  <c r="K1875" i="3"/>
  <c r="N1875" i="3"/>
  <c r="G1876" i="3"/>
  <c r="H1876" i="3"/>
  <c r="I1876" i="3"/>
  <c r="J1876" i="3"/>
  <c r="K1876" i="3"/>
  <c r="N1876" i="3"/>
  <c r="G1877" i="3"/>
  <c r="H1877" i="3"/>
  <c r="I1877" i="3"/>
  <c r="J1877" i="3"/>
  <c r="K1877" i="3"/>
  <c r="N1877" i="3"/>
  <c r="G1878" i="3"/>
  <c r="H1878" i="3"/>
  <c r="I1878" i="3"/>
  <c r="J1878" i="3"/>
  <c r="K1878" i="3"/>
  <c r="N1878" i="3"/>
  <c r="G1879" i="3"/>
  <c r="H1879" i="3"/>
  <c r="I1879" i="3"/>
  <c r="J1879" i="3"/>
  <c r="K1879" i="3"/>
  <c r="N1879" i="3"/>
  <c r="G1880" i="3"/>
  <c r="H1880" i="3"/>
  <c r="I1880" i="3"/>
  <c r="J1880" i="3"/>
  <c r="K1880" i="3"/>
  <c r="N1880" i="3"/>
  <c r="G1881" i="3"/>
  <c r="H1881" i="3"/>
  <c r="I1881" i="3"/>
  <c r="J1881" i="3"/>
  <c r="K1881" i="3"/>
  <c r="N1881" i="3"/>
  <c r="G1882" i="3"/>
  <c r="H1882" i="3"/>
  <c r="I1882" i="3"/>
  <c r="J1882" i="3"/>
  <c r="K1882" i="3"/>
  <c r="N1882" i="3"/>
  <c r="G1883" i="3"/>
  <c r="H1883" i="3"/>
  <c r="I1883" i="3"/>
  <c r="J1883" i="3"/>
  <c r="K1883" i="3"/>
  <c r="N1883" i="3"/>
  <c r="G1884" i="3"/>
  <c r="H1884" i="3"/>
  <c r="I1884" i="3"/>
  <c r="J1884" i="3"/>
  <c r="K1884" i="3"/>
  <c r="N1884" i="3"/>
  <c r="G1885" i="3"/>
  <c r="H1885" i="3"/>
  <c r="I1885" i="3"/>
  <c r="J1885" i="3"/>
  <c r="K1885" i="3"/>
  <c r="N1885" i="3"/>
  <c r="G1886" i="3"/>
  <c r="H1886" i="3"/>
  <c r="I1886" i="3"/>
  <c r="J1886" i="3"/>
  <c r="K1886" i="3"/>
  <c r="N1886" i="3"/>
  <c r="G1887" i="3"/>
  <c r="H1887" i="3"/>
  <c r="I1887" i="3"/>
  <c r="J1887" i="3"/>
  <c r="K1887" i="3"/>
  <c r="N1887" i="3"/>
  <c r="G1888" i="3"/>
  <c r="H1888" i="3"/>
  <c r="I1888" i="3"/>
  <c r="J1888" i="3"/>
  <c r="K1888" i="3"/>
  <c r="N1888" i="3"/>
  <c r="G1889" i="3"/>
  <c r="H1889" i="3"/>
  <c r="I1889" i="3"/>
  <c r="J1889" i="3"/>
  <c r="K1889" i="3"/>
  <c r="N1889" i="3"/>
  <c r="G1890" i="3"/>
  <c r="H1890" i="3"/>
  <c r="I1890" i="3"/>
  <c r="J1890" i="3"/>
  <c r="K1890" i="3"/>
  <c r="N1890" i="3"/>
  <c r="G1891" i="3"/>
  <c r="H1891" i="3"/>
  <c r="I1891" i="3"/>
  <c r="J1891" i="3"/>
  <c r="K1891" i="3"/>
  <c r="N1891" i="3"/>
  <c r="G1892" i="3"/>
  <c r="H1892" i="3"/>
  <c r="I1892" i="3"/>
  <c r="J1892" i="3"/>
  <c r="K1892" i="3"/>
  <c r="N1892" i="3"/>
  <c r="G1893" i="3"/>
  <c r="H1893" i="3"/>
  <c r="I1893" i="3"/>
  <c r="J1893" i="3"/>
  <c r="K1893" i="3"/>
  <c r="N1893" i="3"/>
  <c r="G1894" i="3"/>
  <c r="H1894" i="3"/>
  <c r="I1894" i="3"/>
  <c r="J1894" i="3"/>
  <c r="K1894" i="3"/>
  <c r="N1894" i="3"/>
  <c r="G1895" i="3"/>
  <c r="H1895" i="3"/>
  <c r="I1895" i="3"/>
  <c r="J1895" i="3"/>
  <c r="K1895" i="3"/>
  <c r="N1895" i="3"/>
  <c r="G1896" i="3"/>
  <c r="H1896" i="3"/>
  <c r="I1896" i="3"/>
  <c r="J1896" i="3"/>
  <c r="K1896" i="3"/>
  <c r="N1896" i="3"/>
  <c r="G1897" i="3"/>
  <c r="H1897" i="3"/>
  <c r="I1897" i="3"/>
  <c r="J1897" i="3"/>
  <c r="K1897" i="3"/>
  <c r="N1897" i="3"/>
  <c r="G1898" i="3"/>
  <c r="H1898" i="3"/>
  <c r="I1898" i="3"/>
  <c r="J1898" i="3"/>
  <c r="K1898" i="3"/>
  <c r="N1898" i="3"/>
  <c r="G1899" i="3"/>
  <c r="H1899" i="3"/>
  <c r="I1899" i="3"/>
  <c r="J1899" i="3"/>
  <c r="K1899" i="3"/>
  <c r="N1899" i="3"/>
  <c r="G1900" i="3"/>
  <c r="H1900" i="3"/>
  <c r="I1900" i="3"/>
  <c r="J1900" i="3"/>
  <c r="K1900" i="3"/>
  <c r="N1900" i="3"/>
  <c r="G1901" i="3"/>
  <c r="H1901" i="3"/>
  <c r="I1901" i="3"/>
  <c r="J1901" i="3"/>
  <c r="K1901" i="3"/>
  <c r="N1901" i="3"/>
  <c r="G1902" i="3"/>
  <c r="H1902" i="3"/>
  <c r="I1902" i="3"/>
  <c r="J1902" i="3"/>
  <c r="K1902" i="3"/>
  <c r="N1902" i="3"/>
  <c r="G1903" i="3"/>
  <c r="H1903" i="3"/>
  <c r="I1903" i="3"/>
  <c r="J1903" i="3"/>
  <c r="K1903" i="3"/>
  <c r="N1903" i="3"/>
  <c r="G1904" i="3"/>
  <c r="H1904" i="3"/>
  <c r="I1904" i="3"/>
  <c r="J1904" i="3"/>
  <c r="K1904" i="3"/>
  <c r="N1904" i="3"/>
  <c r="G1905" i="3"/>
  <c r="H1905" i="3"/>
  <c r="I1905" i="3"/>
  <c r="J1905" i="3"/>
  <c r="K1905" i="3"/>
  <c r="N1905" i="3"/>
  <c r="G1906" i="3"/>
  <c r="H1906" i="3"/>
  <c r="I1906" i="3"/>
  <c r="J1906" i="3"/>
  <c r="K1906" i="3"/>
  <c r="N1906" i="3"/>
  <c r="G1907" i="3"/>
  <c r="H1907" i="3"/>
  <c r="I1907" i="3"/>
  <c r="J1907" i="3"/>
  <c r="K1907" i="3"/>
  <c r="N1907" i="3"/>
  <c r="G1908" i="3"/>
  <c r="H1908" i="3"/>
  <c r="I1908" i="3"/>
  <c r="J1908" i="3"/>
  <c r="K1908" i="3"/>
  <c r="N1908" i="3"/>
  <c r="G1909" i="3"/>
  <c r="H1909" i="3"/>
  <c r="I1909" i="3"/>
  <c r="J1909" i="3"/>
  <c r="K1909" i="3"/>
  <c r="N1909" i="3"/>
  <c r="G1910" i="3"/>
  <c r="H1910" i="3"/>
  <c r="I1910" i="3"/>
  <c r="J1910" i="3"/>
  <c r="K1910" i="3"/>
  <c r="N1910" i="3"/>
  <c r="G1911" i="3"/>
  <c r="H1911" i="3"/>
  <c r="I1911" i="3"/>
  <c r="J1911" i="3"/>
  <c r="K1911" i="3"/>
  <c r="N1911" i="3"/>
  <c r="G1912" i="3"/>
  <c r="H1912" i="3"/>
  <c r="I1912" i="3"/>
  <c r="J1912" i="3"/>
  <c r="K1912" i="3"/>
  <c r="N1912" i="3"/>
  <c r="G1913" i="3"/>
  <c r="H1913" i="3"/>
  <c r="I1913" i="3"/>
  <c r="J1913" i="3"/>
  <c r="K1913" i="3"/>
  <c r="N1913" i="3"/>
  <c r="G1914" i="3"/>
  <c r="H1914" i="3"/>
  <c r="I1914" i="3"/>
  <c r="J1914" i="3"/>
  <c r="K1914" i="3"/>
  <c r="N1914" i="3"/>
  <c r="G1915" i="3"/>
  <c r="H1915" i="3"/>
  <c r="I1915" i="3"/>
  <c r="J1915" i="3"/>
  <c r="K1915" i="3"/>
  <c r="N1915" i="3"/>
  <c r="G1916" i="3"/>
  <c r="H1916" i="3"/>
  <c r="I1916" i="3"/>
  <c r="J1916" i="3"/>
  <c r="K1916" i="3"/>
  <c r="N1916" i="3"/>
  <c r="G1917" i="3"/>
  <c r="H1917" i="3"/>
  <c r="I1917" i="3"/>
  <c r="J1917" i="3"/>
  <c r="K1917" i="3"/>
  <c r="N1917" i="3"/>
  <c r="G1918" i="3"/>
  <c r="H1918" i="3"/>
  <c r="I1918" i="3"/>
  <c r="J1918" i="3"/>
  <c r="K1918" i="3"/>
  <c r="N1918" i="3"/>
  <c r="G1919" i="3"/>
  <c r="H1919" i="3"/>
  <c r="I1919" i="3"/>
  <c r="J1919" i="3"/>
  <c r="K1919" i="3"/>
  <c r="N1919" i="3"/>
  <c r="G1920" i="3"/>
  <c r="H1920" i="3"/>
  <c r="I1920" i="3"/>
  <c r="J1920" i="3"/>
  <c r="K1920" i="3"/>
  <c r="N1920" i="3"/>
  <c r="G1921" i="3"/>
  <c r="H1921" i="3"/>
  <c r="I1921" i="3"/>
  <c r="J1921" i="3"/>
  <c r="K1921" i="3"/>
  <c r="N1921" i="3"/>
  <c r="G1922" i="3"/>
  <c r="H1922" i="3"/>
  <c r="I1922" i="3"/>
  <c r="J1922" i="3"/>
  <c r="K1922" i="3"/>
  <c r="N1922" i="3"/>
  <c r="G1923" i="3"/>
  <c r="H1923" i="3"/>
  <c r="I1923" i="3"/>
  <c r="J1923" i="3"/>
  <c r="K1923" i="3"/>
  <c r="N1923" i="3"/>
  <c r="G1924" i="3"/>
  <c r="H1924" i="3"/>
  <c r="I1924" i="3"/>
  <c r="J1924" i="3"/>
  <c r="K1924" i="3"/>
  <c r="N1924" i="3"/>
  <c r="G1925" i="3"/>
  <c r="H1925" i="3"/>
  <c r="I1925" i="3"/>
  <c r="J1925" i="3"/>
  <c r="K1925" i="3"/>
  <c r="N1925" i="3"/>
  <c r="G1926" i="3"/>
  <c r="H1926" i="3"/>
  <c r="I1926" i="3"/>
  <c r="J1926" i="3"/>
  <c r="K1926" i="3"/>
  <c r="N1926" i="3"/>
  <c r="G1927" i="3"/>
  <c r="H1927" i="3"/>
  <c r="I1927" i="3"/>
  <c r="J1927" i="3"/>
  <c r="K1927" i="3"/>
  <c r="N1927" i="3"/>
  <c r="G1928" i="3"/>
  <c r="H1928" i="3"/>
  <c r="I1928" i="3"/>
  <c r="J1928" i="3"/>
  <c r="K1928" i="3"/>
  <c r="N1928" i="3"/>
  <c r="G1929" i="3"/>
  <c r="H1929" i="3"/>
  <c r="I1929" i="3"/>
  <c r="J1929" i="3"/>
  <c r="K1929" i="3"/>
  <c r="N1929" i="3"/>
  <c r="G1930" i="3"/>
  <c r="H1930" i="3"/>
  <c r="I1930" i="3"/>
  <c r="J1930" i="3"/>
  <c r="K1930" i="3"/>
  <c r="N1930" i="3"/>
  <c r="G1931" i="3"/>
  <c r="H1931" i="3"/>
  <c r="I1931" i="3"/>
  <c r="J1931" i="3"/>
  <c r="K1931" i="3"/>
  <c r="N1931" i="3"/>
  <c r="G1932" i="3"/>
  <c r="H1932" i="3"/>
  <c r="I1932" i="3"/>
  <c r="J1932" i="3"/>
  <c r="K1932" i="3"/>
  <c r="N1932" i="3"/>
  <c r="G1933" i="3"/>
  <c r="H1933" i="3"/>
  <c r="I1933" i="3"/>
  <c r="J1933" i="3"/>
  <c r="K1933" i="3"/>
  <c r="N1933" i="3"/>
  <c r="G1934" i="3"/>
  <c r="H1934" i="3"/>
  <c r="I1934" i="3"/>
  <c r="J1934" i="3"/>
  <c r="K1934" i="3"/>
  <c r="N1934" i="3"/>
  <c r="G1935" i="3"/>
  <c r="H1935" i="3"/>
  <c r="I1935" i="3"/>
  <c r="J1935" i="3"/>
  <c r="K1935" i="3"/>
  <c r="N1935" i="3"/>
  <c r="G1936" i="3"/>
  <c r="H1936" i="3"/>
  <c r="I1936" i="3"/>
  <c r="J1936" i="3"/>
  <c r="K1936" i="3"/>
  <c r="N1936" i="3"/>
  <c r="G1937" i="3"/>
  <c r="H1937" i="3"/>
  <c r="I1937" i="3"/>
  <c r="J1937" i="3"/>
  <c r="K1937" i="3"/>
  <c r="N1937" i="3"/>
  <c r="G1938" i="3"/>
  <c r="H1938" i="3"/>
  <c r="I1938" i="3"/>
  <c r="J1938" i="3"/>
  <c r="K1938" i="3"/>
  <c r="N1938" i="3"/>
  <c r="G1939" i="3"/>
  <c r="H1939" i="3"/>
  <c r="I1939" i="3"/>
  <c r="J1939" i="3"/>
  <c r="K1939" i="3"/>
  <c r="N1939" i="3"/>
  <c r="G1940" i="3"/>
  <c r="H1940" i="3"/>
  <c r="I1940" i="3"/>
  <c r="J1940" i="3"/>
  <c r="K1940" i="3"/>
  <c r="N1940" i="3"/>
  <c r="G1941" i="3"/>
  <c r="H1941" i="3"/>
  <c r="I1941" i="3"/>
  <c r="J1941" i="3"/>
  <c r="K1941" i="3"/>
  <c r="N1941" i="3"/>
  <c r="G1942" i="3"/>
  <c r="H1942" i="3"/>
  <c r="I1942" i="3"/>
  <c r="J1942" i="3"/>
  <c r="K1942" i="3"/>
  <c r="N1942" i="3"/>
  <c r="G1943" i="3"/>
  <c r="H1943" i="3"/>
  <c r="I1943" i="3"/>
  <c r="J1943" i="3"/>
  <c r="K1943" i="3"/>
  <c r="N1943" i="3"/>
  <c r="G1944" i="3"/>
  <c r="H1944" i="3"/>
  <c r="I1944" i="3"/>
  <c r="J1944" i="3"/>
  <c r="K1944" i="3"/>
  <c r="N1944" i="3"/>
  <c r="G1945" i="3"/>
  <c r="H1945" i="3"/>
  <c r="I1945" i="3"/>
  <c r="J1945" i="3"/>
  <c r="K1945" i="3"/>
  <c r="N1945" i="3"/>
  <c r="G1946" i="3"/>
  <c r="H1946" i="3"/>
  <c r="I1946" i="3"/>
  <c r="J1946" i="3"/>
  <c r="K1946" i="3"/>
  <c r="N1946" i="3"/>
  <c r="G1947" i="3"/>
  <c r="H1947" i="3"/>
  <c r="I1947" i="3"/>
  <c r="J1947" i="3"/>
  <c r="K1947" i="3"/>
  <c r="N1947" i="3"/>
  <c r="G1948" i="3"/>
  <c r="H1948" i="3"/>
  <c r="I1948" i="3"/>
  <c r="J1948" i="3"/>
  <c r="K1948" i="3"/>
  <c r="N1948" i="3"/>
  <c r="G1949" i="3"/>
  <c r="H1949" i="3"/>
  <c r="I1949" i="3"/>
  <c r="J1949" i="3"/>
  <c r="K1949" i="3"/>
  <c r="N1949" i="3"/>
  <c r="G1950" i="3"/>
  <c r="H1950" i="3"/>
  <c r="I1950" i="3"/>
  <c r="J1950" i="3"/>
  <c r="K1950" i="3"/>
  <c r="N1950" i="3"/>
  <c r="G1951" i="3"/>
  <c r="H1951" i="3"/>
  <c r="I1951" i="3"/>
  <c r="J1951" i="3"/>
  <c r="K1951" i="3"/>
  <c r="N1951" i="3"/>
  <c r="G1952" i="3"/>
  <c r="H1952" i="3"/>
  <c r="I1952" i="3"/>
  <c r="J1952" i="3"/>
  <c r="K1952" i="3"/>
  <c r="N1952" i="3"/>
  <c r="G1953" i="3"/>
  <c r="H1953" i="3"/>
  <c r="I1953" i="3"/>
  <c r="J1953" i="3"/>
  <c r="K1953" i="3"/>
  <c r="N1953" i="3"/>
  <c r="G1954" i="3"/>
  <c r="H1954" i="3"/>
  <c r="I1954" i="3"/>
  <c r="J1954" i="3"/>
  <c r="K1954" i="3"/>
  <c r="N1954" i="3"/>
  <c r="G1955" i="3"/>
  <c r="H1955" i="3"/>
  <c r="I1955" i="3"/>
  <c r="J1955" i="3"/>
  <c r="K1955" i="3"/>
  <c r="N1955" i="3"/>
  <c r="G1956" i="3"/>
  <c r="H1956" i="3"/>
  <c r="I1956" i="3"/>
  <c r="J1956" i="3"/>
  <c r="K1956" i="3"/>
  <c r="N1956" i="3"/>
  <c r="G1957" i="3"/>
  <c r="H1957" i="3"/>
  <c r="I1957" i="3"/>
  <c r="J1957" i="3"/>
  <c r="K1957" i="3"/>
  <c r="N1957" i="3"/>
  <c r="G1958" i="3"/>
  <c r="H1958" i="3"/>
  <c r="I1958" i="3"/>
  <c r="J1958" i="3"/>
  <c r="K1958" i="3"/>
  <c r="N1958" i="3"/>
  <c r="G1959" i="3"/>
  <c r="H1959" i="3"/>
  <c r="I1959" i="3"/>
  <c r="J1959" i="3"/>
  <c r="K1959" i="3"/>
  <c r="N1959" i="3"/>
  <c r="G1960" i="3"/>
  <c r="H1960" i="3"/>
  <c r="I1960" i="3"/>
  <c r="J1960" i="3"/>
  <c r="K1960" i="3"/>
  <c r="N1960" i="3"/>
  <c r="G1961" i="3"/>
  <c r="H1961" i="3"/>
  <c r="I1961" i="3"/>
  <c r="J1961" i="3"/>
  <c r="K1961" i="3"/>
  <c r="N1961" i="3"/>
  <c r="G1962" i="3"/>
  <c r="H1962" i="3"/>
  <c r="I1962" i="3"/>
  <c r="J1962" i="3"/>
  <c r="K1962" i="3"/>
  <c r="N1962" i="3"/>
  <c r="G1963" i="3"/>
  <c r="H1963" i="3"/>
  <c r="I1963" i="3"/>
  <c r="J1963" i="3"/>
  <c r="K1963" i="3"/>
  <c r="N1963" i="3"/>
  <c r="G1964" i="3"/>
  <c r="H1964" i="3"/>
  <c r="I1964" i="3"/>
  <c r="J1964" i="3"/>
  <c r="K1964" i="3"/>
  <c r="N1964" i="3"/>
  <c r="G1965" i="3"/>
  <c r="H1965" i="3"/>
  <c r="I1965" i="3"/>
  <c r="J1965" i="3"/>
  <c r="K1965" i="3"/>
  <c r="N1965" i="3"/>
  <c r="G1966" i="3"/>
  <c r="H1966" i="3"/>
  <c r="I1966" i="3"/>
  <c r="J1966" i="3"/>
  <c r="K1966" i="3"/>
  <c r="N1966" i="3"/>
  <c r="G1967" i="3"/>
  <c r="H1967" i="3"/>
  <c r="I1967" i="3"/>
  <c r="J1967" i="3"/>
  <c r="K1967" i="3"/>
  <c r="N1967" i="3"/>
  <c r="G1968" i="3"/>
  <c r="H1968" i="3"/>
  <c r="I1968" i="3"/>
  <c r="J1968" i="3"/>
  <c r="K1968" i="3"/>
  <c r="N1968" i="3"/>
  <c r="G1969" i="3"/>
  <c r="H1969" i="3"/>
  <c r="I1969" i="3"/>
  <c r="J1969" i="3"/>
  <c r="K1969" i="3"/>
  <c r="N1969" i="3"/>
  <c r="G1970" i="3"/>
  <c r="H1970" i="3"/>
  <c r="I1970" i="3"/>
  <c r="J1970" i="3"/>
  <c r="K1970" i="3"/>
  <c r="N1970" i="3"/>
  <c r="G1971" i="3"/>
  <c r="H1971" i="3"/>
  <c r="I1971" i="3"/>
  <c r="J1971" i="3"/>
  <c r="K1971" i="3"/>
  <c r="N1971" i="3"/>
  <c r="G1972" i="3"/>
  <c r="H1972" i="3"/>
  <c r="I1972" i="3"/>
  <c r="J1972" i="3"/>
  <c r="K1972" i="3"/>
  <c r="N1972" i="3"/>
  <c r="G1973" i="3"/>
  <c r="H1973" i="3"/>
  <c r="I1973" i="3"/>
  <c r="J1973" i="3"/>
  <c r="K1973" i="3"/>
  <c r="N1973" i="3"/>
  <c r="G1974" i="3"/>
  <c r="H1974" i="3"/>
  <c r="I1974" i="3"/>
  <c r="J1974" i="3"/>
  <c r="K1974" i="3"/>
  <c r="N1974" i="3"/>
  <c r="G1975" i="3"/>
  <c r="H1975" i="3"/>
  <c r="I1975" i="3"/>
  <c r="J1975" i="3"/>
  <c r="K1975" i="3"/>
  <c r="N1975" i="3"/>
  <c r="G1976" i="3"/>
  <c r="H1976" i="3"/>
  <c r="I1976" i="3"/>
  <c r="J1976" i="3"/>
  <c r="K1976" i="3"/>
  <c r="N1976" i="3"/>
  <c r="G1977" i="3"/>
  <c r="H1977" i="3"/>
  <c r="I1977" i="3"/>
  <c r="J1977" i="3"/>
  <c r="K1977" i="3"/>
  <c r="N1977" i="3"/>
  <c r="G1978" i="3"/>
  <c r="H1978" i="3"/>
  <c r="I1978" i="3"/>
  <c r="J1978" i="3"/>
  <c r="K1978" i="3"/>
  <c r="N1978" i="3"/>
  <c r="G1979" i="3"/>
  <c r="H1979" i="3"/>
  <c r="I1979" i="3"/>
  <c r="J1979" i="3"/>
  <c r="K1979" i="3"/>
  <c r="N1979" i="3"/>
  <c r="G1980" i="3"/>
  <c r="H1980" i="3"/>
  <c r="I1980" i="3"/>
  <c r="J1980" i="3"/>
  <c r="K1980" i="3"/>
  <c r="N1980" i="3"/>
  <c r="G1981" i="3"/>
  <c r="H1981" i="3"/>
  <c r="I1981" i="3"/>
  <c r="J1981" i="3"/>
  <c r="K1981" i="3"/>
  <c r="N1981" i="3"/>
  <c r="G1982" i="3"/>
  <c r="H1982" i="3"/>
  <c r="I1982" i="3"/>
  <c r="J1982" i="3"/>
  <c r="K1982" i="3"/>
  <c r="N1982" i="3"/>
  <c r="G1983" i="3"/>
  <c r="H1983" i="3"/>
  <c r="I1983" i="3"/>
  <c r="J1983" i="3"/>
  <c r="K1983" i="3"/>
  <c r="N1983" i="3"/>
  <c r="G1984" i="3"/>
  <c r="H1984" i="3"/>
  <c r="I1984" i="3"/>
  <c r="J1984" i="3"/>
  <c r="K1984" i="3"/>
  <c r="N1984" i="3"/>
  <c r="G1985" i="3"/>
  <c r="H1985" i="3"/>
  <c r="I1985" i="3"/>
  <c r="J1985" i="3"/>
  <c r="K1985" i="3"/>
  <c r="N1985" i="3"/>
  <c r="G1986" i="3"/>
  <c r="H1986" i="3"/>
  <c r="I1986" i="3"/>
  <c r="J1986" i="3"/>
  <c r="K1986" i="3"/>
  <c r="N1986" i="3"/>
  <c r="G1987" i="3"/>
  <c r="H1987" i="3"/>
  <c r="I1987" i="3"/>
  <c r="J1987" i="3"/>
  <c r="K1987" i="3"/>
  <c r="N1987" i="3"/>
  <c r="G1988" i="3"/>
  <c r="H1988" i="3"/>
  <c r="I1988" i="3"/>
  <c r="J1988" i="3"/>
  <c r="K1988" i="3"/>
  <c r="N1988" i="3"/>
  <c r="G1989" i="3"/>
  <c r="H1989" i="3"/>
  <c r="I1989" i="3"/>
  <c r="J1989" i="3"/>
  <c r="K1989" i="3"/>
  <c r="N1989" i="3"/>
  <c r="G1990" i="3"/>
  <c r="H1990" i="3"/>
  <c r="I1990" i="3"/>
  <c r="J1990" i="3"/>
  <c r="K1990" i="3"/>
  <c r="N1990" i="3"/>
  <c r="G1991" i="3"/>
  <c r="H1991" i="3"/>
  <c r="I1991" i="3"/>
  <c r="J1991" i="3"/>
  <c r="K1991" i="3"/>
  <c r="N1991" i="3"/>
  <c r="G1992" i="3"/>
  <c r="H1992" i="3"/>
  <c r="I1992" i="3"/>
  <c r="J1992" i="3"/>
  <c r="K1992" i="3"/>
  <c r="N1992" i="3"/>
  <c r="G1993" i="3"/>
  <c r="H1993" i="3"/>
  <c r="I1993" i="3"/>
  <c r="J1993" i="3"/>
  <c r="K1993" i="3"/>
  <c r="N1993" i="3"/>
  <c r="G1994" i="3"/>
  <c r="H1994" i="3"/>
  <c r="I1994" i="3"/>
  <c r="J1994" i="3"/>
  <c r="K1994" i="3"/>
  <c r="N1994" i="3"/>
  <c r="G1995" i="3"/>
  <c r="H1995" i="3"/>
  <c r="I1995" i="3"/>
  <c r="J1995" i="3"/>
  <c r="K1995" i="3"/>
  <c r="N1995" i="3"/>
  <c r="G1996" i="3"/>
  <c r="H1996" i="3"/>
  <c r="I1996" i="3"/>
  <c r="J1996" i="3"/>
  <c r="K1996" i="3"/>
  <c r="N1996" i="3"/>
  <c r="G1997" i="3"/>
  <c r="H1997" i="3"/>
  <c r="I1997" i="3"/>
  <c r="J1997" i="3"/>
  <c r="K1997" i="3"/>
  <c r="N1997" i="3"/>
  <c r="G1998" i="3"/>
  <c r="H1998" i="3"/>
  <c r="I1998" i="3"/>
  <c r="J1998" i="3"/>
  <c r="K1998" i="3"/>
  <c r="N1998" i="3"/>
  <c r="G1999" i="3"/>
  <c r="H1999" i="3"/>
  <c r="I1999" i="3"/>
  <c r="J1999" i="3"/>
  <c r="K1999" i="3"/>
  <c r="N1999" i="3"/>
  <c r="G2000" i="3"/>
  <c r="H2000" i="3"/>
  <c r="I2000" i="3"/>
  <c r="J2000" i="3"/>
  <c r="K2000" i="3"/>
  <c r="N2000" i="3"/>
  <c r="G2001" i="3"/>
  <c r="H2001" i="3"/>
  <c r="I2001" i="3"/>
  <c r="J2001" i="3"/>
  <c r="K2001" i="3"/>
  <c r="N2001" i="3"/>
  <c r="G2002" i="3"/>
  <c r="H2002" i="3"/>
  <c r="I2002" i="3"/>
  <c r="J2002" i="3"/>
  <c r="K2002" i="3"/>
  <c r="N2002" i="3"/>
  <c r="G2003" i="3"/>
  <c r="H2003" i="3"/>
  <c r="I2003" i="3"/>
  <c r="J2003" i="3"/>
  <c r="K2003" i="3"/>
  <c r="N2003" i="3"/>
  <c r="G2004" i="3"/>
  <c r="H2004" i="3"/>
  <c r="I2004" i="3"/>
  <c r="J2004" i="3"/>
  <c r="K2004" i="3"/>
  <c r="N2004" i="3"/>
  <c r="G2005" i="3"/>
  <c r="H2005" i="3"/>
  <c r="I2005" i="3"/>
  <c r="J2005" i="3"/>
  <c r="K2005" i="3"/>
  <c r="N2005" i="3"/>
  <c r="G2006" i="3"/>
  <c r="H2006" i="3"/>
  <c r="I2006" i="3"/>
  <c r="J2006" i="3"/>
  <c r="K2006" i="3"/>
  <c r="N2006" i="3"/>
  <c r="G2007" i="3"/>
  <c r="H2007" i="3"/>
  <c r="I2007" i="3"/>
  <c r="J2007" i="3"/>
  <c r="K2007" i="3"/>
  <c r="N2007" i="3"/>
  <c r="G2008" i="3"/>
  <c r="H2008" i="3"/>
  <c r="I2008" i="3"/>
  <c r="J2008" i="3"/>
  <c r="K2008" i="3"/>
  <c r="N2008" i="3"/>
  <c r="G2009" i="3"/>
  <c r="H2009" i="3"/>
  <c r="I2009" i="3"/>
  <c r="J2009" i="3"/>
  <c r="K2009" i="3"/>
  <c r="N2009" i="3"/>
  <c r="G2010" i="3"/>
  <c r="H2010" i="3"/>
  <c r="I2010" i="3"/>
  <c r="J2010" i="3"/>
  <c r="K2010" i="3"/>
  <c r="N2010" i="3"/>
  <c r="G2011" i="3"/>
  <c r="H2011" i="3"/>
  <c r="I2011" i="3"/>
  <c r="J2011" i="3"/>
  <c r="K2011" i="3"/>
  <c r="N2011" i="3"/>
  <c r="G2012" i="3"/>
  <c r="H2012" i="3"/>
  <c r="I2012" i="3"/>
  <c r="J2012" i="3"/>
  <c r="K2012" i="3"/>
  <c r="N2012" i="3"/>
  <c r="G2013" i="3"/>
  <c r="H2013" i="3"/>
  <c r="I2013" i="3"/>
  <c r="J2013" i="3"/>
  <c r="K2013" i="3"/>
  <c r="N2013" i="3"/>
  <c r="G2014" i="3"/>
  <c r="H2014" i="3"/>
  <c r="I2014" i="3"/>
  <c r="J2014" i="3"/>
  <c r="K2014" i="3"/>
  <c r="N2014" i="3"/>
  <c r="G2015" i="3"/>
  <c r="H2015" i="3"/>
  <c r="I2015" i="3"/>
  <c r="J2015" i="3"/>
  <c r="K2015" i="3"/>
  <c r="N2015" i="3"/>
  <c r="G2016" i="3"/>
  <c r="H2016" i="3"/>
  <c r="I2016" i="3"/>
  <c r="J2016" i="3"/>
  <c r="K2016" i="3"/>
  <c r="N2016" i="3"/>
  <c r="G2017" i="3"/>
  <c r="H2017" i="3"/>
  <c r="I2017" i="3"/>
  <c r="J2017" i="3"/>
  <c r="K2017" i="3"/>
  <c r="N2017" i="3"/>
  <c r="G2018" i="3"/>
  <c r="H2018" i="3"/>
  <c r="I2018" i="3"/>
  <c r="J2018" i="3"/>
  <c r="K2018" i="3"/>
  <c r="N2018" i="3"/>
  <c r="G2019" i="3"/>
  <c r="H2019" i="3"/>
  <c r="I2019" i="3"/>
  <c r="J2019" i="3"/>
  <c r="K2019" i="3"/>
  <c r="N2019" i="3"/>
  <c r="G2020" i="3"/>
  <c r="H2020" i="3"/>
  <c r="I2020" i="3"/>
  <c r="J2020" i="3"/>
  <c r="K2020" i="3"/>
  <c r="N2020" i="3"/>
  <c r="G2021" i="3"/>
  <c r="H2021" i="3"/>
  <c r="I2021" i="3"/>
  <c r="J2021" i="3"/>
  <c r="K2021" i="3"/>
  <c r="N2021" i="3"/>
  <c r="G2022" i="3"/>
  <c r="H2022" i="3"/>
  <c r="I2022" i="3"/>
  <c r="J2022" i="3"/>
  <c r="K2022" i="3"/>
  <c r="N2022" i="3"/>
  <c r="G2023" i="3"/>
  <c r="H2023" i="3"/>
  <c r="I2023" i="3"/>
  <c r="J2023" i="3"/>
  <c r="K2023" i="3"/>
  <c r="N2023" i="3"/>
  <c r="G2024" i="3"/>
  <c r="H2024" i="3"/>
  <c r="I2024" i="3"/>
  <c r="J2024" i="3"/>
  <c r="K2024" i="3"/>
  <c r="N2024" i="3"/>
  <c r="G2025" i="3"/>
  <c r="H2025" i="3"/>
  <c r="I2025" i="3"/>
  <c r="J2025" i="3"/>
  <c r="K2025" i="3"/>
  <c r="N2025" i="3"/>
  <c r="G2026" i="3"/>
  <c r="H2026" i="3"/>
  <c r="I2026" i="3"/>
  <c r="J2026" i="3"/>
  <c r="K2026" i="3"/>
  <c r="N2026" i="3"/>
  <c r="G2027" i="3"/>
  <c r="H2027" i="3"/>
  <c r="I2027" i="3"/>
  <c r="J2027" i="3"/>
  <c r="K2027" i="3"/>
  <c r="N2027" i="3"/>
  <c r="G2028" i="3"/>
  <c r="H2028" i="3"/>
  <c r="I2028" i="3"/>
  <c r="J2028" i="3"/>
  <c r="K2028" i="3"/>
  <c r="N2028" i="3"/>
  <c r="G2029" i="3"/>
  <c r="H2029" i="3"/>
  <c r="I2029" i="3"/>
  <c r="J2029" i="3"/>
  <c r="K2029" i="3"/>
  <c r="N2029" i="3"/>
  <c r="G2030" i="3"/>
  <c r="H2030" i="3"/>
  <c r="I2030" i="3"/>
  <c r="J2030" i="3"/>
  <c r="K2030" i="3"/>
  <c r="N2030" i="3"/>
  <c r="G2031" i="3"/>
  <c r="H2031" i="3"/>
  <c r="I2031" i="3"/>
  <c r="J2031" i="3"/>
  <c r="K2031" i="3"/>
  <c r="N2031" i="3"/>
  <c r="G2032" i="3"/>
  <c r="H2032" i="3"/>
  <c r="I2032" i="3"/>
  <c r="J2032" i="3"/>
  <c r="K2032" i="3"/>
  <c r="N2032" i="3"/>
  <c r="G2033" i="3"/>
  <c r="H2033" i="3"/>
  <c r="I2033" i="3"/>
  <c r="J2033" i="3"/>
  <c r="K2033" i="3"/>
  <c r="N2033" i="3"/>
  <c r="G2034" i="3"/>
  <c r="H2034" i="3"/>
  <c r="I2034" i="3"/>
  <c r="J2034" i="3"/>
  <c r="K2034" i="3"/>
  <c r="N2034" i="3"/>
  <c r="G2035" i="3"/>
  <c r="H2035" i="3"/>
  <c r="I2035" i="3"/>
  <c r="J2035" i="3"/>
  <c r="K2035" i="3"/>
  <c r="N2035" i="3"/>
  <c r="G2036" i="3"/>
  <c r="H2036" i="3"/>
  <c r="I2036" i="3"/>
  <c r="J2036" i="3"/>
  <c r="K2036" i="3"/>
  <c r="N2036" i="3"/>
  <c r="G2037" i="3"/>
  <c r="H2037" i="3"/>
  <c r="I2037" i="3"/>
  <c r="J2037" i="3"/>
  <c r="K2037" i="3"/>
  <c r="N2037" i="3"/>
  <c r="G2038" i="3"/>
  <c r="H2038" i="3"/>
  <c r="I2038" i="3"/>
  <c r="J2038" i="3"/>
  <c r="K2038" i="3"/>
  <c r="N2038" i="3"/>
  <c r="G2039" i="3"/>
  <c r="H2039" i="3"/>
  <c r="I2039" i="3"/>
  <c r="J2039" i="3"/>
  <c r="K2039" i="3"/>
  <c r="N2039" i="3"/>
  <c r="G2040" i="3"/>
  <c r="H2040" i="3"/>
  <c r="I2040" i="3"/>
  <c r="J2040" i="3"/>
  <c r="K2040" i="3"/>
  <c r="N2040" i="3"/>
  <c r="G2041" i="3"/>
  <c r="H2041" i="3"/>
  <c r="I2041" i="3"/>
  <c r="J2041" i="3"/>
  <c r="K2041" i="3"/>
  <c r="N2041" i="3"/>
  <c r="G2042" i="3"/>
  <c r="H2042" i="3"/>
  <c r="I2042" i="3"/>
  <c r="J2042" i="3"/>
  <c r="K2042" i="3"/>
  <c r="N2042" i="3"/>
  <c r="G2043" i="3"/>
  <c r="H2043" i="3"/>
  <c r="I2043" i="3"/>
  <c r="J2043" i="3"/>
  <c r="K2043" i="3"/>
  <c r="N2043" i="3"/>
  <c r="G2044" i="3"/>
  <c r="H2044" i="3"/>
  <c r="I2044" i="3"/>
  <c r="J2044" i="3"/>
  <c r="K2044" i="3"/>
  <c r="N2044" i="3"/>
  <c r="G2045" i="3"/>
  <c r="H2045" i="3"/>
  <c r="I2045" i="3"/>
  <c r="J2045" i="3"/>
  <c r="K2045" i="3"/>
  <c r="N2045" i="3"/>
  <c r="G2046" i="3"/>
  <c r="H2046" i="3"/>
  <c r="I2046" i="3"/>
  <c r="J2046" i="3"/>
  <c r="K2046" i="3"/>
  <c r="N2046" i="3"/>
  <c r="G2047" i="3"/>
  <c r="H2047" i="3"/>
  <c r="I2047" i="3"/>
  <c r="J2047" i="3"/>
  <c r="K2047" i="3"/>
  <c r="N2047" i="3"/>
  <c r="G2048" i="3"/>
  <c r="H2048" i="3"/>
  <c r="I2048" i="3"/>
  <c r="J2048" i="3"/>
  <c r="K2048" i="3"/>
  <c r="N2048" i="3"/>
  <c r="G2049" i="3"/>
  <c r="H2049" i="3"/>
  <c r="I2049" i="3"/>
  <c r="J2049" i="3"/>
  <c r="K2049" i="3"/>
  <c r="N2049" i="3"/>
  <c r="G2050" i="3"/>
  <c r="H2050" i="3"/>
  <c r="I2050" i="3"/>
  <c r="J2050" i="3"/>
  <c r="K2050" i="3"/>
  <c r="N2050" i="3"/>
  <c r="G2051" i="3"/>
  <c r="H2051" i="3"/>
  <c r="I2051" i="3"/>
  <c r="J2051" i="3"/>
  <c r="K2051" i="3"/>
  <c r="N2051" i="3"/>
  <c r="G2052" i="3"/>
  <c r="H2052" i="3"/>
  <c r="I2052" i="3"/>
  <c r="J2052" i="3"/>
  <c r="K2052" i="3"/>
  <c r="N2052" i="3"/>
  <c r="G2053" i="3"/>
  <c r="H2053" i="3"/>
  <c r="I2053" i="3"/>
  <c r="J2053" i="3"/>
  <c r="K2053" i="3"/>
  <c r="N2053" i="3"/>
  <c r="G2054" i="3"/>
  <c r="H2054" i="3"/>
  <c r="I2054" i="3"/>
  <c r="J2054" i="3"/>
  <c r="K2054" i="3"/>
  <c r="N2054" i="3"/>
  <c r="G2055" i="3"/>
  <c r="H2055" i="3"/>
  <c r="I2055" i="3"/>
  <c r="J2055" i="3"/>
  <c r="K2055" i="3"/>
  <c r="N2055" i="3"/>
  <c r="G2056" i="3"/>
  <c r="H2056" i="3"/>
  <c r="I2056" i="3"/>
  <c r="J2056" i="3"/>
  <c r="K2056" i="3"/>
  <c r="N2056" i="3"/>
  <c r="G2057" i="3"/>
  <c r="H2057" i="3"/>
  <c r="I2057" i="3"/>
  <c r="J2057" i="3"/>
  <c r="K2057" i="3"/>
  <c r="N2057" i="3"/>
  <c r="G2058" i="3"/>
  <c r="H2058" i="3"/>
  <c r="I2058" i="3"/>
  <c r="J2058" i="3"/>
  <c r="K2058" i="3"/>
  <c r="N2058" i="3"/>
  <c r="G2059" i="3"/>
  <c r="H2059" i="3"/>
  <c r="I2059" i="3"/>
  <c r="J2059" i="3"/>
  <c r="K2059" i="3"/>
  <c r="N2059" i="3"/>
  <c r="G2060" i="3"/>
  <c r="H2060" i="3"/>
  <c r="I2060" i="3"/>
  <c r="J2060" i="3"/>
  <c r="K2060" i="3"/>
  <c r="N2060" i="3"/>
  <c r="G2061" i="3"/>
  <c r="H2061" i="3"/>
  <c r="I2061" i="3"/>
  <c r="J2061" i="3"/>
  <c r="K2061" i="3"/>
  <c r="N2061" i="3"/>
  <c r="G2062" i="3"/>
  <c r="H2062" i="3"/>
  <c r="I2062" i="3"/>
  <c r="J2062" i="3"/>
  <c r="K2062" i="3"/>
  <c r="N2062" i="3"/>
  <c r="G2063" i="3"/>
  <c r="H2063" i="3"/>
  <c r="I2063" i="3"/>
  <c r="J2063" i="3"/>
  <c r="K2063" i="3"/>
  <c r="N2063" i="3"/>
  <c r="G2064" i="3"/>
  <c r="H2064" i="3"/>
  <c r="I2064" i="3"/>
  <c r="J2064" i="3"/>
  <c r="K2064" i="3"/>
  <c r="N2064" i="3"/>
  <c r="G2065" i="3"/>
  <c r="H2065" i="3"/>
  <c r="I2065" i="3"/>
  <c r="J2065" i="3"/>
  <c r="K2065" i="3"/>
  <c r="N2065" i="3"/>
  <c r="G2066" i="3"/>
  <c r="H2066" i="3"/>
  <c r="I2066" i="3"/>
  <c r="J2066" i="3"/>
  <c r="K2066" i="3"/>
  <c r="N2066" i="3"/>
  <c r="G2067" i="3"/>
  <c r="H2067" i="3"/>
  <c r="I2067" i="3"/>
  <c r="J2067" i="3"/>
  <c r="K2067" i="3"/>
  <c r="N2067" i="3"/>
  <c r="G2068" i="3"/>
  <c r="H2068" i="3"/>
  <c r="I2068" i="3"/>
  <c r="J2068" i="3"/>
  <c r="K2068" i="3"/>
  <c r="N2068" i="3"/>
  <c r="G2069" i="3"/>
  <c r="H2069" i="3"/>
  <c r="I2069" i="3"/>
  <c r="J2069" i="3"/>
  <c r="K2069" i="3"/>
  <c r="N2069" i="3"/>
  <c r="G2070" i="3"/>
  <c r="H2070" i="3"/>
  <c r="I2070" i="3"/>
  <c r="J2070" i="3"/>
  <c r="K2070" i="3"/>
  <c r="N2070" i="3"/>
  <c r="G2071" i="3"/>
  <c r="H2071" i="3"/>
  <c r="I2071" i="3"/>
  <c r="J2071" i="3"/>
  <c r="K2071" i="3"/>
  <c r="N2071" i="3"/>
  <c r="G2072" i="3"/>
  <c r="H2072" i="3"/>
  <c r="I2072" i="3"/>
  <c r="J2072" i="3"/>
  <c r="K2072" i="3"/>
  <c r="N2072" i="3"/>
  <c r="G2073" i="3"/>
  <c r="H2073" i="3"/>
  <c r="I2073" i="3"/>
  <c r="J2073" i="3"/>
  <c r="K2073" i="3"/>
  <c r="N2073" i="3"/>
  <c r="G2074" i="3"/>
  <c r="H2074" i="3"/>
  <c r="I2074" i="3"/>
  <c r="J2074" i="3"/>
  <c r="K2074" i="3"/>
  <c r="N2074" i="3"/>
  <c r="G2075" i="3"/>
  <c r="H2075" i="3"/>
  <c r="I2075" i="3"/>
  <c r="J2075" i="3"/>
  <c r="K2075" i="3"/>
  <c r="N2075" i="3"/>
  <c r="G2076" i="3"/>
  <c r="H2076" i="3"/>
  <c r="I2076" i="3"/>
  <c r="J2076" i="3"/>
  <c r="K2076" i="3"/>
  <c r="N2076" i="3"/>
  <c r="G2077" i="3"/>
  <c r="H2077" i="3"/>
  <c r="I2077" i="3"/>
  <c r="J2077" i="3"/>
  <c r="K2077" i="3"/>
  <c r="N2077" i="3"/>
  <c r="G2078" i="3"/>
  <c r="H2078" i="3"/>
  <c r="I2078" i="3"/>
  <c r="J2078" i="3"/>
  <c r="K2078" i="3"/>
  <c r="N2078" i="3"/>
  <c r="G2079" i="3"/>
  <c r="H2079" i="3"/>
  <c r="I2079" i="3"/>
  <c r="J2079" i="3"/>
  <c r="K2079" i="3"/>
  <c r="N2079" i="3"/>
  <c r="G2080" i="3"/>
  <c r="H2080" i="3"/>
  <c r="I2080" i="3"/>
  <c r="J2080" i="3"/>
  <c r="K2080" i="3"/>
  <c r="N2080" i="3"/>
  <c r="G2081" i="3"/>
  <c r="H2081" i="3"/>
  <c r="I2081" i="3"/>
  <c r="J2081" i="3"/>
  <c r="K2081" i="3"/>
  <c r="N2081" i="3"/>
  <c r="G2082" i="3"/>
  <c r="H2082" i="3"/>
  <c r="I2082" i="3"/>
  <c r="J2082" i="3"/>
  <c r="K2082" i="3"/>
  <c r="N2082" i="3"/>
  <c r="G2083" i="3"/>
  <c r="H2083" i="3"/>
  <c r="I2083" i="3"/>
  <c r="J2083" i="3"/>
  <c r="K2083" i="3"/>
  <c r="N2083" i="3"/>
  <c r="G2084" i="3"/>
  <c r="H2084" i="3"/>
  <c r="I2084" i="3"/>
  <c r="J2084" i="3"/>
  <c r="K2084" i="3"/>
  <c r="N2084" i="3"/>
  <c r="G2085" i="3"/>
  <c r="H2085" i="3"/>
  <c r="I2085" i="3"/>
  <c r="J2085" i="3"/>
  <c r="K2085" i="3"/>
  <c r="N2085" i="3"/>
  <c r="G2086" i="3"/>
  <c r="H2086" i="3"/>
  <c r="I2086" i="3"/>
  <c r="J2086" i="3"/>
  <c r="K2086" i="3"/>
  <c r="N2086" i="3"/>
  <c r="G2087" i="3"/>
  <c r="H2087" i="3"/>
  <c r="I2087" i="3"/>
  <c r="J2087" i="3"/>
  <c r="K2087" i="3"/>
  <c r="N2087" i="3"/>
  <c r="G2088" i="3"/>
  <c r="H2088" i="3"/>
  <c r="I2088" i="3"/>
  <c r="J2088" i="3"/>
  <c r="K2088" i="3"/>
  <c r="N2088" i="3"/>
  <c r="G2089" i="3"/>
  <c r="H2089" i="3"/>
  <c r="I2089" i="3"/>
  <c r="J2089" i="3"/>
  <c r="K2089" i="3"/>
  <c r="N2089" i="3"/>
  <c r="G2090" i="3"/>
  <c r="H2090" i="3"/>
  <c r="I2090" i="3"/>
  <c r="J2090" i="3"/>
  <c r="K2090" i="3"/>
  <c r="N2090" i="3"/>
  <c r="G2091" i="3"/>
  <c r="H2091" i="3"/>
  <c r="I2091" i="3"/>
  <c r="J2091" i="3"/>
  <c r="K2091" i="3"/>
  <c r="N2091" i="3"/>
  <c r="G2092" i="3"/>
  <c r="H2092" i="3"/>
  <c r="I2092" i="3"/>
  <c r="J2092" i="3"/>
  <c r="K2092" i="3"/>
  <c r="N2092" i="3"/>
  <c r="G2093" i="3"/>
  <c r="H2093" i="3"/>
  <c r="I2093" i="3"/>
  <c r="J2093" i="3"/>
  <c r="K2093" i="3"/>
  <c r="N2093" i="3"/>
  <c r="G2094" i="3"/>
  <c r="H2094" i="3"/>
  <c r="I2094" i="3"/>
  <c r="J2094" i="3"/>
  <c r="K2094" i="3"/>
  <c r="N2094" i="3"/>
  <c r="G2095" i="3"/>
  <c r="H2095" i="3"/>
  <c r="I2095" i="3"/>
  <c r="J2095" i="3"/>
  <c r="K2095" i="3"/>
  <c r="N2095" i="3"/>
  <c r="G2096" i="3"/>
  <c r="H2096" i="3"/>
  <c r="I2096" i="3"/>
  <c r="J2096" i="3"/>
  <c r="K2096" i="3"/>
  <c r="N2096" i="3"/>
  <c r="G2097" i="3"/>
  <c r="H2097" i="3"/>
  <c r="I2097" i="3"/>
  <c r="J2097" i="3"/>
  <c r="K2097" i="3"/>
  <c r="N2097" i="3"/>
  <c r="G2098" i="3"/>
  <c r="H2098" i="3"/>
  <c r="I2098" i="3"/>
  <c r="J2098" i="3"/>
  <c r="K2098" i="3"/>
  <c r="N2098" i="3"/>
  <c r="G2099" i="3"/>
  <c r="H2099" i="3"/>
  <c r="I2099" i="3"/>
  <c r="J2099" i="3"/>
  <c r="K2099" i="3"/>
  <c r="N2099" i="3"/>
  <c r="G2100" i="3"/>
  <c r="H2100" i="3"/>
  <c r="I2100" i="3"/>
  <c r="J2100" i="3"/>
  <c r="K2100" i="3"/>
  <c r="N2100" i="3"/>
  <c r="G2101" i="3"/>
  <c r="H2101" i="3"/>
  <c r="I2101" i="3"/>
  <c r="J2101" i="3"/>
  <c r="K2101" i="3"/>
  <c r="N2101" i="3"/>
  <c r="G2102" i="3"/>
  <c r="H2102" i="3"/>
  <c r="I2102" i="3"/>
  <c r="J2102" i="3"/>
  <c r="K2102" i="3"/>
  <c r="N2102" i="3"/>
  <c r="G2103" i="3"/>
  <c r="H2103" i="3"/>
  <c r="I2103" i="3"/>
  <c r="J2103" i="3"/>
  <c r="K2103" i="3"/>
  <c r="N2103" i="3"/>
  <c r="G2104" i="3"/>
  <c r="H2104" i="3"/>
  <c r="I2104" i="3"/>
  <c r="J2104" i="3"/>
  <c r="K2104" i="3"/>
  <c r="N2104" i="3"/>
  <c r="G2105" i="3"/>
  <c r="H2105" i="3"/>
  <c r="I2105" i="3"/>
  <c r="J2105" i="3"/>
  <c r="K2105" i="3"/>
  <c r="N2105" i="3"/>
  <c r="G2106" i="3"/>
  <c r="H2106" i="3"/>
  <c r="I2106" i="3"/>
  <c r="J2106" i="3"/>
  <c r="K2106" i="3"/>
  <c r="N2106" i="3"/>
  <c r="G2107" i="3"/>
  <c r="H2107" i="3"/>
  <c r="I2107" i="3"/>
  <c r="J2107" i="3"/>
  <c r="K2107" i="3"/>
  <c r="N2107" i="3"/>
  <c r="G2108" i="3"/>
  <c r="H2108" i="3"/>
  <c r="I2108" i="3"/>
  <c r="J2108" i="3"/>
  <c r="K2108" i="3"/>
  <c r="N2108" i="3"/>
  <c r="G2109" i="3"/>
  <c r="H2109" i="3"/>
  <c r="I2109" i="3"/>
  <c r="J2109" i="3"/>
  <c r="K2109" i="3"/>
  <c r="N2109" i="3"/>
  <c r="G2110" i="3"/>
  <c r="H2110" i="3"/>
  <c r="I2110" i="3"/>
  <c r="J2110" i="3"/>
  <c r="K2110" i="3"/>
  <c r="N2110" i="3"/>
  <c r="G2111" i="3"/>
  <c r="H2111" i="3"/>
  <c r="I2111" i="3"/>
  <c r="J2111" i="3"/>
  <c r="K2111" i="3"/>
  <c r="N2111" i="3"/>
  <c r="G2112" i="3"/>
  <c r="H2112" i="3"/>
  <c r="I2112" i="3"/>
  <c r="J2112" i="3"/>
  <c r="K2112" i="3"/>
  <c r="N2112" i="3"/>
  <c r="G2113" i="3"/>
  <c r="H2113" i="3"/>
  <c r="I2113" i="3"/>
  <c r="J2113" i="3"/>
  <c r="K2113" i="3"/>
  <c r="N2113" i="3"/>
  <c r="G2114" i="3"/>
  <c r="H2114" i="3"/>
  <c r="I2114" i="3"/>
  <c r="J2114" i="3"/>
  <c r="K2114" i="3"/>
  <c r="N2114" i="3"/>
  <c r="G2115" i="3"/>
  <c r="H2115" i="3"/>
  <c r="I2115" i="3"/>
  <c r="J2115" i="3"/>
  <c r="K2115" i="3"/>
  <c r="N2115" i="3"/>
  <c r="G2116" i="3"/>
  <c r="H2116" i="3"/>
  <c r="I2116" i="3"/>
  <c r="J2116" i="3"/>
  <c r="K2116" i="3"/>
  <c r="N2116" i="3"/>
  <c r="G2117" i="3"/>
  <c r="H2117" i="3"/>
  <c r="I2117" i="3"/>
  <c r="J2117" i="3"/>
  <c r="K2117" i="3"/>
  <c r="N2117" i="3"/>
  <c r="G2118" i="3"/>
  <c r="H2118" i="3"/>
  <c r="I2118" i="3"/>
  <c r="J2118" i="3"/>
  <c r="K2118" i="3"/>
  <c r="N2118" i="3"/>
  <c r="G2119" i="3"/>
  <c r="H2119" i="3"/>
  <c r="I2119" i="3"/>
  <c r="J2119" i="3"/>
  <c r="K2119" i="3"/>
  <c r="N2119" i="3"/>
  <c r="G2120" i="3"/>
  <c r="H2120" i="3"/>
  <c r="I2120" i="3"/>
  <c r="J2120" i="3"/>
  <c r="K2120" i="3"/>
  <c r="N2120" i="3"/>
  <c r="G2121" i="3"/>
  <c r="H2121" i="3"/>
  <c r="I2121" i="3"/>
  <c r="J2121" i="3"/>
  <c r="K2121" i="3"/>
  <c r="N2121" i="3"/>
  <c r="G2122" i="3"/>
  <c r="H2122" i="3"/>
  <c r="I2122" i="3"/>
  <c r="J2122" i="3"/>
  <c r="K2122" i="3"/>
  <c r="N2122" i="3"/>
  <c r="G2123" i="3"/>
  <c r="H2123" i="3"/>
  <c r="I2123" i="3"/>
  <c r="J2123" i="3"/>
  <c r="K2123" i="3"/>
  <c r="N2123" i="3"/>
  <c r="G2124" i="3"/>
  <c r="H2124" i="3"/>
  <c r="I2124" i="3"/>
  <c r="J2124" i="3"/>
  <c r="K2124" i="3"/>
  <c r="N2124" i="3"/>
  <c r="G2125" i="3"/>
  <c r="H2125" i="3"/>
  <c r="I2125" i="3"/>
  <c r="J2125" i="3"/>
  <c r="K2125" i="3"/>
  <c r="N2125" i="3"/>
  <c r="G2126" i="3"/>
  <c r="H2126" i="3"/>
  <c r="I2126" i="3"/>
  <c r="J2126" i="3"/>
  <c r="K2126" i="3"/>
  <c r="N2126" i="3"/>
  <c r="G2127" i="3"/>
  <c r="H2127" i="3"/>
  <c r="I2127" i="3"/>
  <c r="J2127" i="3"/>
  <c r="K2127" i="3"/>
  <c r="N2127" i="3"/>
  <c r="G2128" i="3"/>
  <c r="H2128" i="3"/>
  <c r="I2128" i="3"/>
  <c r="J2128" i="3"/>
  <c r="K2128" i="3"/>
  <c r="N2128" i="3"/>
  <c r="G2129" i="3"/>
  <c r="H2129" i="3"/>
  <c r="I2129" i="3"/>
  <c r="J2129" i="3"/>
  <c r="K2129" i="3"/>
  <c r="N2129" i="3"/>
  <c r="G2130" i="3"/>
  <c r="H2130" i="3"/>
  <c r="I2130" i="3"/>
  <c r="J2130" i="3"/>
  <c r="K2130" i="3"/>
  <c r="N2130" i="3"/>
  <c r="G2131" i="3"/>
  <c r="H2131" i="3"/>
  <c r="I2131" i="3"/>
  <c r="J2131" i="3"/>
  <c r="K2131" i="3"/>
  <c r="N2131" i="3"/>
  <c r="G2132" i="3"/>
  <c r="H2132" i="3"/>
  <c r="I2132" i="3"/>
  <c r="J2132" i="3"/>
  <c r="K2132" i="3"/>
  <c r="N2132" i="3"/>
  <c r="G2133" i="3"/>
  <c r="H2133" i="3"/>
  <c r="I2133" i="3"/>
  <c r="J2133" i="3"/>
  <c r="K2133" i="3"/>
  <c r="N2133" i="3"/>
  <c r="G2134" i="3"/>
  <c r="H2134" i="3"/>
  <c r="I2134" i="3"/>
  <c r="J2134" i="3"/>
  <c r="K2134" i="3"/>
  <c r="N2134" i="3"/>
  <c r="G2135" i="3"/>
  <c r="H2135" i="3"/>
  <c r="I2135" i="3"/>
  <c r="J2135" i="3"/>
  <c r="K2135" i="3"/>
  <c r="N2135" i="3"/>
  <c r="G2136" i="3"/>
  <c r="H2136" i="3"/>
  <c r="I2136" i="3"/>
  <c r="J2136" i="3"/>
  <c r="K2136" i="3"/>
  <c r="N2136" i="3"/>
  <c r="G2137" i="3"/>
  <c r="H2137" i="3"/>
  <c r="I2137" i="3"/>
  <c r="J2137" i="3"/>
  <c r="K2137" i="3"/>
  <c r="N2137" i="3"/>
  <c r="G2138" i="3"/>
  <c r="H2138" i="3"/>
  <c r="I2138" i="3"/>
  <c r="J2138" i="3"/>
  <c r="K2138" i="3"/>
  <c r="N2138" i="3"/>
  <c r="G2139" i="3"/>
  <c r="H2139" i="3"/>
  <c r="I2139" i="3"/>
  <c r="J2139" i="3"/>
  <c r="K2139" i="3"/>
  <c r="N2139" i="3"/>
  <c r="G2140" i="3"/>
  <c r="H2140" i="3"/>
  <c r="I2140" i="3"/>
  <c r="J2140" i="3"/>
  <c r="K2140" i="3"/>
  <c r="N2140" i="3"/>
  <c r="G2141" i="3"/>
  <c r="H2141" i="3"/>
  <c r="I2141" i="3"/>
  <c r="J2141" i="3"/>
  <c r="K2141" i="3"/>
  <c r="N2141" i="3"/>
  <c r="G2142" i="3"/>
  <c r="H2142" i="3"/>
  <c r="I2142" i="3"/>
  <c r="J2142" i="3"/>
  <c r="K2142" i="3"/>
  <c r="N2142" i="3"/>
  <c r="G2143" i="3"/>
  <c r="H2143" i="3"/>
  <c r="I2143" i="3"/>
  <c r="J2143" i="3"/>
  <c r="K2143" i="3"/>
  <c r="N2143" i="3"/>
  <c r="G2144" i="3"/>
  <c r="H2144" i="3"/>
  <c r="I2144" i="3"/>
  <c r="J2144" i="3"/>
  <c r="K2144" i="3"/>
  <c r="N2144" i="3"/>
  <c r="G2145" i="3"/>
  <c r="H2145" i="3"/>
  <c r="I2145" i="3"/>
  <c r="J2145" i="3"/>
  <c r="K2145" i="3"/>
  <c r="N2145" i="3"/>
  <c r="G2146" i="3"/>
  <c r="H2146" i="3"/>
  <c r="I2146" i="3"/>
  <c r="J2146" i="3"/>
  <c r="K2146" i="3"/>
  <c r="N2146" i="3"/>
  <c r="G2147" i="3"/>
  <c r="H2147" i="3"/>
  <c r="I2147" i="3"/>
  <c r="J2147" i="3"/>
  <c r="K2147" i="3"/>
  <c r="N2147" i="3"/>
  <c r="G2148" i="3"/>
  <c r="H2148" i="3"/>
  <c r="I2148" i="3"/>
  <c r="J2148" i="3"/>
  <c r="K2148" i="3"/>
  <c r="N2148" i="3"/>
  <c r="G2149" i="3"/>
  <c r="H2149" i="3"/>
  <c r="I2149" i="3"/>
  <c r="J2149" i="3"/>
  <c r="K2149" i="3"/>
  <c r="N2149" i="3"/>
  <c r="G2150" i="3"/>
  <c r="H2150" i="3"/>
  <c r="I2150" i="3"/>
  <c r="J2150" i="3"/>
  <c r="K2150" i="3"/>
  <c r="N2150" i="3"/>
  <c r="G2151" i="3"/>
  <c r="H2151" i="3"/>
  <c r="I2151" i="3"/>
  <c r="J2151" i="3"/>
  <c r="K2151" i="3"/>
  <c r="N2151" i="3"/>
  <c r="G2152" i="3"/>
  <c r="H2152" i="3"/>
  <c r="I2152" i="3"/>
  <c r="J2152" i="3"/>
  <c r="K2152" i="3"/>
  <c r="N2152" i="3"/>
  <c r="G2153" i="3"/>
  <c r="H2153" i="3"/>
  <c r="I2153" i="3"/>
  <c r="J2153" i="3"/>
  <c r="K2153" i="3"/>
  <c r="N2153" i="3"/>
  <c r="G2154" i="3"/>
  <c r="H2154" i="3"/>
  <c r="I2154" i="3"/>
  <c r="J2154" i="3"/>
  <c r="K2154" i="3"/>
  <c r="N2154" i="3"/>
  <c r="G2155" i="3"/>
  <c r="H2155" i="3"/>
  <c r="I2155" i="3"/>
  <c r="J2155" i="3"/>
  <c r="K2155" i="3"/>
  <c r="N2155" i="3"/>
  <c r="G2156" i="3"/>
  <c r="H2156" i="3"/>
  <c r="I2156" i="3"/>
  <c r="J2156" i="3"/>
  <c r="K2156" i="3"/>
  <c r="N2156" i="3"/>
  <c r="G2157" i="3"/>
  <c r="H2157" i="3"/>
  <c r="I2157" i="3"/>
  <c r="J2157" i="3"/>
  <c r="K2157" i="3"/>
  <c r="N2157" i="3"/>
  <c r="G2158" i="3"/>
  <c r="H2158" i="3"/>
  <c r="I2158" i="3"/>
  <c r="J2158" i="3"/>
  <c r="K2158" i="3"/>
  <c r="N2158" i="3"/>
  <c r="G2159" i="3"/>
  <c r="H2159" i="3"/>
  <c r="I2159" i="3"/>
  <c r="J2159" i="3"/>
  <c r="K2159" i="3"/>
  <c r="N2159" i="3"/>
  <c r="G2160" i="3"/>
  <c r="H2160" i="3"/>
  <c r="I2160" i="3"/>
  <c r="J2160" i="3"/>
  <c r="K2160" i="3"/>
  <c r="N2160" i="3"/>
  <c r="G2161" i="3"/>
  <c r="H2161" i="3"/>
  <c r="I2161" i="3"/>
  <c r="J2161" i="3"/>
  <c r="K2161" i="3"/>
  <c r="N2161" i="3"/>
  <c r="G2162" i="3"/>
  <c r="H2162" i="3"/>
  <c r="I2162" i="3"/>
  <c r="J2162" i="3"/>
  <c r="K2162" i="3"/>
  <c r="N2162" i="3"/>
  <c r="G2163" i="3"/>
  <c r="H2163" i="3"/>
  <c r="I2163" i="3"/>
  <c r="J2163" i="3"/>
  <c r="K2163" i="3"/>
  <c r="N2163" i="3"/>
  <c r="G2164" i="3"/>
  <c r="H2164" i="3"/>
  <c r="I2164" i="3"/>
  <c r="J2164" i="3"/>
  <c r="K2164" i="3"/>
  <c r="N2164" i="3"/>
  <c r="G2165" i="3"/>
  <c r="H2165" i="3"/>
  <c r="I2165" i="3"/>
  <c r="J2165" i="3"/>
  <c r="K2165" i="3"/>
  <c r="N2165" i="3"/>
  <c r="G2166" i="3"/>
  <c r="H2166" i="3"/>
  <c r="I2166" i="3"/>
  <c r="J2166" i="3"/>
  <c r="K2166" i="3"/>
  <c r="N2166" i="3"/>
  <c r="G2167" i="3"/>
  <c r="H2167" i="3"/>
  <c r="I2167" i="3"/>
  <c r="J2167" i="3"/>
  <c r="K2167" i="3"/>
  <c r="N2167" i="3"/>
  <c r="G2168" i="3"/>
  <c r="H2168" i="3"/>
  <c r="I2168" i="3"/>
  <c r="J2168" i="3"/>
  <c r="K2168" i="3"/>
  <c r="N2168" i="3"/>
  <c r="G2169" i="3"/>
  <c r="H2169" i="3"/>
  <c r="I2169" i="3"/>
  <c r="J2169" i="3"/>
  <c r="K2169" i="3"/>
  <c r="N2169" i="3"/>
  <c r="G2170" i="3"/>
  <c r="H2170" i="3"/>
  <c r="I2170" i="3"/>
  <c r="J2170" i="3"/>
  <c r="K2170" i="3"/>
  <c r="N2170" i="3"/>
  <c r="G2171" i="3"/>
  <c r="H2171" i="3"/>
  <c r="I2171" i="3"/>
  <c r="J2171" i="3"/>
  <c r="K2171" i="3"/>
  <c r="N2171" i="3"/>
  <c r="G2172" i="3"/>
  <c r="H2172" i="3"/>
  <c r="I2172" i="3"/>
  <c r="J2172" i="3"/>
  <c r="K2172" i="3"/>
  <c r="N2172" i="3"/>
  <c r="G2173" i="3"/>
  <c r="H2173" i="3"/>
  <c r="I2173" i="3"/>
  <c r="J2173" i="3"/>
  <c r="K2173" i="3"/>
  <c r="N2173" i="3"/>
  <c r="G2174" i="3"/>
  <c r="H2174" i="3"/>
  <c r="I2174" i="3"/>
  <c r="J2174" i="3"/>
  <c r="K2174" i="3"/>
  <c r="N2174" i="3"/>
  <c r="G2175" i="3"/>
  <c r="H2175" i="3"/>
  <c r="I2175" i="3"/>
  <c r="J2175" i="3"/>
  <c r="K2175" i="3"/>
  <c r="N2175" i="3"/>
  <c r="G2176" i="3"/>
  <c r="H2176" i="3"/>
  <c r="I2176" i="3"/>
  <c r="J2176" i="3"/>
  <c r="K2176" i="3"/>
  <c r="N2176" i="3"/>
  <c r="G2177" i="3"/>
  <c r="H2177" i="3"/>
  <c r="I2177" i="3"/>
  <c r="J2177" i="3"/>
  <c r="K2177" i="3"/>
  <c r="N2177" i="3"/>
  <c r="G2178" i="3"/>
  <c r="H2178" i="3"/>
  <c r="I2178" i="3"/>
  <c r="J2178" i="3"/>
  <c r="K2178" i="3"/>
  <c r="N2178" i="3"/>
  <c r="G2179" i="3"/>
  <c r="H2179" i="3"/>
  <c r="I2179" i="3"/>
  <c r="J2179" i="3"/>
  <c r="K2179" i="3"/>
  <c r="N2179" i="3"/>
  <c r="G2180" i="3"/>
  <c r="H2180" i="3"/>
  <c r="I2180" i="3"/>
  <c r="J2180" i="3"/>
  <c r="K2180" i="3"/>
  <c r="N2180" i="3"/>
  <c r="G2181" i="3"/>
  <c r="H2181" i="3"/>
  <c r="I2181" i="3"/>
  <c r="J2181" i="3"/>
  <c r="K2181" i="3"/>
  <c r="N2181" i="3"/>
  <c r="G2182" i="3"/>
  <c r="H2182" i="3"/>
  <c r="I2182" i="3"/>
  <c r="J2182" i="3"/>
  <c r="K2182" i="3"/>
  <c r="N2182" i="3"/>
  <c r="G2183" i="3"/>
  <c r="H2183" i="3"/>
  <c r="I2183" i="3"/>
  <c r="J2183" i="3"/>
  <c r="K2183" i="3"/>
  <c r="N2183" i="3"/>
  <c r="G2184" i="3"/>
  <c r="H2184" i="3"/>
  <c r="I2184" i="3"/>
  <c r="J2184" i="3"/>
  <c r="K2184" i="3"/>
  <c r="N2184" i="3"/>
  <c r="G2185" i="3"/>
  <c r="H2185" i="3"/>
  <c r="I2185" i="3"/>
  <c r="J2185" i="3"/>
  <c r="K2185" i="3"/>
  <c r="N2185" i="3"/>
  <c r="G2186" i="3"/>
  <c r="H2186" i="3"/>
  <c r="I2186" i="3"/>
  <c r="J2186" i="3"/>
  <c r="K2186" i="3"/>
  <c r="N2186" i="3"/>
  <c r="G2187" i="3"/>
  <c r="H2187" i="3"/>
  <c r="I2187" i="3"/>
  <c r="J2187" i="3"/>
  <c r="K2187" i="3"/>
  <c r="N2187" i="3"/>
  <c r="G2188" i="3"/>
  <c r="H2188" i="3"/>
  <c r="I2188" i="3"/>
  <c r="J2188" i="3"/>
  <c r="K2188" i="3"/>
  <c r="N2188" i="3"/>
  <c r="G2189" i="3"/>
  <c r="H2189" i="3"/>
  <c r="I2189" i="3"/>
  <c r="J2189" i="3"/>
  <c r="K2189" i="3"/>
  <c r="N2189" i="3"/>
  <c r="G2190" i="3"/>
  <c r="H2190" i="3"/>
  <c r="I2190" i="3"/>
  <c r="J2190" i="3"/>
  <c r="K2190" i="3"/>
  <c r="N2190" i="3"/>
  <c r="G2191" i="3"/>
  <c r="H2191" i="3"/>
  <c r="I2191" i="3"/>
  <c r="J2191" i="3"/>
  <c r="K2191" i="3"/>
  <c r="N2191" i="3"/>
  <c r="G2192" i="3"/>
  <c r="H2192" i="3"/>
  <c r="I2192" i="3"/>
  <c r="J2192" i="3"/>
  <c r="K2192" i="3"/>
  <c r="N2192" i="3"/>
  <c r="G2193" i="3"/>
  <c r="H2193" i="3"/>
  <c r="I2193" i="3"/>
  <c r="J2193" i="3"/>
  <c r="K2193" i="3"/>
  <c r="N2193" i="3"/>
  <c r="G2194" i="3"/>
  <c r="H2194" i="3"/>
  <c r="I2194" i="3"/>
  <c r="J2194" i="3"/>
  <c r="K2194" i="3"/>
  <c r="N2194" i="3"/>
  <c r="G2195" i="3"/>
  <c r="H2195" i="3"/>
  <c r="I2195" i="3"/>
  <c r="J2195" i="3"/>
  <c r="K2195" i="3"/>
  <c r="N2195" i="3"/>
  <c r="G2196" i="3"/>
  <c r="H2196" i="3"/>
  <c r="I2196" i="3"/>
  <c r="J2196" i="3"/>
  <c r="K2196" i="3"/>
  <c r="N2196" i="3"/>
  <c r="G2197" i="3"/>
  <c r="H2197" i="3"/>
  <c r="I2197" i="3"/>
  <c r="J2197" i="3"/>
  <c r="K2197" i="3"/>
  <c r="N2197" i="3"/>
  <c r="G2198" i="3"/>
  <c r="H2198" i="3"/>
  <c r="I2198" i="3"/>
  <c r="J2198" i="3"/>
  <c r="K2198" i="3"/>
  <c r="N2198" i="3"/>
  <c r="G2199" i="3"/>
  <c r="H2199" i="3"/>
  <c r="I2199" i="3"/>
  <c r="J2199" i="3"/>
  <c r="K2199" i="3"/>
  <c r="N2199" i="3"/>
  <c r="G2200" i="3"/>
  <c r="H2200" i="3"/>
  <c r="I2200" i="3"/>
  <c r="J2200" i="3"/>
  <c r="K2200" i="3"/>
  <c r="N2200" i="3"/>
  <c r="G2201" i="3"/>
  <c r="H2201" i="3"/>
  <c r="I2201" i="3"/>
  <c r="J2201" i="3"/>
  <c r="K2201" i="3"/>
  <c r="N2201" i="3"/>
  <c r="G2202" i="3"/>
  <c r="H2202" i="3"/>
  <c r="I2202" i="3"/>
  <c r="J2202" i="3"/>
  <c r="K2202" i="3"/>
  <c r="N2202" i="3"/>
  <c r="G2203" i="3"/>
  <c r="H2203" i="3"/>
  <c r="I2203" i="3"/>
  <c r="J2203" i="3"/>
  <c r="K2203" i="3"/>
  <c r="N2203" i="3"/>
  <c r="G2204" i="3"/>
  <c r="H2204" i="3"/>
  <c r="I2204" i="3"/>
  <c r="J2204" i="3"/>
  <c r="K2204" i="3"/>
  <c r="N2204" i="3"/>
  <c r="G2205" i="3"/>
  <c r="H2205" i="3"/>
  <c r="I2205" i="3"/>
  <c r="J2205" i="3"/>
  <c r="K2205" i="3"/>
  <c r="N2205" i="3"/>
  <c r="G2206" i="3"/>
  <c r="H2206" i="3"/>
  <c r="I2206" i="3"/>
  <c r="J2206" i="3"/>
  <c r="K2206" i="3"/>
  <c r="N2206" i="3"/>
  <c r="G2207" i="3"/>
  <c r="H2207" i="3"/>
  <c r="I2207" i="3"/>
  <c r="J2207" i="3"/>
  <c r="K2207" i="3"/>
  <c r="N2207" i="3"/>
  <c r="G2208" i="3"/>
  <c r="H2208" i="3"/>
  <c r="I2208" i="3"/>
  <c r="J2208" i="3"/>
  <c r="K2208" i="3"/>
  <c r="N2208" i="3"/>
  <c r="G2209" i="3"/>
  <c r="H2209" i="3"/>
  <c r="I2209" i="3"/>
  <c r="J2209" i="3"/>
  <c r="K2209" i="3"/>
  <c r="N2209" i="3"/>
  <c r="G2210" i="3"/>
  <c r="H2210" i="3"/>
  <c r="I2210" i="3"/>
  <c r="J2210" i="3"/>
  <c r="K2210" i="3"/>
  <c r="N2210" i="3"/>
  <c r="G2211" i="3"/>
  <c r="H2211" i="3"/>
  <c r="I2211" i="3"/>
  <c r="J2211" i="3"/>
  <c r="K2211" i="3"/>
  <c r="N2211" i="3"/>
  <c r="G2212" i="3"/>
  <c r="H2212" i="3"/>
  <c r="I2212" i="3"/>
  <c r="J2212" i="3"/>
  <c r="K2212" i="3"/>
  <c r="N2212" i="3"/>
  <c r="G2213" i="3"/>
  <c r="H2213" i="3"/>
  <c r="I2213" i="3"/>
  <c r="J2213" i="3"/>
  <c r="K2213" i="3"/>
  <c r="N2213" i="3"/>
  <c r="G2214" i="3"/>
  <c r="H2214" i="3"/>
  <c r="I2214" i="3"/>
  <c r="J2214" i="3"/>
  <c r="K2214" i="3"/>
  <c r="N2214" i="3"/>
  <c r="G2215" i="3"/>
  <c r="H2215" i="3"/>
  <c r="I2215" i="3"/>
  <c r="J2215" i="3"/>
  <c r="K2215" i="3"/>
  <c r="N2215" i="3"/>
  <c r="G2216" i="3"/>
  <c r="H2216" i="3"/>
  <c r="I2216" i="3"/>
  <c r="J2216" i="3"/>
  <c r="K2216" i="3"/>
  <c r="N2216" i="3"/>
  <c r="G2217" i="3"/>
  <c r="H2217" i="3"/>
  <c r="I2217" i="3"/>
  <c r="J2217" i="3"/>
  <c r="K2217" i="3"/>
  <c r="N2217" i="3"/>
  <c r="G2218" i="3"/>
  <c r="H2218" i="3"/>
  <c r="I2218" i="3"/>
  <c r="J2218" i="3"/>
  <c r="K2218" i="3"/>
  <c r="N2218" i="3"/>
  <c r="G2219" i="3"/>
  <c r="H2219" i="3"/>
  <c r="I2219" i="3"/>
  <c r="J2219" i="3"/>
  <c r="K2219" i="3"/>
  <c r="N2219" i="3"/>
  <c r="G2220" i="3"/>
  <c r="H2220" i="3"/>
  <c r="I2220" i="3"/>
  <c r="J2220" i="3"/>
  <c r="K2220" i="3"/>
  <c r="N2220" i="3"/>
  <c r="G2221" i="3"/>
  <c r="H2221" i="3"/>
  <c r="I2221" i="3"/>
  <c r="J2221" i="3"/>
  <c r="K2221" i="3"/>
  <c r="N2221" i="3"/>
  <c r="G2222" i="3"/>
  <c r="H2222" i="3"/>
  <c r="I2222" i="3"/>
  <c r="J2222" i="3"/>
  <c r="K2222" i="3"/>
  <c r="N2222" i="3"/>
  <c r="G2223" i="3"/>
  <c r="H2223" i="3"/>
  <c r="I2223" i="3"/>
  <c r="J2223" i="3"/>
  <c r="K2223" i="3"/>
  <c r="N2223" i="3"/>
  <c r="G2224" i="3"/>
  <c r="H2224" i="3"/>
  <c r="I2224" i="3"/>
  <c r="J2224" i="3"/>
  <c r="K2224" i="3"/>
  <c r="N2224" i="3"/>
  <c r="G2225" i="3"/>
  <c r="H2225" i="3"/>
  <c r="I2225" i="3"/>
  <c r="J2225" i="3"/>
  <c r="K2225" i="3"/>
  <c r="N2225" i="3"/>
  <c r="G2226" i="3"/>
  <c r="H2226" i="3"/>
  <c r="I2226" i="3"/>
  <c r="J2226" i="3"/>
  <c r="K2226" i="3"/>
  <c r="N2226" i="3"/>
  <c r="G2227" i="3"/>
  <c r="H2227" i="3"/>
  <c r="I2227" i="3"/>
  <c r="J2227" i="3"/>
  <c r="K2227" i="3"/>
  <c r="N2227" i="3"/>
  <c r="G2228" i="3"/>
  <c r="H2228" i="3"/>
  <c r="I2228" i="3"/>
  <c r="J2228" i="3"/>
  <c r="K2228" i="3"/>
  <c r="N2228" i="3"/>
  <c r="G2229" i="3"/>
  <c r="H2229" i="3"/>
  <c r="I2229" i="3"/>
  <c r="J2229" i="3"/>
  <c r="K2229" i="3"/>
  <c r="N2229" i="3"/>
  <c r="G2230" i="3"/>
  <c r="H2230" i="3"/>
  <c r="I2230" i="3"/>
  <c r="J2230" i="3"/>
  <c r="K2230" i="3"/>
  <c r="N2230" i="3"/>
  <c r="G2231" i="3"/>
  <c r="H2231" i="3"/>
  <c r="I2231" i="3"/>
  <c r="J2231" i="3"/>
  <c r="K2231" i="3"/>
  <c r="N2231" i="3"/>
  <c r="G2232" i="3"/>
  <c r="H2232" i="3"/>
  <c r="I2232" i="3"/>
  <c r="J2232" i="3"/>
  <c r="K2232" i="3"/>
  <c r="N2232" i="3"/>
  <c r="G2233" i="3"/>
  <c r="H2233" i="3"/>
  <c r="I2233" i="3"/>
  <c r="J2233" i="3"/>
  <c r="K2233" i="3"/>
  <c r="N2233" i="3"/>
  <c r="G2234" i="3"/>
  <c r="H2234" i="3"/>
  <c r="I2234" i="3"/>
  <c r="J2234" i="3"/>
  <c r="K2234" i="3"/>
  <c r="N2234" i="3"/>
  <c r="G2235" i="3"/>
  <c r="H2235" i="3"/>
  <c r="I2235" i="3"/>
  <c r="J2235" i="3"/>
  <c r="K2235" i="3"/>
  <c r="N2235" i="3"/>
  <c r="G2236" i="3"/>
  <c r="H2236" i="3"/>
  <c r="I2236" i="3"/>
  <c r="J2236" i="3"/>
  <c r="K2236" i="3"/>
  <c r="N2236" i="3"/>
  <c r="G2237" i="3"/>
  <c r="H2237" i="3"/>
  <c r="I2237" i="3"/>
  <c r="J2237" i="3"/>
  <c r="K2237" i="3"/>
  <c r="N2237" i="3"/>
  <c r="G2238" i="3"/>
  <c r="H2238" i="3"/>
  <c r="I2238" i="3"/>
  <c r="J2238" i="3"/>
  <c r="K2238" i="3"/>
  <c r="N2238" i="3"/>
  <c r="G2239" i="3"/>
  <c r="H2239" i="3"/>
  <c r="I2239" i="3"/>
  <c r="J2239" i="3"/>
  <c r="K2239" i="3"/>
  <c r="N2239" i="3"/>
  <c r="G2240" i="3"/>
  <c r="H2240" i="3"/>
  <c r="I2240" i="3"/>
  <c r="J2240" i="3"/>
  <c r="K2240" i="3"/>
  <c r="N2240" i="3"/>
  <c r="G2241" i="3"/>
  <c r="H2241" i="3"/>
  <c r="I2241" i="3"/>
  <c r="J2241" i="3"/>
  <c r="K2241" i="3"/>
  <c r="N2241" i="3"/>
  <c r="G2242" i="3"/>
  <c r="H2242" i="3"/>
  <c r="I2242" i="3"/>
  <c r="J2242" i="3"/>
  <c r="K2242" i="3"/>
  <c r="N2242" i="3"/>
  <c r="G2243" i="3"/>
  <c r="H2243" i="3"/>
  <c r="I2243" i="3"/>
  <c r="J2243" i="3"/>
  <c r="K2243" i="3"/>
  <c r="N2243" i="3"/>
  <c r="G2244" i="3"/>
  <c r="H2244" i="3"/>
  <c r="I2244" i="3"/>
  <c r="J2244" i="3"/>
  <c r="K2244" i="3"/>
  <c r="N2244" i="3"/>
  <c r="G2245" i="3"/>
  <c r="H2245" i="3"/>
  <c r="I2245" i="3"/>
  <c r="J2245" i="3"/>
  <c r="K2245" i="3"/>
  <c r="N2245" i="3"/>
  <c r="G2246" i="3"/>
  <c r="H2246" i="3"/>
  <c r="I2246" i="3"/>
  <c r="J2246" i="3"/>
  <c r="K2246" i="3"/>
  <c r="N2246" i="3"/>
  <c r="G2247" i="3"/>
  <c r="H2247" i="3"/>
  <c r="I2247" i="3"/>
  <c r="J2247" i="3"/>
  <c r="K2247" i="3"/>
  <c r="N2247" i="3"/>
  <c r="G2248" i="3"/>
  <c r="H2248" i="3"/>
  <c r="I2248" i="3"/>
  <c r="J2248" i="3"/>
  <c r="K2248" i="3"/>
  <c r="N2248" i="3"/>
  <c r="G2249" i="3"/>
  <c r="H2249" i="3"/>
  <c r="I2249" i="3"/>
  <c r="J2249" i="3"/>
  <c r="K2249" i="3"/>
  <c r="N2249" i="3"/>
  <c r="G2250" i="3"/>
  <c r="H2250" i="3"/>
  <c r="I2250" i="3"/>
  <c r="J2250" i="3"/>
  <c r="K2250" i="3"/>
  <c r="N2250" i="3"/>
  <c r="G2251" i="3"/>
  <c r="H2251" i="3"/>
  <c r="I2251" i="3"/>
  <c r="J2251" i="3"/>
  <c r="K2251" i="3"/>
  <c r="N2251" i="3"/>
  <c r="G2252" i="3"/>
  <c r="H2252" i="3"/>
  <c r="I2252" i="3"/>
  <c r="J2252" i="3"/>
  <c r="K2252" i="3"/>
  <c r="N2252" i="3"/>
  <c r="G2253" i="3"/>
  <c r="H2253" i="3"/>
  <c r="I2253" i="3"/>
  <c r="J2253" i="3"/>
  <c r="K2253" i="3"/>
  <c r="N2253" i="3"/>
  <c r="G2254" i="3"/>
  <c r="H2254" i="3"/>
  <c r="I2254" i="3"/>
  <c r="J2254" i="3"/>
  <c r="K2254" i="3"/>
  <c r="N2254" i="3"/>
  <c r="G2255" i="3"/>
  <c r="H2255" i="3"/>
  <c r="I2255" i="3"/>
  <c r="J2255" i="3"/>
  <c r="K2255" i="3"/>
  <c r="N2255" i="3"/>
  <c r="G2256" i="3"/>
  <c r="H2256" i="3"/>
  <c r="I2256" i="3"/>
  <c r="J2256" i="3"/>
  <c r="K2256" i="3"/>
  <c r="N2256" i="3"/>
  <c r="G2257" i="3"/>
  <c r="H2257" i="3"/>
  <c r="I2257" i="3"/>
  <c r="J2257" i="3"/>
  <c r="K2257" i="3"/>
  <c r="N2257" i="3"/>
  <c r="G2258" i="3"/>
  <c r="H2258" i="3"/>
  <c r="I2258" i="3"/>
  <c r="J2258" i="3"/>
  <c r="K2258" i="3"/>
  <c r="N2258" i="3"/>
  <c r="G2259" i="3"/>
  <c r="H2259" i="3"/>
  <c r="I2259" i="3"/>
  <c r="J2259" i="3"/>
  <c r="K2259" i="3"/>
  <c r="N2259" i="3"/>
  <c r="G2260" i="3"/>
  <c r="H2260" i="3"/>
  <c r="I2260" i="3"/>
  <c r="J2260" i="3"/>
  <c r="K2260" i="3"/>
  <c r="N2260" i="3"/>
  <c r="G2261" i="3"/>
  <c r="H2261" i="3"/>
  <c r="I2261" i="3"/>
  <c r="J2261" i="3"/>
  <c r="K2261" i="3"/>
  <c r="N2261" i="3"/>
  <c r="G2262" i="3"/>
  <c r="H2262" i="3"/>
  <c r="I2262" i="3"/>
  <c r="J2262" i="3"/>
  <c r="K2262" i="3"/>
  <c r="N2262" i="3"/>
  <c r="G2263" i="3"/>
  <c r="H2263" i="3"/>
  <c r="I2263" i="3"/>
  <c r="J2263" i="3"/>
  <c r="K2263" i="3"/>
  <c r="N2263" i="3"/>
  <c r="G2264" i="3"/>
  <c r="H2264" i="3"/>
  <c r="I2264" i="3"/>
  <c r="J2264" i="3"/>
  <c r="K2264" i="3"/>
  <c r="N2264" i="3"/>
  <c r="G2265" i="3"/>
  <c r="H2265" i="3"/>
  <c r="I2265" i="3"/>
  <c r="J2265" i="3"/>
  <c r="K2265" i="3"/>
  <c r="N2265" i="3"/>
  <c r="G2266" i="3"/>
  <c r="H2266" i="3"/>
  <c r="I2266" i="3"/>
  <c r="J2266" i="3"/>
  <c r="K2266" i="3"/>
  <c r="N2266" i="3"/>
  <c r="G2267" i="3"/>
  <c r="H2267" i="3"/>
  <c r="I2267" i="3"/>
  <c r="J2267" i="3"/>
  <c r="K2267" i="3"/>
  <c r="N2267" i="3"/>
  <c r="G2268" i="3"/>
  <c r="H2268" i="3"/>
  <c r="I2268" i="3"/>
  <c r="J2268" i="3"/>
  <c r="K2268" i="3"/>
  <c r="N2268" i="3"/>
  <c r="G2269" i="3"/>
  <c r="H2269" i="3"/>
  <c r="I2269" i="3"/>
  <c r="J2269" i="3"/>
  <c r="K2269" i="3"/>
  <c r="N2269" i="3"/>
  <c r="G2270" i="3"/>
  <c r="H2270" i="3"/>
  <c r="I2270" i="3"/>
  <c r="J2270" i="3"/>
  <c r="K2270" i="3"/>
  <c r="N2270" i="3"/>
  <c r="G2271" i="3"/>
  <c r="H2271" i="3"/>
  <c r="I2271" i="3"/>
  <c r="J2271" i="3"/>
  <c r="K2271" i="3"/>
  <c r="N2271" i="3"/>
  <c r="G2272" i="3"/>
  <c r="H2272" i="3"/>
  <c r="I2272" i="3"/>
  <c r="J2272" i="3"/>
  <c r="K2272" i="3"/>
  <c r="N2272" i="3"/>
  <c r="G2273" i="3"/>
  <c r="H2273" i="3"/>
  <c r="I2273" i="3"/>
  <c r="J2273" i="3"/>
  <c r="K2273" i="3"/>
  <c r="N2273" i="3"/>
  <c r="G2274" i="3"/>
  <c r="H2274" i="3"/>
  <c r="I2274" i="3"/>
  <c r="J2274" i="3"/>
  <c r="K2274" i="3"/>
  <c r="N2274" i="3"/>
  <c r="G2275" i="3"/>
  <c r="H2275" i="3"/>
  <c r="I2275" i="3"/>
  <c r="J2275" i="3"/>
  <c r="K2275" i="3"/>
  <c r="N2275" i="3"/>
  <c r="G2276" i="3"/>
  <c r="H2276" i="3"/>
  <c r="I2276" i="3"/>
  <c r="J2276" i="3"/>
  <c r="K2276" i="3"/>
  <c r="N2276" i="3"/>
  <c r="G2277" i="3"/>
  <c r="H2277" i="3"/>
  <c r="I2277" i="3"/>
  <c r="J2277" i="3"/>
  <c r="K2277" i="3"/>
  <c r="N2277" i="3"/>
  <c r="G2278" i="3"/>
  <c r="H2278" i="3"/>
  <c r="I2278" i="3"/>
  <c r="J2278" i="3"/>
  <c r="K2278" i="3"/>
  <c r="N2278" i="3"/>
  <c r="G2279" i="3"/>
  <c r="H2279" i="3"/>
  <c r="I2279" i="3"/>
  <c r="J2279" i="3"/>
  <c r="K2279" i="3"/>
  <c r="N2279" i="3"/>
  <c r="G2280" i="3"/>
  <c r="H2280" i="3"/>
  <c r="I2280" i="3"/>
  <c r="J2280" i="3"/>
  <c r="K2280" i="3"/>
  <c r="N2280" i="3"/>
  <c r="G2281" i="3"/>
  <c r="H2281" i="3"/>
  <c r="I2281" i="3"/>
  <c r="J2281" i="3"/>
  <c r="K2281" i="3"/>
  <c r="N2281" i="3"/>
  <c r="G2282" i="3"/>
  <c r="H2282" i="3"/>
  <c r="I2282" i="3"/>
  <c r="J2282" i="3"/>
  <c r="K2282" i="3"/>
  <c r="N2282" i="3"/>
  <c r="G2283" i="3"/>
  <c r="H2283" i="3"/>
  <c r="I2283" i="3"/>
  <c r="J2283" i="3"/>
  <c r="K2283" i="3"/>
  <c r="N2283" i="3"/>
  <c r="G2284" i="3"/>
  <c r="H2284" i="3"/>
  <c r="I2284" i="3"/>
  <c r="J2284" i="3"/>
  <c r="K2284" i="3"/>
  <c r="N2284" i="3"/>
  <c r="G2285" i="3"/>
  <c r="H2285" i="3"/>
  <c r="I2285" i="3"/>
  <c r="J2285" i="3"/>
  <c r="K2285" i="3"/>
  <c r="N2285" i="3"/>
  <c r="G2286" i="3"/>
  <c r="H2286" i="3"/>
  <c r="I2286" i="3"/>
  <c r="J2286" i="3"/>
  <c r="K2286" i="3"/>
  <c r="N2286" i="3"/>
  <c r="G2287" i="3"/>
  <c r="H2287" i="3"/>
  <c r="I2287" i="3"/>
  <c r="J2287" i="3"/>
  <c r="K2287" i="3"/>
  <c r="N2287" i="3"/>
  <c r="G2288" i="3"/>
  <c r="H2288" i="3"/>
  <c r="I2288" i="3"/>
  <c r="J2288" i="3"/>
  <c r="K2288" i="3"/>
  <c r="N2288" i="3"/>
  <c r="G2289" i="3"/>
  <c r="H2289" i="3"/>
  <c r="I2289" i="3"/>
  <c r="J2289" i="3"/>
  <c r="K2289" i="3"/>
  <c r="N2289" i="3"/>
  <c r="G2290" i="3"/>
  <c r="H2290" i="3"/>
  <c r="I2290" i="3"/>
  <c r="J2290" i="3"/>
  <c r="K2290" i="3"/>
  <c r="N2290" i="3"/>
  <c r="G2291" i="3"/>
  <c r="H2291" i="3"/>
  <c r="I2291" i="3"/>
  <c r="J2291" i="3"/>
  <c r="K2291" i="3"/>
  <c r="N2291" i="3"/>
  <c r="G2292" i="3"/>
  <c r="H2292" i="3"/>
  <c r="I2292" i="3"/>
  <c r="J2292" i="3"/>
  <c r="K2292" i="3"/>
  <c r="N2292" i="3"/>
  <c r="G2293" i="3"/>
  <c r="H2293" i="3"/>
  <c r="I2293" i="3"/>
  <c r="J2293" i="3"/>
  <c r="K2293" i="3"/>
  <c r="N2293" i="3"/>
  <c r="G2294" i="3"/>
  <c r="H2294" i="3"/>
  <c r="I2294" i="3"/>
  <c r="J2294" i="3"/>
  <c r="K2294" i="3"/>
  <c r="N2294" i="3"/>
  <c r="G2295" i="3"/>
  <c r="H2295" i="3"/>
  <c r="I2295" i="3"/>
  <c r="J2295" i="3"/>
  <c r="K2295" i="3"/>
  <c r="N2295" i="3"/>
  <c r="G2296" i="3"/>
  <c r="H2296" i="3"/>
  <c r="I2296" i="3"/>
  <c r="J2296" i="3"/>
  <c r="K2296" i="3"/>
  <c r="N2296" i="3"/>
  <c r="G2297" i="3"/>
  <c r="H2297" i="3"/>
  <c r="I2297" i="3"/>
  <c r="J2297" i="3"/>
  <c r="K2297" i="3"/>
  <c r="N2297" i="3"/>
  <c r="G2298" i="3"/>
  <c r="H2298" i="3"/>
  <c r="I2298" i="3"/>
  <c r="J2298" i="3"/>
  <c r="K2298" i="3"/>
  <c r="N2298" i="3"/>
  <c r="G2299" i="3"/>
  <c r="H2299" i="3"/>
  <c r="I2299" i="3"/>
  <c r="J2299" i="3"/>
  <c r="K2299" i="3"/>
  <c r="N2299" i="3"/>
  <c r="G2300" i="3"/>
  <c r="H2300" i="3"/>
  <c r="I2300" i="3"/>
  <c r="J2300" i="3"/>
  <c r="K2300" i="3"/>
  <c r="N2300" i="3"/>
  <c r="G2301" i="3"/>
  <c r="H2301" i="3"/>
  <c r="I2301" i="3"/>
  <c r="J2301" i="3"/>
  <c r="K2301" i="3"/>
  <c r="N2301" i="3"/>
  <c r="G2302" i="3"/>
  <c r="H2302" i="3"/>
  <c r="I2302" i="3"/>
  <c r="J2302" i="3"/>
  <c r="K2302" i="3"/>
  <c r="N2302" i="3"/>
  <c r="G2303" i="3"/>
  <c r="H2303" i="3"/>
  <c r="I2303" i="3"/>
  <c r="J2303" i="3"/>
  <c r="K2303" i="3"/>
  <c r="N2303" i="3"/>
  <c r="G2304" i="3"/>
  <c r="H2304" i="3"/>
  <c r="I2304" i="3"/>
  <c r="J2304" i="3"/>
  <c r="K2304" i="3"/>
  <c r="N2304" i="3"/>
  <c r="G2305" i="3"/>
  <c r="H2305" i="3"/>
  <c r="I2305" i="3"/>
  <c r="J2305" i="3"/>
  <c r="K2305" i="3"/>
  <c r="N2305" i="3"/>
  <c r="G2306" i="3"/>
  <c r="H2306" i="3"/>
  <c r="I2306" i="3"/>
  <c r="J2306" i="3"/>
  <c r="K2306" i="3"/>
  <c r="N2306" i="3"/>
  <c r="G2307" i="3"/>
  <c r="H2307" i="3"/>
  <c r="I2307" i="3"/>
  <c r="J2307" i="3"/>
  <c r="K2307" i="3"/>
  <c r="N2307" i="3"/>
  <c r="G2308" i="3"/>
  <c r="H2308" i="3"/>
  <c r="I2308" i="3"/>
  <c r="J2308" i="3"/>
  <c r="K2308" i="3"/>
  <c r="N2308" i="3"/>
  <c r="G2309" i="3"/>
  <c r="H2309" i="3"/>
  <c r="I2309" i="3"/>
  <c r="J2309" i="3"/>
  <c r="K2309" i="3"/>
  <c r="N2309" i="3"/>
  <c r="G2310" i="3"/>
  <c r="H2310" i="3"/>
  <c r="I2310" i="3"/>
  <c r="J2310" i="3"/>
  <c r="K2310" i="3"/>
  <c r="N2310" i="3"/>
  <c r="G2311" i="3"/>
  <c r="H2311" i="3"/>
  <c r="I2311" i="3"/>
  <c r="J2311" i="3"/>
  <c r="K2311" i="3"/>
  <c r="N2311" i="3"/>
  <c r="G2312" i="3"/>
  <c r="H2312" i="3"/>
  <c r="I2312" i="3"/>
  <c r="J2312" i="3"/>
  <c r="K2312" i="3"/>
  <c r="N2312" i="3"/>
  <c r="G2313" i="3"/>
  <c r="H2313" i="3"/>
  <c r="I2313" i="3"/>
  <c r="J2313" i="3"/>
  <c r="K2313" i="3"/>
  <c r="N2313" i="3"/>
  <c r="G2314" i="3"/>
  <c r="H2314" i="3"/>
  <c r="I2314" i="3"/>
  <c r="J2314" i="3"/>
  <c r="K2314" i="3"/>
  <c r="N2314" i="3"/>
  <c r="G2315" i="3"/>
  <c r="H2315" i="3"/>
  <c r="I2315" i="3"/>
  <c r="J2315" i="3"/>
  <c r="K2315" i="3"/>
  <c r="N2315" i="3"/>
  <c r="G2316" i="3"/>
  <c r="H2316" i="3"/>
  <c r="I2316" i="3"/>
  <c r="J2316" i="3"/>
  <c r="K2316" i="3"/>
  <c r="N2316" i="3"/>
  <c r="G2317" i="3"/>
  <c r="H2317" i="3"/>
  <c r="I2317" i="3"/>
  <c r="J2317" i="3"/>
  <c r="K2317" i="3"/>
  <c r="N2317" i="3"/>
  <c r="G2318" i="3"/>
  <c r="H2318" i="3"/>
  <c r="I2318" i="3"/>
  <c r="J2318" i="3"/>
  <c r="K2318" i="3"/>
  <c r="N2318" i="3"/>
  <c r="G2319" i="3"/>
  <c r="H2319" i="3"/>
  <c r="I2319" i="3"/>
  <c r="J2319" i="3"/>
  <c r="K2319" i="3"/>
  <c r="N2319" i="3"/>
  <c r="G2320" i="3"/>
  <c r="H2320" i="3"/>
  <c r="I2320" i="3"/>
  <c r="J2320" i="3"/>
  <c r="K2320" i="3"/>
  <c r="N2320" i="3"/>
  <c r="G2321" i="3"/>
  <c r="H2321" i="3"/>
  <c r="I2321" i="3"/>
  <c r="J2321" i="3"/>
  <c r="K2321" i="3"/>
  <c r="N2321" i="3"/>
  <c r="G2322" i="3"/>
  <c r="H2322" i="3"/>
  <c r="I2322" i="3"/>
  <c r="J2322" i="3"/>
  <c r="K2322" i="3"/>
  <c r="N2322" i="3"/>
  <c r="G2323" i="3"/>
  <c r="H2323" i="3"/>
  <c r="I2323" i="3"/>
  <c r="J2323" i="3"/>
  <c r="K2323" i="3"/>
  <c r="N2323" i="3"/>
  <c r="G2324" i="3"/>
  <c r="H2324" i="3"/>
  <c r="I2324" i="3"/>
  <c r="J2324" i="3"/>
  <c r="K2324" i="3"/>
  <c r="N2324" i="3"/>
  <c r="G2325" i="3"/>
  <c r="H2325" i="3"/>
  <c r="I2325" i="3"/>
  <c r="J2325" i="3"/>
  <c r="K2325" i="3"/>
  <c r="N2325" i="3"/>
  <c r="G2326" i="3"/>
  <c r="H2326" i="3"/>
  <c r="I2326" i="3"/>
  <c r="J2326" i="3"/>
  <c r="K2326" i="3"/>
  <c r="N2326" i="3"/>
  <c r="G2327" i="3"/>
  <c r="H2327" i="3"/>
  <c r="I2327" i="3"/>
  <c r="J2327" i="3"/>
  <c r="K2327" i="3"/>
  <c r="N2327" i="3"/>
  <c r="G2328" i="3"/>
  <c r="H2328" i="3"/>
  <c r="I2328" i="3"/>
  <c r="J2328" i="3"/>
  <c r="K2328" i="3"/>
  <c r="N2328" i="3"/>
  <c r="G2329" i="3"/>
  <c r="H2329" i="3"/>
  <c r="I2329" i="3"/>
  <c r="J2329" i="3"/>
  <c r="K2329" i="3"/>
  <c r="N2329" i="3"/>
  <c r="G2330" i="3"/>
  <c r="H2330" i="3"/>
  <c r="I2330" i="3"/>
  <c r="J2330" i="3"/>
  <c r="K2330" i="3"/>
  <c r="N2330" i="3"/>
  <c r="G2331" i="3"/>
  <c r="H2331" i="3"/>
  <c r="I2331" i="3"/>
  <c r="J2331" i="3"/>
  <c r="K2331" i="3"/>
  <c r="N2331" i="3"/>
  <c r="G2332" i="3"/>
  <c r="H2332" i="3"/>
  <c r="I2332" i="3"/>
  <c r="J2332" i="3"/>
  <c r="K2332" i="3"/>
  <c r="N2332" i="3"/>
  <c r="G2333" i="3"/>
  <c r="H2333" i="3"/>
  <c r="I2333" i="3"/>
  <c r="J2333" i="3"/>
  <c r="K2333" i="3"/>
  <c r="N2333" i="3"/>
  <c r="G2334" i="3"/>
  <c r="H2334" i="3"/>
  <c r="I2334" i="3"/>
  <c r="J2334" i="3"/>
  <c r="K2334" i="3"/>
  <c r="N2334" i="3"/>
  <c r="G2335" i="3"/>
  <c r="H2335" i="3"/>
  <c r="I2335" i="3"/>
  <c r="J2335" i="3"/>
  <c r="K2335" i="3"/>
  <c r="N2335" i="3"/>
  <c r="G2336" i="3"/>
  <c r="H2336" i="3"/>
  <c r="I2336" i="3"/>
  <c r="J2336" i="3"/>
  <c r="K2336" i="3"/>
  <c r="N2336" i="3"/>
  <c r="G2337" i="3"/>
  <c r="H2337" i="3"/>
  <c r="I2337" i="3"/>
  <c r="J2337" i="3"/>
  <c r="K2337" i="3"/>
  <c r="N2337" i="3"/>
  <c r="G2338" i="3"/>
  <c r="H2338" i="3"/>
  <c r="I2338" i="3"/>
  <c r="J2338" i="3"/>
  <c r="K2338" i="3"/>
  <c r="N2338" i="3"/>
  <c r="G2339" i="3"/>
  <c r="H2339" i="3"/>
  <c r="I2339" i="3"/>
  <c r="J2339" i="3"/>
  <c r="K2339" i="3"/>
  <c r="N2339" i="3"/>
  <c r="G2340" i="3"/>
  <c r="H2340" i="3"/>
  <c r="I2340" i="3"/>
  <c r="J2340" i="3"/>
  <c r="K2340" i="3"/>
  <c r="N2340" i="3"/>
  <c r="G2341" i="3"/>
  <c r="H2341" i="3"/>
  <c r="I2341" i="3"/>
  <c r="J2341" i="3"/>
  <c r="K2341" i="3"/>
  <c r="N2341" i="3"/>
  <c r="G2342" i="3"/>
  <c r="H2342" i="3"/>
  <c r="I2342" i="3"/>
  <c r="J2342" i="3"/>
  <c r="K2342" i="3"/>
  <c r="N2342" i="3"/>
  <c r="G2343" i="3"/>
  <c r="H2343" i="3"/>
  <c r="I2343" i="3"/>
  <c r="J2343" i="3"/>
  <c r="K2343" i="3"/>
  <c r="N2343" i="3"/>
  <c r="G2344" i="3"/>
  <c r="H2344" i="3"/>
  <c r="I2344" i="3"/>
  <c r="J2344" i="3"/>
  <c r="K2344" i="3"/>
  <c r="N2344" i="3"/>
  <c r="G2345" i="3"/>
  <c r="H2345" i="3"/>
  <c r="I2345" i="3"/>
  <c r="J2345" i="3"/>
  <c r="K2345" i="3"/>
  <c r="N2345" i="3"/>
  <c r="G2346" i="3"/>
  <c r="H2346" i="3"/>
  <c r="I2346" i="3"/>
  <c r="J2346" i="3"/>
  <c r="K2346" i="3"/>
  <c r="N2346" i="3"/>
  <c r="G2347" i="3"/>
  <c r="H2347" i="3"/>
  <c r="I2347" i="3"/>
  <c r="J2347" i="3"/>
  <c r="K2347" i="3"/>
  <c r="N2347" i="3"/>
  <c r="G2348" i="3"/>
  <c r="H2348" i="3"/>
  <c r="I2348" i="3"/>
  <c r="J2348" i="3"/>
  <c r="K2348" i="3"/>
  <c r="N2348" i="3"/>
  <c r="G2349" i="3"/>
  <c r="H2349" i="3"/>
  <c r="I2349" i="3"/>
  <c r="J2349" i="3"/>
  <c r="K2349" i="3"/>
  <c r="N2349" i="3"/>
  <c r="G2350" i="3"/>
  <c r="H2350" i="3"/>
  <c r="I2350" i="3"/>
  <c r="J2350" i="3"/>
  <c r="K2350" i="3"/>
  <c r="N2350" i="3"/>
  <c r="G2351" i="3"/>
  <c r="H2351" i="3"/>
  <c r="I2351" i="3"/>
  <c r="J2351" i="3"/>
  <c r="K2351" i="3"/>
  <c r="N2351" i="3"/>
  <c r="G2352" i="3"/>
  <c r="H2352" i="3"/>
  <c r="I2352" i="3"/>
  <c r="J2352" i="3"/>
  <c r="K2352" i="3"/>
  <c r="N2352" i="3"/>
  <c r="G2353" i="3"/>
  <c r="H2353" i="3"/>
  <c r="I2353" i="3"/>
  <c r="J2353" i="3"/>
  <c r="K2353" i="3"/>
  <c r="N2353" i="3"/>
  <c r="G2354" i="3"/>
  <c r="H2354" i="3"/>
  <c r="I2354" i="3"/>
  <c r="J2354" i="3"/>
  <c r="K2354" i="3"/>
  <c r="N2354" i="3"/>
  <c r="G2355" i="3"/>
  <c r="H2355" i="3"/>
  <c r="I2355" i="3"/>
  <c r="J2355" i="3"/>
  <c r="K2355" i="3"/>
  <c r="N2355" i="3"/>
  <c r="G2356" i="3"/>
  <c r="H2356" i="3"/>
  <c r="I2356" i="3"/>
  <c r="J2356" i="3"/>
  <c r="K2356" i="3"/>
  <c r="N2356" i="3"/>
  <c r="G2357" i="3"/>
  <c r="H2357" i="3"/>
  <c r="I2357" i="3"/>
  <c r="J2357" i="3"/>
  <c r="K2357" i="3"/>
  <c r="N2357" i="3"/>
  <c r="G2358" i="3"/>
  <c r="H2358" i="3"/>
  <c r="I2358" i="3"/>
  <c r="J2358" i="3"/>
  <c r="K2358" i="3"/>
  <c r="N2358" i="3"/>
  <c r="G2359" i="3"/>
  <c r="H2359" i="3"/>
  <c r="I2359" i="3"/>
  <c r="J2359" i="3"/>
  <c r="K2359" i="3"/>
  <c r="N2359" i="3"/>
  <c r="G2360" i="3"/>
  <c r="H2360" i="3"/>
  <c r="I2360" i="3"/>
  <c r="J2360" i="3"/>
  <c r="K2360" i="3"/>
  <c r="N2360" i="3"/>
  <c r="G2361" i="3"/>
  <c r="H2361" i="3"/>
  <c r="I2361" i="3"/>
  <c r="J2361" i="3"/>
  <c r="K2361" i="3"/>
  <c r="N2361" i="3"/>
  <c r="G2362" i="3"/>
  <c r="H2362" i="3"/>
  <c r="I2362" i="3"/>
  <c r="J2362" i="3"/>
  <c r="K2362" i="3"/>
  <c r="N2362" i="3"/>
  <c r="G2363" i="3"/>
  <c r="H2363" i="3"/>
  <c r="I2363" i="3"/>
  <c r="J2363" i="3"/>
  <c r="K2363" i="3"/>
  <c r="N2363" i="3"/>
  <c r="G2364" i="3"/>
  <c r="H2364" i="3"/>
  <c r="I2364" i="3"/>
  <c r="J2364" i="3"/>
  <c r="K2364" i="3"/>
  <c r="N2364" i="3"/>
  <c r="G2365" i="3"/>
  <c r="H2365" i="3"/>
  <c r="I2365" i="3"/>
  <c r="J2365" i="3"/>
  <c r="K2365" i="3"/>
  <c r="N2365" i="3"/>
  <c r="G2366" i="3"/>
  <c r="H2366" i="3"/>
  <c r="I2366" i="3"/>
  <c r="J2366" i="3"/>
  <c r="K2366" i="3"/>
  <c r="N2366" i="3"/>
  <c r="G2381" i="3"/>
  <c r="H2381" i="3"/>
  <c r="I2381" i="3"/>
  <c r="J2381" i="3"/>
  <c r="K2381" i="3"/>
  <c r="N2381" i="3"/>
  <c r="G2382" i="3"/>
  <c r="H2382" i="3"/>
  <c r="I2382" i="3"/>
  <c r="J2382" i="3"/>
  <c r="K2382" i="3"/>
  <c r="N2382" i="3"/>
  <c r="G2383" i="3"/>
  <c r="H2383" i="3"/>
  <c r="I2383" i="3"/>
  <c r="J2383" i="3"/>
  <c r="K2383" i="3"/>
  <c r="N2383" i="3"/>
  <c r="G2384" i="3"/>
  <c r="H2384" i="3"/>
  <c r="I2384" i="3"/>
  <c r="J2384" i="3"/>
  <c r="K2384" i="3"/>
  <c r="N2384" i="3"/>
  <c r="G2385" i="3"/>
  <c r="H2385" i="3"/>
  <c r="I2385" i="3"/>
  <c r="J2385" i="3"/>
  <c r="K2385" i="3"/>
  <c r="N2385" i="3"/>
  <c r="G2386" i="3"/>
  <c r="H2386" i="3"/>
  <c r="I2386" i="3"/>
  <c r="J2386" i="3"/>
  <c r="K2386" i="3"/>
  <c r="N2386" i="3"/>
  <c r="G2387" i="3"/>
  <c r="H2387" i="3"/>
  <c r="I2387" i="3"/>
  <c r="J2387" i="3"/>
  <c r="K2387" i="3"/>
  <c r="N2387" i="3"/>
  <c r="G2388" i="3"/>
  <c r="H2388" i="3"/>
  <c r="I2388" i="3"/>
  <c r="J2388" i="3"/>
  <c r="K2388" i="3"/>
  <c r="N2388" i="3"/>
  <c r="G2389" i="3"/>
  <c r="H2389" i="3"/>
  <c r="I2389" i="3"/>
  <c r="J2389" i="3"/>
  <c r="K2389" i="3"/>
  <c r="N2389" i="3"/>
  <c r="G2390" i="3"/>
  <c r="H2390" i="3"/>
  <c r="I2390" i="3"/>
  <c r="J2390" i="3"/>
  <c r="K2390" i="3"/>
  <c r="N2390" i="3"/>
  <c r="G2391" i="3"/>
  <c r="H2391" i="3"/>
  <c r="I2391" i="3"/>
  <c r="J2391" i="3"/>
  <c r="K2391" i="3"/>
  <c r="N2391" i="3"/>
  <c r="G2392" i="3"/>
  <c r="H2392" i="3"/>
  <c r="I2392" i="3"/>
  <c r="J2392" i="3"/>
  <c r="K2392" i="3"/>
  <c r="N2392" i="3"/>
  <c r="G2393" i="3"/>
  <c r="H2393" i="3"/>
  <c r="I2393" i="3"/>
  <c r="J2393" i="3"/>
  <c r="K2393" i="3"/>
  <c r="N2393" i="3"/>
  <c r="G2394" i="3"/>
  <c r="H2394" i="3"/>
  <c r="I2394" i="3"/>
  <c r="J2394" i="3"/>
  <c r="K2394" i="3"/>
  <c r="N2394" i="3"/>
  <c r="G2409" i="3"/>
  <c r="H2409" i="3"/>
  <c r="I2409" i="3"/>
  <c r="J2409" i="3"/>
  <c r="K2409" i="3"/>
  <c r="N2409" i="3"/>
  <c r="G2410" i="3"/>
  <c r="H2410" i="3"/>
  <c r="I2410" i="3"/>
  <c r="J2410" i="3"/>
  <c r="K2410" i="3"/>
  <c r="N2410" i="3"/>
  <c r="G2411" i="3"/>
  <c r="H2411" i="3"/>
  <c r="I2411" i="3"/>
  <c r="J2411" i="3"/>
  <c r="K2411" i="3"/>
  <c r="N2411" i="3"/>
  <c r="G2412" i="3"/>
  <c r="H2412" i="3"/>
  <c r="I2412" i="3"/>
  <c r="J2412" i="3"/>
  <c r="K2412" i="3"/>
  <c r="N2412" i="3"/>
  <c r="G2413" i="3"/>
  <c r="H2413" i="3"/>
  <c r="I2413" i="3"/>
  <c r="J2413" i="3"/>
  <c r="K2413" i="3"/>
  <c r="N2413" i="3"/>
  <c r="G2414" i="3"/>
  <c r="H2414" i="3"/>
  <c r="I2414" i="3"/>
  <c r="J2414" i="3"/>
  <c r="K2414" i="3"/>
  <c r="N2414" i="3"/>
  <c r="G2415" i="3"/>
  <c r="H2415" i="3"/>
  <c r="I2415" i="3"/>
  <c r="J2415" i="3"/>
  <c r="K2415" i="3"/>
  <c r="N2415" i="3"/>
  <c r="G2416" i="3"/>
  <c r="H2416" i="3"/>
  <c r="I2416" i="3"/>
  <c r="J2416" i="3"/>
  <c r="K2416" i="3"/>
  <c r="N2416" i="3"/>
  <c r="G2417" i="3"/>
  <c r="H2417" i="3"/>
  <c r="I2417" i="3"/>
  <c r="J2417" i="3"/>
  <c r="K2417" i="3"/>
  <c r="N2417" i="3"/>
  <c r="G2418" i="3"/>
  <c r="H2418" i="3"/>
  <c r="I2418" i="3"/>
  <c r="J2418" i="3"/>
  <c r="K2418" i="3"/>
  <c r="N2418" i="3"/>
  <c r="G2419" i="3"/>
  <c r="H2419" i="3"/>
  <c r="I2419" i="3"/>
  <c r="J2419" i="3"/>
  <c r="K2419" i="3"/>
  <c r="N2419" i="3"/>
  <c r="G2420" i="3"/>
  <c r="H2420" i="3"/>
  <c r="I2420" i="3"/>
  <c r="J2420" i="3"/>
  <c r="K2420" i="3"/>
  <c r="N2420" i="3"/>
  <c r="G2421" i="3"/>
  <c r="H2421" i="3"/>
  <c r="I2421" i="3"/>
  <c r="J2421" i="3"/>
  <c r="K2421" i="3"/>
  <c r="N2421" i="3"/>
  <c r="G2422" i="3"/>
  <c r="H2422" i="3"/>
  <c r="I2422" i="3"/>
  <c r="J2422" i="3"/>
  <c r="K2422" i="3"/>
  <c r="N2422" i="3"/>
  <c r="G2423" i="3"/>
  <c r="H2423" i="3"/>
  <c r="I2423" i="3"/>
  <c r="J2423" i="3"/>
  <c r="K2423" i="3"/>
  <c r="N2423" i="3"/>
  <c r="G2424" i="3"/>
  <c r="H2424" i="3"/>
  <c r="I2424" i="3"/>
  <c r="J2424" i="3"/>
  <c r="K2424" i="3"/>
  <c r="N2424" i="3"/>
  <c r="G2425" i="3"/>
  <c r="H2425" i="3"/>
  <c r="I2425" i="3"/>
  <c r="J2425" i="3"/>
  <c r="K2425" i="3"/>
  <c r="N2425" i="3"/>
  <c r="G2426" i="3"/>
  <c r="H2426" i="3"/>
  <c r="I2426" i="3"/>
  <c r="J2426" i="3"/>
  <c r="K2426" i="3"/>
  <c r="N2426" i="3"/>
  <c r="G2427" i="3"/>
  <c r="H2427" i="3"/>
  <c r="I2427" i="3"/>
  <c r="J2427" i="3"/>
  <c r="K2427" i="3"/>
  <c r="N2427" i="3"/>
  <c r="G2428" i="3"/>
  <c r="H2428" i="3"/>
  <c r="I2428" i="3"/>
  <c r="J2428" i="3"/>
  <c r="K2428" i="3"/>
  <c r="N2428" i="3"/>
  <c r="G2429" i="3"/>
  <c r="H2429" i="3"/>
  <c r="I2429" i="3"/>
  <c r="J2429" i="3"/>
  <c r="K2429" i="3"/>
  <c r="N2429" i="3"/>
  <c r="G2430" i="3"/>
  <c r="H2430" i="3"/>
  <c r="I2430" i="3"/>
  <c r="J2430" i="3"/>
  <c r="K2430" i="3"/>
  <c r="N2430" i="3"/>
  <c r="G2431" i="3"/>
  <c r="H2431" i="3"/>
  <c r="I2431" i="3"/>
  <c r="J2431" i="3"/>
  <c r="K2431" i="3"/>
  <c r="N2431" i="3"/>
  <c r="G2432" i="3"/>
  <c r="H2432" i="3"/>
  <c r="I2432" i="3"/>
  <c r="J2432" i="3"/>
  <c r="K2432" i="3"/>
  <c r="N2432" i="3"/>
  <c r="G2433" i="3"/>
  <c r="H2433" i="3"/>
  <c r="I2433" i="3"/>
  <c r="J2433" i="3"/>
  <c r="K2433" i="3"/>
  <c r="N2433" i="3"/>
  <c r="G2434" i="3"/>
  <c r="H2434" i="3"/>
  <c r="I2434" i="3"/>
  <c r="J2434" i="3"/>
  <c r="K2434" i="3"/>
  <c r="N2434" i="3"/>
  <c r="G2435" i="3"/>
  <c r="H2435" i="3"/>
  <c r="I2435" i="3"/>
  <c r="J2435" i="3"/>
  <c r="K2435" i="3"/>
  <c r="N2435" i="3"/>
  <c r="G2436" i="3"/>
  <c r="H2436" i="3"/>
  <c r="I2436" i="3"/>
  <c r="J2436" i="3"/>
  <c r="K2436" i="3"/>
  <c r="N2436" i="3"/>
  <c r="G2437" i="3"/>
  <c r="H2437" i="3"/>
  <c r="I2437" i="3"/>
  <c r="J2437" i="3"/>
  <c r="K2437" i="3"/>
  <c r="N2437" i="3"/>
  <c r="G2438" i="3"/>
  <c r="H2438" i="3"/>
  <c r="I2438" i="3"/>
  <c r="J2438" i="3"/>
  <c r="K2438" i="3"/>
  <c r="N2438" i="3"/>
  <c r="G2439" i="3"/>
  <c r="H2439" i="3"/>
  <c r="I2439" i="3"/>
  <c r="J2439" i="3"/>
  <c r="K2439" i="3"/>
  <c r="N2439" i="3"/>
  <c r="G2440" i="3"/>
  <c r="H2440" i="3"/>
  <c r="I2440" i="3"/>
  <c r="J2440" i="3"/>
  <c r="K2440" i="3"/>
  <c r="N2440" i="3"/>
  <c r="G2441" i="3"/>
  <c r="H2441" i="3"/>
  <c r="I2441" i="3"/>
  <c r="J2441" i="3"/>
  <c r="K2441" i="3"/>
  <c r="N2441" i="3"/>
  <c r="G2442" i="3"/>
  <c r="H2442" i="3"/>
  <c r="I2442" i="3"/>
  <c r="J2442" i="3"/>
  <c r="K2442" i="3"/>
  <c r="N2442" i="3"/>
  <c r="G2443" i="3"/>
  <c r="H2443" i="3"/>
  <c r="I2443" i="3"/>
  <c r="J2443" i="3"/>
  <c r="K2443" i="3"/>
  <c r="N2443" i="3"/>
  <c r="G2444" i="3"/>
  <c r="H2444" i="3"/>
  <c r="I2444" i="3"/>
  <c r="J2444" i="3"/>
  <c r="K2444" i="3"/>
  <c r="N2444" i="3"/>
  <c r="G2445" i="3"/>
  <c r="H2445" i="3"/>
  <c r="I2445" i="3"/>
  <c r="J2445" i="3"/>
  <c r="K2445" i="3"/>
  <c r="N2445" i="3"/>
  <c r="G2446" i="3"/>
  <c r="H2446" i="3"/>
  <c r="I2446" i="3"/>
  <c r="J2446" i="3"/>
  <c r="K2446" i="3"/>
  <c r="N2446" i="3"/>
  <c r="G2447" i="3"/>
  <c r="H2447" i="3"/>
  <c r="I2447" i="3"/>
  <c r="J2447" i="3"/>
  <c r="K2447" i="3"/>
  <c r="N2447" i="3"/>
  <c r="G2448" i="3"/>
  <c r="H2448" i="3"/>
  <c r="I2448" i="3"/>
  <c r="J2448" i="3"/>
  <c r="K2448" i="3"/>
  <c r="N2448" i="3"/>
  <c r="G2449" i="3"/>
  <c r="H2449" i="3"/>
  <c r="I2449" i="3"/>
  <c r="J2449" i="3"/>
  <c r="K2449" i="3"/>
  <c r="N2449" i="3"/>
  <c r="G2450" i="3"/>
  <c r="H2450" i="3"/>
  <c r="I2450" i="3"/>
  <c r="J2450" i="3"/>
  <c r="K2450" i="3"/>
  <c r="N2450" i="3"/>
  <c r="G2451" i="3"/>
  <c r="H2451" i="3"/>
  <c r="I2451" i="3"/>
  <c r="J2451" i="3"/>
  <c r="K2451" i="3"/>
  <c r="N2451" i="3"/>
  <c r="G2452" i="3"/>
  <c r="H2452" i="3"/>
  <c r="I2452" i="3"/>
  <c r="J2452" i="3"/>
  <c r="K2452" i="3"/>
  <c r="N2452" i="3"/>
  <c r="G2453" i="3"/>
  <c r="H2453" i="3"/>
  <c r="I2453" i="3"/>
  <c r="J2453" i="3"/>
  <c r="K2453" i="3"/>
  <c r="N2453" i="3"/>
  <c r="G2454" i="3"/>
  <c r="H2454" i="3"/>
  <c r="I2454" i="3"/>
  <c r="J2454" i="3"/>
  <c r="K2454" i="3"/>
  <c r="N2454" i="3"/>
  <c r="G2455" i="3"/>
  <c r="H2455" i="3"/>
  <c r="I2455" i="3"/>
  <c r="J2455" i="3"/>
  <c r="K2455" i="3"/>
  <c r="N2455" i="3"/>
  <c r="G2456" i="3"/>
  <c r="H2456" i="3"/>
  <c r="I2456" i="3"/>
  <c r="J2456" i="3"/>
  <c r="K2456" i="3"/>
  <c r="N2456" i="3"/>
  <c r="G2457" i="3"/>
  <c r="H2457" i="3"/>
  <c r="I2457" i="3"/>
  <c r="J2457" i="3"/>
  <c r="K2457" i="3"/>
  <c r="N2457" i="3"/>
  <c r="G2458" i="3"/>
  <c r="H2458" i="3"/>
  <c r="I2458" i="3"/>
  <c r="J2458" i="3"/>
  <c r="K2458" i="3"/>
  <c r="N2458" i="3"/>
  <c r="G2459" i="3"/>
  <c r="H2459" i="3"/>
  <c r="I2459" i="3"/>
  <c r="J2459" i="3"/>
  <c r="K2459" i="3"/>
  <c r="N2459" i="3"/>
  <c r="G2460" i="3"/>
  <c r="H2460" i="3"/>
  <c r="I2460" i="3"/>
  <c r="J2460" i="3"/>
  <c r="K2460" i="3"/>
  <c r="N2460" i="3"/>
  <c r="G2461" i="3"/>
  <c r="H2461" i="3"/>
  <c r="I2461" i="3"/>
  <c r="J2461" i="3"/>
  <c r="K2461" i="3"/>
  <c r="N2461" i="3"/>
  <c r="G2462" i="3"/>
  <c r="H2462" i="3"/>
  <c r="I2462" i="3"/>
  <c r="J2462" i="3"/>
  <c r="K2462" i="3"/>
  <c r="N2462" i="3"/>
  <c r="G2463" i="3"/>
  <c r="H2463" i="3"/>
  <c r="I2463" i="3"/>
  <c r="J2463" i="3"/>
  <c r="K2463" i="3"/>
  <c r="N2463" i="3"/>
  <c r="G2464" i="3"/>
  <c r="H2464" i="3"/>
  <c r="I2464" i="3"/>
  <c r="J2464" i="3"/>
  <c r="K2464" i="3"/>
  <c r="N2464" i="3"/>
  <c r="G2465" i="3"/>
  <c r="H2465" i="3"/>
  <c r="I2465" i="3"/>
  <c r="J2465" i="3"/>
  <c r="K2465" i="3"/>
  <c r="N2465" i="3"/>
  <c r="G2466" i="3"/>
  <c r="H2466" i="3"/>
  <c r="I2466" i="3"/>
  <c r="J2466" i="3"/>
  <c r="K2466" i="3"/>
  <c r="N2466" i="3"/>
  <c r="G2467" i="3"/>
  <c r="H2467" i="3"/>
  <c r="I2467" i="3"/>
  <c r="J2467" i="3"/>
  <c r="K2467" i="3"/>
  <c r="N2467" i="3"/>
  <c r="G2468" i="3"/>
  <c r="H2468" i="3"/>
  <c r="I2468" i="3"/>
  <c r="J2468" i="3"/>
  <c r="K2468" i="3"/>
  <c r="N2468" i="3"/>
  <c r="G2469" i="3"/>
  <c r="H2469" i="3"/>
  <c r="I2469" i="3"/>
  <c r="J2469" i="3"/>
  <c r="K2469" i="3"/>
  <c r="N2469" i="3"/>
  <c r="G2470" i="3"/>
  <c r="H2470" i="3"/>
  <c r="I2470" i="3"/>
  <c r="J2470" i="3"/>
  <c r="K2470" i="3"/>
  <c r="N2470" i="3"/>
  <c r="G2471" i="3"/>
  <c r="H2471" i="3"/>
  <c r="I2471" i="3"/>
  <c r="J2471" i="3"/>
  <c r="K2471" i="3"/>
  <c r="N2471" i="3"/>
  <c r="G2472" i="3"/>
  <c r="H2472" i="3"/>
  <c r="I2472" i="3"/>
  <c r="J2472" i="3"/>
  <c r="K2472" i="3"/>
  <c r="N2472" i="3"/>
  <c r="G2473" i="3"/>
  <c r="H2473" i="3"/>
  <c r="I2473" i="3"/>
  <c r="J2473" i="3"/>
  <c r="K2473" i="3"/>
  <c r="N2473" i="3"/>
  <c r="G2474" i="3"/>
  <c r="H2474" i="3"/>
  <c r="I2474" i="3"/>
  <c r="J2474" i="3"/>
  <c r="K2474" i="3"/>
  <c r="N2474" i="3"/>
  <c r="G2475" i="3"/>
  <c r="H2475" i="3"/>
  <c r="I2475" i="3"/>
  <c r="J2475" i="3"/>
  <c r="K2475" i="3"/>
  <c r="N2475" i="3"/>
  <c r="G2476" i="3"/>
  <c r="H2476" i="3"/>
  <c r="I2476" i="3"/>
  <c r="J2476" i="3"/>
  <c r="K2476" i="3"/>
  <c r="N2476" i="3"/>
  <c r="G2477" i="3"/>
  <c r="H2477" i="3"/>
  <c r="I2477" i="3"/>
  <c r="J2477" i="3"/>
  <c r="K2477" i="3"/>
  <c r="N2477" i="3"/>
  <c r="G2478" i="3"/>
  <c r="H2478" i="3"/>
  <c r="I2478" i="3"/>
  <c r="J2478" i="3"/>
  <c r="K2478" i="3"/>
  <c r="N2478" i="3"/>
  <c r="G2479" i="3"/>
  <c r="H2479" i="3"/>
  <c r="I2479" i="3"/>
  <c r="J2479" i="3"/>
  <c r="K2479" i="3"/>
  <c r="N2479" i="3"/>
  <c r="G2480" i="3"/>
  <c r="H2480" i="3"/>
  <c r="I2480" i="3"/>
  <c r="J2480" i="3"/>
  <c r="K2480" i="3"/>
  <c r="N2480" i="3"/>
  <c r="G2481" i="3"/>
  <c r="H2481" i="3"/>
  <c r="I2481" i="3"/>
  <c r="J2481" i="3"/>
  <c r="K2481" i="3"/>
  <c r="N2481" i="3"/>
  <c r="G2482" i="3"/>
  <c r="H2482" i="3"/>
  <c r="I2482" i="3"/>
  <c r="J2482" i="3"/>
  <c r="K2482" i="3"/>
  <c r="N2482" i="3"/>
  <c r="G2483" i="3"/>
  <c r="H2483" i="3"/>
  <c r="I2483" i="3"/>
  <c r="J2483" i="3"/>
  <c r="K2483" i="3"/>
  <c r="N2483" i="3"/>
  <c r="G2484" i="3"/>
  <c r="H2484" i="3"/>
  <c r="I2484" i="3"/>
  <c r="J2484" i="3"/>
  <c r="K2484" i="3"/>
  <c r="N2484" i="3"/>
  <c r="G2485" i="3"/>
  <c r="H2485" i="3"/>
  <c r="I2485" i="3"/>
  <c r="J2485" i="3"/>
  <c r="K2485" i="3"/>
  <c r="N2485" i="3"/>
  <c r="G2486" i="3"/>
  <c r="H2486" i="3"/>
  <c r="I2486" i="3"/>
  <c r="J2486" i="3"/>
  <c r="K2486" i="3"/>
  <c r="N2486" i="3"/>
  <c r="G2487" i="3"/>
  <c r="H2487" i="3"/>
  <c r="I2487" i="3"/>
  <c r="J2487" i="3"/>
  <c r="K2487" i="3"/>
  <c r="N2487" i="3"/>
  <c r="G2488" i="3"/>
  <c r="H2488" i="3"/>
  <c r="I2488" i="3"/>
  <c r="J2488" i="3"/>
  <c r="K2488" i="3"/>
  <c r="N2488" i="3"/>
  <c r="G2489" i="3"/>
  <c r="H2489" i="3"/>
  <c r="I2489" i="3"/>
  <c r="J2489" i="3"/>
  <c r="K2489" i="3"/>
  <c r="N2489" i="3"/>
  <c r="G2490" i="3"/>
  <c r="H2490" i="3"/>
  <c r="I2490" i="3"/>
  <c r="J2490" i="3"/>
  <c r="K2490" i="3"/>
  <c r="N2490" i="3"/>
  <c r="G2491" i="3"/>
  <c r="H2491" i="3"/>
  <c r="I2491" i="3"/>
  <c r="J2491" i="3"/>
  <c r="K2491" i="3"/>
  <c r="N2491" i="3"/>
  <c r="G2492" i="3"/>
  <c r="H2492" i="3"/>
  <c r="I2492" i="3"/>
  <c r="J2492" i="3"/>
  <c r="K2492" i="3"/>
  <c r="N2492" i="3"/>
  <c r="G2493" i="3"/>
  <c r="H2493" i="3"/>
  <c r="I2493" i="3"/>
  <c r="J2493" i="3"/>
  <c r="K2493" i="3"/>
  <c r="N2493" i="3"/>
  <c r="G2494" i="3"/>
  <c r="H2494" i="3"/>
  <c r="I2494" i="3"/>
  <c r="J2494" i="3"/>
  <c r="K2494" i="3"/>
  <c r="N2494" i="3"/>
  <c r="G2495" i="3"/>
  <c r="H2495" i="3"/>
  <c r="I2495" i="3"/>
  <c r="J2495" i="3"/>
  <c r="K2495" i="3"/>
  <c r="N2495" i="3"/>
  <c r="G2496" i="3"/>
  <c r="H2496" i="3"/>
  <c r="I2496" i="3"/>
  <c r="J2496" i="3"/>
  <c r="K2496" i="3"/>
  <c r="N2496" i="3"/>
  <c r="G2497" i="3"/>
  <c r="H2497" i="3"/>
  <c r="I2497" i="3"/>
  <c r="J2497" i="3"/>
  <c r="K2497" i="3"/>
  <c r="N2497" i="3"/>
  <c r="G2498" i="3"/>
  <c r="H2498" i="3"/>
  <c r="I2498" i="3"/>
  <c r="J2498" i="3"/>
  <c r="K2498" i="3"/>
  <c r="N2498" i="3"/>
  <c r="G2499" i="3"/>
  <c r="H2499" i="3"/>
  <c r="I2499" i="3"/>
  <c r="J2499" i="3"/>
  <c r="K2499" i="3"/>
  <c r="N2499" i="3"/>
  <c r="G2500" i="3"/>
  <c r="H2500" i="3"/>
  <c r="I2500" i="3"/>
  <c r="J2500" i="3"/>
  <c r="K2500" i="3"/>
  <c r="N2500" i="3"/>
  <c r="G2501" i="3"/>
  <c r="H2501" i="3"/>
  <c r="I2501" i="3"/>
  <c r="J2501" i="3"/>
  <c r="K2501" i="3"/>
  <c r="N2501" i="3"/>
  <c r="G2502" i="3"/>
  <c r="H2502" i="3"/>
  <c r="I2502" i="3"/>
  <c r="J2502" i="3"/>
  <c r="K2502" i="3"/>
  <c r="N2502" i="3"/>
  <c r="G2503" i="3"/>
  <c r="H2503" i="3"/>
  <c r="I2503" i="3"/>
  <c r="J2503" i="3"/>
  <c r="K2503" i="3"/>
  <c r="N2503" i="3"/>
  <c r="G2504" i="3"/>
  <c r="H2504" i="3"/>
  <c r="I2504" i="3"/>
  <c r="J2504" i="3"/>
  <c r="K2504" i="3"/>
  <c r="N2504" i="3"/>
  <c r="G2505" i="3"/>
  <c r="H2505" i="3"/>
  <c r="I2505" i="3"/>
  <c r="J2505" i="3"/>
  <c r="K2505" i="3"/>
  <c r="N2505" i="3"/>
  <c r="G2506" i="3"/>
  <c r="H2506" i="3"/>
  <c r="I2506" i="3"/>
  <c r="J2506" i="3"/>
  <c r="K2506" i="3"/>
  <c r="N2506" i="3"/>
  <c r="G2507" i="3"/>
  <c r="H2507" i="3"/>
  <c r="I2507" i="3"/>
  <c r="J2507" i="3"/>
  <c r="K2507" i="3"/>
  <c r="N2507" i="3"/>
  <c r="G2508" i="3"/>
  <c r="H2508" i="3"/>
  <c r="I2508" i="3"/>
  <c r="J2508" i="3"/>
  <c r="K2508" i="3"/>
  <c r="N2508" i="3"/>
  <c r="G2509" i="3"/>
  <c r="H2509" i="3"/>
  <c r="I2509" i="3"/>
  <c r="J2509" i="3"/>
  <c r="K2509" i="3"/>
  <c r="N2509" i="3"/>
  <c r="G2510" i="3"/>
  <c r="H2510" i="3"/>
  <c r="I2510" i="3"/>
  <c r="J2510" i="3"/>
  <c r="K2510" i="3"/>
  <c r="N2510" i="3"/>
  <c r="G2511" i="3"/>
  <c r="H2511" i="3"/>
  <c r="I2511" i="3"/>
  <c r="J2511" i="3"/>
  <c r="K2511" i="3"/>
  <c r="N2511" i="3"/>
  <c r="G2512" i="3"/>
  <c r="H2512" i="3"/>
  <c r="I2512" i="3"/>
  <c r="J2512" i="3"/>
  <c r="K2512" i="3"/>
  <c r="N2512" i="3"/>
  <c r="G2513" i="3"/>
  <c r="H2513" i="3"/>
  <c r="I2513" i="3"/>
  <c r="J2513" i="3"/>
  <c r="K2513" i="3"/>
  <c r="N2513" i="3"/>
  <c r="G2514" i="3"/>
  <c r="H2514" i="3"/>
  <c r="I2514" i="3"/>
  <c r="J2514" i="3"/>
  <c r="K2514" i="3"/>
  <c r="N2514" i="3"/>
  <c r="G2515" i="3"/>
  <c r="H2515" i="3"/>
  <c r="I2515" i="3"/>
  <c r="J2515" i="3"/>
  <c r="K2515" i="3"/>
  <c r="N2515" i="3"/>
  <c r="G2516" i="3"/>
  <c r="H2516" i="3"/>
  <c r="I2516" i="3"/>
  <c r="J2516" i="3"/>
  <c r="K2516" i="3"/>
  <c r="N2516" i="3"/>
  <c r="G2517" i="3"/>
  <c r="H2517" i="3"/>
  <c r="I2517" i="3"/>
  <c r="J2517" i="3"/>
  <c r="K2517" i="3"/>
  <c r="N2517" i="3"/>
  <c r="G2518" i="3"/>
  <c r="H2518" i="3"/>
  <c r="I2518" i="3"/>
  <c r="J2518" i="3"/>
  <c r="K2518" i="3"/>
  <c r="N2518" i="3"/>
  <c r="G2519" i="3"/>
  <c r="H2519" i="3"/>
  <c r="I2519" i="3"/>
  <c r="J2519" i="3"/>
  <c r="K2519" i="3"/>
  <c r="N2519" i="3"/>
  <c r="G2520" i="3"/>
  <c r="H2520" i="3"/>
  <c r="I2520" i="3"/>
  <c r="J2520" i="3"/>
  <c r="K2520" i="3"/>
  <c r="N2520" i="3"/>
  <c r="G2521" i="3"/>
  <c r="H2521" i="3"/>
  <c r="I2521" i="3"/>
  <c r="J2521" i="3"/>
  <c r="K2521" i="3"/>
  <c r="N2521" i="3"/>
  <c r="G2522" i="3"/>
  <c r="H2522" i="3"/>
  <c r="I2522" i="3"/>
  <c r="J2522" i="3"/>
  <c r="K2522" i="3"/>
  <c r="N2522" i="3"/>
  <c r="G2523" i="3"/>
  <c r="H2523" i="3"/>
  <c r="I2523" i="3"/>
  <c r="J2523" i="3"/>
  <c r="K2523" i="3"/>
  <c r="N2523" i="3"/>
  <c r="G2524" i="3"/>
  <c r="H2524" i="3"/>
  <c r="I2524" i="3"/>
  <c r="J2524" i="3"/>
  <c r="K2524" i="3"/>
  <c r="N2524" i="3"/>
  <c r="G2525" i="3"/>
  <c r="H2525" i="3"/>
  <c r="I2525" i="3"/>
  <c r="J2525" i="3"/>
  <c r="K2525" i="3"/>
  <c r="N2525" i="3"/>
  <c r="G2526" i="3"/>
  <c r="H2526" i="3"/>
  <c r="I2526" i="3"/>
  <c r="J2526" i="3"/>
  <c r="K2526" i="3"/>
  <c r="N2526" i="3"/>
  <c r="G2527" i="3"/>
  <c r="H2527" i="3"/>
  <c r="I2527" i="3"/>
  <c r="J2527" i="3"/>
  <c r="K2527" i="3"/>
  <c r="N2527" i="3"/>
  <c r="G2528" i="3"/>
  <c r="H2528" i="3"/>
  <c r="I2528" i="3"/>
  <c r="J2528" i="3"/>
  <c r="K2528" i="3"/>
  <c r="N2528" i="3"/>
  <c r="G2529" i="3"/>
  <c r="H2529" i="3"/>
  <c r="I2529" i="3"/>
  <c r="J2529" i="3"/>
  <c r="K2529" i="3"/>
  <c r="N2529" i="3"/>
  <c r="G2530" i="3"/>
  <c r="H2530" i="3"/>
  <c r="I2530" i="3"/>
  <c r="J2530" i="3"/>
  <c r="K2530" i="3"/>
  <c r="N2530" i="3"/>
  <c r="G2531" i="3"/>
  <c r="H2531" i="3"/>
  <c r="I2531" i="3"/>
  <c r="J2531" i="3"/>
  <c r="K2531" i="3"/>
  <c r="N2531" i="3"/>
  <c r="G2532" i="3"/>
  <c r="H2532" i="3"/>
  <c r="I2532" i="3"/>
  <c r="J2532" i="3"/>
  <c r="K2532" i="3"/>
  <c r="N2532" i="3"/>
  <c r="G2533" i="3"/>
  <c r="H2533" i="3"/>
  <c r="I2533" i="3"/>
  <c r="J2533" i="3"/>
  <c r="K2533" i="3"/>
  <c r="N2533" i="3"/>
  <c r="G2534" i="3"/>
  <c r="H2534" i="3"/>
  <c r="I2534" i="3"/>
  <c r="J2534" i="3"/>
  <c r="K2534" i="3"/>
  <c r="N2534" i="3"/>
  <c r="G2535" i="3"/>
  <c r="H2535" i="3"/>
  <c r="I2535" i="3"/>
  <c r="J2535" i="3"/>
  <c r="K2535" i="3"/>
  <c r="N2535" i="3"/>
  <c r="G2536" i="3"/>
  <c r="H2536" i="3"/>
  <c r="I2536" i="3"/>
  <c r="J2536" i="3"/>
  <c r="K2536" i="3"/>
  <c r="N2536" i="3"/>
  <c r="G2537" i="3"/>
  <c r="H2537" i="3"/>
  <c r="I2537" i="3"/>
  <c r="J2537" i="3"/>
  <c r="K2537" i="3"/>
  <c r="N2537" i="3"/>
  <c r="G2538" i="3"/>
  <c r="H2538" i="3"/>
  <c r="I2538" i="3"/>
  <c r="J2538" i="3"/>
  <c r="K2538" i="3"/>
  <c r="N2538" i="3"/>
  <c r="G2539" i="3"/>
  <c r="H2539" i="3"/>
  <c r="I2539" i="3"/>
  <c r="J2539" i="3"/>
  <c r="K2539" i="3"/>
  <c r="N2539" i="3"/>
  <c r="G2540" i="3"/>
  <c r="H2540" i="3"/>
  <c r="I2540" i="3"/>
  <c r="J2540" i="3"/>
  <c r="K2540" i="3"/>
  <c r="N2540" i="3"/>
  <c r="G2541" i="3"/>
  <c r="H2541" i="3"/>
  <c r="I2541" i="3"/>
  <c r="J2541" i="3"/>
  <c r="K2541" i="3"/>
  <c r="N2541" i="3"/>
  <c r="G2542" i="3"/>
  <c r="H2542" i="3"/>
  <c r="I2542" i="3"/>
  <c r="J2542" i="3"/>
  <c r="K2542" i="3"/>
  <c r="N2542" i="3"/>
  <c r="G2543" i="3"/>
  <c r="H2543" i="3"/>
  <c r="I2543" i="3"/>
  <c r="J2543" i="3"/>
  <c r="K2543" i="3"/>
  <c r="N2543" i="3"/>
  <c r="G2544" i="3"/>
  <c r="H2544" i="3"/>
  <c r="I2544" i="3"/>
  <c r="J2544" i="3"/>
  <c r="K2544" i="3"/>
  <c r="N2544" i="3"/>
  <c r="G2545" i="3"/>
  <c r="H2545" i="3"/>
  <c r="I2545" i="3"/>
  <c r="J2545" i="3"/>
  <c r="K2545" i="3"/>
  <c r="N2545" i="3"/>
  <c r="G2546" i="3"/>
  <c r="H2546" i="3"/>
  <c r="I2546" i="3"/>
  <c r="J2546" i="3"/>
  <c r="K2546" i="3"/>
  <c r="N2546" i="3"/>
  <c r="G2547" i="3"/>
  <c r="H2547" i="3"/>
  <c r="I2547" i="3"/>
  <c r="J2547" i="3"/>
  <c r="K2547" i="3"/>
  <c r="N2547" i="3"/>
  <c r="G2548" i="3"/>
  <c r="H2548" i="3"/>
  <c r="I2548" i="3"/>
  <c r="J2548" i="3"/>
  <c r="K2548" i="3"/>
  <c r="N2548" i="3"/>
  <c r="G2549" i="3"/>
  <c r="H2549" i="3"/>
  <c r="I2549" i="3"/>
  <c r="J2549" i="3"/>
  <c r="K2549" i="3"/>
  <c r="N2549" i="3"/>
  <c r="G2550" i="3"/>
  <c r="H2550" i="3"/>
  <c r="I2550" i="3"/>
  <c r="J2550" i="3"/>
  <c r="K2550" i="3"/>
  <c r="N2550" i="3"/>
  <c r="G2551" i="3"/>
  <c r="H2551" i="3"/>
  <c r="I2551" i="3"/>
  <c r="J2551" i="3"/>
  <c r="K2551" i="3"/>
  <c r="N2551" i="3"/>
  <c r="G2552" i="3"/>
  <c r="H2552" i="3"/>
  <c r="I2552" i="3"/>
  <c r="J2552" i="3"/>
  <c r="K2552" i="3"/>
  <c r="N2552" i="3"/>
  <c r="G2553" i="3"/>
  <c r="H2553" i="3"/>
  <c r="I2553" i="3"/>
  <c r="J2553" i="3"/>
  <c r="K2553" i="3"/>
  <c r="N2553" i="3"/>
  <c r="G2554" i="3"/>
  <c r="H2554" i="3"/>
  <c r="I2554" i="3"/>
  <c r="J2554" i="3"/>
  <c r="K2554" i="3"/>
  <c r="N2554" i="3"/>
  <c r="G2555" i="3"/>
  <c r="H2555" i="3"/>
  <c r="I2555" i="3"/>
  <c r="J2555" i="3"/>
  <c r="K2555" i="3"/>
  <c r="N2555" i="3"/>
  <c r="G2556" i="3"/>
  <c r="H2556" i="3"/>
  <c r="I2556" i="3"/>
  <c r="J2556" i="3"/>
  <c r="K2556" i="3"/>
  <c r="N2556" i="3"/>
  <c r="G2557" i="3"/>
  <c r="H2557" i="3"/>
  <c r="I2557" i="3"/>
  <c r="J2557" i="3"/>
  <c r="K2557" i="3"/>
  <c r="N2557" i="3"/>
  <c r="G2558" i="3"/>
  <c r="H2558" i="3"/>
  <c r="I2558" i="3"/>
  <c r="J2558" i="3"/>
  <c r="K2558" i="3"/>
  <c r="N2558" i="3"/>
  <c r="G2559" i="3"/>
  <c r="H2559" i="3"/>
  <c r="I2559" i="3"/>
  <c r="J2559" i="3"/>
  <c r="K2559" i="3"/>
  <c r="N2559" i="3"/>
  <c r="G2560" i="3"/>
  <c r="H2560" i="3"/>
  <c r="I2560" i="3"/>
  <c r="J2560" i="3"/>
  <c r="K2560" i="3"/>
  <c r="N2560" i="3"/>
  <c r="G2561" i="3"/>
  <c r="H2561" i="3"/>
  <c r="I2561" i="3"/>
  <c r="J2561" i="3"/>
  <c r="K2561" i="3"/>
  <c r="N2561" i="3"/>
  <c r="G2562" i="3"/>
  <c r="H2562" i="3"/>
  <c r="I2562" i="3"/>
  <c r="J2562" i="3"/>
  <c r="K2562" i="3"/>
  <c r="N2562" i="3"/>
  <c r="G2563" i="3"/>
  <c r="H2563" i="3"/>
  <c r="I2563" i="3"/>
  <c r="J2563" i="3"/>
  <c r="K2563" i="3"/>
  <c r="N2563" i="3"/>
  <c r="G2564" i="3"/>
  <c r="H2564" i="3"/>
  <c r="I2564" i="3"/>
  <c r="J2564" i="3"/>
  <c r="K2564" i="3"/>
  <c r="N2564" i="3"/>
  <c r="G2565" i="3"/>
  <c r="H2565" i="3"/>
  <c r="I2565" i="3"/>
  <c r="J2565" i="3"/>
  <c r="K2565" i="3"/>
  <c r="N2565" i="3"/>
  <c r="G2566" i="3"/>
  <c r="H2566" i="3"/>
  <c r="I2566" i="3"/>
  <c r="J2566" i="3"/>
  <c r="K2566" i="3"/>
  <c r="N2566" i="3"/>
  <c r="G2567" i="3"/>
  <c r="H2567" i="3"/>
  <c r="I2567" i="3"/>
  <c r="J2567" i="3"/>
  <c r="K2567" i="3"/>
  <c r="N2567" i="3"/>
  <c r="G2568" i="3"/>
  <c r="H2568" i="3"/>
  <c r="I2568" i="3"/>
  <c r="J2568" i="3"/>
  <c r="K2568" i="3"/>
  <c r="N2568" i="3"/>
  <c r="G2569" i="3"/>
  <c r="H2569" i="3"/>
  <c r="I2569" i="3"/>
  <c r="J2569" i="3"/>
  <c r="K2569" i="3"/>
  <c r="N2569" i="3"/>
  <c r="G2570" i="3"/>
  <c r="H2570" i="3"/>
  <c r="I2570" i="3"/>
  <c r="J2570" i="3"/>
  <c r="K2570" i="3"/>
  <c r="N2570" i="3"/>
  <c r="G2571" i="3"/>
  <c r="H2571" i="3"/>
  <c r="I2571" i="3"/>
  <c r="J2571" i="3"/>
  <c r="K2571" i="3"/>
  <c r="N2571" i="3"/>
  <c r="G2572" i="3"/>
  <c r="H2572" i="3"/>
  <c r="I2572" i="3"/>
  <c r="J2572" i="3"/>
  <c r="K2572" i="3"/>
  <c r="N2572" i="3"/>
  <c r="G2573" i="3"/>
  <c r="H2573" i="3"/>
  <c r="I2573" i="3"/>
  <c r="J2573" i="3"/>
  <c r="K2573" i="3"/>
  <c r="N2573" i="3"/>
  <c r="G2574" i="3"/>
  <c r="H2574" i="3"/>
  <c r="I2574" i="3"/>
  <c r="J2574" i="3"/>
  <c r="K2574" i="3"/>
  <c r="N2574" i="3"/>
  <c r="G2575" i="3"/>
  <c r="H2575" i="3"/>
  <c r="I2575" i="3"/>
  <c r="J2575" i="3"/>
  <c r="K2575" i="3"/>
  <c r="N2575" i="3"/>
  <c r="G2576" i="3"/>
  <c r="H2576" i="3"/>
  <c r="I2576" i="3"/>
  <c r="J2576" i="3"/>
  <c r="K2576" i="3"/>
  <c r="N2576" i="3"/>
  <c r="G2577" i="3"/>
  <c r="H2577" i="3"/>
  <c r="I2577" i="3"/>
  <c r="J2577" i="3"/>
  <c r="K2577" i="3"/>
  <c r="N2577" i="3"/>
  <c r="G2578" i="3"/>
  <c r="H2578" i="3"/>
  <c r="I2578" i="3"/>
  <c r="J2578" i="3"/>
  <c r="K2578" i="3"/>
  <c r="N2578" i="3"/>
  <c r="G2579" i="3"/>
  <c r="H2579" i="3"/>
  <c r="I2579" i="3"/>
  <c r="J2579" i="3"/>
  <c r="K2579" i="3"/>
  <c r="N2579" i="3"/>
  <c r="G2580" i="3"/>
  <c r="H2580" i="3"/>
  <c r="I2580" i="3"/>
  <c r="J2580" i="3"/>
  <c r="K2580" i="3"/>
  <c r="N2580" i="3"/>
  <c r="G2581" i="3"/>
  <c r="H2581" i="3"/>
  <c r="I2581" i="3"/>
  <c r="J2581" i="3"/>
  <c r="K2581" i="3"/>
  <c r="N2581" i="3"/>
  <c r="G2582" i="3"/>
  <c r="H2582" i="3"/>
  <c r="I2582" i="3"/>
  <c r="J2582" i="3"/>
  <c r="K2582" i="3"/>
  <c r="N2582" i="3"/>
  <c r="G2583" i="3"/>
  <c r="H2583" i="3"/>
  <c r="I2583" i="3"/>
  <c r="J2583" i="3"/>
  <c r="K2583" i="3"/>
  <c r="N2583" i="3"/>
  <c r="G2584" i="3"/>
  <c r="H2584" i="3"/>
  <c r="I2584" i="3"/>
  <c r="J2584" i="3"/>
  <c r="K2584" i="3"/>
  <c r="N2584" i="3"/>
  <c r="G2585" i="3"/>
  <c r="H2585" i="3"/>
  <c r="I2585" i="3"/>
  <c r="J2585" i="3"/>
  <c r="K2585" i="3"/>
  <c r="N2585" i="3"/>
  <c r="G2586" i="3"/>
  <c r="H2586" i="3"/>
  <c r="I2586" i="3"/>
  <c r="J2586" i="3"/>
  <c r="K2586" i="3"/>
  <c r="N2586" i="3"/>
  <c r="G2587" i="3"/>
  <c r="H2587" i="3"/>
  <c r="I2587" i="3"/>
  <c r="J2587" i="3"/>
  <c r="K2587" i="3"/>
  <c r="N2587" i="3"/>
  <c r="G2588" i="3"/>
  <c r="H2588" i="3"/>
  <c r="I2588" i="3"/>
  <c r="J2588" i="3"/>
  <c r="K2588" i="3"/>
  <c r="N2588" i="3"/>
  <c r="G2589" i="3"/>
  <c r="H2589" i="3"/>
  <c r="I2589" i="3"/>
  <c r="J2589" i="3"/>
  <c r="K2589" i="3"/>
  <c r="N2589" i="3"/>
  <c r="G2590" i="3"/>
  <c r="H2590" i="3"/>
  <c r="I2590" i="3"/>
  <c r="J2590" i="3"/>
  <c r="K2590" i="3"/>
  <c r="N2590" i="3"/>
  <c r="G2591" i="3"/>
  <c r="H2591" i="3"/>
  <c r="I2591" i="3"/>
  <c r="J2591" i="3"/>
  <c r="K2591" i="3"/>
  <c r="N2591" i="3"/>
  <c r="G2592" i="3"/>
  <c r="H2592" i="3"/>
  <c r="I2592" i="3"/>
  <c r="J2592" i="3"/>
  <c r="K2592" i="3"/>
  <c r="N2592" i="3"/>
  <c r="G2593" i="3"/>
  <c r="H2593" i="3"/>
  <c r="I2593" i="3"/>
  <c r="J2593" i="3"/>
  <c r="K2593" i="3"/>
  <c r="N2593" i="3"/>
  <c r="G2594" i="3"/>
  <c r="H2594" i="3"/>
  <c r="I2594" i="3"/>
  <c r="J2594" i="3"/>
  <c r="K2594" i="3"/>
  <c r="N2594" i="3"/>
  <c r="G2595" i="3"/>
  <c r="H2595" i="3"/>
  <c r="I2595" i="3"/>
  <c r="J2595" i="3"/>
  <c r="K2595" i="3"/>
  <c r="N2595" i="3"/>
  <c r="G2596" i="3"/>
  <c r="H2596" i="3"/>
  <c r="I2596" i="3"/>
  <c r="J2596" i="3"/>
  <c r="K2596" i="3"/>
  <c r="N2596" i="3"/>
  <c r="G2597" i="3"/>
  <c r="H2597" i="3"/>
  <c r="I2597" i="3"/>
  <c r="J2597" i="3"/>
  <c r="K2597" i="3"/>
  <c r="N2597" i="3"/>
  <c r="G2598" i="3"/>
  <c r="H2598" i="3"/>
  <c r="I2598" i="3"/>
  <c r="J2598" i="3"/>
  <c r="K2598" i="3"/>
  <c r="N2598" i="3"/>
  <c r="G2599" i="3"/>
  <c r="H2599" i="3"/>
  <c r="I2599" i="3"/>
  <c r="J2599" i="3"/>
  <c r="K2599" i="3"/>
  <c r="N2599" i="3"/>
  <c r="G2600" i="3"/>
  <c r="H2600" i="3"/>
  <c r="I2600" i="3"/>
  <c r="J2600" i="3"/>
  <c r="K2600" i="3"/>
  <c r="N2600" i="3"/>
  <c r="G2601" i="3"/>
  <c r="H2601" i="3"/>
  <c r="I2601" i="3"/>
  <c r="J2601" i="3"/>
  <c r="K2601" i="3"/>
  <c r="N2601" i="3"/>
  <c r="G2602" i="3"/>
  <c r="H2602" i="3"/>
  <c r="I2602" i="3"/>
  <c r="J2602" i="3"/>
  <c r="K2602" i="3"/>
  <c r="N2602" i="3"/>
  <c r="G2603" i="3"/>
  <c r="H2603" i="3"/>
  <c r="I2603" i="3"/>
  <c r="J2603" i="3"/>
  <c r="K2603" i="3"/>
  <c r="N2603" i="3"/>
  <c r="G2604" i="3"/>
  <c r="H2604" i="3"/>
  <c r="I2604" i="3"/>
  <c r="J2604" i="3"/>
  <c r="K2604" i="3"/>
  <c r="N2604" i="3"/>
  <c r="G2605" i="3"/>
  <c r="H2605" i="3"/>
  <c r="I2605" i="3"/>
  <c r="J2605" i="3"/>
  <c r="K2605" i="3"/>
  <c r="N2605" i="3"/>
  <c r="G2606" i="3"/>
  <c r="H2606" i="3"/>
  <c r="I2606" i="3"/>
  <c r="J2606" i="3"/>
  <c r="K2606" i="3"/>
  <c r="N2606" i="3"/>
  <c r="G2607" i="3"/>
  <c r="H2607" i="3"/>
  <c r="I2607" i="3"/>
  <c r="J2607" i="3"/>
  <c r="K2607" i="3"/>
  <c r="N2607" i="3"/>
  <c r="G2608" i="3"/>
  <c r="H2608" i="3"/>
  <c r="I2608" i="3"/>
  <c r="J2608" i="3"/>
  <c r="K2608" i="3"/>
  <c r="N2608" i="3"/>
  <c r="G2609" i="3"/>
  <c r="H2609" i="3"/>
  <c r="I2609" i="3"/>
  <c r="J2609" i="3"/>
  <c r="K2609" i="3"/>
  <c r="N2609" i="3"/>
  <c r="G2610" i="3"/>
  <c r="H2610" i="3"/>
  <c r="I2610" i="3"/>
  <c r="J2610" i="3"/>
  <c r="K2610" i="3"/>
  <c r="N2610" i="3"/>
  <c r="G2611" i="3"/>
  <c r="H2611" i="3"/>
  <c r="I2611" i="3"/>
  <c r="J2611" i="3"/>
  <c r="K2611" i="3"/>
  <c r="N2611" i="3"/>
  <c r="G2612" i="3"/>
  <c r="H2612" i="3"/>
  <c r="I2612" i="3"/>
  <c r="J2612" i="3"/>
  <c r="K2612" i="3"/>
  <c r="N2612" i="3"/>
  <c r="G2613" i="3"/>
  <c r="H2613" i="3"/>
  <c r="I2613" i="3"/>
  <c r="J2613" i="3"/>
  <c r="K2613" i="3"/>
  <c r="N2613" i="3"/>
  <c r="G2614" i="3"/>
  <c r="H2614" i="3"/>
  <c r="I2614" i="3"/>
  <c r="J2614" i="3"/>
  <c r="K2614" i="3"/>
  <c r="N2614" i="3"/>
  <c r="G2615" i="3"/>
  <c r="H2615" i="3"/>
  <c r="I2615" i="3"/>
  <c r="J2615" i="3"/>
  <c r="K2615" i="3"/>
  <c r="N2615" i="3"/>
  <c r="G2616" i="3"/>
  <c r="H2616" i="3"/>
  <c r="I2616" i="3"/>
  <c r="J2616" i="3"/>
  <c r="K2616" i="3"/>
  <c r="N2616" i="3"/>
  <c r="G2617" i="3"/>
  <c r="H2617" i="3"/>
  <c r="I2617" i="3"/>
  <c r="J2617" i="3"/>
  <c r="K2617" i="3"/>
  <c r="N2617" i="3"/>
  <c r="G2618" i="3"/>
  <c r="H2618" i="3"/>
  <c r="I2618" i="3"/>
  <c r="J2618" i="3"/>
  <c r="K2618" i="3"/>
  <c r="N2618" i="3"/>
  <c r="G2619" i="3"/>
  <c r="H2619" i="3"/>
  <c r="I2619" i="3"/>
  <c r="J2619" i="3"/>
  <c r="K2619" i="3"/>
  <c r="N2619" i="3"/>
  <c r="G2620" i="3"/>
  <c r="H2620" i="3"/>
  <c r="I2620" i="3"/>
  <c r="J2620" i="3"/>
  <c r="K2620" i="3"/>
  <c r="N2620" i="3"/>
  <c r="G2621" i="3"/>
  <c r="H2621" i="3"/>
  <c r="I2621" i="3"/>
  <c r="J2621" i="3"/>
  <c r="K2621" i="3"/>
  <c r="N2621" i="3"/>
  <c r="G2622" i="3"/>
  <c r="H2622" i="3"/>
  <c r="I2622" i="3"/>
  <c r="J2622" i="3"/>
  <c r="K2622" i="3"/>
  <c r="N2622" i="3"/>
  <c r="G2623" i="3"/>
  <c r="H2623" i="3"/>
  <c r="I2623" i="3"/>
  <c r="J2623" i="3"/>
  <c r="K2623" i="3"/>
  <c r="N2623" i="3"/>
  <c r="G2624" i="3"/>
  <c r="H2624" i="3"/>
  <c r="I2624" i="3"/>
  <c r="J2624" i="3"/>
  <c r="K2624" i="3"/>
  <c r="N2624" i="3"/>
  <c r="G2625" i="3"/>
  <c r="H2625" i="3"/>
  <c r="I2625" i="3"/>
  <c r="J2625" i="3"/>
  <c r="K2625" i="3"/>
  <c r="N2625" i="3"/>
  <c r="G2626" i="3"/>
  <c r="H2626" i="3"/>
  <c r="I2626" i="3"/>
  <c r="J2626" i="3"/>
  <c r="K2626" i="3"/>
  <c r="N2626" i="3"/>
  <c r="G2627" i="3"/>
  <c r="H2627" i="3"/>
  <c r="I2627" i="3"/>
  <c r="J2627" i="3"/>
  <c r="K2627" i="3"/>
  <c r="N2627" i="3"/>
  <c r="G2628" i="3"/>
  <c r="H2628" i="3"/>
  <c r="I2628" i="3"/>
  <c r="J2628" i="3"/>
  <c r="K2628" i="3"/>
  <c r="N2628" i="3"/>
  <c r="G2629" i="3"/>
  <c r="H2629" i="3"/>
  <c r="I2629" i="3"/>
  <c r="J2629" i="3"/>
  <c r="K2629" i="3"/>
  <c r="N2629" i="3"/>
  <c r="G2630" i="3"/>
  <c r="H2630" i="3"/>
  <c r="I2630" i="3"/>
  <c r="J2630" i="3"/>
  <c r="K2630" i="3"/>
  <c r="N2630" i="3"/>
  <c r="G2631" i="3"/>
  <c r="H2631" i="3"/>
  <c r="I2631" i="3"/>
  <c r="J2631" i="3"/>
  <c r="K2631" i="3"/>
  <c r="N2631" i="3"/>
  <c r="G2632" i="3"/>
  <c r="H2632" i="3"/>
  <c r="I2632" i="3"/>
  <c r="J2632" i="3"/>
  <c r="K2632" i="3"/>
  <c r="N2632" i="3"/>
  <c r="G2633" i="3"/>
  <c r="H2633" i="3"/>
  <c r="I2633" i="3"/>
  <c r="J2633" i="3"/>
  <c r="K2633" i="3"/>
  <c r="N2633" i="3"/>
  <c r="G2634" i="3"/>
  <c r="H2634" i="3"/>
  <c r="I2634" i="3"/>
  <c r="J2634" i="3"/>
  <c r="K2634" i="3"/>
  <c r="N2634" i="3"/>
  <c r="G2635" i="3"/>
  <c r="H2635" i="3"/>
  <c r="I2635" i="3"/>
  <c r="J2635" i="3"/>
  <c r="K2635" i="3"/>
  <c r="N2635" i="3"/>
  <c r="G2636" i="3"/>
  <c r="H2636" i="3"/>
  <c r="I2636" i="3"/>
  <c r="J2636" i="3"/>
  <c r="K2636" i="3"/>
  <c r="N2636" i="3"/>
  <c r="G2637" i="3"/>
  <c r="H2637" i="3"/>
  <c r="I2637" i="3"/>
  <c r="J2637" i="3"/>
  <c r="K2637" i="3"/>
  <c r="N2637" i="3"/>
  <c r="G2638" i="3"/>
  <c r="H2638" i="3"/>
  <c r="I2638" i="3"/>
  <c r="J2638" i="3"/>
  <c r="K2638" i="3"/>
  <c r="N2638" i="3"/>
  <c r="G2639" i="3"/>
  <c r="H2639" i="3"/>
  <c r="I2639" i="3"/>
  <c r="J2639" i="3"/>
  <c r="K2639" i="3"/>
  <c r="N2639" i="3"/>
  <c r="G2640" i="3"/>
  <c r="H2640" i="3"/>
  <c r="I2640" i="3"/>
  <c r="J2640" i="3"/>
  <c r="K2640" i="3"/>
  <c r="N2640" i="3"/>
  <c r="G2641" i="3"/>
  <c r="H2641" i="3"/>
  <c r="I2641" i="3"/>
  <c r="J2641" i="3"/>
  <c r="K2641" i="3"/>
  <c r="N2641" i="3"/>
  <c r="G2642" i="3"/>
  <c r="H2642" i="3"/>
  <c r="I2642" i="3"/>
  <c r="J2642" i="3"/>
  <c r="K2642" i="3"/>
  <c r="N2642" i="3"/>
  <c r="G2643" i="3"/>
  <c r="H2643" i="3"/>
  <c r="I2643" i="3"/>
  <c r="J2643" i="3"/>
  <c r="K2643" i="3"/>
  <c r="N2643" i="3"/>
  <c r="G2644" i="3"/>
  <c r="H2644" i="3"/>
  <c r="I2644" i="3"/>
  <c r="J2644" i="3"/>
  <c r="K2644" i="3"/>
  <c r="N2644" i="3"/>
  <c r="G2648" i="3"/>
  <c r="H2648" i="3"/>
  <c r="I2648" i="3"/>
  <c r="J2648" i="3"/>
  <c r="K2648" i="3"/>
  <c r="N2648" i="3"/>
  <c r="G2649" i="3"/>
  <c r="H2649" i="3"/>
  <c r="I2649" i="3"/>
  <c r="J2649" i="3"/>
  <c r="K2649" i="3"/>
  <c r="N2649" i="3"/>
  <c r="G2650" i="3"/>
  <c r="H2650" i="3"/>
  <c r="I2650" i="3"/>
  <c r="J2650" i="3"/>
  <c r="K2650" i="3"/>
  <c r="N2650" i="3"/>
  <c r="G2651" i="3"/>
  <c r="H2651" i="3"/>
  <c r="I2651" i="3"/>
  <c r="J2651" i="3"/>
  <c r="K2651" i="3"/>
  <c r="N2651" i="3"/>
  <c r="G2652" i="3"/>
  <c r="H2652" i="3"/>
  <c r="I2652" i="3"/>
  <c r="J2652" i="3"/>
  <c r="K2652" i="3"/>
  <c r="N2652" i="3"/>
  <c r="G2653" i="3"/>
  <c r="H2653" i="3"/>
  <c r="I2653" i="3"/>
  <c r="J2653" i="3"/>
  <c r="K2653" i="3"/>
  <c r="N2653" i="3"/>
  <c r="G2654" i="3"/>
  <c r="H2654" i="3"/>
  <c r="I2654" i="3"/>
  <c r="J2654" i="3"/>
  <c r="K2654" i="3"/>
  <c r="N2654" i="3"/>
  <c r="G2655" i="3"/>
  <c r="H2655" i="3"/>
  <c r="I2655" i="3"/>
  <c r="J2655" i="3"/>
  <c r="K2655" i="3"/>
  <c r="N2655" i="3"/>
  <c r="G2656" i="3"/>
  <c r="H2656" i="3"/>
  <c r="I2656" i="3"/>
  <c r="J2656" i="3"/>
  <c r="K2656" i="3"/>
  <c r="N2656" i="3"/>
  <c r="G2657" i="3"/>
  <c r="H2657" i="3"/>
  <c r="I2657" i="3"/>
  <c r="J2657" i="3"/>
  <c r="K2657" i="3"/>
  <c r="N2657" i="3"/>
  <c r="G2658" i="3"/>
  <c r="H2658" i="3"/>
  <c r="I2658" i="3"/>
  <c r="J2658" i="3"/>
  <c r="K2658" i="3"/>
  <c r="N2658" i="3"/>
  <c r="G2659" i="3"/>
  <c r="H2659" i="3"/>
  <c r="I2659" i="3"/>
  <c r="J2659" i="3"/>
  <c r="K2659" i="3"/>
  <c r="N2659" i="3"/>
  <c r="G2660" i="3"/>
  <c r="H2660" i="3"/>
  <c r="I2660" i="3"/>
  <c r="J2660" i="3"/>
  <c r="K2660" i="3"/>
  <c r="N2660" i="3"/>
  <c r="G2661" i="3"/>
  <c r="H2661" i="3"/>
  <c r="I2661" i="3"/>
  <c r="J2661" i="3"/>
  <c r="K2661" i="3"/>
  <c r="N2661" i="3"/>
  <c r="G2662" i="3"/>
  <c r="H2662" i="3"/>
  <c r="I2662" i="3"/>
  <c r="J2662" i="3"/>
  <c r="K2662" i="3"/>
  <c r="N2662" i="3"/>
  <c r="G2663" i="3"/>
  <c r="H2663" i="3"/>
  <c r="I2663" i="3"/>
  <c r="J2663" i="3"/>
  <c r="K2663" i="3"/>
  <c r="N2663" i="3"/>
  <c r="G2664" i="3"/>
  <c r="H2664" i="3"/>
  <c r="I2664" i="3"/>
  <c r="J2664" i="3"/>
  <c r="K2664" i="3"/>
  <c r="N2664" i="3"/>
  <c r="G2665" i="3"/>
  <c r="H2665" i="3"/>
  <c r="I2665" i="3"/>
  <c r="J2665" i="3"/>
  <c r="K2665" i="3"/>
  <c r="N2665" i="3"/>
  <c r="G2666" i="3"/>
  <c r="H2666" i="3"/>
  <c r="I2666" i="3"/>
  <c r="J2666" i="3"/>
  <c r="K2666" i="3"/>
  <c r="N2666" i="3"/>
  <c r="G2667" i="3"/>
  <c r="H2667" i="3"/>
  <c r="I2667" i="3"/>
  <c r="J2667" i="3"/>
  <c r="K2667" i="3"/>
  <c r="N2667" i="3"/>
  <c r="G2668" i="3"/>
  <c r="H2668" i="3"/>
  <c r="I2668" i="3"/>
  <c r="J2668" i="3"/>
  <c r="K2668" i="3"/>
  <c r="N2668" i="3"/>
  <c r="G2669" i="3"/>
  <c r="H2669" i="3"/>
  <c r="I2669" i="3"/>
  <c r="J2669" i="3"/>
  <c r="K2669" i="3"/>
  <c r="N2669" i="3"/>
  <c r="G2670" i="3"/>
  <c r="H2670" i="3"/>
  <c r="I2670" i="3"/>
  <c r="J2670" i="3"/>
  <c r="K2670" i="3"/>
  <c r="N2670" i="3"/>
  <c r="G2671" i="3"/>
  <c r="H2671" i="3"/>
  <c r="I2671" i="3"/>
  <c r="J2671" i="3"/>
  <c r="K2671" i="3"/>
  <c r="N2671" i="3"/>
  <c r="G2672" i="3"/>
  <c r="H2672" i="3"/>
  <c r="I2672" i="3"/>
  <c r="J2672" i="3"/>
  <c r="K2672" i="3"/>
  <c r="N2672" i="3"/>
  <c r="G2673" i="3"/>
  <c r="H2673" i="3"/>
  <c r="I2673" i="3"/>
  <c r="J2673" i="3"/>
  <c r="K2673" i="3"/>
  <c r="N2673" i="3"/>
  <c r="G2674" i="3"/>
  <c r="H2674" i="3"/>
  <c r="I2674" i="3"/>
  <c r="J2674" i="3"/>
  <c r="K2674" i="3"/>
  <c r="N2674" i="3"/>
  <c r="G2675" i="3"/>
  <c r="H2675" i="3"/>
  <c r="I2675" i="3"/>
  <c r="J2675" i="3"/>
  <c r="K2675" i="3"/>
  <c r="N2675" i="3"/>
  <c r="G2676" i="3"/>
  <c r="H2676" i="3"/>
  <c r="I2676" i="3"/>
  <c r="J2676" i="3"/>
  <c r="K2676" i="3"/>
  <c r="N2676" i="3"/>
  <c r="G2677" i="3"/>
  <c r="H2677" i="3"/>
  <c r="I2677" i="3"/>
  <c r="J2677" i="3"/>
  <c r="K2677" i="3"/>
  <c r="N2677" i="3"/>
  <c r="G2678" i="3"/>
  <c r="H2678" i="3"/>
  <c r="I2678" i="3"/>
  <c r="J2678" i="3"/>
  <c r="K2678" i="3"/>
  <c r="N2678" i="3"/>
  <c r="G2679" i="3"/>
  <c r="H2679" i="3"/>
  <c r="I2679" i="3"/>
  <c r="J2679" i="3"/>
  <c r="K2679" i="3"/>
  <c r="N2679" i="3"/>
  <c r="G2680" i="3"/>
  <c r="H2680" i="3"/>
  <c r="I2680" i="3"/>
  <c r="J2680" i="3"/>
  <c r="K2680" i="3"/>
  <c r="N2680" i="3"/>
  <c r="G2681" i="3"/>
  <c r="H2681" i="3"/>
  <c r="I2681" i="3"/>
  <c r="J2681" i="3"/>
  <c r="K2681" i="3"/>
  <c r="N2681" i="3"/>
  <c r="G2682" i="3"/>
  <c r="H2682" i="3"/>
  <c r="I2682" i="3"/>
  <c r="J2682" i="3"/>
  <c r="K2682" i="3"/>
  <c r="N2682" i="3"/>
  <c r="G2683" i="3"/>
  <c r="H2683" i="3"/>
  <c r="I2683" i="3"/>
  <c r="J2683" i="3"/>
  <c r="K2683" i="3"/>
  <c r="N2683" i="3"/>
  <c r="G2684" i="3"/>
  <c r="H2684" i="3"/>
  <c r="I2684" i="3"/>
  <c r="J2684" i="3"/>
  <c r="K2684" i="3"/>
  <c r="N2684" i="3"/>
  <c r="G2685" i="3"/>
  <c r="H2685" i="3"/>
  <c r="I2685" i="3"/>
  <c r="J2685" i="3"/>
  <c r="K2685" i="3"/>
  <c r="N2685" i="3"/>
  <c r="G2686" i="3"/>
  <c r="H2686" i="3"/>
  <c r="I2686" i="3"/>
  <c r="J2686" i="3"/>
  <c r="K2686" i="3"/>
  <c r="N2686" i="3"/>
  <c r="G2687" i="3"/>
  <c r="H2687" i="3"/>
  <c r="I2687" i="3"/>
  <c r="J2687" i="3"/>
  <c r="K2687" i="3"/>
  <c r="N2687" i="3"/>
  <c r="G2688" i="3"/>
  <c r="H2688" i="3"/>
  <c r="I2688" i="3"/>
  <c r="J2688" i="3"/>
  <c r="K2688" i="3"/>
  <c r="N2688" i="3"/>
  <c r="G2689" i="3"/>
  <c r="H2689" i="3"/>
  <c r="I2689" i="3"/>
  <c r="J2689" i="3"/>
  <c r="K2689" i="3"/>
  <c r="N2689" i="3"/>
  <c r="G2690" i="3"/>
  <c r="H2690" i="3"/>
  <c r="I2690" i="3"/>
  <c r="J2690" i="3"/>
  <c r="K2690" i="3"/>
  <c r="N2690" i="3"/>
  <c r="G2691" i="3"/>
  <c r="H2691" i="3"/>
  <c r="I2691" i="3"/>
  <c r="J2691" i="3"/>
  <c r="K2691" i="3"/>
  <c r="N2691" i="3"/>
  <c r="G2692" i="3"/>
  <c r="H2692" i="3"/>
  <c r="I2692" i="3"/>
  <c r="J2692" i="3"/>
  <c r="K2692" i="3"/>
  <c r="N2692" i="3"/>
  <c r="G2693" i="3"/>
  <c r="H2693" i="3"/>
  <c r="I2693" i="3"/>
  <c r="J2693" i="3"/>
  <c r="K2693" i="3"/>
  <c r="N2693" i="3"/>
  <c r="G2694" i="3"/>
  <c r="H2694" i="3"/>
  <c r="I2694" i="3"/>
  <c r="J2694" i="3"/>
  <c r="K2694" i="3"/>
  <c r="N2694" i="3"/>
  <c r="G2695" i="3"/>
  <c r="H2695" i="3"/>
  <c r="I2695" i="3"/>
  <c r="J2695" i="3"/>
  <c r="K2695" i="3"/>
  <c r="N2695" i="3"/>
  <c r="G2696" i="3"/>
  <c r="H2696" i="3"/>
  <c r="I2696" i="3"/>
  <c r="J2696" i="3"/>
  <c r="K2696" i="3"/>
  <c r="N2696" i="3"/>
  <c r="G2697" i="3"/>
  <c r="H2697" i="3"/>
  <c r="I2697" i="3"/>
  <c r="J2697" i="3"/>
  <c r="K2697" i="3"/>
  <c r="N2697" i="3"/>
  <c r="G2698" i="3"/>
  <c r="H2698" i="3"/>
  <c r="I2698" i="3"/>
  <c r="J2698" i="3"/>
  <c r="K2698" i="3"/>
  <c r="N2698" i="3"/>
  <c r="G2699" i="3"/>
  <c r="H2699" i="3"/>
  <c r="I2699" i="3"/>
  <c r="J2699" i="3"/>
  <c r="K2699" i="3"/>
  <c r="N2699" i="3"/>
  <c r="G2700" i="3"/>
  <c r="H2700" i="3"/>
  <c r="I2700" i="3"/>
  <c r="J2700" i="3"/>
  <c r="K2700" i="3"/>
  <c r="N2700" i="3"/>
  <c r="G2701" i="3"/>
  <c r="H2701" i="3"/>
  <c r="I2701" i="3"/>
  <c r="J2701" i="3"/>
  <c r="K2701" i="3"/>
  <c r="N2701" i="3"/>
  <c r="G2702" i="3"/>
  <c r="H2702" i="3"/>
  <c r="I2702" i="3"/>
  <c r="J2702" i="3"/>
  <c r="K2702" i="3"/>
  <c r="N2702" i="3"/>
  <c r="G2703" i="3"/>
  <c r="H2703" i="3"/>
  <c r="I2703" i="3"/>
  <c r="J2703" i="3"/>
  <c r="K2703" i="3"/>
  <c r="N2703" i="3"/>
  <c r="G2704" i="3"/>
  <c r="H2704" i="3"/>
  <c r="I2704" i="3"/>
  <c r="J2704" i="3"/>
  <c r="K2704" i="3"/>
  <c r="N2704" i="3"/>
  <c r="G2705" i="3"/>
  <c r="H2705" i="3"/>
  <c r="I2705" i="3"/>
  <c r="J2705" i="3"/>
  <c r="K2705" i="3"/>
  <c r="N2705" i="3"/>
  <c r="G2706" i="3"/>
  <c r="H2706" i="3"/>
  <c r="I2706" i="3"/>
  <c r="J2706" i="3"/>
  <c r="K2706" i="3"/>
  <c r="N2706" i="3"/>
  <c r="G2707" i="3"/>
  <c r="H2707" i="3"/>
  <c r="I2707" i="3"/>
  <c r="J2707" i="3"/>
  <c r="K2707" i="3"/>
  <c r="N2707" i="3"/>
  <c r="G2708" i="3"/>
  <c r="H2708" i="3"/>
  <c r="I2708" i="3"/>
  <c r="J2708" i="3"/>
  <c r="K2708" i="3"/>
  <c r="N2708" i="3"/>
  <c r="G2709" i="3"/>
  <c r="H2709" i="3"/>
  <c r="I2709" i="3"/>
  <c r="J2709" i="3"/>
  <c r="K2709" i="3"/>
  <c r="N2709" i="3"/>
  <c r="G2710" i="3"/>
  <c r="H2710" i="3"/>
  <c r="I2710" i="3"/>
  <c r="J2710" i="3"/>
  <c r="K2710" i="3"/>
  <c r="N2710" i="3"/>
  <c r="G2711" i="3"/>
  <c r="H2711" i="3"/>
  <c r="I2711" i="3"/>
  <c r="J2711" i="3"/>
  <c r="K2711" i="3"/>
  <c r="N2711" i="3"/>
  <c r="G2712" i="3"/>
  <c r="H2712" i="3"/>
  <c r="I2712" i="3"/>
  <c r="J2712" i="3"/>
  <c r="K2712" i="3"/>
  <c r="N2712" i="3"/>
  <c r="G2713" i="3"/>
  <c r="H2713" i="3"/>
  <c r="I2713" i="3"/>
  <c r="J2713" i="3"/>
  <c r="K2713" i="3"/>
  <c r="N2713" i="3"/>
  <c r="G2714" i="3"/>
  <c r="H2714" i="3"/>
  <c r="I2714" i="3"/>
  <c r="J2714" i="3"/>
  <c r="K2714" i="3"/>
  <c r="N2714" i="3"/>
  <c r="G2715" i="3"/>
  <c r="H2715" i="3"/>
  <c r="I2715" i="3"/>
  <c r="J2715" i="3"/>
  <c r="K2715" i="3"/>
  <c r="N2715" i="3"/>
  <c r="G2716" i="3"/>
  <c r="H2716" i="3"/>
  <c r="I2716" i="3"/>
  <c r="J2716" i="3"/>
  <c r="K2716" i="3"/>
  <c r="N2716" i="3"/>
  <c r="G2717" i="3"/>
  <c r="H2717" i="3"/>
  <c r="I2717" i="3"/>
  <c r="J2717" i="3"/>
  <c r="K2717" i="3"/>
  <c r="N2717" i="3"/>
  <c r="G2718" i="3"/>
  <c r="H2718" i="3"/>
  <c r="I2718" i="3"/>
  <c r="J2718" i="3"/>
  <c r="K2718" i="3"/>
  <c r="N2718" i="3"/>
  <c r="G2719" i="3"/>
  <c r="H2719" i="3"/>
  <c r="I2719" i="3"/>
  <c r="J2719" i="3"/>
  <c r="K2719" i="3"/>
  <c r="N2719" i="3"/>
  <c r="G2720" i="3"/>
  <c r="H2720" i="3"/>
  <c r="I2720" i="3"/>
  <c r="J2720" i="3"/>
  <c r="K2720" i="3"/>
  <c r="N2720" i="3"/>
  <c r="G2721" i="3"/>
  <c r="H2721" i="3"/>
  <c r="I2721" i="3"/>
  <c r="J2721" i="3"/>
  <c r="K2721" i="3"/>
  <c r="N2721" i="3"/>
  <c r="G2722" i="3"/>
  <c r="H2722" i="3"/>
  <c r="I2722" i="3"/>
  <c r="J2722" i="3"/>
  <c r="K2722" i="3"/>
  <c r="N2722" i="3"/>
  <c r="G2723" i="3"/>
  <c r="H2723" i="3"/>
  <c r="I2723" i="3"/>
  <c r="J2723" i="3"/>
  <c r="K2723" i="3"/>
  <c r="N2723" i="3"/>
  <c r="G2724" i="3"/>
  <c r="H2724" i="3"/>
  <c r="I2724" i="3"/>
  <c r="J2724" i="3"/>
  <c r="K2724" i="3"/>
  <c r="N2724" i="3"/>
  <c r="G2725" i="3"/>
  <c r="H2725" i="3"/>
  <c r="I2725" i="3"/>
  <c r="J2725" i="3"/>
  <c r="K2725" i="3"/>
  <c r="N2725" i="3"/>
  <c r="G2726" i="3"/>
  <c r="H2726" i="3"/>
  <c r="I2726" i="3"/>
  <c r="J2726" i="3"/>
  <c r="K2726" i="3"/>
  <c r="N2726" i="3"/>
  <c r="G2727" i="3"/>
  <c r="H2727" i="3"/>
  <c r="I2727" i="3"/>
  <c r="J2727" i="3"/>
  <c r="K2727" i="3"/>
  <c r="N2727" i="3"/>
  <c r="G2728" i="3"/>
  <c r="H2728" i="3"/>
  <c r="I2728" i="3"/>
  <c r="J2728" i="3"/>
  <c r="K2728" i="3"/>
  <c r="N2728" i="3"/>
  <c r="G2729" i="3"/>
  <c r="H2729" i="3"/>
  <c r="I2729" i="3"/>
  <c r="J2729" i="3"/>
  <c r="K2729" i="3"/>
  <c r="N2729" i="3"/>
  <c r="G2730" i="3"/>
  <c r="H2730" i="3"/>
  <c r="I2730" i="3"/>
  <c r="J2730" i="3"/>
  <c r="K2730" i="3"/>
  <c r="N2730" i="3"/>
  <c r="G2731" i="3"/>
  <c r="H2731" i="3"/>
  <c r="I2731" i="3"/>
  <c r="J2731" i="3"/>
  <c r="K2731" i="3"/>
  <c r="N2731" i="3"/>
  <c r="G2732" i="3"/>
  <c r="H2732" i="3"/>
  <c r="I2732" i="3"/>
  <c r="J2732" i="3"/>
  <c r="K2732" i="3"/>
  <c r="N2732" i="3"/>
  <c r="G2733" i="3"/>
  <c r="H2733" i="3"/>
  <c r="I2733" i="3"/>
  <c r="J2733" i="3"/>
  <c r="K2733" i="3"/>
  <c r="N2733" i="3"/>
  <c r="G2734" i="3"/>
  <c r="H2734" i="3"/>
  <c r="I2734" i="3"/>
  <c r="J2734" i="3"/>
  <c r="K2734" i="3"/>
  <c r="N2734" i="3"/>
  <c r="G2735" i="3"/>
  <c r="H2735" i="3"/>
  <c r="I2735" i="3"/>
  <c r="J2735" i="3"/>
  <c r="K2735" i="3"/>
  <c r="N2735" i="3"/>
  <c r="G2736" i="3"/>
  <c r="H2736" i="3"/>
  <c r="I2736" i="3"/>
  <c r="J2736" i="3"/>
  <c r="K2736" i="3"/>
  <c r="N2736" i="3"/>
  <c r="G2737" i="3"/>
  <c r="H2737" i="3"/>
  <c r="I2737" i="3"/>
  <c r="J2737" i="3"/>
  <c r="K2737" i="3"/>
  <c r="N2737" i="3"/>
  <c r="G2738" i="3"/>
  <c r="H2738" i="3"/>
  <c r="I2738" i="3"/>
  <c r="J2738" i="3"/>
  <c r="K2738" i="3"/>
  <c r="N2738" i="3"/>
  <c r="G2739" i="3"/>
  <c r="H2739" i="3"/>
  <c r="I2739" i="3"/>
  <c r="J2739" i="3"/>
  <c r="K2739" i="3"/>
  <c r="N2739" i="3"/>
  <c r="G2740" i="3"/>
  <c r="H2740" i="3"/>
  <c r="I2740" i="3"/>
  <c r="J2740" i="3"/>
  <c r="K2740" i="3"/>
  <c r="N2740" i="3"/>
  <c r="G2741" i="3"/>
  <c r="H2741" i="3"/>
  <c r="I2741" i="3"/>
  <c r="J2741" i="3"/>
  <c r="K2741" i="3"/>
  <c r="N2741" i="3"/>
  <c r="G2742" i="3"/>
  <c r="H2742" i="3"/>
  <c r="I2742" i="3"/>
  <c r="J2742" i="3"/>
  <c r="K2742" i="3"/>
  <c r="N2742" i="3"/>
  <c r="G2743" i="3"/>
  <c r="H2743" i="3"/>
  <c r="I2743" i="3"/>
  <c r="J2743" i="3"/>
  <c r="K2743" i="3"/>
  <c r="N2743" i="3"/>
  <c r="G2744" i="3"/>
  <c r="H2744" i="3"/>
  <c r="I2744" i="3"/>
  <c r="J2744" i="3"/>
  <c r="K2744" i="3"/>
  <c r="N2744" i="3"/>
  <c r="G2745" i="3"/>
  <c r="H2745" i="3"/>
  <c r="I2745" i="3"/>
  <c r="J2745" i="3"/>
  <c r="K2745" i="3"/>
  <c r="N2745" i="3"/>
  <c r="G2746" i="3"/>
  <c r="H2746" i="3"/>
  <c r="I2746" i="3"/>
  <c r="J2746" i="3"/>
  <c r="K2746" i="3"/>
  <c r="N2746" i="3"/>
  <c r="G2747" i="3"/>
  <c r="H2747" i="3"/>
  <c r="I2747" i="3"/>
  <c r="J2747" i="3"/>
  <c r="K2747" i="3"/>
  <c r="N2747" i="3"/>
  <c r="G2748" i="3"/>
  <c r="H2748" i="3"/>
  <c r="I2748" i="3"/>
  <c r="J2748" i="3"/>
  <c r="K2748" i="3"/>
  <c r="N2748" i="3"/>
  <c r="G2749" i="3"/>
  <c r="H2749" i="3"/>
  <c r="I2749" i="3"/>
  <c r="J2749" i="3"/>
  <c r="K2749" i="3"/>
  <c r="N2749" i="3"/>
  <c r="G2750" i="3"/>
  <c r="H2750" i="3"/>
  <c r="I2750" i="3"/>
  <c r="J2750" i="3"/>
  <c r="K2750" i="3"/>
  <c r="N2750" i="3"/>
  <c r="G2751" i="3"/>
  <c r="H2751" i="3"/>
  <c r="I2751" i="3"/>
  <c r="J2751" i="3"/>
  <c r="K2751" i="3"/>
  <c r="N2751" i="3"/>
  <c r="G2752" i="3"/>
  <c r="H2752" i="3"/>
  <c r="I2752" i="3"/>
  <c r="J2752" i="3"/>
  <c r="K2752" i="3"/>
  <c r="N2752" i="3"/>
  <c r="G2753" i="3"/>
  <c r="H2753" i="3"/>
  <c r="I2753" i="3"/>
  <c r="J2753" i="3"/>
  <c r="K2753" i="3"/>
  <c r="N2753" i="3"/>
  <c r="G2754" i="3"/>
  <c r="H2754" i="3"/>
  <c r="I2754" i="3"/>
  <c r="J2754" i="3"/>
  <c r="K2754" i="3"/>
  <c r="N2754" i="3"/>
  <c r="G2755" i="3"/>
  <c r="H2755" i="3"/>
  <c r="I2755" i="3"/>
  <c r="J2755" i="3"/>
  <c r="K2755" i="3"/>
  <c r="N2755" i="3"/>
  <c r="G2756" i="3"/>
  <c r="H2756" i="3"/>
  <c r="I2756" i="3"/>
  <c r="J2756" i="3"/>
  <c r="K2756" i="3"/>
  <c r="N2756" i="3"/>
  <c r="G2757" i="3"/>
  <c r="H2757" i="3"/>
  <c r="I2757" i="3"/>
  <c r="J2757" i="3"/>
  <c r="K2757" i="3"/>
  <c r="N2757" i="3"/>
  <c r="G2758" i="3"/>
  <c r="H2758" i="3"/>
  <c r="I2758" i="3"/>
  <c r="J2758" i="3"/>
  <c r="K2758" i="3"/>
  <c r="N2758" i="3"/>
  <c r="G2759" i="3"/>
  <c r="H2759" i="3"/>
  <c r="I2759" i="3"/>
  <c r="J2759" i="3"/>
  <c r="K2759" i="3"/>
  <c r="N2759" i="3"/>
  <c r="G2760" i="3"/>
  <c r="H2760" i="3"/>
  <c r="I2760" i="3"/>
  <c r="J2760" i="3"/>
  <c r="K2760" i="3"/>
  <c r="N2760" i="3"/>
  <c r="G2761" i="3"/>
  <c r="H2761" i="3"/>
  <c r="I2761" i="3"/>
  <c r="J2761" i="3"/>
  <c r="K2761" i="3"/>
  <c r="N2761" i="3"/>
  <c r="G2762" i="3"/>
  <c r="H2762" i="3"/>
  <c r="I2762" i="3"/>
  <c r="J2762" i="3"/>
  <c r="K2762" i="3"/>
  <c r="N2762" i="3"/>
  <c r="G2763" i="3"/>
  <c r="H2763" i="3"/>
  <c r="I2763" i="3"/>
  <c r="J2763" i="3"/>
  <c r="K2763" i="3"/>
  <c r="N2763" i="3"/>
  <c r="G2764" i="3"/>
  <c r="H2764" i="3"/>
  <c r="I2764" i="3"/>
  <c r="J2764" i="3"/>
  <c r="K2764" i="3"/>
  <c r="N2764" i="3"/>
  <c r="G2765" i="3"/>
  <c r="H2765" i="3"/>
  <c r="I2765" i="3"/>
  <c r="J2765" i="3"/>
  <c r="K2765" i="3"/>
  <c r="N2765" i="3"/>
  <c r="G2766" i="3"/>
  <c r="H2766" i="3"/>
  <c r="I2766" i="3"/>
  <c r="J2766" i="3"/>
  <c r="K2766" i="3"/>
  <c r="N2766" i="3"/>
  <c r="G2767" i="3"/>
  <c r="H2767" i="3"/>
  <c r="I2767" i="3"/>
  <c r="J2767" i="3"/>
  <c r="K2767" i="3"/>
  <c r="N2767" i="3"/>
  <c r="G2768" i="3"/>
  <c r="H2768" i="3"/>
  <c r="I2768" i="3"/>
  <c r="J2768" i="3"/>
  <c r="K2768" i="3"/>
  <c r="N2768" i="3"/>
  <c r="G2769" i="3"/>
  <c r="H2769" i="3"/>
  <c r="I2769" i="3"/>
  <c r="J2769" i="3"/>
  <c r="K2769" i="3"/>
  <c r="N2769" i="3"/>
  <c r="G2770" i="3"/>
  <c r="H2770" i="3"/>
  <c r="I2770" i="3"/>
  <c r="J2770" i="3"/>
  <c r="K2770" i="3"/>
  <c r="N2770" i="3"/>
  <c r="G2771" i="3"/>
  <c r="H2771" i="3"/>
  <c r="I2771" i="3"/>
  <c r="J2771" i="3"/>
  <c r="K2771" i="3"/>
  <c r="N2771" i="3"/>
  <c r="G2772" i="3"/>
  <c r="H2772" i="3"/>
  <c r="I2772" i="3"/>
  <c r="J2772" i="3"/>
  <c r="K2772" i="3"/>
  <c r="N2772" i="3"/>
  <c r="G2773" i="3"/>
  <c r="H2773" i="3"/>
  <c r="I2773" i="3"/>
  <c r="J2773" i="3"/>
  <c r="K2773" i="3"/>
  <c r="N2773" i="3"/>
  <c r="G2774" i="3"/>
  <c r="H2774" i="3"/>
  <c r="I2774" i="3"/>
  <c r="J2774" i="3"/>
  <c r="K2774" i="3"/>
  <c r="N2774" i="3"/>
  <c r="G2775" i="3"/>
  <c r="H2775" i="3"/>
  <c r="I2775" i="3"/>
  <c r="J2775" i="3"/>
  <c r="K2775" i="3"/>
  <c r="N2775" i="3"/>
  <c r="G2776" i="3"/>
  <c r="H2776" i="3"/>
  <c r="I2776" i="3"/>
  <c r="J2776" i="3"/>
  <c r="K2776" i="3"/>
  <c r="N2776" i="3"/>
  <c r="G2777" i="3"/>
  <c r="H2777" i="3"/>
  <c r="I2777" i="3"/>
  <c r="J2777" i="3"/>
  <c r="K2777" i="3"/>
  <c r="N2777" i="3"/>
  <c r="G2778" i="3"/>
  <c r="H2778" i="3"/>
  <c r="I2778" i="3"/>
  <c r="J2778" i="3"/>
  <c r="K2778" i="3"/>
  <c r="N2778" i="3"/>
  <c r="G2779" i="3"/>
  <c r="H2779" i="3"/>
  <c r="I2779" i="3"/>
  <c r="J2779" i="3"/>
  <c r="K2779" i="3"/>
  <c r="N2779" i="3"/>
  <c r="G2780" i="3"/>
  <c r="H2780" i="3"/>
  <c r="I2780" i="3"/>
  <c r="J2780" i="3"/>
  <c r="K2780" i="3"/>
  <c r="N2780" i="3"/>
  <c r="G2781" i="3"/>
  <c r="H2781" i="3"/>
  <c r="I2781" i="3"/>
  <c r="J2781" i="3"/>
  <c r="K2781" i="3"/>
  <c r="N2781" i="3"/>
  <c r="G2782" i="3"/>
  <c r="H2782" i="3"/>
  <c r="I2782" i="3"/>
  <c r="J2782" i="3"/>
  <c r="K2782" i="3"/>
  <c r="N2782" i="3"/>
  <c r="G2783" i="3"/>
  <c r="H2783" i="3"/>
  <c r="I2783" i="3"/>
  <c r="J2783" i="3"/>
  <c r="K2783" i="3"/>
  <c r="N2783" i="3"/>
  <c r="G2784" i="3"/>
  <c r="H2784" i="3"/>
  <c r="I2784" i="3"/>
  <c r="J2784" i="3"/>
  <c r="K2784" i="3"/>
  <c r="N2784" i="3"/>
  <c r="G2785" i="3"/>
  <c r="H2785" i="3"/>
  <c r="I2785" i="3"/>
  <c r="J2785" i="3"/>
  <c r="K2785" i="3"/>
  <c r="N2785" i="3"/>
  <c r="G2786" i="3"/>
  <c r="H2786" i="3"/>
  <c r="I2786" i="3"/>
  <c r="J2786" i="3"/>
  <c r="K2786" i="3"/>
  <c r="N2786" i="3"/>
  <c r="G2787" i="3"/>
  <c r="H2787" i="3"/>
  <c r="I2787" i="3"/>
  <c r="J2787" i="3"/>
  <c r="K2787" i="3"/>
  <c r="N2787" i="3"/>
  <c r="G2788" i="3"/>
  <c r="H2788" i="3"/>
  <c r="I2788" i="3"/>
  <c r="J2788" i="3"/>
  <c r="K2788" i="3"/>
  <c r="N2788" i="3"/>
  <c r="G2789" i="3"/>
  <c r="H2789" i="3"/>
  <c r="I2789" i="3"/>
  <c r="J2789" i="3"/>
  <c r="K2789" i="3"/>
  <c r="N2789" i="3"/>
  <c r="G2790" i="3"/>
  <c r="H2790" i="3"/>
  <c r="I2790" i="3"/>
  <c r="J2790" i="3"/>
  <c r="K2790" i="3"/>
  <c r="N2790" i="3"/>
  <c r="G2791" i="3"/>
  <c r="H2791" i="3"/>
  <c r="I2791" i="3"/>
  <c r="J2791" i="3"/>
  <c r="K2791" i="3"/>
  <c r="N2791" i="3"/>
  <c r="G2792" i="3"/>
  <c r="H2792" i="3"/>
  <c r="I2792" i="3"/>
  <c r="J2792" i="3"/>
  <c r="K2792" i="3"/>
  <c r="N2792" i="3"/>
  <c r="G2793" i="3"/>
  <c r="H2793" i="3"/>
  <c r="I2793" i="3"/>
  <c r="J2793" i="3"/>
  <c r="K2793" i="3"/>
  <c r="N2793" i="3"/>
  <c r="G2794" i="3"/>
  <c r="H2794" i="3"/>
  <c r="I2794" i="3"/>
  <c r="J2794" i="3"/>
  <c r="K2794" i="3"/>
  <c r="N2794" i="3"/>
  <c r="G2795" i="3"/>
  <c r="H2795" i="3"/>
  <c r="I2795" i="3"/>
  <c r="J2795" i="3"/>
  <c r="K2795" i="3"/>
  <c r="N2795" i="3"/>
  <c r="G2796" i="3"/>
  <c r="H2796" i="3"/>
  <c r="I2796" i="3"/>
  <c r="J2796" i="3"/>
  <c r="K2796" i="3"/>
  <c r="N2796" i="3"/>
  <c r="G2797" i="3"/>
  <c r="H2797" i="3"/>
  <c r="I2797" i="3"/>
  <c r="J2797" i="3"/>
  <c r="K2797" i="3"/>
  <c r="N2797" i="3"/>
  <c r="G2798" i="3"/>
  <c r="H2798" i="3"/>
  <c r="I2798" i="3"/>
  <c r="J2798" i="3"/>
  <c r="K2798" i="3"/>
  <c r="N2798" i="3"/>
  <c r="G2799" i="3"/>
  <c r="H2799" i="3"/>
  <c r="I2799" i="3"/>
  <c r="J2799" i="3"/>
  <c r="K2799" i="3"/>
  <c r="N2799" i="3"/>
  <c r="G2800" i="3"/>
  <c r="H2800" i="3"/>
  <c r="I2800" i="3"/>
  <c r="J2800" i="3"/>
  <c r="K2800" i="3"/>
  <c r="N2800" i="3"/>
  <c r="G2801" i="3"/>
  <c r="H2801" i="3"/>
  <c r="I2801" i="3"/>
  <c r="J2801" i="3"/>
  <c r="K2801" i="3"/>
  <c r="N2801" i="3"/>
  <c r="G2802" i="3"/>
  <c r="H2802" i="3"/>
  <c r="I2802" i="3"/>
  <c r="J2802" i="3"/>
  <c r="K2802" i="3"/>
  <c r="N2802" i="3"/>
  <c r="G2803" i="3"/>
  <c r="H2803" i="3"/>
  <c r="I2803" i="3"/>
  <c r="J2803" i="3"/>
  <c r="K2803" i="3"/>
  <c r="N2803" i="3"/>
  <c r="G2804" i="3"/>
  <c r="H2804" i="3"/>
  <c r="I2804" i="3"/>
  <c r="J2804" i="3"/>
  <c r="K2804" i="3"/>
  <c r="N2804" i="3"/>
  <c r="G2805" i="3"/>
  <c r="H2805" i="3"/>
  <c r="I2805" i="3"/>
  <c r="J2805" i="3"/>
  <c r="K2805" i="3"/>
  <c r="N2805" i="3"/>
  <c r="G2806" i="3"/>
  <c r="H2806" i="3"/>
  <c r="I2806" i="3"/>
  <c r="J2806" i="3"/>
  <c r="K2806" i="3"/>
  <c r="N2806" i="3"/>
  <c r="G2807" i="3"/>
  <c r="H2807" i="3"/>
  <c r="I2807" i="3"/>
  <c r="J2807" i="3"/>
  <c r="K2807" i="3"/>
  <c r="N2807" i="3"/>
  <c r="G2808" i="3"/>
  <c r="H2808" i="3"/>
  <c r="I2808" i="3"/>
  <c r="J2808" i="3"/>
  <c r="K2808" i="3"/>
  <c r="N2808" i="3"/>
  <c r="G2809" i="3"/>
  <c r="H2809" i="3"/>
  <c r="I2809" i="3"/>
  <c r="J2809" i="3"/>
  <c r="K2809" i="3"/>
  <c r="N2809" i="3"/>
  <c r="G2810" i="3"/>
  <c r="H2810" i="3"/>
  <c r="I2810" i="3"/>
  <c r="J2810" i="3"/>
  <c r="K2810" i="3"/>
  <c r="N2810" i="3"/>
  <c r="G2811" i="3"/>
  <c r="H2811" i="3"/>
  <c r="I2811" i="3"/>
  <c r="J2811" i="3"/>
  <c r="K2811" i="3"/>
  <c r="N2811" i="3"/>
  <c r="G2812" i="3"/>
  <c r="H2812" i="3"/>
  <c r="I2812" i="3"/>
  <c r="J2812" i="3"/>
  <c r="K2812" i="3"/>
  <c r="N2812" i="3"/>
  <c r="G2813" i="3"/>
  <c r="H2813" i="3"/>
  <c r="I2813" i="3"/>
  <c r="J2813" i="3"/>
  <c r="K2813" i="3"/>
  <c r="N2813" i="3"/>
  <c r="G2814" i="3"/>
  <c r="H2814" i="3"/>
  <c r="I2814" i="3"/>
  <c r="J2814" i="3"/>
  <c r="K2814" i="3"/>
  <c r="N2814" i="3"/>
  <c r="G2815" i="3"/>
  <c r="H2815" i="3"/>
  <c r="I2815" i="3"/>
  <c r="J2815" i="3"/>
  <c r="K2815" i="3"/>
  <c r="N2815" i="3"/>
  <c r="G2816" i="3"/>
  <c r="H2816" i="3"/>
  <c r="I2816" i="3"/>
  <c r="J2816" i="3"/>
  <c r="K2816" i="3"/>
  <c r="N2816" i="3"/>
  <c r="G2817" i="3"/>
  <c r="H2817" i="3"/>
  <c r="I2817" i="3"/>
  <c r="J2817" i="3"/>
  <c r="K2817" i="3"/>
  <c r="N2817" i="3"/>
  <c r="G2818" i="3"/>
  <c r="H2818" i="3"/>
  <c r="I2818" i="3"/>
  <c r="J2818" i="3"/>
  <c r="K2818" i="3"/>
  <c r="N2818" i="3"/>
  <c r="G2819" i="3"/>
  <c r="H2819" i="3"/>
  <c r="I2819" i="3"/>
  <c r="J2819" i="3"/>
  <c r="K2819" i="3"/>
  <c r="N2819" i="3"/>
  <c r="G2820" i="3"/>
  <c r="H2820" i="3"/>
  <c r="I2820" i="3"/>
  <c r="J2820" i="3"/>
  <c r="K2820" i="3"/>
  <c r="N2820" i="3"/>
  <c r="G2821" i="3"/>
  <c r="H2821" i="3"/>
  <c r="I2821" i="3"/>
  <c r="J2821" i="3"/>
  <c r="K2821" i="3"/>
  <c r="N2821" i="3"/>
  <c r="G2822" i="3"/>
  <c r="H2822" i="3"/>
  <c r="I2822" i="3"/>
  <c r="J2822" i="3"/>
  <c r="K2822" i="3"/>
  <c r="N2822" i="3"/>
  <c r="G2823" i="3"/>
  <c r="H2823" i="3"/>
  <c r="I2823" i="3"/>
  <c r="J2823" i="3"/>
  <c r="K2823" i="3"/>
  <c r="N2823" i="3"/>
  <c r="G2824" i="3"/>
  <c r="H2824" i="3"/>
  <c r="I2824" i="3"/>
  <c r="J2824" i="3"/>
  <c r="K2824" i="3"/>
  <c r="N2824" i="3"/>
  <c r="G2825" i="3"/>
  <c r="H2825" i="3"/>
  <c r="I2825" i="3"/>
  <c r="J2825" i="3"/>
  <c r="K2825" i="3"/>
  <c r="N2825" i="3"/>
  <c r="G2826" i="3"/>
  <c r="H2826" i="3"/>
  <c r="I2826" i="3"/>
  <c r="J2826" i="3"/>
  <c r="K2826" i="3"/>
  <c r="N2826" i="3"/>
  <c r="G2827" i="3"/>
  <c r="H2827" i="3"/>
  <c r="I2827" i="3"/>
  <c r="J2827" i="3"/>
  <c r="K2827" i="3"/>
  <c r="N2827" i="3"/>
  <c r="G2828" i="3"/>
  <c r="H2828" i="3"/>
  <c r="I2828" i="3"/>
  <c r="J2828" i="3"/>
  <c r="K2828" i="3"/>
  <c r="N2828" i="3"/>
  <c r="G2829" i="3"/>
  <c r="H2829" i="3"/>
  <c r="I2829" i="3"/>
  <c r="J2829" i="3"/>
  <c r="K2829" i="3"/>
  <c r="N2829" i="3"/>
  <c r="G2830" i="3"/>
  <c r="H2830" i="3"/>
  <c r="I2830" i="3"/>
  <c r="J2830" i="3"/>
  <c r="K2830" i="3"/>
  <c r="N2830" i="3"/>
  <c r="G2831" i="3"/>
  <c r="H2831" i="3"/>
  <c r="I2831" i="3"/>
  <c r="J2831" i="3"/>
  <c r="K2831" i="3"/>
  <c r="N2831" i="3"/>
  <c r="G2832" i="3"/>
  <c r="H2832" i="3"/>
  <c r="I2832" i="3"/>
  <c r="J2832" i="3"/>
  <c r="K2832" i="3"/>
  <c r="N2832" i="3"/>
  <c r="S512" i="4"/>
  <c r="BQ2" i="7" a="1"/>
  <c r="BQ2" i="7"/>
  <c r="G2" i="23" a="1"/>
  <c r="G2" i="23"/>
  <c r="H2" i="23"/>
  <c r="I2" i="23"/>
  <c r="J2" i="23"/>
  <c r="K2" i="23"/>
  <c r="N2" i="23"/>
  <c r="G3" i="23" a="1"/>
  <c r="G3" i="23"/>
  <c r="M2" i="3"/>
  <c r="M3" i="3"/>
  <c r="M4" i="3"/>
  <c r="M5" i="3"/>
  <c r="M6" i="3"/>
  <c r="M7" i="3"/>
  <c r="M8" i="3"/>
  <c r="M9" i="3"/>
  <c r="M10" i="3"/>
  <c r="M11" i="3"/>
  <c r="M12" i="3"/>
  <c r="M13" i="3"/>
  <c r="M14" i="3"/>
  <c r="M15" i="3"/>
  <c r="M16" i="3"/>
  <c r="M17" i="3"/>
  <c r="M18" i="3"/>
  <c r="M19" i="3"/>
  <c r="M20" i="3"/>
  <c r="M21" i="3"/>
  <c r="M22" i="3"/>
  <c r="M35" i="3"/>
  <c r="M36" i="3"/>
  <c r="L36" i="3"/>
  <c r="M37" i="3"/>
  <c r="L37" i="3"/>
  <c r="M38" i="3"/>
  <c r="L38" i="3"/>
  <c r="M39" i="3"/>
  <c r="L39" i="3"/>
  <c r="M40" i="3"/>
  <c r="L40" i="3"/>
  <c r="M41" i="3"/>
  <c r="L41" i="3"/>
  <c r="M42" i="3"/>
  <c r="L42" i="3"/>
  <c r="M43" i="3"/>
  <c r="L43" i="3"/>
  <c r="M44" i="3"/>
  <c r="L44" i="3"/>
  <c r="M45" i="3"/>
  <c r="L45" i="3"/>
  <c r="M46" i="3"/>
  <c r="L46" i="3"/>
  <c r="M47" i="3"/>
  <c r="L47" i="3"/>
  <c r="M48" i="3"/>
  <c r="L48" i="3"/>
  <c r="M49" i="3"/>
  <c r="L49" i="3"/>
  <c r="M50" i="3"/>
  <c r="L50" i="3"/>
  <c r="M51" i="3"/>
  <c r="L51" i="3"/>
  <c r="M52" i="3"/>
  <c r="L52" i="3"/>
  <c r="M53" i="3"/>
  <c r="L53" i="3"/>
  <c r="M54" i="3"/>
  <c r="L54" i="3"/>
  <c r="M55" i="3"/>
  <c r="L55" i="3"/>
  <c r="M56" i="3"/>
  <c r="L56" i="3"/>
  <c r="M57" i="3"/>
  <c r="L57" i="3"/>
  <c r="M58" i="3"/>
  <c r="L58" i="3"/>
  <c r="M59" i="3"/>
  <c r="L59" i="3"/>
  <c r="M60" i="3"/>
  <c r="L60" i="3"/>
  <c r="M61" i="3"/>
  <c r="L61" i="3"/>
  <c r="M62" i="3"/>
  <c r="L62" i="3"/>
  <c r="M63" i="3"/>
  <c r="L63" i="3"/>
  <c r="M64" i="3"/>
  <c r="L64" i="3"/>
  <c r="M65" i="3"/>
  <c r="L65" i="3"/>
  <c r="M66" i="3"/>
  <c r="L66" i="3"/>
  <c r="M67" i="3"/>
  <c r="L67" i="3"/>
  <c r="M68" i="3"/>
  <c r="L68" i="3"/>
  <c r="M69" i="3"/>
  <c r="L69" i="3"/>
  <c r="M70" i="3"/>
  <c r="L70" i="3"/>
  <c r="M71" i="3"/>
  <c r="L71" i="3"/>
  <c r="M72" i="3"/>
  <c r="L72" i="3"/>
  <c r="M73" i="3"/>
  <c r="L73" i="3"/>
  <c r="M74" i="3"/>
  <c r="L74" i="3"/>
  <c r="M75" i="3"/>
  <c r="L75" i="3"/>
  <c r="M76" i="3"/>
  <c r="L76" i="3"/>
  <c r="M77" i="3"/>
  <c r="L77" i="3"/>
  <c r="M78" i="3"/>
  <c r="L78" i="3"/>
  <c r="M79" i="3"/>
  <c r="L79" i="3"/>
  <c r="M80" i="3"/>
  <c r="L80" i="3"/>
  <c r="M81" i="3"/>
  <c r="L81" i="3"/>
  <c r="M82" i="3"/>
  <c r="L82" i="3"/>
  <c r="M83" i="3"/>
  <c r="L83" i="3"/>
  <c r="M84" i="3"/>
  <c r="L84" i="3"/>
  <c r="M85" i="3"/>
  <c r="L85" i="3"/>
  <c r="M86" i="3"/>
  <c r="L86" i="3"/>
  <c r="M87" i="3"/>
  <c r="L87" i="3"/>
  <c r="M88" i="3"/>
  <c r="L88" i="3"/>
  <c r="M89" i="3"/>
  <c r="L89" i="3"/>
  <c r="M90" i="3"/>
  <c r="L90" i="3"/>
  <c r="M91" i="3"/>
  <c r="L91" i="3"/>
  <c r="M92" i="3"/>
  <c r="L92" i="3"/>
  <c r="M93" i="3"/>
  <c r="L93" i="3"/>
  <c r="M94" i="3"/>
  <c r="L94" i="3"/>
  <c r="M95" i="3"/>
  <c r="L95" i="3"/>
  <c r="M96" i="3"/>
  <c r="L96" i="3"/>
  <c r="M97" i="3"/>
  <c r="L97" i="3"/>
  <c r="M98" i="3"/>
  <c r="L98" i="3"/>
  <c r="M99" i="3"/>
  <c r="L99" i="3"/>
  <c r="M100" i="3"/>
  <c r="L100" i="3"/>
  <c r="M101" i="3"/>
  <c r="L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34" i="3"/>
  <c r="L134" i="3"/>
  <c r="M135" i="3"/>
  <c r="L135" i="3"/>
  <c r="M136" i="3"/>
  <c r="L136" i="3"/>
  <c r="M137" i="3"/>
  <c r="L137" i="3"/>
  <c r="M138" i="3"/>
  <c r="L138" i="3"/>
  <c r="M139" i="3"/>
  <c r="L139" i="3"/>
  <c r="M140" i="3"/>
  <c r="L140" i="3"/>
  <c r="M141" i="3"/>
  <c r="L141" i="3"/>
  <c r="M142" i="3"/>
  <c r="L142" i="3"/>
  <c r="M143" i="3"/>
  <c r="L143" i="3"/>
  <c r="M144" i="3"/>
  <c r="L144" i="3"/>
  <c r="M145" i="3"/>
  <c r="L145" i="3"/>
  <c r="M146" i="3"/>
  <c r="L146" i="3"/>
  <c r="M147" i="3"/>
  <c r="L147" i="3"/>
  <c r="M148" i="3"/>
  <c r="L148" i="3"/>
  <c r="M149" i="3"/>
  <c r="L149" i="3"/>
  <c r="M150" i="3"/>
  <c r="L150" i="3"/>
  <c r="M151" i="3"/>
  <c r="L151" i="3"/>
  <c r="M152" i="3"/>
  <c r="L152" i="3"/>
  <c r="M153" i="3"/>
  <c r="L153" i="3"/>
  <c r="M154" i="3"/>
  <c r="L154" i="3"/>
  <c r="M155" i="3"/>
  <c r="L155" i="3"/>
  <c r="M156" i="3"/>
  <c r="L156" i="3"/>
  <c r="M157" i="3"/>
  <c r="L157" i="3"/>
  <c r="M158" i="3"/>
  <c r="L158" i="3"/>
  <c r="M159" i="3"/>
  <c r="L159" i="3"/>
  <c r="M160" i="3"/>
  <c r="L160" i="3"/>
  <c r="M161" i="3"/>
  <c r="L161" i="3"/>
  <c r="M162" i="3"/>
  <c r="L162" i="3"/>
  <c r="M163" i="3"/>
  <c r="L163" i="3"/>
  <c r="M164" i="3"/>
  <c r="L164" i="3"/>
  <c r="M165" i="3"/>
  <c r="L165" i="3"/>
  <c r="M166" i="3"/>
  <c r="L166" i="3"/>
  <c r="M167" i="3"/>
  <c r="L167" i="3"/>
  <c r="M168" i="3"/>
  <c r="L168" i="3"/>
  <c r="M169" i="3"/>
  <c r="L169" i="3"/>
  <c r="M170" i="3"/>
  <c r="L170" i="3"/>
  <c r="M171" i="3"/>
  <c r="L171" i="3"/>
  <c r="M172" i="3"/>
  <c r="L172" i="3"/>
  <c r="M173" i="3"/>
  <c r="L173" i="3"/>
  <c r="M174" i="3"/>
  <c r="L174" i="3"/>
  <c r="M175" i="3"/>
  <c r="L175" i="3"/>
  <c r="M176" i="3"/>
  <c r="L176" i="3"/>
  <c r="M177" i="3"/>
  <c r="L177" i="3"/>
  <c r="M178" i="3"/>
  <c r="L178" i="3"/>
  <c r="M179" i="3"/>
  <c r="L179" i="3"/>
  <c r="M180" i="3"/>
  <c r="L180" i="3"/>
  <c r="M181" i="3"/>
  <c r="L181" i="3"/>
  <c r="M182" i="3"/>
  <c r="L182" i="3"/>
  <c r="M183" i="3"/>
  <c r="L183" i="3"/>
  <c r="M184" i="3"/>
  <c r="L184" i="3"/>
  <c r="M185" i="3"/>
  <c r="L185" i="3"/>
  <c r="M186" i="3"/>
  <c r="L186" i="3"/>
  <c r="M187" i="3"/>
  <c r="L187" i="3"/>
  <c r="M188" i="3"/>
  <c r="L188" i="3"/>
  <c r="M189" i="3"/>
  <c r="L189" i="3"/>
  <c r="M190" i="3"/>
  <c r="L190" i="3"/>
  <c r="M191" i="3"/>
  <c r="L191" i="3"/>
  <c r="M192" i="3"/>
  <c r="L192" i="3"/>
  <c r="M193" i="3"/>
  <c r="L193" i="3"/>
  <c r="M194" i="3"/>
  <c r="L194" i="3"/>
  <c r="M195" i="3"/>
  <c r="L195" i="3"/>
  <c r="M196" i="3"/>
  <c r="L196" i="3"/>
  <c r="M197" i="3"/>
  <c r="L197" i="3"/>
  <c r="M198" i="3"/>
  <c r="L198" i="3"/>
  <c r="M199" i="3"/>
  <c r="L199" i="3"/>
  <c r="M200" i="3"/>
  <c r="L200" i="3"/>
  <c r="M201" i="3"/>
  <c r="L201" i="3"/>
  <c r="M202" i="3"/>
  <c r="L202" i="3"/>
  <c r="M203" i="3"/>
  <c r="L203" i="3"/>
  <c r="M204" i="3"/>
  <c r="L204" i="3"/>
  <c r="M205" i="3"/>
  <c r="L205" i="3"/>
  <c r="M206" i="3"/>
  <c r="L206" i="3"/>
  <c r="M207" i="3"/>
  <c r="L207" i="3"/>
  <c r="M208" i="3"/>
  <c r="L208" i="3"/>
  <c r="M209" i="3"/>
  <c r="L209" i="3"/>
  <c r="M210" i="3"/>
  <c r="L210" i="3"/>
  <c r="M211" i="3"/>
  <c r="L211" i="3"/>
  <c r="M212" i="3"/>
  <c r="L212" i="3"/>
  <c r="M213" i="3"/>
  <c r="L213" i="3"/>
  <c r="M214" i="3"/>
  <c r="L214" i="3"/>
  <c r="M215" i="3"/>
  <c r="L215" i="3"/>
  <c r="M216" i="3"/>
  <c r="L216" i="3"/>
  <c r="M217" i="3"/>
  <c r="L217" i="3"/>
  <c r="M218" i="3"/>
  <c r="L218" i="3"/>
  <c r="M219" i="3"/>
  <c r="L219" i="3"/>
  <c r="M220" i="3"/>
  <c r="L220" i="3"/>
  <c r="M221" i="3"/>
  <c r="L221" i="3"/>
  <c r="M222" i="3"/>
  <c r="L222" i="3"/>
  <c r="M223" i="3"/>
  <c r="L223" i="3"/>
  <c r="M224" i="3"/>
  <c r="L224" i="3"/>
  <c r="M225" i="3"/>
  <c r="L225" i="3"/>
  <c r="M226" i="3"/>
  <c r="L226" i="3"/>
  <c r="M240" i="3"/>
  <c r="L240" i="3"/>
  <c r="M241" i="3"/>
  <c r="L241" i="3"/>
  <c r="M242" i="3"/>
  <c r="L242" i="3"/>
  <c r="M243" i="3"/>
  <c r="L243" i="3"/>
  <c r="M244" i="3"/>
  <c r="L244" i="3"/>
  <c r="M245" i="3"/>
  <c r="L245" i="3"/>
  <c r="M246" i="3"/>
  <c r="L246" i="3"/>
  <c r="M247" i="3"/>
  <c r="L247" i="3"/>
  <c r="M248" i="3"/>
  <c r="L248" i="3"/>
  <c r="M249" i="3"/>
  <c r="L249" i="3"/>
  <c r="M250" i="3"/>
  <c r="L250" i="3"/>
  <c r="M251" i="3"/>
  <c r="L251" i="3"/>
  <c r="M252" i="3"/>
  <c r="L252" i="3"/>
  <c r="M253" i="3"/>
  <c r="L253" i="3"/>
  <c r="M254" i="3"/>
  <c r="L254" i="3"/>
  <c r="M255" i="3"/>
  <c r="L255" i="3"/>
  <c r="M256" i="3"/>
  <c r="L256" i="3"/>
  <c r="M257" i="3"/>
  <c r="L257" i="3"/>
  <c r="M258" i="3"/>
  <c r="L258" i="3"/>
  <c r="M259" i="3"/>
  <c r="L259" i="3"/>
  <c r="M260" i="3"/>
  <c r="L260" i="3"/>
  <c r="M261" i="3"/>
  <c r="L261" i="3"/>
  <c r="M262" i="3"/>
  <c r="L262" i="3"/>
  <c r="M263" i="3"/>
  <c r="L263" i="3"/>
  <c r="M264" i="3"/>
  <c r="L264" i="3"/>
  <c r="M265" i="3"/>
  <c r="L265" i="3"/>
  <c r="M266" i="3"/>
  <c r="L266" i="3"/>
  <c r="M267" i="3"/>
  <c r="L267" i="3"/>
  <c r="M268" i="3"/>
  <c r="L268" i="3"/>
  <c r="M269" i="3"/>
  <c r="L269" i="3"/>
  <c r="M270" i="3"/>
  <c r="L270" i="3"/>
  <c r="M271" i="3"/>
  <c r="L271" i="3"/>
  <c r="M272" i="3"/>
  <c r="L272" i="3"/>
  <c r="M273" i="3"/>
  <c r="L273" i="3"/>
  <c r="M274" i="3"/>
  <c r="L274" i="3"/>
  <c r="M275" i="3"/>
  <c r="L275" i="3"/>
  <c r="M276" i="3"/>
  <c r="L276" i="3"/>
  <c r="M277" i="3"/>
  <c r="L277" i="3"/>
  <c r="M278" i="3"/>
  <c r="L278" i="3"/>
  <c r="M279" i="3"/>
  <c r="L279" i="3"/>
  <c r="M280" i="3"/>
  <c r="L280" i="3"/>
  <c r="M281" i="3"/>
  <c r="L281" i="3"/>
  <c r="M282" i="3"/>
  <c r="L282" i="3"/>
  <c r="M283" i="3"/>
  <c r="L283" i="3"/>
  <c r="M284" i="3"/>
  <c r="L284" i="3"/>
  <c r="M285" i="3"/>
  <c r="L285" i="3"/>
  <c r="M286" i="3"/>
  <c r="L286" i="3"/>
  <c r="M287" i="3"/>
  <c r="L287" i="3"/>
  <c r="M288" i="3"/>
  <c r="L288" i="3"/>
  <c r="M289" i="3"/>
  <c r="L289" i="3"/>
  <c r="M290" i="3"/>
  <c r="L290" i="3"/>
  <c r="M291" i="3"/>
  <c r="L291" i="3"/>
  <c r="M292" i="3"/>
  <c r="L292" i="3"/>
  <c r="M293" i="3"/>
  <c r="L293" i="3"/>
  <c r="M294" i="3"/>
  <c r="L294" i="3"/>
  <c r="M295" i="3"/>
  <c r="L295" i="3"/>
  <c r="M296" i="3"/>
  <c r="L296" i="3"/>
  <c r="M297" i="3"/>
  <c r="L297" i="3"/>
  <c r="M298" i="3"/>
  <c r="L298" i="3"/>
  <c r="M299" i="3"/>
  <c r="L299" i="3"/>
  <c r="M300" i="3"/>
  <c r="L300" i="3"/>
  <c r="M301" i="3"/>
  <c r="L301" i="3"/>
  <c r="M302" i="3"/>
  <c r="L302" i="3"/>
  <c r="M303" i="3"/>
  <c r="L303" i="3"/>
  <c r="M304" i="3"/>
  <c r="L304" i="3"/>
  <c r="M305" i="3"/>
  <c r="L305" i="3"/>
  <c r="M306" i="3"/>
  <c r="L306" i="3"/>
  <c r="M307" i="3"/>
  <c r="L307" i="3"/>
  <c r="M308" i="3"/>
  <c r="L308" i="3"/>
  <c r="M309" i="3"/>
  <c r="L309" i="3"/>
  <c r="M310" i="3"/>
  <c r="L310" i="3"/>
  <c r="M311" i="3"/>
  <c r="L311" i="3"/>
  <c r="M312" i="3"/>
  <c r="L312" i="3"/>
  <c r="M313" i="3"/>
  <c r="L313" i="3"/>
  <c r="M314" i="3"/>
  <c r="L314" i="3"/>
  <c r="M315" i="3"/>
  <c r="L315" i="3"/>
  <c r="M316" i="3"/>
  <c r="L316" i="3"/>
  <c r="M317" i="3"/>
  <c r="L317" i="3"/>
  <c r="M318" i="3"/>
  <c r="L318" i="3"/>
  <c r="M319" i="3"/>
  <c r="L319" i="3"/>
  <c r="M320" i="3"/>
  <c r="L320" i="3"/>
  <c r="M321" i="3"/>
  <c r="L321" i="3"/>
  <c r="M322" i="3"/>
  <c r="L322" i="3"/>
  <c r="M323" i="3"/>
  <c r="L323" i="3"/>
  <c r="M324" i="3"/>
  <c r="L324" i="3"/>
  <c r="M325" i="3"/>
  <c r="L325" i="3"/>
  <c r="M326" i="3"/>
  <c r="L326" i="3"/>
  <c r="M327" i="3"/>
  <c r="L327" i="3"/>
  <c r="M328" i="3"/>
  <c r="L328" i="3"/>
  <c r="M329" i="3"/>
  <c r="L329" i="3"/>
  <c r="M330" i="3"/>
  <c r="L330" i="3"/>
  <c r="M331" i="3"/>
  <c r="L331" i="3"/>
  <c r="M332" i="3"/>
  <c r="L332" i="3"/>
  <c r="M333" i="3"/>
  <c r="L333" i="3"/>
  <c r="M334" i="3"/>
  <c r="L334" i="3"/>
  <c r="M343" i="3"/>
  <c r="L343" i="3"/>
  <c r="M344" i="3"/>
  <c r="L344" i="3"/>
  <c r="M345" i="3"/>
  <c r="L345" i="3"/>
  <c r="M346" i="3"/>
  <c r="L346" i="3"/>
  <c r="M347" i="3"/>
  <c r="L347" i="3"/>
  <c r="M348" i="3"/>
  <c r="L348" i="3"/>
  <c r="M349" i="3"/>
  <c r="L349" i="3"/>
  <c r="M350" i="3"/>
  <c r="L350" i="3"/>
  <c r="M351" i="3"/>
  <c r="L351" i="3"/>
  <c r="M352" i="3"/>
  <c r="L352" i="3"/>
  <c r="M353" i="3"/>
  <c r="L353" i="3"/>
  <c r="M354" i="3"/>
  <c r="L354" i="3"/>
  <c r="M355" i="3"/>
  <c r="L355" i="3"/>
  <c r="M356" i="3"/>
  <c r="L356" i="3"/>
  <c r="M357" i="3"/>
  <c r="L357" i="3"/>
  <c r="M358" i="3"/>
  <c r="L358" i="3"/>
  <c r="M359" i="3"/>
  <c r="L359" i="3"/>
  <c r="M360" i="3"/>
  <c r="L360" i="3"/>
  <c r="M361" i="3"/>
  <c r="L361" i="3"/>
  <c r="M362" i="3"/>
  <c r="L362" i="3"/>
  <c r="M363" i="3"/>
  <c r="L363" i="3"/>
  <c r="M364" i="3"/>
  <c r="L364" i="3"/>
  <c r="M365" i="3"/>
  <c r="L365" i="3"/>
  <c r="M366" i="3"/>
  <c r="L366" i="3"/>
  <c r="M367" i="3"/>
  <c r="L367" i="3"/>
  <c r="M368" i="3"/>
  <c r="L368" i="3"/>
  <c r="M369" i="3"/>
  <c r="L369" i="3"/>
  <c r="M370" i="3"/>
  <c r="L370" i="3"/>
  <c r="M371" i="3"/>
  <c r="L371" i="3"/>
  <c r="M372" i="3"/>
  <c r="L372" i="3"/>
  <c r="M373" i="3"/>
  <c r="L373" i="3"/>
  <c r="M374" i="3"/>
  <c r="L374" i="3"/>
  <c r="M375" i="3"/>
  <c r="L375" i="3"/>
  <c r="M376" i="3"/>
  <c r="L376" i="3"/>
  <c r="M377" i="3"/>
  <c r="L377" i="3"/>
  <c r="M378" i="3"/>
  <c r="L378" i="3"/>
  <c r="M379" i="3"/>
  <c r="L379" i="3"/>
  <c r="M380" i="3"/>
  <c r="L380" i="3"/>
  <c r="M381" i="3"/>
  <c r="L381" i="3"/>
  <c r="M382" i="3"/>
  <c r="L382" i="3"/>
  <c r="M383" i="3"/>
  <c r="L383" i="3"/>
  <c r="M384" i="3"/>
  <c r="L384" i="3"/>
  <c r="M385" i="3"/>
  <c r="L385" i="3"/>
  <c r="M386" i="3"/>
  <c r="L386" i="3"/>
  <c r="M387" i="3"/>
  <c r="L387" i="3"/>
  <c r="M388" i="3"/>
  <c r="L388" i="3"/>
  <c r="M389" i="3"/>
  <c r="L389" i="3"/>
  <c r="M390" i="3"/>
  <c r="L390" i="3"/>
  <c r="M391" i="3"/>
  <c r="L391" i="3"/>
  <c r="M392" i="3"/>
  <c r="L392" i="3"/>
  <c r="M393" i="3"/>
  <c r="L393" i="3"/>
  <c r="M394" i="3"/>
  <c r="L394" i="3"/>
  <c r="M395" i="3"/>
  <c r="L395" i="3"/>
  <c r="M396" i="3"/>
  <c r="L396" i="3"/>
  <c r="M397" i="3"/>
  <c r="L397" i="3"/>
  <c r="M398" i="3"/>
  <c r="L398" i="3"/>
  <c r="M399" i="3"/>
  <c r="L399" i="3"/>
  <c r="M400" i="3"/>
  <c r="L400" i="3"/>
  <c r="M401" i="3"/>
  <c r="L401" i="3"/>
  <c r="M402" i="3"/>
  <c r="L402" i="3"/>
  <c r="M403" i="3"/>
  <c r="L403" i="3"/>
  <c r="M404" i="3"/>
  <c r="L404" i="3"/>
  <c r="M405" i="3"/>
  <c r="L405" i="3"/>
  <c r="M406" i="3"/>
  <c r="L406" i="3"/>
  <c r="M407" i="3"/>
  <c r="L407" i="3"/>
  <c r="M408" i="3"/>
  <c r="L408" i="3"/>
  <c r="M409" i="3"/>
  <c r="L409" i="3"/>
  <c r="M410" i="3"/>
  <c r="L410" i="3"/>
  <c r="M411" i="3"/>
  <c r="L411" i="3"/>
  <c r="M412" i="3"/>
  <c r="L412" i="3"/>
  <c r="M413" i="3"/>
  <c r="L413" i="3"/>
  <c r="M414" i="3"/>
  <c r="L414" i="3"/>
  <c r="M415" i="3"/>
  <c r="L415" i="3"/>
  <c r="M416" i="3"/>
  <c r="L416" i="3"/>
  <c r="M417" i="3"/>
  <c r="L417" i="3"/>
  <c r="M418" i="3"/>
  <c r="L418" i="3"/>
  <c r="M419" i="3"/>
  <c r="L419" i="3"/>
  <c r="M420" i="3"/>
  <c r="L420" i="3"/>
  <c r="M421" i="3"/>
  <c r="L421" i="3"/>
  <c r="M422" i="3"/>
  <c r="L422" i="3"/>
  <c r="M423" i="3"/>
  <c r="L423" i="3"/>
  <c r="M424" i="3"/>
  <c r="L424" i="3"/>
  <c r="M425" i="3"/>
  <c r="L425" i="3"/>
  <c r="M426" i="3"/>
  <c r="L426" i="3"/>
  <c r="M427" i="3"/>
  <c r="L427" i="3"/>
  <c r="M428" i="3"/>
  <c r="L428" i="3"/>
  <c r="M429" i="3"/>
  <c r="L429" i="3"/>
  <c r="M430" i="3"/>
  <c r="L430" i="3"/>
  <c r="M431" i="3"/>
  <c r="L431" i="3"/>
  <c r="M432" i="3"/>
  <c r="L432" i="3"/>
  <c r="M433" i="3"/>
  <c r="L433" i="3"/>
  <c r="M434" i="3"/>
  <c r="L434" i="3"/>
  <c r="M435" i="3"/>
  <c r="L435" i="3"/>
  <c r="M436" i="3"/>
  <c r="L436" i="3"/>
  <c r="M437" i="3"/>
  <c r="L437" i="3"/>
  <c r="M438" i="3"/>
  <c r="L438" i="3"/>
  <c r="M439" i="3"/>
  <c r="L439" i="3"/>
  <c r="M440" i="3"/>
  <c r="L440" i="3"/>
  <c r="M441" i="3"/>
  <c r="L441" i="3"/>
  <c r="M442" i="3"/>
  <c r="L442" i="3"/>
  <c r="M443" i="3"/>
  <c r="L443" i="3"/>
  <c r="M444" i="3"/>
  <c r="L444" i="3"/>
  <c r="M445" i="3"/>
  <c r="L445" i="3"/>
  <c r="M446" i="3"/>
  <c r="L446" i="3"/>
  <c r="M447" i="3"/>
  <c r="L447" i="3"/>
  <c r="M448" i="3"/>
  <c r="L448" i="3"/>
  <c r="M449" i="3"/>
  <c r="L449" i="3"/>
  <c r="M450" i="3"/>
  <c r="L450" i="3"/>
  <c r="M451" i="3"/>
  <c r="L451" i="3"/>
  <c r="M452" i="3"/>
  <c r="L452" i="3"/>
  <c r="M453" i="3"/>
  <c r="L453" i="3"/>
  <c r="M454" i="3"/>
  <c r="L454" i="3"/>
  <c r="M455" i="3"/>
  <c r="L455" i="3"/>
  <c r="M456" i="3"/>
  <c r="L456" i="3"/>
  <c r="M457" i="3"/>
  <c r="L457" i="3"/>
  <c r="M458" i="3"/>
  <c r="L458" i="3"/>
  <c r="M459" i="3"/>
  <c r="L459" i="3"/>
  <c r="M460" i="3"/>
  <c r="L460" i="3"/>
  <c r="M461" i="3"/>
  <c r="L461" i="3"/>
  <c r="M462" i="3"/>
  <c r="L462" i="3"/>
  <c r="M463" i="3"/>
  <c r="L463" i="3"/>
  <c r="M464" i="3"/>
  <c r="L464" i="3"/>
  <c r="M465" i="3"/>
  <c r="L465" i="3"/>
  <c r="M466" i="3"/>
  <c r="L466" i="3"/>
  <c r="M467" i="3"/>
  <c r="L467" i="3"/>
  <c r="M468" i="3"/>
  <c r="L468" i="3"/>
  <c r="M469" i="3"/>
  <c r="L469" i="3"/>
  <c r="M470" i="3"/>
  <c r="L470" i="3"/>
  <c r="M471" i="3"/>
  <c r="L471" i="3"/>
  <c r="M472" i="3"/>
  <c r="L472" i="3"/>
  <c r="M473" i="3"/>
  <c r="L473" i="3"/>
  <c r="M474" i="3"/>
  <c r="L474" i="3"/>
  <c r="M475" i="3"/>
  <c r="L475" i="3"/>
  <c r="M476" i="3"/>
  <c r="L476" i="3"/>
  <c r="M477" i="3"/>
  <c r="L477" i="3"/>
  <c r="M478" i="3"/>
  <c r="L478" i="3"/>
  <c r="M479" i="3"/>
  <c r="L479" i="3"/>
  <c r="M480" i="3"/>
  <c r="L480" i="3"/>
  <c r="M481" i="3"/>
  <c r="L481" i="3"/>
  <c r="M482" i="3"/>
  <c r="L482" i="3"/>
  <c r="M483" i="3"/>
  <c r="L483" i="3"/>
  <c r="M484" i="3"/>
  <c r="L484" i="3"/>
  <c r="M485" i="3"/>
  <c r="L485" i="3"/>
  <c r="M486" i="3"/>
  <c r="L486" i="3"/>
  <c r="M487" i="3"/>
  <c r="L487" i="3"/>
  <c r="M488" i="3"/>
  <c r="L488" i="3"/>
  <c r="M489" i="3"/>
  <c r="L489" i="3"/>
  <c r="M490" i="3"/>
  <c r="L490" i="3"/>
  <c r="M491" i="3"/>
  <c r="L491" i="3"/>
  <c r="M492" i="3"/>
  <c r="L492" i="3"/>
  <c r="M493" i="3"/>
  <c r="L493" i="3"/>
  <c r="M494" i="3"/>
  <c r="L494" i="3"/>
  <c r="M495" i="3"/>
  <c r="L495" i="3"/>
  <c r="M496" i="3"/>
  <c r="L496" i="3"/>
  <c r="M497" i="3"/>
  <c r="L497" i="3"/>
  <c r="M498" i="3"/>
  <c r="L498" i="3"/>
  <c r="M499" i="3"/>
  <c r="L499" i="3"/>
  <c r="M500" i="3"/>
  <c r="L500" i="3"/>
  <c r="M501" i="3"/>
  <c r="L501" i="3"/>
  <c r="M502" i="3"/>
  <c r="L502" i="3"/>
  <c r="M503" i="3"/>
  <c r="L503" i="3"/>
  <c r="M504" i="3"/>
  <c r="L504" i="3"/>
  <c r="M505" i="3"/>
  <c r="L505" i="3"/>
  <c r="M506" i="3"/>
  <c r="L506" i="3"/>
  <c r="M507" i="3"/>
  <c r="L507" i="3"/>
  <c r="M508" i="3"/>
  <c r="L508" i="3"/>
  <c r="M509" i="3"/>
  <c r="L509" i="3"/>
  <c r="M510" i="3"/>
  <c r="L510" i="3"/>
  <c r="M511" i="3"/>
  <c r="L511" i="3"/>
  <c r="M512" i="3"/>
  <c r="L512" i="3"/>
  <c r="M513" i="3"/>
  <c r="L513" i="3"/>
  <c r="M514" i="3"/>
  <c r="L514" i="3"/>
  <c r="M515" i="3"/>
  <c r="L515" i="3"/>
  <c r="M516" i="3"/>
  <c r="L516" i="3"/>
  <c r="M517" i="3"/>
  <c r="L517" i="3"/>
  <c r="M518" i="3"/>
  <c r="L518" i="3"/>
  <c r="M519" i="3"/>
  <c r="L519" i="3"/>
  <c r="M520" i="3"/>
  <c r="L520" i="3"/>
  <c r="M521" i="3"/>
  <c r="L521" i="3"/>
  <c r="M522" i="3"/>
  <c r="L522" i="3"/>
  <c r="M523" i="3"/>
  <c r="L523" i="3"/>
  <c r="M524" i="3"/>
  <c r="L524" i="3"/>
  <c r="M525" i="3"/>
  <c r="L525" i="3"/>
  <c r="M526" i="3"/>
  <c r="L526" i="3"/>
  <c r="M527" i="3"/>
  <c r="L527" i="3"/>
  <c r="M528" i="3"/>
  <c r="M529" i="3"/>
  <c r="M530" i="3"/>
  <c r="L530" i="3"/>
  <c r="M531" i="3"/>
  <c r="L531" i="3"/>
  <c r="M532" i="3"/>
  <c r="L532" i="3"/>
  <c r="M533" i="3"/>
  <c r="L533" i="3"/>
  <c r="M534" i="3"/>
  <c r="L534" i="3"/>
  <c r="M535" i="3"/>
  <c r="L535" i="3"/>
  <c r="M536" i="3"/>
  <c r="L536" i="3"/>
  <c r="M537" i="3"/>
  <c r="L537" i="3"/>
  <c r="M538" i="3"/>
  <c r="L538" i="3"/>
  <c r="M539" i="3"/>
  <c r="L539" i="3"/>
  <c r="M540" i="3"/>
  <c r="L540" i="3"/>
  <c r="M541" i="3"/>
  <c r="L541" i="3"/>
  <c r="M542" i="3"/>
  <c r="L542" i="3"/>
  <c r="M543" i="3"/>
  <c r="L543" i="3"/>
  <c r="M544" i="3"/>
  <c r="L544" i="3"/>
  <c r="M545" i="3"/>
  <c r="L545" i="3"/>
  <c r="M546" i="3"/>
  <c r="L546" i="3"/>
  <c r="M547" i="3"/>
  <c r="L547" i="3"/>
  <c r="M548" i="3"/>
  <c r="L548" i="3"/>
  <c r="M549" i="3"/>
  <c r="L549" i="3"/>
  <c r="M550" i="3"/>
  <c r="L550" i="3"/>
  <c r="M551" i="3"/>
  <c r="L551" i="3"/>
  <c r="M552" i="3"/>
  <c r="L552" i="3"/>
  <c r="M553" i="3"/>
  <c r="L553" i="3"/>
  <c r="M554" i="3"/>
  <c r="L554" i="3"/>
  <c r="M555" i="3"/>
  <c r="L555" i="3"/>
  <c r="M556" i="3"/>
  <c r="L556" i="3"/>
  <c r="M557" i="3"/>
  <c r="L557" i="3"/>
  <c r="M558" i="3"/>
  <c r="L558" i="3"/>
  <c r="M559" i="3"/>
  <c r="L559" i="3"/>
  <c r="M560" i="3"/>
  <c r="L560" i="3"/>
  <c r="M561" i="3"/>
  <c r="L561" i="3"/>
  <c r="M562" i="3"/>
  <c r="L562" i="3"/>
  <c r="M563" i="3"/>
  <c r="L563" i="3"/>
  <c r="M564" i="3"/>
  <c r="L564" i="3"/>
  <c r="M565" i="3"/>
  <c r="L565" i="3"/>
  <c r="M566" i="3"/>
  <c r="L566" i="3"/>
  <c r="M567" i="3"/>
  <c r="L567" i="3"/>
  <c r="M568" i="3"/>
  <c r="L568" i="3"/>
  <c r="M569" i="3"/>
  <c r="L569" i="3"/>
  <c r="M570" i="3"/>
  <c r="L570" i="3"/>
  <c r="M571" i="3"/>
  <c r="L571" i="3"/>
  <c r="M572" i="3"/>
  <c r="L572" i="3"/>
  <c r="M573" i="3"/>
  <c r="L573" i="3"/>
  <c r="M574" i="3"/>
  <c r="L574" i="3"/>
  <c r="M575" i="3"/>
  <c r="L575" i="3"/>
  <c r="M576" i="3"/>
  <c r="L576" i="3"/>
  <c r="M577" i="3"/>
  <c r="L577" i="3"/>
  <c r="M578" i="3"/>
  <c r="L578" i="3"/>
  <c r="M579" i="3"/>
  <c r="L579" i="3"/>
  <c r="M580" i="3"/>
  <c r="L580" i="3"/>
  <c r="M581" i="3"/>
  <c r="L581" i="3"/>
  <c r="M582" i="3"/>
  <c r="L582" i="3"/>
  <c r="M583" i="3"/>
  <c r="L583" i="3"/>
  <c r="M584" i="3"/>
  <c r="L584" i="3"/>
  <c r="M585" i="3"/>
  <c r="L585" i="3"/>
  <c r="M586" i="3"/>
  <c r="L586" i="3"/>
  <c r="M587" i="3"/>
  <c r="L587" i="3"/>
  <c r="M588" i="3"/>
  <c r="L588" i="3"/>
  <c r="M589" i="3"/>
  <c r="L589" i="3"/>
  <c r="M590" i="3"/>
  <c r="L590" i="3"/>
  <c r="M591" i="3"/>
  <c r="L591" i="3"/>
  <c r="M592" i="3"/>
  <c r="L592" i="3"/>
  <c r="M593" i="3"/>
  <c r="L593" i="3"/>
  <c r="M594" i="3"/>
  <c r="L594" i="3"/>
  <c r="M595" i="3"/>
  <c r="L595" i="3"/>
  <c r="M596" i="3"/>
  <c r="L596" i="3"/>
  <c r="M597" i="3"/>
  <c r="L597" i="3"/>
  <c r="M598" i="3"/>
  <c r="L598" i="3"/>
  <c r="M599" i="3"/>
  <c r="L599" i="3"/>
  <c r="M600" i="3"/>
  <c r="L600" i="3"/>
  <c r="M601" i="3"/>
  <c r="L601" i="3"/>
  <c r="M602" i="3"/>
  <c r="L602" i="3"/>
  <c r="M603" i="3"/>
  <c r="L603" i="3"/>
  <c r="M604" i="3"/>
  <c r="L604" i="3"/>
  <c r="M605" i="3"/>
  <c r="L605" i="3"/>
  <c r="M606" i="3"/>
  <c r="L606" i="3"/>
  <c r="M607" i="3"/>
  <c r="L607" i="3"/>
  <c r="M608" i="3"/>
  <c r="L608" i="3"/>
  <c r="M609" i="3"/>
  <c r="L609" i="3"/>
  <c r="M610" i="3"/>
  <c r="L610" i="3"/>
  <c r="M611" i="3"/>
  <c r="L611" i="3"/>
  <c r="M612" i="3"/>
  <c r="L612" i="3"/>
  <c r="M613" i="3"/>
  <c r="L613" i="3"/>
  <c r="M614" i="3"/>
  <c r="L614" i="3"/>
  <c r="M615" i="3"/>
  <c r="L615" i="3"/>
  <c r="M616" i="3"/>
  <c r="L616" i="3"/>
  <c r="M617" i="3"/>
  <c r="L617" i="3"/>
  <c r="M618" i="3"/>
  <c r="L618" i="3"/>
  <c r="M619" i="3"/>
  <c r="L619" i="3"/>
  <c r="M620" i="3"/>
  <c r="L620" i="3"/>
  <c r="M621" i="3"/>
  <c r="L621" i="3"/>
  <c r="M622" i="3"/>
  <c r="L622" i="3"/>
  <c r="M623" i="3"/>
  <c r="L623" i="3"/>
  <c r="M624" i="3"/>
  <c r="L624" i="3"/>
  <c r="M625" i="3"/>
  <c r="L625" i="3"/>
  <c r="M626" i="3"/>
  <c r="L626" i="3"/>
  <c r="M627" i="3"/>
  <c r="L627" i="3"/>
  <c r="M628" i="3"/>
  <c r="L628" i="3"/>
  <c r="M629" i="3"/>
  <c r="L629" i="3"/>
  <c r="M630" i="3"/>
  <c r="L630" i="3"/>
  <c r="M631" i="3"/>
  <c r="L631" i="3"/>
  <c r="M632" i="3"/>
  <c r="L632" i="3"/>
  <c r="M633" i="3"/>
  <c r="L633" i="3"/>
  <c r="M634" i="3"/>
  <c r="L634" i="3"/>
  <c r="M635" i="3"/>
  <c r="L635" i="3"/>
  <c r="M636" i="3"/>
  <c r="L636" i="3"/>
  <c r="M637" i="3"/>
  <c r="L637" i="3"/>
  <c r="M638" i="3"/>
  <c r="L638" i="3"/>
  <c r="M639" i="3"/>
  <c r="L639" i="3"/>
  <c r="M640" i="3"/>
  <c r="L640" i="3"/>
  <c r="M641" i="3"/>
  <c r="L641" i="3"/>
  <c r="M642" i="3"/>
  <c r="L642" i="3"/>
  <c r="M643" i="3"/>
  <c r="L643" i="3"/>
  <c r="M644" i="3"/>
  <c r="L644" i="3"/>
  <c r="M645" i="3"/>
  <c r="L645" i="3"/>
  <c r="M646" i="3"/>
  <c r="L646" i="3"/>
  <c r="M647" i="3"/>
  <c r="L647" i="3"/>
  <c r="M648" i="3"/>
  <c r="L648" i="3"/>
  <c r="M649" i="3"/>
  <c r="L649" i="3"/>
  <c r="M650" i="3"/>
  <c r="L650" i="3"/>
  <c r="M651" i="3"/>
  <c r="L651" i="3"/>
  <c r="M652" i="3"/>
  <c r="L652" i="3"/>
  <c r="M653" i="3"/>
  <c r="L653" i="3"/>
  <c r="M654" i="3"/>
  <c r="L654" i="3"/>
  <c r="M655" i="3"/>
  <c r="L655" i="3"/>
  <c r="M656" i="3"/>
  <c r="L656" i="3"/>
  <c r="M657" i="3"/>
  <c r="L657" i="3"/>
  <c r="M658" i="3"/>
  <c r="L658" i="3"/>
  <c r="M659" i="3"/>
  <c r="L659" i="3"/>
  <c r="M660" i="3"/>
  <c r="L660" i="3"/>
  <c r="M661" i="3"/>
  <c r="L661" i="3"/>
  <c r="M662" i="3"/>
  <c r="L662" i="3"/>
  <c r="M663" i="3"/>
  <c r="L663" i="3"/>
  <c r="M664" i="3"/>
  <c r="L664" i="3"/>
  <c r="M665" i="3"/>
  <c r="L665" i="3"/>
  <c r="M666" i="3"/>
  <c r="L666" i="3"/>
  <c r="M667" i="3"/>
  <c r="L667" i="3"/>
  <c r="M668" i="3"/>
  <c r="L668" i="3"/>
  <c r="M669" i="3"/>
  <c r="L669" i="3"/>
  <c r="M670" i="3"/>
  <c r="L670" i="3"/>
  <c r="M671" i="3"/>
  <c r="L671" i="3"/>
  <c r="M672" i="3"/>
  <c r="L672" i="3"/>
  <c r="M673" i="3"/>
  <c r="L673" i="3"/>
  <c r="M674" i="3"/>
  <c r="L674" i="3"/>
  <c r="M675" i="3"/>
  <c r="L675" i="3"/>
  <c r="M676" i="3"/>
  <c r="L676" i="3"/>
  <c r="M677" i="3"/>
  <c r="L677" i="3"/>
  <c r="M678" i="3"/>
  <c r="L678" i="3"/>
  <c r="M679" i="3"/>
  <c r="L679" i="3"/>
  <c r="M680" i="3"/>
  <c r="L680" i="3"/>
  <c r="M681" i="3"/>
  <c r="L681" i="3"/>
  <c r="M682" i="3"/>
  <c r="L682" i="3"/>
  <c r="M683" i="3"/>
  <c r="L683" i="3"/>
  <c r="M684" i="3"/>
  <c r="L684" i="3"/>
  <c r="M685" i="3"/>
  <c r="L685" i="3"/>
  <c r="M686" i="3"/>
  <c r="L686" i="3"/>
  <c r="M687" i="3"/>
  <c r="L687" i="3"/>
  <c r="M688" i="3"/>
  <c r="L688" i="3"/>
  <c r="M689" i="3"/>
  <c r="L689" i="3"/>
  <c r="M690" i="3"/>
  <c r="L690" i="3"/>
  <c r="M691" i="3"/>
  <c r="L691" i="3"/>
  <c r="M692" i="3"/>
  <c r="L692" i="3"/>
  <c r="M693" i="3"/>
  <c r="L693" i="3"/>
  <c r="M694" i="3"/>
  <c r="L694" i="3"/>
  <c r="M695" i="3"/>
  <c r="L695" i="3"/>
  <c r="M696" i="3"/>
  <c r="L696" i="3"/>
  <c r="M697" i="3"/>
  <c r="L697" i="3"/>
  <c r="M698" i="3"/>
  <c r="L698" i="3"/>
  <c r="M699" i="3"/>
  <c r="L699" i="3"/>
  <c r="M700" i="3"/>
  <c r="L700" i="3"/>
  <c r="M701" i="3"/>
  <c r="L701" i="3"/>
  <c r="M702" i="3"/>
  <c r="L702" i="3"/>
  <c r="M703" i="3"/>
  <c r="L703" i="3"/>
  <c r="M704" i="3"/>
  <c r="L704" i="3"/>
  <c r="M705" i="3"/>
  <c r="L705" i="3"/>
  <c r="M706" i="3"/>
  <c r="L706" i="3"/>
  <c r="M707" i="3"/>
  <c r="L707" i="3"/>
  <c r="M708" i="3"/>
  <c r="L708" i="3"/>
  <c r="M709" i="3"/>
  <c r="L709" i="3"/>
  <c r="M710" i="3"/>
  <c r="L710" i="3"/>
  <c r="M711" i="3"/>
  <c r="L711" i="3"/>
  <c r="M712" i="3"/>
  <c r="L712" i="3"/>
  <c r="M713" i="3"/>
  <c r="L713" i="3"/>
  <c r="M714" i="3"/>
  <c r="L714" i="3"/>
  <c r="M715" i="3"/>
  <c r="L715" i="3"/>
  <c r="M716" i="3"/>
  <c r="L716" i="3"/>
  <c r="M717" i="3"/>
  <c r="L717" i="3"/>
  <c r="M718" i="3"/>
  <c r="L718" i="3"/>
  <c r="M719" i="3"/>
  <c r="L719" i="3"/>
  <c r="M720" i="3"/>
  <c r="L720" i="3"/>
  <c r="M721" i="3"/>
  <c r="L721" i="3"/>
  <c r="M722" i="3"/>
  <c r="L722" i="3"/>
  <c r="M723" i="3"/>
  <c r="L723" i="3"/>
  <c r="M724" i="3"/>
  <c r="L724" i="3"/>
  <c r="M725" i="3"/>
  <c r="L725" i="3"/>
  <c r="M726" i="3"/>
  <c r="L726" i="3"/>
  <c r="M727" i="3"/>
  <c r="L727" i="3"/>
  <c r="M728" i="3"/>
  <c r="L728" i="3"/>
  <c r="M729" i="3"/>
  <c r="L729" i="3"/>
  <c r="M730" i="3"/>
  <c r="L730" i="3"/>
  <c r="M731" i="3"/>
  <c r="L731" i="3"/>
  <c r="M732" i="3"/>
  <c r="L732" i="3"/>
  <c r="M733" i="3"/>
  <c r="L733" i="3"/>
  <c r="M734" i="3"/>
  <c r="L734" i="3"/>
  <c r="M735" i="3"/>
  <c r="L735" i="3"/>
  <c r="M736" i="3"/>
  <c r="L736" i="3"/>
  <c r="M737" i="3"/>
  <c r="L737" i="3"/>
  <c r="M738" i="3"/>
  <c r="L738" i="3"/>
  <c r="M739" i="3"/>
  <c r="L739" i="3"/>
  <c r="M740" i="3"/>
  <c r="L740" i="3"/>
  <c r="M741" i="3"/>
  <c r="L741" i="3"/>
  <c r="M742" i="3"/>
  <c r="L742" i="3"/>
  <c r="M743" i="3"/>
  <c r="L743" i="3"/>
  <c r="M744" i="3"/>
  <c r="L744" i="3"/>
  <c r="M745" i="3"/>
  <c r="L745" i="3"/>
  <c r="M746" i="3"/>
  <c r="L746" i="3"/>
  <c r="M747" i="3"/>
  <c r="L747" i="3"/>
  <c r="M748" i="3"/>
  <c r="L748" i="3"/>
  <c r="M749" i="3"/>
  <c r="L749" i="3"/>
  <c r="M750" i="3"/>
  <c r="L750" i="3"/>
  <c r="M751" i="3"/>
  <c r="L751" i="3"/>
  <c r="M752" i="3"/>
  <c r="L752" i="3"/>
  <c r="M753" i="3"/>
  <c r="L753" i="3"/>
  <c r="M754" i="3"/>
  <c r="L754" i="3"/>
  <c r="M755" i="3"/>
  <c r="L755" i="3"/>
  <c r="M756" i="3"/>
  <c r="L756" i="3"/>
  <c r="M757" i="3"/>
  <c r="L757" i="3"/>
  <c r="M758" i="3"/>
  <c r="L758" i="3"/>
  <c r="M759" i="3"/>
  <c r="L759" i="3"/>
  <c r="M760" i="3"/>
  <c r="L760" i="3"/>
  <c r="M761" i="3"/>
  <c r="L761" i="3"/>
  <c r="M762" i="3"/>
  <c r="L762" i="3"/>
  <c r="M763" i="3"/>
  <c r="L763" i="3"/>
  <c r="M764" i="3"/>
  <c r="L764" i="3"/>
  <c r="M765" i="3"/>
  <c r="L765" i="3"/>
  <c r="M766" i="3"/>
  <c r="L766" i="3"/>
  <c r="M767" i="3"/>
  <c r="L767" i="3"/>
  <c r="M768" i="3"/>
  <c r="L768" i="3"/>
  <c r="M769" i="3"/>
  <c r="L769" i="3"/>
  <c r="M770" i="3"/>
  <c r="L770" i="3"/>
  <c r="M771" i="3"/>
  <c r="L771" i="3"/>
  <c r="M772" i="3"/>
  <c r="L772" i="3"/>
  <c r="M773" i="3"/>
  <c r="L773" i="3"/>
  <c r="M774" i="3"/>
  <c r="L774" i="3"/>
  <c r="M775" i="3"/>
  <c r="L775" i="3"/>
  <c r="M776" i="3"/>
  <c r="L776" i="3"/>
  <c r="M777" i="3"/>
  <c r="L777" i="3"/>
  <c r="M778" i="3"/>
  <c r="L778" i="3"/>
  <c r="M779" i="3"/>
  <c r="L779" i="3"/>
  <c r="M780" i="3"/>
  <c r="L780" i="3"/>
  <c r="M781" i="3"/>
  <c r="L781" i="3"/>
  <c r="M782" i="3"/>
  <c r="L782" i="3"/>
  <c r="M783" i="3"/>
  <c r="L783" i="3"/>
  <c r="M784" i="3"/>
  <c r="L784" i="3"/>
  <c r="M785" i="3"/>
  <c r="L785" i="3"/>
  <c r="M786" i="3"/>
  <c r="L786" i="3"/>
  <c r="M787" i="3"/>
  <c r="L787" i="3"/>
  <c r="M788" i="3"/>
  <c r="L788" i="3"/>
  <c r="M789" i="3"/>
  <c r="L789" i="3"/>
  <c r="M790" i="3"/>
  <c r="L790" i="3"/>
  <c r="M791" i="3"/>
  <c r="L791" i="3"/>
  <c r="M792" i="3"/>
  <c r="L792" i="3"/>
  <c r="M793" i="3"/>
  <c r="L793" i="3"/>
  <c r="M794" i="3"/>
  <c r="L794" i="3"/>
  <c r="M795" i="3"/>
  <c r="L795" i="3"/>
  <c r="M796" i="3"/>
  <c r="L796" i="3"/>
  <c r="M797" i="3"/>
  <c r="L797" i="3"/>
  <c r="M798" i="3"/>
  <c r="L798" i="3"/>
  <c r="M799" i="3"/>
  <c r="L799" i="3"/>
  <c r="M800" i="3"/>
  <c r="L800" i="3"/>
  <c r="M801" i="3"/>
  <c r="L801" i="3"/>
  <c r="M802" i="3"/>
  <c r="L802" i="3"/>
  <c r="M803" i="3"/>
  <c r="L803" i="3"/>
  <c r="M804" i="3"/>
  <c r="L804" i="3"/>
  <c r="M805" i="3"/>
  <c r="L805" i="3"/>
  <c r="M806" i="3"/>
  <c r="L806" i="3"/>
  <c r="M807" i="3"/>
  <c r="L807" i="3"/>
  <c r="M808" i="3"/>
  <c r="L808" i="3"/>
  <c r="M809" i="3"/>
  <c r="L809" i="3"/>
  <c r="M810" i="3"/>
  <c r="L810" i="3"/>
  <c r="M811" i="3"/>
  <c r="L811" i="3"/>
  <c r="M812" i="3"/>
  <c r="L812" i="3"/>
  <c r="M813" i="3"/>
  <c r="L813" i="3"/>
  <c r="M814" i="3"/>
  <c r="L814" i="3"/>
  <c r="M815" i="3"/>
  <c r="L815" i="3"/>
  <c r="M816" i="3"/>
  <c r="L816" i="3"/>
  <c r="M817" i="3"/>
  <c r="L817" i="3"/>
  <c r="M818" i="3"/>
  <c r="L818" i="3"/>
  <c r="M819" i="3"/>
  <c r="L819" i="3"/>
  <c r="M820" i="3"/>
  <c r="L820" i="3"/>
  <c r="M821" i="3"/>
  <c r="L821" i="3"/>
  <c r="M822" i="3"/>
  <c r="L822" i="3"/>
  <c r="M823" i="3"/>
  <c r="L823" i="3"/>
  <c r="M824" i="3"/>
  <c r="L824" i="3"/>
  <c r="M825" i="3"/>
  <c r="L825" i="3"/>
  <c r="M826" i="3"/>
  <c r="L826" i="3"/>
  <c r="M827" i="3"/>
  <c r="L827" i="3"/>
  <c r="M828" i="3"/>
  <c r="L828" i="3"/>
  <c r="M829" i="3"/>
  <c r="L829" i="3"/>
  <c r="M830" i="3"/>
  <c r="L830" i="3"/>
  <c r="M831" i="3"/>
  <c r="L831" i="3"/>
  <c r="M832" i="3"/>
  <c r="L832" i="3"/>
  <c r="M833" i="3"/>
  <c r="L833" i="3"/>
  <c r="M834" i="3"/>
  <c r="L834" i="3"/>
  <c r="M835" i="3"/>
  <c r="L835" i="3"/>
  <c r="M836" i="3"/>
  <c r="L836" i="3"/>
  <c r="M837" i="3"/>
  <c r="L837" i="3"/>
  <c r="M838" i="3"/>
  <c r="L838" i="3"/>
  <c r="M839" i="3"/>
  <c r="L839" i="3"/>
  <c r="M840" i="3"/>
  <c r="L840" i="3"/>
  <c r="M841" i="3"/>
  <c r="L841" i="3"/>
  <c r="M842" i="3"/>
  <c r="L842" i="3"/>
  <c r="M843" i="3"/>
  <c r="L843" i="3"/>
  <c r="M844" i="3"/>
  <c r="L844" i="3"/>
  <c r="M845" i="3"/>
  <c r="L845" i="3"/>
  <c r="M846" i="3"/>
  <c r="L846" i="3"/>
  <c r="M847" i="3"/>
  <c r="L847" i="3"/>
  <c r="M848" i="3"/>
  <c r="L848" i="3"/>
  <c r="M849" i="3"/>
  <c r="L849" i="3"/>
  <c r="M850" i="3"/>
  <c r="L850" i="3"/>
  <c r="M851" i="3"/>
  <c r="L851" i="3"/>
  <c r="M852" i="3"/>
  <c r="L852" i="3"/>
  <c r="M853" i="3"/>
  <c r="L853" i="3"/>
  <c r="M854" i="3"/>
  <c r="L854" i="3"/>
  <c r="M855" i="3"/>
  <c r="L855" i="3"/>
  <c r="M856" i="3"/>
  <c r="L856" i="3"/>
  <c r="M857" i="3"/>
  <c r="L857" i="3"/>
  <c r="M858" i="3"/>
  <c r="L858" i="3"/>
  <c r="M859" i="3"/>
  <c r="L859" i="3"/>
  <c r="M860" i="3"/>
  <c r="L860" i="3"/>
  <c r="M861" i="3"/>
  <c r="L861" i="3"/>
  <c r="M862" i="3"/>
  <c r="L862" i="3"/>
  <c r="M863" i="3"/>
  <c r="L863" i="3"/>
  <c r="M864" i="3"/>
  <c r="L864" i="3"/>
  <c r="M865" i="3"/>
  <c r="L865" i="3"/>
  <c r="M866" i="3"/>
  <c r="L866" i="3"/>
  <c r="M867" i="3"/>
  <c r="L867" i="3"/>
  <c r="M868" i="3"/>
  <c r="L868" i="3"/>
  <c r="M869" i="3"/>
  <c r="L869" i="3"/>
  <c r="M870" i="3"/>
  <c r="L870" i="3"/>
  <c r="M871" i="3"/>
  <c r="L871" i="3"/>
  <c r="M872" i="3"/>
  <c r="L872" i="3"/>
  <c r="M873" i="3"/>
  <c r="L873" i="3"/>
  <c r="M874" i="3"/>
  <c r="L874" i="3"/>
  <c r="M875" i="3"/>
  <c r="L875" i="3"/>
  <c r="M876" i="3"/>
  <c r="L876" i="3"/>
  <c r="M877" i="3"/>
  <c r="L877" i="3"/>
  <c r="M878" i="3"/>
  <c r="L878" i="3"/>
  <c r="M879" i="3"/>
  <c r="L879" i="3"/>
  <c r="M880" i="3"/>
  <c r="L880" i="3"/>
  <c r="M881" i="3"/>
  <c r="L881" i="3"/>
  <c r="M882" i="3"/>
  <c r="L882" i="3"/>
  <c r="M883" i="3"/>
  <c r="L883" i="3"/>
  <c r="M884" i="3"/>
  <c r="L884" i="3"/>
  <c r="M885" i="3"/>
  <c r="L885" i="3"/>
  <c r="M886" i="3"/>
  <c r="L886" i="3"/>
  <c r="M887" i="3"/>
  <c r="L887" i="3"/>
  <c r="M888" i="3"/>
  <c r="L888" i="3"/>
  <c r="M889" i="3"/>
  <c r="L889" i="3"/>
  <c r="M890" i="3"/>
  <c r="L890" i="3"/>
  <c r="M891" i="3"/>
  <c r="L891" i="3"/>
  <c r="M892" i="3"/>
  <c r="L892" i="3"/>
  <c r="M893" i="3"/>
  <c r="L893" i="3"/>
  <c r="M894" i="3"/>
  <c r="L894" i="3"/>
  <c r="M895" i="3"/>
  <c r="L895" i="3"/>
  <c r="M896" i="3"/>
  <c r="L896" i="3"/>
  <c r="M897" i="3"/>
  <c r="L897" i="3"/>
  <c r="M898" i="3"/>
  <c r="L898" i="3"/>
  <c r="M899" i="3"/>
  <c r="L899" i="3"/>
  <c r="M900" i="3"/>
  <c r="L900" i="3"/>
  <c r="M901" i="3"/>
  <c r="L901" i="3"/>
  <c r="M902" i="3"/>
  <c r="L902" i="3"/>
  <c r="M903" i="3"/>
  <c r="L903" i="3"/>
  <c r="M904" i="3"/>
  <c r="L904" i="3"/>
  <c r="M905" i="3"/>
  <c r="L905" i="3"/>
  <c r="M906" i="3"/>
  <c r="L906" i="3"/>
  <c r="M907" i="3"/>
  <c r="L907" i="3"/>
  <c r="M908" i="3"/>
  <c r="L908" i="3"/>
  <c r="M909" i="3"/>
  <c r="L909" i="3"/>
  <c r="M910" i="3"/>
  <c r="L910" i="3"/>
  <c r="M911" i="3"/>
  <c r="L911" i="3"/>
  <c r="M912" i="3"/>
  <c r="L912" i="3"/>
  <c r="M913" i="3"/>
  <c r="L913" i="3"/>
  <c r="M914" i="3"/>
  <c r="L914" i="3"/>
  <c r="M915" i="3"/>
  <c r="L915" i="3"/>
  <c r="M916" i="3"/>
  <c r="L916" i="3"/>
  <c r="M917" i="3"/>
  <c r="L917" i="3"/>
  <c r="M918" i="3"/>
  <c r="L918" i="3"/>
  <c r="M919" i="3"/>
  <c r="L919" i="3"/>
  <c r="M920" i="3"/>
  <c r="L920" i="3"/>
  <c r="M921" i="3"/>
  <c r="L921" i="3"/>
  <c r="M922" i="3"/>
  <c r="L922" i="3"/>
  <c r="M923" i="3"/>
  <c r="L923" i="3"/>
  <c r="M924" i="3"/>
  <c r="L924" i="3"/>
  <c r="M925" i="3"/>
  <c r="L925" i="3"/>
  <c r="M926" i="3"/>
  <c r="L926" i="3"/>
  <c r="M927" i="3"/>
  <c r="L927" i="3"/>
  <c r="M928" i="3"/>
  <c r="L928" i="3"/>
  <c r="M929" i="3"/>
  <c r="L929" i="3"/>
  <c r="M930" i="3"/>
  <c r="L930" i="3"/>
  <c r="M931" i="3"/>
  <c r="L931" i="3"/>
  <c r="M932" i="3"/>
  <c r="L932" i="3"/>
  <c r="M933" i="3"/>
  <c r="L933" i="3"/>
  <c r="M934" i="3"/>
  <c r="L934" i="3"/>
  <c r="M935" i="3"/>
  <c r="L935" i="3"/>
  <c r="M936" i="3"/>
  <c r="L936" i="3"/>
  <c r="M937" i="3"/>
  <c r="L937" i="3"/>
  <c r="M938" i="3"/>
  <c r="L938" i="3"/>
  <c r="M939" i="3"/>
  <c r="L939" i="3"/>
  <c r="M940" i="3"/>
  <c r="L940" i="3"/>
  <c r="M941" i="3"/>
  <c r="L941" i="3"/>
  <c r="M942" i="3"/>
  <c r="L942" i="3"/>
  <c r="M943" i="3"/>
  <c r="L943" i="3"/>
  <c r="M944" i="3"/>
  <c r="L944" i="3"/>
  <c r="M945" i="3"/>
  <c r="L945" i="3"/>
  <c r="M946" i="3"/>
  <c r="L946" i="3"/>
  <c r="M947" i="3"/>
  <c r="L947" i="3"/>
  <c r="M948" i="3"/>
  <c r="L948" i="3"/>
  <c r="M949" i="3"/>
  <c r="L949" i="3"/>
  <c r="M950" i="3"/>
  <c r="L950" i="3"/>
  <c r="M951" i="3"/>
  <c r="L951" i="3"/>
  <c r="M952" i="3"/>
  <c r="L952" i="3"/>
  <c r="M953" i="3"/>
  <c r="L953" i="3"/>
  <c r="M954" i="3"/>
  <c r="L954" i="3"/>
  <c r="M955" i="3"/>
  <c r="L955" i="3"/>
  <c r="M956" i="3"/>
  <c r="L956" i="3"/>
  <c r="M957" i="3"/>
  <c r="L957" i="3"/>
  <c r="M958" i="3"/>
  <c r="L958" i="3"/>
  <c r="M959" i="3"/>
  <c r="L959" i="3"/>
  <c r="M960" i="3"/>
  <c r="L960" i="3"/>
  <c r="M961" i="3"/>
  <c r="L961" i="3"/>
  <c r="M962" i="3"/>
  <c r="L962" i="3"/>
  <c r="M963" i="3"/>
  <c r="L963" i="3"/>
  <c r="M964" i="3"/>
  <c r="L964" i="3"/>
  <c r="M965" i="3"/>
  <c r="L965" i="3"/>
  <c r="M966" i="3"/>
  <c r="L966" i="3"/>
  <c r="M967" i="3"/>
  <c r="L967" i="3"/>
  <c r="M968" i="3"/>
  <c r="L968" i="3"/>
  <c r="M969" i="3"/>
  <c r="L969" i="3"/>
  <c r="M970" i="3"/>
  <c r="L970" i="3"/>
  <c r="M971" i="3"/>
  <c r="L971" i="3"/>
  <c r="M972" i="3"/>
  <c r="L972" i="3"/>
  <c r="M973" i="3"/>
  <c r="L973" i="3"/>
  <c r="M974" i="3"/>
  <c r="L974" i="3"/>
  <c r="M975" i="3"/>
  <c r="L975" i="3"/>
  <c r="M976" i="3"/>
  <c r="L976" i="3"/>
  <c r="M977" i="3"/>
  <c r="L977" i="3"/>
  <c r="M978" i="3"/>
  <c r="L978" i="3"/>
  <c r="M979" i="3"/>
  <c r="L979" i="3"/>
  <c r="M980" i="3"/>
  <c r="L980" i="3"/>
  <c r="M981" i="3"/>
  <c r="L981" i="3"/>
  <c r="M982" i="3"/>
  <c r="L982" i="3"/>
  <c r="M983" i="3"/>
  <c r="L983" i="3"/>
  <c r="M984" i="3"/>
  <c r="L984" i="3"/>
  <c r="M985" i="3"/>
  <c r="L985" i="3"/>
  <c r="M986" i="3"/>
  <c r="L986" i="3"/>
  <c r="M987" i="3"/>
  <c r="L987" i="3"/>
  <c r="M988" i="3"/>
  <c r="L988" i="3"/>
  <c r="M989" i="3"/>
  <c r="L989" i="3"/>
  <c r="M990" i="3"/>
  <c r="L990" i="3"/>
  <c r="M991" i="3"/>
  <c r="L991" i="3"/>
  <c r="M992" i="3"/>
  <c r="L992" i="3"/>
  <c r="M993" i="3"/>
  <c r="L993" i="3"/>
  <c r="M994" i="3"/>
  <c r="L994" i="3"/>
  <c r="M995" i="3"/>
  <c r="L995" i="3"/>
  <c r="M996" i="3"/>
  <c r="L996" i="3"/>
  <c r="M997" i="3"/>
  <c r="L997" i="3"/>
  <c r="M998" i="3"/>
  <c r="L998" i="3"/>
  <c r="M999" i="3"/>
  <c r="L999" i="3"/>
  <c r="M1000" i="3"/>
  <c r="L1000" i="3"/>
  <c r="M1001" i="3"/>
  <c r="L1001" i="3"/>
  <c r="M1002" i="3"/>
  <c r="L1002" i="3"/>
  <c r="M1003" i="3"/>
  <c r="L1003" i="3"/>
  <c r="M1004" i="3"/>
  <c r="L1004" i="3"/>
  <c r="M1005" i="3"/>
  <c r="L1005" i="3"/>
  <c r="M1006" i="3"/>
  <c r="L1006" i="3"/>
  <c r="M1007" i="3"/>
  <c r="L1007" i="3"/>
  <c r="M1008" i="3"/>
  <c r="L1008" i="3"/>
  <c r="M1009" i="3"/>
  <c r="L1009" i="3"/>
  <c r="M1010" i="3"/>
  <c r="L1010" i="3"/>
  <c r="M1011" i="3"/>
  <c r="L1011" i="3"/>
  <c r="M1012" i="3"/>
  <c r="L1012" i="3"/>
  <c r="M1013" i="3"/>
  <c r="L1013" i="3"/>
  <c r="M1014" i="3"/>
  <c r="L1014" i="3"/>
  <c r="M1015" i="3"/>
  <c r="L1015" i="3"/>
  <c r="M1016" i="3"/>
  <c r="L1016" i="3"/>
  <c r="M1017" i="3"/>
  <c r="L1017" i="3"/>
  <c r="M1018" i="3"/>
  <c r="L1018" i="3"/>
  <c r="M1019" i="3"/>
  <c r="L1019" i="3"/>
  <c r="M1020" i="3"/>
  <c r="L1020" i="3"/>
  <c r="M1021" i="3"/>
  <c r="L1021" i="3"/>
  <c r="M1022" i="3"/>
  <c r="L1022" i="3"/>
  <c r="M1023" i="3"/>
  <c r="L1023" i="3"/>
  <c r="M1024" i="3"/>
  <c r="L1024" i="3"/>
  <c r="M1025" i="3"/>
  <c r="L1025" i="3"/>
  <c r="M1026" i="3"/>
  <c r="L1026" i="3"/>
  <c r="M1027" i="3"/>
  <c r="L1027" i="3"/>
  <c r="M1028" i="3"/>
  <c r="L1028" i="3"/>
  <c r="M1029" i="3"/>
  <c r="L1029" i="3"/>
  <c r="M1030" i="3"/>
  <c r="L1030" i="3"/>
  <c r="M1031" i="3"/>
  <c r="L1031" i="3"/>
  <c r="M1032" i="3"/>
  <c r="L1032" i="3"/>
  <c r="M1033" i="3"/>
  <c r="L1033" i="3"/>
  <c r="M1034" i="3"/>
  <c r="L1034" i="3"/>
  <c r="M1035" i="3"/>
  <c r="L1035" i="3"/>
  <c r="M1036" i="3"/>
  <c r="L1036" i="3"/>
  <c r="M1037" i="3"/>
  <c r="L1037" i="3"/>
  <c r="M1038" i="3"/>
  <c r="L1038" i="3"/>
  <c r="M1039" i="3"/>
  <c r="L1039" i="3"/>
  <c r="M1040" i="3"/>
  <c r="L1040" i="3"/>
  <c r="M1041" i="3"/>
  <c r="L1041" i="3"/>
  <c r="M1042" i="3"/>
  <c r="L1042" i="3"/>
  <c r="M1043" i="3"/>
  <c r="L1043" i="3"/>
  <c r="M1044" i="3"/>
  <c r="L1044" i="3"/>
  <c r="M1045" i="3"/>
  <c r="L1045" i="3"/>
  <c r="M1046" i="3"/>
  <c r="L1046" i="3"/>
  <c r="M1047" i="3"/>
  <c r="L1047" i="3"/>
  <c r="M1048" i="3"/>
  <c r="L1048" i="3"/>
  <c r="M1049" i="3"/>
  <c r="L1049" i="3"/>
  <c r="M1050" i="3"/>
  <c r="L1050" i="3"/>
  <c r="M1051" i="3"/>
  <c r="L1051" i="3"/>
  <c r="M1052" i="3"/>
  <c r="L1052" i="3"/>
  <c r="M1053" i="3"/>
  <c r="L1053" i="3"/>
  <c r="M1054" i="3"/>
  <c r="L1054" i="3"/>
  <c r="M1055" i="3"/>
  <c r="L1055" i="3"/>
  <c r="M1056" i="3"/>
  <c r="L1056" i="3"/>
  <c r="M1057" i="3"/>
  <c r="L1057" i="3"/>
  <c r="M1058" i="3"/>
  <c r="L1058" i="3"/>
  <c r="M1059" i="3"/>
  <c r="L1059" i="3"/>
  <c r="M1060" i="3"/>
  <c r="L1060" i="3"/>
  <c r="M1061" i="3"/>
  <c r="L1061" i="3"/>
  <c r="M1062" i="3"/>
  <c r="L1062" i="3"/>
  <c r="M1063" i="3"/>
  <c r="L1063" i="3"/>
  <c r="M1064" i="3"/>
  <c r="L1064" i="3"/>
  <c r="M1065" i="3"/>
  <c r="L1065" i="3"/>
  <c r="M1066" i="3"/>
  <c r="L1066" i="3"/>
  <c r="M1067" i="3"/>
  <c r="L1067" i="3"/>
  <c r="M1068" i="3"/>
  <c r="L1068" i="3"/>
  <c r="M1069" i="3"/>
  <c r="L1069" i="3"/>
  <c r="M1070" i="3"/>
  <c r="L1070" i="3"/>
  <c r="M1071" i="3"/>
  <c r="L1071" i="3"/>
  <c r="M1072" i="3"/>
  <c r="L1072" i="3"/>
  <c r="M1073" i="3"/>
  <c r="L1073" i="3"/>
  <c r="M1074" i="3"/>
  <c r="L1074" i="3"/>
  <c r="M1075" i="3"/>
  <c r="L1075" i="3"/>
  <c r="M1076" i="3"/>
  <c r="L1076" i="3"/>
  <c r="M1077" i="3"/>
  <c r="L1077" i="3"/>
  <c r="M1078" i="3"/>
  <c r="L1078" i="3"/>
  <c r="M1079" i="3"/>
  <c r="L1079" i="3"/>
  <c r="M1080" i="3"/>
  <c r="L1080" i="3"/>
  <c r="M1081" i="3"/>
  <c r="L1081" i="3"/>
  <c r="M1082" i="3"/>
  <c r="L1082" i="3"/>
  <c r="M1083" i="3"/>
  <c r="L1083" i="3"/>
  <c r="M1084" i="3"/>
  <c r="L1084" i="3"/>
  <c r="M1085" i="3"/>
  <c r="L1085" i="3"/>
  <c r="M1086" i="3"/>
  <c r="L1086" i="3"/>
  <c r="M1087" i="3"/>
  <c r="L1087" i="3"/>
  <c r="M1088" i="3"/>
  <c r="L1088" i="3"/>
  <c r="M1089" i="3"/>
  <c r="L1089" i="3"/>
  <c r="M1090" i="3"/>
  <c r="L1090" i="3"/>
  <c r="M1091" i="3"/>
  <c r="L1091" i="3"/>
  <c r="M1092" i="3"/>
  <c r="L1092" i="3"/>
  <c r="M1093" i="3"/>
  <c r="L1093" i="3"/>
  <c r="M1094" i="3"/>
  <c r="L1094" i="3"/>
  <c r="M1095" i="3"/>
  <c r="L1095" i="3"/>
  <c r="M1096" i="3"/>
  <c r="L1096" i="3"/>
  <c r="M1097" i="3"/>
  <c r="L1097" i="3"/>
  <c r="M1098" i="3"/>
  <c r="L1098" i="3"/>
  <c r="M1099" i="3"/>
  <c r="L1099" i="3"/>
  <c r="M1100" i="3"/>
  <c r="L1100" i="3"/>
  <c r="M1101" i="3"/>
  <c r="L1101" i="3"/>
  <c r="M1102" i="3"/>
  <c r="L1102" i="3"/>
  <c r="M1103" i="3"/>
  <c r="L1103" i="3"/>
  <c r="M1104" i="3"/>
  <c r="L1104" i="3"/>
  <c r="M1105" i="3"/>
  <c r="L1105" i="3"/>
  <c r="M1106" i="3"/>
  <c r="L1106" i="3"/>
  <c r="M1107" i="3"/>
  <c r="L1107" i="3"/>
  <c r="M1108" i="3"/>
  <c r="L1108" i="3"/>
  <c r="M1109" i="3"/>
  <c r="L1109" i="3"/>
  <c r="M1110" i="3"/>
  <c r="L1110" i="3"/>
  <c r="M1111" i="3"/>
  <c r="L1111" i="3"/>
  <c r="M1112" i="3"/>
  <c r="L1112" i="3"/>
  <c r="M1113" i="3"/>
  <c r="L1113" i="3"/>
  <c r="M1114" i="3"/>
  <c r="L1114" i="3"/>
  <c r="M1115" i="3"/>
  <c r="L1115" i="3"/>
  <c r="M1116" i="3"/>
  <c r="L1116" i="3"/>
  <c r="M1117" i="3"/>
  <c r="L1117" i="3"/>
  <c r="M1118" i="3"/>
  <c r="L1118" i="3"/>
  <c r="M1119" i="3"/>
  <c r="L1119" i="3"/>
  <c r="M1120" i="3"/>
  <c r="L1120" i="3"/>
  <c r="M1121" i="3"/>
  <c r="L1121" i="3"/>
  <c r="M1122" i="3"/>
  <c r="L1122" i="3"/>
  <c r="M1123" i="3"/>
  <c r="L1123" i="3"/>
  <c r="M1124" i="3"/>
  <c r="L1124" i="3"/>
  <c r="M1125" i="3"/>
  <c r="L1125" i="3"/>
  <c r="M1126" i="3"/>
  <c r="L1126" i="3"/>
  <c r="M1127" i="3"/>
  <c r="L1127" i="3"/>
  <c r="M1128" i="3"/>
  <c r="L1128" i="3"/>
  <c r="M1129" i="3"/>
  <c r="L1129" i="3"/>
  <c r="M1130" i="3"/>
  <c r="L1130" i="3"/>
  <c r="M1131" i="3"/>
  <c r="L1131" i="3"/>
  <c r="M1132" i="3"/>
  <c r="L1132" i="3"/>
  <c r="M1133" i="3"/>
  <c r="L1133" i="3"/>
  <c r="M1134" i="3"/>
  <c r="L1134" i="3"/>
  <c r="M1135" i="3"/>
  <c r="L1135" i="3"/>
  <c r="M1136" i="3"/>
  <c r="L1136" i="3"/>
  <c r="M1137" i="3"/>
  <c r="L1137" i="3"/>
  <c r="M1138" i="3"/>
  <c r="L1138" i="3"/>
  <c r="M1139" i="3"/>
  <c r="L1139" i="3"/>
  <c r="M1140" i="3"/>
  <c r="L1140" i="3"/>
  <c r="M1141" i="3"/>
  <c r="L1141" i="3"/>
  <c r="M1142" i="3"/>
  <c r="L1142" i="3"/>
  <c r="M1143" i="3"/>
  <c r="L1143" i="3"/>
  <c r="M1144" i="3"/>
  <c r="L1144" i="3"/>
  <c r="M1145" i="3"/>
  <c r="L1145" i="3"/>
  <c r="M1146" i="3"/>
  <c r="L1146" i="3"/>
  <c r="M1147" i="3"/>
  <c r="L1147" i="3"/>
  <c r="M1148" i="3"/>
  <c r="L1148" i="3"/>
  <c r="M1149" i="3"/>
  <c r="L1149" i="3"/>
  <c r="M1150" i="3"/>
  <c r="L1150" i="3"/>
  <c r="M1151" i="3"/>
  <c r="L1151" i="3"/>
  <c r="M1152" i="3"/>
  <c r="L1152" i="3"/>
  <c r="M1153" i="3"/>
  <c r="L1153" i="3"/>
  <c r="M1154" i="3"/>
  <c r="L1154" i="3"/>
  <c r="M1155" i="3"/>
  <c r="L1155" i="3"/>
  <c r="M1156" i="3"/>
  <c r="L1156" i="3"/>
  <c r="M1157" i="3"/>
  <c r="L1157" i="3"/>
  <c r="M1158" i="3"/>
  <c r="L1158" i="3"/>
  <c r="M1159" i="3"/>
  <c r="L1159" i="3"/>
  <c r="M1160" i="3"/>
  <c r="L1160" i="3"/>
  <c r="M1161" i="3"/>
  <c r="L1161" i="3"/>
  <c r="M1162" i="3"/>
  <c r="L1162" i="3"/>
  <c r="M1163" i="3"/>
  <c r="L1163" i="3"/>
  <c r="M1164" i="3"/>
  <c r="L1164" i="3"/>
  <c r="M1165" i="3"/>
  <c r="L1165" i="3"/>
  <c r="M1166" i="3"/>
  <c r="L1166" i="3"/>
  <c r="M1167" i="3"/>
  <c r="L1167" i="3"/>
  <c r="M1168" i="3"/>
  <c r="L1168" i="3"/>
  <c r="M1169" i="3"/>
  <c r="L1169" i="3"/>
  <c r="M1170" i="3"/>
  <c r="L1170" i="3"/>
  <c r="M1171" i="3"/>
  <c r="L1171" i="3"/>
  <c r="M1172" i="3"/>
  <c r="L1172" i="3"/>
  <c r="M1173" i="3"/>
  <c r="L1173" i="3"/>
  <c r="M1174" i="3"/>
  <c r="L1174" i="3"/>
  <c r="M1175" i="3"/>
  <c r="L1175" i="3"/>
  <c r="M1176" i="3"/>
  <c r="L1176" i="3"/>
  <c r="M1177" i="3"/>
  <c r="L1177" i="3"/>
  <c r="M1178" i="3"/>
  <c r="L1178" i="3"/>
  <c r="M1179" i="3"/>
  <c r="L1179" i="3"/>
  <c r="M1180" i="3"/>
  <c r="L1180" i="3"/>
  <c r="M1181" i="3"/>
  <c r="L1181" i="3"/>
  <c r="M1182" i="3"/>
  <c r="L1182" i="3"/>
  <c r="M1183" i="3"/>
  <c r="L1183" i="3"/>
  <c r="M1184" i="3"/>
  <c r="L1184" i="3"/>
  <c r="M1185" i="3"/>
  <c r="L1185" i="3"/>
  <c r="M1186" i="3"/>
  <c r="L1186" i="3"/>
  <c r="M1187" i="3"/>
  <c r="L1187" i="3"/>
  <c r="M1188" i="3"/>
  <c r="L1188" i="3"/>
  <c r="M1189" i="3"/>
  <c r="L1189" i="3"/>
  <c r="M1190" i="3"/>
  <c r="L1190" i="3"/>
  <c r="M1191" i="3"/>
  <c r="L1191" i="3"/>
  <c r="M1192" i="3"/>
  <c r="L1192" i="3"/>
  <c r="M1193" i="3"/>
  <c r="L1193" i="3"/>
  <c r="M1194" i="3"/>
  <c r="L1194" i="3"/>
  <c r="M1195" i="3"/>
  <c r="L1195" i="3"/>
  <c r="M1196" i="3"/>
  <c r="L1196" i="3"/>
  <c r="M1197" i="3"/>
  <c r="L1197" i="3"/>
  <c r="M1198" i="3"/>
  <c r="L1198" i="3"/>
  <c r="M1199" i="3"/>
  <c r="L1199" i="3"/>
  <c r="M1200" i="3"/>
  <c r="L1200" i="3"/>
  <c r="M1201" i="3"/>
  <c r="L1201" i="3"/>
  <c r="M1202" i="3"/>
  <c r="L1202" i="3"/>
  <c r="M1203" i="3"/>
  <c r="L1203" i="3"/>
  <c r="M1204" i="3"/>
  <c r="L1204" i="3"/>
  <c r="M1205" i="3"/>
  <c r="L1205" i="3"/>
  <c r="M1206" i="3"/>
  <c r="L1206" i="3"/>
  <c r="M1207" i="3"/>
  <c r="L1207" i="3"/>
  <c r="M1208" i="3"/>
  <c r="L1208" i="3"/>
  <c r="M1209" i="3"/>
  <c r="L1209" i="3"/>
  <c r="M1210" i="3"/>
  <c r="L1210" i="3"/>
  <c r="M1211" i="3"/>
  <c r="L1211" i="3"/>
  <c r="M1212" i="3"/>
  <c r="L1212" i="3"/>
  <c r="M1213" i="3"/>
  <c r="L1213" i="3"/>
  <c r="M1214" i="3"/>
  <c r="L1214" i="3"/>
  <c r="M1215" i="3"/>
  <c r="L1215" i="3"/>
  <c r="M1216" i="3"/>
  <c r="L1216" i="3"/>
  <c r="M1217" i="3"/>
  <c r="L1217" i="3"/>
  <c r="M1218" i="3"/>
  <c r="L1218" i="3"/>
  <c r="M1219" i="3"/>
  <c r="L1219" i="3"/>
  <c r="M1220" i="3"/>
  <c r="L1220" i="3"/>
  <c r="M1221" i="3"/>
  <c r="L1221" i="3"/>
  <c r="M1222" i="3"/>
  <c r="L1222" i="3"/>
  <c r="M1223" i="3"/>
  <c r="L1223" i="3"/>
  <c r="M1224" i="3"/>
  <c r="L1224" i="3"/>
  <c r="M1225" i="3"/>
  <c r="L1225" i="3"/>
  <c r="M1226" i="3"/>
  <c r="L1226" i="3"/>
  <c r="M1227" i="3"/>
  <c r="L1227" i="3"/>
  <c r="M1228" i="3"/>
  <c r="L1228" i="3"/>
  <c r="M1229" i="3"/>
  <c r="L1229" i="3"/>
  <c r="M1230" i="3"/>
  <c r="L1230" i="3"/>
  <c r="M1231" i="3"/>
  <c r="L1231" i="3"/>
  <c r="M1232" i="3"/>
  <c r="L1232" i="3"/>
  <c r="M1233" i="3"/>
  <c r="L1233" i="3"/>
  <c r="M1234" i="3"/>
  <c r="L1234" i="3"/>
  <c r="M1235" i="3"/>
  <c r="L1235" i="3"/>
  <c r="M1236" i="3"/>
  <c r="L1236" i="3"/>
  <c r="M1237" i="3"/>
  <c r="L1237" i="3"/>
  <c r="M1238" i="3"/>
  <c r="L1238" i="3"/>
  <c r="M1239" i="3"/>
  <c r="L1239" i="3"/>
  <c r="M1240" i="3"/>
  <c r="L1240" i="3"/>
  <c r="M1241" i="3"/>
  <c r="L1241" i="3"/>
  <c r="M1242" i="3"/>
  <c r="L1242" i="3"/>
  <c r="M1243" i="3"/>
  <c r="L1243" i="3"/>
  <c r="M1244" i="3"/>
  <c r="L1244" i="3"/>
  <c r="M1245" i="3"/>
  <c r="L1245" i="3"/>
  <c r="M1246" i="3"/>
  <c r="L1246" i="3"/>
  <c r="M1247" i="3"/>
  <c r="L1247" i="3"/>
  <c r="M1248" i="3"/>
  <c r="L1248" i="3"/>
  <c r="M1249" i="3"/>
  <c r="L1249" i="3"/>
  <c r="M1250" i="3"/>
  <c r="L1250" i="3"/>
  <c r="M1251" i="3"/>
  <c r="L1251" i="3"/>
  <c r="M1252" i="3"/>
  <c r="L1252" i="3"/>
  <c r="M1253" i="3"/>
  <c r="L1253" i="3"/>
  <c r="M1254" i="3"/>
  <c r="L1254" i="3"/>
  <c r="M1255" i="3"/>
  <c r="L1255" i="3"/>
  <c r="M1256" i="3"/>
  <c r="L1256" i="3"/>
  <c r="M1257" i="3"/>
  <c r="L1257" i="3"/>
  <c r="M1258" i="3"/>
  <c r="L1258" i="3"/>
  <c r="M1259" i="3"/>
  <c r="L1259" i="3"/>
  <c r="M1260" i="3"/>
  <c r="L1260" i="3"/>
  <c r="M1261" i="3"/>
  <c r="L1261" i="3"/>
  <c r="M1262" i="3"/>
  <c r="L1262" i="3"/>
  <c r="M1263" i="3"/>
  <c r="L1263" i="3"/>
  <c r="M1264" i="3"/>
  <c r="L1264" i="3"/>
  <c r="M1265" i="3"/>
  <c r="L1265" i="3"/>
  <c r="M1266" i="3"/>
  <c r="L1266" i="3"/>
  <c r="M1267" i="3"/>
  <c r="L1267" i="3"/>
  <c r="M1268" i="3"/>
  <c r="L1268" i="3"/>
  <c r="M1269" i="3"/>
  <c r="L1269" i="3"/>
  <c r="M1270" i="3"/>
  <c r="L1270" i="3"/>
  <c r="M1271" i="3"/>
  <c r="L1271" i="3"/>
  <c r="M1272" i="3"/>
  <c r="L1272" i="3"/>
  <c r="M1273" i="3"/>
  <c r="L1273" i="3"/>
  <c r="M1274" i="3"/>
  <c r="L1274" i="3"/>
  <c r="M1275" i="3"/>
  <c r="L1275" i="3"/>
  <c r="M1276" i="3"/>
  <c r="L1276" i="3"/>
  <c r="M1277" i="3"/>
  <c r="L1277" i="3"/>
  <c r="M1278" i="3"/>
  <c r="L1278" i="3"/>
  <c r="M1279" i="3"/>
  <c r="L1279" i="3"/>
  <c r="M1280" i="3"/>
  <c r="L1280" i="3"/>
  <c r="M1281" i="3"/>
  <c r="L1281" i="3"/>
  <c r="M1282" i="3"/>
  <c r="L1282" i="3"/>
  <c r="M1283" i="3"/>
  <c r="L1283" i="3"/>
  <c r="M1284" i="3"/>
  <c r="L1284" i="3"/>
  <c r="M1285" i="3"/>
  <c r="L1285" i="3"/>
  <c r="M1286" i="3"/>
  <c r="L1286" i="3"/>
  <c r="M1287" i="3"/>
  <c r="L1287" i="3"/>
  <c r="M1288" i="3"/>
  <c r="L1288" i="3"/>
  <c r="M1289" i="3"/>
  <c r="L1289" i="3"/>
  <c r="M1290" i="3"/>
  <c r="L1290" i="3"/>
  <c r="M1291" i="3"/>
  <c r="L1291" i="3"/>
  <c r="M1292" i="3"/>
  <c r="L1292" i="3"/>
  <c r="M1293" i="3"/>
  <c r="L1293" i="3"/>
  <c r="M1294" i="3"/>
  <c r="L1294" i="3"/>
  <c r="M1295" i="3"/>
  <c r="L1295" i="3"/>
  <c r="M1296" i="3"/>
  <c r="L1296" i="3"/>
  <c r="M1297" i="3"/>
  <c r="L1297" i="3"/>
  <c r="M1298" i="3"/>
  <c r="L1298" i="3"/>
  <c r="M1299" i="3"/>
  <c r="L1299" i="3"/>
  <c r="M1300" i="3"/>
  <c r="L1300" i="3"/>
  <c r="M1301" i="3"/>
  <c r="L1301" i="3"/>
  <c r="M1302" i="3"/>
  <c r="L1302" i="3"/>
  <c r="M1303" i="3"/>
  <c r="L1303" i="3"/>
  <c r="M1304" i="3"/>
  <c r="L1304" i="3"/>
  <c r="M1305" i="3"/>
  <c r="L1305" i="3"/>
  <c r="M1306" i="3"/>
  <c r="L1306" i="3"/>
  <c r="M1307" i="3"/>
  <c r="L1307" i="3"/>
  <c r="M1308" i="3"/>
  <c r="L1308" i="3"/>
  <c r="M1309" i="3"/>
  <c r="L1309" i="3"/>
  <c r="M1310" i="3"/>
  <c r="L1310" i="3"/>
  <c r="M1311" i="3"/>
  <c r="L1311" i="3"/>
  <c r="M1312" i="3"/>
  <c r="L1312" i="3"/>
  <c r="M1313" i="3"/>
  <c r="L1313" i="3"/>
  <c r="M1314" i="3"/>
  <c r="L1314" i="3"/>
  <c r="M1315" i="3"/>
  <c r="L1315" i="3"/>
  <c r="M1316" i="3"/>
  <c r="L1316" i="3"/>
  <c r="M1317" i="3"/>
  <c r="L1317" i="3"/>
  <c r="M1318" i="3"/>
  <c r="L1318" i="3"/>
  <c r="M1319" i="3"/>
  <c r="L1319" i="3"/>
  <c r="M1320" i="3"/>
  <c r="L1320" i="3"/>
  <c r="M1321" i="3"/>
  <c r="L1321" i="3"/>
  <c r="M1322" i="3"/>
  <c r="L1322" i="3"/>
  <c r="M1323" i="3"/>
  <c r="L1323" i="3"/>
  <c r="M1324" i="3"/>
  <c r="L1324" i="3"/>
  <c r="M1325" i="3"/>
  <c r="L1325" i="3"/>
  <c r="M1326" i="3"/>
  <c r="L1326" i="3"/>
  <c r="M1327" i="3"/>
  <c r="L1327" i="3"/>
  <c r="M1328" i="3"/>
  <c r="L1328" i="3"/>
  <c r="M1329" i="3"/>
  <c r="L1329" i="3"/>
  <c r="M1330" i="3"/>
  <c r="L1330" i="3"/>
  <c r="M1331" i="3"/>
  <c r="L1331" i="3"/>
  <c r="M1332" i="3"/>
  <c r="L1332" i="3"/>
  <c r="M1333" i="3"/>
  <c r="L1333" i="3"/>
  <c r="M1334" i="3"/>
  <c r="L1334" i="3"/>
  <c r="M1335" i="3"/>
  <c r="L1335" i="3"/>
  <c r="M1336" i="3"/>
  <c r="L1336" i="3"/>
  <c r="M1337" i="3"/>
  <c r="L1337" i="3"/>
  <c r="M1338" i="3"/>
  <c r="L1338" i="3"/>
  <c r="M1339" i="3"/>
  <c r="L1339" i="3"/>
  <c r="M1340" i="3"/>
  <c r="L1340" i="3"/>
  <c r="M1341" i="3"/>
  <c r="L1341" i="3"/>
  <c r="M1342" i="3"/>
  <c r="L1342" i="3"/>
  <c r="M1343" i="3"/>
  <c r="L1343" i="3"/>
  <c r="M1344" i="3"/>
  <c r="L1344" i="3"/>
  <c r="M1345" i="3"/>
  <c r="L1345" i="3"/>
  <c r="M1346" i="3"/>
  <c r="L1346" i="3"/>
  <c r="M1347" i="3"/>
  <c r="L1347" i="3"/>
  <c r="M1348" i="3"/>
  <c r="L1348" i="3"/>
  <c r="M1349" i="3"/>
  <c r="L1349" i="3"/>
  <c r="M1350" i="3"/>
  <c r="L1350" i="3"/>
  <c r="M1351" i="3"/>
  <c r="L1351" i="3"/>
  <c r="M1352" i="3"/>
  <c r="L1352" i="3"/>
  <c r="M1353" i="3"/>
  <c r="L1353" i="3"/>
  <c r="M1354" i="3"/>
  <c r="L1354" i="3"/>
  <c r="M1355" i="3"/>
  <c r="L1355" i="3"/>
  <c r="M1356" i="3"/>
  <c r="L1356" i="3"/>
  <c r="M1357" i="3"/>
  <c r="L1357" i="3"/>
  <c r="M1358" i="3"/>
  <c r="L1358" i="3"/>
  <c r="M1359" i="3"/>
  <c r="L1359" i="3"/>
  <c r="M1360" i="3"/>
  <c r="L1360" i="3"/>
  <c r="M1361" i="3"/>
  <c r="L1361" i="3"/>
  <c r="M1362" i="3"/>
  <c r="L1362" i="3"/>
  <c r="M1363" i="3"/>
  <c r="L1363" i="3"/>
  <c r="M1364" i="3"/>
  <c r="L1364" i="3"/>
  <c r="M1365" i="3"/>
  <c r="L1365" i="3"/>
  <c r="M1366" i="3"/>
  <c r="L1366" i="3"/>
  <c r="M1367" i="3"/>
  <c r="L1367" i="3"/>
  <c r="M1368" i="3"/>
  <c r="L1368" i="3"/>
  <c r="M1369" i="3"/>
  <c r="L1369" i="3"/>
  <c r="M1370" i="3"/>
  <c r="L1370" i="3"/>
  <c r="M1371" i="3"/>
  <c r="L1371" i="3"/>
  <c r="M1372" i="3"/>
  <c r="L1372" i="3"/>
  <c r="M1373" i="3"/>
  <c r="L1373" i="3"/>
  <c r="M1374" i="3"/>
  <c r="L1374" i="3"/>
  <c r="M1375" i="3"/>
  <c r="L1375" i="3"/>
  <c r="M1376" i="3"/>
  <c r="L1376" i="3"/>
  <c r="M1377" i="3"/>
  <c r="L1377" i="3"/>
  <c r="M1378" i="3"/>
  <c r="L1378" i="3"/>
  <c r="M1379" i="3"/>
  <c r="L1379" i="3"/>
  <c r="M1380" i="3"/>
  <c r="L1380" i="3"/>
  <c r="M1381" i="3"/>
  <c r="L1381" i="3"/>
  <c r="M1382" i="3"/>
  <c r="L1382" i="3"/>
  <c r="M1383" i="3"/>
  <c r="L1383" i="3"/>
  <c r="M1384" i="3"/>
  <c r="L1384" i="3"/>
  <c r="M1385" i="3"/>
  <c r="L1385" i="3"/>
  <c r="M1386" i="3"/>
  <c r="L1386" i="3"/>
  <c r="M1387" i="3"/>
  <c r="L1387" i="3"/>
  <c r="M1388" i="3"/>
  <c r="L1388" i="3"/>
  <c r="M1389" i="3"/>
  <c r="L1389" i="3"/>
  <c r="M1390" i="3"/>
  <c r="L1390" i="3"/>
  <c r="M1391" i="3"/>
  <c r="L1391" i="3"/>
  <c r="M1392" i="3"/>
  <c r="L1392" i="3"/>
  <c r="M1393" i="3"/>
  <c r="L1393" i="3"/>
  <c r="M1394" i="3"/>
  <c r="L1394" i="3"/>
  <c r="M1395" i="3"/>
  <c r="L1395" i="3"/>
  <c r="M1396" i="3"/>
  <c r="L1396" i="3"/>
  <c r="M1397" i="3"/>
  <c r="L1397" i="3"/>
  <c r="M1398" i="3"/>
  <c r="L1398" i="3"/>
  <c r="M1399" i="3"/>
  <c r="L1399" i="3"/>
  <c r="M1400" i="3"/>
  <c r="L1400" i="3"/>
  <c r="M1401" i="3"/>
  <c r="L1401" i="3"/>
  <c r="M1402" i="3"/>
  <c r="L1402" i="3"/>
  <c r="M1403" i="3"/>
  <c r="L1403" i="3"/>
  <c r="M1404" i="3"/>
  <c r="L1404" i="3"/>
  <c r="M1405" i="3"/>
  <c r="L1405" i="3"/>
  <c r="M1406" i="3"/>
  <c r="L1406" i="3"/>
  <c r="M1407" i="3"/>
  <c r="L1407" i="3"/>
  <c r="M1408" i="3"/>
  <c r="L1408" i="3"/>
  <c r="M1409" i="3"/>
  <c r="L1409" i="3"/>
  <c r="M1410" i="3"/>
  <c r="L1410" i="3"/>
  <c r="M1411" i="3"/>
  <c r="L1411" i="3"/>
  <c r="M1412" i="3"/>
  <c r="L1412" i="3"/>
  <c r="M1413" i="3"/>
  <c r="L1413" i="3"/>
  <c r="M1414" i="3"/>
  <c r="L1414" i="3"/>
  <c r="M1415" i="3"/>
  <c r="L1415" i="3"/>
  <c r="M1416" i="3"/>
  <c r="L1416" i="3"/>
  <c r="M1417" i="3"/>
  <c r="L1417" i="3"/>
  <c r="M1418" i="3"/>
  <c r="L1418" i="3"/>
  <c r="M1419" i="3"/>
  <c r="L1419" i="3"/>
  <c r="M1420" i="3"/>
  <c r="L1420" i="3"/>
  <c r="M1421" i="3"/>
  <c r="L1421" i="3"/>
  <c r="M1422" i="3"/>
  <c r="L1422" i="3"/>
  <c r="M1423" i="3"/>
  <c r="L1423" i="3"/>
  <c r="M1424" i="3"/>
  <c r="L1424" i="3"/>
  <c r="M1425" i="3"/>
  <c r="L1425" i="3"/>
  <c r="M1426" i="3"/>
  <c r="L1426" i="3"/>
  <c r="M1427" i="3"/>
  <c r="L1427" i="3"/>
  <c r="M1428" i="3"/>
  <c r="L1428" i="3"/>
  <c r="M1429" i="3"/>
  <c r="L1429" i="3"/>
  <c r="M1430" i="3"/>
  <c r="L1430" i="3"/>
  <c r="M1431" i="3"/>
  <c r="L1431" i="3"/>
  <c r="M1432" i="3"/>
  <c r="L1432" i="3"/>
  <c r="M1433" i="3"/>
  <c r="L1433" i="3"/>
  <c r="M1434" i="3"/>
  <c r="L1434" i="3"/>
  <c r="M1435" i="3"/>
  <c r="L1435" i="3"/>
  <c r="M1436" i="3"/>
  <c r="L1436" i="3"/>
  <c r="M1437" i="3"/>
  <c r="L1437" i="3"/>
  <c r="M1438" i="3"/>
  <c r="L1438" i="3"/>
  <c r="M1439" i="3"/>
  <c r="L1439" i="3"/>
  <c r="M1440" i="3"/>
  <c r="L1440" i="3"/>
  <c r="M1441" i="3"/>
  <c r="L1441" i="3"/>
  <c r="M1442" i="3"/>
  <c r="L1442" i="3"/>
  <c r="M1443" i="3"/>
  <c r="L1443" i="3"/>
  <c r="M1444" i="3"/>
  <c r="L1444" i="3"/>
  <c r="M1445" i="3"/>
  <c r="L1445" i="3"/>
  <c r="M1446" i="3"/>
  <c r="L1446" i="3"/>
  <c r="M1447" i="3"/>
  <c r="L1447" i="3"/>
  <c r="M1448" i="3"/>
  <c r="L1448" i="3"/>
  <c r="M1449" i="3"/>
  <c r="L1449" i="3"/>
  <c r="M1450" i="3"/>
  <c r="L1450" i="3"/>
  <c r="M1451" i="3"/>
  <c r="L1451" i="3"/>
  <c r="M1452" i="3"/>
  <c r="L1452" i="3"/>
  <c r="M1453" i="3"/>
  <c r="L1453" i="3"/>
  <c r="M1454" i="3"/>
  <c r="L1454" i="3"/>
  <c r="M1455" i="3"/>
  <c r="L1455" i="3"/>
  <c r="M1456" i="3"/>
  <c r="L1456" i="3"/>
  <c r="M1457" i="3"/>
  <c r="L1457" i="3"/>
  <c r="M1458" i="3"/>
  <c r="L1458" i="3"/>
  <c r="M1459" i="3"/>
  <c r="L1459" i="3"/>
  <c r="M1460" i="3"/>
  <c r="L1460" i="3"/>
  <c r="M1461" i="3"/>
  <c r="L1461" i="3"/>
  <c r="M1462" i="3"/>
  <c r="L1462" i="3"/>
  <c r="M1463" i="3"/>
  <c r="L1463" i="3"/>
  <c r="M1464" i="3"/>
  <c r="L1464" i="3"/>
  <c r="M1465" i="3"/>
  <c r="L1465" i="3"/>
  <c r="M1466" i="3"/>
  <c r="L1466" i="3"/>
  <c r="M1467" i="3"/>
  <c r="L1467" i="3"/>
  <c r="M1468" i="3"/>
  <c r="L1468" i="3"/>
  <c r="M1469" i="3"/>
  <c r="L1469" i="3"/>
  <c r="M1470" i="3"/>
  <c r="L1470" i="3"/>
  <c r="M1471" i="3"/>
  <c r="L1471" i="3"/>
  <c r="M1472" i="3"/>
  <c r="L1472" i="3"/>
  <c r="M1473" i="3"/>
  <c r="L1473" i="3"/>
  <c r="M1474" i="3"/>
  <c r="L1474" i="3"/>
  <c r="M1475" i="3"/>
  <c r="L1475" i="3"/>
  <c r="M1476" i="3"/>
  <c r="L1476" i="3"/>
  <c r="M1477" i="3"/>
  <c r="L1477" i="3"/>
  <c r="M1478" i="3"/>
  <c r="L1478" i="3"/>
  <c r="M1479" i="3"/>
  <c r="L1479" i="3"/>
  <c r="M1480" i="3"/>
  <c r="L1480" i="3"/>
  <c r="M1481" i="3"/>
  <c r="L1481" i="3"/>
  <c r="M1482" i="3"/>
  <c r="L1482" i="3"/>
  <c r="M1483" i="3"/>
  <c r="L1483" i="3"/>
  <c r="M1484" i="3"/>
  <c r="L1484" i="3"/>
  <c r="M1485" i="3"/>
  <c r="L1485" i="3"/>
  <c r="M1486" i="3"/>
  <c r="L1486" i="3"/>
  <c r="M1487" i="3"/>
  <c r="L1487" i="3"/>
  <c r="M1488" i="3"/>
  <c r="L1488" i="3"/>
  <c r="M1489" i="3"/>
  <c r="L1489" i="3"/>
  <c r="M1490" i="3"/>
  <c r="L1490" i="3"/>
  <c r="M1491" i="3"/>
  <c r="L1491" i="3"/>
  <c r="M1492" i="3"/>
  <c r="L1492" i="3"/>
  <c r="M1493" i="3"/>
  <c r="L1493" i="3"/>
  <c r="M1494" i="3"/>
  <c r="L1494" i="3"/>
  <c r="M1495" i="3"/>
  <c r="L1495" i="3"/>
  <c r="M1496" i="3"/>
  <c r="L1496" i="3"/>
  <c r="M1497" i="3"/>
  <c r="L1497" i="3"/>
  <c r="M1498" i="3"/>
  <c r="L1498" i="3"/>
  <c r="M1499" i="3"/>
  <c r="L1499" i="3"/>
  <c r="M1500" i="3"/>
  <c r="L1500" i="3"/>
  <c r="M1501" i="3"/>
  <c r="L1501" i="3"/>
  <c r="M1502" i="3"/>
  <c r="L1502" i="3"/>
  <c r="M1503" i="3"/>
  <c r="L1503" i="3"/>
  <c r="M1504" i="3"/>
  <c r="L1504" i="3"/>
  <c r="M1505" i="3"/>
  <c r="L1505" i="3"/>
  <c r="M1506" i="3"/>
  <c r="L1506" i="3"/>
  <c r="M1507" i="3"/>
  <c r="L1507" i="3"/>
  <c r="M1508" i="3"/>
  <c r="L1508" i="3"/>
  <c r="M1509" i="3"/>
  <c r="L1509" i="3"/>
  <c r="M1510" i="3"/>
  <c r="L1510" i="3"/>
  <c r="M1511" i="3"/>
  <c r="L1511" i="3"/>
  <c r="M1512" i="3"/>
  <c r="L1512" i="3"/>
  <c r="M1513" i="3"/>
  <c r="L1513" i="3"/>
  <c r="M1514" i="3"/>
  <c r="L1514" i="3"/>
  <c r="M1515" i="3"/>
  <c r="L1515" i="3"/>
  <c r="M1516" i="3"/>
  <c r="L1516" i="3"/>
  <c r="M1517" i="3"/>
  <c r="L1517" i="3"/>
  <c r="M1518" i="3"/>
  <c r="L1518" i="3"/>
  <c r="M1519" i="3"/>
  <c r="L1519" i="3"/>
  <c r="M1520" i="3"/>
  <c r="L1520" i="3"/>
  <c r="M1521" i="3"/>
  <c r="L1521" i="3"/>
  <c r="M1522" i="3"/>
  <c r="L1522" i="3"/>
  <c r="M1523" i="3"/>
  <c r="L1523" i="3"/>
  <c r="M1524" i="3"/>
  <c r="L1524" i="3"/>
  <c r="M1525" i="3"/>
  <c r="L1525" i="3"/>
  <c r="M1526" i="3"/>
  <c r="L1526" i="3"/>
  <c r="M1527" i="3"/>
  <c r="L1527" i="3"/>
  <c r="M1528" i="3"/>
  <c r="L1528" i="3"/>
  <c r="M1529" i="3"/>
  <c r="L1529" i="3"/>
  <c r="M1530" i="3"/>
  <c r="L1530" i="3"/>
  <c r="M1531" i="3"/>
  <c r="L1531" i="3"/>
  <c r="M1532" i="3"/>
  <c r="L1532" i="3"/>
  <c r="M1533" i="3"/>
  <c r="L1533" i="3"/>
  <c r="M1534" i="3"/>
  <c r="L1534" i="3"/>
  <c r="M1535" i="3"/>
  <c r="L1535" i="3"/>
  <c r="M1536" i="3"/>
  <c r="L1536" i="3"/>
  <c r="M1537" i="3"/>
  <c r="L1537" i="3"/>
  <c r="M1538" i="3"/>
  <c r="L1538" i="3"/>
  <c r="M1539" i="3"/>
  <c r="L1539" i="3"/>
  <c r="M1540" i="3"/>
  <c r="L1540" i="3"/>
  <c r="M1541" i="3"/>
  <c r="L1541" i="3"/>
  <c r="M1542" i="3"/>
  <c r="L1542" i="3"/>
  <c r="M1543" i="3"/>
  <c r="L1543" i="3"/>
  <c r="M1544" i="3"/>
  <c r="L1544" i="3"/>
  <c r="M1545" i="3"/>
  <c r="L1545" i="3"/>
  <c r="M1546" i="3"/>
  <c r="L1546" i="3"/>
  <c r="M1547" i="3"/>
  <c r="L1547" i="3"/>
  <c r="M1548" i="3"/>
  <c r="L1548" i="3"/>
  <c r="M1549" i="3"/>
  <c r="L1549" i="3"/>
  <c r="M1550" i="3"/>
  <c r="L1550" i="3"/>
  <c r="M1551" i="3"/>
  <c r="L1551" i="3"/>
  <c r="M1552" i="3"/>
  <c r="L1552" i="3"/>
  <c r="M1553" i="3"/>
  <c r="L1553" i="3"/>
  <c r="M1554" i="3"/>
  <c r="L1554" i="3"/>
  <c r="M1555" i="3"/>
  <c r="L1555" i="3"/>
  <c r="M1556" i="3"/>
  <c r="L1556" i="3"/>
  <c r="M1557" i="3"/>
  <c r="L1557" i="3"/>
  <c r="M1558" i="3"/>
  <c r="L1558" i="3"/>
  <c r="M1559" i="3"/>
  <c r="L1559" i="3"/>
  <c r="M1560" i="3"/>
  <c r="L1560" i="3"/>
  <c r="M1561" i="3"/>
  <c r="L1561" i="3"/>
  <c r="M1562" i="3"/>
  <c r="L1562" i="3"/>
  <c r="M1563" i="3"/>
  <c r="L1563" i="3"/>
  <c r="M1564" i="3"/>
  <c r="L1564" i="3"/>
  <c r="M1565" i="3"/>
  <c r="L1565" i="3"/>
  <c r="M1566" i="3"/>
  <c r="L1566" i="3"/>
  <c r="M1567" i="3"/>
  <c r="L1567" i="3"/>
  <c r="M1568" i="3"/>
  <c r="L1568" i="3"/>
  <c r="M1569" i="3"/>
  <c r="L1569" i="3"/>
  <c r="M1570" i="3"/>
  <c r="L1570" i="3"/>
  <c r="M1571" i="3"/>
  <c r="L1571" i="3"/>
  <c r="M1572" i="3"/>
  <c r="L1572" i="3"/>
  <c r="M1573" i="3"/>
  <c r="L1573" i="3"/>
  <c r="M1574" i="3"/>
  <c r="L1574" i="3"/>
  <c r="M1575" i="3"/>
  <c r="L1575" i="3"/>
  <c r="M1576" i="3"/>
  <c r="L1576" i="3"/>
  <c r="M1577" i="3"/>
  <c r="L1577" i="3"/>
  <c r="M1578" i="3"/>
  <c r="L1578" i="3"/>
  <c r="M1579" i="3"/>
  <c r="L1579" i="3"/>
  <c r="M1580" i="3"/>
  <c r="L1580" i="3"/>
  <c r="M1581" i="3"/>
  <c r="L1581" i="3"/>
  <c r="M1582" i="3"/>
  <c r="L1582" i="3"/>
  <c r="M1583" i="3"/>
  <c r="L1583" i="3"/>
  <c r="M1584" i="3"/>
  <c r="L1584" i="3"/>
  <c r="M1585" i="3"/>
  <c r="L1585" i="3"/>
  <c r="M1586" i="3"/>
  <c r="L1586" i="3"/>
  <c r="M1587" i="3"/>
  <c r="L1587" i="3"/>
  <c r="M1588" i="3"/>
  <c r="L1588" i="3"/>
  <c r="M1589" i="3"/>
  <c r="L1589" i="3"/>
  <c r="M1590" i="3"/>
  <c r="L1590" i="3"/>
  <c r="M1591" i="3"/>
  <c r="L1591" i="3"/>
  <c r="M1592" i="3"/>
  <c r="L1592" i="3"/>
  <c r="M1593" i="3"/>
  <c r="L1593" i="3"/>
  <c r="M1594" i="3"/>
  <c r="L1594" i="3"/>
  <c r="M1595" i="3"/>
  <c r="L1595" i="3"/>
  <c r="M1596" i="3"/>
  <c r="L1596" i="3"/>
  <c r="M1597" i="3"/>
  <c r="L1597" i="3"/>
  <c r="M1598" i="3"/>
  <c r="L1598" i="3"/>
  <c r="M1599" i="3"/>
  <c r="L1599" i="3"/>
  <c r="M1600" i="3"/>
  <c r="L1600" i="3"/>
  <c r="M1601" i="3"/>
  <c r="L1601" i="3"/>
  <c r="M1602" i="3"/>
  <c r="L1602" i="3"/>
  <c r="M1603" i="3"/>
  <c r="L1603" i="3"/>
  <c r="M1604" i="3"/>
  <c r="L1604" i="3"/>
  <c r="M1605" i="3"/>
  <c r="L1605" i="3"/>
  <c r="M1606" i="3"/>
  <c r="L1606" i="3"/>
  <c r="M1607" i="3"/>
  <c r="L1607" i="3"/>
  <c r="M1608" i="3"/>
  <c r="L1608" i="3"/>
  <c r="M1609" i="3"/>
  <c r="L1609" i="3"/>
  <c r="M1610" i="3"/>
  <c r="L1610" i="3"/>
  <c r="M1611" i="3"/>
  <c r="L1611" i="3"/>
  <c r="M1612" i="3"/>
  <c r="L1612" i="3"/>
  <c r="M1613" i="3"/>
  <c r="L1613" i="3"/>
  <c r="M1614" i="3"/>
  <c r="L1614" i="3"/>
  <c r="M1615" i="3"/>
  <c r="L1615" i="3"/>
  <c r="M1616" i="3"/>
  <c r="L1616" i="3"/>
  <c r="M1617" i="3"/>
  <c r="L1617" i="3"/>
  <c r="M1618" i="3"/>
  <c r="L1618" i="3"/>
  <c r="M1619" i="3"/>
  <c r="L1619" i="3"/>
  <c r="M1620" i="3"/>
  <c r="L1620" i="3"/>
  <c r="M1621" i="3"/>
  <c r="L1621" i="3"/>
  <c r="M1622" i="3"/>
  <c r="L1622" i="3"/>
  <c r="M1623" i="3"/>
  <c r="L1623" i="3"/>
  <c r="M1624" i="3"/>
  <c r="L1624" i="3"/>
  <c r="M1625" i="3"/>
  <c r="L1625" i="3"/>
  <c r="M1626" i="3"/>
  <c r="L1626" i="3"/>
  <c r="M1627" i="3"/>
  <c r="L1627" i="3"/>
  <c r="M1628" i="3"/>
  <c r="L1628" i="3"/>
  <c r="M1629" i="3"/>
  <c r="L1629" i="3"/>
  <c r="M1630" i="3"/>
  <c r="L1630" i="3"/>
  <c r="M1631" i="3"/>
  <c r="L1631" i="3"/>
  <c r="M1632" i="3"/>
  <c r="L1632" i="3"/>
  <c r="M1633" i="3"/>
  <c r="L1633" i="3"/>
  <c r="M1634" i="3"/>
  <c r="L1634" i="3"/>
  <c r="M1635" i="3"/>
  <c r="L1635" i="3"/>
  <c r="M1636" i="3"/>
  <c r="L1636" i="3"/>
  <c r="M1637" i="3"/>
  <c r="L1637" i="3"/>
  <c r="M1638" i="3"/>
  <c r="L1638" i="3"/>
  <c r="M1639" i="3"/>
  <c r="L1639" i="3"/>
  <c r="M1640" i="3"/>
  <c r="L1640" i="3"/>
  <c r="M1641" i="3"/>
  <c r="L1641" i="3"/>
  <c r="M1642" i="3"/>
  <c r="L1642" i="3"/>
  <c r="M1643" i="3"/>
  <c r="L1643" i="3"/>
  <c r="M1644" i="3"/>
  <c r="L1644" i="3"/>
  <c r="M1645" i="3"/>
  <c r="L1645" i="3"/>
  <c r="M1646" i="3"/>
  <c r="L1646" i="3"/>
  <c r="M1647" i="3"/>
  <c r="L1647" i="3"/>
  <c r="M1648" i="3"/>
  <c r="L1648" i="3"/>
  <c r="M1649" i="3"/>
  <c r="L1649" i="3"/>
  <c r="M1650" i="3"/>
  <c r="L1650" i="3"/>
  <c r="M1651" i="3"/>
  <c r="L1651" i="3"/>
  <c r="M1652" i="3"/>
  <c r="L1652" i="3"/>
  <c r="M1653" i="3"/>
  <c r="L1653" i="3"/>
  <c r="M1654" i="3"/>
  <c r="L1654" i="3"/>
  <c r="M1655" i="3"/>
  <c r="L1655" i="3"/>
  <c r="M1656" i="3"/>
  <c r="L1656" i="3"/>
  <c r="M1657" i="3"/>
  <c r="L1657" i="3"/>
  <c r="M1658" i="3"/>
  <c r="L1658" i="3"/>
  <c r="M1659" i="3"/>
  <c r="L1659" i="3"/>
  <c r="M1660" i="3"/>
  <c r="L1660" i="3"/>
  <c r="M1661" i="3"/>
  <c r="L1661" i="3"/>
  <c r="M1662" i="3"/>
  <c r="L1662" i="3"/>
  <c r="M1663" i="3"/>
  <c r="L1663" i="3"/>
  <c r="M1664" i="3"/>
  <c r="L1664" i="3"/>
  <c r="M1665" i="3"/>
  <c r="L1665" i="3"/>
  <c r="M1666" i="3"/>
  <c r="L1666" i="3"/>
  <c r="M1667" i="3"/>
  <c r="L1667" i="3"/>
  <c r="M1668" i="3"/>
  <c r="L1668" i="3"/>
  <c r="M1669" i="3"/>
  <c r="L1669" i="3"/>
  <c r="M1670" i="3"/>
  <c r="L1670" i="3"/>
  <c r="M1671" i="3"/>
  <c r="L1671" i="3"/>
  <c r="M1672" i="3"/>
  <c r="L1672" i="3"/>
  <c r="M1673" i="3"/>
  <c r="L1673" i="3"/>
  <c r="M1674" i="3"/>
  <c r="L1674" i="3"/>
  <c r="M1675" i="3"/>
  <c r="L1675" i="3"/>
  <c r="M1676" i="3"/>
  <c r="L1676" i="3"/>
  <c r="M1677" i="3"/>
  <c r="L1677" i="3"/>
  <c r="M1678" i="3"/>
  <c r="L1678" i="3"/>
  <c r="M1679" i="3"/>
  <c r="L1679" i="3"/>
  <c r="M1680" i="3"/>
  <c r="L1680" i="3"/>
  <c r="M1681" i="3"/>
  <c r="L1681" i="3"/>
  <c r="M1682" i="3"/>
  <c r="L1682" i="3"/>
  <c r="M1683" i="3"/>
  <c r="L1683" i="3"/>
  <c r="M1684" i="3"/>
  <c r="L1684" i="3"/>
  <c r="M1685" i="3"/>
  <c r="L1685" i="3"/>
  <c r="M1686" i="3"/>
  <c r="L1686" i="3"/>
  <c r="M1687" i="3"/>
  <c r="L1687" i="3"/>
  <c r="M1688" i="3"/>
  <c r="L1688" i="3"/>
  <c r="M1689" i="3"/>
  <c r="L1689" i="3"/>
  <c r="M1690" i="3"/>
  <c r="L1690" i="3"/>
  <c r="M1691" i="3"/>
  <c r="L1691" i="3"/>
  <c r="M1692" i="3"/>
  <c r="L1692" i="3"/>
  <c r="M1693" i="3"/>
  <c r="L1693" i="3"/>
  <c r="M1694" i="3"/>
  <c r="L1694" i="3"/>
  <c r="M1695" i="3"/>
  <c r="L1695" i="3"/>
  <c r="M1696" i="3"/>
  <c r="L1696" i="3"/>
  <c r="M1697" i="3"/>
  <c r="L1697" i="3"/>
  <c r="M1698" i="3"/>
  <c r="L1698" i="3"/>
  <c r="M1699" i="3"/>
  <c r="L1699" i="3"/>
  <c r="M1700" i="3"/>
  <c r="L1700" i="3"/>
  <c r="M1701" i="3"/>
  <c r="L1701" i="3"/>
  <c r="M1702" i="3"/>
  <c r="L1702" i="3"/>
  <c r="M1703" i="3"/>
  <c r="L1703" i="3"/>
  <c r="M1704" i="3"/>
  <c r="L1704" i="3"/>
  <c r="M1705" i="3"/>
  <c r="L1705" i="3"/>
  <c r="M1706" i="3"/>
  <c r="L1706" i="3"/>
  <c r="M1707" i="3"/>
  <c r="L1707" i="3"/>
  <c r="M1708" i="3"/>
  <c r="L1708" i="3"/>
  <c r="M1709" i="3"/>
  <c r="L1709" i="3"/>
  <c r="M1710" i="3"/>
  <c r="L1710" i="3"/>
  <c r="M1711" i="3"/>
  <c r="L1711" i="3"/>
  <c r="M1712" i="3"/>
  <c r="L1712" i="3"/>
  <c r="M1713" i="3"/>
  <c r="L1713" i="3"/>
  <c r="M1714" i="3"/>
  <c r="L1714" i="3"/>
  <c r="M1715" i="3"/>
  <c r="L1715" i="3"/>
  <c r="M1716" i="3"/>
  <c r="L1716" i="3"/>
  <c r="M1717" i="3"/>
  <c r="L1717" i="3"/>
  <c r="M1718" i="3"/>
  <c r="L1718" i="3"/>
  <c r="M1719" i="3"/>
  <c r="L1719" i="3"/>
  <c r="M1720" i="3"/>
  <c r="L1720" i="3"/>
  <c r="M1721" i="3"/>
  <c r="L1721" i="3"/>
  <c r="M1722" i="3"/>
  <c r="L1722" i="3"/>
  <c r="M1723" i="3"/>
  <c r="L1723" i="3"/>
  <c r="M1724" i="3"/>
  <c r="L1724" i="3"/>
  <c r="M1725" i="3"/>
  <c r="L1725" i="3"/>
  <c r="M1726" i="3"/>
  <c r="L1726" i="3"/>
  <c r="M1727" i="3"/>
  <c r="L1727" i="3"/>
  <c r="M1728" i="3"/>
  <c r="L1728" i="3"/>
  <c r="M1729" i="3"/>
  <c r="L1729" i="3"/>
  <c r="M1730" i="3"/>
  <c r="L1730" i="3"/>
  <c r="M1731" i="3"/>
  <c r="L1731" i="3"/>
  <c r="M1732" i="3"/>
  <c r="L1732" i="3"/>
  <c r="M1733" i="3"/>
  <c r="L1733" i="3"/>
  <c r="M1734" i="3"/>
  <c r="L1734" i="3"/>
  <c r="M1735" i="3"/>
  <c r="L1735" i="3"/>
  <c r="M1736" i="3"/>
  <c r="L1736" i="3"/>
  <c r="M1737" i="3"/>
  <c r="L1737" i="3"/>
  <c r="M1738" i="3"/>
  <c r="L1738" i="3"/>
  <c r="M1739" i="3"/>
  <c r="L1739" i="3"/>
  <c r="M1740" i="3"/>
  <c r="L1740" i="3"/>
  <c r="M1741" i="3"/>
  <c r="L1741" i="3"/>
  <c r="M1742" i="3"/>
  <c r="L1742" i="3"/>
  <c r="M1743" i="3"/>
  <c r="L1743" i="3"/>
  <c r="M1744" i="3"/>
  <c r="L1744" i="3"/>
  <c r="M1745" i="3"/>
  <c r="L1745" i="3"/>
  <c r="M1746" i="3"/>
  <c r="L1746" i="3"/>
  <c r="M1747" i="3"/>
  <c r="L1747" i="3"/>
  <c r="M1748" i="3"/>
  <c r="L1748" i="3"/>
  <c r="M1749" i="3"/>
  <c r="L1749" i="3"/>
  <c r="M1750" i="3"/>
  <c r="L1750" i="3"/>
  <c r="M1751" i="3"/>
  <c r="L1751" i="3"/>
  <c r="M1752" i="3"/>
  <c r="L1752" i="3"/>
  <c r="M1753" i="3"/>
  <c r="L1753" i="3"/>
  <c r="M1754" i="3"/>
  <c r="L1754" i="3"/>
  <c r="M1755" i="3"/>
  <c r="L1755" i="3"/>
  <c r="M1756" i="3"/>
  <c r="L1756" i="3"/>
  <c r="M1757" i="3"/>
  <c r="L1757" i="3"/>
  <c r="M1758" i="3"/>
  <c r="L1758" i="3"/>
  <c r="M1759" i="3"/>
  <c r="L1759" i="3"/>
  <c r="M1760" i="3"/>
  <c r="L1760" i="3"/>
  <c r="M1761" i="3"/>
  <c r="L1761" i="3"/>
  <c r="M1762" i="3"/>
  <c r="L1762" i="3"/>
  <c r="M1763" i="3"/>
  <c r="L1763" i="3"/>
  <c r="M1764" i="3"/>
  <c r="L1764" i="3"/>
  <c r="M1765" i="3"/>
  <c r="L1765" i="3"/>
  <c r="M1766" i="3"/>
  <c r="L1766" i="3"/>
  <c r="M1767" i="3"/>
  <c r="L1767" i="3"/>
  <c r="M1768" i="3"/>
  <c r="L1768" i="3"/>
  <c r="M1769" i="3"/>
  <c r="L1769" i="3"/>
  <c r="M1770" i="3"/>
  <c r="L1770" i="3"/>
  <c r="M1771" i="3"/>
  <c r="L1771" i="3"/>
  <c r="M1772" i="3"/>
  <c r="L1772" i="3"/>
  <c r="M1773" i="3"/>
  <c r="L1773" i="3"/>
  <c r="M1774" i="3"/>
  <c r="L1774" i="3"/>
  <c r="M1775" i="3"/>
  <c r="L1775" i="3"/>
  <c r="M1776" i="3"/>
  <c r="L1776" i="3"/>
  <c r="M1777" i="3"/>
  <c r="L1777" i="3"/>
  <c r="M1778" i="3"/>
  <c r="L1778" i="3"/>
  <c r="M1779" i="3"/>
  <c r="L1779" i="3"/>
  <c r="M1780" i="3"/>
  <c r="L1780" i="3"/>
  <c r="M1781" i="3"/>
  <c r="L1781" i="3"/>
  <c r="M1782" i="3"/>
  <c r="L1782" i="3"/>
  <c r="M1783" i="3"/>
  <c r="L1783" i="3"/>
  <c r="M1784" i="3"/>
  <c r="L1784" i="3"/>
  <c r="M1785" i="3"/>
  <c r="L1785" i="3"/>
  <c r="M1786" i="3"/>
  <c r="L1786" i="3"/>
  <c r="M1787" i="3"/>
  <c r="L1787" i="3"/>
  <c r="M1788" i="3"/>
  <c r="L1788" i="3"/>
  <c r="M1789" i="3"/>
  <c r="L1789" i="3"/>
  <c r="M1790" i="3"/>
  <c r="L1790" i="3"/>
  <c r="M1791" i="3"/>
  <c r="L1791" i="3"/>
  <c r="M1792" i="3"/>
  <c r="L1792" i="3"/>
  <c r="M1793" i="3"/>
  <c r="L1793" i="3"/>
  <c r="M1794" i="3"/>
  <c r="L1794" i="3"/>
  <c r="M1795" i="3"/>
  <c r="L1795" i="3"/>
  <c r="M1796" i="3"/>
  <c r="L1796" i="3"/>
  <c r="M1797" i="3"/>
  <c r="L1797" i="3"/>
  <c r="M1798" i="3"/>
  <c r="L1798" i="3"/>
  <c r="M1799" i="3"/>
  <c r="L1799" i="3"/>
  <c r="M1800" i="3"/>
  <c r="L1800" i="3"/>
  <c r="M1801" i="3"/>
  <c r="L1801" i="3"/>
  <c r="M1802" i="3"/>
  <c r="L1802" i="3"/>
  <c r="M1803" i="3"/>
  <c r="L1803" i="3"/>
  <c r="M1804" i="3"/>
  <c r="L1804" i="3"/>
  <c r="M1805" i="3"/>
  <c r="L1805" i="3"/>
  <c r="M1806" i="3"/>
  <c r="L1806" i="3"/>
  <c r="M1807" i="3"/>
  <c r="L1807" i="3"/>
  <c r="M1808" i="3"/>
  <c r="L1808" i="3"/>
  <c r="M1809" i="3"/>
  <c r="L1809" i="3"/>
  <c r="M1810" i="3"/>
  <c r="L1810" i="3"/>
  <c r="M1811" i="3"/>
  <c r="L1811" i="3"/>
  <c r="M1812" i="3"/>
  <c r="L1812" i="3"/>
  <c r="M1813" i="3"/>
  <c r="L1813" i="3"/>
  <c r="M1814" i="3"/>
  <c r="L1814" i="3"/>
  <c r="M1815" i="3"/>
  <c r="L1815" i="3"/>
  <c r="M1816" i="3"/>
  <c r="L1816" i="3"/>
  <c r="M1817" i="3"/>
  <c r="L1817" i="3"/>
  <c r="M1818" i="3"/>
  <c r="L1818" i="3"/>
  <c r="M1819" i="3"/>
  <c r="L1819" i="3"/>
  <c r="M1820" i="3"/>
  <c r="L1820" i="3"/>
  <c r="M1821" i="3"/>
  <c r="L1821" i="3"/>
  <c r="M1822" i="3"/>
  <c r="L1822" i="3"/>
  <c r="M1823" i="3"/>
  <c r="L1823" i="3"/>
  <c r="M1824" i="3"/>
  <c r="L1824" i="3"/>
  <c r="M1825" i="3"/>
  <c r="L1825" i="3"/>
  <c r="M1826" i="3"/>
  <c r="L1826" i="3"/>
  <c r="M1827" i="3"/>
  <c r="L1827" i="3"/>
  <c r="M1828" i="3"/>
  <c r="L1828" i="3"/>
  <c r="M1829" i="3"/>
  <c r="L1829" i="3"/>
  <c r="M1830" i="3"/>
  <c r="L1830" i="3"/>
  <c r="M1831" i="3"/>
  <c r="L1831" i="3"/>
  <c r="M1832" i="3"/>
  <c r="L1832" i="3"/>
  <c r="M1833" i="3"/>
  <c r="L1833" i="3"/>
  <c r="M1834" i="3"/>
  <c r="L1834" i="3"/>
  <c r="M1835" i="3"/>
  <c r="L1835" i="3"/>
  <c r="M1836" i="3"/>
  <c r="L1836" i="3"/>
  <c r="M1837" i="3"/>
  <c r="L1837" i="3"/>
  <c r="M1838" i="3"/>
  <c r="L1838" i="3"/>
  <c r="M1839" i="3"/>
  <c r="L1839" i="3"/>
  <c r="M1840" i="3"/>
  <c r="L1840" i="3"/>
  <c r="M1841" i="3"/>
  <c r="L1841" i="3"/>
  <c r="M1842" i="3"/>
  <c r="L1842" i="3"/>
  <c r="M1843" i="3"/>
  <c r="L1843" i="3"/>
  <c r="M1844" i="3"/>
  <c r="L1844" i="3"/>
  <c r="M1845" i="3"/>
  <c r="L1845" i="3"/>
  <c r="M1846" i="3"/>
  <c r="L1846" i="3"/>
  <c r="M1847" i="3"/>
  <c r="L1847" i="3"/>
  <c r="M1848" i="3"/>
  <c r="L1848" i="3"/>
  <c r="M1849" i="3"/>
  <c r="L1849" i="3"/>
  <c r="M1850" i="3"/>
  <c r="L1850" i="3"/>
  <c r="M1851" i="3"/>
  <c r="L1851" i="3"/>
  <c r="M1852" i="3"/>
  <c r="L1852" i="3"/>
  <c r="M1853" i="3"/>
  <c r="L1853" i="3"/>
  <c r="M1854" i="3"/>
  <c r="L1854" i="3"/>
  <c r="M1855" i="3"/>
  <c r="L1855" i="3"/>
  <c r="M1856" i="3"/>
  <c r="L1856" i="3"/>
  <c r="M1857" i="3"/>
  <c r="L1857" i="3"/>
  <c r="M1858" i="3"/>
  <c r="L1858" i="3"/>
  <c r="M1859" i="3"/>
  <c r="L1859" i="3"/>
  <c r="M1860" i="3"/>
  <c r="L1860" i="3"/>
  <c r="M1861" i="3"/>
  <c r="L1861" i="3"/>
  <c r="M1862" i="3"/>
  <c r="L1862" i="3"/>
  <c r="M1863" i="3"/>
  <c r="L1863" i="3"/>
  <c r="M1864" i="3"/>
  <c r="L1864" i="3"/>
  <c r="M1865" i="3"/>
  <c r="L1865" i="3"/>
  <c r="M1866" i="3"/>
  <c r="L1866" i="3"/>
  <c r="M1867" i="3"/>
  <c r="L1867" i="3"/>
  <c r="M1868" i="3"/>
  <c r="L1868" i="3"/>
  <c r="M1869" i="3"/>
  <c r="L1869" i="3"/>
  <c r="M1870" i="3"/>
  <c r="L1870" i="3"/>
  <c r="M1871" i="3"/>
  <c r="L1871" i="3"/>
  <c r="M1872" i="3"/>
  <c r="L1872" i="3"/>
  <c r="M1873" i="3"/>
  <c r="L1873" i="3"/>
  <c r="M1874" i="3"/>
  <c r="L1874" i="3"/>
  <c r="M1875" i="3"/>
  <c r="L1875" i="3"/>
  <c r="M1876" i="3"/>
  <c r="L1876" i="3"/>
  <c r="M1877" i="3"/>
  <c r="L1877" i="3"/>
  <c r="M1878" i="3"/>
  <c r="L1878" i="3"/>
  <c r="M1879" i="3"/>
  <c r="L1879" i="3"/>
  <c r="M1880" i="3"/>
  <c r="L1880" i="3"/>
  <c r="M1881" i="3"/>
  <c r="L1881" i="3"/>
  <c r="M1882" i="3"/>
  <c r="L1882" i="3"/>
  <c r="M1883" i="3"/>
  <c r="L1883" i="3"/>
  <c r="M1884" i="3"/>
  <c r="L1884" i="3"/>
  <c r="M1885" i="3"/>
  <c r="L1885" i="3"/>
  <c r="M1886" i="3"/>
  <c r="L1886" i="3"/>
  <c r="M1887" i="3"/>
  <c r="L1887" i="3"/>
  <c r="M1888" i="3"/>
  <c r="L1888" i="3"/>
  <c r="M1889" i="3"/>
  <c r="L1889" i="3"/>
  <c r="M1890" i="3"/>
  <c r="L1890" i="3"/>
  <c r="M1891" i="3"/>
  <c r="L1891" i="3"/>
  <c r="M1892" i="3"/>
  <c r="L1892" i="3"/>
  <c r="M1893" i="3"/>
  <c r="L1893" i="3"/>
  <c r="M1894" i="3"/>
  <c r="L1894" i="3"/>
  <c r="M1895" i="3"/>
  <c r="L1895" i="3"/>
  <c r="M1896" i="3"/>
  <c r="L1896" i="3"/>
  <c r="M1897" i="3"/>
  <c r="L1897" i="3"/>
  <c r="M1898" i="3"/>
  <c r="L1898" i="3"/>
  <c r="M1899" i="3"/>
  <c r="L1899" i="3"/>
  <c r="M1900" i="3"/>
  <c r="L1900" i="3"/>
  <c r="M1901" i="3"/>
  <c r="L1901" i="3"/>
  <c r="M1902" i="3"/>
  <c r="L1902" i="3"/>
  <c r="M1903" i="3"/>
  <c r="L1903" i="3"/>
  <c r="M1904" i="3"/>
  <c r="L1904" i="3"/>
  <c r="M1905" i="3"/>
  <c r="L1905" i="3"/>
  <c r="M1906" i="3"/>
  <c r="L1906" i="3"/>
  <c r="M1907" i="3"/>
  <c r="L1907" i="3"/>
  <c r="M1908" i="3"/>
  <c r="L1908" i="3"/>
  <c r="M1909" i="3"/>
  <c r="L1909" i="3"/>
  <c r="M1910" i="3"/>
  <c r="L1910" i="3"/>
  <c r="M1911" i="3"/>
  <c r="L1911" i="3"/>
  <c r="M1912" i="3"/>
  <c r="L1912" i="3"/>
  <c r="M1913" i="3"/>
  <c r="L1913" i="3"/>
  <c r="M1914" i="3"/>
  <c r="L1914" i="3"/>
  <c r="M1915" i="3"/>
  <c r="L1915" i="3"/>
  <c r="M1916" i="3"/>
  <c r="L1916" i="3"/>
  <c r="M1917" i="3"/>
  <c r="L1917" i="3"/>
  <c r="M1918" i="3"/>
  <c r="L1918" i="3"/>
  <c r="M1919" i="3"/>
  <c r="L1919" i="3"/>
  <c r="M1920" i="3"/>
  <c r="L1920" i="3"/>
  <c r="M1921" i="3"/>
  <c r="L1921" i="3"/>
  <c r="M1922" i="3"/>
  <c r="L1922" i="3"/>
  <c r="M1923" i="3"/>
  <c r="L1923" i="3"/>
  <c r="M1924" i="3"/>
  <c r="L1924" i="3"/>
  <c r="M1925" i="3"/>
  <c r="L1925" i="3"/>
  <c r="M1926" i="3"/>
  <c r="L1926" i="3"/>
  <c r="M1927" i="3"/>
  <c r="L1927" i="3"/>
  <c r="M1928" i="3"/>
  <c r="L1928" i="3"/>
  <c r="M1929" i="3"/>
  <c r="L1929" i="3"/>
  <c r="M1930" i="3"/>
  <c r="L1930" i="3"/>
  <c r="M1931" i="3"/>
  <c r="L1931" i="3"/>
  <c r="M1932" i="3"/>
  <c r="L1932" i="3"/>
  <c r="M1933" i="3"/>
  <c r="L1933" i="3"/>
  <c r="M1934" i="3"/>
  <c r="L1934" i="3"/>
  <c r="M1935" i="3"/>
  <c r="L1935" i="3"/>
  <c r="M1936" i="3"/>
  <c r="L1936" i="3"/>
  <c r="M1937" i="3"/>
  <c r="L1937" i="3"/>
  <c r="M1938" i="3"/>
  <c r="L1938" i="3"/>
  <c r="M1939" i="3"/>
  <c r="L1939" i="3"/>
  <c r="M1940" i="3"/>
  <c r="L1940" i="3"/>
  <c r="M1941" i="3"/>
  <c r="L1941" i="3"/>
  <c r="M1942" i="3"/>
  <c r="L1942" i="3"/>
  <c r="M1943" i="3"/>
  <c r="L1943" i="3"/>
  <c r="M1944" i="3"/>
  <c r="L1944" i="3"/>
  <c r="M1945" i="3"/>
  <c r="L1945" i="3"/>
  <c r="M1946" i="3"/>
  <c r="L1946" i="3"/>
  <c r="M1947" i="3"/>
  <c r="L1947" i="3"/>
  <c r="M1948" i="3"/>
  <c r="L1948" i="3"/>
  <c r="M1949" i="3"/>
  <c r="L1949" i="3"/>
  <c r="M1950" i="3"/>
  <c r="L1950" i="3"/>
  <c r="M1951" i="3"/>
  <c r="L1951" i="3"/>
  <c r="M1952" i="3"/>
  <c r="L1952" i="3"/>
  <c r="M1953" i="3"/>
  <c r="L1953" i="3"/>
  <c r="M1954" i="3"/>
  <c r="L1954" i="3"/>
  <c r="M1955" i="3"/>
  <c r="L1955" i="3"/>
  <c r="M1956" i="3"/>
  <c r="L1956" i="3"/>
  <c r="M1957" i="3"/>
  <c r="L1957" i="3"/>
  <c r="M1958" i="3"/>
  <c r="L1958" i="3"/>
  <c r="M1959" i="3"/>
  <c r="L1959" i="3"/>
  <c r="M1960" i="3"/>
  <c r="L1960" i="3"/>
  <c r="M1961" i="3"/>
  <c r="L1961" i="3"/>
  <c r="M1962" i="3"/>
  <c r="L1962" i="3"/>
  <c r="M1963" i="3"/>
  <c r="L1963" i="3"/>
  <c r="M1964" i="3"/>
  <c r="L1964" i="3"/>
  <c r="M1965" i="3"/>
  <c r="L1965" i="3"/>
  <c r="M1966" i="3"/>
  <c r="L1966" i="3"/>
  <c r="M1967" i="3"/>
  <c r="L1967" i="3"/>
  <c r="M1968" i="3"/>
  <c r="L1968" i="3"/>
  <c r="M1969" i="3"/>
  <c r="L1969" i="3"/>
  <c r="M1970" i="3"/>
  <c r="L1970" i="3"/>
  <c r="M1971" i="3"/>
  <c r="L1971" i="3"/>
  <c r="M1972" i="3"/>
  <c r="L1972" i="3"/>
  <c r="M1973" i="3"/>
  <c r="L1973" i="3"/>
  <c r="M1974" i="3"/>
  <c r="L1974" i="3"/>
  <c r="M1975" i="3"/>
  <c r="L1975" i="3"/>
  <c r="M1976" i="3"/>
  <c r="L1976" i="3"/>
  <c r="M1977" i="3"/>
  <c r="L1977" i="3"/>
  <c r="M1978" i="3"/>
  <c r="L1978" i="3"/>
  <c r="M1979" i="3"/>
  <c r="L1979" i="3"/>
  <c r="M1980" i="3"/>
  <c r="L1980" i="3"/>
  <c r="M1981" i="3"/>
  <c r="L1981" i="3"/>
  <c r="M1982" i="3"/>
  <c r="L1982" i="3"/>
  <c r="M1983" i="3"/>
  <c r="L1983" i="3"/>
  <c r="M1984" i="3"/>
  <c r="L1984" i="3"/>
  <c r="M1985" i="3"/>
  <c r="L1985" i="3"/>
  <c r="M1986" i="3"/>
  <c r="L1986" i="3"/>
  <c r="M1987" i="3"/>
  <c r="L1987" i="3"/>
  <c r="M1988" i="3"/>
  <c r="L1988" i="3"/>
  <c r="M1989" i="3"/>
  <c r="L1989" i="3"/>
  <c r="M1990" i="3"/>
  <c r="L1990" i="3"/>
  <c r="M1991" i="3"/>
  <c r="L1991" i="3"/>
  <c r="M1992" i="3"/>
  <c r="L1992" i="3"/>
  <c r="M1993" i="3"/>
  <c r="L1993" i="3"/>
  <c r="M1994" i="3"/>
  <c r="L1994" i="3"/>
  <c r="M1995" i="3"/>
  <c r="L1995" i="3"/>
  <c r="M1996" i="3"/>
  <c r="L1996" i="3"/>
  <c r="M1997" i="3"/>
  <c r="L1997" i="3"/>
  <c r="M1998" i="3"/>
  <c r="L1998" i="3"/>
  <c r="M1999" i="3"/>
  <c r="L1999" i="3"/>
  <c r="M2000" i="3"/>
  <c r="L2000" i="3"/>
  <c r="M2001" i="3"/>
  <c r="L2001" i="3"/>
  <c r="M2002" i="3"/>
  <c r="L2002" i="3"/>
  <c r="M2003" i="3"/>
  <c r="L2003" i="3"/>
  <c r="M2004" i="3"/>
  <c r="L2004" i="3"/>
  <c r="M2005" i="3"/>
  <c r="L2005" i="3"/>
  <c r="M2006" i="3"/>
  <c r="L2006" i="3"/>
  <c r="M2007" i="3"/>
  <c r="L2007" i="3"/>
  <c r="M2008" i="3"/>
  <c r="L2008" i="3"/>
  <c r="M2009" i="3"/>
  <c r="L2009" i="3"/>
  <c r="M2010" i="3"/>
  <c r="L2010" i="3"/>
  <c r="M2011" i="3"/>
  <c r="L2011" i="3"/>
  <c r="M2012" i="3"/>
  <c r="L2012" i="3"/>
  <c r="M2013" i="3"/>
  <c r="L2013" i="3"/>
  <c r="M2014" i="3"/>
  <c r="L2014" i="3"/>
  <c r="M2015" i="3"/>
  <c r="L2015" i="3"/>
  <c r="M2016" i="3"/>
  <c r="L2016" i="3"/>
  <c r="M2017" i="3"/>
  <c r="L2017" i="3"/>
  <c r="M2018" i="3"/>
  <c r="L2018" i="3"/>
  <c r="M2019" i="3"/>
  <c r="L2019" i="3"/>
  <c r="M2020" i="3"/>
  <c r="L2020" i="3"/>
  <c r="M2021" i="3"/>
  <c r="L2021" i="3"/>
  <c r="M2022" i="3"/>
  <c r="L2022" i="3"/>
  <c r="M2023" i="3"/>
  <c r="L2023" i="3"/>
  <c r="M2024" i="3"/>
  <c r="L2024" i="3"/>
  <c r="M2025" i="3"/>
  <c r="L2025" i="3"/>
  <c r="M2026" i="3"/>
  <c r="L2026" i="3"/>
  <c r="M2027" i="3"/>
  <c r="L2027" i="3"/>
  <c r="M2028" i="3"/>
  <c r="L2028" i="3"/>
  <c r="M2029" i="3"/>
  <c r="L2029" i="3"/>
  <c r="M2030" i="3"/>
  <c r="L2030" i="3"/>
  <c r="M2031" i="3"/>
  <c r="L2031" i="3"/>
  <c r="M2032" i="3"/>
  <c r="L2032" i="3"/>
  <c r="M2033" i="3"/>
  <c r="L2033" i="3"/>
  <c r="M2034" i="3"/>
  <c r="L2034" i="3"/>
  <c r="M2035" i="3"/>
  <c r="L2035" i="3"/>
  <c r="M2036" i="3"/>
  <c r="L2036" i="3"/>
  <c r="M2037" i="3"/>
  <c r="L2037" i="3"/>
  <c r="M2038" i="3"/>
  <c r="L2038" i="3"/>
  <c r="M2039" i="3"/>
  <c r="L2039" i="3"/>
  <c r="M2040" i="3"/>
  <c r="L2040" i="3"/>
  <c r="M2041" i="3"/>
  <c r="L2041" i="3"/>
  <c r="M2042" i="3"/>
  <c r="L2042" i="3"/>
  <c r="M2043" i="3"/>
  <c r="L2043" i="3"/>
  <c r="M2044" i="3"/>
  <c r="L2044" i="3"/>
  <c r="M2045" i="3"/>
  <c r="L2045" i="3"/>
  <c r="M2046" i="3"/>
  <c r="L2046" i="3"/>
  <c r="M2047" i="3"/>
  <c r="L2047" i="3"/>
  <c r="M2048" i="3"/>
  <c r="L2048" i="3"/>
  <c r="M2049" i="3"/>
  <c r="L2049" i="3"/>
  <c r="M2050" i="3"/>
  <c r="L2050" i="3"/>
  <c r="M2051" i="3"/>
  <c r="L2051" i="3"/>
  <c r="M2052" i="3"/>
  <c r="L2052" i="3"/>
  <c r="M2053" i="3"/>
  <c r="L2053" i="3"/>
  <c r="M2054" i="3"/>
  <c r="L2054" i="3"/>
  <c r="M2055" i="3"/>
  <c r="L2055" i="3"/>
  <c r="M2056" i="3"/>
  <c r="L2056" i="3"/>
  <c r="M2057" i="3"/>
  <c r="L2057" i="3"/>
  <c r="M2058" i="3"/>
  <c r="L2058" i="3"/>
  <c r="M2059" i="3"/>
  <c r="L2059" i="3"/>
  <c r="M2060" i="3"/>
  <c r="L2060" i="3"/>
  <c r="M2061" i="3"/>
  <c r="L2061" i="3"/>
  <c r="M2062" i="3"/>
  <c r="L2062" i="3"/>
  <c r="M2063" i="3"/>
  <c r="L2063" i="3"/>
  <c r="M2064" i="3"/>
  <c r="L2064" i="3"/>
  <c r="M2065" i="3"/>
  <c r="L2065" i="3"/>
  <c r="M2066" i="3"/>
  <c r="L2066" i="3"/>
  <c r="M2067" i="3"/>
  <c r="L2067" i="3"/>
  <c r="M2068" i="3"/>
  <c r="L2068" i="3"/>
  <c r="M2069" i="3"/>
  <c r="L2069" i="3"/>
  <c r="M2070" i="3"/>
  <c r="L2070" i="3"/>
  <c r="M2071" i="3"/>
  <c r="L2071" i="3"/>
  <c r="M2072" i="3"/>
  <c r="L2072" i="3"/>
  <c r="M2073" i="3"/>
  <c r="L2073" i="3"/>
  <c r="M2074" i="3"/>
  <c r="L2074" i="3"/>
  <c r="M2075" i="3"/>
  <c r="L2075" i="3"/>
  <c r="M2076" i="3"/>
  <c r="L2076" i="3"/>
  <c r="M2077" i="3"/>
  <c r="L2077" i="3"/>
  <c r="M2078" i="3"/>
  <c r="L2078" i="3"/>
  <c r="M2079" i="3"/>
  <c r="L2079" i="3"/>
  <c r="M2080" i="3"/>
  <c r="L2080" i="3"/>
  <c r="M2081" i="3"/>
  <c r="L2081" i="3"/>
  <c r="M2082" i="3"/>
  <c r="L2082" i="3"/>
  <c r="M2083" i="3"/>
  <c r="L2083" i="3"/>
  <c r="M2084" i="3"/>
  <c r="L2084" i="3"/>
  <c r="M2085" i="3"/>
  <c r="L2085" i="3"/>
  <c r="M2086" i="3"/>
  <c r="L2086" i="3"/>
  <c r="M2087" i="3"/>
  <c r="L2087" i="3"/>
  <c r="M2088" i="3"/>
  <c r="L2088" i="3"/>
  <c r="M2089" i="3"/>
  <c r="L2089" i="3"/>
  <c r="M2090" i="3"/>
  <c r="L2090" i="3"/>
  <c r="M2091" i="3"/>
  <c r="L2091" i="3"/>
  <c r="M2092" i="3"/>
  <c r="L2092" i="3"/>
  <c r="M2093" i="3"/>
  <c r="L2093" i="3"/>
  <c r="M2094" i="3"/>
  <c r="L2094" i="3"/>
  <c r="M2095" i="3"/>
  <c r="L2095" i="3"/>
  <c r="M2096" i="3"/>
  <c r="L2096" i="3"/>
  <c r="M2097" i="3"/>
  <c r="L2097" i="3"/>
  <c r="M2098" i="3"/>
  <c r="L2098" i="3"/>
  <c r="M2099" i="3"/>
  <c r="L2099" i="3"/>
  <c r="M2100" i="3"/>
  <c r="L2100" i="3"/>
  <c r="M2101" i="3"/>
  <c r="L2101" i="3"/>
  <c r="M2102" i="3"/>
  <c r="L2102" i="3"/>
  <c r="M2103" i="3"/>
  <c r="L2103" i="3"/>
  <c r="M2104" i="3"/>
  <c r="L2104" i="3"/>
  <c r="M2105" i="3"/>
  <c r="L2105" i="3"/>
  <c r="M2106" i="3"/>
  <c r="L2106" i="3"/>
  <c r="M2107" i="3"/>
  <c r="L2107" i="3"/>
  <c r="M2108" i="3"/>
  <c r="L2108" i="3"/>
  <c r="M2109" i="3"/>
  <c r="L2109" i="3"/>
  <c r="M2110" i="3"/>
  <c r="L2110" i="3"/>
  <c r="M2111" i="3"/>
  <c r="L2111" i="3"/>
  <c r="M2112" i="3"/>
  <c r="L2112" i="3"/>
  <c r="M2113" i="3"/>
  <c r="L2113" i="3"/>
  <c r="M2114" i="3"/>
  <c r="L2114" i="3"/>
  <c r="M2115" i="3"/>
  <c r="L2115" i="3"/>
  <c r="M2116" i="3"/>
  <c r="L2116" i="3"/>
  <c r="M2117" i="3"/>
  <c r="L2117" i="3"/>
  <c r="M2118" i="3"/>
  <c r="L2118" i="3"/>
  <c r="M2119" i="3"/>
  <c r="L2119" i="3"/>
  <c r="M2120" i="3"/>
  <c r="L2120" i="3"/>
  <c r="M2121" i="3"/>
  <c r="L2121" i="3"/>
  <c r="M2122" i="3"/>
  <c r="L2122" i="3"/>
  <c r="M2123" i="3"/>
  <c r="L2123" i="3"/>
  <c r="M2124" i="3"/>
  <c r="L2124" i="3"/>
  <c r="M2125" i="3"/>
  <c r="L2125" i="3"/>
  <c r="M2126" i="3"/>
  <c r="L2126" i="3"/>
  <c r="M2127" i="3"/>
  <c r="L2127" i="3"/>
  <c r="M2128" i="3"/>
  <c r="L2128" i="3"/>
  <c r="M2129" i="3"/>
  <c r="L2129" i="3"/>
  <c r="M2130" i="3"/>
  <c r="L2130" i="3"/>
  <c r="M2131" i="3"/>
  <c r="L2131" i="3"/>
  <c r="M2132" i="3"/>
  <c r="L2132" i="3"/>
  <c r="M2133" i="3"/>
  <c r="L2133" i="3"/>
  <c r="M2134" i="3"/>
  <c r="L2134" i="3"/>
  <c r="M2135" i="3"/>
  <c r="L2135" i="3"/>
  <c r="M2136" i="3"/>
  <c r="L2136" i="3"/>
  <c r="M2137" i="3"/>
  <c r="L2137" i="3"/>
  <c r="M2138" i="3"/>
  <c r="L2138" i="3"/>
  <c r="M2139" i="3"/>
  <c r="L2139" i="3"/>
  <c r="M2140" i="3"/>
  <c r="L2140" i="3"/>
  <c r="M2141" i="3"/>
  <c r="L2141" i="3"/>
  <c r="M2142" i="3"/>
  <c r="L2142" i="3"/>
  <c r="M2143" i="3"/>
  <c r="L2143" i="3"/>
  <c r="M2144" i="3"/>
  <c r="L2144" i="3"/>
  <c r="M2145" i="3"/>
  <c r="L2145" i="3"/>
  <c r="M2146" i="3"/>
  <c r="L2146" i="3"/>
  <c r="M2147" i="3"/>
  <c r="L2147" i="3"/>
  <c r="M2148" i="3"/>
  <c r="L2148" i="3"/>
  <c r="M2149" i="3"/>
  <c r="L2149" i="3"/>
  <c r="M2150" i="3"/>
  <c r="L2150" i="3"/>
  <c r="M2151" i="3"/>
  <c r="L2151" i="3"/>
  <c r="M2152" i="3"/>
  <c r="L2152" i="3"/>
  <c r="M2153" i="3"/>
  <c r="L2153" i="3"/>
  <c r="M2154" i="3"/>
  <c r="L2154" i="3"/>
  <c r="M2155" i="3"/>
  <c r="L2155" i="3"/>
  <c r="M2156" i="3"/>
  <c r="L2156" i="3"/>
  <c r="M2157" i="3"/>
  <c r="L2157" i="3"/>
  <c r="M2158" i="3"/>
  <c r="L2158" i="3"/>
  <c r="M2159" i="3"/>
  <c r="L2159" i="3"/>
  <c r="M2160" i="3"/>
  <c r="L2160" i="3"/>
  <c r="M2161" i="3"/>
  <c r="L2161" i="3"/>
  <c r="M2162" i="3"/>
  <c r="L2162" i="3"/>
  <c r="M2163" i="3"/>
  <c r="L2163" i="3"/>
  <c r="M2164" i="3"/>
  <c r="L2164" i="3"/>
  <c r="M2165" i="3"/>
  <c r="L2165" i="3"/>
  <c r="M2166" i="3"/>
  <c r="L2166" i="3"/>
  <c r="M2167" i="3"/>
  <c r="L2167" i="3"/>
  <c r="M2168" i="3"/>
  <c r="L2168" i="3"/>
  <c r="M2169" i="3"/>
  <c r="L2169" i="3"/>
  <c r="M2170" i="3"/>
  <c r="L2170" i="3"/>
  <c r="M2171" i="3"/>
  <c r="L2171" i="3"/>
  <c r="M2172" i="3"/>
  <c r="L2172" i="3"/>
  <c r="M2173" i="3"/>
  <c r="L2173" i="3"/>
  <c r="M2174" i="3"/>
  <c r="L2174" i="3"/>
  <c r="M2175" i="3"/>
  <c r="L2175" i="3"/>
  <c r="M2176" i="3"/>
  <c r="L2176" i="3"/>
  <c r="M2177" i="3"/>
  <c r="L2177" i="3"/>
  <c r="M2178" i="3"/>
  <c r="L2178" i="3"/>
  <c r="M2179" i="3"/>
  <c r="L2179" i="3"/>
  <c r="M2180" i="3"/>
  <c r="L2180" i="3"/>
  <c r="M2181" i="3"/>
  <c r="L2181" i="3"/>
  <c r="M2182" i="3"/>
  <c r="L2182" i="3"/>
  <c r="M2183" i="3"/>
  <c r="L2183" i="3"/>
  <c r="M2184" i="3"/>
  <c r="L2184" i="3"/>
  <c r="M2185" i="3"/>
  <c r="L2185" i="3"/>
  <c r="M2186" i="3"/>
  <c r="L2186" i="3"/>
  <c r="M2187" i="3"/>
  <c r="L2187" i="3"/>
  <c r="M2188" i="3"/>
  <c r="L2188" i="3"/>
  <c r="M2189" i="3"/>
  <c r="L2189" i="3"/>
  <c r="M2190" i="3"/>
  <c r="L2190" i="3"/>
  <c r="M2191" i="3"/>
  <c r="L2191" i="3"/>
  <c r="M2192" i="3"/>
  <c r="L2192" i="3"/>
  <c r="M2193" i="3"/>
  <c r="L2193" i="3"/>
  <c r="M2194" i="3"/>
  <c r="L2194" i="3"/>
  <c r="M2195" i="3"/>
  <c r="L2195" i="3"/>
  <c r="M2196" i="3"/>
  <c r="L2196" i="3"/>
  <c r="M2197" i="3"/>
  <c r="L2197" i="3"/>
  <c r="M2198" i="3"/>
  <c r="L2198" i="3"/>
  <c r="M2199" i="3"/>
  <c r="L2199" i="3"/>
  <c r="M2200" i="3"/>
  <c r="L2200" i="3"/>
  <c r="M2201" i="3"/>
  <c r="L2201" i="3"/>
  <c r="M2202" i="3"/>
  <c r="L2202" i="3"/>
  <c r="M2203" i="3"/>
  <c r="L2203" i="3"/>
  <c r="M2204" i="3"/>
  <c r="L2204" i="3"/>
  <c r="M2205" i="3"/>
  <c r="L2205" i="3"/>
  <c r="M2206" i="3"/>
  <c r="L2206" i="3"/>
  <c r="M2207" i="3"/>
  <c r="L2207" i="3"/>
  <c r="M2208" i="3"/>
  <c r="L2208" i="3"/>
  <c r="M2209" i="3"/>
  <c r="L2209" i="3"/>
  <c r="M2210" i="3"/>
  <c r="L2210" i="3"/>
  <c r="M2211" i="3"/>
  <c r="L2211" i="3"/>
  <c r="M2212" i="3"/>
  <c r="L2212" i="3"/>
  <c r="M2213" i="3"/>
  <c r="L2213" i="3"/>
  <c r="M2214" i="3"/>
  <c r="L2214" i="3"/>
  <c r="M2215" i="3"/>
  <c r="L2215" i="3"/>
  <c r="M2216" i="3"/>
  <c r="L2216" i="3"/>
  <c r="M2217" i="3"/>
  <c r="L2217" i="3"/>
  <c r="M2218" i="3"/>
  <c r="L2218" i="3"/>
  <c r="M2219" i="3"/>
  <c r="L2219" i="3"/>
  <c r="M2220" i="3"/>
  <c r="L2220" i="3"/>
  <c r="M2221" i="3"/>
  <c r="L2221" i="3"/>
  <c r="M2222" i="3"/>
  <c r="L2222" i="3"/>
  <c r="M2223" i="3"/>
  <c r="L2223" i="3"/>
  <c r="M2224" i="3"/>
  <c r="L2224" i="3"/>
  <c r="M2225" i="3"/>
  <c r="L2225" i="3"/>
  <c r="M2226" i="3"/>
  <c r="L2226" i="3"/>
  <c r="M2227" i="3"/>
  <c r="L2227" i="3"/>
  <c r="M2228" i="3"/>
  <c r="L2228" i="3"/>
  <c r="M2229" i="3"/>
  <c r="L2229" i="3"/>
  <c r="M2230" i="3"/>
  <c r="L2230" i="3"/>
  <c r="M2231" i="3"/>
  <c r="L2231" i="3"/>
  <c r="M2232" i="3"/>
  <c r="L2232" i="3"/>
  <c r="M2233" i="3"/>
  <c r="L2233" i="3"/>
  <c r="M2234" i="3"/>
  <c r="L2234" i="3"/>
  <c r="M2235" i="3"/>
  <c r="L2235" i="3"/>
  <c r="M2236" i="3"/>
  <c r="L2236" i="3"/>
  <c r="M2237" i="3"/>
  <c r="L2237" i="3"/>
  <c r="M2238" i="3"/>
  <c r="L2238" i="3"/>
  <c r="M2239" i="3"/>
  <c r="L2239" i="3"/>
  <c r="M2240" i="3"/>
  <c r="L2240" i="3"/>
  <c r="M2241" i="3"/>
  <c r="L2241" i="3"/>
  <c r="M2242" i="3"/>
  <c r="L2242" i="3"/>
  <c r="M2243" i="3"/>
  <c r="L2243" i="3"/>
  <c r="M2244" i="3"/>
  <c r="L2244" i="3"/>
  <c r="M2245" i="3"/>
  <c r="L2245" i="3"/>
  <c r="M2246" i="3"/>
  <c r="L2246" i="3"/>
  <c r="M2247" i="3"/>
  <c r="L2247" i="3"/>
  <c r="M2248" i="3"/>
  <c r="L2248" i="3"/>
  <c r="M2249" i="3"/>
  <c r="L2249" i="3"/>
  <c r="M2250" i="3"/>
  <c r="L2250" i="3"/>
  <c r="M2251" i="3"/>
  <c r="L2251" i="3"/>
  <c r="M2252" i="3"/>
  <c r="L2252" i="3"/>
  <c r="M2253" i="3"/>
  <c r="L2253" i="3"/>
  <c r="M2254" i="3"/>
  <c r="L2254" i="3"/>
  <c r="M2255" i="3"/>
  <c r="L2255" i="3"/>
  <c r="M2256" i="3"/>
  <c r="L2256" i="3"/>
  <c r="M2257" i="3"/>
  <c r="L2257" i="3"/>
  <c r="M2258" i="3"/>
  <c r="L2258" i="3"/>
  <c r="M2259" i="3"/>
  <c r="L2259" i="3"/>
  <c r="M2260" i="3"/>
  <c r="L2260" i="3"/>
  <c r="M2261" i="3"/>
  <c r="L2261" i="3"/>
  <c r="M2262" i="3"/>
  <c r="L2262" i="3"/>
  <c r="M2263" i="3"/>
  <c r="L2263" i="3"/>
  <c r="M2264" i="3"/>
  <c r="L2264" i="3"/>
  <c r="M2265" i="3"/>
  <c r="L2265" i="3"/>
  <c r="M2266" i="3"/>
  <c r="L2266" i="3"/>
  <c r="M2267" i="3"/>
  <c r="L2267" i="3"/>
  <c r="M2268" i="3"/>
  <c r="L2268" i="3"/>
  <c r="M2269" i="3"/>
  <c r="L2269" i="3"/>
  <c r="M2270" i="3"/>
  <c r="L2270" i="3"/>
  <c r="M2271" i="3"/>
  <c r="L2271" i="3"/>
  <c r="M2272" i="3"/>
  <c r="L2272" i="3"/>
  <c r="M2273" i="3"/>
  <c r="L2273" i="3"/>
  <c r="M2274" i="3"/>
  <c r="L2274" i="3"/>
  <c r="M2275" i="3"/>
  <c r="L2275" i="3"/>
  <c r="M2276" i="3"/>
  <c r="L2276" i="3"/>
  <c r="M2277" i="3"/>
  <c r="L2277" i="3"/>
  <c r="M2278" i="3"/>
  <c r="L2278" i="3"/>
  <c r="M2279" i="3"/>
  <c r="L2279" i="3"/>
  <c r="M2280" i="3"/>
  <c r="L2280" i="3"/>
  <c r="M2281" i="3"/>
  <c r="L2281" i="3"/>
  <c r="M2282" i="3"/>
  <c r="L2282" i="3"/>
  <c r="M2283" i="3"/>
  <c r="L2283" i="3"/>
  <c r="M2284" i="3"/>
  <c r="L2284" i="3"/>
  <c r="M2285" i="3"/>
  <c r="L2285" i="3"/>
  <c r="M2286" i="3"/>
  <c r="L2286" i="3"/>
  <c r="M2287" i="3"/>
  <c r="L2287" i="3"/>
  <c r="M2288" i="3"/>
  <c r="L2288" i="3"/>
  <c r="M2289" i="3"/>
  <c r="L2289" i="3"/>
  <c r="M2290" i="3"/>
  <c r="L2290" i="3"/>
  <c r="M2291" i="3"/>
  <c r="L2291" i="3"/>
  <c r="M2292" i="3"/>
  <c r="L2292" i="3"/>
  <c r="M2293" i="3"/>
  <c r="L2293" i="3"/>
  <c r="M2294" i="3"/>
  <c r="L2294" i="3"/>
  <c r="M2295" i="3"/>
  <c r="L2295" i="3"/>
  <c r="M2296" i="3"/>
  <c r="L2296" i="3"/>
  <c r="M2297" i="3"/>
  <c r="L2297" i="3"/>
  <c r="M2298" i="3"/>
  <c r="L2298" i="3"/>
  <c r="M2299" i="3"/>
  <c r="L2299" i="3"/>
  <c r="M2300" i="3"/>
  <c r="L2300" i="3"/>
  <c r="M2301" i="3"/>
  <c r="L2301" i="3"/>
  <c r="M2302" i="3"/>
  <c r="L2302" i="3"/>
  <c r="M2303" i="3"/>
  <c r="L2303" i="3"/>
  <c r="M2304" i="3"/>
  <c r="L2304" i="3"/>
  <c r="M2305" i="3"/>
  <c r="L2305" i="3"/>
  <c r="M2306" i="3"/>
  <c r="L2306" i="3"/>
  <c r="M2307" i="3"/>
  <c r="L2307" i="3"/>
  <c r="M2308" i="3"/>
  <c r="L2308" i="3"/>
  <c r="M2309" i="3"/>
  <c r="L2309" i="3"/>
  <c r="M2310" i="3"/>
  <c r="L2310" i="3"/>
  <c r="M2311" i="3"/>
  <c r="L2311" i="3"/>
  <c r="M2312" i="3"/>
  <c r="L2312" i="3"/>
  <c r="M2313" i="3"/>
  <c r="L2313" i="3"/>
  <c r="M2314" i="3"/>
  <c r="L2314" i="3"/>
  <c r="M2315" i="3"/>
  <c r="L2315" i="3"/>
  <c r="M2316" i="3"/>
  <c r="L2316" i="3"/>
  <c r="M2317" i="3"/>
  <c r="L2317" i="3"/>
  <c r="M2318" i="3"/>
  <c r="L2318" i="3"/>
  <c r="M2319" i="3"/>
  <c r="L2319" i="3"/>
  <c r="M2320" i="3"/>
  <c r="L2320" i="3"/>
  <c r="M2321" i="3"/>
  <c r="L2321" i="3"/>
  <c r="M2322" i="3"/>
  <c r="L2322" i="3"/>
  <c r="M2323" i="3"/>
  <c r="L2323" i="3"/>
  <c r="M2324" i="3"/>
  <c r="L2324" i="3"/>
  <c r="M2325" i="3"/>
  <c r="L2325" i="3"/>
  <c r="M2326" i="3"/>
  <c r="L2326" i="3"/>
  <c r="M2327" i="3"/>
  <c r="L2327" i="3"/>
  <c r="M2328" i="3"/>
  <c r="L2328" i="3"/>
  <c r="M2329" i="3"/>
  <c r="L2329" i="3"/>
  <c r="M2330" i="3"/>
  <c r="L2330" i="3"/>
  <c r="M2331" i="3"/>
  <c r="L2331" i="3"/>
  <c r="M2332" i="3"/>
  <c r="L2332" i="3"/>
  <c r="M2333" i="3"/>
  <c r="L2333" i="3"/>
  <c r="M2334" i="3"/>
  <c r="L2334" i="3"/>
  <c r="M2335" i="3"/>
  <c r="L2335" i="3"/>
  <c r="M2336" i="3"/>
  <c r="L2336" i="3"/>
  <c r="M2337" i="3"/>
  <c r="L2337" i="3"/>
  <c r="M2338" i="3"/>
  <c r="L2338" i="3"/>
  <c r="M2339" i="3"/>
  <c r="L2339" i="3"/>
  <c r="M2340" i="3"/>
  <c r="L2340" i="3"/>
  <c r="M2341" i="3"/>
  <c r="L2341" i="3"/>
  <c r="M2342" i="3"/>
  <c r="L2342" i="3"/>
  <c r="M2343" i="3"/>
  <c r="L2343" i="3"/>
  <c r="M2344" i="3"/>
  <c r="L2344" i="3"/>
  <c r="M2345" i="3"/>
  <c r="L2345" i="3"/>
  <c r="M2346" i="3"/>
  <c r="L2346" i="3"/>
  <c r="M2347" i="3"/>
  <c r="L2347" i="3"/>
  <c r="M2348" i="3"/>
  <c r="L2348" i="3"/>
  <c r="M2349" i="3"/>
  <c r="L2349" i="3"/>
  <c r="M2350" i="3"/>
  <c r="L2350" i="3"/>
  <c r="M2351" i="3"/>
  <c r="L2351" i="3"/>
  <c r="M2352" i="3"/>
  <c r="L2352" i="3"/>
  <c r="M2353" i="3"/>
  <c r="L2353" i="3"/>
  <c r="M2354" i="3"/>
  <c r="L2354" i="3"/>
  <c r="M2355" i="3"/>
  <c r="L2355" i="3"/>
  <c r="M2356" i="3"/>
  <c r="L2356" i="3"/>
  <c r="M2357" i="3"/>
  <c r="L2357" i="3"/>
  <c r="M2358" i="3"/>
  <c r="L2358" i="3"/>
  <c r="M2359" i="3"/>
  <c r="L2359" i="3"/>
  <c r="M2360" i="3"/>
  <c r="L2360" i="3"/>
  <c r="M2361" i="3"/>
  <c r="L2361" i="3"/>
  <c r="M2362" i="3"/>
  <c r="L2362" i="3"/>
  <c r="M2363" i="3"/>
  <c r="L2363" i="3"/>
  <c r="M2364" i="3"/>
  <c r="L2364" i="3"/>
  <c r="M2365" i="3"/>
  <c r="L2365" i="3"/>
  <c r="M2366" i="3"/>
  <c r="L2366" i="3"/>
  <c r="M2381" i="3"/>
  <c r="L2381" i="3"/>
  <c r="M2382" i="3"/>
  <c r="L2382" i="3"/>
  <c r="M2383" i="3"/>
  <c r="L2383" i="3"/>
  <c r="M2384" i="3"/>
  <c r="L2384" i="3"/>
  <c r="M2385" i="3"/>
  <c r="L2385" i="3"/>
  <c r="M2386" i="3"/>
  <c r="L2386" i="3"/>
  <c r="M2387" i="3"/>
  <c r="L2387" i="3"/>
  <c r="M2388" i="3"/>
  <c r="L2388" i="3"/>
  <c r="M2389" i="3"/>
  <c r="L2389" i="3"/>
  <c r="M2390" i="3"/>
  <c r="L2390" i="3"/>
  <c r="M2391" i="3"/>
  <c r="L2391" i="3"/>
  <c r="M2392" i="3"/>
  <c r="L2392" i="3"/>
  <c r="M2393" i="3"/>
  <c r="L2393" i="3"/>
  <c r="M2394" i="3"/>
  <c r="L2394" i="3"/>
  <c r="M2409" i="3"/>
  <c r="L2409" i="3"/>
  <c r="M2410" i="3"/>
  <c r="L2410" i="3"/>
  <c r="M2411" i="3"/>
  <c r="L2411" i="3"/>
  <c r="M2412" i="3"/>
  <c r="L2412" i="3"/>
  <c r="M2413" i="3"/>
  <c r="L2413" i="3"/>
  <c r="M2414" i="3"/>
  <c r="L2414" i="3"/>
  <c r="M2415" i="3"/>
  <c r="L2415" i="3"/>
  <c r="M2416" i="3"/>
  <c r="L2416" i="3"/>
  <c r="M2417" i="3"/>
  <c r="L2417" i="3"/>
  <c r="M2418" i="3"/>
  <c r="L2418" i="3"/>
  <c r="M2419" i="3"/>
  <c r="L2419" i="3"/>
  <c r="M2420" i="3"/>
  <c r="L2420" i="3"/>
  <c r="M2421" i="3"/>
  <c r="L2421" i="3"/>
  <c r="M2422" i="3"/>
  <c r="L2422" i="3"/>
  <c r="M2423" i="3"/>
  <c r="L2423" i="3"/>
  <c r="M2424" i="3"/>
  <c r="L2424" i="3"/>
  <c r="M2425" i="3"/>
  <c r="L2425" i="3"/>
  <c r="M2426" i="3"/>
  <c r="L2426" i="3"/>
  <c r="M2427" i="3"/>
  <c r="L2427" i="3"/>
  <c r="M2428" i="3"/>
  <c r="L2428" i="3"/>
  <c r="M2429" i="3"/>
  <c r="L2429" i="3"/>
  <c r="M2430" i="3"/>
  <c r="L2430" i="3"/>
  <c r="M2431" i="3"/>
  <c r="L2431" i="3"/>
  <c r="M2432" i="3"/>
  <c r="L2432" i="3"/>
  <c r="M2433" i="3"/>
  <c r="L2433" i="3"/>
  <c r="M2434" i="3"/>
  <c r="L2434" i="3"/>
  <c r="M2435" i="3"/>
  <c r="L2435" i="3"/>
  <c r="M2436" i="3"/>
  <c r="L2436" i="3"/>
  <c r="M2437" i="3"/>
  <c r="L2437" i="3"/>
  <c r="M2438" i="3"/>
  <c r="L2438" i="3"/>
  <c r="M2439" i="3"/>
  <c r="L2439" i="3"/>
  <c r="M2440" i="3"/>
  <c r="L2440" i="3"/>
  <c r="M2441" i="3"/>
  <c r="L2441" i="3"/>
  <c r="M2442" i="3"/>
  <c r="L2442" i="3"/>
  <c r="M2443" i="3"/>
  <c r="L2443" i="3"/>
  <c r="M2444" i="3"/>
  <c r="L2444" i="3"/>
  <c r="M2445" i="3"/>
  <c r="L2445" i="3"/>
  <c r="M2446" i="3"/>
  <c r="L2446" i="3"/>
  <c r="M2447" i="3"/>
  <c r="L2447" i="3"/>
  <c r="M2448" i="3"/>
  <c r="L2448" i="3"/>
  <c r="M2449" i="3"/>
  <c r="L2449" i="3"/>
  <c r="M2450" i="3"/>
  <c r="L2450" i="3"/>
  <c r="M2451" i="3"/>
  <c r="L2451" i="3"/>
  <c r="M2452" i="3"/>
  <c r="L2452" i="3"/>
  <c r="M2453" i="3"/>
  <c r="L2453" i="3"/>
  <c r="M2454" i="3"/>
  <c r="L2454" i="3"/>
  <c r="M2455" i="3"/>
  <c r="L2455" i="3"/>
  <c r="M2456" i="3"/>
  <c r="L2456" i="3"/>
  <c r="M2457" i="3"/>
  <c r="L2457" i="3"/>
  <c r="M2458" i="3"/>
  <c r="L2458" i="3"/>
  <c r="M2459" i="3"/>
  <c r="L2459" i="3"/>
  <c r="M2460" i="3"/>
  <c r="L2460" i="3"/>
  <c r="M2461" i="3"/>
  <c r="L2461" i="3"/>
  <c r="M2462" i="3"/>
  <c r="L2462" i="3"/>
  <c r="M2463" i="3"/>
  <c r="L2463" i="3"/>
  <c r="M2464" i="3"/>
  <c r="L2464" i="3"/>
  <c r="M2465" i="3"/>
  <c r="L2465" i="3"/>
  <c r="M2466" i="3"/>
  <c r="L2466" i="3"/>
  <c r="M2467" i="3"/>
  <c r="L2467" i="3"/>
  <c r="M2468" i="3"/>
  <c r="L2468" i="3"/>
  <c r="M2469" i="3"/>
  <c r="L2469" i="3"/>
  <c r="M2470" i="3"/>
  <c r="L2470" i="3"/>
  <c r="M2471" i="3"/>
  <c r="L2471" i="3"/>
  <c r="M2472" i="3"/>
  <c r="L2472" i="3"/>
  <c r="M2473" i="3"/>
  <c r="L2473" i="3"/>
  <c r="M2474" i="3"/>
  <c r="L2474" i="3"/>
  <c r="M2475" i="3"/>
  <c r="L2475" i="3"/>
  <c r="M2476" i="3"/>
  <c r="L2476" i="3"/>
  <c r="M2477" i="3"/>
  <c r="L2477" i="3"/>
  <c r="M2478" i="3"/>
  <c r="L2478" i="3"/>
  <c r="M2479" i="3"/>
  <c r="L2479" i="3"/>
  <c r="M2480" i="3"/>
  <c r="L2480" i="3"/>
  <c r="M2481" i="3"/>
  <c r="L2481" i="3"/>
  <c r="M2482" i="3"/>
  <c r="L2482" i="3"/>
  <c r="M2483" i="3"/>
  <c r="L2483" i="3"/>
  <c r="M2484" i="3"/>
  <c r="L2484" i="3"/>
  <c r="M2485" i="3"/>
  <c r="L2485" i="3"/>
  <c r="M2486" i="3"/>
  <c r="L2486" i="3"/>
  <c r="M2487" i="3"/>
  <c r="L2487" i="3"/>
  <c r="M2488" i="3"/>
  <c r="L2488" i="3"/>
  <c r="M2489" i="3"/>
  <c r="L2489" i="3"/>
  <c r="M2490" i="3"/>
  <c r="L2490" i="3"/>
  <c r="M2491" i="3"/>
  <c r="L2491" i="3"/>
  <c r="M2492" i="3"/>
  <c r="L2492" i="3"/>
  <c r="M2493" i="3"/>
  <c r="L2493" i="3"/>
  <c r="M2494" i="3"/>
  <c r="L2494" i="3"/>
  <c r="M2495" i="3"/>
  <c r="L2495" i="3"/>
  <c r="M2496" i="3"/>
  <c r="L2496" i="3"/>
  <c r="M2497" i="3"/>
  <c r="L2497" i="3"/>
  <c r="M2498" i="3"/>
  <c r="L2498" i="3"/>
  <c r="M2499" i="3"/>
  <c r="L2499" i="3"/>
  <c r="M2500" i="3"/>
  <c r="L2500" i="3"/>
  <c r="M2501" i="3"/>
  <c r="L2501" i="3"/>
  <c r="M2502" i="3"/>
  <c r="L2502" i="3"/>
  <c r="M2503" i="3"/>
  <c r="L2503" i="3"/>
  <c r="M2504" i="3"/>
  <c r="L2504" i="3"/>
  <c r="M2505" i="3"/>
  <c r="L2505" i="3"/>
  <c r="M2506" i="3"/>
  <c r="L2506" i="3"/>
  <c r="M2507" i="3"/>
  <c r="L2507" i="3"/>
  <c r="M2508" i="3"/>
  <c r="L2508" i="3"/>
  <c r="M2509" i="3"/>
  <c r="L2509" i="3"/>
  <c r="M2510" i="3"/>
  <c r="L2510" i="3"/>
  <c r="M2511" i="3"/>
  <c r="L2511" i="3"/>
  <c r="M2512" i="3"/>
  <c r="L2512" i="3"/>
  <c r="M2513" i="3"/>
  <c r="L2513" i="3"/>
  <c r="M2514" i="3"/>
  <c r="L2514" i="3"/>
  <c r="M2515" i="3"/>
  <c r="L2515" i="3"/>
  <c r="M2516" i="3"/>
  <c r="L2516" i="3"/>
  <c r="M2517" i="3"/>
  <c r="L2517" i="3"/>
  <c r="M2518" i="3"/>
  <c r="L2518" i="3"/>
  <c r="M2519" i="3"/>
  <c r="L2519" i="3"/>
  <c r="M2520" i="3"/>
  <c r="L2520" i="3"/>
  <c r="M2521" i="3"/>
  <c r="L2521" i="3"/>
  <c r="M2522" i="3"/>
  <c r="L2522" i="3"/>
  <c r="M2523" i="3"/>
  <c r="L2523" i="3"/>
  <c r="M2524" i="3"/>
  <c r="L2524" i="3"/>
  <c r="M2525" i="3"/>
  <c r="L2525" i="3"/>
  <c r="M2526" i="3"/>
  <c r="L2526" i="3"/>
  <c r="M2527" i="3"/>
  <c r="L2527" i="3"/>
  <c r="M2528" i="3"/>
  <c r="L2528" i="3"/>
  <c r="M2529" i="3"/>
  <c r="L2529" i="3"/>
  <c r="M2530" i="3"/>
  <c r="L2530" i="3"/>
  <c r="M2531" i="3"/>
  <c r="L2531" i="3"/>
  <c r="M2532" i="3"/>
  <c r="L2532" i="3"/>
  <c r="M2533" i="3"/>
  <c r="L2533" i="3"/>
  <c r="M2534" i="3"/>
  <c r="L2534" i="3"/>
  <c r="M2535" i="3"/>
  <c r="L2535" i="3"/>
  <c r="M2536" i="3"/>
  <c r="L2536" i="3"/>
  <c r="M2537" i="3"/>
  <c r="L2537" i="3"/>
  <c r="M2538" i="3"/>
  <c r="L2538" i="3"/>
  <c r="M2539" i="3"/>
  <c r="L2539" i="3"/>
  <c r="M2540" i="3"/>
  <c r="L2540" i="3"/>
  <c r="M2541" i="3"/>
  <c r="L2541" i="3"/>
  <c r="M2542" i="3"/>
  <c r="L2542" i="3"/>
  <c r="M2543" i="3"/>
  <c r="L2543" i="3"/>
  <c r="M2544" i="3"/>
  <c r="L2544" i="3"/>
  <c r="M2545" i="3"/>
  <c r="L2545" i="3"/>
  <c r="M2546" i="3"/>
  <c r="L2546" i="3"/>
  <c r="M2547" i="3"/>
  <c r="L2547" i="3"/>
  <c r="M2548" i="3"/>
  <c r="L2548" i="3"/>
  <c r="M2549" i="3"/>
  <c r="L2549" i="3"/>
  <c r="M2550" i="3"/>
  <c r="L2550" i="3"/>
  <c r="M2551" i="3"/>
  <c r="L2551" i="3"/>
  <c r="M2552" i="3"/>
  <c r="L2552" i="3"/>
  <c r="M2553" i="3"/>
  <c r="L2553" i="3"/>
  <c r="M2554" i="3"/>
  <c r="L2554" i="3"/>
  <c r="M2555" i="3"/>
  <c r="L2555" i="3"/>
  <c r="M2556" i="3"/>
  <c r="L2556" i="3"/>
  <c r="M2557" i="3"/>
  <c r="L2557" i="3"/>
  <c r="M2558" i="3"/>
  <c r="L2558" i="3"/>
  <c r="M2559" i="3"/>
  <c r="L2559" i="3"/>
  <c r="M2560" i="3"/>
  <c r="L2560" i="3"/>
  <c r="M2561" i="3"/>
  <c r="L2561" i="3"/>
  <c r="M2562" i="3"/>
  <c r="L2562" i="3"/>
  <c r="M2563" i="3"/>
  <c r="L2563" i="3"/>
  <c r="M2564" i="3"/>
  <c r="L2564" i="3"/>
  <c r="M2565" i="3"/>
  <c r="L2565" i="3"/>
  <c r="M2566" i="3"/>
  <c r="L2566" i="3"/>
  <c r="M2567" i="3"/>
  <c r="L2567" i="3"/>
  <c r="M2568" i="3"/>
  <c r="L2568" i="3"/>
  <c r="M2569" i="3"/>
  <c r="L2569" i="3"/>
  <c r="M2570" i="3"/>
  <c r="L2570" i="3"/>
  <c r="M2571" i="3"/>
  <c r="L2571" i="3"/>
  <c r="M2572" i="3"/>
  <c r="L2572" i="3"/>
  <c r="M2573" i="3"/>
  <c r="L2573" i="3"/>
  <c r="M2574" i="3"/>
  <c r="L2574" i="3"/>
  <c r="M2575" i="3"/>
  <c r="L2575" i="3"/>
  <c r="M2576" i="3"/>
  <c r="L2576" i="3"/>
  <c r="M2577" i="3"/>
  <c r="L2577" i="3"/>
  <c r="M2578" i="3"/>
  <c r="L2578" i="3"/>
  <c r="M2579" i="3"/>
  <c r="L2579" i="3"/>
  <c r="M2580" i="3"/>
  <c r="L2580" i="3"/>
  <c r="M2581" i="3"/>
  <c r="L2581" i="3"/>
  <c r="M2582" i="3"/>
  <c r="L2582" i="3"/>
  <c r="M2583" i="3"/>
  <c r="L2583" i="3"/>
  <c r="M2584" i="3"/>
  <c r="L2584" i="3"/>
  <c r="M2585" i="3"/>
  <c r="L2585" i="3"/>
  <c r="M2586" i="3"/>
  <c r="L2586" i="3"/>
  <c r="M2587" i="3"/>
  <c r="L2587" i="3"/>
  <c r="M2588" i="3"/>
  <c r="L2588" i="3"/>
  <c r="M2589" i="3"/>
  <c r="L2589" i="3"/>
  <c r="M2590" i="3"/>
  <c r="L2590" i="3"/>
  <c r="M2591" i="3"/>
  <c r="L2591" i="3"/>
  <c r="M2592" i="3"/>
  <c r="L2592" i="3"/>
  <c r="M2593" i="3"/>
  <c r="L2593" i="3"/>
  <c r="M2594" i="3"/>
  <c r="L2594" i="3"/>
  <c r="M2595" i="3"/>
  <c r="L2595" i="3"/>
  <c r="M2596" i="3"/>
  <c r="L2596" i="3"/>
  <c r="M2597" i="3"/>
  <c r="L2597" i="3"/>
  <c r="M2598" i="3"/>
  <c r="L2598" i="3"/>
  <c r="M2599" i="3"/>
  <c r="L2599" i="3"/>
  <c r="M2600" i="3"/>
  <c r="L2600" i="3"/>
  <c r="M2601" i="3"/>
  <c r="L2601" i="3"/>
  <c r="M2602" i="3"/>
  <c r="L2602" i="3"/>
  <c r="M2603" i="3"/>
  <c r="L2603" i="3"/>
  <c r="M2604" i="3"/>
  <c r="L2604" i="3"/>
  <c r="M2605" i="3"/>
  <c r="L2605" i="3"/>
  <c r="M2606" i="3"/>
  <c r="L2606" i="3"/>
  <c r="M2607" i="3"/>
  <c r="L2607" i="3"/>
  <c r="M2608" i="3"/>
  <c r="L2608" i="3"/>
  <c r="M2609" i="3"/>
  <c r="L2609" i="3"/>
  <c r="M2610" i="3"/>
  <c r="L2610" i="3"/>
  <c r="M2611" i="3"/>
  <c r="L2611" i="3"/>
  <c r="M2612" i="3"/>
  <c r="L2612" i="3"/>
  <c r="M2613" i="3"/>
  <c r="L2613" i="3"/>
  <c r="M2614" i="3"/>
  <c r="L2614" i="3"/>
  <c r="M2615" i="3"/>
  <c r="L2615" i="3"/>
  <c r="M2616" i="3"/>
  <c r="L2616" i="3"/>
  <c r="M2617" i="3"/>
  <c r="L2617" i="3"/>
  <c r="M2618" i="3"/>
  <c r="L2618" i="3"/>
  <c r="M2619" i="3"/>
  <c r="L2619" i="3"/>
  <c r="M2620" i="3"/>
  <c r="M2621" i="3"/>
  <c r="M2622" i="3"/>
  <c r="M2623" i="3"/>
  <c r="M2624" i="3"/>
  <c r="M2625" i="3"/>
  <c r="M2626" i="3"/>
  <c r="M2627" i="3"/>
  <c r="M2628" i="3"/>
  <c r="M2629" i="3"/>
  <c r="M2630" i="3"/>
  <c r="M2631" i="3"/>
  <c r="M2632" i="3"/>
  <c r="M2633" i="3"/>
  <c r="M2634" i="3"/>
  <c r="M2635" i="3"/>
  <c r="M2636" i="3"/>
  <c r="M2637" i="3"/>
  <c r="M2638" i="3"/>
  <c r="L2638" i="3"/>
  <c r="M2639" i="3"/>
  <c r="L2639" i="3"/>
  <c r="M2640" i="3"/>
  <c r="L2640" i="3"/>
  <c r="M2641" i="3"/>
  <c r="L2641" i="3"/>
  <c r="M2642" i="3"/>
  <c r="L2642" i="3"/>
  <c r="M2643" i="3"/>
  <c r="L2643" i="3"/>
  <c r="M2644" i="3"/>
  <c r="L2644" i="3"/>
  <c r="M2648" i="3"/>
  <c r="L2648" i="3"/>
  <c r="M2649" i="3"/>
  <c r="L2649" i="3"/>
  <c r="M2650" i="3"/>
  <c r="L2650" i="3"/>
  <c r="M2651" i="3"/>
  <c r="L2651" i="3"/>
  <c r="M2652" i="3"/>
  <c r="L2652" i="3"/>
  <c r="M2653" i="3"/>
  <c r="L2653" i="3"/>
  <c r="M2654" i="3"/>
  <c r="L2654" i="3"/>
  <c r="M2655" i="3"/>
  <c r="L2655" i="3"/>
  <c r="M2656" i="3"/>
  <c r="L2656" i="3"/>
  <c r="M2657" i="3"/>
  <c r="L2657" i="3"/>
  <c r="M2658" i="3"/>
  <c r="M2659" i="3"/>
  <c r="M2660" i="3"/>
  <c r="M2661" i="3"/>
  <c r="M2662" i="3"/>
  <c r="M2663" i="3"/>
  <c r="M2664" i="3"/>
  <c r="M2665" i="3"/>
  <c r="M2666" i="3"/>
  <c r="M2667" i="3"/>
  <c r="M2668" i="3"/>
  <c r="M2669" i="3"/>
  <c r="M2670" i="3"/>
  <c r="M2671" i="3"/>
  <c r="M2672" i="3"/>
  <c r="M2673" i="3"/>
  <c r="M2674" i="3"/>
  <c r="M2675" i="3"/>
  <c r="M2676" i="3"/>
  <c r="L2676" i="3"/>
  <c r="M2677" i="3"/>
  <c r="L2677" i="3"/>
  <c r="M2678" i="3"/>
  <c r="M2679" i="3"/>
  <c r="L2679" i="3"/>
  <c r="M2680" i="3"/>
  <c r="L2680" i="3"/>
  <c r="M2681" i="3"/>
  <c r="L2681" i="3"/>
  <c r="M2682" i="3"/>
  <c r="L2682" i="3"/>
  <c r="M2683" i="3"/>
  <c r="L2683" i="3"/>
  <c r="M2684" i="3"/>
  <c r="M2685" i="3"/>
  <c r="L2685" i="3"/>
  <c r="M2686" i="3"/>
  <c r="M2687" i="3"/>
  <c r="L2687" i="3"/>
  <c r="M2688" i="3"/>
  <c r="M2689" i="3"/>
  <c r="L2689" i="3"/>
  <c r="M2690" i="3"/>
  <c r="M2691" i="3"/>
  <c r="M2692" i="3"/>
  <c r="L2692" i="3"/>
  <c r="M2693" i="3"/>
  <c r="M2694" i="3"/>
  <c r="L2694" i="3"/>
  <c r="M2695" i="3"/>
  <c r="L2695" i="3"/>
  <c r="M2696" i="3"/>
  <c r="L2696" i="3"/>
  <c r="M2697" i="3"/>
  <c r="M2698" i="3"/>
  <c r="L2698" i="3"/>
  <c r="M2699" i="3"/>
  <c r="M2700" i="3"/>
  <c r="L2700" i="3"/>
  <c r="M2701" i="3"/>
  <c r="M2702" i="3"/>
  <c r="L2702" i="3"/>
  <c r="M2703" i="3"/>
  <c r="M2704" i="3"/>
  <c r="L2704" i="3"/>
  <c r="M2705" i="3"/>
  <c r="M2706" i="3"/>
  <c r="M2707" i="3"/>
  <c r="L2707" i="3"/>
  <c r="M2708" i="3"/>
  <c r="M2709" i="3"/>
  <c r="L2709" i="3"/>
  <c r="M2710" i="3"/>
  <c r="L2710" i="3"/>
  <c r="M2711" i="3"/>
  <c r="L2711" i="3"/>
  <c r="M2712" i="3"/>
  <c r="M2713" i="3"/>
  <c r="L2713" i="3"/>
  <c r="M2714" i="3"/>
  <c r="M2715" i="3"/>
  <c r="L2715" i="3"/>
  <c r="M2716" i="3"/>
  <c r="M2717" i="3"/>
  <c r="L2717" i="3"/>
  <c r="M2718" i="3"/>
  <c r="M2719" i="3"/>
  <c r="L2719" i="3"/>
  <c r="M2720" i="3"/>
  <c r="M2721" i="3"/>
  <c r="M2722" i="3"/>
  <c r="L2722" i="3"/>
  <c r="M2723" i="3"/>
  <c r="M2724" i="3"/>
  <c r="L2724" i="3"/>
  <c r="M2725" i="3"/>
  <c r="L2725" i="3"/>
  <c r="M2726" i="3"/>
  <c r="L2726" i="3"/>
  <c r="M2727" i="3"/>
  <c r="M2728" i="3"/>
  <c r="L2728" i="3"/>
  <c r="M2729" i="3"/>
  <c r="M2730" i="3"/>
  <c r="L2730" i="3"/>
  <c r="M2731" i="3"/>
  <c r="M2732" i="3"/>
  <c r="L2732" i="3"/>
  <c r="M2733" i="3"/>
  <c r="M2734" i="3"/>
  <c r="L2734" i="3"/>
  <c r="M2735" i="3"/>
  <c r="M2736" i="3"/>
  <c r="M2737" i="3"/>
  <c r="L2737" i="3"/>
  <c r="M2738" i="3"/>
  <c r="M2739" i="3"/>
  <c r="L2739" i="3"/>
  <c r="M2740" i="3"/>
  <c r="L2740" i="3"/>
  <c r="M2741" i="3"/>
  <c r="L2741" i="3"/>
  <c r="M2742" i="3"/>
  <c r="M2743" i="3"/>
  <c r="L2743" i="3"/>
  <c r="M2744" i="3"/>
  <c r="M2745" i="3"/>
  <c r="L2745" i="3"/>
  <c r="M2746" i="3"/>
  <c r="M2747" i="3"/>
  <c r="L2747" i="3"/>
  <c r="M2748" i="3"/>
  <c r="M2749" i="3"/>
  <c r="L2749" i="3"/>
  <c r="M2750" i="3"/>
  <c r="M2751" i="3"/>
  <c r="M2752" i="3"/>
  <c r="L2752" i="3"/>
  <c r="M2753" i="3"/>
  <c r="M2754" i="3"/>
  <c r="L2754" i="3"/>
  <c r="M2755" i="3"/>
  <c r="L2755" i="3"/>
  <c r="M2756" i="3"/>
  <c r="L2756" i="3"/>
  <c r="M2757" i="3"/>
  <c r="M2758" i="3"/>
  <c r="L2758" i="3"/>
  <c r="M2759" i="3"/>
  <c r="M2760" i="3"/>
  <c r="L2760" i="3"/>
  <c r="M2761" i="3"/>
  <c r="M2762" i="3"/>
  <c r="L2762" i="3"/>
  <c r="M2763" i="3"/>
  <c r="M2764" i="3"/>
  <c r="L2764" i="3"/>
  <c r="M2765" i="3"/>
  <c r="M2766" i="3"/>
  <c r="M2767" i="3"/>
  <c r="L2767" i="3"/>
  <c r="M2768" i="3"/>
  <c r="M2769" i="3"/>
  <c r="L2769" i="3"/>
  <c r="M2770" i="3"/>
  <c r="L2770" i="3"/>
  <c r="M2771" i="3"/>
  <c r="L2771" i="3"/>
  <c r="M2772" i="3"/>
  <c r="M2773" i="3"/>
  <c r="L2773" i="3"/>
  <c r="M2774" i="3"/>
  <c r="M2775" i="3"/>
  <c r="L2775" i="3"/>
  <c r="M2776" i="3"/>
  <c r="M2777" i="3"/>
  <c r="L2777" i="3"/>
  <c r="M2778" i="3"/>
  <c r="M2779" i="3"/>
  <c r="L2779" i="3"/>
  <c r="M2780" i="3"/>
  <c r="M2781" i="3"/>
  <c r="M2782" i="3"/>
  <c r="L2782" i="3"/>
  <c r="M2783" i="3"/>
  <c r="M2784" i="3"/>
  <c r="L2784" i="3"/>
  <c r="M2785" i="3"/>
  <c r="L2785" i="3"/>
  <c r="M2786" i="3"/>
  <c r="L2786" i="3"/>
  <c r="M2787" i="3"/>
  <c r="M2788" i="3"/>
  <c r="L2788" i="3"/>
  <c r="M2789" i="3"/>
  <c r="L2789" i="3"/>
  <c r="M2790" i="3"/>
  <c r="L2790" i="3"/>
  <c r="M2791" i="3"/>
  <c r="L2791" i="3"/>
  <c r="M2792" i="3"/>
  <c r="L2792" i="3"/>
  <c r="M2793" i="3"/>
  <c r="L2793" i="3"/>
  <c r="M2794" i="3"/>
  <c r="L2794" i="3"/>
  <c r="M2795" i="3"/>
  <c r="L2795" i="3"/>
  <c r="M2796" i="3"/>
  <c r="L2796" i="3"/>
  <c r="M2797" i="3"/>
  <c r="L2797" i="3"/>
  <c r="M2798" i="3"/>
  <c r="L2798" i="3"/>
  <c r="M2799" i="3"/>
  <c r="L2799" i="3"/>
  <c r="M2800" i="3"/>
  <c r="L2800" i="3"/>
  <c r="M2801" i="3"/>
  <c r="L2801" i="3"/>
  <c r="M2802" i="3"/>
  <c r="L2802" i="3"/>
  <c r="M2803" i="3"/>
  <c r="L2803" i="3"/>
  <c r="M2804" i="3"/>
  <c r="L2804" i="3"/>
  <c r="M2805" i="3"/>
  <c r="L2805" i="3"/>
  <c r="M2806" i="3"/>
  <c r="L2806" i="3"/>
  <c r="M2807" i="3"/>
  <c r="L2807" i="3"/>
  <c r="M2808" i="3"/>
  <c r="L2808" i="3"/>
  <c r="M2809" i="3"/>
  <c r="L2809" i="3"/>
  <c r="M2810" i="3"/>
  <c r="L2810" i="3"/>
  <c r="M2811" i="3"/>
  <c r="L2811" i="3"/>
  <c r="M2812" i="3"/>
  <c r="L2812" i="3"/>
  <c r="M2813" i="3"/>
  <c r="L2813" i="3"/>
  <c r="M2814" i="3"/>
  <c r="L2814" i="3"/>
  <c r="M2815" i="3"/>
  <c r="L2815" i="3"/>
  <c r="M2816" i="3"/>
  <c r="L2816" i="3"/>
  <c r="M2817" i="3"/>
  <c r="L2817" i="3"/>
  <c r="M2818" i="3"/>
  <c r="L2818" i="3"/>
  <c r="M2819" i="3"/>
  <c r="L2819" i="3"/>
  <c r="M2820" i="3"/>
  <c r="L2820" i="3"/>
  <c r="M2821" i="3"/>
  <c r="L2821" i="3"/>
  <c r="M2822" i="3"/>
  <c r="L2822" i="3"/>
  <c r="M2823" i="3"/>
  <c r="L2823" i="3"/>
  <c r="M2824" i="3"/>
  <c r="L2824" i="3"/>
  <c r="M2825" i="3"/>
  <c r="L2825" i="3"/>
  <c r="M2826" i="3"/>
  <c r="M2827" i="3"/>
  <c r="M2828" i="3"/>
  <c r="M2829" i="3"/>
  <c r="M2830" i="3"/>
  <c r="M2831" i="3"/>
  <c r="M2832" i="3"/>
  <c r="E231" i="11"/>
  <c r="E232" i="11"/>
  <c r="E233" i="11"/>
  <c r="E234" i="11"/>
  <c r="V2832" i="3"/>
  <c r="V2829" i="3"/>
  <c r="V2830" i="3"/>
  <c r="O2831" i="3"/>
  <c r="O2830" i="3"/>
  <c r="O2829" i="3"/>
  <c r="O2828" i="3"/>
  <c r="A2831" i="3"/>
  <c r="A2830" i="3"/>
  <c r="A2829" i="3"/>
  <c r="A2828" i="3"/>
  <c r="A2832" i="3"/>
  <c r="A2827" i="3"/>
  <c r="A2826" i="3"/>
  <c r="O2824" i="3"/>
  <c r="A2824" i="3"/>
  <c r="V2825" i="3"/>
  <c r="O2826" i="3"/>
  <c r="O2827" i="3"/>
  <c r="O2832" i="3"/>
  <c r="O2825" i="3"/>
  <c r="A2825" i="3"/>
  <c r="O2823" i="3"/>
  <c r="A2823" i="3"/>
  <c r="A2788" i="3"/>
  <c r="A2789" i="3"/>
  <c r="A2790" i="3"/>
  <c r="A2791" i="3"/>
  <c r="A2792" i="3"/>
  <c r="A2793" i="3"/>
  <c r="A2794" i="3"/>
  <c r="A2795" i="3"/>
  <c r="A2796" i="3"/>
  <c r="A2797" i="3"/>
  <c r="A2798" i="3"/>
  <c r="A2799" i="3"/>
  <c r="A2800" i="3"/>
  <c r="A2801" i="3"/>
  <c r="A2802" i="3"/>
  <c r="A2803" i="3"/>
  <c r="A2804" i="3"/>
  <c r="A2805" i="3"/>
  <c r="A2806" i="3"/>
  <c r="A2807" i="3"/>
  <c r="A2808" i="3"/>
  <c r="A2809" i="3"/>
  <c r="A2810" i="3"/>
  <c r="A2811" i="3"/>
  <c r="A2812" i="3"/>
  <c r="A2813" i="3"/>
  <c r="A2814" i="3"/>
  <c r="A2815" i="3"/>
  <c r="A2816" i="3"/>
  <c r="A2817" i="3"/>
  <c r="A2818" i="3"/>
  <c r="A2819" i="3"/>
  <c r="A2820" i="3"/>
  <c r="A2821" i="3"/>
  <c r="A2822" i="3"/>
  <c r="O2822" i="3"/>
  <c r="O2821" i="3"/>
  <c r="O2820" i="3"/>
  <c r="O2819" i="3"/>
  <c r="O2818" i="3"/>
  <c r="O2817" i="3"/>
  <c r="O2816" i="3"/>
  <c r="O2815" i="3"/>
  <c r="O2814" i="3"/>
  <c r="O2813" i="3"/>
  <c r="O2812" i="3"/>
  <c r="O2811" i="3"/>
  <c r="O2810" i="3"/>
  <c r="O2809" i="3"/>
  <c r="O2808" i="3"/>
  <c r="O2807" i="3"/>
  <c r="O2806" i="3"/>
  <c r="O2805" i="3"/>
  <c r="O2804" i="3"/>
  <c r="O2803" i="3"/>
  <c r="O2802" i="3"/>
  <c r="O2801" i="3"/>
  <c r="O2800" i="3"/>
  <c r="O2799" i="3"/>
  <c r="O2798" i="3"/>
  <c r="O2797" i="3"/>
  <c r="O2796" i="3"/>
  <c r="O2795" i="3"/>
  <c r="O2794" i="3"/>
  <c r="O2793" i="3"/>
  <c r="O2788" i="3"/>
  <c r="O2789" i="3"/>
  <c r="O2792" i="3"/>
  <c r="O2790" i="3"/>
  <c r="O2791" i="3"/>
  <c r="K23" i="3"/>
  <c r="K24" i="3"/>
  <c r="K25" i="3"/>
  <c r="K26" i="3"/>
  <c r="K27" i="3"/>
  <c r="K28" i="3"/>
  <c r="K29" i="3"/>
  <c r="K30" i="3"/>
  <c r="K31" i="3"/>
  <c r="K32" i="3"/>
  <c r="K33" i="3"/>
  <c r="K34" i="3"/>
  <c r="K129" i="3"/>
  <c r="K130" i="3"/>
  <c r="K131" i="3"/>
  <c r="K132" i="3"/>
  <c r="K133" i="3"/>
  <c r="K227" i="3"/>
  <c r="K228" i="3"/>
  <c r="K229" i="3"/>
  <c r="K230" i="3"/>
  <c r="K231" i="3"/>
  <c r="K232" i="3"/>
  <c r="K233" i="3"/>
  <c r="K234" i="3"/>
  <c r="K235" i="3"/>
  <c r="K236" i="3"/>
  <c r="K237" i="3"/>
  <c r="K238" i="3"/>
  <c r="K239" i="3"/>
  <c r="K335" i="3"/>
  <c r="K336" i="3"/>
  <c r="K337" i="3"/>
  <c r="K338" i="3"/>
  <c r="K339" i="3"/>
  <c r="K340" i="3"/>
  <c r="K341" i="3"/>
  <c r="K342" i="3"/>
  <c r="K2367" i="3"/>
  <c r="K2368" i="3"/>
  <c r="K2369" i="3"/>
  <c r="K2370" i="3"/>
  <c r="K2371" i="3"/>
  <c r="K2372" i="3"/>
  <c r="K2373" i="3"/>
  <c r="K2374" i="3"/>
  <c r="K2375" i="3"/>
  <c r="K2376" i="3"/>
  <c r="K2377" i="3"/>
  <c r="K2378" i="3"/>
  <c r="K2379" i="3"/>
  <c r="K2380" i="3"/>
  <c r="K2395" i="3"/>
  <c r="K2396" i="3"/>
  <c r="K2397" i="3"/>
  <c r="K2398" i="3"/>
  <c r="K2399" i="3"/>
  <c r="K2400" i="3"/>
  <c r="K2401" i="3"/>
  <c r="K2402" i="3"/>
  <c r="K2403" i="3"/>
  <c r="K2404" i="3"/>
  <c r="K2405" i="3"/>
  <c r="K2406" i="3"/>
  <c r="K2407" i="3"/>
  <c r="K2408" i="3"/>
  <c r="K2645" i="3"/>
  <c r="K2646" i="3"/>
  <c r="K2647" i="3"/>
  <c r="J23" i="3"/>
  <c r="J24" i="3"/>
  <c r="J25" i="3"/>
  <c r="J26" i="3"/>
  <c r="J27" i="3"/>
  <c r="J28" i="3"/>
  <c r="J29" i="3"/>
  <c r="J30" i="3"/>
  <c r="J31" i="3"/>
  <c r="J32" i="3"/>
  <c r="J33" i="3"/>
  <c r="J34" i="3"/>
  <c r="J129" i="3"/>
  <c r="J130" i="3"/>
  <c r="J131" i="3"/>
  <c r="J132" i="3"/>
  <c r="J133" i="3"/>
  <c r="J227" i="3"/>
  <c r="J228" i="3"/>
  <c r="J229" i="3"/>
  <c r="J230" i="3"/>
  <c r="J231" i="3"/>
  <c r="J232" i="3"/>
  <c r="J233" i="3"/>
  <c r="J234" i="3"/>
  <c r="J235" i="3"/>
  <c r="J236" i="3"/>
  <c r="J237" i="3"/>
  <c r="J238" i="3"/>
  <c r="J239" i="3"/>
  <c r="J335" i="3"/>
  <c r="J336" i="3"/>
  <c r="J337" i="3"/>
  <c r="J338" i="3"/>
  <c r="J339" i="3"/>
  <c r="J340" i="3"/>
  <c r="J341" i="3"/>
  <c r="J342" i="3"/>
  <c r="J2367" i="3"/>
  <c r="J2368" i="3"/>
  <c r="J2369" i="3"/>
  <c r="J2370" i="3"/>
  <c r="J2371" i="3"/>
  <c r="J2372" i="3"/>
  <c r="J2373" i="3"/>
  <c r="J2374" i="3"/>
  <c r="J2375" i="3"/>
  <c r="J2376" i="3"/>
  <c r="J2377" i="3"/>
  <c r="J2378" i="3"/>
  <c r="J2379" i="3"/>
  <c r="J2380" i="3"/>
  <c r="J2395" i="3"/>
  <c r="J2396" i="3"/>
  <c r="J2397" i="3"/>
  <c r="J2398" i="3"/>
  <c r="J2399" i="3"/>
  <c r="J2400" i="3"/>
  <c r="J2401" i="3"/>
  <c r="J2402" i="3"/>
  <c r="J2403" i="3"/>
  <c r="J2404" i="3"/>
  <c r="J2405" i="3"/>
  <c r="J2406" i="3"/>
  <c r="J2407" i="3"/>
  <c r="J2408" i="3"/>
  <c r="J2645" i="3"/>
  <c r="J2646" i="3"/>
  <c r="J2647" i="3"/>
  <c r="I23" i="3"/>
  <c r="I24" i="3"/>
  <c r="I25" i="3"/>
  <c r="I26" i="3"/>
  <c r="I27" i="3"/>
  <c r="I28" i="3"/>
  <c r="I29" i="3"/>
  <c r="I30" i="3"/>
  <c r="I31" i="3"/>
  <c r="I32" i="3"/>
  <c r="I33" i="3"/>
  <c r="I34" i="3"/>
  <c r="I129" i="3"/>
  <c r="I130" i="3"/>
  <c r="I131" i="3"/>
  <c r="I132" i="3"/>
  <c r="I133" i="3"/>
  <c r="I227" i="3"/>
  <c r="I228" i="3"/>
  <c r="I229" i="3"/>
  <c r="I230" i="3"/>
  <c r="I231" i="3"/>
  <c r="I232" i="3"/>
  <c r="I233" i="3"/>
  <c r="I234" i="3"/>
  <c r="I235" i="3"/>
  <c r="I236" i="3"/>
  <c r="I237" i="3"/>
  <c r="I238" i="3"/>
  <c r="I239" i="3"/>
  <c r="I335" i="3"/>
  <c r="I336" i="3"/>
  <c r="I337" i="3"/>
  <c r="I338" i="3"/>
  <c r="I339" i="3"/>
  <c r="I340" i="3"/>
  <c r="I341" i="3"/>
  <c r="I342" i="3"/>
  <c r="I2367" i="3"/>
  <c r="I2368" i="3"/>
  <c r="I2369" i="3"/>
  <c r="I2370" i="3"/>
  <c r="I2371" i="3"/>
  <c r="I2372" i="3"/>
  <c r="I2373" i="3"/>
  <c r="I2374" i="3"/>
  <c r="I2375" i="3"/>
  <c r="I2376" i="3"/>
  <c r="I2377" i="3"/>
  <c r="I2378" i="3"/>
  <c r="I2379" i="3"/>
  <c r="I2380" i="3"/>
  <c r="I2395" i="3"/>
  <c r="I2396" i="3"/>
  <c r="I2397" i="3"/>
  <c r="I2398" i="3"/>
  <c r="I2399" i="3"/>
  <c r="I2400" i="3"/>
  <c r="I2401" i="3"/>
  <c r="I2402" i="3"/>
  <c r="I2403" i="3"/>
  <c r="I2404" i="3"/>
  <c r="I2405" i="3"/>
  <c r="I2406" i="3"/>
  <c r="I2407" i="3"/>
  <c r="I2408" i="3"/>
  <c r="I2645" i="3"/>
  <c r="I2646" i="3"/>
  <c r="I2647" i="3"/>
  <c r="H23" i="3"/>
  <c r="H24" i="3"/>
  <c r="H25" i="3"/>
  <c r="H26" i="3"/>
  <c r="H27" i="3"/>
  <c r="H28" i="3"/>
  <c r="H29" i="3"/>
  <c r="H30" i="3"/>
  <c r="H31" i="3"/>
  <c r="H32" i="3"/>
  <c r="H33" i="3"/>
  <c r="H34" i="3"/>
  <c r="H129" i="3"/>
  <c r="H130" i="3"/>
  <c r="H131" i="3"/>
  <c r="H132" i="3"/>
  <c r="H133" i="3"/>
  <c r="H227" i="3"/>
  <c r="H228" i="3"/>
  <c r="H229" i="3"/>
  <c r="H230" i="3"/>
  <c r="H231" i="3"/>
  <c r="H232" i="3"/>
  <c r="H233" i="3"/>
  <c r="H234" i="3"/>
  <c r="H235" i="3"/>
  <c r="H236" i="3"/>
  <c r="H237" i="3"/>
  <c r="H238" i="3"/>
  <c r="H239" i="3"/>
  <c r="H335" i="3"/>
  <c r="H336" i="3"/>
  <c r="H337" i="3"/>
  <c r="H338" i="3"/>
  <c r="H339" i="3"/>
  <c r="H340" i="3"/>
  <c r="H341" i="3"/>
  <c r="H342" i="3"/>
  <c r="H2367" i="3"/>
  <c r="H2368" i="3"/>
  <c r="H2369" i="3"/>
  <c r="H2370" i="3"/>
  <c r="H2371" i="3"/>
  <c r="H2372" i="3"/>
  <c r="H2373" i="3"/>
  <c r="H2374" i="3"/>
  <c r="H2375" i="3"/>
  <c r="H2376" i="3"/>
  <c r="H2377" i="3"/>
  <c r="H2378" i="3"/>
  <c r="H2379" i="3"/>
  <c r="H2380" i="3"/>
  <c r="H2395" i="3"/>
  <c r="H2396" i="3"/>
  <c r="H2397" i="3"/>
  <c r="H2398" i="3"/>
  <c r="H2399" i="3"/>
  <c r="H2400" i="3"/>
  <c r="H2401" i="3"/>
  <c r="H2402" i="3"/>
  <c r="H2403" i="3"/>
  <c r="H2404" i="3"/>
  <c r="H2405" i="3"/>
  <c r="H2406" i="3"/>
  <c r="H2407" i="3"/>
  <c r="H2408" i="3"/>
  <c r="H2645" i="3"/>
  <c r="H2646" i="3"/>
  <c r="H2647" i="3"/>
  <c r="G23" i="3"/>
  <c r="G24" i="3"/>
  <c r="G25" i="3"/>
  <c r="G26" i="3"/>
  <c r="G27" i="3"/>
  <c r="G28" i="3"/>
  <c r="G29" i="3"/>
  <c r="G30" i="3"/>
  <c r="G31" i="3"/>
  <c r="G32" i="3"/>
  <c r="G33" i="3"/>
  <c r="G34" i="3"/>
  <c r="G129" i="3"/>
  <c r="G130" i="3"/>
  <c r="G131" i="3"/>
  <c r="G132" i="3"/>
  <c r="G133" i="3"/>
  <c r="G227" i="3"/>
  <c r="G228" i="3"/>
  <c r="G229" i="3"/>
  <c r="G230" i="3"/>
  <c r="G231" i="3"/>
  <c r="G232" i="3"/>
  <c r="G233" i="3"/>
  <c r="G234" i="3"/>
  <c r="G235" i="3"/>
  <c r="G236" i="3"/>
  <c r="G237" i="3"/>
  <c r="G238" i="3"/>
  <c r="G239" i="3"/>
  <c r="G335" i="3"/>
  <c r="G336" i="3"/>
  <c r="G337" i="3"/>
  <c r="G338" i="3"/>
  <c r="G339" i="3"/>
  <c r="G340" i="3"/>
  <c r="G341" i="3"/>
  <c r="G342" i="3"/>
  <c r="G2367" i="3"/>
  <c r="G2368" i="3"/>
  <c r="G2369" i="3"/>
  <c r="G2370" i="3"/>
  <c r="G2371" i="3"/>
  <c r="G2372" i="3"/>
  <c r="G2373" i="3"/>
  <c r="G2374" i="3"/>
  <c r="G2375" i="3"/>
  <c r="G2376" i="3"/>
  <c r="G2377" i="3"/>
  <c r="G2378" i="3"/>
  <c r="G2379" i="3"/>
  <c r="G2380" i="3"/>
  <c r="G2395" i="3"/>
  <c r="G2396" i="3"/>
  <c r="G2397" i="3"/>
  <c r="G2398" i="3"/>
  <c r="G2399" i="3"/>
  <c r="G2400" i="3"/>
  <c r="G2401" i="3"/>
  <c r="G2402" i="3"/>
  <c r="G2403" i="3"/>
  <c r="G2404" i="3"/>
  <c r="G2405" i="3"/>
  <c r="G2406" i="3"/>
  <c r="G2407" i="3"/>
  <c r="G2408" i="3"/>
  <c r="G2645" i="3"/>
  <c r="G2646" i="3"/>
  <c r="G2647" i="3"/>
  <c r="P170" i="11"/>
  <c r="E170" i="11"/>
  <c r="P169" i="11"/>
  <c r="E169" i="11"/>
  <c r="M123" i="23"/>
  <c r="K123" i="23"/>
  <c r="J123" i="23"/>
  <c r="I123" i="23"/>
  <c r="H123" i="23"/>
  <c r="A123" i="23"/>
  <c r="M122" i="23"/>
  <c r="K122" i="23"/>
  <c r="J122" i="23"/>
  <c r="I122" i="23"/>
  <c r="H122" i="23"/>
  <c r="A122" i="23"/>
  <c r="M121" i="23"/>
  <c r="K121" i="23"/>
  <c r="J121" i="23"/>
  <c r="I121" i="23"/>
  <c r="H121" i="23"/>
  <c r="A121" i="23"/>
  <c r="M120" i="23"/>
  <c r="K120" i="23"/>
  <c r="J120" i="23"/>
  <c r="I120" i="23"/>
  <c r="H120" i="23"/>
  <c r="A120" i="23"/>
  <c r="M119" i="23"/>
  <c r="K119" i="23"/>
  <c r="J119" i="23"/>
  <c r="I119" i="23"/>
  <c r="H119" i="23"/>
  <c r="A119" i="23"/>
  <c r="M118" i="23"/>
  <c r="K118" i="23"/>
  <c r="J118" i="23"/>
  <c r="I118" i="23"/>
  <c r="H118" i="23"/>
  <c r="A118" i="23"/>
  <c r="M117" i="23"/>
  <c r="K117" i="23"/>
  <c r="J117" i="23"/>
  <c r="I117" i="23"/>
  <c r="H117" i="23"/>
  <c r="A117" i="23"/>
  <c r="M116" i="23"/>
  <c r="K116" i="23"/>
  <c r="J116" i="23"/>
  <c r="I116" i="23"/>
  <c r="H116" i="23"/>
  <c r="A116" i="23"/>
  <c r="M115" i="23"/>
  <c r="K115" i="23"/>
  <c r="J115" i="23"/>
  <c r="I115" i="23"/>
  <c r="H115" i="23"/>
  <c r="A115" i="23"/>
  <c r="M114" i="23"/>
  <c r="K114" i="23"/>
  <c r="J114" i="23"/>
  <c r="I114" i="23"/>
  <c r="H114" i="23"/>
  <c r="A114" i="23"/>
  <c r="M113" i="23"/>
  <c r="K113" i="23"/>
  <c r="J113" i="23"/>
  <c r="I113" i="23"/>
  <c r="H113" i="23"/>
  <c r="A113" i="23"/>
  <c r="M112" i="23"/>
  <c r="K112" i="23"/>
  <c r="J112" i="23"/>
  <c r="I112" i="23"/>
  <c r="H112" i="23"/>
  <c r="A112" i="23"/>
  <c r="M111" i="23"/>
  <c r="K111" i="23"/>
  <c r="J111" i="23"/>
  <c r="I111" i="23"/>
  <c r="H111" i="23"/>
  <c r="A111" i="23"/>
  <c r="M110" i="23"/>
  <c r="K110" i="23"/>
  <c r="J110" i="23"/>
  <c r="I110" i="23"/>
  <c r="H110" i="23"/>
  <c r="A110" i="23"/>
  <c r="M109" i="23"/>
  <c r="K109" i="23"/>
  <c r="J109" i="23"/>
  <c r="I109" i="23"/>
  <c r="H109" i="23"/>
  <c r="A109" i="23"/>
  <c r="M108" i="23"/>
  <c r="K108" i="23"/>
  <c r="J108" i="23"/>
  <c r="I108" i="23"/>
  <c r="H108" i="23"/>
  <c r="A108" i="23"/>
  <c r="M107" i="23"/>
  <c r="K107" i="23"/>
  <c r="J107" i="23"/>
  <c r="I107" i="23"/>
  <c r="H107" i="23"/>
  <c r="A107" i="23"/>
  <c r="M106" i="23"/>
  <c r="K106" i="23"/>
  <c r="J106" i="23"/>
  <c r="I106" i="23"/>
  <c r="H106" i="23"/>
  <c r="A106" i="23"/>
  <c r="M105" i="23"/>
  <c r="K105" i="23"/>
  <c r="J105" i="23"/>
  <c r="I105" i="23"/>
  <c r="H105" i="23"/>
  <c r="A105" i="23"/>
  <c r="M104" i="23"/>
  <c r="K104" i="23"/>
  <c r="J104" i="23"/>
  <c r="I104" i="23"/>
  <c r="H104" i="23"/>
  <c r="A104" i="23"/>
  <c r="M103" i="23"/>
  <c r="K103" i="23"/>
  <c r="J103" i="23"/>
  <c r="I103" i="23"/>
  <c r="H103" i="23"/>
  <c r="A103" i="23"/>
  <c r="K102" i="23"/>
  <c r="J102" i="23"/>
  <c r="I102" i="23"/>
  <c r="H102" i="23"/>
  <c r="M101" i="23"/>
  <c r="K101" i="23"/>
  <c r="J101" i="23"/>
  <c r="I101" i="23"/>
  <c r="H101" i="23"/>
  <c r="A101" i="23"/>
  <c r="M100" i="23"/>
  <c r="K100" i="23"/>
  <c r="J100" i="23"/>
  <c r="I100" i="23"/>
  <c r="H100" i="23"/>
  <c r="A100" i="23"/>
  <c r="M99" i="23"/>
  <c r="K99" i="23"/>
  <c r="J99" i="23"/>
  <c r="I99" i="23"/>
  <c r="H99" i="23"/>
  <c r="A99" i="23"/>
  <c r="M98" i="23"/>
  <c r="K98" i="23"/>
  <c r="J98" i="23"/>
  <c r="I98" i="23"/>
  <c r="H98" i="23"/>
  <c r="A98" i="23"/>
  <c r="K97" i="23"/>
  <c r="J97" i="23"/>
  <c r="I97" i="23"/>
  <c r="H97" i="23"/>
  <c r="K96" i="23"/>
  <c r="J96" i="23"/>
  <c r="I96" i="23"/>
  <c r="H96" i="23"/>
  <c r="M95" i="23"/>
  <c r="K95" i="23"/>
  <c r="J95" i="23"/>
  <c r="I95" i="23"/>
  <c r="H95" i="23"/>
  <c r="A95" i="23"/>
  <c r="M94" i="23"/>
  <c r="K94" i="23"/>
  <c r="J94" i="23"/>
  <c r="I94" i="23"/>
  <c r="H94" i="23"/>
  <c r="A94" i="23"/>
  <c r="M93" i="23"/>
  <c r="K93" i="23"/>
  <c r="J93" i="23"/>
  <c r="I93" i="23"/>
  <c r="H93" i="23"/>
  <c r="A93" i="23"/>
  <c r="M92" i="23"/>
  <c r="K92" i="23"/>
  <c r="J92" i="23"/>
  <c r="I92" i="23"/>
  <c r="H92" i="23"/>
  <c r="A92" i="23"/>
  <c r="M91" i="23"/>
  <c r="K91" i="23"/>
  <c r="J91" i="23"/>
  <c r="I91" i="23"/>
  <c r="H91" i="23"/>
  <c r="A91" i="23"/>
  <c r="M90" i="23"/>
  <c r="K90" i="23"/>
  <c r="J90" i="23"/>
  <c r="I90" i="23"/>
  <c r="H90" i="23"/>
  <c r="A90" i="23"/>
  <c r="M89" i="23"/>
  <c r="K89" i="23"/>
  <c r="J89" i="23"/>
  <c r="I89" i="23"/>
  <c r="H89" i="23"/>
  <c r="A89" i="23"/>
  <c r="M88" i="23"/>
  <c r="K88" i="23"/>
  <c r="J88" i="23"/>
  <c r="I88" i="23"/>
  <c r="H88" i="23"/>
  <c r="A88" i="23"/>
  <c r="M87" i="23"/>
  <c r="K87" i="23"/>
  <c r="J87" i="23"/>
  <c r="I87" i="23"/>
  <c r="H87" i="23"/>
  <c r="A87" i="23"/>
  <c r="M86" i="23"/>
  <c r="K86" i="23"/>
  <c r="J86" i="23"/>
  <c r="I86" i="23"/>
  <c r="H86" i="23"/>
  <c r="A86" i="23"/>
  <c r="M85" i="23"/>
  <c r="K85" i="23"/>
  <c r="J85" i="23"/>
  <c r="I85" i="23"/>
  <c r="H85" i="23"/>
  <c r="A85" i="23"/>
  <c r="M84" i="23"/>
  <c r="K84" i="23"/>
  <c r="J84" i="23"/>
  <c r="I84" i="23"/>
  <c r="H84" i="23"/>
  <c r="A84" i="23"/>
  <c r="M83" i="23"/>
  <c r="K83" i="23"/>
  <c r="J83" i="23"/>
  <c r="I83" i="23"/>
  <c r="H83" i="23"/>
  <c r="A83" i="23"/>
  <c r="M82" i="23"/>
  <c r="K82" i="23"/>
  <c r="J82" i="23"/>
  <c r="I82" i="23"/>
  <c r="H82" i="23"/>
  <c r="A82" i="23"/>
  <c r="M81" i="23"/>
  <c r="K81" i="23"/>
  <c r="J81" i="23"/>
  <c r="I81" i="23"/>
  <c r="H81" i="23"/>
  <c r="A81" i="23"/>
  <c r="M80" i="23"/>
  <c r="K80" i="23"/>
  <c r="J80" i="23"/>
  <c r="I80" i="23"/>
  <c r="H80" i="23"/>
  <c r="A80" i="23"/>
  <c r="M79" i="23"/>
  <c r="K79" i="23"/>
  <c r="J79" i="23"/>
  <c r="I79" i="23"/>
  <c r="H79" i="23"/>
  <c r="A79" i="23"/>
  <c r="M78" i="23"/>
  <c r="K78" i="23"/>
  <c r="J78" i="23"/>
  <c r="I78" i="23"/>
  <c r="H78" i="23"/>
  <c r="A78" i="23"/>
  <c r="M77" i="23"/>
  <c r="K77" i="23"/>
  <c r="J77" i="23"/>
  <c r="I77" i="23"/>
  <c r="H77" i="23"/>
  <c r="A77" i="23"/>
  <c r="M76" i="23"/>
  <c r="K76" i="23"/>
  <c r="J76" i="23"/>
  <c r="I76" i="23"/>
  <c r="H76" i="23"/>
  <c r="A76" i="23"/>
  <c r="M75" i="23"/>
  <c r="K75" i="23"/>
  <c r="J75" i="23"/>
  <c r="I75" i="23"/>
  <c r="H75" i="23"/>
  <c r="A75" i="23"/>
  <c r="M74" i="23"/>
  <c r="K74" i="23"/>
  <c r="J74" i="23"/>
  <c r="I74" i="23"/>
  <c r="H74" i="23"/>
  <c r="A74" i="23"/>
  <c r="M73" i="23"/>
  <c r="K73" i="23"/>
  <c r="J73" i="23"/>
  <c r="I73" i="23"/>
  <c r="H73" i="23"/>
  <c r="A73" i="23"/>
  <c r="M72" i="23"/>
  <c r="K72" i="23"/>
  <c r="J72" i="23"/>
  <c r="I72" i="23"/>
  <c r="H72" i="23"/>
  <c r="A72" i="23"/>
  <c r="M71" i="23"/>
  <c r="K71" i="23"/>
  <c r="J71" i="23"/>
  <c r="I71" i="23"/>
  <c r="H71" i="23"/>
  <c r="A71" i="23"/>
  <c r="M70" i="23"/>
  <c r="K70" i="23"/>
  <c r="J70" i="23"/>
  <c r="I70" i="23"/>
  <c r="H70" i="23"/>
  <c r="A70" i="23"/>
  <c r="M69" i="23"/>
  <c r="K69" i="23"/>
  <c r="J69" i="23"/>
  <c r="I69" i="23"/>
  <c r="H69" i="23"/>
  <c r="A69" i="23"/>
  <c r="M68" i="23"/>
  <c r="K68" i="23"/>
  <c r="J68" i="23"/>
  <c r="I68" i="23"/>
  <c r="H68" i="23"/>
  <c r="A68" i="23"/>
  <c r="M67" i="23"/>
  <c r="K67" i="23"/>
  <c r="J67" i="23"/>
  <c r="I67" i="23"/>
  <c r="H67" i="23"/>
  <c r="A67" i="23"/>
  <c r="M66" i="23"/>
  <c r="K66" i="23"/>
  <c r="J66" i="23"/>
  <c r="I66" i="23"/>
  <c r="H66" i="23"/>
  <c r="A66" i="23"/>
  <c r="M65" i="23"/>
  <c r="K65" i="23"/>
  <c r="J65" i="23"/>
  <c r="I65" i="23"/>
  <c r="H65" i="23"/>
  <c r="A65" i="23"/>
  <c r="M64" i="23"/>
  <c r="K64" i="23"/>
  <c r="J64" i="23"/>
  <c r="I64" i="23"/>
  <c r="H64" i="23"/>
  <c r="A64" i="23"/>
  <c r="M63" i="23"/>
  <c r="K63" i="23"/>
  <c r="J63" i="23"/>
  <c r="I63" i="23"/>
  <c r="H63" i="23"/>
  <c r="A63" i="23"/>
  <c r="M62" i="23"/>
  <c r="K62" i="23"/>
  <c r="J62" i="23"/>
  <c r="I62" i="23"/>
  <c r="H62" i="23"/>
  <c r="A62" i="23"/>
  <c r="M61" i="23"/>
  <c r="K61" i="23"/>
  <c r="J61" i="23"/>
  <c r="I61" i="23"/>
  <c r="H61" i="23"/>
  <c r="A61" i="23"/>
  <c r="M60" i="23"/>
  <c r="K60" i="23"/>
  <c r="J60" i="23"/>
  <c r="I60" i="23"/>
  <c r="H60" i="23"/>
  <c r="A60" i="23"/>
  <c r="M59" i="23"/>
  <c r="K59" i="23"/>
  <c r="J59" i="23"/>
  <c r="I59" i="23"/>
  <c r="H59" i="23"/>
  <c r="A59" i="23"/>
  <c r="M58" i="23"/>
  <c r="K58" i="23"/>
  <c r="J58" i="23"/>
  <c r="I58" i="23"/>
  <c r="H58" i="23"/>
  <c r="A58" i="23"/>
  <c r="M57" i="23"/>
  <c r="K57" i="23"/>
  <c r="J57" i="23"/>
  <c r="I57" i="23"/>
  <c r="H57" i="23"/>
  <c r="A57" i="23"/>
  <c r="M56" i="23"/>
  <c r="K56" i="23"/>
  <c r="J56" i="23"/>
  <c r="I56" i="23"/>
  <c r="H56" i="23"/>
  <c r="A56" i="23"/>
  <c r="M55" i="23"/>
  <c r="K55" i="23"/>
  <c r="J55" i="23"/>
  <c r="I55" i="23"/>
  <c r="H55" i="23"/>
  <c r="A55" i="23"/>
  <c r="M54" i="23"/>
  <c r="K54" i="23"/>
  <c r="J54" i="23"/>
  <c r="I54" i="23"/>
  <c r="H54" i="23"/>
  <c r="A54" i="23"/>
  <c r="M53" i="23"/>
  <c r="K53" i="23"/>
  <c r="J53" i="23"/>
  <c r="I53" i="23"/>
  <c r="H53" i="23"/>
  <c r="A53" i="23"/>
  <c r="M52" i="23"/>
  <c r="K52" i="23"/>
  <c r="J52" i="23"/>
  <c r="I52" i="23"/>
  <c r="H52" i="23"/>
  <c r="A52" i="23"/>
  <c r="M51" i="23"/>
  <c r="K51" i="23"/>
  <c r="J51" i="23"/>
  <c r="I51" i="23"/>
  <c r="H51" i="23"/>
  <c r="A51" i="23"/>
  <c r="M50" i="23"/>
  <c r="K50" i="23"/>
  <c r="J50" i="23"/>
  <c r="I50" i="23"/>
  <c r="H50" i="23"/>
  <c r="A50" i="23"/>
  <c r="M49" i="23"/>
  <c r="K49" i="23"/>
  <c r="J49" i="23"/>
  <c r="I49" i="23"/>
  <c r="H49" i="23"/>
  <c r="A49" i="23"/>
  <c r="M48" i="23"/>
  <c r="K48" i="23"/>
  <c r="J48" i="23"/>
  <c r="I48" i="23"/>
  <c r="H48" i="23"/>
  <c r="A48" i="23"/>
  <c r="M47" i="23"/>
  <c r="K47" i="23"/>
  <c r="J47" i="23"/>
  <c r="I47" i="23"/>
  <c r="H47" i="23"/>
  <c r="A47" i="23"/>
  <c r="M46" i="23"/>
  <c r="K46" i="23"/>
  <c r="J46" i="23"/>
  <c r="I46" i="23"/>
  <c r="H46" i="23"/>
  <c r="A46" i="23"/>
  <c r="M45" i="23"/>
  <c r="K45" i="23"/>
  <c r="J45" i="23"/>
  <c r="I45" i="23"/>
  <c r="H45" i="23"/>
  <c r="A45" i="23"/>
  <c r="M44" i="23"/>
  <c r="K44" i="23"/>
  <c r="J44" i="23"/>
  <c r="I44" i="23"/>
  <c r="H44" i="23"/>
  <c r="A44" i="23"/>
  <c r="M43" i="23"/>
  <c r="K43" i="23"/>
  <c r="J43" i="23"/>
  <c r="I43" i="23"/>
  <c r="H43" i="23"/>
  <c r="A43" i="23"/>
  <c r="M42" i="23"/>
  <c r="K42" i="23"/>
  <c r="J42" i="23"/>
  <c r="I42" i="23"/>
  <c r="H42" i="23"/>
  <c r="A42" i="23"/>
  <c r="M41" i="23"/>
  <c r="K41" i="23"/>
  <c r="J41" i="23"/>
  <c r="I41" i="23"/>
  <c r="H41" i="23"/>
  <c r="A41" i="23"/>
  <c r="M40" i="23"/>
  <c r="K40" i="23"/>
  <c r="J40" i="23"/>
  <c r="I40" i="23"/>
  <c r="H40" i="23"/>
  <c r="A40" i="23"/>
  <c r="M39" i="23"/>
  <c r="K39" i="23"/>
  <c r="J39" i="23"/>
  <c r="I39" i="23"/>
  <c r="H39" i="23"/>
  <c r="A39" i="23"/>
  <c r="M38" i="23"/>
  <c r="K38" i="23"/>
  <c r="J38" i="23"/>
  <c r="I38" i="23"/>
  <c r="H38" i="23"/>
  <c r="A38" i="23"/>
  <c r="M37" i="23"/>
  <c r="K37" i="23"/>
  <c r="J37" i="23"/>
  <c r="I37" i="23"/>
  <c r="H37" i="23"/>
  <c r="A37" i="23"/>
  <c r="M36" i="23"/>
  <c r="K36" i="23"/>
  <c r="J36" i="23"/>
  <c r="I36" i="23"/>
  <c r="H36" i="23"/>
  <c r="A36" i="23"/>
  <c r="M35" i="23"/>
  <c r="K35" i="23"/>
  <c r="J35" i="23"/>
  <c r="I35" i="23"/>
  <c r="H35" i="23"/>
  <c r="A35" i="23"/>
  <c r="M34" i="23"/>
  <c r="K34" i="23"/>
  <c r="J34" i="23"/>
  <c r="I34" i="23"/>
  <c r="H34" i="23"/>
  <c r="A34" i="23"/>
  <c r="M33" i="23"/>
  <c r="K33" i="23"/>
  <c r="J33" i="23"/>
  <c r="I33" i="23"/>
  <c r="H33" i="23"/>
  <c r="A33" i="23"/>
  <c r="M32" i="23"/>
  <c r="K32" i="23"/>
  <c r="J32" i="23"/>
  <c r="I32" i="23"/>
  <c r="H32" i="23"/>
  <c r="A32" i="23"/>
  <c r="M31" i="23"/>
  <c r="K31" i="23"/>
  <c r="J31" i="23"/>
  <c r="I31" i="23"/>
  <c r="H31" i="23"/>
  <c r="A31" i="23"/>
  <c r="M30" i="23"/>
  <c r="K30" i="23"/>
  <c r="J30" i="23"/>
  <c r="I30" i="23"/>
  <c r="H30" i="23"/>
  <c r="A30" i="23"/>
  <c r="M29" i="23"/>
  <c r="K29" i="23"/>
  <c r="J29" i="23"/>
  <c r="I29" i="23"/>
  <c r="H29" i="23"/>
  <c r="A29" i="23"/>
  <c r="M28" i="23"/>
  <c r="K28" i="23"/>
  <c r="J28" i="23"/>
  <c r="I28" i="23"/>
  <c r="H28" i="23"/>
  <c r="A28" i="23"/>
  <c r="M27" i="23"/>
  <c r="K27" i="23"/>
  <c r="J27" i="23"/>
  <c r="I27" i="23"/>
  <c r="H27" i="23"/>
  <c r="A27" i="23"/>
  <c r="M26" i="23"/>
  <c r="K26" i="23"/>
  <c r="J26" i="23"/>
  <c r="I26" i="23"/>
  <c r="H26" i="23"/>
  <c r="A26" i="23"/>
  <c r="M25" i="23"/>
  <c r="K25" i="23"/>
  <c r="J25" i="23"/>
  <c r="I25" i="23"/>
  <c r="H25" i="23"/>
  <c r="A25" i="23"/>
  <c r="M24" i="23"/>
  <c r="K24" i="23"/>
  <c r="J24" i="23"/>
  <c r="I24" i="23"/>
  <c r="H24" i="23"/>
  <c r="A24" i="23"/>
  <c r="M23" i="23"/>
  <c r="K23" i="23"/>
  <c r="J23" i="23"/>
  <c r="I23" i="23"/>
  <c r="H23" i="23"/>
  <c r="A23" i="23"/>
  <c r="M22" i="23"/>
  <c r="K22" i="23"/>
  <c r="J22" i="23"/>
  <c r="I22" i="23"/>
  <c r="H22" i="23"/>
  <c r="A22" i="23"/>
  <c r="M21" i="23"/>
  <c r="K21" i="23"/>
  <c r="J21" i="23"/>
  <c r="I21" i="23"/>
  <c r="H21" i="23"/>
  <c r="A21" i="23"/>
  <c r="M20" i="23"/>
  <c r="K20" i="23"/>
  <c r="J20" i="23"/>
  <c r="I20" i="23"/>
  <c r="H20" i="23"/>
  <c r="A20" i="23"/>
  <c r="M19" i="23"/>
  <c r="K19" i="23"/>
  <c r="J19" i="23"/>
  <c r="I19" i="23"/>
  <c r="H19" i="23"/>
  <c r="A19" i="23"/>
  <c r="M18" i="23"/>
  <c r="K18" i="23"/>
  <c r="J18" i="23"/>
  <c r="I18" i="23"/>
  <c r="H18" i="23"/>
  <c r="A18" i="23"/>
  <c r="M17" i="23"/>
  <c r="K17" i="23"/>
  <c r="J17" i="23"/>
  <c r="I17" i="23"/>
  <c r="H17" i="23"/>
  <c r="A17" i="23"/>
  <c r="M16" i="23"/>
  <c r="K16" i="23"/>
  <c r="J16" i="23"/>
  <c r="I16" i="23"/>
  <c r="H16" i="23"/>
  <c r="A16" i="23"/>
  <c r="M15" i="23"/>
  <c r="K15" i="23"/>
  <c r="J15" i="23"/>
  <c r="I15" i="23"/>
  <c r="H15" i="23"/>
  <c r="A15" i="23"/>
  <c r="M14" i="23"/>
  <c r="K14" i="23"/>
  <c r="J14" i="23"/>
  <c r="I14" i="23"/>
  <c r="H14" i="23"/>
  <c r="A14" i="23"/>
  <c r="M13" i="23"/>
  <c r="K13" i="23"/>
  <c r="J13" i="23"/>
  <c r="I13" i="23"/>
  <c r="H13" i="23"/>
  <c r="A13" i="23"/>
  <c r="M12" i="23"/>
  <c r="K12" i="23"/>
  <c r="J12" i="23"/>
  <c r="I12" i="23"/>
  <c r="H12" i="23"/>
  <c r="A12" i="23"/>
  <c r="M11" i="23"/>
  <c r="K11" i="23"/>
  <c r="J11" i="23"/>
  <c r="I11" i="23"/>
  <c r="H11" i="23"/>
  <c r="A11" i="23"/>
  <c r="M10" i="23"/>
  <c r="K10" i="23"/>
  <c r="J10" i="23"/>
  <c r="I10" i="23"/>
  <c r="H10" i="23"/>
  <c r="A10" i="23"/>
  <c r="M9" i="23"/>
  <c r="K9" i="23"/>
  <c r="J9" i="23"/>
  <c r="I9" i="23"/>
  <c r="H9" i="23"/>
  <c r="A9" i="23"/>
  <c r="M8" i="23"/>
  <c r="K8" i="23"/>
  <c r="J8" i="23"/>
  <c r="I8" i="23"/>
  <c r="H8" i="23"/>
  <c r="A8" i="23"/>
  <c r="M7" i="23"/>
  <c r="K7" i="23"/>
  <c r="J7" i="23"/>
  <c r="I7" i="23"/>
  <c r="H7" i="23"/>
  <c r="A7" i="23"/>
  <c r="M6" i="23"/>
  <c r="K6" i="23"/>
  <c r="J6" i="23"/>
  <c r="I6" i="23"/>
  <c r="H6" i="23"/>
  <c r="A6" i="23"/>
  <c r="M5" i="23"/>
  <c r="K5" i="23"/>
  <c r="J5" i="23"/>
  <c r="I5" i="23"/>
  <c r="H5" i="23"/>
  <c r="A5" i="23"/>
  <c r="M4" i="23"/>
  <c r="K4" i="23"/>
  <c r="J4" i="23"/>
  <c r="I4" i="23"/>
  <c r="H4" i="23"/>
  <c r="A4" i="23"/>
  <c r="M3" i="23"/>
  <c r="K3" i="23"/>
  <c r="J3" i="23"/>
  <c r="I3" i="23"/>
  <c r="H3" i="23"/>
  <c r="A3" i="23"/>
  <c r="M2" i="23"/>
  <c r="A2" i="23"/>
  <c r="O102" i="23"/>
  <c r="L102" i="23"/>
  <c r="O97" i="23"/>
  <c r="L97" i="23"/>
  <c r="O96" i="23"/>
  <c r="L96" i="23"/>
  <c r="L94" i="23"/>
  <c r="L93" i="23"/>
  <c r="L91" i="23"/>
  <c r="L67" i="23"/>
  <c r="S66" i="23"/>
  <c r="L66" i="23"/>
  <c r="L65" i="23"/>
  <c r="L64" i="23"/>
  <c r="L36" i="23"/>
  <c r="L13" i="23"/>
  <c r="R112" i="18"/>
  <c r="Q111" i="18"/>
  <c r="R111" i="18"/>
  <c r="L111" i="18"/>
  <c r="L37" i="18"/>
  <c r="L36" i="18"/>
  <c r="V2763" i="3"/>
  <c r="L35" i="18"/>
  <c r="V2716" i="3"/>
  <c r="L34" i="18"/>
  <c r="V2780" i="3"/>
  <c r="V2776" i="3"/>
  <c r="V2765" i="3"/>
  <c r="V2761" i="3"/>
  <c r="V2750" i="3"/>
  <c r="V2748" i="3"/>
  <c r="V2746" i="3"/>
  <c r="V2735" i="3"/>
  <c r="V2733" i="3"/>
  <c r="V2731" i="3"/>
  <c r="V2720" i="3"/>
  <c r="V2705" i="3"/>
  <c r="V2703" i="3"/>
  <c r="V2690" i="3"/>
  <c r="V2686" i="3"/>
  <c r="V2662" i="3"/>
  <c r="Z2787" i="3"/>
  <c r="O2787" i="3"/>
  <c r="A2787" i="3"/>
  <c r="Z2786" i="3"/>
  <c r="O2786" i="3"/>
  <c r="A2786" i="3"/>
  <c r="Z2785" i="3"/>
  <c r="O2785" i="3"/>
  <c r="A2785" i="3"/>
  <c r="Z2784" i="3"/>
  <c r="O2784" i="3"/>
  <c r="A2784" i="3"/>
  <c r="Z2783" i="3"/>
  <c r="O2783" i="3"/>
  <c r="A2783" i="3"/>
  <c r="Z2782" i="3"/>
  <c r="O2782" i="3"/>
  <c r="A2782" i="3"/>
  <c r="Z2781" i="3"/>
  <c r="O2781" i="3"/>
  <c r="A2781" i="3"/>
  <c r="Z2780" i="3"/>
  <c r="O2780" i="3"/>
  <c r="A2780" i="3"/>
  <c r="Z2779" i="3"/>
  <c r="O2779" i="3"/>
  <c r="A2779" i="3"/>
  <c r="Z2778" i="3"/>
  <c r="O2778" i="3"/>
  <c r="A2778" i="3"/>
  <c r="Z2777" i="3"/>
  <c r="O2777" i="3"/>
  <c r="A2777" i="3"/>
  <c r="Z2776" i="3"/>
  <c r="O2776" i="3"/>
  <c r="A2776" i="3"/>
  <c r="Z2775" i="3"/>
  <c r="O2775" i="3"/>
  <c r="A2775" i="3"/>
  <c r="Z2774" i="3"/>
  <c r="O2774" i="3"/>
  <c r="A2774" i="3"/>
  <c r="Z2773" i="3"/>
  <c r="O2773" i="3"/>
  <c r="A2773" i="3"/>
  <c r="Z2772" i="3"/>
  <c r="O2772" i="3"/>
  <c r="A2772" i="3"/>
  <c r="Z2771" i="3"/>
  <c r="O2771" i="3"/>
  <c r="A2771" i="3"/>
  <c r="Z2770" i="3"/>
  <c r="O2770" i="3"/>
  <c r="A2770" i="3"/>
  <c r="Z2769" i="3"/>
  <c r="O2769" i="3"/>
  <c r="A2769" i="3"/>
  <c r="Z2768" i="3"/>
  <c r="O2768" i="3"/>
  <c r="A2768" i="3"/>
  <c r="Z2767" i="3"/>
  <c r="O2767" i="3"/>
  <c r="A2767" i="3"/>
  <c r="Z2766" i="3"/>
  <c r="O2766" i="3"/>
  <c r="A2766" i="3"/>
  <c r="Z2765" i="3"/>
  <c r="O2765" i="3"/>
  <c r="A2765" i="3"/>
  <c r="Z2764" i="3"/>
  <c r="O2764" i="3"/>
  <c r="A2764" i="3"/>
  <c r="Z2763" i="3"/>
  <c r="O2763" i="3"/>
  <c r="A2763" i="3"/>
  <c r="Z2762" i="3"/>
  <c r="O2762" i="3"/>
  <c r="A2762" i="3"/>
  <c r="Z2761" i="3"/>
  <c r="O2761" i="3"/>
  <c r="A2761" i="3"/>
  <c r="Z2760" i="3"/>
  <c r="O2760" i="3"/>
  <c r="A2760" i="3"/>
  <c r="Z2759" i="3"/>
  <c r="O2759" i="3"/>
  <c r="A2759" i="3"/>
  <c r="Z2758" i="3"/>
  <c r="O2758" i="3"/>
  <c r="A2758" i="3"/>
  <c r="Z2757" i="3"/>
  <c r="O2757" i="3"/>
  <c r="A2757" i="3"/>
  <c r="Z2756" i="3"/>
  <c r="O2756" i="3"/>
  <c r="A2756" i="3"/>
  <c r="Z2755" i="3"/>
  <c r="O2755" i="3"/>
  <c r="A2755" i="3"/>
  <c r="Z2754" i="3"/>
  <c r="O2754" i="3"/>
  <c r="A2754" i="3"/>
  <c r="Z2753" i="3"/>
  <c r="O2753" i="3"/>
  <c r="A2753" i="3"/>
  <c r="Z2752" i="3"/>
  <c r="O2752" i="3"/>
  <c r="A2752" i="3"/>
  <c r="Z2751" i="3"/>
  <c r="O2751" i="3"/>
  <c r="A2751" i="3"/>
  <c r="Z2750" i="3"/>
  <c r="O2750" i="3"/>
  <c r="A2750" i="3"/>
  <c r="Z2749" i="3"/>
  <c r="O2749" i="3"/>
  <c r="A2749" i="3"/>
  <c r="Z2748" i="3"/>
  <c r="O2748" i="3"/>
  <c r="A2748" i="3"/>
  <c r="Z2747" i="3"/>
  <c r="O2747" i="3"/>
  <c r="A2747" i="3"/>
  <c r="Z2746" i="3"/>
  <c r="O2746" i="3"/>
  <c r="A2746" i="3"/>
  <c r="Z2745" i="3"/>
  <c r="O2745" i="3"/>
  <c r="A2745" i="3"/>
  <c r="Z2744" i="3"/>
  <c r="O2744" i="3"/>
  <c r="A2744" i="3"/>
  <c r="Z2743" i="3"/>
  <c r="O2743" i="3"/>
  <c r="A2743" i="3"/>
  <c r="Z2742" i="3"/>
  <c r="O2742" i="3"/>
  <c r="A2742" i="3"/>
  <c r="Z2741" i="3"/>
  <c r="O2741" i="3"/>
  <c r="A2741" i="3"/>
  <c r="Z2740" i="3"/>
  <c r="O2740" i="3"/>
  <c r="A2740" i="3"/>
  <c r="Z2739" i="3"/>
  <c r="O2739" i="3"/>
  <c r="A2739" i="3"/>
  <c r="Z2738" i="3"/>
  <c r="O2738" i="3"/>
  <c r="A2738" i="3"/>
  <c r="Z2737" i="3"/>
  <c r="O2737" i="3"/>
  <c r="A2737" i="3"/>
  <c r="Z2736" i="3"/>
  <c r="O2736" i="3"/>
  <c r="A2736" i="3"/>
  <c r="Z2735" i="3"/>
  <c r="O2735" i="3"/>
  <c r="A2735" i="3"/>
  <c r="Z2734" i="3"/>
  <c r="O2734" i="3"/>
  <c r="A2734" i="3"/>
  <c r="Z2733" i="3"/>
  <c r="O2733" i="3"/>
  <c r="A2733" i="3"/>
  <c r="Z2732" i="3"/>
  <c r="O2732" i="3"/>
  <c r="A2732" i="3"/>
  <c r="Z2731" i="3"/>
  <c r="O2731" i="3"/>
  <c r="A2731" i="3"/>
  <c r="Z2730" i="3"/>
  <c r="O2730" i="3"/>
  <c r="A2730" i="3"/>
  <c r="Z2729" i="3"/>
  <c r="O2729" i="3"/>
  <c r="A2729" i="3"/>
  <c r="Z2728" i="3"/>
  <c r="O2728" i="3"/>
  <c r="A2728" i="3"/>
  <c r="Z2727" i="3"/>
  <c r="O2727" i="3"/>
  <c r="A2727" i="3"/>
  <c r="Z2726" i="3"/>
  <c r="O2726" i="3"/>
  <c r="A2726" i="3"/>
  <c r="Z2725" i="3"/>
  <c r="O2725" i="3"/>
  <c r="A2725" i="3"/>
  <c r="Z2724" i="3"/>
  <c r="O2724" i="3"/>
  <c r="A2724" i="3"/>
  <c r="Z2723" i="3"/>
  <c r="O2723" i="3"/>
  <c r="A2723" i="3"/>
  <c r="Z2722" i="3"/>
  <c r="O2722" i="3"/>
  <c r="A2722" i="3"/>
  <c r="Z2721" i="3"/>
  <c r="O2721" i="3"/>
  <c r="A2721" i="3"/>
  <c r="Z2720" i="3"/>
  <c r="O2720" i="3"/>
  <c r="A2720" i="3"/>
  <c r="Z2719" i="3"/>
  <c r="O2719" i="3"/>
  <c r="A2719" i="3"/>
  <c r="Z2718" i="3"/>
  <c r="O2718" i="3"/>
  <c r="A2718" i="3"/>
  <c r="Z2717" i="3"/>
  <c r="O2717" i="3"/>
  <c r="A2717" i="3"/>
  <c r="Z2716" i="3"/>
  <c r="O2716" i="3"/>
  <c r="A2716" i="3"/>
  <c r="Z2715" i="3"/>
  <c r="O2715" i="3"/>
  <c r="A2715" i="3"/>
  <c r="Z2714" i="3"/>
  <c r="O2714" i="3"/>
  <c r="A2714" i="3"/>
  <c r="Z2713" i="3"/>
  <c r="O2713" i="3"/>
  <c r="A2713" i="3"/>
  <c r="Z2712" i="3"/>
  <c r="O2712" i="3"/>
  <c r="A2712" i="3"/>
  <c r="Z2711" i="3"/>
  <c r="O2711" i="3"/>
  <c r="A2711" i="3"/>
  <c r="Z2710" i="3"/>
  <c r="O2710" i="3"/>
  <c r="A2710" i="3"/>
  <c r="Z2709" i="3"/>
  <c r="O2709" i="3"/>
  <c r="A2709" i="3"/>
  <c r="Z2708" i="3"/>
  <c r="O2708" i="3"/>
  <c r="A2708" i="3"/>
  <c r="Z2707" i="3"/>
  <c r="O2707" i="3"/>
  <c r="A2707" i="3"/>
  <c r="Z2706" i="3"/>
  <c r="O2706" i="3"/>
  <c r="A2706" i="3"/>
  <c r="Z2705" i="3"/>
  <c r="O2705" i="3"/>
  <c r="A2705" i="3"/>
  <c r="Z2704" i="3"/>
  <c r="O2704" i="3"/>
  <c r="A2704" i="3"/>
  <c r="Z2703" i="3"/>
  <c r="O2703" i="3"/>
  <c r="A2703" i="3"/>
  <c r="Z2702" i="3"/>
  <c r="O2702" i="3"/>
  <c r="A2702" i="3"/>
  <c r="Z2701" i="3"/>
  <c r="O2701" i="3"/>
  <c r="A2701" i="3"/>
  <c r="Z2700" i="3"/>
  <c r="O2700" i="3"/>
  <c r="A2700" i="3"/>
  <c r="Z2699" i="3"/>
  <c r="O2699" i="3"/>
  <c r="A2699" i="3"/>
  <c r="Z2698" i="3"/>
  <c r="O2698" i="3"/>
  <c r="A2698" i="3"/>
  <c r="Z2697" i="3"/>
  <c r="O2697" i="3"/>
  <c r="A2697" i="3"/>
  <c r="Z2696" i="3"/>
  <c r="O2696" i="3"/>
  <c r="A2696" i="3"/>
  <c r="Z2695" i="3"/>
  <c r="O2695" i="3"/>
  <c r="A2695" i="3"/>
  <c r="Z2694" i="3"/>
  <c r="O2694" i="3"/>
  <c r="A2694" i="3"/>
  <c r="Z2693" i="3"/>
  <c r="O2693" i="3"/>
  <c r="A2693" i="3"/>
  <c r="Z2692" i="3"/>
  <c r="O2692" i="3"/>
  <c r="A2692" i="3"/>
  <c r="Z2691" i="3"/>
  <c r="O2691" i="3"/>
  <c r="A2691" i="3"/>
  <c r="Z2690" i="3"/>
  <c r="O2690" i="3"/>
  <c r="A2690" i="3"/>
  <c r="Z2689" i="3"/>
  <c r="O2689" i="3"/>
  <c r="A2689" i="3"/>
  <c r="Z2688" i="3"/>
  <c r="O2688" i="3"/>
  <c r="A2688" i="3"/>
  <c r="Z2687" i="3"/>
  <c r="O2687" i="3"/>
  <c r="A2687" i="3"/>
  <c r="Z2686" i="3"/>
  <c r="O2686" i="3"/>
  <c r="A2686" i="3"/>
  <c r="Z2685" i="3"/>
  <c r="O2685" i="3"/>
  <c r="A2685" i="3"/>
  <c r="Z2684" i="3"/>
  <c r="O2684" i="3"/>
  <c r="A2684" i="3"/>
  <c r="Z2683" i="3"/>
  <c r="O2683" i="3"/>
  <c r="A2683" i="3"/>
  <c r="Z2682" i="3"/>
  <c r="O2682" i="3"/>
  <c r="A2682" i="3"/>
  <c r="Z2681" i="3"/>
  <c r="O2681" i="3"/>
  <c r="A2681" i="3"/>
  <c r="Z2680" i="3"/>
  <c r="O2680" i="3"/>
  <c r="A2680" i="3"/>
  <c r="Z2679" i="3"/>
  <c r="O2679" i="3"/>
  <c r="A2679" i="3"/>
  <c r="Z2678" i="3"/>
  <c r="O2678" i="3"/>
  <c r="A2678" i="3"/>
  <c r="Z2677" i="3"/>
  <c r="O2677" i="3"/>
  <c r="A2677" i="3"/>
  <c r="Z2676" i="3"/>
  <c r="O2676" i="3"/>
  <c r="A2676" i="3"/>
  <c r="Z2675" i="3"/>
  <c r="O2675" i="3"/>
  <c r="A2675" i="3"/>
  <c r="Z2674" i="3"/>
  <c r="O2674" i="3"/>
  <c r="A2674" i="3"/>
  <c r="Z2673" i="3"/>
  <c r="O2673" i="3"/>
  <c r="A2673" i="3"/>
  <c r="Z2672" i="3"/>
  <c r="O2672" i="3"/>
  <c r="A2672" i="3"/>
  <c r="Z2671" i="3"/>
  <c r="O2671" i="3"/>
  <c r="A2671" i="3"/>
  <c r="Z2670" i="3"/>
  <c r="O2670" i="3"/>
  <c r="A2670" i="3"/>
  <c r="Z2669" i="3"/>
  <c r="O2669" i="3"/>
  <c r="A2669" i="3"/>
  <c r="Z2668" i="3"/>
  <c r="O2668" i="3"/>
  <c r="A2668" i="3"/>
  <c r="Z2667" i="3"/>
  <c r="O2667" i="3"/>
  <c r="A2667" i="3"/>
  <c r="Z2666" i="3"/>
  <c r="O2666" i="3"/>
  <c r="A2666" i="3"/>
  <c r="Z2665" i="3"/>
  <c r="O2665" i="3"/>
  <c r="A2665" i="3"/>
  <c r="Z2664" i="3"/>
  <c r="O2664" i="3"/>
  <c r="A2664" i="3"/>
  <c r="Z2663" i="3"/>
  <c r="O2663" i="3"/>
  <c r="A2663" i="3"/>
  <c r="Z2662" i="3"/>
  <c r="O2662" i="3"/>
  <c r="A2662" i="3"/>
  <c r="Z2661" i="3"/>
  <c r="O2661" i="3"/>
  <c r="A2661" i="3"/>
  <c r="Z2660" i="3"/>
  <c r="O2660" i="3"/>
  <c r="A2660" i="3"/>
  <c r="Z2659" i="3"/>
  <c r="O2659" i="3"/>
  <c r="A2659" i="3"/>
  <c r="Z2658" i="3"/>
  <c r="O2658" i="3"/>
  <c r="A2658" i="3"/>
  <c r="Z2657" i="3"/>
  <c r="O2657" i="3"/>
  <c r="A2657" i="3"/>
  <c r="Z2656" i="3"/>
  <c r="O2656" i="3"/>
  <c r="A2656" i="3"/>
  <c r="Z2655" i="3"/>
  <c r="O2655" i="3"/>
  <c r="A2655" i="3"/>
  <c r="Z2654" i="3"/>
  <c r="O2654" i="3"/>
  <c r="A2654" i="3"/>
  <c r="Z2653" i="3"/>
  <c r="O2653" i="3"/>
  <c r="A2653" i="3"/>
  <c r="Z2652" i="3"/>
  <c r="O2652" i="3"/>
  <c r="A2652" i="3"/>
  <c r="Z2651" i="3"/>
  <c r="O2651" i="3"/>
  <c r="A2651" i="3"/>
  <c r="Z2650" i="3"/>
  <c r="O2650" i="3"/>
  <c r="A2650" i="3"/>
  <c r="Z2649" i="3"/>
  <c r="O2649" i="3"/>
  <c r="A2649" i="3"/>
  <c r="Z2648" i="3"/>
  <c r="O2648" i="3"/>
  <c r="A2648" i="3"/>
  <c r="Z2647" i="3"/>
  <c r="O2647" i="3"/>
  <c r="M2647" i="3"/>
  <c r="A2647" i="3"/>
  <c r="Z2646" i="3"/>
  <c r="O2646" i="3"/>
  <c r="M2646" i="3"/>
  <c r="A2646" i="3"/>
  <c r="Z2645" i="3"/>
  <c r="O2645" i="3"/>
  <c r="M2645" i="3"/>
  <c r="A2645" i="3"/>
  <c r="Z2644" i="3"/>
  <c r="O2644" i="3"/>
  <c r="A2644" i="3"/>
  <c r="Z2643" i="3"/>
  <c r="O2643" i="3"/>
  <c r="A2643" i="3"/>
  <c r="Z2642" i="3"/>
  <c r="O2642" i="3"/>
  <c r="A2642" i="3"/>
  <c r="Z2641" i="3"/>
  <c r="O2641" i="3"/>
  <c r="A2641" i="3"/>
  <c r="Z2640" i="3"/>
  <c r="O2640" i="3"/>
  <c r="A2640" i="3"/>
  <c r="Z2639" i="3"/>
  <c r="O2639" i="3"/>
  <c r="A2639" i="3"/>
  <c r="Z2638" i="3"/>
  <c r="O2638" i="3"/>
  <c r="A2638" i="3"/>
  <c r="AC2637" i="3"/>
  <c r="Z2637" i="3"/>
  <c r="O2637" i="3"/>
  <c r="A2637" i="3"/>
  <c r="Z2636" i="3"/>
  <c r="O2636" i="3"/>
  <c r="A2636" i="3"/>
  <c r="Z2635" i="3"/>
  <c r="O2635" i="3"/>
  <c r="A2635" i="3"/>
  <c r="Z2634" i="3"/>
  <c r="O2634" i="3"/>
  <c r="A2634" i="3"/>
  <c r="Z2633" i="3"/>
  <c r="O2633" i="3"/>
  <c r="A2633" i="3"/>
  <c r="Z2632" i="3"/>
  <c r="O2632" i="3"/>
  <c r="A2632" i="3"/>
  <c r="Z2631" i="3"/>
  <c r="O2631" i="3"/>
  <c r="A2631" i="3"/>
  <c r="Z2630" i="3"/>
  <c r="O2630" i="3"/>
  <c r="A2630" i="3"/>
  <c r="Z2629" i="3"/>
  <c r="O2629" i="3"/>
  <c r="A2629" i="3"/>
  <c r="Z2628" i="3"/>
  <c r="O2628" i="3"/>
  <c r="A2628" i="3"/>
  <c r="Z2627" i="3"/>
  <c r="O2627" i="3"/>
  <c r="A2627" i="3"/>
  <c r="Z2626" i="3"/>
  <c r="O2626" i="3"/>
  <c r="A2626" i="3"/>
  <c r="Z2625" i="3"/>
  <c r="O2625" i="3"/>
  <c r="A2625" i="3"/>
  <c r="Z2624" i="3"/>
  <c r="O2624" i="3"/>
  <c r="A2624" i="3"/>
  <c r="Z2623" i="3"/>
  <c r="O2623" i="3"/>
  <c r="A2623" i="3"/>
  <c r="Z2622" i="3"/>
  <c r="O2622" i="3"/>
  <c r="A2622" i="3"/>
  <c r="Z2621" i="3"/>
  <c r="O2621" i="3"/>
  <c r="A2621" i="3"/>
  <c r="AC2620" i="3"/>
  <c r="Z2620" i="3"/>
  <c r="O2620" i="3"/>
  <c r="A2620" i="3"/>
  <c r="Z2619" i="3"/>
  <c r="O2619" i="3"/>
  <c r="A2619" i="3"/>
  <c r="Z2618" i="3"/>
  <c r="O2618" i="3"/>
  <c r="A2618" i="3"/>
  <c r="Z2617" i="3"/>
  <c r="O2617" i="3"/>
  <c r="A2617" i="3"/>
  <c r="Z2616" i="3"/>
  <c r="O2616" i="3"/>
  <c r="A2616" i="3"/>
  <c r="Z2615" i="3"/>
  <c r="O2615" i="3"/>
  <c r="A2615" i="3"/>
  <c r="Z2614" i="3"/>
  <c r="O2614" i="3"/>
  <c r="A2614" i="3"/>
  <c r="Z2613" i="3"/>
  <c r="O2613" i="3"/>
  <c r="A2613" i="3"/>
  <c r="Z2612" i="3"/>
  <c r="O2612" i="3"/>
  <c r="A2612" i="3"/>
  <c r="Z2611" i="3"/>
  <c r="O2611" i="3"/>
  <c r="A2611" i="3"/>
  <c r="Z2610" i="3"/>
  <c r="O2610" i="3"/>
  <c r="A2610" i="3"/>
  <c r="Z2609" i="3"/>
  <c r="O2609" i="3"/>
  <c r="A2609" i="3"/>
  <c r="Z2608" i="3"/>
  <c r="O2608" i="3"/>
  <c r="A2608" i="3"/>
  <c r="Z2607" i="3"/>
  <c r="O2607" i="3"/>
  <c r="A2607" i="3"/>
  <c r="Z2606" i="3"/>
  <c r="O2606" i="3"/>
  <c r="A2606" i="3"/>
  <c r="Z2605" i="3"/>
  <c r="O2605" i="3"/>
  <c r="A2605" i="3"/>
  <c r="Z2604" i="3"/>
  <c r="O2604" i="3"/>
  <c r="A2604" i="3"/>
  <c r="Z2603" i="3"/>
  <c r="O2603" i="3"/>
  <c r="A2603" i="3"/>
  <c r="Z2602" i="3"/>
  <c r="O2602" i="3"/>
  <c r="A2602" i="3"/>
  <c r="Z2601" i="3"/>
  <c r="O2601" i="3"/>
  <c r="A2601" i="3"/>
  <c r="Z2600" i="3"/>
  <c r="O2600" i="3"/>
  <c r="A2600" i="3"/>
  <c r="Z2599" i="3"/>
  <c r="O2599" i="3"/>
  <c r="A2599" i="3"/>
  <c r="Z2598" i="3"/>
  <c r="O2598" i="3"/>
  <c r="A2598" i="3"/>
  <c r="Z2597" i="3"/>
  <c r="O2597" i="3"/>
  <c r="A2597" i="3"/>
  <c r="Z2596" i="3"/>
  <c r="O2596" i="3"/>
  <c r="A2596" i="3"/>
  <c r="Z2595" i="3"/>
  <c r="O2595" i="3"/>
  <c r="A2595" i="3"/>
  <c r="Z2594" i="3"/>
  <c r="O2594" i="3"/>
  <c r="A2594" i="3"/>
  <c r="Z2593" i="3"/>
  <c r="O2593" i="3"/>
  <c r="A2593" i="3"/>
  <c r="Z2592" i="3"/>
  <c r="O2592" i="3"/>
  <c r="A2592" i="3"/>
  <c r="Z2591" i="3"/>
  <c r="O2591" i="3"/>
  <c r="A2591" i="3"/>
  <c r="Z2590" i="3"/>
  <c r="O2590" i="3"/>
  <c r="A2590" i="3"/>
  <c r="Z2589" i="3"/>
  <c r="O2589" i="3"/>
  <c r="A2589" i="3"/>
  <c r="Z2588" i="3"/>
  <c r="O2588" i="3"/>
  <c r="A2588" i="3"/>
  <c r="Z2587" i="3"/>
  <c r="O2587" i="3"/>
  <c r="A2587" i="3"/>
  <c r="Z2586" i="3"/>
  <c r="O2586" i="3"/>
  <c r="A2586" i="3"/>
  <c r="Z2585" i="3"/>
  <c r="O2585" i="3"/>
  <c r="A2585" i="3"/>
  <c r="Z2584" i="3"/>
  <c r="O2584" i="3"/>
  <c r="A2584" i="3"/>
  <c r="Z2583" i="3"/>
  <c r="O2583" i="3"/>
  <c r="A2583" i="3"/>
  <c r="Z2582" i="3"/>
  <c r="O2582" i="3"/>
  <c r="A2582" i="3"/>
  <c r="Z2581" i="3"/>
  <c r="O2581" i="3"/>
  <c r="A2581" i="3"/>
  <c r="Z2580" i="3"/>
  <c r="O2580" i="3"/>
  <c r="A2580" i="3"/>
  <c r="Z2579" i="3"/>
  <c r="O2579" i="3"/>
  <c r="A2579" i="3"/>
  <c r="Z2578" i="3"/>
  <c r="O2578" i="3"/>
  <c r="A2578" i="3"/>
  <c r="Z2577" i="3"/>
  <c r="O2577" i="3"/>
  <c r="A2577" i="3"/>
  <c r="Z2576" i="3"/>
  <c r="O2576" i="3"/>
  <c r="A2576" i="3"/>
  <c r="Z2575" i="3"/>
  <c r="O2575" i="3"/>
  <c r="A2575" i="3"/>
  <c r="AC2574" i="3"/>
  <c r="Z2574" i="3"/>
  <c r="O2574" i="3"/>
  <c r="A2574" i="3"/>
  <c r="Z2573" i="3"/>
  <c r="O2573" i="3"/>
  <c r="A2573" i="3"/>
  <c r="Z2572" i="3"/>
  <c r="O2572" i="3"/>
  <c r="A2572" i="3"/>
  <c r="Z2571" i="3"/>
  <c r="O2571" i="3"/>
  <c r="A2571" i="3"/>
  <c r="Z2570" i="3"/>
  <c r="O2570" i="3"/>
  <c r="A2570" i="3"/>
  <c r="Z2569" i="3"/>
  <c r="O2569" i="3"/>
  <c r="A2569" i="3"/>
  <c r="Z2568" i="3"/>
  <c r="O2568" i="3"/>
  <c r="A2568" i="3"/>
  <c r="Z2567" i="3"/>
  <c r="O2567" i="3"/>
  <c r="A2567" i="3"/>
  <c r="Z2566" i="3"/>
  <c r="O2566" i="3"/>
  <c r="A2566" i="3"/>
  <c r="Z2565" i="3"/>
  <c r="O2565" i="3"/>
  <c r="A2565" i="3"/>
  <c r="Z2564" i="3"/>
  <c r="O2564" i="3"/>
  <c r="A2564" i="3"/>
  <c r="Z2563" i="3"/>
  <c r="O2563" i="3"/>
  <c r="A2563" i="3"/>
  <c r="Z2562" i="3"/>
  <c r="O2562" i="3"/>
  <c r="A2562" i="3"/>
  <c r="Z2561" i="3"/>
  <c r="O2561" i="3"/>
  <c r="A2561" i="3"/>
  <c r="Z2560" i="3"/>
  <c r="O2560" i="3"/>
  <c r="A2560" i="3"/>
  <c r="Z2559" i="3"/>
  <c r="O2559" i="3"/>
  <c r="A2559" i="3"/>
  <c r="Z2558" i="3"/>
  <c r="O2558" i="3"/>
  <c r="A2558" i="3"/>
  <c r="Z2557" i="3"/>
  <c r="O2557" i="3"/>
  <c r="A2557" i="3"/>
  <c r="Z2556" i="3"/>
  <c r="O2556" i="3"/>
  <c r="A2556" i="3"/>
  <c r="Z2555" i="3"/>
  <c r="O2555" i="3"/>
  <c r="A2555" i="3"/>
  <c r="Z2554" i="3"/>
  <c r="O2554" i="3"/>
  <c r="A2554" i="3"/>
  <c r="Z2553" i="3"/>
  <c r="O2553" i="3"/>
  <c r="A2553" i="3"/>
  <c r="Z2552" i="3"/>
  <c r="O2552" i="3"/>
  <c r="A2552" i="3"/>
  <c r="Z2551" i="3"/>
  <c r="O2551" i="3"/>
  <c r="A2551" i="3"/>
  <c r="Z2550" i="3"/>
  <c r="O2550" i="3"/>
  <c r="A2550" i="3"/>
  <c r="Z2549" i="3"/>
  <c r="O2549" i="3"/>
  <c r="A2549" i="3"/>
  <c r="AC2548" i="3"/>
  <c r="Z2548" i="3"/>
  <c r="O2548" i="3"/>
  <c r="A2548" i="3"/>
  <c r="Z2547" i="3"/>
  <c r="O2547" i="3"/>
  <c r="A2547" i="3"/>
  <c r="Z2546" i="3"/>
  <c r="O2546" i="3"/>
  <c r="A2546" i="3"/>
  <c r="Z2545" i="3"/>
  <c r="O2545" i="3"/>
  <c r="A2545" i="3"/>
  <c r="Z2544" i="3"/>
  <c r="O2544" i="3"/>
  <c r="A2544" i="3"/>
  <c r="Z2543" i="3"/>
  <c r="O2543" i="3"/>
  <c r="A2543" i="3"/>
  <c r="Z2542" i="3"/>
  <c r="O2542" i="3"/>
  <c r="A2542" i="3"/>
  <c r="Z2541" i="3"/>
  <c r="O2541" i="3"/>
  <c r="A2541" i="3"/>
  <c r="Z2540" i="3"/>
  <c r="O2540" i="3"/>
  <c r="A2540" i="3"/>
  <c r="Z2539" i="3"/>
  <c r="O2539" i="3"/>
  <c r="A2539" i="3"/>
  <c r="Z2538" i="3"/>
  <c r="O2538" i="3"/>
  <c r="A2538" i="3"/>
  <c r="Z2537" i="3"/>
  <c r="O2537" i="3"/>
  <c r="A2537" i="3"/>
  <c r="Z2536" i="3"/>
  <c r="O2536" i="3"/>
  <c r="A2536" i="3"/>
  <c r="Z2535" i="3"/>
  <c r="O2535" i="3"/>
  <c r="A2535" i="3"/>
  <c r="Z2534" i="3"/>
  <c r="O2534" i="3"/>
  <c r="A2534" i="3"/>
  <c r="Z2533" i="3"/>
  <c r="O2533" i="3"/>
  <c r="A2533" i="3"/>
  <c r="Z2532" i="3"/>
  <c r="O2532" i="3"/>
  <c r="A2532" i="3"/>
  <c r="Z2531" i="3"/>
  <c r="O2531" i="3"/>
  <c r="A2531" i="3"/>
  <c r="Z2530" i="3"/>
  <c r="O2530" i="3"/>
  <c r="A2530" i="3"/>
  <c r="Z2529" i="3"/>
  <c r="O2529" i="3"/>
  <c r="A2529" i="3"/>
  <c r="Z2528" i="3"/>
  <c r="O2528" i="3"/>
  <c r="A2528" i="3"/>
  <c r="Z2527" i="3"/>
  <c r="O2527" i="3"/>
  <c r="A2527" i="3"/>
  <c r="Z2526" i="3"/>
  <c r="O2526" i="3"/>
  <c r="A2526" i="3"/>
  <c r="Z2525" i="3"/>
  <c r="O2525" i="3"/>
  <c r="A2525" i="3"/>
  <c r="Z2524" i="3"/>
  <c r="O2524" i="3"/>
  <c r="A2524" i="3"/>
  <c r="Z2523" i="3"/>
  <c r="O2523" i="3"/>
  <c r="A2523" i="3"/>
  <c r="Z2522" i="3"/>
  <c r="O2522" i="3"/>
  <c r="A2522" i="3"/>
  <c r="Z2521" i="3"/>
  <c r="O2521" i="3"/>
  <c r="A2521" i="3"/>
  <c r="AC2520" i="3"/>
  <c r="Z2520" i="3"/>
  <c r="O2520" i="3"/>
  <c r="A2520" i="3"/>
  <c r="Z2519" i="3"/>
  <c r="O2519" i="3"/>
  <c r="A2519" i="3"/>
  <c r="Z2518" i="3"/>
  <c r="O2518" i="3"/>
  <c r="A2518" i="3"/>
  <c r="Z2517" i="3"/>
  <c r="O2517" i="3"/>
  <c r="A2517" i="3"/>
  <c r="Z2516" i="3"/>
  <c r="O2516" i="3"/>
  <c r="A2516" i="3"/>
  <c r="Z2515" i="3"/>
  <c r="O2515" i="3"/>
  <c r="A2515" i="3"/>
  <c r="Z2514" i="3"/>
  <c r="O2514" i="3"/>
  <c r="A2514" i="3"/>
  <c r="Z2513" i="3"/>
  <c r="O2513" i="3"/>
  <c r="A2513" i="3"/>
  <c r="Z2512" i="3"/>
  <c r="O2512" i="3"/>
  <c r="A2512" i="3"/>
  <c r="Z2511" i="3"/>
  <c r="O2511" i="3"/>
  <c r="A2511" i="3"/>
  <c r="Z2510" i="3"/>
  <c r="O2510" i="3"/>
  <c r="A2510" i="3"/>
  <c r="Z2509" i="3"/>
  <c r="O2509" i="3"/>
  <c r="A2509" i="3"/>
  <c r="Z2508" i="3"/>
  <c r="O2508" i="3"/>
  <c r="A2508" i="3"/>
  <c r="Z2507" i="3"/>
  <c r="O2507" i="3"/>
  <c r="A2507" i="3"/>
  <c r="Z2506" i="3"/>
  <c r="O2506" i="3"/>
  <c r="A2506" i="3"/>
  <c r="Z2505" i="3"/>
  <c r="O2505" i="3"/>
  <c r="A2505" i="3"/>
  <c r="Z2504" i="3"/>
  <c r="O2504" i="3"/>
  <c r="A2504" i="3"/>
  <c r="Z2503" i="3"/>
  <c r="O2503" i="3"/>
  <c r="A2503" i="3"/>
  <c r="Z2502" i="3"/>
  <c r="O2502" i="3"/>
  <c r="A2502" i="3"/>
  <c r="Z2501" i="3"/>
  <c r="O2501" i="3"/>
  <c r="A2501" i="3"/>
  <c r="Z2500" i="3"/>
  <c r="O2500" i="3"/>
  <c r="A2500" i="3"/>
  <c r="Z2499" i="3"/>
  <c r="O2499" i="3"/>
  <c r="A2499" i="3"/>
  <c r="Z2498" i="3"/>
  <c r="O2498" i="3"/>
  <c r="A2498" i="3"/>
  <c r="Z2497" i="3"/>
  <c r="O2497" i="3"/>
  <c r="A2497" i="3"/>
  <c r="Z2496" i="3"/>
  <c r="O2496" i="3"/>
  <c r="A2496" i="3"/>
  <c r="Z2495" i="3"/>
  <c r="O2495" i="3"/>
  <c r="A2495" i="3"/>
  <c r="Z2494" i="3"/>
  <c r="O2494" i="3"/>
  <c r="A2494" i="3"/>
  <c r="Z2493" i="3"/>
  <c r="O2493" i="3"/>
  <c r="A2493" i="3"/>
  <c r="Z2492" i="3"/>
  <c r="O2492" i="3"/>
  <c r="A2492" i="3"/>
  <c r="Z2491" i="3"/>
  <c r="O2491" i="3"/>
  <c r="A2491" i="3"/>
  <c r="Z2490" i="3"/>
  <c r="O2490" i="3"/>
  <c r="A2490" i="3"/>
  <c r="AC2489" i="3"/>
  <c r="Z2489" i="3"/>
  <c r="O2489" i="3"/>
  <c r="A2489" i="3"/>
  <c r="Z2488" i="3"/>
  <c r="O2488" i="3"/>
  <c r="A2488" i="3"/>
  <c r="Z2487" i="3"/>
  <c r="O2487" i="3"/>
  <c r="A2487" i="3"/>
  <c r="Z2486" i="3"/>
  <c r="O2486" i="3"/>
  <c r="A2486" i="3"/>
  <c r="Z2485" i="3"/>
  <c r="O2485" i="3"/>
  <c r="A2485" i="3"/>
  <c r="Z2484" i="3"/>
  <c r="O2484" i="3"/>
  <c r="A2484" i="3"/>
  <c r="Z2483" i="3"/>
  <c r="O2483" i="3"/>
  <c r="A2483" i="3"/>
  <c r="Z2482" i="3"/>
  <c r="O2482" i="3"/>
  <c r="A2482" i="3"/>
  <c r="Z2481" i="3"/>
  <c r="O2481" i="3"/>
  <c r="A2481" i="3"/>
  <c r="Z2480" i="3"/>
  <c r="O2480" i="3"/>
  <c r="A2480" i="3"/>
  <c r="Z2479" i="3"/>
  <c r="O2479" i="3"/>
  <c r="A2479" i="3"/>
  <c r="Z2478" i="3"/>
  <c r="O2478" i="3"/>
  <c r="A2478" i="3"/>
  <c r="Z2477" i="3"/>
  <c r="O2477" i="3"/>
  <c r="A2477" i="3"/>
  <c r="Z2476" i="3"/>
  <c r="O2476" i="3"/>
  <c r="A2476" i="3"/>
  <c r="Z2475" i="3"/>
  <c r="O2475" i="3"/>
  <c r="A2475" i="3"/>
  <c r="Z2474" i="3"/>
  <c r="O2474" i="3"/>
  <c r="A2474" i="3"/>
  <c r="Z2473" i="3"/>
  <c r="O2473" i="3"/>
  <c r="A2473" i="3"/>
  <c r="Z2472" i="3"/>
  <c r="O2472" i="3"/>
  <c r="A2472" i="3"/>
  <c r="Z2471" i="3"/>
  <c r="O2471" i="3"/>
  <c r="A2471" i="3"/>
  <c r="Z2470" i="3"/>
  <c r="O2470" i="3"/>
  <c r="A2470" i="3"/>
  <c r="Z2469" i="3"/>
  <c r="O2469" i="3"/>
  <c r="A2469" i="3"/>
  <c r="Z2468" i="3"/>
  <c r="O2468" i="3"/>
  <c r="A2468" i="3"/>
  <c r="Z2467" i="3"/>
  <c r="O2467" i="3"/>
  <c r="A2467" i="3"/>
  <c r="Z2466" i="3"/>
  <c r="O2466" i="3"/>
  <c r="A2466" i="3"/>
  <c r="Z2465" i="3"/>
  <c r="O2465" i="3"/>
  <c r="A2465" i="3"/>
  <c r="Z2464" i="3"/>
  <c r="O2464" i="3"/>
  <c r="A2464" i="3"/>
  <c r="Z2463" i="3"/>
  <c r="O2463" i="3"/>
  <c r="A2463" i="3"/>
  <c r="Z2462" i="3"/>
  <c r="O2462" i="3"/>
  <c r="A2462" i="3"/>
  <c r="Z2461" i="3"/>
  <c r="O2461" i="3"/>
  <c r="A2461" i="3"/>
  <c r="Z2460" i="3"/>
  <c r="O2460" i="3"/>
  <c r="A2460" i="3"/>
  <c r="Z2459" i="3"/>
  <c r="O2459" i="3"/>
  <c r="A2459" i="3"/>
  <c r="AC2458" i="3"/>
  <c r="Z2458" i="3"/>
  <c r="O2458" i="3"/>
  <c r="A2458" i="3"/>
  <c r="Z2457" i="3"/>
  <c r="O2457" i="3"/>
  <c r="A2457" i="3"/>
  <c r="Z2456" i="3"/>
  <c r="O2456" i="3"/>
  <c r="A2456" i="3"/>
  <c r="Z2455" i="3"/>
  <c r="O2455" i="3"/>
  <c r="A2455" i="3"/>
  <c r="Z2454" i="3"/>
  <c r="O2454" i="3"/>
  <c r="A2454" i="3"/>
  <c r="Z2453" i="3"/>
  <c r="O2453" i="3"/>
  <c r="A2453" i="3"/>
  <c r="Z2452" i="3"/>
  <c r="O2452" i="3"/>
  <c r="A2452" i="3"/>
  <c r="Z2451" i="3"/>
  <c r="O2451" i="3"/>
  <c r="A2451" i="3"/>
  <c r="Z2450" i="3"/>
  <c r="O2450" i="3"/>
  <c r="A2450" i="3"/>
  <c r="Z2449" i="3"/>
  <c r="O2449" i="3"/>
  <c r="A2449" i="3"/>
  <c r="Z2448" i="3"/>
  <c r="O2448" i="3"/>
  <c r="A2448" i="3"/>
  <c r="Z2447" i="3"/>
  <c r="O2447" i="3"/>
  <c r="A2447" i="3"/>
  <c r="Z2446" i="3"/>
  <c r="O2446" i="3"/>
  <c r="A2446" i="3"/>
  <c r="Z2445" i="3"/>
  <c r="O2445" i="3"/>
  <c r="A2445" i="3"/>
  <c r="Z2444" i="3"/>
  <c r="O2444" i="3"/>
  <c r="A2444" i="3"/>
  <c r="Z2443" i="3"/>
  <c r="O2443" i="3"/>
  <c r="A2443" i="3"/>
  <c r="Z2442" i="3"/>
  <c r="O2442" i="3"/>
  <c r="A2442" i="3"/>
  <c r="Z2441" i="3"/>
  <c r="O2441" i="3"/>
  <c r="A2441" i="3"/>
  <c r="Z2440" i="3"/>
  <c r="O2440" i="3"/>
  <c r="A2440" i="3"/>
  <c r="Z2439" i="3"/>
  <c r="O2439" i="3"/>
  <c r="A2439" i="3"/>
  <c r="Z2438" i="3"/>
  <c r="O2438" i="3"/>
  <c r="A2438" i="3"/>
  <c r="Z2437" i="3"/>
  <c r="O2437" i="3"/>
  <c r="A2437" i="3"/>
  <c r="Z2436" i="3"/>
  <c r="O2436" i="3"/>
  <c r="A2436" i="3"/>
  <c r="Z2435" i="3"/>
  <c r="O2435" i="3"/>
  <c r="A2435" i="3"/>
  <c r="Z2434" i="3"/>
  <c r="O2434" i="3"/>
  <c r="A2434" i="3"/>
  <c r="Z2433" i="3"/>
  <c r="O2433" i="3"/>
  <c r="A2433" i="3"/>
  <c r="Z2432" i="3"/>
  <c r="O2432" i="3"/>
  <c r="A2432" i="3"/>
  <c r="Z2431" i="3"/>
  <c r="O2431" i="3"/>
  <c r="A2431" i="3"/>
  <c r="Z2430" i="3"/>
  <c r="O2430" i="3"/>
  <c r="A2430" i="3"/>
  <c r="Z2429" i="3"/>
  <c r="O2429" i="3"/>
  <c r="A2429" i="3"/>
  <c r="Z2428" i="3"/>
  <c r="O2428" i="3"/>
  <c r="A2428" i="3"/>
  <c r="AC2427" i="3"/>
  <c r="Z2427" i="3"/>
  <c r="O2427" i="3"/>
  <c r="A2427" i="3"/>
  <c r="Z2426" i="3"/>
  <c r="O2426" i="3"/>
  <c r="A2426" i="3"/>
  <c r="Z2425" i="3"/>
  <c r="O2425" i="3"/>
  <c r="A2425" i="3"/>
  <c r="Z2424" i="3"/>
  <c r="O2424" i="3"/>
  <c r="A2424" i="3"/>
  <c r="Z2423" i="3"/>
  <c r="O2423" i="3"/>
  <c r="A2423" i="3"/>
  <c r="Z2422" i="3"/>
  <c r="O2422" i="3"/>
  <c r="A2422" i="3"/>
  <c r="Z2421" i="3"/>
  <c r="O2421" i="3"/>
  <c r="A2421" i="3"/>
  <c r="Z2420" i="3"/>
  <c r="O2420" i="3"/>
  <c r="A2420" i="3"/>
  <c r="Z2419" i="3"/>
  <c r="O2419" i="3"/>
  <c r="A2419" i="3"/>
  <c r="Z2418" i="3"/>
  <c r="O2418" i="3"/>
  <c r="A2418" i="3"/>
  <c r="Z2417" i="3"/>
  <c r="O2417" i="3"/>
  <c r="A2417" i="3"/>
  <c r="Z2416" i="3"/>
  <c r="O2416" i="3"/>
  <c r="A2416" i="3"/>
  <c r="Z2415" i="3"/>
  <c r="O2415" i="3"/>
  <c r="A2415" i="3"/>
  <c r="Z2414" i="3"/>
  <c r="O2414" i="3"/>
  <c r="A2414" i="3"/>
  <c r="Z2413" i="3"/>
  <c r="O2413" i="3"/>
  <c r="A2413" i="3"/>
  <c r="Z2412" i="3"/>
  <c r="O2412" i="3"/>
  <c r="A2412" i="3"/>
  <c r="Z2411" i="3"/>
  <c r="O2411" i="3"/>
  <c r="A2411" i="3"/>
  <c r="Z2410" i="3"/>
  <c r="O2410" i="3"/>
  <c r="A2410" i="3"/>
  <c r="Z2409" i="3"/>
  <c r="O2409" i="3"/>
  <c r="A2409" i="3"/>
  <c r="Z2408" i="3"/>
  <c r="O2408" i="3"/>
  <c r="M2408" i="3"/>
  <c r="A2408" i="3"/>
  <c r="Z2407" i="3"/>
  <c r="O2407" i="3"/>
  <c r="M2407" i="3"/>
  <c r="A2407" i="3"/>
  <c r="Z2406" i="3"/>
  <c r="O2406" i="3"/>
  <c r="M2406" i="3"/>
  <c r="A2406" i="3"/>
  <c r="Z2405" i="3"/>
  <c r="O2405" i="3"/>
  <c r="M2405" i="3"/>
  <c r="A2405" i="3"/>
  <c r="Z2404" i="3"/>
  <c r="O2404" i="3"/>
  <c r="M2404" i="3"/>
  <c r="A2404" i="3"/>
  <c r="Z2403" i="3"/>
  <c r="O2403" i="3"/>
  <c r="M2403" i="3"/>
  <c r="A2403" i="3"/>
  <c r="Z2402" i="3"/>
  <c r="O2402" i="3"/>
  <c r="M2402" i="3"/>
  <c r="A2402" i="3"/>
  <c r="Z2401" i="3"/>
  <c r="O2401" i="3"/>
  <c r="M2401" i="3"/>
  <c r="A2401" i="3"/>
  <c r="Z2400" i="3"/>
  <c r="O2400" i="3"/>
  <c r="M2400" i="3"/>
  <c r="A2400" i="3"/>
  <c r="Z2399" i="3"/>
  <c r="O2399" i="3"/>
  <c r="M2399" i="3"/>
  <c r="A2399" i="3"/>
  <c r="Z2398" i="3"/>
  <c r="O2398" i="3"/>
  <c r="M2398" i="3"/>
  <c r="A2398" i="3"/>
  <c r="Z2397" i="3"/>
  <c r="O2397" i="3"/>
  <c r="M2397" i="3"/>
  <c r="A2397" i="3"/>
  <c r="Z2396" i="3"/>
  <c r="O2396" i="3"/>
  <c r="M2396" i="3"/>
  <c r="A2396" i="3"/>
  <c r="Z2395" i="3"/>
  <c r="O2395" i="3"/>
  <c r="M2395" i="3"/>
  <c r="A2395" i="3"/>
  <c r="Z2394" i="3"/>
  <c r="O2394" i="3"/>
  <c r="A2394" i="3"/>
  <c r="Z2393" i="3"/>
  <c r="O2393" i="3"/>
  <c r="A2393" i="3"/>
  <c r="Z2392" i="3"/>
  <c r="O2392" i="3"/>
  <c r="A2392" i="3"/>
  <c r="Z2391" i="3"/>
  <c r="O2391" i="3"/>
  <c r="A2391" i="3"/>
  <c r="Z2390" i="3"/>
  <c r="O2390" i="3"/>
  <c r="A2390" i="3"/>
  <c r="Z2389" i="3"/>
  <c r="O2389" i="3"/>
  <c r="A2389" i="3"/>
  <c r="Z2388" i="3"/>
  <c r="O2388" i="3"/>
  <c r="A2388" i="3"/>
  <c r="Z2387" i="3"/>
  <c r="O2387" i="3"/>
  <c r="A2387" i="3"/>
  <c r="Z2386" i="3"/>
  <c r="O2386" i="3"/>
  <c r="A2386" i="3"/>
  <c r="Z2385" i="3"/>
  <c r="O2385" i="3"/>
  <c r="A2385" i="3"/>
  <c r="Z2384" i="3"/>
  <c r="O2384" i="3"/>
  <c r="A2384" i="3"/>
  <c r="Z2383" i="3"/>
  <c r="O2383" i="3"/>
  <c r="A2383" i="3"/>
  <c r="AC2382" i="3"/>
  <c r="Z2382" i="3"/>
  <c r="O2382" i="3"/>
  <c r="A2382" i="3"/>
  <c r="Z2381" i="3"/>
  <c r="O2381" i="3"/>
  <c r="A2381" i="3"/>
  <c r="Z2380" i="3"/>
  <c r="O2380" i="3"/>
  <c r="M2380" i="3"/>
  <c r="A2380" i="3"/>
  <c r="Z2379" i="3"/>
  <c r="O2379" i="3"/>
  <c r="M2379" i="3"/>
  <c r="A2379" i="3"/>
  <c r="Z2378" i="3"/>
  <c r="O2378" i="3"/>
  <c r="M2378" i="3"/>
  <c r="A2378" i="3"/>
  <c r="Z2377" i="3"/>
  <c r="O2377" i="3"/>
  <c r="M2377" i="3"/>
  <c r="A2377" i="3"/>
  <c r="Z2376" i="3"/>
  <c r="O2376" i="3"/>
  <c r="M2376" i="3"/>
  <c r="A2376" i="3"/>
  <c r="Z2375" i="3"/>
  <c r="O2375" i="3"/>
  <c r="M2375" i="3"/>
  <c r="A2375" i="3"/>
  <c r="Z2374" i="3"/>
  <c r="O2374" i="3"/>
  <c r="M2374" i="3"/>
  <c r="A2374" i="3"/>
  <c r="Z2373" i="3"/>
  <c r="O2373" i="3"/>
  <c r="M2373" i="3"/>
  <c r="A2373" i="3"/>
  <c r="Z2372" i="3"/>
  <c r="O2372" i="3"/>
  <c r="M2372" i="3"/>
  <c r="A2372" i="3"/>
  <c r="Z2371" i="3"/>
  <c r="O2371" i="3"/>
  <c r="M2371" i="3"/>
  <c r="A2371" i="3"/>
  <c r="Z2370" i="3"/>
  <c r="O2370" i="3"/>
  <c r="M2370" i="3"/>
  <c r="A2370" i="3"/>
  <c r="Z2369" i="3"/>
  <c r="O2369" i="3"/>
  <c r="M2369" i="3"/>
  <c r="A2369" i="3"/>
  <c r="AC2368" i="3"/>
  <c r="Z2368" i="3"/>
  <c r="O2368" i="3"/>
  <c r="M2368" i="3"/>
  <c r="A2368" i="3"/>
  <c r="Z2367" i="3"/>
  <c r="O2367" i="3"/>
  <c r="M2367" i="3"/>
  <c r="A2367" i="3"/>
  <c r="Z2366" i="3"/>
  <c r="O2366" i="3"/>
  <c r="A2366" i="3"/>
  <c r="Z2365" i="3"/>
  <c r="O2365" i="3"/>
  <c r="A2365" i="3"/>
  <c r="Z2364" i="3"/>
  <c r="O2364" i="3"/>
  <c r="A2364" i="3"/>
  <c r="Z2363" i="3"/>
  <c r="O2363" i="3"/>
  <c r="A2363" i="3"/>
  <c r="Z2362" i="3"/>
  <c r="O2362" i="3"/>
  <c r="A2362" i="3"/>
  <c r="Z2361" i="3"/>
  <c r="O2361" i="3"/>
  <c r="A2361" i="3"/>
  <c r="Z2360" i="3"/>
  <c r="O2360" i="3"/>
  <c r="A2360" i="3"/>
  <c r="Z2359" i="3"/>
  <c r="O2359" i="3"/>
  <c r="A2359" i="3"/>
  <c r="Z2358" i="3"/>
  <c r="O2358" i="3"/>
  <c r="A2358" i="3"/>
  <c r="Z2357" i="3"/>
  <c r="O2357" i="3"/>
  <c r="A2357" i="3"/>
  <c r="Z2356" i="3"/>
  <c r="O2356" i="3"/>
  <c r="A2356" i="3"/>
  <c r="Z2355" i="3"/>
  <c r="O2355" i="3"/>
  <c r="A2355" i="3"/>
  <c r="Z2354" i="3"/>
  <c r="O2354" i="3"/>
  <c r="A2354" i="3"/>
  <c r="Z2353" i="3"/>
  <c r="O2353" i="3"/>
  <c r="A2353" i="3"/>
  <c r="Z2352" i="3"/>
  <c r="O2352" i="3"/>
  <c r="A2352" i="3"/>
  <c r="Z2351" i="3"/>
  <c r="O2351" i="3"/>
  <c r="A2351" i="3"/>
  <c r="Z2350" i="3"/>
  <c r="O2350" i="3"/>
  <c r="A2350" i="3"/>
  <c r="Z2349" i="3"/>
  <c r="O2349" i="3"/>
  <c r="A2349" i="3"/>
  <c r="Z2348" i="3"/>
  <c r="O2348" i="3"/>
  <c r="A2348" i="3"/>
  <c r="Z2347" i="3"/>
  <c r="O2347" i="3"/>
  <c r="A2347" i="3"/>
  <c r="Z2346" i="3"/>
  <c r="O2346" i="3"/>
  <c r="A2346" i="3"/>
  <c r="Z2345" i="3"/>
  <c r="O2345" i="3"/>
  <c r="A2345" i="3"/>
  <c r="Z2344" i="3"/>
  <c r="O2344" i="3"/>
  <c r="A2344" i="3"/>
  <c r="Z2343" i="3"/>
  <c r="O2343" i="3"/>
  <c r="A2343" i="3"/>
  <c r="Z2342" i="3"/>
  <c r="O2342" i="3"/>
  <c r="A2342" i="3"/>
  <c r="Z2341" i="3"/>
  <c r="O2341" i="3"/>
  <c r="A2341" i="3"/>
  <c r="AC2340" i="3"/>
  <c r="Z2340" i="3"/>
  <c r="O2340" i="3"/>
  <c r="A2340" i="3"/>
  <c r="Z2339" i="3"/>
  <c r="O2339" i="3"/>
  <c r="A2339" i="3"/>
  <c r="Z2338" i="3"/>
  <c r="O2338" i="3"/>
  <c r="A2338" i="3"/>
  <c r="Z2337" i="3"/>
  <c r="O2337" i="3"/>
  <c r="A2337" i="3"/>
  <c r="Z2336" i="3"/>
  <c r="O2336" i="3"/>
  <c r="A2336" i="3"/>
  <c r="Z2335" i="3"/>
  <c r="O2335" i="3"/>
  <c r="A2335" i="3"/>
  <c r="Z2334" i="3"/>
  <c r="O2334" i="3"/>
  <c r="A2334" i="3"/>
  <c r="Z2333" i="3"/>
  <c r="O2333" i="3"/>
  <c r="A2333" i="3"/>
  <c r="Z2332" i="3"/>
  <c r="O2332" i="3"/>
  <c r="A2332" i="3"/>
  <c r="Z2331" i="3"/>
  <c r="O2331" i="3"/>
  <c r="A2331" i="3"/>
  <c r="Z2330" i="3"/>
  <c r="O2330" i="3"/>
  <c r="A2330" i="3"/>
  <c r="Z2329" i="3"/>
  <c r="O2329" i="3"/>
  <c r="A2329" i="3"/>
  <c r="Z2328" i="3"/>
  <c r="O2328" i="3"/>
  <c r="A2328" i="3"/>
  <c r="Z2327" i="3"/>
  <c r="O2327" i="3"/>
  <c r="A2327" i="3"/>
  <c r="Z2326" i="3"/>
  <c r="O2326" i="3"/>
  <c r="A2326" i="3"/>
  <c r="Z2325" i="3"/>
  <c r="O2325" i="3"/>
  <c r="A2325" i="3"/>
  <c r="Z2324" i="3"/>
  <c r="O2324" i="3"/>
  <c r="A2324" i="3"/>
  <c r="Z2323" i="3"/>
  <c r="O2323" i="3"/>
  <c r="A2323" i="3"/>
  <c r="Z2322" i="3"/>
  <c r="O2322" i="3"/>
  <c r="A2322" i="3"/>
  <c r="Z2321" i="3"/>
  <c r="O2321" i="3"/>
  <c r="A2321" i="3"/>
  <c r="Z2320" i="3"/>
  <c r="O2320" i="3"/>
  <c r="A2320" i="3"/>
  <c r="Z2319" i="3"/>
  <c r="O2319" i="3"/>
  <c r="A2319" i="3"/>
  <c r="Z2318" i="3"/>
  <c r="O2318" i="3"/>
  <c r="A2318" i="3"/>
  <c r="Z2317" i="3"/>
  <c r="O2317" i="3"/>
  <c r="A2317" i="3"/>
  <c r="AC2316" i="3"/>
  <c r="Z2316" i="3"/>
  <c r="O2316" i="3"/>
  <c r="A2316" i="3"/>
  <c r="Z2315" i="3"/>
  <c r="O2315" i="3"/>
  <c r="A2315" i="3"/>
  <c r="Z2314" i="3"/>
  <c r="O2314" i="3"/>
  <c r="A2314" i="3"/>
  <c r="Z2313" i="3"/>
  <c r="O2313" i="3"/>
  <c r="A2313" i="3"/>
  <c r="Z2312" i="3"/>
  <c r="O2312" i="3"/>
  <c r="A2312" i="3"/>
  <c r="Z2311" i="3"/>
  <c r="O2311" i="3"/>
  <c r="A2311" i="3"/>
  <c r="Z2310" i="3"/>
  <c r="O2310" i="3"/>
  <c r="A2310" i="3"/>
  <c r="Z2309" i="3"/>
  <c r="O2309" i="3"/>
  <c r="A2309" i="3"/>
  <c r="Z2308" i="3"/>
  <c r="O2308" i="3"/>
  <c r="A2308" i="3"/>
  <c r="Z2307" i="3"/>
  <c r="O2307" i="3"/>
  <c r="A2307" i="3"/>
  <c r="Z2306" i="3"/>
  <c r="O2306" i="3"/>
  <c r="A2306" i="3"/>
  <c r="Z2305" i="3"/>
  <c r="O2305" i="3"/>
  <c r="A2305" i="3"/>
  <c r="Z2304" i="3"/>
  <c r="O2304" i="3"/>
  <c r="A2304" i="3"/>
  <c r="Z2303" i="3"/>
  <c r="O2303" i="3"/>
  <c r="A2303" i="3"/>
  <c r="Z2302" i="3"/>
  <c r="O2302" i="3"/>
  <c r="A2302" i="3"/>
  <c r="Z2301" i="3"/>
  <c r="O2301" i="3"/>
  <c r="A2301" i="3"/>
  <c r="Z2300" i="3"/>
  <c r="O2300" i="3"/>
  <c r="A2300" i="3"/>
  <c r="Z2299" i="3"/>
  <c r="O2299" i="3"/>
  <c r="A2299" i="3"/>
  <c r="Z2298" i="3"/>
  <c r="O2298" i="3"/>
  <c r="A2298" i="3"/>
  <c r="Z2297" i="3"/>
  <c r="O2297" i="3"/>
  <c r="A2297" i="3"/>
  <c r="Z2296" i="3"/>
  <c r="O2296" i="3"/>
  <c r="A2296" i="3"/>
  <c r="Z2295" i="3"/>
  <c r="O2295" i="3"/>
  <c r="A2295" i="3"/>
  <c r="AC2294" i="3"/>
  <c r="Z2294" i="3"/>
  <c r="O2294" i="3"/>
  <c r="A2294" i="3"/>
  <c r="Z2293" i="3"/>
  <c r="O2293" i="3"/>
  <c r="A2293" i="3"/>
  <c r="Z2292" i="3"/>
  <c r="O2292" i="3"/>
  <c r="A2292" i="3"/>
  <c r="Z2291" i="3"/>
  <c r="O2291" i="3"/>
  <c r="A2291" i="3"/>
  <c r="Z2290" i="3"/>
  <c r="O2290" i="3"/>
  <c r="A2290" i="3"/>
  <c r="Z2289" i="3"/>
  <c r="O2289" i="3"/>
  <c r="A2289" i="3"/>
  <c r="Z2288" i="3"/>
  <c r="O2288" i="3"/>
  <c r="A2288" i="3"/>
  <c r="Z2287" i="3"/>
  <c r="O2287" i="3"/>
  <c r="A2287" i="3"/>
  <c r="Z2286" i="3"/>
  <c r="O2286" i="3"/>
  <c r="A2286" i="3"/>
  <c r="Z2285" i="3"/>
  <c r="O2285" i="3"/>
  <c r="A2285" i="3"/>
  <c r="Z2284" i="3"/>
  <c r="O2284" i="3"/>
  <c r="A2284" i="3"/>
  <c r="Z2283" i="3"/>
  <c r="O2283" i="3"/>
  <c r="A2283" i="3"/>
  <c r="Z2282" i="3"/>
  <c r="O2282" i="3"/>
  <c r="A2282" i="3"/>
  <c r="Z2281" i="3"/>
  <c r="O2281" i="3"/>
  <c r="A2281" i="3"/>
  <c r="Z2280" i="3"/>
  <c r="O2280" i="3"/>
  <c r="A2280" i="3"/>
  <c r="Z2279" i="3"/>
  <c r="O2279" i="3"/>
  <c r="A2279" i="3"/>
  <c r="Z2278" i="3"/>
  <c r="O2278" i="3"/>
  <c r="A2278" i="3"/>
  <c r="Z2277" i="3"/>
  <c r="O2277" i="3"/>
  <c r="A2277" i="3"/>
  <c r="Z2276" i="3"/>
  <c r="O2276" i="3"/>
  <c r="A2276" i="3"/>
  <c r="Z2275" i="3"/>
  <c r="O2275" i="3"/>
  <c r="A2275" i="3"/>
  <c r="Z2274" i="3"/>
  <c r="O2274" i="3"/>
  <c r="A2274" i="3"/>
  <c r="Z2273" i="3"/>
  <c r="O2273" i="3"/>
  <c r="A2273" i="3"/>
  <c r="Z2272" i="3"/>
  <c r="O2272" i="3"/>
  <c r="A2272" i="3"/>
  <c r="Z2271" i="3"/>
  <c r="O2271" i="3"/>
  <c r="A2271" i="3"/>
  <c r="Z2270" i="3"/>
  <c r="O2270" i="3"/>
  <c r="A2270" i="3"/>
  <c r="Z2269" i="3"/>
  <c r="O2269" i="3"/>
  <c r="A2269" i="3"/>
  <c r="Z2268" i="3"/>
  <c r="O2268" i="3"/>
  <c r="A2268" i="3"/>
  <c r="Z2267" i="3"/>
  <c r="O2267" i="3"/>
  <c r="A2267" i="3"/>
  <c r="AC2266" i="3"/>
  <c r="Z2266" i="3"/>
  <c r="O2266" i="3"/>
  <c r="A2266" i="3"/>
  <c r="Z2265" i="3"/>
  <c r="O2265" i="3"/>
  <c r="A2265" i="3"/>
  <c r="Z2264" i="3"/>
  <c r="O2264" i="3"/>
  <c r="A2264" i="3"/>
  <c r="Z2263" i="3"/>
  <c r="O2263" i="3"/>
  <c r="A2263" i="3"/>
  <c r="Z2262" i="3"/>
  <c r="O2262" i="3"/>
  <c r="A2262" i="3"/>
  <c r="Z2261" i="3"/>
  <c r="O2261" i="3"/>
  <c r="A2261" i="3"/>
  <c r="Z2260" i="3"/>
  <c r="O2260" i="3"/>
  <c r="A2260" i="3"/>
  <c r="Z2259" i="3"/>
  <c r="O2259" i="3"/>
  <c r="A2259" i="3"/>
  <c r="Z2258" i="3"/>
  <c r="O2258" i="3"/>
  <c r="A2258" i="3"/>
  <c r="Z2257" i="3"/>
  <c r="O2257" i="3"/>
  <c r="A2257" i="3"/>
  <c r="Z2256" i="3"/>
  <c r="O2256" i="3"/>
  <c r="A2256" i="3"/>
  <c r="Z2255" i="3"/>
  <c r="O2255" i="3"/>
  <c r="A2255" i="3"/>
  <c r="Z2254" i="3"/>
  <c r="O2254" i="3"/>
  <c r="A2254" i="3"/>
  <c r="Z2253" i="3"/>
  <c r="O2253" i="3"/>
  <c r="A2253" i="3"/>
  <c r="Z2252" i="3"/>
  <c r="O2252" i="3"/>
  <c r="A2252" i="3"/>
  <c r="Z2251" i="3"/>
  <c r="O2251" i="3"/>
  <c r="A2251" i="3"/>
  <c r="Z2250" i="3"/>
  <c r="O2250" i="3"/>
  <c r="A2250" i="3"/>
  <c r="Z2249" i="3"/>
  <c r="O2249" i="3"/>
  <c r="A2249" i="3"/>
  <c r="Z2248" i="3"/>
  <c r="O2248" i="3"/>
  <c r="A2248" i="3"/>
  <c r="Z2247" i="3"/>
  <c r="O2247" i="3"/>
  <c r="A2247" i="3"/>
  <c r="Z2246" i="3"/>
  <c r="O2246" i="3"/>
  <c r="A2246" i="3"/>
  <c r="AC2245" i="3"/>
  <c r="Z2245" i="3"/>
  <c r="O2245" i="3"/>
  <c r="A2245" i="3"/>
  <c r="Z2244" i="3"/>
  <c r="O2244" i="3"/>
  <c r="A2244" i="3"/>
  <c r="Z2243" i="3"/>
  <c r="O2243" i="3"/>
  <c r="A2243" i="3"/>
  <c r="Z2242" i="3"/>
  <c r="O2242" i="3"/>
  <c r="A2242" i="3"/>
  <c r="Z2241" i="3"/>
  <c r="O2241" i="3"/>
  <c r="A2241" i="3"/>
  <c r="Z2240" i="3"/>
  <c r="O2240" i="3"/>
  <c r="A2240" i="3"/>
  <c r="Z2239" i="3"/>
  <c r="O2239" i="3"/>
  <c r="A2239" i="3"/>
  <c r="Z2238" i="3"/>
  <c r="O2238" i="3"/>
  <c r="A2238" i="3"/>
  <c r="Z2237" i="3"/>
  <c r="O2237" i="3"/>
  <c r="A2237" i="3"/>
  <c r="Z2236" i="3"/>
  <c r="O2236" i="3"/>
  <c r="A2236" i="3"/>
  <c r="Z2235" i="3"/>
  <c r="O2235" i="3"/>
  <c r="A2235" i="3"/>
  <c r="Z2234" i="3"/>
  <c r="O2234" i="3"/>
  <c r="A2234" i="3"/>
  <c r="Z2233" i="3"/>
  <c r="O2233" i="3"/>
  <c r="A2233" i="3"/>
  <c r="Z2232" i="3"/>
  <c r="O2232" i="3"/>
  <c r="A2232" i="3"/>
  <c r="Z2231" i="3"/>
  <c r="O2231" i="3"/>
  <c r="A2231" i="3"/>
  <c r="Z2230" i="3"/>
  <c r="O2230" i="3"/>
  <c r="A2230" i="3"/>
  <c r="Z2229" i="3"/>
  <c r="O2229" i="3"/>
  <c r="A2229" i="3"/>
  <c r="Z2228" i="3"/>
  <c r="O2228" i="3"/>
  <c r="A2228" i="3"/>
  <c r="Z2227" i="3"/>
  <c r="O2227" i="3"/>
  <c r="A2227" i="3"/>
  <c r="Z2226" i="3"/>
  <c r="O2226" i="3"/>
  <c r="A2226" i="3"/>
  <c r="Z2225" i="3"/>
  <c r="O2225" i="3"/>
  <c r="A2225" i="3"/>
  <c r="AC2224" i="3"/>
  <c r="Z2224" i="3"/>
  <c r="O2224" i="3"/>
  <c r="A2224" i="3"/>
  <c r="Z2223" i="3"/>
  <c r="O2223" i="3"/>
  <c r="A2223" i="3"/>
  <c r="Z2222" i="3"/>
  <c r="O2222" i="3"/>
  <c r="A2222" i="3"/>
  <c r="Z2221" i="3"/>
  <c r="O2221" i="3"/>
  <c r="A2221" i="3"/>
  <c r="Z2220" i="3"/>
  <c r="O2220" i="3"/>
  <c r="A2220" i="3"/>
  <c r="Z2219" i="3"/>
  <c r="O2219" i="3"/>
  <c r="A2219" i="3"/>
  <c r="Z2218" i="3"/>
  <c r="O2218" i="3"/>
  <c r="A2218" i="3"/>
  <c r="Z2217" i="3"/>
  <c r="O2217" i="3"/>
  <c r="A2217" i="3"/>
  <c r="Z2216" i="3"/>
  <c r="O2216" i="3"/>
  <c r="A2216" i="3"/>
  <c r="Z2215" i="3"/>
  <c r="O2215" i="3"/>
  <c r="A2215" i="3"/>
  <c r="Z2214" i="3"/>
  <c r="O2214" i="3"/>
  <c r="A2214" i="3"/>
  <c r="Z2213" i="3"/>
  <c r="O2213" i="3"/>
  <c r="A2213" i="3"/>
  <c r="Z2212" i="3"/>
  <c r="O2212" i="3"/>
  <c r="A2212" i="3"/>
  <c r="Z2211" i="3"/>
  <c r="O2211" i="3"/>
  <c r="A2211" i="3"/>
  <c r="Z2210" i="3"/>
  <c r="O2210" i="3"/>
  <c r="A2210" i="3"/>
  <c r="Z2209" i="3"/>
  <c r="O2209" i="3"/>
  <c r="A2209" i="3"/>
  <c r="Z2208" i="3"/>
  <c r="O2208" i="3"/>
  <c r="A2208" i="3"/>
  <c r="Z2207" i="3"/>
  <c r="O2207" i="3"/>
  <c r="A2207" i="3"/>
  <c r="Z2206" i="3"/>
  <c r="O2206" i="3"/>
  <c r="A2206" i="3"/>
  <c r="Z2205" i="3"/>
  <c r="O2205" i="3"/>
  <c r="A2205" i="3"/>
  <c r="Z2204" i="3"/>
  <c r="O2204" i="3"/>
  <c r="A2204" i="3"/>
  <c r="Z2203" i="3"/>
  <c r="O2203" i="3"/>
  <c r="A2203" i="3"/>
  <c r="Z2202" i="3"/>
  <c r="O2202" i="3"/>
  <c r="A2202" i="3"/>
  <c r="Z2201" i="3"/>
  <c r="O2201" i="3"/>
  <c r="A2201" i="3"/>
  <c r="Z2200" i="3"/>
  <c r="O2200" i="3"/>
  <c r="A2200" i="3"/>
  <c r="AC2199" i="3"/>
  <c r="Z2199" i="3"/>
  <c r="O2199" i="3"/>
  <c r="A2199" i="3"/>
  <c r="Z2198" i="3"/>
  <c r="O2198" i="3"/>
  <c r="A2198" i="3"/>
  <c r="Z2197" i="3"/>
  <c r="O2197" i="3"/>
  <c r="A2197" i="3"/>
  <c r="Z2196" i="3"/>
  <c r="O2196" i="3"/>
  <c r="A2196" i="3"/>
  <c r="Z2195" i="3"/>
  <c r="O2195" i="3"/>
  <c r="A2195" i="3"/>
  <c r="Z2194" i="3"/>
  <c r="O2194" i="3"/>
  <c r="A2194" i="3"/>
  <c r="Z2193" i="3"/>
  <c r="O2193" i="3"/>
  <c r="A2193" i="3"/>
  <c r="Z2192" i="3"/>
  <c r="O2192" i="3"/>
  <c r="A2192" i="3"/>
  <c r="Z2191" i="3"/>
  <c r="O2191" i="3"/>
  <c r="A2191" i="3"/>
  <c r="Z2190" i="3"/>
  <c r="O2190" i="3"/>
  <c r="A2190" i="3"/>
  <c r="Z2189" i="3"/>
  <c r="O2189" i="3"/>
  <c r="A2189" i="3"/>
  <c r="Z2188" i="3"/>
  <c r="O2188" i="3"/>
  <c r="A2188" i="3"/>
  <c r="Z2187" i="3"/>
  <c r="O2187" i="3"/>
  <c r="A2187" i="3"/>
  <c r="Z2186" i="3"/>
  <c r="O2186" i="3"/>
  <c r="A2186" i="3"/>
  <c r="Z2185" i="3"/>
  <c r="O2185" i="3"/>
  <c r="A2185" i="3"/>
  <c r="Z2184" i="3"/>
  <c r="O2184" i="3"/>
  <c r="A2184" i="3"/>
  <c r="Z2183" i="3"/>
  <c r="O2183" i="3"/>
  <c r="A2183" i="3"/>
  <c r="Z2182" i="3"/>
  <c r="O2182" i="3"/>
  <c r="A2182" i="3"/>
  <c r="Z2181" i="3"/>
  <c r="O2181" i="3"/>
  <c r="A2181" i="3"/>
  <c r="Z2180" i="3"/>
  <c r="O2180" i="3"/>
  <c r="A2180" i="3"/>
  <c r="Z2179" i="3"/>
  <c r="O2179" i="3"/>
  <c r="A2179" i="3"/>
  <c r="Z2178" i="3"/>
  <c r="O2178" i="3"/>
  <c r="A2178" i="3"/>
  <c r="Z2177" i="3"/>
  <c r="O2177" i="3"/>
  <c r="A2177" i="3"/>
  <c r="Z2176" i="3"/>
  <c r="O2176" i="3"/>
  <c r="A2176" i="3"/>
  <c r="Z2175" i="3"/>
  <c r="O2175" i="3"/>
  <c r="A2175" i="3"/>
  <c r="Z2174" i="3"/>
  <c r="O2174" i="3"/>
  <c r="A2174" i="3"/>
  <c r="Z2173" i="3"/>
  <c r="O2173" i="3"/>
  <c r="A2173" i="3"/>
  <c r="Z2172" i="3"/>
  <c r="O2172" i="3"/>
  <c r="A2172" i="3"/>
  <c r="Z2171" i="3"/>
  <c r="O2171" i="3"/>
  <c r="A2171" i="3"/>
  <c r="Z2170" i="3"/>
  <c r="O2170" i="3"/>
  <c r="A2170" i="3"/>
  <c r="Z2169" i="3"/>
  <c r="O2169" i="3"/>
  <c r="A2169" i="3"/>
  <c r="Z2168" i="3"/>
  <c r="O2168" i="3"/>
  <c r="A2168" i="3"/>
  <c r="Z2167" i="3"/>
  <c r="O2167" i="3"/>
  <c r="A2167" i="3"/>
  <c r="Z2166" i="3"/>
  <c r="O2166" i="3"/>
  <c r="A2166" i="3"/>
  <c r="Z2165" i="3"/>
  <c r="O2165" i="3"/>
  <c r="A2165" i="3"/>
  <c r="Z2164" i="3"/>
  <c r="O2164" i="3"/>
  <c r="A2164" i="3"/>
  <c r="Z2163" i="3"/>
  <c r="O2163" i="3"/>
  <c r="A2163" i="3"/>
  <c r="Z2162" i="3"/>
  <c r="O2162" i="3"/>
  <c r="A2162" i="3"/>
  <c r="Z2161" i="3"/>
  <c r="O2161" i="3"/>
  <c r="A2161" i="3"/>
  <c r="Z2160" i="3"/>
  <c r="O2160" i="3"/>
  <c r="A2160" i="3"/>
  <c r="Z2159" i="3"/>
  <c r="O2159" i="3"/>
  <c r="A2159" i="3"/>
  <c r="Z2158" i="3"/>
  <c r="O2158" i="3"/>
  <c r="A2158" i="3"/>
  <c r="Z2157" i="3"/>
  <c r="O2157" i="3"/>
  <c r="A2157" i="3"/>
  <c r="Z2156" i="3"/>
  <c r="O2156" i="3"/>
  <c r="A2156" i="3"/>
  <c r="Z2155" i="3"/>
  <c r="O2155" i="3"/>
  <c r="A2155" i="3"/>
  <c r="AC2154" i="3"/>
  <c r="Z2154" i="3"/>
  <c r="O2154" i="3"/>
  <c r="A2154" i="3"/>
  <c r="Z2153" i="3"/>
  <c r="O2153" i="3"/>
  <c r="A2153" i="3"/>
  <c r="Z2152" i="3"/>
  <c r="O2152" i="3"/>
  <c r="A2152" i="3"/>
  <c r="Z2151" i="3"/>
  <c r="O2151" i="3"/>
  <c r="A2151" i="3"/>
  <c r="Z2150" i="3"/>
  <c r="O2150" i="3"/>
  <c r="A2150" i="3"/>
  <c r="Z2149" i="3"/>
  <c r="O2149" i="3"/>
  <c r="A2149" i="3"/>
  <c r="Z2148" i="3"/>
  <c r="O2148" i="3"/>
  <c r="A2148" i="3"/>
  <c r="Z2147" i="3"/>
  <c r="O2147" i="3"/>
  <c r="A2147" i="3"/>
  <c r="Z2146" i="3"/>
  <c r="O2146" i="3"/>
  <c r="A2146" i="3"/>
  <c r="Z2145" i="3"/>
  <c r="O2145" i="3"/>
  <c r="A2145" i="3"/>
  <c r="Z2144" i="3"/>
  <c r="O2144" i="3"/>
  <c r="A2144" i="3"/>
  <c r="Z2143" i="3"/>
  <c r="O2143" i="3"/>
  <c r="A2143" i="3"/>
  <c r="Z2142" i="3"/>
  <c r="O2142" i="3"/>
  <c r="A2142" i="3"/>
  <c r="Z2141" i="3"/>
  <c r="O2141" i="3"/>
  <c r="A2141" i="3"/>
  <c r="Z2140" i="3"/>
  <c r="O2140" i="3"/>
  <c r="A2140" i="3"/>
  <c r="Z2139" i="3"/>
  <c r="O2139" i="3"/>
  <c r="A2139" i="3"/>
  <c r="Z2138" i="3"/>
  <c r="O2138" i="3"/>
  <c r="A2138" i="3"/>
  <c r="Z2137" i="3"/>
  <c r="O2137" i="3"/>
  <c r="A2137" i="3"/>
  <c r="Z2136" i="3"/>
  <c r="O2136" i="3"/>
  <c r="A2136" i="3"/>
  <c r="Z2135" i="3"/>
  <c r="O2135" i="3"/>
  <c r="A2135" i="3"/>
  <c r="AC2134" i="3"/>
  <c r="Z2134" i="3"/>
  <c r="O2134" i="3"/>
  <c r="A2134" i="3"/>
  <c r="Z2133" i="3"/>
  <c r="O2133" i="3"/>
  <c r="A2133" i="3"/>
  <c r="Z2132" i="3"/>
  <c r="O2132" i="3"/>
  <c r="A2132" i="3"/>
  <c r="Z2131" i="3"/>
  <c r="O2131" i="3"/>
  <c r="A2131" i="3"/>
  <c r="Z2130" i="3"/>
  <c r="O2130" i="3"/>
  <c r="A2130" i="3"/>
  <c r="Z2129" i="3"/>
  <c r="O2129" i="3"/>
  <c r="A2129" i="3"/>
  <c r="Z2128" i="3"/>
  <c r="O2128" i="3"/>
  <c r="A2128" i="3"/>
  <c r="Z2127" i="3"/>
  <c r="O2127" i="3"/>
  <c r="A2127" i="3"/>
  <c r="Z2126" i="3"/>
  <c r="O2126" i="3"/>
  <c r="A2126" i="3"/>
  <c r="Z2125" i="3"/>
  <c r="O2125" i="3"/>
  <c r="A2125" i="3"/>
  <c r="Z2124" i="3"/>
  <c r="O2124" i="3"/>
  <c r="A2124" i="3"/>
  <c r="Z2123" i="3"/>
  <c r="O2123" i="3"/>
  <c r="A2123" i="3"/>
  <c r="Z2122" i="3"/>
  <c r="O2122" i="3"/>
  <c r="A2122" i="3"/>
  <c r="Z2121" i="3"/>
  <c r="O2121" i="3"/>
  <c r="A2121" i="3"/>
  <c r="Z2120" i="3"/>
  <c r="O2120" i="3"/>
  <c r="A2120" i="3"/>
  <c r="Z2119" i="3"/>
  <c r="O2119" i="3"/>
  <c r="A2119" i="3"/>
  <c r="Z2118" i="3"/>
  <c r="O2118" i="3"/>
  <c r="A2118" i="3"/>
  <c r="Z2117" i="3"/>
  <c r="O2117" i="3"/>
  <c r="A2117" i="3"/>
  <c r="Z2116" i="3"/>
  <c r="O2116" i="3"/>
  <c r="A2116" i="3"/>
  <c r="Z2115" i="3"/>
  <c r="O2115" i="3"/>
  <c r="A2115" i="3"/>
  <c r="AC2114" i="3"/>
  <c r="Z2114" i="3"/>
  <c r="O2114" i="3"/>
  <c r="A2114" i="3"/>
  <c r="Z2113" i="3"/>
  <c r="O2113" i="3"/>
  <c r="A2113" i="3"/>
  <c r="Z2112" i="3"/>
  <c r="O2112" i="3"/>
  <c r="A2112" i="3"/>
  <c r="Z2111" i="3"/>
  <c r="O2111" i="3"/>
  <c r="A2111" i="3"/>
  <c r="Z2110" i="3"/>
  <c r="O2110" i="3"/>
  <c r="A2110" i="3"/>
  <c r="Z2109" i="3"/>
  <c r="O2109" i="3"/>
  <c r="A2109" i="3"/>
  <c r="Z2108" i="3"/>
  <c r="O2108" i="3"/>
  <c r="A2108" i="3"/>
  <c r="Z2107" i="3"/>
  <c r="O2107" i="3"/>
  <c r="A2107" i="3"/>
  <c r="Z2106" i="3"/>
  <c r="O2106" i="3"/>
  <c r="A2106" i="3"/>
  <c r="Z2105" i="3"/>
  <c r="O2105" i="3"/>
  <c r="A2105" i="3"/>
  <c r="Z2104" i="3"/>
  <c r="O2104" i="3"/>
  <c r="A2104" i="3"/>
  <c r="Z2103" i="3"/>
  <c r="O2103" i="3"/>
  <c r="A2103" i="3"/>
  <c r="Z2102" i="3"/>
  <c r="O2102" i="3"/>
  <c r="A2102" i="3"/>
  <c r="Z2101" i="3"/>
  <c r="O2101" i="3"/>
  <c r="A2101" i="3"/>
  <c r="Z2100" i="3"/>
  <c r="O2100" i="3"/>
  <c r="A2100" i="3"/>
  <c r="Z2099" i="3"/>
  <c r="O2099" i="3"/>
  <c r="A2099" i="3"/>
  <c r="Z2098" i="3"/>
  <c r="O2098" i="3"/>
  <c r="A2098" i="3"/>
  <c r="Z2097" i="3"/>
  <c r="O2097" i="3"/>
  <c r="A2097" i="3"/>
  <c r="Z2096" i="3"/>
  <c r="O2096" i="3"/>
  <c r="A2096" i="3"/>
  <c r="Z2095" i="3"/>
  <c r="O2095" i="3"/>
  <c r="A2095" i="3"/>
  <c r="Z2094" i="3"/>
  <c r="O2094" i="3"/>
  <c r="A2094" i="3"/>
  <c r="Z2093" i="3"/>
  <c r="O2093" i="3"/>
  <c r="A2093" i="3"/>
  <c r="Z2092" i="3"/>
  <c r="O2092" i="3"/>
  <c r="A2092" i="3"/>
  <c r="AC2091" i="3"/>
  <c r="Z2091" i="3"/>
  <c r="O2091" i="3"/>
  <c r="A2091" i="3"/>
  <c r="Z2090" i="3"/>
  <c r="O2090" i="3"/>
  <c r="A2090" i="3"/>
  <c r="Z2089" i="3"/>
  <c r="O2089" i="3"/>
  <c r="A2089" i="3"/>
  <c r="Z2088" i="3"/>
  <c r="O2088" i="3"/>
  <c r="A2088" i="3"/>
  <c r="Z2087" i="3"/>
  <c r="O2087" i="3"/>
  <c r="A2087" i="3"/>
  <c r="Z2086" i="3"/>
  <c r="O2086" i="3"/>
  <c r="A2086" i="3"/>
  <c r="Z2085" i="3"/>
  <c r="O2085" i="3"/>
  <c r="A2085" i="3"/>
  <c r="Z2084" i="3"/>
  <c r="O2084" i="3"/>
  <c r="A2084" i="3"/>
  <c r="Z2083" i="3"/>
  <c r="O2083" i="3"/>
  <c r="A2083" i="3"/>
  <c r="Z2082" i="3"/>
  <c r="O2082" i="3"/>
  <c r="A2082" i="3"/>
  <c r="Z2081" i="3"/>
  <c r="O2081" i="3"/>
  <c r="A2081" i="3"/>
  <c r="Z2080" i="3"/>
  <c r="O2080" i="3"/>
  <c r="A2080" i="3"/>
  <c r="Z2079" i="3"/>
  <c r="O2079" i="3"/>
  <c r="A2079" i="3"/>
  <c r="Z2078" i="3"/>
  <c r="O2078" i="3"/>
  <c r="A2078" i="3"/>
  <c r="Z2077" i="3"/>
  <c r="O2077" i="3"/>
  <c r="A2077" i="3"/>
  <c r="Z2076" i="3"/>
  <c r="O2076" i="3"/>
  <c r="A2076" i="3"/>
  <c r="Z2075" i="3"/>
  <c r="O2075" i="3"/>
  <c r="A2075" i="3"/>
  <c r="Z2074" i="3"/>
  <c r="O2074" i="3"/>
  <c r="A2074" i="3"/>
  <c r="Z2073" i="3"/>
  <c r="O2073" i="3"/>
  <c r="A2073" i="3"/>
  <c r="Z2072" i="3"/>
  <c r="O2072" i="3"/>
  <c r="A2072" i="3"/>
  <c r="Z2071" i="3"/>
  <c r="O2071" i="3"/>
  <c r="A2071" i="3"/>
  <c r="Z2070" i="3"/>
  <c r="O2070" i="3"/>
  <c r="A2070" i="3"/>
  <c r="Z2069" i="3"/>
  <c r="O2069" i="3"/>
  <c r="A2069" i="3"/>
  <c r="AC2068" i="3"/>
  <c r="Z2068" i="3"/>
  <c r="O2068" i="3"/>
  <c r="A2068" i="3"/>
  <c r="Z2067" i="3"/>
  <c r="O2067" i="3"/>
  <c r="A2067" i="3"/>
  <c r="Z2066" i="3"/>
  <c r="O2066" i="3"/>
  <c r="A2066" i="3"/>
  <c r="Z2065" i="3"/>
  <c r="O2065" i="3"/>
  <c r="A2065" i="3"/>
  <c r="Z2064" i="3"/>
  <c r="O2064" i="3"/>
  <c r="A2064" i="3"/>
  <c r="Z2063" i="3"/>
  <c r="O2063" i="3"/>
  <c r="A2063" i="3"/>
  <c r="Z2062" i="3"/>
  <c r="O2062" i="3"/>
  <c r="A2062" i="3"/>
  <c r="Z2061" i="3"/>
  <c r="O2061" i="3"/>
  <c r="A2061" i="3"/>
  <c r="Z2060" i="3"/>
  <c r="O2060" i="3"/>
  <c r="A2060" i="3"/>
  <c r="Z2059" i="3"/>
  <c r="O2059" i="3"/>
  <c r="A2059" i="3"/>
  <c r="Z2058" i="3"/>
  <c r="O2058" i="3"/>
  <c r="A2058" i="3"/>
  <c r="Z2057" i="3"/>
  <c r="O2057" i="3"/>
  <c r="A2057" i="3"/>
  <c r="Z2056" i="3"/>
  <c r="O2056" i="3"/>
  <c r="A2056" i="3"/>
  <c r="Z2055" i="3"/>
  <c r="O2055" i="3"/>
  <c r="A2055" i="3"/>
  <c r="Z2054" i="3"/>
  <c r="O2054" i="3"/>
  <c r="A2054" i="3"/>
  <c r="Z2053" i="3"/>
  <c r="O2053" i="3"/>
  <c r="A2053" i="3"/>
  <c r="Z2052" i="3"/>
  <c r="O2052" i="3"/>
  <c r="A2052" i="3"/>
  <c r="Z2051" i="3"/>
  <c r="O2051" i="3"/>
  <c r="A2051" i="3"/>
  <c r="Z2050" i="3"/>
  <c r="O2050" i="3"/>
  <c r="A2050" i="3"/>
  <c r="AC2049" i="3"/>
  <c r="Z2049" i="3"/>
  <c r="O2049" i="3"/>
  <c r="A2049" i="3"/>
  <c r="Z2048" i="3"/>
  <c r="O2048" i="3"/>
  <c r="A2048" i="3"/>
  <c r="Z2047" i="3"/>
  <c r="O2047" i="3"/>
  <c r="A2047" i="3"/>
  <c r="Z2046" i="3"/>
  <c r="O2046" i="3"/>
  <c r="A2046" i="3"/>
  <c r="Z2045" i="3"/>
  <c r="O2045" i="3"/>
  <c r="A2045" i="3"/>
  <c r="Z2044" i="3"/>
  <c r="O2044" i="3"/>
  <c r="A2044" i="3"/>
  <c r="Z2043" i="3"/>
  <c r="O2043" i="3"/>
  <c r="A2043" i="3"/>
  <c r="Z2042" i="3"/>
  <c r="O2042" i="3"/>
  <c r="A2042" i="3"/>
  <c r="Z2041" i="3"/>
  <c r="O2041" i="3"/>
  <c r="A2041" i="3"/>
  <c r="Z2040" i="3"/>
  <c r="O2040" i="3"/>
  <c r="A2040" i="3"/>
  <c r="Z2039" i="3"/>
  <c r="O2039" i="3"/>
  <c r="A2039" i="3"/>
  <c r="Z2038" i="3"/>
  <c r="O2038" i="3"/>
  <c r="A2038" i="3"/>
  <c r="Z2037" i="3"/>
  <c r="O2037" i="3"/>
  <c r="A2037" i="3"/>
  <c r="Z2036" i="3"/>
  <c r="O2036" i="3"/>
  <c r="A2036" i="3"/>
  <c r="Z2035" i="3"/>
  <c r="O2035" i="3"/>
  <c r="A2035" i="3"/>
  <c r="Z2034" i="3"/>
  <c r="O2034" i="3"/>
  <c r="A2034" i="3"/>
  <c r="Z2033" i="3"/>
  <c r="O2033" i="3"/>
  <c r="A2033" i="3"/>
  <c r="Z2032" i="3"/>
  <c r="O2032" i="3"/>
  <c r="A2032" i="3"/>
  <c r="Z2031" i="3"/>
  <c r="O2031" i="3"/>
  <c r="A2031" i="3"/>
  <c r="AC2030" i="3"/>
  <c r="Z2030" i="3"/>
  <c r="O2030" i="3"/>
  <c r="A2030" i="3"/>
  <c r="Z2029" i="3"/>
  <c r="O2029" i="3"/>
  <c r="A2029" i="3"/>
  <c r="Z2028" i="3"/>
  <c r="O2028" i="3"/>
  <c r="A2028" i="3"/>
  <c r="Z2027" i="3"/>
  <c r="O2027" i="3"/>
  <c r="A2027" i="3"/>
  <c r="Z2026" i="3"/>
  <c r="O2026" i="3"/>
  <c r="A2026" i="3"/>
  <c r="Z2025" i="3"/>
  <c r="O2025" i="3"/>
  <c r="A2025" i="3"/>
  <c r="Z2024" i="3"/>
  <c r="O2024" i="3"/>
  <c r="A2024" i="3"/>
  <c r="Z2023" i="3"/>
  <c r="O2023" i="3"/>
  <c r="A2023" i="3"/>
  <c r="Z2022" i="3"/>
  <c r="O2022" i="3"/>
  <c r="A2022" i="3"/>
  <c r="Z2021" i="3"/>
  <c r="O2021" i="3"/>
  <c r="A2021" i="3"/>
  <c r="Z2020" i="3"/>
  <c r="O2020" i="3"/>
  <c r="A2020" i="3"/>
  <c r="Z2019" i="3"/>
  <c r="O2019" i="3"/>
  <c r="A2019" i="3"/>
  <c r="Z2018" i="3"/>
  <c r="O2018" i="3"/>
  <c r="A2018" i="3"/>
  <c r="Z2017" i="3"/>
  <c r="O2017" i="3"/>
  <c r="A2017" i="3"/>
  <c r="Z2016" i="3"/>
  <c r="O2016" i="3"/>
  <c r="A2016" i="3"/>
  <c r="Z2015" i="3"/>
  <c r="O2015" i="3"/>
  <c r="A2015" i="3"/>
  <c r="Z2014" i="3"/>
  <c r="O2014" i="3"/>
  <c r="A2014" i="3"/>
  <c r="Z2013" i="3"/>
  <c r="O2013" i="3"/>
  <c r="A2013" i="3"/>
  <c r="Z2012" i="3"/>
  <c r="O2012" i="3"/>
  <c r="A2012" i="3"/>
  <c r="Z2011" i="3"/>
  <c r="O2011" i="3"/>
  <c r="A2011" i="3"/>
  <c r="Z2010" i="3"/>
  <c r="O2010" i="3"/>
  <c r="A2010" i="3"/>
  <c r="Z2009" i="3"/>
  <c r="O2009" i="3"/>
  <c r="A2009" i="3"/>
  <c r="Z2008" i="3"/>
  <c r="O2008" i="3"/>
  <c r="A2008" i="3"/>
  <c r="Z2007" i="3"/>
  <c r="O2007" i="3"/>
  <c r="A2007" i="3"/>
  <c r="Z2006" i="3"/>
  <c r="O2006" i="3"/>
  <c r="A2006" i="3"/>
  <c r="Z2005" i="3"/>
  <c r="O2005" i="3"/>
  <c r="A2005" i="3"/>
  <c r="Z2004" i="3"/>
  <c r="O2004" i="3"/>
  <c r="A2004" i="3"/>
  <c r="Z2003" i="3"/>
  <c r="O2003" i="3"/>
  <c r="A2003" i="3"/>
  <c r="Z2002" i="3"/>
  <c r="O2002" i="3"/>
  <c r="A2002" i="3"/>
  <c r="Z2001" i="3"/>
  <c r="O2001" i="3"/>
  <c r="A2001" i="3"/>
  <c r="Z2000" i="3"/>
  <c r="O2000" i="3"/>
  <c r="A2000" i="3"/>
  <c r="AC1999" i="3"/>
  <c r="Z1999" i="3"/>
  <c r="O1999" i="3"/>
  <c r="A1999" i="3"/>
  <c r="Z1998" i="3"/>
  <c r="O1998" i="3"/>
  <c r="A1998" i="3"/>
  <c r="Z1997" i="3"/>
  <c r="O1997" i="3"/>
  <c r="A1997" i="3"/>
  <c r="Z1996" i="3"/>
  <c r="O1996" i="3"/>
  <c r="A1996" i="3"/>
  <c r="Z1995" i="3"/>
  <c r="O1995" i="3"/>
  <c r="A1995" i="3"/>
  <c r="Z1994" i="3"/>
  <c r="O1994" i="3"/>
  <c r="A1994" i="3"/>
  <c r="Z1993" i="3"/>
  <c r="O1993" i="3"/>
  <c r="A1993" i="3"/>
  <c r="Z1992" i="3"/>
  <c r="O1992" i="3"/>
  <c r="A1992" i="3"/>
  <c r="Z1991" i="3"/>
  <c r="O1991" i="3"/>
  <c r="A1991" i="3"/>
  <c r="Z1990" i="3"/>
  <c r="O1990" i="3"/>
  <c r="A1990" i="3"/>
  <c r="Z1989" i="3"/>
  <c r="O1989" i="3"/>
  <c r="A1989" i="3"/>
  <c r="Z1988" i="3"/>
  <c r="O1988" i="3"/>
  <c r="A1988" i="3"/>
  <c r="Z1987" i="3"/>
  <c r="O1987" i="3"/>
  <c r="A1987" i="3"/>
  <c r="Z1986" i="3"/>
  <c r="O1986" i="3"/>
  <c r="A1986" i="3"/>
  <c r="Z1985" i="3"/>
  <c r="O1985" i="3"/>
  <c r="A1985" i="3"/>
  <c r="Z1984" i="3"/>
  <c r="O1984" i="3"/>
  <c r="A1984" i="3"/>
  <c r="Z1983" i="3"/>
  <c r="O1983" i="3"/>
  <c r="A1983" i="3"/>
  <c r="Z1982" i="3"/>
  <c r="O1982" i="3"/>
  <c r="A1982" i="3"/>
  <c r="Z1981" i="3"/>
  <c r="O1981" i="3"/>
  <c r="A1981" i="3"/>
  <c r="Z1980" i="3"/>
  <c r="O1980" i="3"/>
  <c r="A1980" i="3"/>
  <c r="Z1979" i="3"/>
  <c r="O1979" i="3"/>
  <c r="A1979" i="3"/>
  <c r="Z1978" i="3"/>
  <c r="O1978" i="3"/>
  <c r="A1978" i="3"/>
  <c r="Z1977" i="3"/>
  <c r="O1977" i="3"/>
  <c r="A1977" i="3"/>
  <c r="Z1976" i="3"/>
  <c r="O1976" i="3"/>
  <c r="A1976" i="3"/>
  <c r="Z1975" i="3"/>
  <c r="O1975" i="3"/>
  <c r="A1975" i="3"/>
  <c r="Z1974" i="3"/>
  <c r="O1974" i="3"/>
  <c r="A1974" i="3"/>
  <c r="Z1973" i="3"/>
  <c r="O1973" i="3"/>
  <c r="A1973" i="3"/>
  <c r="Z1972" i="3"/>
  <c r="O1972" i="3"/>
  <c r="A1972" i="3"/>
  <c r="Z1971" i="3"/>
  <c r="O1971" i="3"/>
  <c r="A1971" i="3"/>
  <c r="Z1970" i="3"/>
  <c r="O1970" i="3"/>
  <c r="A1970" i="3"/>
  <c r="Z1969" i="3"/>
  <c r="O1969" i="3"/>
  <c r="A1969" i="3"/>
  <c r="AC1968" i="3"/>
  <c r="Z1968" i="3"/>
  <c r="O1968" i="3"/>
  <c r="A1968" i="3"/>
  <c r="Z1967" i="3"/>
  <c r="O1967" i="3"/>
  <c r="A1967" i="3"/>
  <c r="Z1966" i="3"/>
  <c r="O1966" i="3"/>
  <c r="A1966" i="3"/>
  <c r="Z1965" i="3"/>
  <c r="O1965" i="3"/>
  <c r="A1965" i="3"/>
  <c r="Z1964" i="3"/>
  <c r="O1964" i="3"/>
  <c r="A1964" i="3"/>
  <c r="Z1963" i="3"/>
  <c r="O1963" i="3"/>
  <c r="A1963" i="3"/>
  <c r="Z1962" i="3"/>
  <c r="O1962" i="3"/>
  <c r="A1962" i="3"/>
  <c r="Z1961" i="3"/>
  <c r="O1961" i="3"/>
  <c r="A1961" i="3"/>
  <c r="Z1960" i="3"/>
  <c r="O1960" i="3"/>
  <c r="A1960" i="3"/>
  <c r="Z1959" i="3"/>
  <c r="O1959" i="3"/>
  <c r="A1959" i="3"/>
  <c r="Z1958" i="3"/>
  <c r="O1958" i="3"/>
  <c r="A1958" i="3"/>
  <c r="Z1957" i="3"/>
  <c r="O1957" i="3"/>
  <c r="A1957" i="3"/>
  <c r="Z1956" i="3"/>
  <c r="O1956" i="3"/>
  <c r="A1956" i="3"/>
  <c r="Z1955" i="3"/>
  <c r="O1955" i="3"/>
  <c r="A1955" i="3"/>
  <c r="Z1954" i="3"/>
  <c r="O1954" i="3"/>
  <c r="A1954" i="3"/>
  <c r="Z1953" i="3"/>
  <c r="O1953" i="3"/>
  <c r="A1953" i="3"/>
  <c r="Z1952" i="3"/>
  <c r="O1952" i="3"/>
  <c r="A1952" i="3"/>
  <c r="Z1951" i="3"/>
  <c r="O1951" i="3"/>
  <c r="A1951" i="3"/>
  <c r="Z1950" i="3"/>
  <c r="O1950" i="3"/>
  <c r="A1950" i="3"/>
  <c r="Z1949" i="3"/>
  <c r="O1949" i="3"/>
  <c r="A1949" i="3"/>
  <c r="Z1948" i="3"/>
  <c r="O1948" i="3"/>
  <c r="A1948" i="3"/>
  <c r="Z1947" i="3"/>
  <c r="O1947" i="3"/>
  <c r="A1947" i="3"/>
  <c r="Z1946" i="3"/>
  <c r="O1946" i="3"/>
  <c r="A1946" i="3"/>
  <c r="Z1945" i="3"/>
  <c r="O1945" i="3"/>
  <c r="A1945" i="3"/>
  <c r="Z1944" i="3"/>
  <c r="O1944" i="3"/>
  <c r="A1944" i="3"/>
  <c r="Z1943" i="3"/>
  <c r="O1943" i="3"/>
  <c r="A1943" i="3"/>
  <c r="Z1942" i="3"/>
  <c r="O1942" i="3"/>
  <c r="A1942" i="3"/>
  <c r="Z1941" i="3"/>
  <c r="O1941" i="3"/>
  <c r="A1941" i="3"/>
  <c r="Z1940" i="3"/>
  <c r="O1940" i="3"/>
  <c r="A1940" i="3"/>
  <c r="Z1939" i="3"/>
  <c r="O1939" i="3"/>
  <c r="A1939" i="3"/>
  <c r="Z1938" i="3"/>
  <c r="O1938" i="3"/>
  <c r="A1938" i="3"/>
  <c r="AC1937" i="3"/>
  <c r="Z1937" i="3"/>
  <c r="O1937" i="3"/>
  <c r="A1937" i="3"/>
  <c r="Z1936" i="3"/>
  <c r="O1936" i="3"/>
  <c r="A1936" i="3"/>
  <c r="Z1935" i="3"/>
  <c r="O1935" i="3"/>
  <c r="A1935" i="3"/>
  <c r="Z1934" i="3"/>
  <c r="O1934" i="3"/>
  <c r="A1934" i="3"/>
  <c r="Z1933" i="3"/>
  <c r="O1933" i="3"/>
  <c r="A1933" i="3"/>
  <c r="Z1932" i="3"/>
  <c r="O1932" i="3"/>
  <c r="A1932" i="3"/>
  <c r="Z1931" i="3"/>
  <c r="O1931" i="3"/>
  <c r="A1931" i="3"/>
  <c r="Z1930" i="3"/>
  <c r="O1930" i="3"/>
  <c r="A1930" i="3"/>
  <c r="Z1929" i="3"/>
  <c r="O1929" i="3"/>
  <c r="A1929" i="3"/>
  <c r="Z1928" i="3"/>
  <c r="O1928" i="3"/>
  <c r="A1928" i="3"/>
  <c r="Z1927" i="3"/>
  <c r="O1927" i="3"/>
  <c r="A1927" i="3"/>
  <c r="Z1926" i="3"/>
  <c r="O1926" i="3"/>
  <c r="A1926" i="3"/>
  <c r="Z1925" i="3"/>
  <c r="O1925" i="3"/>
  <c r="A1925" i="3"/>
  <c r="Z1924" i="3"/>
  <c r="O1924" i="3"/>
  <c r="A1924" i="3"/>
  <c r="Z1923" i="3"/>
  <c r="O1923" i="3"/>
  <c r="A1923" i="3"/>
  <c r="Z1922" i="3"/>
  <c r="O1922" i="3"/>
  <c r="A1922" i="3"/>
  <c r="Z1921" i="3"/>
  <c r="O1921" i="3"/>
  <c r="A1921" i="3"/>
  <c r="Z1920" i="3"/>
  <c r="O1920" i="3"/>
  <c r="A1920" i="3"/>
  <c r="AC1919" i="3"/>
  <c r="Z1919" i="3"/>
  <c r="O1919" i="3"/>
  <c r="A1919" i="3"/>
  <c r="Z1918" i="3"/>
  <c r="O1918" i="3"/>
  <c r="A1918" i="3"/>
  <c r="Z1917" i="3"/>
  <c r="O1917" i="3"/>
  <c r="A1917" i="3"/>
  <c r="Z1916" i="3"/>
  <c r="O1916" i="3"/>
  <c r="A1916" i="3"/>
  <c r="Z1915" i="3"/>
  <c r="O1915" i="3"/>
  <c r="A1915" i="3"/>
  <c r="Z1914" i="3"/>
  <c r="O1914" i="3"/>
  <c r="A1914" i="3"/>
  <c r="Z1913" i="3"/>
  <c r="O1913" i="3"/>
  <c r="A1913" i="3"/>
  <c r="Z1912" i="3"/>
  <c r="O1912" i="3"/>
  <c r="A1912" i="3"/>
  <c r="Z1911" i="3"/>
  <c r="O1911" i="3"/>
  <c r="A1911" i="3"/>
  <c r="Z1910" i="3"/>
  <c r="O1910" i="3"/>
  <c r="A1910" i="3"/>
  <c r="Z1909" i="3"/>
  <c r="O1909" i="3"/>
  <c r="A1909" i="3"/>
  <c r="Z1908" i="3"/>
  <c r="O1908" i="3"/>
  <c r="A1908" i="3"/>
  <c r="Z1907" i="3"/>
  <c r="O1907" i="3"/>
  <c r="A1907" i="3"/>
  <c r="Z1906" i="3"/>
  <c r="O1906" i="3"/>
  <c r="A1906" i="3"/>
  <c r="Z1905" i="3"/>
  <c r="O1905" i="3"/>
  <c r="A1905" i="3"/>
  <c r="Z1904" i="3"/>
  <c r="O1904" i="3"/>
  <c r="A1904" i="3"/>
  <c r="AC1903" i="3"/>
  <c r="Z1903" i="3"/>
  <c r="O1903" i="3"/>
  <c r="A1903" i="3"/>
  <c r="Z1902" i="3"/>
  <c r="O1902" i="3"/>
  <c r="A1902" i="3"/>
  <c r="Z1901" i="3"/>
  <c r="O1901" i="3"/>
  <c r="A1901" i="3"/>
  <c r="Z1900" i="3"/>
  <c r="O1900" i="3"/>
  <c r="A1900" i="3"/>
  <c r="Z1899" i="3"/>
  <c r="O1899" i="3"/>
  <c r="A1899" i="3"/>
  <c r="Z1898" i="3"/>
  <c r="O1898" i="3"/>
  <c r="A1898" i="3"/>
  <c r="Z1897" i="3"/>
  <c r="O1897" i="3"/>
  <c r="A1897" i="3"/>
  <c r="Z1896" i="3"/>
  <c r="O1896" i="3"/>
  <c r="A1896" i="3"/>
  <c r="Z1895" i="3"/>
  <c r="O1895" i="3"/>
  <c r="A1895" i="3"/>
  <c r="Z1894" i="3"/>
  <c r="O1894" i="3"/>
  <c r="A1894" i="3"/>
  <c r="Z1893" i="3"/>
  <c r="O1893" i="3"/>
  <c r="A1893" i="3"/>
  <c r="Z1892" i="3"/>
  <c r="O1892" i="3"/>
  <c r="A1892" i="3"/>
  <c r="AC1891" i="3"/>
  <c r="Z1891" i="3"/>
  <c r="O1891" i="3"/>
  <c r="A1891" i="3"/>
  <c r="Z1890" i="3"/>
  <c r="O1890" i="3"/>
  <c r="A1890" i="3"/>
  <c r="Z1889" i="3"/>
  <c r="O1889" i="3"/>
  <c r="A1889" i="3"/>
  <c r="Z1888" i="3"/>
  <c r="O1888" i="3"/>
  <c r="A1888" i="3"/>
  <c r="Z1887" i="3"/>
  <c r="O1887" i="3"/>
  <c r="A1887" i="3"/>
  <c r="Z1886" i="3"/>
  <c r="O1886" i="3"/>
  <c r="A1886" i="3"/>
  <c r="Z1885" i="3"/>
  <c r="O1885" i="3"/>
  <c r="A1885" i="3"/>
  <c r="Z1884" i="3"/>
  <c r="O1884" i="3"/>
  <c r="A1884" i="3"/>
  <c r="Z1883" i="3"/>
  <c r="O1883" i="3"/>
  <c r="A1883" i="3"/>
  <c r="Z1882" i="3"/>
  <c r="O1882" i="3"/>
  <c r="A1882" i="3"/>
  <c r="Z1881" i="3"/>
  <c r="O1881" i="3"/>
  <c r="A1881" i="3"/>
  <c r="Z1880" i="3"/>
  <c r="O1880" i="3"/>
  <c r="A1880" i="3"/>
  <c r="Z1879" i="3"/>
  <c r="O1879" i="3"/>
  <c r="A1879" i="3"/>
  <c r="Z1878" i="3"/>
  <c r="O1878" i="3"/>
  <c r="A1878" i="3"/>
  <c r="Z1877" i="3"/>
  <c r="O1877" i="3"/>
  <c r="A1877" i="3"/>
  <c r="Z1876" i="3"/>
  <c r="O1876" i="3"/>
  <c r="A1876" i="3"/>
  <c r="Z1875" i="3"/>
  <c r="O1875" i="3"/>
  <c r="A1875" i="3"/>
  <c r="Z1874" i="3"/>
  <c r="O1874" i="3"/>
  <c r="A1874" i="3"/>
  <c r="Z1873" i="3"/>
  <c r="O1873" i="3"/>
  <c r="A1873" i="3"/>
  <c r="Z1872" i="3"/>
  <c r="O1872" i="3"/>
  <c r="A1872" i="3"/>
  <c r="Z1871" i="3"/>
  <c r="O1871" i="3"/>
  <c r="A1871" i="3"/>
  <c r="Z1870" i="3"/>
  <c r="O1870" i="3"/>
  <c r="A1870" i="3"/>
  <c r="Z1869" i="3"/>
  <c r="O1869" i="3"/>
  <c r="A1869" i="3"/>
  <c r="Z1868" i="3"/>
  <c r="O1868" i="3"/>
  <c r="A1868" i="3"/>
  <c r="Z1867" i="3"/>
  <c r="O1867" i="3"/>
  <c r="A1867" i="3"/>
  <c r="Z1866" i="3"/>
  <c r="O1866" i="3"/>
  <c r="A1866" i="3"/>
  <c r="Z1865" i="3"/>
  <c r="O1865" i="3"/>
  <c r="A1865" i="3"/>
  <c r="Z1864" i="3"/>
  <c r="O1864" i="3"/>
  <c r="A1864" i="3"/>
  <c r="Z1863" i="3"/>
  <c r="O1863" i="3"/>
  <c r="A1863" i="3"/>
  <c r="Z1862" i="3"/>
  <c r="O1862" i="3"/>
  <c r="A1862" i="3"/>
  <c r="Z1861" i="3"/>
  <c r="O1861" i="3"/>
  <c r="A1861" i="3"/>
  <c r="Z1860" i="3"/>
  <c r="O1860" i="3"/>
  <c r="A1860" i="3"/>
  <c r="Z1859" i="3"/>
  <c r="O1859" i="3"/>
  <c r="A1859" i="3"/>
  <c r="Z1858" i="3"/>
  <c r="O1858" i="3"/>
  <c r="A1858" i="3"/>
  <c r="Z1857" i="3"/>
  <c r="O1857" i="3"/>
  <c r="A1857" i="3"/>
  <c r="Z1856" i="3"/>
  <c r="O1856" i="3"/>
  <c r="A1856" i="3"/>
  <c r="Z1855" i="3"/>
  <c r="O1855" i="3"/>
  <c r="A1855" i="3"/>
  <c r="Z1854" i="3"/>
  <c r="O1854" i="3"/>
  <c r="A1854" i="3"/>
  <c r="AC1853" i="3"/>
  <c r="Z1853" i="3"/>
  <c r="O1853" i="3"/>
  <c r="A1853" i="3"/>
  <c r="Z1852" i="3"/>
  <c r="O1852" i="3"/>
  <c r="A1852" i="3"/>
  <c r="Z1851" i="3"/>
  <c r="O1851" i="3"/>
  <c r="A1851" i="3"/>
  <c r="Z1850" i="3"/>
  <c r="O1850" i="3"/>
  <c r="A1850" i="3"/>
  <c r="Z1849" i="3"/>
  <c r="O1849" i="3"/>
  <c r="A1849" i="3"/>
  <c r="Z1848" i="3"/>
  <c r="O1848" i="3"/>
  <c r="A1848" i="3"/>
  <c r="Z1847" i="3"/>
  <c r="O1847" i="3"/>
  <c r="A1847" i="3"/>
  <c r="Z1846" i="3"/>
  <c r="O1846" i="3"/>
  <c r="A1846" i="3"/>
  <c r="Z1845" i="3"/>
  <c r="O1845" i="3"/>
  <c r="A1845" i="3"/>
  <c r="Z1844" i="3"/>
  <c r="O1844" i="3"/>
  <c r="A1844" i="3"/>
  <c r="Z1843" i="3"/>
  <c r="O1843" i="3"/>
  <c r="A1843" i="3"/>
  <c r="Z1842" i="3"/>
  <c r="O1842" i="3"/>
  <c r="A1842" i="3"/>
  <c r="Z1841" i="3"/>
  <c r="O1841" i="3"/>
  <c r="A1841" i="3"/>
  <c r="Z1840" i="3"/>
  <c r="O1840" i="3"/>
  <c r="A1840" i="3"/>
  <c r="Z1839" i="3"/>
  <c r="O1839" i="3"/>
  <c r="A1839" i="3"/>
  <c r="Z1838" i="3"/>
  <c r="O1838" i="3"/>
  <c r="A1838" i="3"/>
  <c r="Z1837" i="3"/>
  <c r="O1837" i="3"/>
  <c r="A1837" i="3"/>
  <c r="Z1836" i="3"/>
  <c r="O1836" i="3"/>
  <c r="A1836" i="3"/>
  <c r="Z1835" i="3"/>
  <c r="O1835" i="3"/>
  <c r="A1835" i="3"/>
  <c r="Z1834" i="3"/>
  <c r="O1834" i="3"/>
  <c r="A1834" i="3"/>
  <c r="Z1833" i="3"/>
  <c r="O1833" i="3"/>
  <c r="A1833" i="3"/>
  <c r="AC1832" i="3"/>
  <c r="Z1832" i="3"/>
  <c r="O1832" i="3"/>
  <c r="A1832" i="3"/>
  <c r="Z1831" i="3"/>
  <c r="O1831" i="3"/>
  <c r="A1831" i="3"/>
  <c r="Z1830" i="3"/>
  <c r="O1830" i="3"/>
  <c r="A1830" i="3"/>
  <c r="Z1829" i="3"/>
  <c r="O1829" i="3"/>
  <c r="A1829" i="3"/>
  <c r="Z1828" i="3"/>
  <c r="O1828" i="3"/>
  <c r="A1828" i="3"/>
  <c r="Z1827" i="3"/>
  <c r="O1827" i="3"/>
  <c r="A1827" i="3"/>
  <c r="Z1826" i="3"/>
  <c r="O1826" i="3"/>
  <c r="A1826" i="3"/>
  <c r="Z1825" i="3"/>
  <c r="O1825" i="3"/>
  <c r="A1825" i="3"/>
  <c r="Z1824" i="3"/>
  <c r="O1824" i="3"/>
  <c r="A1824" i="3"/>
  <c r="Z1823" i="3"/>
  <c r="O1823" i="3"/>
  <c r="A1823" i="3"/>
  <c r="Z1822" i="3"/>
  <c r="O1822" i="3"/>
  <c r="A1822" i="3"/>
  <c r="Z1821" i="3"/>
  <c r="O1821" i="3"/>
  <c r="A1821" i="3"/>
  <c r="Z1820" i="3"/>
  <c r="O1820" i="3"/>
  <c r="A1820" i="3"/>
  <c r="Z1819" i="3"/>
  <c r="O1819" i="3"/>
  <c r="A1819" i="3"/>
  <c r="Z1818" i="3"/>
  <c r="O1818" i="3"/>
  <c r="A1818" i="3"/>
  <c r="AC1817" i="3"/>
  <c r="Z1817" i="3"/>
  <c r="O1817" i="3"/>
  <c r="A1817" i="3"/>
  <c r="Z1816" i="3"/>
  <c r="O1816" i="3"/>
  <c r="A1816" i="3"/>
  <c r="Z1815" i="3"/>
  <c r="O1815" i="3"/>
  <c r="A1815" i="3"/>
  <c r="Z1814" i="3"/>
  <c r="O1814" i="3"/>
  <c r="A1814" i="3"/>
  <c r="Z1813" i="3"/>
  <c r="O1813" i="3"/>
  <c r="A1813" i="3"/>
  <c r="Z1812" i="3"/>
  <c r="O1812" i="3"/>
  <c r="A1812" i="3"/>
  <c r="Z1811" i="3"/>
  <c r="O1811" i="3"/>
  <c r="A1811" i="3"/>
  <c r="Z1810" i="3"/>
  <c r="O1810" i="3"/>
  <c r="A1810" i="3"/>
  <c r="AC1809" i="3"/>
  <c r="Z1809" i="3"/>
  <c r="O1809" i="3"/>
  <c r="A1809" i="3"/>
  <c r="Z1808" i="3"/>
  <c r="O1808" i="3"/>
  <c r="A1808" i="3"/>
  <c r="Z1807" i="3"/>
  <c r="O1807" i="3"/>
  <c r="A1807" i="3"/>
  <c r="Z1806" i="3"/>
  <c r="O1806" i="3"/>
  <c r="A1806" i="3"/>
  <c r="Z1805" i="3"/>
  <c r="O1805" i="3"/>
  <c r="A1805" i="3"/>
  <c r="Z1804" i="3"/>
  <c r="O1804" i="3"/>
  <c r="A1804" i="3"/>
  <c r="Z1803" i="3"/>
  <c r="O1803" i="3"/>
  <c r="A1803" i="3"/>
  <c r="Z1802" i="3"/>
  <c r="O1802" i="3"/>
  <c r="A1802" i="3"/>
  <c r="Z1801" i="3"/>
  <c r="O1801" i="3"/>
  <c r="A1801" i="3"/>
  <c r="Z1800" i="3"/>
  <c r="O1800" i="3"/>
  <c r="A1800" i="3"/>
  <c r="Z1799" i="3"/>
  <c r="O1799" i="3"/>
  <c r="A1799" i="3"/>
  <c r="Z1798" i="3"/>
  <c r="O1798" i="3"/>
  <c r="A1798" i="3"/>
  <c r="Z1797" i="3"/>
  <c r="O1797" i="3"/>
  <c r="A1797" i="3"/>
  <c r="Z1796" i="3"/>
  <c r="O1796" i="3"/>
  <c r="A1796" i="3"/>
  <c r="Z1795" i="3"/>
  <c r="O1795" i="3"/>
  <c r="A1795" i="3"/>
  <c r="Z1794" i="3"/>
  <c r="O1794" i="3"/>
  <c r="A1794" i="3"/>
  <c r="Z1793" i="3"/>
  <c r="O1793" i="3"/>
  <c r="A1793" i="3"/>
  <c r="Z1792" i="3"/>
  <c r="O1792" i="3"/>
  <c r="A1792" i="3"/>
  <c r="Z1791" i="3"/>
  <c r="O1791" i="3"/>
  <c r="A1791" i="3"/>
  <c r="Z1790" i="3"/>
  <c r="O1790" i="3"/>
  <c r="A1790" i="3"/>
  <c r="Z1789" i="3"/>
  <c r="O1789" i="3"/>
  <c r="A1789" i="3"/>
  <c r="Z1788" i="3"/>
  <c r="O1788" i="3"/>
  <c r="A1788" i="3"/>
  <c r="Z1787" i="3"/>
  <c r="O1787" i="3"/>
  <c r="A1787" i="3"/>
  <c r="Z1786" i="3"/>
  <c r="O1786" i="3"/>
  <c r="A1786" i="3"/>
  <c r="Z1785" i="3"/>
  <c r="O1785" i="3"/>
  <c r="A1785" i="3"/>
  <c r="Z1784" i="3"/>
  <c r="O1784" i="3"/>
  <c r="A1784" i="3"/>
  <c r="Z1783" i="3"/>
  <c r="O1783" i="3"/>
  <c r="A1783" i="3"/>
  <c r="Z1782" i="3"/>
  <c r="O1782" i="3"/>
  <c r="A1782" i="3"/>
  <c r="Z1781" i="3"/>
  <c r="O1781" i="3"/>
  <c r="A1781" i="3"/>
  <c r="Z1780" i="3"/>
  <c r="O1780" i="3"/>
  <c r="A1780" i="3"/>
  <c r="Z1779" i="3"/>
  <c r="O1779" i="3"/>
  <c r="A1779" i="3"/>
  <c r="Z1778" i="3"/>
  <c r="O1778" i="3"/>
  <c r="A1778" i="3"/>
  <c r="Z1777" i="3"/>
  <c r="O1777" i="3"/>
  <c r="A1777" i="3"/>
  <c r="Z1776" i="3"/>
  <c r="O1776" i="3"/>
  <c r="A1776" i="3"/>
  <c r="Z1775" i="3"/>
  <c r="O1775" i="3"/>
  <c r="A1775" i="3"/>
  <c r="Z1774" i="3"/>
  <c r="O1774" i="3"/>
  <c r="A1774" i="3"/>
  <c r="Z1773" i="3"/>
  <c r="O1773" i="3"/>
  <c r="A1773" i="3"/>
  <c r="Z1772" i="3"/>
  <c r="O1772" i="3"/>
  <c r="A1772" i="3"/>
  <c r="AC1771" i="3"/>
  <c r="Z1771" i="3"/>
  <c r="O1771" i="3"/>
  <c r="A1771" i="3"/>
  <c r="Z1770" i="3"/>
  <c r="O1770" i="3"/>
  <c r="A1770" i="3"/>
  <c r="Z1769" i="3"/>
  <c r="O1769" i="3"/>
  <c r="A1769" i="3"/>
  <c r="Z1768" i="3"/>
  <c r="O1768" i="3"/>
  <c r="A1768" i="3"/>
  <c r="Z1767" i="3"/>
  <c r="O1767" i="3"/>
  <c r="A1767" i="3"/>
  <c r="Z1766" i="3"/>
  <c r="O1766" i="3"/>
  <c r="A1766" i="3"/>
  <c r="Z1765" i="3"/>
  <c r="O1765" i="3"/>
  <c r="A1765" i="3"/>
  <c r="Z1764" i="3"/>
  <c r="O1764" i="3"/>
  <c r="A1764" i="3"/>
  <c r="Z1763" i="3"/>
  <c r="O1763" i="3"/>
  <c r="A1763" i="3"/>
  <c r="Z1762" i="3"/>
  <c r="O1762" i="3"/>
  <c r="A1762" i="3"/>
  <c r="Z1761" i="3"/>
  <c r="O1761" i="3"/>
  <c r="A1761" i="3"/>
  <c r="Z1760" i="3"/>
  <c r="O1760" i="3"/>
  <c r="A1760" i="3"/>
  <c r="Z1759" i="3"/>
  <c r="O1759" i="3"/>
  <c r="A1759" i="3"/>
  <c r="Z1758" i="3"/>
  <c r="O1758" i="3"/>
  <c r="A1758" i="3"/>
  <c r="Z1757" i="3"/>
  <c r="O1757" i="3"/>
  <c r="A1757" i="3"/>
  <c r="Z1756" i="3"/>
  <c r="O1756" i="3"/>
  <c r="A1756" i="3"/>
  <c r="Z1755" i="3"/>
  <c r="O1755" i="3"/>
  <c r="A1755" i="3"/>
  <c r="Z1754" i="3"/>
  <c r="O1754" i="3"/>
  <c r="A1754" i="3"/>
  <c r="Z1753" i="3"/>
  <c r="O1753" i="3"/>
  <c r="A1753" i="3"/>
  <c r="Z1752" i="3"/>
  <c r="O1752" i="3"/>
  <c r="A1752" i="3"/>
  <c r="Z1751" i="3"/>
  <c r="O1751" i="3"/>
  <c r="A1751" i="3"/>
  <c r="AC1750" i="3"/>
  <c r="Z1750" i="3"/>
  <c r="O1750" i="3"/>
  <c r="A1750" i="3"/>
  <c r="Z1749" i="3"/>
  <c r="O1749" i="3"/>
  <c r="A1749" i="3"/>
  <c r="Z1748" i="3"/>
  <c r="O1748" i="3"/>
  <c r="A1748" i="3"/>
  <c r="Z1747" i="3"/>
  <c r="O1747" i="3"/>
  <c r="A1747" i="3"/>
  <c r="Z1746" i="3"/>
  <c r="O1746" i="3"/>
  <c r="A1746" i="3"/>
  <c r="Z1745" i="3"/>
  <c r="O1745" i="3"/>
  <c r="A1745" i="3"/>
  <c r="Z1744" i="3"/>
  <c r="O1744" i="3"/>
  <c r="A1744" i="3"/>
  <c r="Z1743" i="3"/>
  <c r="O1743" i="3"/>
  <c r="A1743" i="3"/>
  <c r="Z1742" i="3"/>
  <c r="O1742" i="3"/>
  <c r="A1742" i="3"/>
  <c r="Z1741" i="3"/>
  <c r="O1741" i="3"/>
  <c r="A1741" i="3"/>
  <c r="Z1740" i="3"/>
  <c r="O1740" i="3"/>
  <c r="A1740" i="3"/>
  <c r="Z1739" i="3"/>
  <c r="O1739" i="3"/>
  <c r="A1739" i="3"/>
  <c r="Z1738" i="3"/>
  <c r="O1738" i="3"/>
  <c r="A1738" i="3"/>
  <c r="Z1737" i="3"/>
  <c r="O1737" i="3"/>
  <c r="A1737" i="3"/>
  <c r="Z1736" i="3"/>
  <c r="O1736" i="3"/>
  <c r="A1736" i="3"/>
  <c r="AC1735" i="3"/>
  <c r="Z1735" i="3"/>
  <c r="O1735" i="3"/>
  <c r="A1735" i="3"/>
  <c r="Z1734" i="3"/>
  <c r="O1734" i="3"/>
  <c r="A1734" i="3"/>
  <c r="Z1733" i="3"/>
  <c r="O1733" i="3"/>
  <c r="A1733" i="3"/>
  <c r="Z1732" i="3"/>
  <c r="O1732" i="3"/>
  <c r="A1732" i="3"/>
  <c r="Z1731" i="3"/>
  <c r="O1731" i="3"/>
  <c r="A1731" i="3"/>
  <c r="Z1730" i="3"/>
  <c r="O1730" i="3"/>
  <c r="A1730" i="3"/>
  <c r="Z1729" i="3"/>
  <c r="O1729" i="3"/>
  <c r="A1729" i="3"/>
  <c r="Z1728" i="3"/>
  <c r="O1728" i="3"/>
  <c r="A1728" i="3"/>
  <c r="AC1727" i="3"/>
  <c r="Z1727" i="3"/>
  <c r="O1727" i="3"/>
  <c r="A1727" i="3"/>
  <c r="Z1726" i="3"/>
  <c r="O1726" i="3"/>
  <c r="A1726" i="3"/>
  <c r="Z1725" i="3"/>
  <c r="O1725" i="3"/>
  <c r="A1725" i="3"/>
  <c r="Z1724" i="3"/>
  <c r="O1724" i="3"/>
  <c r="A1724" i="3"/>
  <c r="Z1723" i="3"/>
  <c r="O1723" i="3"/>
  <c r="A1723" i="3"/>
  <c r="Z1722" i="3"/>
  <c r="O1722" i="3"/>
  <c r="A1722" i="3"/>
  <c r="Z1721" i="3"/>
  <c r="O1721" i="3"/>
  <c r="A1721" i="3"/>
  <c r="Z1720" i="3"/>
  <c r="O1720" i="3"/>
  <c r="A1720" i="3"/>
  <c r="Z1719" i="3"/>
  <c r="O1719" i="3"/>
  <c r="A1719" i="3"/>
  <c r="Z1718" i="3"/>
  <c r="O1718" i="3"/>
  <c r="A1718" i="3"/>
  <c r="Z1717" i="3"/>
  <c r="O1717" i="3"/>
  <c r="A1717" i="3"/>
  <c r="Z1716" i="3"/>
  <c r="O1716" i="3"/>
  <c r="A1716" i="3"/>
  <c r="Z1715" i="3"/>
  <c r="O1715" i="3"/>
  <c r="A1715" i="3"/>
  <c r="Z1714" i="3"/>
  <c r="O1714" i="3"/>
  <c r="A1714" i="3"/>
  <c r="Z1713" i="3"/>
  <c r="O1713" i="3"/>
  <c r="A1713" i="3"/>
  <c r="Z1712" i="3"/>
  <c r="O1712" i="3"/>
  <c r="A1712" i="3"/>
  <c r="Z1711" i="3"/>
  <c r="O1711" i="3"/>
  <c r="A1711" i="3"/>
  <c r="Z1710" i="3"/>
  <c r="O1710" i="3"/>
  <c r="A1710" i="3"/>
  <c r="Z1709" i="3"/>
  <c r="O1709" i="3"/>
  <c r="A1709" i="3"/>
  <c r="Z1708" i="3"/>
  <c r="O1708" i="3"/>
  <c r="A1708" i="3"/>
  <c r="Z1707" i="3"/>
  <c r="O1707" i="3"/>
  <c r="A1707" i="3"/>
  <c r="Z1706" i="3"/>
  <c r="O1706" i="3"/>
  <c r="A1706" i="3"/>
  <c r="Z1705" i="3"/>
  <c r="O1705" i="3"/>
  <c r="A1705" i="3"/>
  <c r="Z1704" i="3"/>
  <c r="O1704" i="3"/>
  <c r="A1704" i="3"/>
  <c r="Z1703" i="3"/>
  <c r="O1703" i="3"/>
  <c r="A1703" i="3"/>
  <c r="Z1702" i="3"/>
  <c r="O1702" i="3"/>
  <c r="A1702" i="3"/>
  <c r="Z1701" i="3"/>
  <c r="O1701" i="3"/>
  <c r="A1701" i="3"/>
  <c r="Z1700" i="3"/>
  <c r="O1700" i="3"/>
  <c r="A1700" i="3"/>
  <c r="Z1699" i="3"/>
  <c r="O1699" i="3"/>
  <c r="A1699" i="3"/>
  <c r="Z1698" i="3"/>
  <c r="O1698" i="3"/>
  <c r="A1698" i="3"/>
  <c r="Z1697" i="3"/>
  <c r="O1697" i="3"/>
  <c r="A1697" i="3"/>
  <c r="AC1696" i="3"/>
  <c r="Z1696" i="3"/>
  <c r="O1696" i="3"/>
  <c r="A1696" i="3"/>
  <c r="Z1695" i="3"/>
  <c r="O1695" i="3"/>
  <c r="A1695" i="3"/>
  <c r="Z1694" i="3"/>
  <c r="O1694" i="3"/>
  <c r="A1694" i="3"/>
  <c r="Z1693" i="3"/>
  <c r="O1693" i="3"/>
  <c r="A1693" i="3"/>
  <c r="Z1692" i="3"/>
  <c r="O1692" i="3"/>
  <c r="A1692" i="3"/>
  <c r="Z1691" i="3"/>
  <c r="O1691" i="3"/>
  <c r="A1691" i="3"/>
  <c r="Z1690" i="3"/>
  <c r="O1690" i="3"/>
  <c r="A1690" i="3"/>
  <c r="Z1689" i="3"/>
  <c r="O1689" i="3"/>
  <c r="A1689" i="3"/>
  <c r="Z1688" i="3"/>
  <c r="O1688" i="3"/>
  <c r="A1688" i="3"/>
  <c r="Z1687" i="3"/>
  <c r="O1687" i="3"/>
  <c r="A1687" i="3"/>
  <c r="Z1686" i="3"/>
  <c r="O1686" i="3"/>
  <c r="A1686" i="3"/>
  <c r="Z1685" i="3"/>
  <c r="O1685" i="3"/>
  <c r="A1685" i="3"/>
  <c r="Z1684" i="3"/>
  <c r="O1684" i="3"/>
  <c r="A1684" i="3"/>
  <c r="Z1683" i="3"/>
  <c r="O1683" i="3"/>
  <c r="A1683" i="3"/>
  <c r="Z1682" i="3"/>
  <c r="O1682" i="3"/>
  <c r="A1682" i="3"/>
  <c r="Z1681" i="3"/>
  <c r="O1681" i="3"/>
  <c r="A1681" i="3"/>
  <c r="Z1680" i="3"/>
  <c r="O1680" i="3"/>
  <c r="A1680" i="3"/>
  <c r="Z1679" i="3"/>
  <c r="O1679" i="3"/>
  <c r="A1679" i="3"/>
  <c r="Z1678" i="3"/>
  <c r="O1678" i="3"/>
  <c r="A1678" i="3"/>
  <c r="Z1677" i="3"/>
  <c r="O1677" i="3"/>
  <c r="A1677" i="3"/>
  <c r="Z1676" i="3"/>
  <c r="O1676" i="3"/>
  <c r="A1676" i="3"/>
  <c r="AC1675" i="3"/>
  <c r="Z1675" i="3"/>
  <c r="O1675" i="3"/>
  <c r="A1675" i="3"/>
  <c r="Z1674" i="3"/>
  <c r="O1674" i="3"/>
  <c r="A1674" i="3"/>
  <c r="Z1673" i="3"/>
  <c r="O1673" i="3"/>
  <c r="A1673" i="3"/>
  <c r="Z1672" i="3"/>
  <c r="O1672" i="3"/>
  <c r="A1672" i="3"/>
  <c r="Z1671" i="3"/>
  <c r="O1671" i="3"/>
  <c r="A1671" i="3"/>
  <c r="Z1670" i="3"/>
  <c r="O1670" i="3"/>
  <c r="A1670" i="3"/>
  <c r="Z1669" i="3"/>
  <c r="O1669" i="3"/>
  <c r="A1669" i="3"/>
  <c r="Z1668" i="3"/>
  <c r="O1668" i="3"/>
  <c r="A1668" i="3"/>
  <c r="AC1667" i="3"/>
  <c r="Z1667" i="3"/>
  <c r="O1667" i="3"/>
  <c r="A1667" i="3"/>
  <c r="Z1666" i="3"/>
  <c r="O1666" i="3"/>
  <c r="A1666" i="3"/>
  <c r="Z1665" i="3"/>
  <c r="O1665" i="3"/>
  <c r="A1665" i="3"/>
  <c r="Z1664" i="3"/>
  <c r="O1664" i="3"/>
  <c r="A1664" i="3"/>
  <c r="Z1663" i="3"/>
  <c r="O1663" i="3"/>
  <c r="A1663" i="3"/>
  <c r="Z1662" i="3"/>
  <c r="O1662" i="3"/>
  <c r="A1662" i="3"/>
  <c r="Z1661" i="3"/>
  <c r="O1661" i="3"/>
  <c r="A1661" i="3"/>
  <c r="Z1660" i="3"/>
  <c r="O1660" i="3"/>
  <c r="A1660" i="3"/>
  <c r="AC1659" i="3"/>
  <c r="Z1659" i="3"/>
  <c r="O1659" i="3"/>
  <c r="A1659" i="3"/>
  <c r="Z1658" i="3"/>
  <c r="O1658" i="3"/>
  <c r="A1658" i="3"/>
  <c r="Z1657" i="3"/>
  <c r="O1657" i="3"/>
  <c r="A1657" i="3"/>
  <c r="Z1656" i="3"/>
  <c r="O1656" i="3"/>
  <c r="A1656" i="3"/>
  <c r="Z1655" i="3"/>
  <c r="O1655" i="3"/>
  <c r="A1655" i="3"/>
  <c r="Z1654" i="3"/>
  <c r="O1654" i="3"/>
  <c r="A1654" i="3"/>
  <c r="Z1653" i="3"/>
  <c r="O1653" i="3"/>
  <c r="A1653" i="3"/>
  <c r="Z1652" i="3"/>
  <c r="O1652" i="3"/>
  <c r="A1652" i="3"/>
  <c r="Z1651" i="3"/>
  <c r="O1651" i="3"/>
  <c r="A1651" i="3"/>
  <c r="Z1650" i="3"/>
  <c r="O1650" i="3"/>
  <c r="A1650" i="3"/>
  <c r="Z1649" i="3"/>
  <c r="O1649" i="3"/>
  <c r="A1649" i="3"/>
  <c r="Z1648" i="3"/>
  <c r="O1648" i="3"/>
  <c r="A1648" i="3"/>
  <c r="Z1647" i="3"/>
  <c r="O1647" i="3"/>
  <c r="A1647" i="3"/>
  <c r="Z1646" i="3"/>
  <c r="O1646" i="3"/>
  <c r="A1646" i="3"/>
  <c r="Z1645" i="3"/>
  <c r="O1645" i="3"/>
  <c r="A1645" i="3"/>
  <c r="Z1644" i="3"/>
  <c r="O1644" i="3"/>
  <c r="A1644" i="3"/>
  <c r="Z1643" i="3"/>
  <c r="O1643" i="3"/>
  <c r="A1643" i="3"/>
  <c r="Z1642" i="3"/>
  <c r="O1642" i="3"/>
  <c r="A1642" i="3"/>
  <c r="Z1641" i="3"/>
  <c r="O1641" i="3"/>
  <c r="A1641" i="3"/>
  <c r="Z1640" i="3"/>
  <c r="O1640" i="3"/>
  <c r="A1640" i="3"/>
  <c r="Z1639" i="3"/>
  <c r="O1639" i="3"/>
  <c r="A1639" i="3"/>
  <c r="Z1638" i="3"/>
  <c r="O1638" i="3"/>
  <c r="A1638" i="3"/>
  <c r="Z1637" i="3"/>
  <c r="O1637" i="3"/>
  <c r="A1637" i="3"/>
  <c r="Z1636" i="3"/>
  <c r="O1636" i="3"/>
  <c r="A1636" i="3"/>
  <c r="Z1635" i="3"/>
  <c r="O1635" i="3"/>
  <c r="A1635" i="3"/>
  <c r="Z1634" i="3"/>
  <c r="O1634" i="3"/>
  <c r="A1634" i="3"/>
  <c r="Z1633" i="3"/>
  <c r="O1633" i="3"/>
  <c r="A1633" i="3"/>
  <c r="Z1632" i="3"/>
  <c r="O1632" i="3"/>
  <c r="A1632" i="3"/>
  <c r="Z1631" i="3"/>
  <c r="O1631" i="3"/>
  <c r="A1631" i="3"/>
  <c r="Z1630" i="3"/>
  <c r="O1630" i="3"/>
  <c r="A1630" i="3"/>
  <c r="Z1629" i="3"/>
  <c r="O1629" i="3"/>
  <c r="A1629" i="3"/>
  <c r="Z1628" i="3"/>
  <c r="O1628" i="3"/>
  <c r="A1628" i="3"/>
  <c r="Z1627" i="3"/>
  <c r="O1627" i="3"/>
  <c r="A1627" i="3"/>
  <c r="Z1626" i="3"/>
  <c r="O1626" i="3"/>
  <c r="A1626" i="3"/>
  <c r="Z1625" i="3"/>
  <c r="O1625" i="3"/>
  <c r="A1625" i="3"/>
  <c r="Z1624" i="3"/>
  <c r="O1624" i="3"/>
  <c r="A1624" i="3"/>
  <c r="Z1623" i="3"/>
  <c r="O1623" i="3"/>
  <c r="A1623" i="3"/>
  <c r="AC1622" i="3"/>
  <c r="Z1622" i="3"/>
  <c r="O1622" i="3"/>
  <c r="A1622" i="3"/>
  <c r="Z1621" i="3"/>
  <c r="O1621" i="3"/>
  <c r="A1621" i="3"/>
  <c r="Z1620" i="3"/>
  <c r="O1620" i="3"/>
  <c r="A1620" i="3"/>
  <c r="Z1619" i="3"/>
  <c r="O1619" i="3"/>
  <c r="A1619" i="3"/>
  <c r="Z1618" i="3"/>
  <c r="O1618" i="3"/>
  <c r="A1618" i="3"/>
  <c r="Z1617" i="3"/>
  <c r="O1617" i="3"/>
  <c r="A1617" i="3"/>
  <c r="Z1616" i="3"/>
  <c r="O1616" i="3"/>
  <c r="A1616" i="3"/>
  <c r="Z1615" i="3"/>
  <c r="O1615" i="3"/>
  <c r="A1615" i="3"/>
  <c r="Z1614" i="3"/>
  <c r="O1614" i="3"/>
  <c r="A1614" i="3"/>
  <c r="Z1613" i="3"/>
  <c r="O1613" i="3"/>
  <c r="A1613" i="3"/>
  <c r="Z1612" i="3"/>
  <c r="O1612" i="3"/>
  <c r="A1612" i="3"/>
  <c r="Z1611" i="3"/>
  <c r="O1611" i="3"/>
  <c r="A1611" i="3"/>
  <c r="Z1610" i="3"/>
  <c r="O1610" i="3"/>
  <c r="A1610" i="3"/>
  <c r="Z1609" i="3"/>
  <c r="O1609" i="3"/>
  <c r="A1609" i="3"/>
  <c r="Z1608" i="3"/>
  <c r="O1608" i="3"/>
  <c r="A1608" i="3"/>
  <c r="Z1607" i="3"/>
  <c r="O1607" i="3"/>
  <c r="A1607" i="3"/>
  <c r="Z1606" i="3"/>
  <c r="O1606" i="3"/>
  <c r="A1606" i="3"/>
  <c r="Z1605" i="3"/>
  <c r="O1605" i="3"/>
  <c r="A1605" i="3"/>
  <c r="Z1604" i="3"/>
  <c r="O1604" i="3"/>
  <c r="A1604" i="3"/>
  <c r="Z1603" i="3"/>
  <c r="O1603" i="3"/>
  <c r="A1603" i="3"/>
  <c r="Z1602" i="3"/>
  <c r="O1602" i="3"/>
  <c r="A1602" i="3"/>
  <c r="AC1601" i="3"/>
  <c r="Z1601" i="3"/>
  <c r="O1601" i="3"/>
  <c r="A1601" i="3"/>
  <c r="Z1600" i="3"/>
  <c r="O1600" i="3"/>
  <c r="A1600" i="3"/>
  <c r="Z1599" i="3"/>
  <c r="O1599" i="3"/>
  <c r="A1599" i="3"/>
  <c r="Z1598" i="3"/>
  <c r="O1598" i="3"/>
  <c r="A1598" i="3"/>
  <c r="Z1597" i="3"/>
  <c r="O1597" i="3"/>
  <c r="A1597" i="3"/>
  <c r="Z1596" i="3"/>
  <c r="O1596" i="3"/>
  <c r="A1596" i="3"/>
  <c r="Z1595" i="3"/>
  <c r="O1595" i="3"/>
  <c r="A1595" i="3"/>
  <c r="Z1594" i="3"/>
  <c r="O1594" i="3"/>
  <c r="A1594" i="3"/>
  <c r="Z1593" i="3"/>
  <c r="O1593" i="3"/>
  <c r="A1593" i="3"/>
  <c r="Z1592" i="3"/>
  <c r="O1592" i="3"/>
  <c r="A1592" i="3"/>
  <c r="Z1591" i="3"/>
  <c r="O1591" i="3"/>
  <c r="A1591" i="3"/>
  <c r="Z1590" i="3"/>
  <c r="O1590" i="3"/>
  <c r="A1590" i="3"/>
  <c r="Z1589" i="3"/>
  <c r="O1589" i="3"/>
  <c r="A1589" i="3"/>
  <c r="Z1588" i="3"/>
  <c r="O1588" i="3"/>
  <c r="A1588" i="3"/>
  <c r="AC1587" i="3"/>
  <c r="Z1587" i="3"/>
  <c r="O1587" i="3"/>
  <c r="A1587" i="3"/>
  <c r="Z1586" i="3"/>
  <c r="O1586" i="3"/>
  <c r="A1586" i="3"/>
  <c r="Z1585" i="3"/>
  <c r="O1585" i="3"/>
  <c r="A1585" i="3"/>
  <c r="Z1584" i="3"/>
  <c r="O1584" i="3"/>
  <c r="A1584" i="3"/>
  <c r="Z1583" i="3"/>
  <c r="O1583" i="3"/>
  <c r="A1583" i="3"/>
  <c r="Z1582" i="3"/>
  <c r="O1582" i="3"/>
  <c r="A1582" i="3"/>
  <c r="Z1581" i="3"/>
  <c r="O1581" i="3"/>
  <c r="A1581" i="3"/>
  <c r="Z1580" i="3"/>
  <c r="O1580" i="3"/>
  <c r="A1580" i="3"/>
  <c r="Z1579" i="3"/>
  <c r="O1579" i="3"/>
  <c r="A1579" i="3"/>
  <c r="Z1578" i="3"/>
  <c r="O1578" i="3"/>
  <c r="A1578" i="3"/>
  <c r="Z1577" i="3"/>
  <c r="O1577" i="3"/>
  <c r="A1577" i="3"/>
  <c r="Z1576" i="3"/>
  <c r="O1576" i="3"/>
  <c r="A1576" i="3"/>
  <c r="Z1575" i="3"/>
  <c r="O1575" i="3"/>
  <c r="A1575" i="3"/>
  <c r="Z1574" i="3"/>
  <c r="O1574" i="3"/>
  <c r="A1574" i="3"/>
  <c r="Z1573" i="3"/>
  <c r="O1573" i="3"/>
  <c r="A1573" i="3"/>
  <c r="Z1572" i="3"/>
  <c r="O1572" i="3"/>
  <c r="A1572" i="3"/>
  <c r="Z1571" i="3"/>
  <c r="O1571" i="3"/>
  <c r="A1571" i="3"/>
  <c r="Z1570" i="3"/>
  <c r="O1570" i="3"/>
  <c r="A1570" i="3"/>
  <c r="Z1569" i="3"/>
  <c r="O1569" i="3"/>
  <c r="A1569" i="3"/>
  <c r="Z1568" i="3"/>
  <c r="O1568" i="3"/>
  <c r="A1568" i="3"/>
  <c r="Z1567" i="3"/>
  <c r="O1567" i="3"/>
  <c r="A1567" i="3"/>
  <c r="Z1566" i="3"/>
  <c r="O1566" i="3"/>
  <c r="A1566" i="3"/>
  <c r="Z1565" i="3"/>
  <c r="O1565" i="3"/>
  <c r="A1565" i="3"/>
  <c r="Z1564" i="3"/>
  <c r="O1564" i="3"/>
  <c r="A1564" i="3"/>
  <c r="Z1563" i="3"/>
  <c r="O1563" i="3"/>
  <c r="A1563" i="3"/>
  <c r="Z1562" i="3"/>
  <c r="O1562" i="3"/>
  <c r="A1562" i="3"/>
  <c r="Z1561" i="3"/>
  <c r="O1561" i="3"/>
  <c r="A1561" i="3"/>
  <c r="Z1560" i="3"/>
  <c r="O1560" i="3"/>
  <c r="A1560" i="3"/>
  <c r="AC1559" i="3"/>
  <c r="Z1559" i="3"/>
  <c r="O1559" i="3"/>
  <c r="A1559" i="3"/>
  <c r="Z1558" i="3"/>
  <c r="O1558" i="3"/>
  <c r="A1558" i="3"/>
  <c r="Z1557" i="3"/>
  <c r="O1557" i="3"/>
  <c r="A1557" i="3"/>
  <c r="Z1556" i="3"/>
  <c r="O1556" i="3"/>
  <c r="A1556" i="3"/>
  <c r="Z1555" i="3"/>
  <c r="O1555" i="3"/>
  <c r="A1555" i="3"/>
  <c r="Z1554" i="3"/>
  <c r="O1554" i="3"/>
  <c r="A1554" i="3"/>
  <c r="Z1553" i="3"/>
  <c r="O1553" i="3"/>
  <c r="A1553" i="3"/>
  <c r="Z1552" i="3"/>
  <c r="O1552" i="3"/>
  <c r="A1552" i="3"/>
  <c r="Z1551" i="3"/>
  <c r="O1551" i="3"/>
  <c r="A1551" i="3"/>
  <c r="AC1550" i="3"/>
  <c r="Z1550" i="3"/>
  <c r="O1550" i="3"/>
  <c r="A1550" i="3"/>
  <c r="Z1549" i="3"/>
  <c r="O1549" i="3"/>
  <c r="A1549" i="3"/>
  <c r="Z1548" i="3"/>
  <c r="O1548" i="3"/>
  <c r="A1548" i="3"/>
  <c r="Z1547" i="3"/>
  <c r="O1547" i="3"/>
  <c r="A1547" i="3"/>
  <c r="Z1546" i="3"/>
  <c r="O1546" i="3"/>
  <c r="A1546" i="3"/>
  <c r="Z1545" i="3"/>
  <c r="O1545" i="3"/>
  <c r="A1545" i="3"/>
  <c r="Z1544" i="3"/>
  <c r="O1544" i="3"/>
  <c r="A1544" i="3"/>
  <c r="Z1543" i="3"/>
  <c r="O1543" i="3"/>
  <c r="A1543" i="3"/>
  <c r="Z1542" i="3"/>
  <c r="O1542" i="3"/>
  <c r="A1542" i="3"/>
  <c r="AC1541" i="3"/>
  <c r="Z1541" i="3"/>
  <c r="O1541" i="3"/>
  <c r="A1541" i="3"/>
  <c r="Z1540" i="3"/>
  <c r="O1540" i="3"/>
  <c r="A1540" i="3"/>
  <c r="Z1539" i="3"/>
  <c r="O1539" i="3"/>
  <c r="A1539" i="3"/>
  <c r="Z1538" i="3"/>
  <c r="O1538" i="3"/>
  <c r="A1538" i="3"/>
  <c r="Z1537" i="3"/>
  <c r="O1537" i="3"/>
  <c r="A1537" i="3"/>
  <c r="Z1536" i="3"/>
  <c r="O1536" i="3"/>
  <c r="A1536" i="3"/>
  <c r="Z1535" i="3"/>
  <c r="O1535" i="3"/>
  <c r="A1535" i="3"/>
  <c r="Z1534" i="3"/>
  <c r="O1534" i="3"/>
  <c r="A1534" i="3"/>
  <c r="Z1533" i="3"/>
  <c r="O1533" i="3"/>
  <c r="A1533" i="3"/>
  <c r="Z1532" i="3"/>
  <c r="O1532" i="3"/>
  <c r="A1532" i="3"/>
  <c r="Z1531" i="3"/>
  <c r="O1531" i="3"/>
  <c r="A1531" i="3"/>
  <c r="Z1530" i="3"/>
  <c r="O1530" i="3"/>
  <c r="A1530" i="3"/>
  <c r="Z1529" i="3"/>
  <c r="O1529" i="3"/>
  <c r="A1529" i="3"/>
  <c r="Z1528" i="3"/>
  <c r="O1528" i="3"/>
  <c r="A1528" i="3"/>
  <c r="Z1527" i="3"/>
  <c r="O1527" i="3"/>
  <c r="A1527" i="3"/>
  <c r="Z1526" i="3"/>
  <c r="U1526" i="3"/>
  <c r="AC1526" i="3" s="1"/>
  <c r="O1526" i="3"/>
  <c r="A1526" i="3"/>
  <c r="Z1525" i="3"/>
  <c r="O1525" i="3"/>
  <c r="A1525" i="3"/>
  <c r="Z1524" i="3"/>
  <c r="O1524" i="3"/>
  <c r="A1524" i="3"/>
  <c r="Z1523" i="3"/>
  <c r="O1523" i="3"/>
  <c r="A1523" i="3"/>
  <c r="Z1522" i="3"/>
  <c r="O1522" i="3"/>
  <c r="A1522" i="3"/>
  <c r="Z1521" i="3"/>
  <c r="O1521" i="3"/>
  <c r="A1521" i="3"/>
  <c r="Z1520" i="3"/>
  <c r="O1520" i="3"/>
  <c r="A1520" i="3"/>
  <c r="Z1519" i="3"/>
  <c r="O1519" i="3"/>
  <c r="A1519" i="3"/>
  <c r="Z1518" i="3"/>
  <c r="O1518" i="3"/>
  <c r="A1518" i="3"/>
  <c r="Z1517" i="3"/>
  <c r="O1517" i="3"/>
  <c r="A1517" i="3"/>
  <c r="Z1516" i="3"/>
  <c r="O1516" i="3"/>
  <c r="A1516" i="3"/>
  <c r="Z1515" i="3"/>
  <c r="O1515" i="3"/>
  <c r="A1515" i="3"/>
  <c r="Z1514" i="3"/>
  <c r="O1514" i="3"/>
  <c r="A1514" i="3"/>
  <c r="Z1513" i="3"/>
  <c r="O1513" i="3"/>
  <c r="A1513" i="3"/>
  <c r="Z1512" i="3"/>
  <c r="O1512" i="3"/>
  <c r="A1512" i="3"/>
  <c r="Z1511" i="3"/>
  <c r="U1511" i="3"/>
  <c r="AC1511" i="3"/>
  <c r="O1511" i="3"/>
  <c r="A1511" i="3"/>
  <c r="Z1510" i="3"/>
  <c r="O1510" i="3"/>
  <c r="A1510" i="3"/>
  <c r="Z1509" i="3"/>
  <c r="O1509" i="3"/>
  <c r="A1509" i="3"/>
  <c r="Z1508" i="3"/>
  <c r="O1508" i="3"/>
  <c r="A1508" i="3"/>
  <c r="Z1507" i="3"/>
  <c r="O1507" i="3"/>
  <c r="A1507" i="3"/>
  <c r="Z1506" i="3"/>
  <c r="O1506" i="3"/>
  <c r="A1506" i="3"/>
  <c r="Z1505" i="3"/>
  <c r="O1505" i="3"/>
  <c r="A1505" i="3"/>
  <c r="Z1504" i="3"/>
  <c r="O1504" i="3"/>
  <c r="A1504" i="3"/>
  <c r="Z1503" i="3"/>
  <c r="O1503" i="3"/>
  <c r="A1503" i="3"/>
  <c r="Z1502" i="3"/>
  <c r="O1502" i="3"/>
  <c r="A1502" i="3"/>
  <c r="Z1501" i="3"/>
  <c r="O1501" i="3"/>
  <c r="A1501" i="3"/>
  <c r="Z1500" i="3"/>
  <c r="O1500" i="3"/>
  <c r="A1500" i="3"/>
  <c r="Z1499" i="3"/>
  <c r="O1499" i="3"/>
  <c r="A1499" i="3"/>
  <c r="Z1498" i="3"/>
  <c r="O1498" i="3"/>
  <c r="A1498" i="3"/>
  <c r="Z1497" i="3"/>
  <c r="O1497" i="3"/>
  <c r="A1497" i="3"/>
  <c r="Z1496" i="3"/>
  <c r="O1496" i="3"/>
  <c r="A1496" i="3"/>
  <c r="AC1495" i="3"/>
  <c r="Z1495" i="3"/>
  <c r="O1495" i="3"/>
  <c r="A1495" i="3"/>
  <c r="Z1494" i="3"/>
  <c r="O1494" i="3"/>
  <c r="A1494" i="3"/>
  <c r="Z1493" i="3"/>
  <c r="O1493" i="3"/>
  <c r="A1493" i="3"/>
  <c r="Z1492" i="3"/>
  <c r="O1492" i="3"/>
  <c r="A1492" i="3"/>
  <c r="Z1491" i="3"/>
  <c r="O1491" i="3"/>
  <c r="A1491" i="3"/>
  <c r="Z1490" i="3"/>
  <c r="O1490" i="3"/>
  <c r="A1490" i="3"/>
  <c r="Z1489" i="3"/>
  <c r="O1489" i="3"/>
  <c r="A1489" i="3"/>
  <c r="Z1488" i="3"/>
  <c r="O1488" i="3"/>
  <c r="A1488" i="3"/>
  <c r="Z1487" i="3"/>
  <c r="O1487" i="3"/>
  <c r="A1487" i="3"/>
  <c r="Z1486" i="3"/>
  <c r="O1486" i="3"/>
  <c r="A1486" i="3"/>
  <c r="Z1485" i="3"/>
  <c r="O1485" i="3"/>
  <c r="A1485" i="3"/>
  <c r="Z1484" i="3"/>
  <c r="O1484" i="3"/>
  <c r="A1484" i="3"/>
  <c r="Z1483" i="3"/>
  <c r="O1483" i="3"/>
  <c r="A1483" i="3"/>
  <c r="Z1482" i="3"/>
  <c r="O1482" i="3"/>
  <c r="A1482" i="3"/>
  <c r="Z1481" i="3"/>
  <c r="O1481" i="3"/>
  <c r="A1481" i="3"/>
  <c r="Z1480" i="3"/>
  <c r="O1480" i="3"/>
  <c r="A1480" i="3"/>
  <c r="AC1479" i="3"/>
  <c r="Z1479" i="3"/>
  <c r="O1479" i="3"/>
  <c r="A1479" i="3"/>
  <c r="Z1478" i="3"/>
  <c r="O1478" i="3"/>
  <c r="A1478" i="3"/>
  <c r="Z1477" i="3"/>
  <c r="O1477" i="3"/>
  <c r="A1477" i="3"/>
  <c r="Z1476" i="3"/>
  <c r="O1476" i="3"/>
  <c r="A1476" i="3"/>
  <c r="Z1475" i="3"/>
  <c r="O1475" i="3"/>
  <c r="A1475" i="3"/>
  <c r="Z1474" i="3"/>
  <c r="O1474" i="3"/>
  <c r="A1474" i="3"/>
  <c r="Z1473" i="3"/>
  <c r="O1473" i="3"/>
  <c r="A1473" i="3"/>
  <c r="Z1472" i="3"/>
  <c r="O1472" i="3"/>
  <c r="A1472" i="3"/>
  <c r="Z1471" i="3"/>
  <c r="O1471" i="3"/>
  <c r="A1471" i="3"/>
  <c r="Z1470" i="3"/>
  <c r="O1470" i="3"/>
  <c r="A1470" i="3"/>
  <c r="Z1469" i="3"/>
  <c r="O1469" i="3"/>
  <c r="A1469" i="3"/>
  <c r="Z1468" i="3"/>
  <c r="O1468" i="3"/>
  <c r="A1468" i="3"/>
  <c r="Z1467" i="3"/>
  <c r="O1467" i="3"/>
  <c r="A1467" i="3"/>
  <c r="Z1466" i="3"/>
  <c r="O1466" i="3"/>
  <c r="A1466" i="3"/>
  <c r="Z1465" i="3"/>
  <c r="O1465" i="3"/>
  <c r="A1465" i="3"/>
  <c r="AC1464" i="3"/>
  <c r="Z1464" i="3"/>
  <c r="O1464" i="3"/>
  <c r="A1464" i="3"/>
  <c r="Z1463" i="3"/>
  <c r="O1463" i="3"/>
  <c r="A1463" i="3"/>
  <c r="Z1462" i="3"/>
  <c r="O1462" i="3"/>
  <c r="A1462" i="3"/>
  <c r="Z1461" i="3"/>
  <c r="O1461" i="3"/>
  <c r="A1461" i="3"/>
  <c r="Z1460" i="3"/>
  <c r="O1460" i="3"/>
  <c r="A1460" i="3"/>
  <c r="Z1459" i="3"/>
  <c r="O1459" i="3"/>
  <c r="A1459" i="3"/>
  <c r="Z1458" i="3"/>
  <c r="O1458" i="3"/>
  <c r="A1458" i="3"/>
  <c r="Z1457" i="3"/>
  <c r="O1457" i="3"/>
  <c r="A1457" i="3"/>
  <c r="Z1456" i="3"/>
  <c r="O1456" i="3"/>
  <c r="A1456" i="3"/>
  <c r="Z1455" i="3"/>
  <c r="O1455" i="3"/>
  <c r="A1455" i="3"/>
  <c r="Z1454" i="3"/>
  <c r="O1454" i="3"/>
  <c r="A1454" i="3"/>
  <c r="Z1453" i="3"/>
  <c r="O1453" i="3"/>
  <c r="A1453" i="3"/>
  <c r="Z1452" i="3"/>
  <c r="O1452" i="3"/>
  <c r="A1452" i="3"/>
  <c r="Z1451" i="3"/>
  <c r="O1451" i="3"/>
  <c r="A1451" i="3"/>
  <c r="Z1450" i="3"/>
  <c r="O1450" i="3"/>
  <c r="A1450" i="3"/>
  <c r="AC1449" i="3"/>
  <c r="Z1449" i="3"/>
  <c r="O1449" i="3"/>
  <c r="A1449" i="3"/>
  <c r="Z1448" i="3"/>
  <c r="O1448" i="3"/>
  <c r="A1448" i="3"/>
  <c r="Z1447" i="3"/>
  <c r="O1447" i="3"/>
  <c r="A1447" i="3"/>
  <c r="Z1446" i="3"/>
  <c r="O1446" i="3"/>
  <c r="A1446" i="3"/>
  <c r="Z1445" i="3"/>
  <c r="O1445" i="3"/>
  <c r="A1445" i="3"/>
  <c r="Z1444" i="3"/>
  <c r="O1444" i="3"/>
  <c r="A1444" i="3"/>
  <c r="Z1443" i="3"/>
  <c r="O1443" i="3"/>
  <c r="A1443" i="3"/>
  <c r="Z1442" i="3"/>
  <c r="O1442" i="3"/>
  <c r="A1442" i="3"/>
  <c r="Z1441" i="3"/>
  <c r="O1441" i="3"/>
  <c r="A1441" i="3"/>
  <c r="Z1440" i="3"/>
  <c r="O1440" i="3"/>
  <c r="A1440" i="3"/>
  <c r="Z1439" i="3"/>
  <c r="O1439" i="3"/>
  <c r="A1439" i="3"/>
  <c r="Z1438" i="3"/>
  <c r="O1438" i="3"/>
  <c r="A1438" i="3"/>
  <c r="Z1437" i="3"/>
  <c r="O1437" i="3"/>
  <c r="A1437" i="3"/>
  <c r="Z1436" i="3"/>
  <c r="O1436" i="3"/>
  <c r="A1436" i="3"/>
  <c r="Z1435" i="3"/>
  <c r="O1435" i="3"/>
  <c r="A1435" i="3"/>
  <c r="AC1434" i="3"/>
  <c r="Z1434" i="3"/>
  <c r="O1434" i="3"/>
  <c r="A1434" i="3"/>
  <c r="Z1433" i="3"/>
  <c r="O1433" i="3"/>
  <c r="A1433" i="3"/>
  <c r="Z1432" i="3"/>
  <c r="O1432" i="3"/>
  <c r="A1432" i="3"/>
  <c r="Z1431" i="3"/>
  <c r="O1431" i="3"/>
  <c r="A1431" i="3"/>
  <c r="Z1430" i="3"/>
  <c r="O1430" i="3"/>
  <c r="A1430" i="3"/>
  <c r="Z1429" i="3"/>
  <c r="O1429" i="3"/>
  <c r="A1429" i="3"/>
  <c r="Z1428" i="3"/>
  <c r="O1428" i="3"/>
  <c r="A1428" i="3"/>
  <c r="Z1427" i="3"/>
  <c r="O1427" i="3"/>
  <c r="A1427" i="3"/>
  <c r="Z1426" i="3"/>
  <c r="O1426" i="3"/>
  <c r="A1426" i="3"/>
  <c r="Z1425" i="3"/>
  <c r="O1425" i="3"/>
  <c r="A1425" i="3"/>
  <c r="Z1424" i="3"/>
  <c r="O1424" i="3"/>
  <c r="A1424" i="3"/>
  <c r="Z1423" i="3"/>
  <c r="O1423" i="3"/>
  <c r="A1423" i="3"/>
  <c r="Z1422" i="3"/>
  <c r="O1422" i="3"/>
  <c r="A1422" i="3"/>
  <c r="Z1421" i="3"/>
  <c r="O1421" i="3"/>
  <c r="A1421" i="3"/>
  <c r="Z1420" i="3"/>
  <c r="O1420" i="3"/>
  <c r="A1420" i="3"/>
  <c r="Z1419" i="3"/>
  <c r="O1419" i="3"/>
  <c r="A1419" i="3"/>
  <c r="AC1418" i="3"/>
  <c r="Z1418" i="3"/>
  <c r="O1418" i="3"/>
  <c r="A1418" i="3"/>
  <c r="Z1417" i="3"/>
  <c r="O1417" i="3"/>
  <c r="A1417" i="3"/>
  <c r="Z1416" i="3"/>
  <c r="O1416" i="3"/>
  <c r="A1416" i="3"/>
  <c r="Z1415" i="3"/>
  <c r="O1415" i="3"/>
  <c r="A1415" i="3"/>
  <c r="Z1414" i="3"/>
  <c r="O1414" i="3"/>
  <c r="A1414" i="3"/>
  <c r="Z1413" i="3"/>
  <c r="O1413" i="3"/>
  <c r="A1413" i="3"/>
  <c r="Z1412" i="3"/>
  <c r="O1412" i="3"/>
  <c r="A1412" i="3"/>
  <c r="Z1411" i="3"/>
  <c r="O1411" i="3"/>
  <c r="A1411" i="3"/>
  <c r="Z1410" i="3"/>
  <c r="O1410" i="3"/>
  <c r="A1410" i="3"/>
  <c r="Z1409" i="3"/>
  <c r="O1409" i="3"/>
  <c r="A1409" i="3"/>
  <c r="Z1408" i="3"/>
  <c r="O1408" i="3"/>
  <c r="A1408" i="3"/>
  <c r="Z1407" i="3"/>
  <c r="O1407" i="3"/>
  <c r="A1407" i="3"/>
  <c r="Z1406" i="3"/>
  <c r="O1406" i="3"/>
  <c r="A1406" i="3"/>
  <c r="Z1405" i="3"/>
  <c r="O1405" i="3"/>
  <c r="A1405" i="3"/>
  <c r="Z1404" i="3"/>
  <c r="O1404" i="3"/>
  <c r="A1404" i="3"/>
  <c r="Z1403" i="3"/>
  <c r="O1403" i="3"/>
  <c r="A1403" i="3"/>
  <c r="AC1402" i="3"/>
  <c r="Z1402" i="3"/>
  <c r="O1402" i="3"/>
  <c r="A1402" i="3"/>
  <c r="Z1401" i="3"/>
  <c r="O1401" i="3"/>
  <c r="A1401" i="3"/>
  <c r="Z1400" i="3"/>
  <c r="O1400" i="3"/>
  <c r="A1400" i="3"/>
  <c r="Z1399" i="3"/>
  <c r="O1399" i="3"/>
  <c r="A1399" i="3"/>
  <c r="Z1398" i="3"/>
  <c r="O1398" i="3"/>
  <c r="A1398" i="3"/>
  <c r="Z1397" i="3"/>
  <c r="O1397" i="3"/>
  <c r="A1397" i="3"/>
  <c r="Z1396" i="3"/>
  <c r="O1396" i="3"/>
  <c r="A1396" i="3"/>
  <c r="Z1395" i="3"/>
  <c r="O1395" i="3"/>
  <c r="A1395" i="3"/>
  <c r="Z1394" i="3"/>
  <c r="O1394" i="3"/>
  <c r="A1394" i="3"/>
  <c r="Z1393" i="3"/>
  <c r="O1393" i="3"/>
  <c r="A1393" i="3"/>
  <c r="Z1392" i="3"/>
  <c r="O1392" i="3"/>
  <c r="A1392" i="3"/>
  <c r="Z1391" i="3"/>
  <c r="O1391" i="3"/>
  <c r="A1391" i="3"/>
  <c r="Z1390" i="3"/>
  <c r="O1390" i="3"/>
  <c r="A1390" i="3"/>
  <c r="Z1389" i="3"/>
  <c r="O1389" i="3"/>
  <c r="A1389" i="3"/>
  <c r="Z1388" i="3"/>
  <c r="O1388" i="3"/>
  <c r="A1388" i="3"/>
  <c r="Z1387" i="3"/>
  <c r="O1387" i="3"/>
  <c r="A1387" i="3"/>
  <c r="AC1386" i="3"/>
  <c r="Z1386" i="3"/>
  <c r="O1386" i="3"/>
  <c r="A1386" i="3"/>
  <c r="Z1385" i="3"/>
  <c r="O1385" i="3"/>
  <c r="A1385" i="3"/>
  <c r="Z1384" i="3"/>
  <c r="O1384" i="3"/>
  <c r="A1384" i="3"/>
  <c r="Z1383" i="3"/>
  <c r="O1383" i="3"/>
  <c r="A1383" i="3"/>
  <c r="Z1382" i="3"/>
  <c r="O1382" i="3"/>
  <c r="A1382" i="3"/>
  <c r="Z1381" i="3"/>
  <c r="O1381" i="3"/>
  <c r="A1381" i="3"/>
  <c r="Z1380" i="3"/>
  <c r="O1380" i="3"/>
  <c r="A1380" i="3"/>
  <c r="Z1379" i="3"/>
  <c r="O1379" i="3"/>
  <c r="A1379" i="3"/>
  <c r="Z1378" i="3"/>
  <c r="O1378" i="3"/>
  <c r="A1378" i="3"/>
  <c r="Z1377" i="3"/>
  <c r="O1377" i="3"/>
  <c r="A1377" i="3"/>
  <c r="Z1376" i="3"/>
  <c r="O1376" i="3"/>
  <c r="A1376" i="3"/>
  <c r="Z1375" i="3"/>
  <c r="O1375" i="3"/>
  <c r="A1375" i="3"/>
  <c r="Z1374" i="3"/>
  <c r="O1374" i="3"/>
  <c r="A1374" i="3"/>
  <c r="Z1373" i="3"/>
  <c r="O1373" i="3"/>
  <c r="A1373" i="3"/>
  <c r="Z1372" i="3"/>
  <c r="O1372" i="3"/>
  <c r="A1372" i="3"/>
  <c r="Z1371" i="3"/>
  <c r="O1371" i="3"/>
  <c r="A1371" i="3"/>
  <c r="AC1370" i="3"/>
  <c r="Z1370" i="3"/>
  <c r="O1370" i="3"/>
  <c r="A1370" i="3"/>
  <c r="Z1369" i="3"/>
  <c r="O1369" i="3"/>
  <c r="A1369" i="3"/>
  <c r="Z1368" i="3"/>
  <c r="O1368" i="3"/>
  <c r="A1368" i="3"/>
  <c r="Z1367" i="3"/>
  <c r="O1367" i="3"/>
  <c r="A1367" i="3"/>
  <c r="Z1366" i="3"/>
  <c r="O1366" i="3"/>
  <c r="A1366" i="3"/>
  <c r="Z1365" i="3"/>
  <c r="O1365" i="3"/>
  <c r="A1365" i="3"/>
  <c r="Z1364" i="3"/>
  <c r="O1364" i="3"/>
  <c r="A1364" i="3"/>
  <c r="Z1363" i="3"/>
  <c r="O1363" i="3"/>
  <c r="A1363" i="3"/>
  <c r="Z1362" i="3"/>
  <c r="O1362" i="3"/>
  <c r="A1362" i="3"/>
  <c r="Z1361" i="3"/>
  <c r="O1361" i="3"/>
  <c r="A1361" i="3"/>
  <c r="Z1360" i="3"/>
  <c r="O1360" i="3"/>
  <c r="A1360" i="3"/>
  <c r="Z1359" i="3"/>
  <c r="O1359" i="3"/>
  <c r="A1359" i="3"/>
  <c r="Z1358" i="3"/>
  <c r="O1358" i="3"/>
  <c r="A1358" i="3"/>
  <c r="Z1357" i="3"/>
  <c r="O1357" i="3"/>
  <c r="A1357" i="3"/>
  <c r="Z1356" i="3"/>
  <c r="O1356" i="3"/>
  <c r="A1356" i="3"/>
  <c r="Z1355" i="3"/>
  <c r="O1355" i="3"/>
  <c r="A1355" i="3"/>
  <c r="AC1354" i="3"/>
  <c r="Z1354" i="3"/>
  <c r="O1354" i="3"/>
  <c r="A1354" i="3"/>
  <c r="Z1353" i="3"/>
  <c r="O1353" i="3"/>
  <c r="A1353" i="3"/>
  <c r="Z1352" i="3"/>
  <c r="O1352" i="3"/>
  <c r="A1352" i="3"/>
  <c r="Z1351" i="3"/>
  <c r="O1351" i="3"/>
  <c r="A1351" i="3"/>
  <c r="Z1350" i="3"/>
  <c r="O1350" i="3"/>
  <c r="A1350" i="3"/>
  <c r="Z1349" i="3"/>
  <c r="O1349" i="3"/>
  <c r="A1349" i="3"/>
  <c r="Z1348" i="3"/>
  <c r="O1348" i="3"/>
  <c r="A1348" i="3"/>
  <c r="Z1347" i="3"/>
  <c r="O1347" i="3"/>
  <c r="A1347" i="3"/>
  <c r="Z1346" i="3"/>
  <c r="O1346" i="3"/>
  <c r="A1346" i="3"/>
  <c r="Z1345" i="3"/>
  <c r="O1345" i="3"/>
  <c r="A1345" i="3"/>
  <c r="Z1344" i="3"/>
  <c r="O1344" i="3"/>
  <c r="A1344" i="3"/>
  <c r="Z1343" i="3"/>
  <c r="O1343" i="3"/>
  <c r="A1343" i="3"/>
  <c r="Z1342" i="3"/>
  <c r="O1342" i="3"/>
  <c r="A1342" i="3"/>
  <c r="Z1341" i="3"/>
  <c r="O1341" i="3"/>
  <c r="A1341" i="3"/>
  <c r="Z1340" i="3"/>
  <c r="O1340" i="3"/>
  <c r="A1340" i="3"/>
  <c r="Z1339" i="3"/>
  <c r="O1339" i="3"/>
  <c r="A1339" i="3"/>
  <c r="Z1338" i="3"/>
  <c r="O1338" i="3"/>
  <c r="A1338" i="3"/>
  <c r="Z1337" i="3"/>
  <c r="O1337" i="3"/>
  <c r="A1337" i="3"/>
  <c r="Z1336" i="3"/>
  <c r="O1336" i="3"/>
  <c r="A1336" i="3"/>
  <c r="Z1335" i="3"/>
  <c r="O1335" i="3"/>
  <c r="A1335" i="3"/>
  <c r="Z1334" i="3"/>
  <c r="O1334" i="3"/>
  <c r="A1334" i="3"/>
  <c r="Z1333" i="3"/>
  <c r="O1333" i="3"/>
  <c r="A1333" i="3"/>
  <c r="Z1332" i="3"/>
  <c r="O1332" i="3"/>
  <c r="A1332" i="3"/>
  <c r="Z1331" i="3"/>
  <c r="O1331" i="3"/>
  <c r="A1331" i="3"/>
  <c r="Z1330" i="3"/>
  <c r="O1330" i="3"/>
  <c r="A1330" i="3"/>
  <c r="Z1329" i="3"/>
  <c r="O1329" i="3"/>
  <c r="A1329" i="3"/>
  <c r="Z1328" i="3"/>
  <c r="O1328" i="3"/>
  <c r="A1328" i="3"/>
  <c r="Z1327" i="3"/>
  <c r="O1327" i="3"/>
  <c r="A1327" i="3"/>
  <c r="Z1326" i="3"/>
  <c r="O1326" i="3"/>
  <c r="A1326" i="3"/>
  <c r="Z1325" i="3"/>
  <c r="O1325" i="3"/>
  <c r="A1325" i="3"/>
  <c r="Z1324" i="3"/>
  <c r="O1324" i="3"/>
  <c r="A1324" i="3"/>
  <c r="Z1323" i="3"/>
  <c r="O1323" i="3"/>
  <c r="A1323" i="3"/>
  <c r="Z1322" i="3"/>
  <c r="O1322" i="3"/>
  <c r="A1322" i="3"/>
  <c r="Z1321" i="3"/>
  <c r="O1321" i="3"/>
  <c r="A1321" i="3"/>
  <c r="Z1320" i="3"/>
  <c r="O1320" i="3"/>
  <c r="A1320" i="3"/>
  <c r="AC1319" i="3"/>
  <c r="Z1319" i="3"/>
  <c r="O1319" i="3"/>
  <c r="A1319" i="3"/>
  <c r="Z1318" i="3"/>
  <c r="O1318" i="3"/>
  <c r="A1318" i="3"/>
  <c r="Z1317" i="3"/>
  <c r="O1317" i="3"/>
  <c r="A1317" i="3"/>
  <c r="Z1316" i="3"/>
  <c r="O1316" i="3"/>
  <c r="A1316" i="3"/>
  <c r="Z1315" i="3"/>
  <c r="O1315" i="3"/>
  <c r="A1315" i="3"/>
  <c r="Z1314" i="3"/>
  <c r="O1314" i="3"/>
  <c r="A1314" i="3"/>
  <c r="Z1313" i="3"/>
  <c r="O1313" i="3"/>
  <c r="A1313" i="3"/>
  <c r="AC1312" i="3"/>
  <c r="Z1312" i="3"/>
  <c r="O1312" i="3"/>
  <c r="A1312" i="3"/>
  <c r="Z1311" i="3"/>
  <c r="O1311" i="3"/>
  <c r="A1311" i="3"/>
  <c r="Z1310" i="3"/>
  <c r="O1310" i="3"/>
  <c r="A1310" i="3"/>
  <c r="Z1309" i="3"/>
  <c r="O1309" i="3"/>
  <c r="A1309" i="3"/>
  <c r="Z1308" i="3"/>
  <c r="O1308" i="3"/>
  <c r="A1308" i="3"/>
  <c r="Z1307" i="3"/>
  <c r="O1307" i="3"/>
  <c r="A1307" i="3"/>
  <c r="Z1306" i="3"/>
  <c r="O1306" i="3"/>
  <c r="A1306" i="3"/>
  <c r="Z1305" i="3"/>
  <c r="O1305" i="3"/>
  <c r="A1305" i="3"/>
  <c r="Z1304" i="3"/>
  <c r="O1304" i="3"/>
  <c r="A1304" i="3"/>
  <c r="Z1303" i="3"/>
  <c r="O1303" i="3"/>
  <c r="A1303" i="3"/>
  <c r="Z1302" i="3"/>
  <c r="O1302" i="3"/>
  <c r="A1302" i="3"/>
  <c r="Z1301" i="3"/>
  <c r="O1301" i="3"/>
  <c r="A1301" i="3"/>
  <c r="Z1300" i="3"/>
  <c r="O1300" i="3"/>
  <c r="A1300" i="3"/>
  <c r="Z1299" i="3"/>
  <c r="O1299" i="3"/>
  <c r="A1299" i="3"/>
  <c r="Z1298" i="3"/>
  <c r="O1298" i="3"/>
  <c r="A1298" i="3"/>
  <c r="Z1297" i="3"/>
  <c r="O1297" i="3"/>
  <c r="A1297" i="3"/>
  <c r="Z1296" i="3"/>
  <c r="O1296" i="3"/>
  <c r="A1296" i="3"/>
  <c r="Z1295" i="3"/>
  <c r="O1295" i="3"/>
  <c r="A1295" i="3"/>
  <c r="Z1294" i="3"/>
  <c r="O1294" i="3"/>
  <c r="A1294" i="3"/>
  <c r="Z1293" i="3"/>
  <c r="O1293" i="3"/>
  <c r="A1293" i="3"/>
  <c r="Z1292" i="3"/>
  <c r="O1292" i="3"/>
  <c r="A1292" i="3"/>
  <c r="Z1291" i="3"/>
  <c r="O1291" i="3"/>
  <c r="A1291" i="3"/>
  <c r="Z1290" i="3"/>
  <c r="O1290" i="3"/>
  <c r="A1290" i="3"/>
  <c r="Z1289" i="3"/>
  <c r="O1289" i="3"/>
  <c r="A1289" i="3"/>
  <c r="Z1288" i="3"/>
  <c r="O1288" i="3"/>
  <c r="A1288" i="3"/>
  <c r="Z1287" i="3"/>
  <c r="O1287" i="3"/>
  <c r="A1287" i="3"/>
  <c r="AC1286" i="3"/>
  <c r="Z1286" i="3"/>
  <c r="O1286" i="3"/>
  <c r="A1286" i="3"/>
  <c r="Z1285" i="3"/>
  <c r="O1285" i="3"/>
  <c r="A1285" i="3"/>
  <c r="Z1284" i="3"/>
  <c r="O1284" i="3"/>
  <c r="A1284" i="3"/>
  <c r="Z1283" i="3"/>
  <c r="O1283" i="3"/>
  <c r="A1283" i="3"/>
  <c r="Z1282" i="3"/>
  <c r="O1282" i="3"/>
  <c r="A1282" i="3"/>
  <c r="Z1281" i="3"/>
  <c r="O1281" i="3"/>
  <c r="A1281" i="3"/>
  <c r="Z1280" i="3"/>
  <c r="O1280" i="3"/>
  <c r="A1280" i="3"/>
  <c r="Z1279" i="3"/>
  <c r="O1279" i="3"/>
  <c r="A1279" i="3"/>
  <c r="AC1278" i="3"/>
  <c r="Z1278" i="3"/>
  <c r="O1278" i="3"/>
  <c r="A1278" i="3"/>
  <c r="Z1277" i="3"/>
  <c r="O1277" i="3"/>
  <c r="A1277" i="3"/>
  <c r="Z1276" i="3"/>
  <c r="O1276" i="3"/>
  <c r="A1276" i="3"/>
  <c r="Z1275" i="3"/>
  <c r="O1275" i="3"/>
  <c r="A1275" i="3"/>
  <c r="Z1274" i="3"/>
  <c r="O1274" i="3"/>
  <c r="A1274" i="3"/>
  <c r="Z1273" i="3"/>
  <c r="O1273" i="3"/>
  <c r="A1273" i="3"/>
  <c r="Z1272" i="3"/>
  <c r="O1272" i="3"/>
  <c r="A1272" i="3"/>
  <c r="Z1271" i="3"/>
  <c r="O1271" i="3"/>
  <c r="A1271" i="3"/>
  <c r="Z1270" i="3"/>
  <c r="O1270" i="3"/>
  <c r="A1270" i="3"/>
  <c r="Z1269" i="3"/>
  <c r="O1269" i="3"/>
  <c r="A1269" i="3"/>
  <c r="Z1268" i="3"/>
  <c r="O1268" i="3"/>
  <c r="A1268" i="3"/>
  <c r="Z1267" i="3"/>
  <c r="O1267" i="3"/>
  <c r="A1267" i="3"/>
  <c r="Z1266" i="3"/>
  <c r="O1266" i="3"/>
  <c r="A1266" i="3"/>
  <c r="Z1265" i="3"/>
  <c r="O1265" i="3"/>
  <c r="A1265" i="3"/>
  <c r="Z1264" i="3"/>
  <c r="O1264" i="3"/>
  <c r="A1264" i="3"/>
  <c r="Z1263" i="3"/>
  <c r="O1263" i="3"/>
  <c r="A1263" i="3"/>
  <c r="Z1262" i="3"/>
  <c r="O1262" i="3"/>
  <c r="A1262" i="3"/>
  <c r="Z1261" i="3"/>
  <c r="O1261" i="3"/>
  <c r="A1261" i="3"/>
  <c r="Z1260" i="3"/>
  <c r="O1260" i="3"/>
  <c r="A1260" i="3"/>
  <c r="Z1259" i="3"/>
  <c r="O1259" i="3"/>
  <c r="A1259" i="3"/>
  <c r="Z1258" i="3"/>
  <c r="O1258" i="3"/>
  <c r="A1258" i="3"/>
  <c r="Z1257" i="3"/>
  <c r="O1257" i="3"/>
  <c r="A1257" i="3"/>
  <c r="Z1256" i="3"/>
  <c r="O1256" i="3"/>
  <c r="A1256" i="3"/>
  <c r="Z1255" i="3"/>
  <c r="O1255" i="3"/>
  <c r="A1255" i="3"/>
  <c r="Z1254" i="3"/>
  <c r="O1254" i="3"/>
  <c r="A1254" i="3"/>
  <c r="AC1253" i="3"/>
  <c r="Z1253" i="3"/>
  <c r="O1253" i="3"/>
  <c r="A1253" i="3"/>
  <c r="Z1252" i="3"/>
  <c r="O1252" i="3"/>
  <c r="A1252" i="3"/>
  <c r="Z1251" i="3"/>
  <c r="O1251" i="3"/>
  <c r="A1251" i="3"/>
  <c r="Z1250" i="3"/>
  <c r="O1250" i="3"/>
  <c r="A1250" i="3"/>
  <c r="Z1249" i="3"/>
  <c r="O1249" i="3"/>
  <c r="A1249" i="3"/>
  <c r="Z1248" i="3"/>
  <c r="O1248" i="3"/>
  <c r="A1248" i="3"/>
  <c r="Z1247" i="3"/>
  <c r="O1247" i="3"/>
  <c r="A1247" i="3"/>
  <c r="Z1246" i="3"/>
  <c r="O1246" i="3"/>
  <c r="A1246" i="3"/>
  <c r="Z1245" i="3"/>
  <c r="O1245" i="3"/>
  <c r="A1245" i="3"/>
  <c r="Z1244" i="3"/>
  <c r="O1244" i="3"/>
  <c r="A1244" i="3"/>
  <c r="Z1243" i="3"/>
  <c r="O1243" i="3"/>
  <c r="A1243" i="3"/>
  <c r="Z1242" i="3"/>
  <c r="O1242" i="3"/>
  <c r="A1242" i="3"/>
  <c r="Z1241" i="3"/>
  <c r="O1241" i="3"/>
  <c r="A1241" i="3"/>
  <c r="Z1240" i="3"/>
  <c r="O1240" i="3"/>
  <c r="A1240" i="3"/>
  <c r="Z1239" i="3"/>
  <c r="O1239" i="3"/>
  <c r="A1239" i="3"/>
  <c r="Z1238" i="3"/>
  <c r="O1238" i="3"/>
  <c r="A1238" i="3"/>
  <c r="Z1237" i="3"/>
  <c r="O1237" i="3"/>
  <c r="A1237" i="3"/>
  <c r="Z1236" i="3"/>
  <c r="O1236" i="3"/>
  <c r="A1236" i="3"/>
  <c r="Z1235" i="3"/>
  <c r="O1235" i="3"/>
  <c r="A1235" i="3"/>
  <c r="Z1234" i="3"/>
  <c r="O1234" i="3"/>
  <c r="A1234" i="3"/>
  <c r="Z1233" i="3"/>
  <c r="O1233" i="3"/>
  <c r="A1233" i="3"/>
  <c r="Z1232" i="3"/>
  <c r="O1232" i="3"/>
  <c r="A1232" i="3"/>
  <c r="Z1231" i="3"/>
  <c r="O1231" i="3"/>
  <c r="A1231" i="3"/>
  <c r="Z1230" i="3"/>
  <c r="O1230" i="3"/>
  <c r="A1230" i="3"/>
  <c r="Z1229" i="3"/>
  <c r="O1229" i="3"/>
  <c r="A1229" i="3"/>
  <c r="Z1228" i="3"/>
  <c r="O1228" i="3"/>
  <c r="A1228" i="3"/>
  <c r="Z1227" i="3"/>
  <c r="O1227" i="3"/>
  <c r="A1227" i="3"/>
  <c r="Z1226" i="3"/>
  <c r="O1226" i="3"/>
  <c r="A1226" i="3"/>
  <c r="Z1225" i="3"/>
  <c r="O1225" i="3"/>
  <c r="A1225" i="3"/>
  <c r="Z1224" i="3"/>
  <c r="O1224" i="3"/>
  <c r="A1224" i="3"/>
  <c r="Z1223" i="3"/>
  <c r="O1223" i="3"/>
  <c r="A1223" i="3"/>
  <c r="AC1222" i="3"/>
  <c r="Z1222" i="3"/>
  <c r="O1222" i="3"/>
  <c r="A1222" i="3"/>
  <c r="Z1221" i="3"/>
  <c r="O1221" i="3"/>
  <c r="A1221" i="3"/>
  <c r="Z1220" i="3"/>
  <c r="O1220" i="3"/>
  <c r="A1220" i="3"/>
  <c r="Z1219" i="3"/>
  <c r="O1219" i="3"/>
  <c r="A1219" i="3"/>
  <c r="Z1218" i="3"/>
  <c r="O1218" i="3"/>
  <c r="A1218" i="3"/>
  <c r="Z1217" i="3"/>
  <c r="O1217" i="3"/>
  <c r="A1217" i="3"/>
  <c r="Z1216" i="3"/>
  <c r="O1216" i="3"/>
  <c r="A1216" i="3"/>
  <c r="Z1215" i="3"/>
  <c r="O1215" i="3"/>
  <c r="A1215" i="3"/>
  <c r="Z1214" i="3"/>
  <c r="O1214" i="3"/>
  <c r="A1214" i="3"/>
  <c r="Z1213" i="3"/>
  <c r="O1213" i="3"/>
  <c r="A1213" i="3"/>
  <c r="Z1212" i="3"/>
  <c r="O1212" i="3"/>
  <c r="A1212" i="3"/>
  <c r="Z1211" i="3"/>
  <c r="O1211" i="3"/>
  <c r="A1211" i="3"/>
  <c r="Z1210" i="3"/>
  <c r="O1210" i="3"/>
  <c r="A1210" i="3"/>
  <c r="Z1209" i="3"/>
  <c r="O1209" i="3"/>
  <c r="A1209" i="3"/>
  <c r="Z1208" i="3"/>
  <c r="O1208" i="3"/>
  <c r="A1208" i="3"/>
  <c r="Z1207" i="3"/>
  <c r="O1207" i="3"/>
  <c r="A1207" i="3"/>
  <c r="Z1206" i="3"/>
  <c r="O1206" i="3"/>
  <c r="A1206" i="3"/>
  <c r="Z1205" i="3"/>
  <c r="O1205" i="3"/>
  <c r="A1205" i="3"/>
  <c r="Z1204" i="3"/>
  <c r="O1204" i="3"/>
  <c r="A1204" i="3"/>
  <c r="Z1203" i="3"/>
  <c r="O1203" i="3"/>
  <c r="A1203" i="3"/>
  <c r="Z1202" i="3"/>
  <c r="O1202" i="3"/>
  <c r="A1202" i="3"/>
  <c r="Z1201" i="3"/>
  <c r="O1201" i="3"/>
  <c r="A1201" i="3"/>
  <c r="Z1200" i="3"/>
  <c r="O1200" i="3"/>
  <c r="A1200" i="3"/>
  <c r="Z1199" i="3"/>
  <c r="O1199" i="3"/>
  <c r="A1199" i="3"/>
  <c r="Z1198" i="3"/>
  <c r="O1198" i="3"/>
  <c r="A1198" i="3"/>
  <c r="Z1197" i="3"/>
  <c r="O1197" i="3"/>
  <c r="A1197" i="3"/>
  <c r="Z1196" i="3"/>
  <c r="O1196" i="3"/>
  <c r="A1196" i="3"/>
  <c r="Z1195" i="3"/>
  <c r="O1195" i="3"/>
  <c r="A1195" i="3"/>
  <c r="Z1194" i="3"/>
  <c r="O1194" i="3"/>
  <c r="A1194" i="3"/>
  <c r="Z1193" i="3"/>
  <c r="O1193" i="3"/>
  <c r="A1193" i="3"/>
  <c r="Z1192" i="3"/>
  <c r="O1192" i="3"/>
  <c r="A1192" i="3"/>
  <c r="AC1191" i="3"/>
  <c r="Z1191" i="3"/>
  <c r="O1191" i="3"/>
  <c r="A1191" i="3"/>
  <c r="Z1190" i="3"/>
  <c r="O1190" i="3"/>
  <c r="A1190" i="3"/>
  <c r="Z1189" i="3"/>
  <c r="O1189" i="3"/>
  <c r="A1189" i="3"/>
  <c r="Z1188" i="3"/>
  <c r="O1188" i="3"/>
  <c r="A1188" i="3"/>
  <c r="Z1187" i="3"/>
  <c r="O1187" i="3"/>
  <c r="A1187" i="3"/>
  <c r="Z1186" i="3"/>
  <c r="O1186" i="3"/>
  <c r="A1186" i="3"/>
  <c r="Z1185" i="3"/>
  <c r="O1185" i="3"/>
  <c r="A1185" i="3"/>
  <c r="Z1184" i="3"/>
  <c r="O1184" i="3"/>
  <c r="A1184" i="3"/>
  <c r="Z1183" i="3"/>
  <c r="O1183" i="3"/>
  <c r="A1183" i="3"/>
  <c r="Z1182" i="3"/>
  <c r="O1182" i="3"/>
  <c r="A1182" i="3"/>
  <c r="Z1181" i="3"/>
  <c r="O1181" i="3"/>
  <c r="A1181" i="3"/>
  <c r="Z1180" i="3"/>
  <c r="O1180" i="3"/>
  <c r="A1180" i="3"/>
  <c r="Z1179" i="3"/>
  <c r="O1179" i="3"/>
  <c r="A1179" i="3"/>
  <c r="Z1178" i="3"/>
  <c r="O1178" i="3"/>
  <c r="A1178" i="3"/>
  <c r="Z1177" i="3"/>
  <c r="O1177" i="3"/>
  <c r="A1177" i="3"/>
  <c r="Z1176" i="3"/>
  <c r="O1176" i="3"/>
  <c r="A1176" i="3"/>
  <c r="Z1175" i="3"/>
  <c r="O1175" i="3"/>
  <c r="A1175" i="3"/>
  <c r="Z1174" i="3"/>
  <c r="O1174" i="3"/>
  <c r="A1174" i="3"/>
  <c r="Z1173" i="3"/>
  <c r="O1173" i="3"/>
  <c r="A1173" i="3"/>
  <c r="Z1172" i="3"/>
  <c r="O1172" i="3"/>
  <c r="A1172" i="3"/>
  <c r="Z1171" i="3"/>
  <c r="O1171" i="3"/>
  <c r="A1171" i="3"/>
  <c r="Z1170" i="3"/>
  <c r="O1170" i="3"/>
  <c r="A1170" i="3"/>
  <c r="Z1169" i="3"/>
  <c r="O1169" i="3"/>
  <c r="A1169" i="3"/>
  <c r="Z1168" i="3"/>
  <c r="O1168" i="3"/>
  <c r="A1168" i="3"/>
  <c r="Z1167" i="3"/>
  <c r="O1167" i="3"/>
  <c r="A1167" i="3"/>
  <c r="Z1166" i="3"/>
  <c r="O1166" i="3"/>
  <c r="A1166" i="3"/>
  <c r="Z1165" i="3"/>
  <c r="O1165" i="3"/>
  <c r="A1165" i="3"/>
  <c r="Z1164" i="3"/>
  <c r="O1164" i="3"/>
  <c r="A1164" i="3"/>
  <c r="Z1163" i="3"/>
  <c r="O1163" i="3"/>
  <c r="A1163" i="3"/>
  <c r="Z1162" i="3"/>
  <c r="O1162" i="3"/>
  <c r="A1162" i="3"/>
  <c r="Z1161" i="3"/>
  <c r="O1161" i="3"/>
  <c r="A1161" i="3"/>
  <c r="AC1160" i="3"/>
  <c r="Z1160" i="3"/>
  <c r="O1160" i="3"/>
  <c r="A1160" i="3"/>
  <c r="Z1159" i="3"/>
  <c r="O1159" i="3"/>
  <c r="A1159" i="3"/>
  <c r="Z1158" i="3"/>
  <c r="O1158" i="3"/>
  <c r="A1158" i="3"/>
  <c r="Z1157" i="3"/>
  <c r="O1157" i="3"/>
  <c r="A1157" i="3"/>
  <c r="Z1156" i="3"/>
  <c r="O1156" i="3"/>
  <c r="A1156" i="3"/>
  <c r="Z1155" i="3"/>
  <c r="O1155" i="3"/>
  <c r="A1155" i="3"/>
  <c r="Z1154" i="3"/>
  <c r="O1154" i="3"/>
  <c r="A1154" i="3"/>
  <c r="Z1153" i="3"/>
  <c r="O1153" i="3"/>
  <c r="A1153" i="3"/>
  <c r="Z1152" i="3"/>
  <c r="O1152" i="3"/>
  <c r="A1152" i="3"/>
  <c r="Z1151" i="3"/>
  <c r="O1151" i="3"/>
  <c r="A1151" i="3"/>
  <c r="Z1150" i="3"/>
  <c r="O1150" i="3"/>
  <c r="A1150" i="3"/>
  <c r="Z1149" i="3"/>
  <c r="O1149" i="3"/>
  <c r="A1149" i="3"/>
  <c r="Z1148" i="3"/>
  <c r="O1148" i="3"/>
  <c r="A1148" i="3"/>
  <c r="Z1147" i="3"/>
  <c r="O1147" i="3"/>
  <c r="A1147" i="3"/>
  <c r="Z1146" i="3"/>
  <c r="O1146" i="3"/>
  <c r="A1146" i="3"/>
  <c r="Z1145" i="3"/>
  <c r="O1145" i="3"/>
  <c r="A1145" i="3"/>
  <c r="Z1144" i="3"/>
  <c r="O1144" i="3"/>
  <c r="A1144" i="3"/>
  <c r="Z1143" i="3"/>
  <c r="O1143" i="3"/>
  <c r="A1143" i="3"/>
  <c r="Z1142" i="3"/>
  <c r="O1142" i="3"/>
  <c r="A1142" i="3"/>
  <c r="Z1141" i="3"/>
  <c r="O1141" i="3"/>
  <c r="A1141" i="3"/>
  <c r="Z1140" i="3"/>
  <c r="O1140" i="3"/>
  <c r="A1140" i="3"/>
  <c r="Z1139" i="3"/>
  <c r="O1139" i="3"/>
  <c r="A1139" i="3"/>
  <c r="Z1138" i="3"/>
  <c r="O1138" i="3"/>
  <c r="A1138" i="3"/>
  <c r="Z1137" i="3"/>
  <c r="O1137" i="3"/>
  <c r="A1137" i="3"/>
  <c r="Z1136" i="3"/>
  <c r="O1136" i="3"/>
  <c r="A1136" i="3"/>
  <c r="Z1135" i="3"/>
  <c r="O1135" i="3"/>
  <c r="A1135" i="3"/>
  <c r="Z1134" i="3"/>
  <c r="O1134" i="3"/>
  <c r="A1134" i="3"/>
  <c r="Z1133" i="3"/>
  <c r="O1133" i="3"/>
  <c r="A1133" i="3"/>
  <c r="Z1132" i="3"/>
  <c r="O1132" i="3"/>
  <c r="A1132" i="3"/>
  <c r="Z1131" i="3"/>
  <c r="O1131" i="3"/>
  <c r="A1131" i="3"/>
  <c r="Z1130" i="3"/>
  <c r="O1130" i="3"/>
  <c r="A1130" i="3"/>
  <c r="AC1129" i="3"/>
  <c r="Z1129" i="3"/>
  <c r="O1129" i="3"/>
  <c r="A1129" i="3"/>
  <c r="Z1128" i="3"/>
  <c r="O1128" i="3"/>
  <c r="A1128" i="3"/>
  <c r="Z1127" i="3"/>
  <c r="O1127" i="3"/>
  <c r="A1127" i="3"/>
  <c r="Z1126" i="3"/>
  <c r="O1126" i="3"/>
  <c r="A1126" i="3"/>
  <c r="Z1125" i="3"/>
  <c r="O1125" i="3"/>
  <c r="A1125" i="3"/>
  <c r="Z1124" i="3"/>
  <c r="O1124" i="3"/>
  <c r="A1124" i="3"/>
  <c r="Z1123" i="3"/>
  <c r="O1123" i="3"/>
  <c r="A1123" i="3"/>
  <c r="Z1122" i="3"/>
  <c r="O1122" i="3"/>
  <c r="A1122" i="3"/>
  <c r="Z1121" i="3"/>
  <c r="O1121" i="3"/>
  <c r="A1121" i="3"/>
  <c r="Z1120" i="3"/>
  <c r="O1120" i="3"/>
  <c r="A1120" i="3"/>
  <c r="Z1119" i="3"/>
  <c r="O1119" i="3"/>
  <c r="A1119" i="3"/>
  <c r="Z1118" i="3"/>
  <c r="O1118" i="3"/>
  <c r="A1118" i="3"/>
  <c r="Z1117" i="3"/>
  <c r="O1117" i="3"/>
  <c r="A1117" i="3"/>
  <c r="Z1116" i="3"/>
  <c r="O1116" i="3"/>
  <c r="A1116" i="3"/>
  <c r="Z1115" i="3"/>
  <c r="O1115" i="3"/>
  <c r="A1115" i="3"/>
  <c r="Z1114" i="3"/>
  <c r="O1114" i="3"/>
  <c r="A1114" i="3"/>
  <c r="Z1113" i="3"/>
  <c r="O1113" i="3"/>
  <c r="A1113" i="3"/>
  <c r="Z1112" i="3"/>
  <c r="O1112" i="3"/>
  <c r="A1112" i="3"/>
  <c r="Z1111" i="3"/>
  <c r="O1111" i="3"/>
  <c r="A1111" i="3"/>
  <c r="Z1110" i="3"/>
  <c r="O1110" i="3"/>
  <c r="A1110" i="3"/>
  <c r="Z1109" i="3"/>
  <c r="O1109" i="3"/>
  <c r="A1109" i="3"/>
  <c r="Z1108" i="3"/>
  <c r="O1108" i="3"/>
  <c r="A1108" i="3"/>
  <c r="Z1107" i="3"/>
  <c r="O1107" i="3"/>
  <c r="A1107" i="3"/>
  <c r="Z1106" i="3"/>
  <c r="O1106" i="3"/>
  <c r="A1106" i="3"/>
  <c r="Z1105" i="3"/>
  <c r="O1105" i="3"/>
  <c r="A1105" i="3"/>
  <c r="Z1104" i="3"/>
  <c r="O1104" i="3"/>
  <c r="A1104" i="3"/>
  <c r="Z1103" i="3"/>
  <c r="O1103" i="3"/>
  <c r="A1103" i="3"/>
  <c r="Z1102" i="3"/>
  <c r="O1102" i="3"/>
  <c r="A1102" i="3"/>
  <c r="Z1101" i="3"/>
  <c r="O1101" i="3"/>
  <c r="A1101" i="3"/>
  <c r="Z1100" i="3"/>
  <c r="O1100" i="3"/>
  <c r="A1100" i="3"/>
  <c r="Z1099" i="3"/>
  <c r="O1099" i="3"/>
  <c r="A1099" i="3"/>
  <c r="AC1098" i="3"/>
  <c r="Z1098" i="3"/>
  <c r="O1098" i="3"/>
  <c r="A1098" i="3"/>
  <c r="Z1097" i="3"/>
  <c r="O1097" i="3"/>
  <c r="A1097" i="3"/>
  <c r="Z1096" i="3"/>
  <c r="O1096" i="3"/>
  <c r="A1096" i="3"/>
  <c r="Z1095" i="3"/>
  <c r="O1095" i="3"/>
  <c r="A1095" i="3"/>
  <c r="Z1094" i="3"/>
  <c r="O1094" i="3"/>
  <c r="A1094" i="3"/>
  <c r="Z1093" i="3"/>
  <c r="O1093" i="3"/>
  <c r="A1093" i="3"/>
  <c r="Z1092" i="3"/>
  <c r="O1092" i="3"/>
  <c r="A1092" i="3"/>
  <c r="Z1091" i="3"/>
  <c r="O1091" i="3"/>
  <c r="A1091" i="3"/>
  <c r="Z1090" i="3"/>
  <c r="O1090" i="3"/>
  <c r="A1090" i="3"/>
  <c r="Z1089" i="3"/>
  <c r="O1089" i="3"/>
  <c r="A1089" i="3"/>
  <c r="Z1088" i="3"/>
  <c r="O1088" i="3"/>
  <c r="A1088" i="3"/>
  <c r="Z1087" i="3"/>
  <c r="O1087" i="3"/>
  <c r="A1087" i="3"/>
  <c r="Z1086" i="3"/>
  <c r="O1086" i="3"/>
  <c r="A1086" i="3"/>
  <c r="Z1085" i="3"/>
  <c r="O1085" i="3"/>
  <c r="A1085" i="3"/>
  <c r="Z1084" i="3"/>
  <c r="O1084" i="3"/>
  <c r="A1084" i="3"/>
  <c r="Z1083" i="3"/>
  <c r="O1083" i="3"/>
  <c r="A1083" i="3"/>
  <c r="Z1082" i="3"/>
  <c r="O1082" i="3"/>
  <c r="A1082" i="3"/>
  <c r="Z1081" i="3"/>
  <c r="O1081" i="3"/>
  <c r="A1081" i="3"/>
  <c r="Z1080" i="3"/>
  <c r="O1080" i="3"/>
  <c r="A1080" i="3"/>
  <c r="Z1079" i="3"/>
  <c r="O1079" i="3"/>
  <c r="A1079" i="3"/>
  <c r="Z1078" i="3"/>
  <c r="O1078" i="3"/>
  <c r="A1078" i="3"/>
  <c r="Z1077" i="3"/>
  <c r="O1077" i="3"/>
  <c r="A1077" i="3"/>
  <c r="Z1076" i="3"/>
  <c r="O1076" i="3"/>
  <c r="A1076" i="3"/>
  <c r="Z1075" i="3"/>
  <c r="O1075" i="3"/>
  <c r="A1075" i="3"/>
  <c r="Z1074" i="3"/>
  <c r="O1074" i="3"/>
  <c r="A1074" i="3"/>
  <c r="Z1073" i="3"/>
  <c r="O1073" i="3"/>
  <c r="A1073" i="3"/>
  <c r="Z1072" i="3"/>
  <c r="O1072" i="3"/>
  <c r="A1072" i="3"/>
  <c r="Z1071" i="3"/>
  <c r="O1071" i="3"/>
  <c r="A1071" i="3"/>
  <c r="Z1070" i="3"/>
  <c r="O1070" i="3"/>
  <c r="A1070" i="3"/>
  <c r="Z1069" i="3"/>
  <c r="O1069" i="3"/>
  <c r="A1069" i="3"/>
  <c r="Z1068" i="3"/>
  <c r="O1068" i="3"/>
  <c r="A1068" i="3"/>
  <c r="AC1067" i="3"/>
  <c r="Z1067" i="3"/>
  <c r="O1067" i="3"/>
  <c r="A1067" i="3"/>
  <c r="Z1066" i="3"/>
  <c r="O1066" i="3"/>
  <c r="A1066" i="3"/>
  <c r="Z1065" i="3"/>
  <c r="O1065" i="3"/>
  <c r="A1065" i="3"/>
  <c r="Z1064" i="3"/>
  <c r="O1064" i="3"/>
  <c r="A1064" i="3"/>
  <c r="Z1063" i="3"/>
  <c r="O1063" i="3"/>
  <c r="A1063" i="3"/>
  <c r="Z1062" i="3"/>
  <c r="O1062" i="3"/>
  <c r="A1062" i="3"/>
  <c r="Z1061" i="3"/>
  <c r="O1061" i="3"/>
  <c r="A1061" i="3"/>
  <c r="Z1060" i="3"/>
  <c r="O1060" i="3"/>
  <c r="A1060" i="3"/>
  <c r="Z1059" i="3"/>
  <c r="O1059" i="3"/>
  <c r="A1059" i="3"/>
  <c r="Z1058" i="3"/>
  <c r="O1058" i="3"/>
  <c r="A1058" i="3"/>
  <c r="Z1057" i="3"/>
  <c r="O1057" i="3"/>
  <c r="A1057" i="3"/>
  <c r="Z1056" i="3"/>
  <c r="O1056" i="3"/>
  <c r="A1056" i="3"/>
  <c r="Z1055" i="3"/>
  <c r="O1055" i="3"/>
  <c r="A1055" i="3"/>
  <c r="Z1054" i="3"/>
  <c r="O1054" i="3"/>
  <c r="A1054" i="3"/>
  <c r="Z1053" i="3"/>
  <c r="O1053" i="3"/>
  <c r="A1053" i="3"/>
  <c r="Z1052" i="3"/>
  <c r="O1052" i="3"/>
  <c r="A1052" i="3"/>
  <c r="Z1051" i="3"/>
  <c r="O1051" i="3"/>
  <c r="A1051" i="3"/>
  <c r="Z1050" i="3"/>
  <c r="O1050" i="3"/>
  <c r="A1050" i="3"/>
  <c r="Z1049" i="3"/>
  <c r="O1049" i="3"/>
  <c r="A1049" i="3"/>
  <c r="Z1048" i="3"/>
  <c r="O1048" i="3"/>
  <c r="A1048" i="3"/>
  <c r="Z1047" i="3"/>
  <c r="O1047" i="3"/>
  <c r="A1047" i="3"/>
  <c r="Z1046" i="3"/>
  <c r="O1046" i="3"/>
  <c r="A1046" i="3"/>
  <c r="Z1045" i="3"/>
  <c r="O1045" i="3"/>
  <c r="A1045" i="3"/>
  <c r="Z1044" i="3"/>
  <c r="O1044" i="3"/>
  <c r="A1044" i="3"/>
  <c r="Z1043" i="3"/>
  <c r="O1043" i="3"/>
  <c r="A1043" i="3"/>
  <c r="Z1042" i="3"/>
  <c r="O1042" i="3"/>
  <c r="A1042" i="3"/>
  <c r="Z1041" i="3"/>
  <c r="O1041" i="3"/>
  <c r="A1041" i="3"/>
  <c r="Z1040" i="3"/>
  <c r="O1040" i="3"/>
  <c r="A1040" i="3"/>
  <c r="Z1039" i="3"/>
  <c r="O1039" i="3"/>
  <c r="A1039" i="3"/>
  <c r="Z1038" i="3"/>
  <c r="O1038" i="3"/>
  <c r="A1038" i="3"/>
  <c r="Z1037" i="3"/>
  <c r="O1037" i="3"/>
  <c r="A1037" i="3"/>
  <c r="AC1036" i="3"/>
  <c r="Z1036" i="3"/>
  <c r="O1036" i="3"/>
  <c r="A1036" i="3"/>
  <c r="Z1035" i="3"/>
  <c r="O1035" i="3"/>
  <c r="A1035" i="3"/>
  <c r="Z1034" i="3"/>
  <c r="O1034" i="3"/>
  <c r="A1034" i="3"/>
  <c r="Z1033" i="3"/>
  <c r="O1033" i="3"/>
  <c r="A1033" i="3"/>
  <c r="Z1032" i="3"/>
  <c r="O1032" i="3"/>
  <c r="A1032" i="3"/>
  <c r="Z1031" i="3"/>
  <c r="O1031" i="3"/>
  <c r="A1031" i="3"/>
  <c r="Z1030" i="3"/>
  <c r="O1030" i="3"/>
  <c r="A1030" i="3"/>
  <c r="Z1029" i="3"/>
  <c r="O1029" i="3"/>
  <c r="A1029" i="3"/>
  <c r="Z1028" i="3"/>
  <c r="O1028" i="3"/>
  <c r="A1028" i="3"/>
  <c r="Z1027" i="3"/>
  <c r="O1027" i="3"/>
  <c r="A1027" i="3"/>
  <c r="Z1026" i="3"/>
  <c r="O1026" i="3"/>
  <c r="A1026" i="3"/>
  <c r="Z1025" i="3"/>
  <c r="O1025" i="3"/>
  <c r="A1025" i="3"/>
  <c r="Z1024" i="3"/>
  <c r="O1024" i="3"/>
  <c r="A1024" i="3"/>
  <c r="Z1023" i="3"/>
  <c r="O1023" i="3"/>
  <c r="A1023" i="3"/>
  <c r="Z1022" i="3"/>
  <c r="O1022" i="3"/>
  <c r="A1022" i="3"/>
  <c r="Z1021" i="3"/>
  <c r="O1021" i="3"/>
  <c r="A1021" i="3"/>
  <c r="Z1020" i="3"/>
  <c r="O1020" i="3"/>
  <c r="A1020" i="3"/>
  <c r="Z1019" i="3"/>
  <c r="O1019" i="3"/>
  <c r="A1019" i="3"/>
  <c r="Z1018" i="3"/>
  <c r="O1018" i="3"/>
  <c r="A1018" i="3"/>
  <c r="Z1017" i="3"/>
  <c r="O1017" i="3"/>
  <c r="A1017" i="3"/>
  <c r="Z1016" i="3"/>
  <c r="O1016" i="3"/>
  <c r="A1016" i="3"/>
  <c r="Z1015" i="3"/>
  <c r="O1015" i="3"/>
  <c r="A1015" i="3"/>
  <c r="Z1014" i="3"/>
  <c r="O1014" i="3"/>
  <c r="A1014" i="3"/>
  <c r="Z1013" i="3"/>
  <c r="O1013" i="3"/>
  <c r="A1013" i="3"/>
  <c r="Z1012" i="3"/>
  <c r="O1012" i="3"/>
  <c r="A1012" i="3"/>
  <c r="Z1011" i="3"/>
  <c r="O1011" i="3"/>
  <c r="A1011" i="3"/>
  <c r="Z1010" i="3"/>
  <c r="O1010" i="3"/>
  <c r="A1010" i="3"/>
  <c r="Z1009" i="3"/>
  <c r="O1009" i="3"/>
  <c r="A1009" i="3"/>
  <c r="Z1008" i="3"/>
  <c r="O1008" i="3"/>
  <c r="A1008" i="3"/>
  <c r="Z1007" i="3"/>
  <c r="O1007" i="3"/>
  <c r="A1007" i="3"/>
  <c r="Z1006" i="3"/>
  <c r="O1006" i="3"/>
  <c r="A1006" i="3"/>
  <c r="AC1005" i="3"/>
  <c r="Z1005" i="3"/>
  <c r="O1005" i="3"/>
  <c r="A1005" i="3"/>
  <c r="Z1004" i="3"/>
  <c r="O1004" i="3"/>
  <c r="A1004" i="3"/>
  <c r="Z1003" i="3"/>
  <c r="O1003" i="3"/>
  <c r="A1003" i="3"/>
  <c r="Z1002" i="3"/>
  <c r="O1002" i="3"/>
  <c r="A1002" i="3"/>
  <c r="Z1001" i="3"/>
  <c r="O1001" i="3"/>
  <c r="A1001" i="3"/>
  <c r="Z1000" i="3"/>
  <c r="O1000" i="3"/>
  <c r="A1000" i="3"/>
  <c r="Z999" i="3"/>
  <c r="O999" i="3"/>
  <c r="A999" i="3"/>
  <c r="Z998" i="3"/>
  <c r="O998" i="3"/>
  <c r="A998" i="3"/>
  <c r="Z997" i="3"/>
  <c r="O997" i="3"/>
  <c r="A997" i="3"/>
  <c r="Z996" i="3"/>
  <c r="O996" i="3"/>
  <c r="A996" i="3"/>
  <c r="Z995" i="3"/>
  <c r="O995" i="3"/>
  <c r="A995" i="3"/>
  <c r="Z994" i="3"/>
  <c r="O994" i="3"/>
  <c r="A994" i="3"/>
  <c r="Z993" i="3"/>
  <c r="O993" i="3"/>
  <c r="A993" i="3"/>
  <c r="Z992" i="3"/>
  <c r="O992" i="3"/>
  <c r="A992" i="3"/>
  <c r="Z991" i="3"/>
  <c r="O991" i="3"/>
  <c r="A991" i="3"/>
  <c r="Z990" i="3"/>
  <c r="O990" i="3"/>
  <c r="A990" i="3"/>
  <c r="Z989" i="3"/>
  <c r="O989" i="3"/>
  <c r="A989" i="3"/>
  <c r="Z988" i="3"/>
  <c r="O988" i="3"/>
  <c r="A988" i="3"/>
  <c r="Z987" i="3"/>
  <c r="O987" i="3"/>
  <c r="A987" i="3"/>
  <c r="Z986" i="3"/>
  <c r="O986" i="3"/>
  <c r="A986" i="3"/>
  <c r="Z985" i="3"/>
  <c r="O985" i="3"/>
  <c r="A985" i="3"/>
  <c r="Z984" i="3"/>
  <c r="O984" i="3"/>
  <c r="A984" i="3"/>
  <c r="Z983" i="3"/>
  <c r="O983" i="3"/>
  <c r="A983" i="3"/>
  <c r="Z982" i="3"/>
  <c r="O982" i="3"/>
  <c r="A982" i="3"/>
  <c r="Z981" i="3"/>
  <c r="O981" i="3"/>
  <c r="A981" i="3"/>
  <c r="Z980" i="3"/>
  <c r="O980" i="3"/>
  <c r="A980" i="3"/>
  <c r="Z979" i="3"/>
  <c r="O979" i="3"/>
  <c r="A979" i="3"/>
  <c r="Z978" i="3"/>
  <c r="O978" i="3"/>
  <c r="A978" i="3"/>
  <c r="Z977" i="3"/>
  <c r="O977" i="3"/>
  <c r="A977" i="3"/>
  <c r="Z976" i="3"/>
  <c r="O976" i="3"/>
  <c r="A976" i="3"/>
  <c r="Z975" i="3"/>
  <c r="O975" i="3"/>
  <c r="A975" i="3"/>
  <c r="AC974" i="3"/>
  <c r="Z974" i="3"/>
  <c r="O974" i="3"/>
  <c r="A974" i="3"/>
  <c r="Z973" i="3"/>
  <c r="O973" i="3"/>
  <c r="A973" i="3"/>
  <c r="Z972" i="3"/>
  <c r="O972" i="3"/>
  <c r="A972" i="3"/>
  <c r="Z971" i="3"/>
  <c r="O971" i="3"/>
  <c r="A971" i="3"/>
  <c r="Z970" i="3"/>
  <c r="O970" i="3"/>
  <c r="A970" i="3"/>
  <c r="Z969" i="3"/>
  <c r="O969" i="3"/>
  <c r="A969" i="3"/>
  <c r="Z968" i="3"/>
  <c r="O968" i="3"/>
  <c r="A968" i="3"/>
  <c r="Z967" i="3"/>
  <c r="O967" i="3"/>
  <c r="A967" i="3"/>
  <c r="Z966" i="3"/>
  <c r="O966" i="3"/>
  <c r="A966" i="3"/>
  <c r="Z965" i="3"/>
  <c r="O965" i="3"/>
  <c r="A965" i="3"/>
  <c r="Z964" i="3"/>
  <c r="O964" i="3"/>
  <c r="A964" i="3"/>
  <c r="Z963" i="3"/>
  <c r="O963" i="3"/>
  <c r="A963" i="3"/>
  <c r="Z962" i="3"/>
  <c r="O962" i="3"/>
  <c r="A962" i="3"/>
  <c r="Z961" i="3"/>
  <c r="O961" i="3"/>
  <c r="A961" i="3"/>
  <c r="Z960" i="3"/>
  <c r="O960" i="3"/>
  <c r="A960" i="3"/>
  <c r="Z959" i="3"/>
  <c r="O959" i="3"/>
  <c r="A959" i="3"/>
  <c r="Z958" i="3"/>
  <c r="O958" i="3"/>
  <c r="A958" i="3"/>
  <c r="Z957" i="3"/>
  <c r="O957" i="3"/>
  <c r="A957" i="3"/>
  <c r="Z956" i="3"/>
  <c r="O956" i="3"/>
  <c r="A956" i="3"/>
  <c r="Z955" i="3"/>
  <c r="O955" i="3"/>
  <c r="A955" i="3"/>
  <c r="Z954" i="3"/>
  <c r="O954" i="3"/>
  <c r="A954" i="3"/>
  <c r="Z953" i="3"/>
  <c r="O953" i="3"/>
  <c r="A953" i="3"/>
  <c r="Z952" i="3"/>
  <c r="O952" i="3"/>
  <c r="A952" i="3"/>
  <c r="Z951" i="3"/>
  <c r="O951" i="3"/>
  <c r="A951" i="3"/>
  <c r="Z950" i="3"/>
  <c r="O950" i="3"/>
  <c r="A950" i="3"/>
  <c r="Z949" i="3"/>
  <c r="O949" i="3"/>
  <c r="A949" i="3"/>
  <c r="Z948" i="3"/>
  <c r="O948" i="3"/>
  <c r="A948" i="3"/>
  <c r="Z947" i="3"/>
  <c r="O947" i="3"/>
  <c r="A947" i="3"/>
  <c r="Z946" i="3"/>
  <c r="O946" i="3"/>
  <c r="A946" i="3"/>
  <c r="Z945" i="3"/>
  <c r="O945" i="3"/>
  <c r="A945" i="3"/>
  <c r="Z944" i="3"/>
  <c r="O944" i="3"/>
  <c r="A944" i="3"/>
  <c r="AC943" i="3"/>
  <c r="Z943" i="3"/>
  <c r="O943" i="3"/>
  <c r="A943" i="3"/>
  <c r="Z942" i="3"/>
  <c r="O942" i="3"/>
  <c r="A942" i="3"/>
  <c r="Z941" i="3"/>
  <c r="O941" i="3"/>
  <c r="A941" i="3"/>
  <c r="Z940" i="3"/>
  <c r="O940" i="3"/>
  <c r="A940" i="3"/>
  <c r="Z939" i="3"/>
  <c r="O939" i="3"/>
  <c r="A939" i="3"/>
  <c r="Z938" i="3"/>
  <c r="O938" i="3"/>
  <c r="A938" i="3"/>
  <c r="Z937" i="3"/>
  <c r="O937" i="3"/>
  <c r="A937" i="3"/>
  <c r="Z936" i="3"/>
  <c r="O936" i="3"/>
  <c r="A936" i="3"/>
  <c r="Z935" i="3"/>
  <c r="O935" i="3"/>
  <c r="A935" i="3"/>
  <c r="Z934" i="3"/>
  <c r="O934" i="3"/>
  <c r="A934" i="3"/>
  <c r="Z933" i="3"/>
  <c r="O933" i="3"/>
  <c r="A933" i="3"/>
  <c r="Z932" i="3"/>
  <c r="O932" i="3"/>
  <c r="A932" i="3"/>
  <c r="Z931" i="3"/>
  <c r="O931" i="3"/>
  <c r="A931" i="3"/>
  <c r="Z930" i="3"/>
  <c r="O930" i="3"/>
  <c r="A930" i="3"/>
  <c r="Z929" i="3"/>
  <c r="O929" i="3"/>
  <c r="A929" i="3"/>
  <c r="Z928" i="3"/>
  <c r="O928" i="3"/>
  <c r="A928" i="3"/>
  <c r="Z927" i="3"/>
  <c r="O927" i="3"/>
  <c r="A927" i="3"/>
  <c r="Z926" i="3"/>
  <c r="O926" i="3"/>
  <c r="A926" i="3"/>
  <c r="Z925" i="3"/>
  <c r="O925" i="3"/>
  <c r="A925" i="3"/>
  <c r="Z924" i="3"/>
  <c r="O924" i="3"/>
  <c r="A924" i="3"/>
  <c r="Z923" i="3"/>
  <c r="O923" i="3"/>
  <c r="A923" i="3"/>
  <c r="Z922" i="3"/>
  <c r="O922" i="3"/>
  <c r="A922" i="3"/>
  <c r="Z921" i="3"/>
  <c r="O921" i="3"/>
  <c r="A921" i="3"/>
  <c r="Z920" i="3"/>
  <c r="O920" i="3"/>
  <c r="A920" i="3"/>
  <c r="Z919" i="3"/>
  <c r="O919" i="3"/>
  <c r="A919" i="3"/>
  <c r="Z918" i="3"/>
  <c r="O918" i="3"/>
  <c r="A918" i="3"/>
  <c r="Z917" i="3"/>
  <c r="O917" i="3"/>
  <c r="A917" i="3"/>
  <c r="Z916" i="3"/>
  <c r="O916" i="3"/>
  <c r="A916" i="3"/>
  <c r="Z915" i="3"/>
  <c r="O915" i="3"/>
  <c r="A915" i="3"/>
  <c r="Z914" i="3"/>
  <c r="O914" i="3"/>
  <c r="A914" i="3"/>
  <c r="Z913" i="3"/>
  <c r="O913" i="3"/>
  <c r="A913" i="3"/>
  <c r="AC912" i="3"/>
  <c r="Z912" i="3"/>
  <c r="O912" i="3"/>
  <c r="A912" i="3"/>
  <c r="Z911" i="3"/>
  <c r="O911" i="3"/>
  <c r="A911" i="3"/>
  <c r="Z910" i="3"/>
  <c r="O910" i="3"/>
  <c r="A910" i="3"/>
  <c r="Z909" i="3"/>
  <c r="O909" i="3"/>
  <c r="A909" i="3"/>
  <c r="Z908" i="3"/>
  <c r="O908" i="3"/>
  <c r="A908" i="3"/>
  <c r="Z907" i="3"/>
  <c r="O907" i="3"/>
  <c r="A907" i="3"/>
  <c r="Z906" i="3"/>
  <c r="O906" i="3"/>
  <c r="A906" i="3"/>
  <c r="Z905" i="3"/>
  <c r="O905" i="3"/>
  <c r="A905" i="3"/>
  <c r="Z904" i="3"/>
  <c r="O904" i="3"/>
  <c r="A904" i="3"/>
  <c r="Z903" i="3"/>
  <c r="O903" i="3"/>
  <c r="A903" i="3"/>
  <c r="Z902" i="3"/>
  <c r="O902" i="3"/>
  <c r="A902" i="3"/>
  <c r="Z901" i="3"/>
  <c r="O901" i="3"/>
  <c r="A901" i="3"/>
  <c r="Z900" i="3"/>
  <c r="O900" i="3"/>
  <c r="A900" i="3"/>
  <c r="Z899" i="3"/>
  <c r="O899" i="3"/>
  <c r="A899" i="3"/>
  <c r="Z898" i="3"/>
  <c r="O898" i="3"/>
  <c r="A898" i="3"/>
  <c r="Z897" i="3"/>
  <c r="O897" i="3"/>
  <c r="A897" i="3"/>
  <c r="Z896" i="3"/>
  <c r="O896" i="3"/>
  <c r="A896" i="3"/>
  <c r="Z895" i="3"/>
  <c r="O895" i="3"/>
  <c r="A895" i="3"/>
  <c r="Z894" i="3"/>
  <c r="O894" i="3"/>
  <c r="A894" i="3"/>
  <c r="Z893" i="3"/>
  <c r="O893" i="3"/>
  <c r="A893" i="3"/>
  <c r="Z892" i="3"/>
  <c r="O892" i="3"/>
  <c r="A892" i="3"/>
  <c r="AC891" i="3"/>
  <c r="Z891" i="3"/>
  <c r="O891" i="3"/>
  <c r="A891" i="3"/>
  <c r="Z890" i="3"/>
  <c r="O890" i="3"/>
  <c r="A890" i="3"/>
  <c r="Z889" i="3"/>
  <c r="O889" i="3"/>
  <c r="A889" i="3"/>
  <c r="Z888" i="3"/>
  <c r="O888" i="3"/>
  <c r="A888" i="3"/>
  <c r="Z887" i="3"/>
  <c r="O887" i="3"/>
  <c r="A887" i="3"/>
  <c r="Z886" i="3"/>
  <c r="O886" i="3"/>
  <c r="A886" i="3"/>
  <c r="Z885" i="3"/>
  <c r="O885" i="3"/>
  <c r="A885" i="3"/>
  <c r="Z884" i="3"/>
  <c r="O884" i="3"/>
  <c r="A884" i="3"/>
  <c r="Z883" i="3"/>
  <c r="O883" i="3"/>
  <c r="A883" i="3"/>
  <c r="Z882" i="3"/>
  <c r="O882" i="3"/>
  <c r="A882" i="3"/>
  <c r="Z881" i="3"/>
  <c r="O881" i="3"/>
  <c r="A881" i="3"/>
  <c r="Z880" i="3"/>
  <c r="O880" i="3"/>
  <c r="A880" i="3"/>
  <c r="Z879" i="3"/>
  <c r="O879" i="3"/>
  <c r="A879" i="3"/>
  <c r="Z878" i="3"/>
  <c r="O878" i="3"/>
  <c r="A878" i="3"/>
  <c r="Z877" i="3"/>
  <c r="O877" i="3"/>
  <c r="A877" i="3"/>
  <c r="Z876" i="3"/>
  <c r="O876" i="3"/>
  <c r="A876" i="3"/>
  <c r="Z875" i="3"/>
  <c r="O875" i="3"/>
  <c r="A875" i="3"/>
  <c r="Z874" i="3"/>
  <c r="O874" i="3"/>
  <c r="A874" i="3"/>
  <c r="Z873" i="3"/>
  <c r="O873" i="3"/>
  <c r="A873" i="3"/>
  <c r="Z872" i="3"/>
  <c r="O872" i="3"/>
  <c r="A872" i="3"/>
  <c r="AC871" i="3"/>
  <c r="Z871" i="3"/>
  <c r="O871" i="3"/>
  <c r="A871" i="3"/>
  <c r="Z870" i="3"/>
  <c r="O870" i="3"/>
  <c r="A870" i="3"/>
  <c r="Z869" i="3"/>
  <c r="O869" i="3"/>
  <c r="A869" i="3"/>
  <c r="Z868" i="3"/>
  <c r="O868" i="3"/>
  <c r="A868" i="3"/>
  <c r="Z867" i="3"/>
  <c r="O867" i="3"/>
  <c r="A867" i="3"/>
  <c r="Z866" i="3"/>
  <c r="O866" i="3"/>
  <c r="A866" i="3"/>
  <c r="Z865" i="3"/>
  <c r="O865" i="3"/>
  <c r="A865" i="3"/>
  <c r="Z864" i="3"/>
  <c r="O864" i="3"/>
  <c r="A864" i="3"/>
  <c r="Z863" i="3"/>
  <c r="O863" i="3"/>
  <c r="A863" i="3"/>
  <c r="Z862" i="3"/>
  <c r="O862" i="3"/>
  <c r="A862" i="3"/>
  <c r="Z861" i="3"/>
  <c r="O861" i="3"/>
  <c r="A861" i="3"/>
  <c r="Z860" i="3"/>
  <c r="O860" i="3"/>
  <c r="A860" i="3"/>
  <c r="Z859" i="3"/>
  <c r="O859" i="3"/>
  <c r="A859" i="3"/>
  <c r="Z858" i="3"/>
  <c r="O858" i="3"/>
  <c r="A858" i="3"/>
  <c r="Z857" i="3"/>
  <c r="O857" i="3"/>
  <c r="A857" i="3"/>
  <c r="Z856" i="3"/>
  <c r="O856" i="3"/>
  <c r="A856" i="3"/>
  <c r="Z855" i="3"/>
  <c r="O855" i="3"/>
  <c r="A855" i="3"/>
  <c r="Z854" i="3"/>
  <c r="O854" i="3"/>
  <c r="A854" i="3"/>
  <c r="Z853" i="3"/>
  <c r="O853" i="3"/>
  <c r="A853" i="3"/>
  <c r="Z852" i="3"/>
  <c r="O852" i="3"/>
  <c r="A852" i="3"/>
  <c r="Z851" i="3"/>
  <c r="O851" i="3"/>
  <c r="A851" i="3"/>
  <c r="Z850" i="3"/>
  <c r="O850" i="3"/>
  <c r="A850" i="3"/>
  <c r="Z849" i="3"/>
  <c r="O849" i="3"/>
  <c r="A849" i="3"/>
  <c r="Z848" i="3"/>
  <c r="O848" i="3"/>
  <c r="A848" i="3"/>
  <c r="Z847" i="3"/>
  <c r="O847" i="3"/>
  <c r="A847" i="3"/>
  <c r="Z846" i="3"/>
  <c r="O846" i="3"/>
  <c r="A846" i="3"/>
  <c r="Z845" i="3"/>
  <c r="O845" i="3"/>
  <c r="A845" i="3"/>
  <c r="Z844" i="3"/>
  <c r="O844" i="3"/>
  <c r="A844" i="3"/>
  <c r="AC843" i="3"/>
  <c r="Z843" i="3"/>
  <c r="O843" i="3"/>
  <c r="A843" i="3"/>
  <c r="Z842" i="3"/>
  <c r="O842" i="3"/>
  <c r="A842" i="3"/>
  <c r="Z841" i="3"/>
  <c r="O841" i="3"/>
  <c r="A841" i="3"/>
  <c r="Z840" i="3"/>
  <c r="O840" i="3"/>
  <c r="A840" i="3"/>
  <c r="Z839" i="3"/>
  <c r="O839" i="3"/>
  <c r="A839" i="3"/>
  <c r="Z838" i="3"/>
  <c r="O838" i="3"/>
  <c r="A838" i="3"/>
  <c r="Z837" i="3"/>
  <c r="O837" i="3"/>
  <c r="A837" i="3"/>
  <c r="Z836" i="3"/>
  <c r="O836" i="3"/>
  <c r="A836" i="3"/>
  <c r="Z835" i="3"/>
  <c r="O835" i="3"/>
  <c r="A835" i="3"/>
  <c r="Z834" i="3"/>
  <c r="O834" i="3"/>
  <c r="A834" i="3"/>
  <c r="Z833" i="3"/>
  <c r="O833" i="3"/>
  <c r="A833" i="3"/>
  <c r="Z832" i="3"/>
  <c r="O832" i="3"/>
  <c r="A832" i="3"/>
  <c r="Z831" i="3"/>
  <c r="O831" i="3"/>
  <c r="A831" i="3"/>
  <c r="Z830" i="3"/>
  <c r="O830" i="3"/>
  <c r="A830" i="3"/>
  <c r="Z829" i="3"/>
  <c r="O829" i="3"/>
  <c r="A829" i="3"/>
  <c r="Z828" i="3"/>
  <c r="O828" i="3"/>
  <c r="A828" i="3"/>
  <c r="Z827" i="3"/>
  <c r="O827" i="3"/>
  <c r="A827" i="3"/>
  <c r="Z826" i="3"/>
  <c r="O826" i="3"/>
  <c r="A826" i="3"/>
  <c r="Z825" i="3"/>
  <c r="O825" i="3"/>
  <c r="A825" i="3"/>
  <c r="Z824" i="3"/>
  <c r="O824" i="3"/>
  <c r="A824" i="3"/>
  <c r="Z823" i="3"/>
  <c r="O823" i="3"/>
  <c r="A823" i="3"/>
  <c r="Z822" i="3"/>
  <c r="O822" i="3"/>
  <c r="A822" i="3"/>
  <c r="Z821" i="3"/>
  <c r="O821" i="3"/>
  <c r="A821" i="3"/>
  <c r="Z820" i="3"/>
  <c r="O820" i="3"/>
  <c r="A820" i="3"/>
  <c r="Z819" i="3"/>
  <c r="O819" i="3"/>
  <c r="A819" i="3"/>
  <c r="Z818" i="3"/>
  <c r="O818" i="3"/>
  <c r="A818" i="3"/>
  <c r="Z817" i="3"/>
  <c r="O817" i="3"/>
  <c r="A817" i="3"/>
  <c r="AC816" i="3"/>
  <c r="Z816" i="3"/>
  <c r="O816" i="3"/>
  <c r="A816" i="3"/>
  <c r="Z815" i="3"/>
  <c r="O815" i="3"/>
  <c r="A815" i="3"/>
  <c r="Z814" i="3"/>
  <c r="O814" i="3"/>
  <c r="A814" i="3"/>
  <c r="Z813" i="3"/>
  <c r="O813" i="3"/>
  <c r="A813" i="3"/>
  <c r="Z812" i="3"/>
  <c r="O812" i="3"/>
  <c r="A812" i="3"/>
  <c r="Z811" i="3"/>
  <c r="O811" i="3"/>
  <c r="A811" i="3"/>
  <c r="Z810" i="3"/>
  <c r="O810" i="3"/>
  <c r="A810" i="3"/>
  <c r="Z809" i="3"/>
  <c r="O809" i="3"/>
  <c r="A809" i="3"/>
  <c r="Z808" i="3"/>
  <c r="O808" i="3"/>
  <c r="A808" i="3"/>
  <c r="Z807" i="3"/>
  <c r="O807" i="3"/>
  <c r="A807" i="3"/>
  <c r="Z806" i="3"/>
  <c r="O806" i="3"/>
  <c r="A806" i="3"/>
  <c r="Z805" i="3"/>
  <c r="O805" i="3"/>
  <c r="A805" i="3"/>
  <c r="Z804" i="3"/>
  <c r="O804" i="3"/>
  <c r="A804" i="3"/>
  <c r="Z803" i="3"/>
  <c r="O803" i="3"/>
  <c r="A803" i="3"/>
  <c r="Z802" i="3"/>
  <c r="O802" i="3"/>
  <c r="A802" i="3"/>
  <c r="Z801" i="3"/>
  <c r="O801" i="3"/>
  <c r="A801" i="3"/>
  <c r="Z800" i="3"/>
  <c r="O800" i="3"/>
  <c r="A800" i="3"/>
  <c r="Z799" i="3"/>
  <c r="O799" i="3"/>
  <c r="A799" i="3"/>
  <c r="Z798" i="3"/>
  <c r="O798" i="3"/>
  <c r="A798" i="3"/>
  <c r="Z797" i="3"/>
  <c r="O797" i="3"/>
  <c r="A797" i="3"/>
  <c r="Z796" i="3"/>
  <c r="O796" i="3"/>
  <c r="A796" i="3"/>
  <c r="Z795" i="3"/>
  <c r="O795" i="3"/>
  <c r="A795" i="3"/>
  <c r="Z794" i="3"/>
  <c r="O794" i="3"/>
  <c r="A794" i="3"/>
  <c r="Z793" i="3"/>
  <c r="O793" i="3"/>
  <c r="A793" i="3"/>
  <c r="Z792" i="3"/>
  <c r="O792" i="3"/>
  <c r="A792" i="3"/>
  <c r="Z791" i="3"/>
  <c r="O791" i="3"/>
  <c r="A791" i="3"/>
  <c r="Z790" i="3"/>
  <c r="O790" i="3"/>
  <c r="A790" i="3"/>
  <c r="Z789" i="3"/>
  <c r="O789" i="3"/>
  <c r="A789" i="3"/>
  <c r="AC788" i="3"/>
  <c r="Z788" i="3"/>
  <c r="O788" i="3"/>
  <c r="A788" i="3"/>
  <c r="Z787" i="3"/>
  <c r="O787" i="3"/>
  <c r="A787" i="3"/>
  <c r="Z786" i="3"/>
  <c r="O786" i="3"/>
  <c r="A786" i="3"/>
  <c r="Z785" i="3"/>
  <c r="O785" i="3"/>
  <c r="A785" i="3"/>
  <c r="Z784" i="3"/>
  <c r="O784" i="3"/>
  <c r="A784" i="3"/>
  <c r="Z783" i="3"/>
  <c r="O783" i="3"/>
  <c r="A783" i="3"/>
  <c r="Z782" i="3"/>
  <c r="O782" i="3"/>
  <c r="A782" i="3"/>
  <c r="Z781" i="3"/>
  <c r="O781" i="3"/>
  <c r="A781" i="3"/>
  <c r="Z780" i="3"/>
  <c r="O780" i="3"/>
  <c r="A780" i="3"/>
  <c r="Z779" i="3"/>
  <c r="O779" i="3"/>
  <c r="A779" i="3"/>
  <c r="Z778" i="3"/>
  <c r="O778" i="3"/>
  <c r="A778" i="3"/>
  <c r="Z777" i="3"/>
  <c r="O777" i="3"/>
  <c r="A777" i="3"/>
  <c r="Z776" i="3"/>
  <c r="O776" i="3"/>
  <c r="A776" i="3"/>
  <c r="Z775" i="3"/>
  <c r="O775" i="3"/>
  <c r="A775" i="3"/>
  <c r="Z774" i="3"/>
  <c r="O774" i="3"/>
  <c r="A774" i="3"/>
  <c r="Z773" i="3"/>
  <c r="O773" i="3"/>
  <c r="A773" i="3"/>
  <c r="Z772" i="3"/>
  <c r="O772" i="3"/>
  <c r="A772" i="3"/>
  <c r="Z771" i="3"/>
  <c r="O771" i="3"/>
  <c r="A771" i="3"/>
  <c r="Z770" i="3"/>
  <c r="O770" i="3"/>
  <c r="A770" i="3"/>
  <c r="Z769" i="3"/>
  <c r="O769" i="3"/>
  <c r="A769" i="3"/>
  <c r="Z768" i="3"/>
  <c r="O768" i="3"/>
  <c r="A768" i="3"/>
  <c r="Z767" i="3"/>
  <c r="O767" i="3"/>
  <c r="A767" i="3"/>
  <c r="Z766" i="3"/>
  <c r="O766" i="3"/>
  <c r="A766" i="3"/>
  <c r="Z765" i="3"/>
  <c r="O765" i="3"/>
  <c r="A765" i="3"/>
  <c r="Z764" i="3"/>
  <c r="O764" i="3"/>
  <c r="A764" i="3"/>
  <c r="Z763" i="3"/>
  <c r="O763" i="3"/>
  <c r="A763" i="3"/>
  <c r="Z762" i="3"/>
  <c r="O762" i="3"/>
  <c r="A762" i="3"/>
  <c r="AC761" i="3"/>
  <c r="Z761" i="3"/>
  <c r="O761" i="3"/>
  <c r="A761" i="3"/>
  <c r="Z760" i="3"/>
  <c r="O760" i="3"/>
  <c r="A760" i="3"/>
  <c r="Z759" i="3"/>
  <c r="O759" i="3"/>
  <c r="A759" i="3"/>
  <c r="Z758" i="3"/>
  <c r="O758" i="3"/>
  <c r="A758" i="3"/>
  <c r="Z757" i="3"/>
  <c r="O757" i="3"/>
  <c r="A757" i="3"/>
  <c r="Z756" i="3"/>
  <c r="O756" i="3"/>
  <c r="A756" i="3"/>
  <c r="Z755" i="3"/>
  <c r="O755" i="3"/>
  <c r="A755" i="3"/>
  <c r="Z754" i="3"/>
  <c r="O754" i="3"/>
  <c r="A754" i="3"/>
  <c r="Z753" i="3"/>
  <c r="O753" i="3"/>
  <c r="A753" i="3"/>
  <c r="Z752" i="3"/>
  <c r="O752" i="3"/>
  <c r="A752" i="3"/>
  <c r="Z751" i="3"/>
  <c r="O751" i="3"/>
  <c r="A751" i="3"/>
  <c r="Z750" i="3"/>
  <c r="O750" i="3"/>
  <c r="A750" i="3"/>
  <c r="Z749" i="3"/>
  <c r="O749" i="3"/>
  <c r="A749" i="3"/>
  <c r="Z748" i="3"/>
  <c r="O748" i="3"/>
  <c r="A748" i="3"/>
  <c r="Z747" i="3"/>
  <c r="O747" i="3"/>
  <c r="A747" i="3"/>
  <c r="Z746" i="3"/>
  <c r="O746" i="3"/>
  <c r="A746" i="3"/>
  <c r="Z745" i="3"/>
  <c r="O745" i="3"/>
  <c r="A745" i="3"/>
  <c r="Z744" i="3"/>
  <c r="O744" i="3"/>
  <c r="A744" i="3"/>
  <c r="Z743" i="3"/>
  <c r="O743" i="3"/>
  <c r="A743" i="3"/>
  <c r="Z742" i="3"/>
  <c r="O742" i="3"/>
  <c r="A742" i="3"/>
  <c r="Z741" i="3"/>
  <c r="O741" i="3"/>
  <c r="A741" i="3"/>
  <c r="Z740" i="3"/>
  <c r="O740" i="3"/>
  <c r="A740" i="3"/>
  <c r="Z739" i="3"/>
  <c r="O739" i="3"/>
  <c r="A739" i="3"/>
  <c r="Z738" i="3"/>
  <c r="O738" i="3"/>
  <c r="A738" i="3"/>
  <c r="Z737" i="3"/>
  <c r="O737" i="3"/>
  <c r="A737" i="3"/>
  <c r="Z736" i="3"/>
  <c r="O736" i="3"/>
  <c r="A736" i="3"/>
  <c r="Z735" i="3"/>
  <c r="O735" i="3"/>
  <c r="A735" i="3"/>
  <c r="AC734" i="3"/>
  <c r="Z734" i="3"/>
  <c r="O734" i="3"/>
  <c r="A734" i="3"/>
  <c r="Z733" i="3"/>
  <c r="O733" i="3"/>
  <c r="A733" i="3"/>
  <c r="Z732" i="3"/>
  <c r="O732" i="3"/>
  <c r="A732" i="3"/>
  <c r="Z731" i="3"/>
  <c r="O731" i="3"/>
  <c r="A731" i="3"/>
  <c r="Z730" i="3"/>
  <c r="O730" i="3"/>
  <c r="A730" i="3"/>
  <c r="Z729" i="3"/>
  <c r="O729" i="3"/>
  <c r="A729" i="3"/>
  <c r="Z728" i="3"/>
  <c r="O728" i="3"/>
  <c r="A728" i="3"/>
  <c r="Z727" i="3"/>
  <c r="O727" i="3"/>
  <c r="A727" i="3"/>
  <c r="Z726" i="3"/>
  <c r="O726" i="3"/>
  <c r="A726" i="3"/>
  <c r="Z725" i="3"/>
  <c r="O725" i="3"/>
  <c r="A725" i="3"/>
  <c r="Z724" i="3"/>
  <c r="O724" i="3"/>
  <c r="A724" i="3"/>
  <c r="Z723" i="3"/>
  <c r="O723" i="3"/>
  <c r="A723" i="3"/>
  <c r="Z722" i="3"/>
  <c r="O722" i="3"/>
  <c r="A722" i="3"/>
  <c r="Z721" i="3"/>
  <c r="O721" i="3"/>
  <c r="A721" i="3"/>
  <c r="Z720" i="3"/>
  <c r="O720" i="3"/>
  <c r="A720" i="3"/>
  <c r="Z719" i="3"/>
  <c r="O719" i="3"/>
  <c r="A719" i="3"/>
  <c r="Z718" i="3"/>
  <c r="O718" i="3"/>
  <c r="A718" i="3"/>
  <c r="Z717" i="3"/>
  <c r="O717" i="3"/>
  <c r="A717" i="3"/>
  <c r="Z716" i="3"/>
  <c r="O716" i="3"/>
  <c r="A716" i="3"/>
  <c r="Z715" i="3"/>
  <c r="O715" i="3"/>
  <c r="A715" i="3"/>
  <c r="Z714" i="3"/>
  <c r="O714" i="3"/>
  <c r="A714" i="3"/>
  <c r="Z713" i="3"/>
  <c r="O713" i="3"/>
  <c r="A713" i="3"/>
  <c r="Z712" i="3"/>
  <c r="O712" i="3"/>
  <c r="A712" i="3"/>
  <c r="Z711" i="3"/>
  <c r="O711" i="3"/>
  <c r="A711" i="3"/>
  <c r="Z710" i="3"/>
  <c r="O710" i="3"/>
  <c r="A710" i="3"/>
  <c r="Z709" i="3"/>
  <c r="O709" i="3"/>
  <c r="A709" i="3"/>
  <c r="AC708" i="3"/>
  <c r="Z708" i="3"/>
  <c r="O708" i="3"/>
  <c r="A708" i="3"/>
  <c r="Z707" i="3"/>
  <c r="O707" i="3"/>
  <c r="A707" i="3"/>
  <c r="Z706" i="3"/>
  <c r="O706" i="3"/>
  <c r="A706" i="3"/>
  <c r="Z705" i="3"/>
  <c r="O705" i="3"/>
  <c r="A705" i="3"/>
  <c r="Z704" i="3"/>
  <c r="O704" i="3"/>
  <c r="A704" i="3"/>
  <c r="Z703" i="3"/>
  <c r="O703" i="3"/>
  <c r="A703" i="3"/>
  <c r="Z702" i="3"/>
  <c r="O702" i="3"/>
  <c r="A702" i="3"/>
  <c r="Z701" i="3"/>
  <c r="O701" i="3"/>
  <c r="A701" i="3"/>
  <c r="Z700" i="3"/>
  <c r="O700" i="3"/>
  <c r="A700" i="3"/>
  <c r="Z699" i="3"/>
  <c r="O699" i="3"/>
  <c r="A699" i="3"/>
  <c r="Z698" i="3"/>
  <c r="O698" i="3"/>
  <c r="A698" i="3"/>
  <c r="Z697" i="3"/>
  <c r="O697" i="3"/>
  <c r="A697" i="3"/>
  <c r="Z696" i="3"/>
  <c r="O696" i="3"/>
  <c r="A696" i="3"/>
  <c r="Z695" i="3"/>
  <c r="O695" i="3"/>
  <c r="A695" i="3"/>
  <c r="Z694" i="3"/>
  <c r="O694" i="3"/>
  <c r="A694" i="3"/>
  <c r="Z693" i="3"/>
  <c r="O693" i="3"/>
  <c r="A693" i="3"/>
  <c r="Z692" i="3"/>
  <c r="O692" i="3"/>
  <c r="A692" i="3"/>
  <c r="Z691" i="3"/>
  <c r="O691" i="3"/>
  <c r="A691" i="3"/>
  <c r="Z690" i="3"/>
  <c r="O690" i="3"/>
  <c r="A690" i="3"/>
  <c r="Z689" i="3"/>
  <c r="O689" i="3"/>
  <c r="A689" i="3"/>
  <c r="Z688" i="3"/>
  <c r="O688" i="3"/>
  <c r="A688" i="3"/>
  <c r="Z687" i="3"/>
  <c r="O687" i="3"/>
  <c r="A687" i="3"/>
  <c r="Z686" i="3"/>
  <c r="O686" i="3"/>
  <c r="A686" i="3"/>
  <c r="Z685" i="3"/>
  <c r="O685" i="3"/>
  <c r="A685" i="3"/>
  <c r="Z684" i="3"/>
  <c r="O684" i="3"/>
  <c r="A684" i="3"/>
  <c r="Z683" i="3"/>
  <c r="O683" i="3"/>
  <c r="A683" i="3"/>
  <c r="Z682" i="3"/>
  <c r="O682" i="3"/>
  <c r="A682" i="3"/>
  <c r="Z681" i="3"/>
  <c r="O681" i="3"/>
  <c r="A681" i="3"/>
  <c r="AC680" i="3"/>
  <c r="Z680" i="3"/>
  <c r="O680" i="3"/>
  <c r="A680" i="3"/>
  <c r="Z679" i="3"/>
  <c r="O679" i="3"/>
  <c r="A679" i="3"/>
  <c r="Z678" i="3"/>
  <c r="O678" i="3"/>
  <c r="A678" i="3"/>
  <c r="Z677" i="3"/>
  <c r="O677" i="3"/>
  <c r="A677" i="3"/>
  <c r="Z676" i="3"/>
  <c r="O676" i="3"/>
  <c r="A676" i="3"/>
  <c r="Z675" i="3"/>
  <c r="O675" i="3"/>
  <c r="A675" i="3"/>
  <c r="Z674" i="3"/>
  <c r="O674" i="3"/>
  <c r="A674" i="3"/>
  <c r="Z673" i="3"/>
  <c r="O673" i="3"/>
  <c r="A673" i="3"/>
  <c r="Z672" i="3"/>
  <c r="O672" i="3"/>
  <c r="A672" i="3"/>
  <c r="Z671" i="3"/>
  <c r="O671" i="3"/>
  <c r="A671" i="3"/>
  <c r="Z670" i="3"/>
  <c r="O670" i="3"/>
  <c r="A670" i="3"/>
  <c r="Z669" i="3"/>
  <c r="O669" i="3"/>
  <c r="A669" i="3"/>
  <c r="Z668" i="3"/>
  <c r="O668" i="3"/>
  <c r="A668" i="3"/>
  <c r="Z667" i="3"/>
  <c r="O667" i="3"/>
  <c r="A667" i="3"/>
  <c r="Z666" i="3"/>
  <c r="O666" i="3"/>
  <c r="A666" i="3"/>
  <c r="Z665" i="3"/>
  <c r="O665" i="3"/>
  <c r="A665" i="3"/>
  <c r="Z664" i="3"/>
  <c r="O664" i="3"/>
  <c r="A664" i="3"/>
  <c r="Z663" i="3"/>
  <c r="O663" i="3"/>
  <c r="A663" i="3"/>
  <c r="Z662" i="3"/>
  <c r="O662" i="3"/>
  <c r="A662" i="3"/>
  <c r="Z661" i="3"/>
  <c r="O661" i="3"/>
  <c r="A661" i="3"/>
  <c r="Z660" i="3"/>
  <c r="O660" i="3"/>
  <c r="A660" i="3"/>
  <c r="Z659" i="3"/>
  <c r="O659" i="3"/>
  <c r="A659" i="3"/>
  <c r="Z658" i="3"/>
  <c r="O658" i="3"/>
  <c r="A658" i="3"/>
  <c r="Z657" i="3"/>
  <c r="O657" i="3"/>
  <c r="A657" i="3"/>
  <c r="Z656" i="3"/>
  <c r="O656" i="3"/>
  <c r="A656" i="3"/>
  <c r="Z655" i="3"/>
  <c r="O655" i="3"/>
  <c r="A655" i="3"/>
  <c r="Z654" i="3"/>
  <c r="O654" i="3"/>
  <c r="A654" i="3"/>
  <c r="AC653" i="3"/>
  <c r="Z653" i="3"/>
  <c r="O653" i="3"/>
  <c r="A653" i="3"/>
  <c r="Z652" i="3"/>
  <c r="O652" i="3"/>
  <c r="A652" i="3"/>
  <c r="Z651" i="3"/>
  <c r="O651" i="3"/>
  <c r="A651" i="3"/>
  <c r="Z650" i="3"/>
  <c r="O650" i="3"/>
  <c r="A650" i="3"/>
  <c r="Z649" i="3"/>
  <c r="O649" i="3"/>
  <c r="A649" i="3"/>
  <c r="Z648" i="3"/>
  <c r="O648" i="3"/>
  <c r="A648" i="3"/>
  <c r="Z647" i="3"/>
  <c r="O647" i="3"/>
  <c r="A647" i="3"/>
  <c r="Z646" i="3"/>
  <c r="O646" i="3"/>
  <c r="A646" i="3"/>
  <c r="Z645" i="3"/>
  <c r="O645" i="3"/>
  <c r="A645" i="3"/>
  <c r="Z644" i="3"/>
  <c r="O644" i="3"/>
  <c r="A644" i="3"/>
  <c r="Z643" i="3"/>
  <c r="O643" i="3"/>
  <c r="A643" i="3"/>
  <c r="Z642" i="3"/>
  <c r="O642" i="3"/>
  <c r="A642" i="3"/>
  <c r="Z641" i="3"/>
  <c r="O641" i="3"/>
  <c r="A641" i="3"/>
  <c r="Z640" i="3"/>
  <c r="O640" i="3"/>
  <c r="A640" i="3"/>
  <c r="Z639" i="3"/>
  <c r="O639" i="3"/>
  <c r="A639" i="3"/>
  <c r="Z638" i="3"/>
  <c r="O638" i="3"/>
  <c r="A638" i="3"/>
  <c r="Z637" i="3"/>
  <c r="O637" i="3"/>
  <c r="A637" i="3"/>
  <c r="Z636" i="3"/>
  <c r="O636" i="3"/>
  <c r="A636" i="3"/>
  <c r="Z635" i="3"/>
  <c r="O635" i="3"/>
  <c r="A635" i="3"/>
  <c r="Z634" i="3"/>
  <c r="O634" i="3"/>
  <c r="A634" i="3"/>
  <c r="Z633" i="3"/>
  <c r="O633" i="3"/>
  <c r="A633" i="3"/>
  <c r="Z632" i="3"/>
  <c r="O632" i="3"/>
  <c r="A632" i="3"/>
  <c r="Z631" i="3"/>
  <c r="O631" i="3"/>
  <c r="A631" i="3"/>
  <c r="Z630" i="3"/>
  <c r="O630" i="3"/>
  <c r="A630" i="3"/>
  <c r="Z629" i="3"/>
  <c r="O629" i="3"/>
  <c r="A629" i="3"/>
  <c r="Z628" i="3"/>
  <c r="O628" i="3"/>
  <c r="A628" i="3"/>
  <c r="Z627" i="3"/>
  <c r="O627" i="3"/>
  <c r="A627" i="3"/>
  <c r="AC626" i="3"/>
  <c r="Z626" i="3"/>
  <c r="O626" i="3"/>
  <c r="A626" i="3"/>
  <c r="Z625" i="3"/>
  <c r="O625" i="3"/>
  <c r="A625" i="3"/>
  <c r="Z624" i="3"/>
  <c r="O624" i="3"/>
  <c r="A624" i="3"/>
  <c r="Z623" i="3"/>
  <c r="O623" i="3"/>
  <c r="A623" i="3"/>
  <c r="Z622" i="3"/>
  <c r="O622" i="3"/>
  <c r="A622" i="3"/>
  <c r="Z621" i="3"/>
  <c r="O621" i="3"/>
  <c r="A621" i="3"/>
  <c r="Z620" i="3"/>
  <c r="O620" i="3"/>
  <c r="A620" i="3"/>
  <c r="Z619" i="3"/>
  <c r="O619" i="3"/>
  <c r="A619" i="3"/>
  <c r="Z618" i="3"/>
  <c r="O618" i="3"/>
  <c r="A618" i="3"/>
  <c r="Z617" i="3"/>
  <c r="O617" i="3"/>
  <c r="A617" i="3"/>
  <c r="Z616" i="3"/>
  <c r="O616" i="3"/>
  <c r="A616" i="3"/>
  <c r="Z615" i="3"/>
  <c r="O615" i="3"/>
  <c r="A615" i="3"/>
  <c r="Z614" i="3"/>
  <c r="O614" i="3"/>
  <c r="A614" i="3"/>
  <c r="Z613" i="3"/>
  <c r="O613" i="3"/>
  <c r="A613" i="3"/>
  <c r="Z612" i="3"/>
  <c r="O612" i="3"/>
  <c r="A612" i="3"/>
  <c r="Z611" i="3"/>
  <c r="O611" i="3"/>
  <c r="A611" i="3"/>
  <c r="Z610" i="3"/>
  <c r="O610" i="3"/>
  <c r="A610" i="3"/>
  <c r="Z609" i="3"/>
  <c r="O609" i="3"/>
  <c r="A609" i="3"/>
  <c r="Z608" i="3"/>
  <c r="O608" i="3"/>
  <c r="A608" i="3"/>
  <c r="Z607" i="3"/>
  <c r="O607" i="3"/>
  <c r="A607" i="3"/>
  <c r="Z606" i="3"/>
  <c r="O606" i="3"/>
  <c r="A606" i="3"/>
  <c r="Z605" i="3"/>
  <c r="O605" i="3"/>
  <c r="A605" i="3"/>
  <c r="Z604" i="3"/>
  <c r="O604" i="3"/>
  <c r="A604" i="3"/>
  <c r="Z603" i="3"/>
  <c r="O603" i="3"/>
  <c r="A603" i="3"/>
  <c r="Z602" i="3"/>
  <c r="O602" i="3"/>
  <c r="A602" i="3"/>
  <c r="Z601" i="3"/>
  <c r="O601" i="3"/>
  <c r="A601" i="3"/>
  <c r="AC600" i="3"/>
  <c r="Z600" i="3"/>
  <c r="O600" i="3"/>
  <c r="A600" i="3"/>
  <c r="Z599" i="3"/>
  <c r="O599" i="3"/>
  <c r="A599" i="3"/>
  <c r="Z598" i="3"/>
  <c r="O598" i="3"/>
  <c r="A598" i="3"/>
  <c r="Z597" i="3"/>
  <c r="O597" i="3"/>
  <c r="A597" i="3"/>
  <c r="Z596" i="3"/>
  <c r="O596" i="3"/>
  <c r="A596" i="3"/>
  <c r="Z595" i="3"/>
  <c r="O595" i="3"/>
  <c r="A595" i="3"/>
  <c r="Z594" i="3"/>
  <c r="O594" i="3"/>
  <c r="A594" i="3"/>
  <c r="AC593" i="3"/>
  <c r="Z593" i="3"/>
  <c r="O593" i="3"/>
  <c r="A593" i="3"/>
  <c r="Z592" i="3"/>
  <c r="O592" i="3"/>
  <c r="A592" i="3"/>
  <c r="Z591" i="3"/>
  <c r="O591" i="3"/>
  <c r="A591" i="3"/>
  <c r="Z590" i="3"/>
  <c r="O590" i="3"/>
  <c r="A590" i="3"/>
  <c r="Z589" i="3"/>
  <c r="O589" i="3"/>
  <c r="A589" i="3"/>
  <c r="Z588" i="3"/>
  <c r="O588" i="3"/>
  <c r="A588" i="3"/>
  <c r="Z587" i="3"/>
  <c r="O587" i="3"/>
  <c r="A587" i="3"/>
  <c r="AC586" i="3"/>
  <c r="Z586" i="3"/>
  <c r="O586" i="3"/>
  <c r="A586" i="3"/>
  <c r="Z585" i="3"/>
  <c r="O585" i="3"/>
  <c r="A585" i="3"/>
  <c r="Z584" i="3"/>
  <c r="O584" i="3"/>
  <c r="A584" i="3"/>
  <c r="Z583" i="3"/>
  <c r="O583" i="3"/>
  <c r="A583" i="3"/>
  <c r="Z582" i="3"/>
  <c r="O582" i="3"/>
  <c r="A582" i="3"/>
  <c r="Z581" i="3"/>
  <c r="O581" i="3"/>
  <c r="A581" i="3"/>
  <c r="Z580" i="3"/>
  <c r="O580" i="3"/>
  <c r="A580" i="3"/>
  <c r="AC579" i="3"/>
  <c r="Z579" i="3"/>
  <c r="O579" i="3"/>
  <c r="A579" i="3"/>
  <c r="Z578" i="3"/>
  <c r="O578" i="3"/>
  <c r="A578" i="3"/>
  <c r="Z577" i="3"/>
  <c r="O577" i="3"/>
  <c r="A577" i="3"/>
  <c r="Z576" i="3"/>
  <c r="O576" i="3"/>
  <c r="A576" i="3"/>
  <c r="Z575" i="3"/>
  <c r="O575" i="3"/>
  <c r="A575" i="3"/>
  <c r="Z574" i="3"/>
  <c r="O574" i="3"/>
  <c r="A574" i="3"/>
  <c r="Z573" i="3"/>
  <c r="O573" i="3"/>
  <c r="A573" i="3"/>
  <c r="AC572" i="3"/>
  <c r="Z572" i="3"/>
  <c r="O572" i="3"/>
  <c r="A572" i="3"/>
  <c r="Z571" i="3"/>
  <c r="O571" i="3"/>
  <c r="A571" i="3"/>
  <c r="Z570" i="3"/>
  <c r="O570" i="3"/>
  <c r="A570" i="3"/>
  <c r="Z569" i="3"/>
  <c r="O569" i="3"/>
  <c r="A569" i="3"/>
  <c r="Z568" i="3"/>
  <c r="O568" i="3"/>
  <c r="A568" i="3"/>
  <c r="Z567" i="3"/>
  <c r="O567" i="3"/>
  <c r="A567" i="3"/>
  <c r="Z566" i="3"/>
  <c r="O566" i="3"/>
  <c r="A566" i="3"/>
  <c r="AC565" i="3"/>
  <c r="Z565" i="3"/>
  <c r="O565" i="3"/>
  <c r="A565" i="3"/>
  <c r="Z564" i="3"/>
  <c r="O564" i="3"/>
  <c r="A564" i="3"/>
  <c r="Z563" i="3"/>
  <c r="O563" i="3"/>
  <c r="A563" i="3"/>
  <c r="Z562" i="3"/>
  <c r="O562" i="3"/>
  <c r="A562" i="3"/>
  <c r="Z561" i="3"/>
  <c r="O561" i="3"/>
  <c r="A561" i="3"/>
  <c r="Z560" i="3"/>
  <c r="O560" i="3"/>
  <c r="A560" i="3"/>
  <c r="Z559" i="3"/>
  <c r="O559" i="3"/>
  <c r="A559" i="3"/>
  <c r="AC558" i="3"/>
  <c r="Z558" i="3"/>
  <c r="O558" i="3"/>
  <c r="A558" i="3"/>
  <c r="Z557" i="3"/>
  <c r="O557" i="3"/>
  <c r="A557" i="3"/>
  <c r="Z556" i="3"/>
  <c r="O556" i="3"/>
  <c r="A556" i="3"/>
  <c r="Z555" i="3"/>
  <c r="O555" i="3"/>
  <c r="A555" i="3"/>
  <c r="Z554" i="3"/>
  <c r="O554" i="3"/>
  <c r="A554" i="3"/>
  <c r="Z553" i="3"/>
  <c r="O553" i="3"/>
  <c r="A553" i="3"/>
  <c r="Z552" i="3"/>
  <c r="O552" i="3"/>
  <c r="A552" i="3"/>
  <c r="AC551" i="3"/>
  <c r="Z551" i="3"/>
  <c r="O551" i="3"/>
  <c r="A551" i="3"/>
  <c r="Z550" i="3"/>
  <c r="O550" i="3"/>
  <c r="A550" i="3"/>
  <c r="Z549" i="3"/>
  <c r="O549" i="3"/>
  <c r="A549" i="3"/>
  <c r="Z548" i="3"/>
  <c r="O548" i="3"/>
  <c r="A548" i="3"/>
  <c r="Z547" i="3"/>
  <c r="O547" i="3"/>
  <c r="A547" i="3"/>
  <c r="Z546" i="3"/>
  <c r="O546" i="3"/>
  <c r="A546" i="3"/>
  <c r="Z545" i="3"/>
  <c r="O545" i="3"/>
  <c r="A545" i="3"/>
  <c r="AC544" i="3"/>
  <c r="Z544" i="3"/>
  <c r="O544" i="3"/>
  <c r="A544" i="3"/>
  <c r="Z543" i="3"/>
  <c r="O543" i="3"/>
  <c r="A543" i="3"/>
  <c r="Z542" i="3"/>
  <c r="O542" i="3"/>
  <c r="A542" i="3"/>
  <c r="Z541" i="3"/>
  <c r="O541" i="3"/>
  <c r="A541" i="3"/>
  <c r="Z540" i="3"/>
  <c r="O540" i="3"/>
  <c r="A540" i="3"/>
  <c r="Z539" i="3"/>
  <c r="O539" i="3"/>
  <c r="A539" i="3"/>
  <c r="Z538" i="3"/>
  <c r="O538" i="3"/>
  <c r="A538" i="3"/>
  <c r="AC537" i="3"/>
  <c r="Z537" i="3"/>
  <c r="O537" i="3"/>
  <c r="A537" i="3"/>
  <c r="Z536" i="3"/>
  <c r="O536" i="3"/>
  <c r="A536" i="3"/>
  <c r="Z535" i="3"/>
  <c r="O535" i="3"/>
  <c r="A535" i="3"/>
  <c r="Z534" i="3"/>
  <c r="O534" i="3"/>
  <c r="A534" i="3"/>
  <c r="Z533" i="3"/>
  <c r="O533" i="3"/>
  <c r="A533" i="3"/>
  <c r="Z532" i="3"/>
  <c r="O532" i="3"/>
  <c r="A532" i="3"/>
  <c r="Z531" i="3"/>
  <c r="O531" i="3"/>
  <c r="A531" i="3"/>
  <c r="AC530" i="3"/>
  <c r="Z530" i="3"/>
  <c r="O530" i="3"/>
  <c r="A530" i="3"/>
  <c r="Z529" i="3"/>
  <c r="O529" i="3"/>
  <c r="A529" i="3"/>
  <c r="Z528" i="3"/>
  <c r="O528" i="3"/>
  <c r="A528" i="3"/>
  <c r="AC527" i="3"/>
  <c r="Z527" i="3"/>
  <c r="O527" i="3"/>
  <c r="A527" i="3"/>
  <c r="Z526" i="3"/>
  <c r="O526" i="3"/>
  <c r="A526" i="3"/>
  <c r="Z525" i="3"/>
  <c r="O525" i="3"/>
  <c r="A525" i="3"/>
  <c r="Z524" i="3"/>
  <c r="O524" i="3"/>
  <c r="A524" i="3"/>
  <c r="Z523" i="3"/>
  <c r="O523" i="3"/>
  <c r="A523" i="3"/>
  <c r="Z522" i="3"/>
  <c r="O522" i="3"/>
  <c r="A522" i="3"/>
  <c r="Z521" i="3"/>
  <c r="O521" i="3"/>
  <c r="A521" i="3"/>
  <c r="Z520" i="3"/>
  <c r="O520" i="3"/>
  <c r="A520" i="3"/>
  <c r="Z519" i="3"/>
  <c r="O519" i="3"/>
  <c r="A519" i="3"/>
  <c r="Z518" i="3"/>
  <c r="O518" i="3"/>
  <c r="A518" i="3"/>
  <c r="Z517" i="3"/>
  <c r="O517" i="3"/>
  <c r="A517" i="3"/>
  <c r="Z516" i="3"/>
  <c r="O516" i="3"/>
  <c r="A516" i="3"/>
  <c r="Z515" i="3"/>
  <c r="O515" i="3"/>
  <c r="A515" i="3"/>
  <c r="Z514" i="3"/>
  <c r="O514" i="3"/>
  <c r="A514" i="3"/>
  <c r="Z513" i="3"/>
  <c r="O513" i="3"/>
  <c r="A513" i="3"/>
  <c r="Z512" i="3"/>
  <c r="O512" i="3"/>
  <c r="A512" i="3"/>
  <c r="Z511" i="3"/>
  <c r="O511" i="3"/>
  <c r="A511" i="3"/>
  <c r="Z510" i="3"/>
  <c r="O510" i="3"/>
  <c r="A510" i="3"/>
  <c r="Z509" i="3"/>
  <c r="O509" i="3"/>
  <c r="A509" i="3"/>
  <c r="Z508" i="3"/>
  <c r="O508" i="3"/>
  <c r="A508" i="3"/>
  <c r="Z507" i="3"/>
  <c r="O507" i="3"/>
  <c r="A507" i="3"/>
  <c r="Z506" i="3"/>
  <c r="O506" i="3"/>
  <c r="A506" i="3"/>
  <c r="AC505" i="3"/>
  <c r="Z505" i="3"/>
  <c r="O505" i="3"/>
  <c r="A505" i="3"/>
  <c r="Z504" i="3"/>
  <c r="O504" i="3"/>
  <c r="A504" i="3"/>
  <c r="Z503" i="3"/>
  <c r="O503" i="3"/>
  <c r="A503" i="3"/>
  <c r="Z502" i="3"/>
  <c r="O502" i="3"/>
  <c r="A502" i="3"/>
  <c r="Z501" i="3"/>
  <c r="O501" i="3"/>
  <c r="A501" i="3"/>
  <c r="Z500" i="3"/>
  <c r="O500" i="3"/>
  <c r="A500" i="3"/>
  <c r="Z499" i="3"/>
  <c r="O499" i="3"/>
  <c r="A499" i="3"/>
  <c r="Z498" i="3"/>
  <c r="O498" i="3"/>
  <c r="A498" i="3"/>
  <c r="Z497" i="3"/>
  <c r="O497" i="3"/>
  <c r="A497" i="3"/>
  <c r="Z496" i="3"/>
  <c r="O496" i="3"/>
  <c r="A496" i="3"/>
  <c r="Z495" i="3"/>
  <c r="O495" i="3"/>
  <c r="A495" i="3"/>
  <c r="Z494" i="3"/>
  <c r="O494" i="3"/>
  <c r="A494" i="3"/>
  <c r="Z493" i="3"/>
  <c r="O493" i="3"/>
  <c r="A493" i="3"/>
  <c r="Z492" i="3"/>
  <c r="O492" i="3"/>
  <c r="A492" i="3"/>
  <c r="Z491" i="3"/>
  <c r="O491" i="3"/>
  <c r="A491" i="3"/>
  <c r="Z490" i="3"/>
  <c r="O490" i="3"/>
  <c r="A490" i="3"/>
  <c r="Z489" i="3"/>
  <c r="O489" i="3"/>
  <c r="A489" i="3"/>
  <c r="Z488" i="3"/>
  <c r="O488" i="3"/>
  <c r="A488" i="3"/>
  <c r="Z487" i="3"/>
  <c r="O487" i="3"/>
  <c r="A487" i="3"/>
  <c r="Z486" i="3"/>
  <c r="O486" i="3"/>
  <c r="A486" i="3"/>
  <c r="Z485" i="3"/>
  <c r="O485" i="3"/>
  <c r="A485" i="3"/>
  <c r="Z484" i="3"/>
  <c r="O484" i="3"/>
  <c r="A484" i="3"/>
  <c r="Z483" i="3"/>
  <c r="O483" i="3"/>
  <c r="A483" i="3"/>
  <c r="Z482" i="3"/>
  <c r="O482" i="3"/>
  <c r="A482" i="3"/>
  <c r="Z481" i="3"/>
  <c r="O481" i="3"/>
  <c r="A481" i="3"/>
  <c r="Z480" i="3"/>
  <c r="O480" i="3"/>
  <c r="A480" i="3"/>
  <c r="Z479" i="3"/>
  <c r="O479" i="3"/>
  <c r="A479" i="3"/>
  <c r="Z478" i="3"/>
  <c r="O478" i="3"/>
  <c r="A478" i="3"/>
  <c r="Z477" i="3"/>
  <c r="O477" i="3"/>
  <c r="A477" i="3"/>
  <c r="AC476" i="3"/>
  <c r="Z476" i="3"/>
  <c r="O476" i="3"/>
  <c r="A476" i="3"/>
  <c r="Z475" i="3"/>
  <c r="O475" i="3"/>
  <c r="A475" i="3"/>
  <c r="Z474" i="3"/>
  <c r="O474" i="3"/>
  <c r="A474" i="3"/>
  <c r="Z473" i="3"/>
  <c r="O473" i="3"/>
  <c r="A473" i="3"/>
  <c r="Z472" i="3"/>
  <c r="O472" i="3"/>
  <c r="A472" i="3"/>
  <c r="Z471" i="3"/>
  <c r="O471" i="3"/>
  <c r="A471" i="3"/>
  <c r="Z470" i="3"/>
  <c r="O470" i="3"/>
  <c r="A470" i="3"/>
  <c r="Z469" i="3"/>
  <c r="O469" i="3"/>
  <c r="A469" i="3"/>
  <c r="Z468" i="3"/>
  <c r="O468" i="3"/>
  <c r="A468" i="3"/>
  <c r="Z467" i="3"/>
  <c r="O467" i="3"/>
  <c r="A467" i="3"/>
  <c r="Z466" i="3"/>
  <c r="O466" i="3"/>
  <c r="A466" i="3"/>
  <c r="Z465" i="3"/>
  <c r="O465" i="3"/>
  <c r="A465" i="3"/>
  <c r="Z464" i="3"/>
  <c r="O464" i="3"/>
  <c r="A464" i="3"/>
  <c r="Z463" i="3"/>
  <c r="O463" i="3"/>
  <c r="A463" i="3"/>
  <c r="Z462" i="3"/>
  <c r="O462" i="3"/>
  <c r="A462" i="3"/>
  <c r="Z461" i="3"/>
  <c r="O461" i="3"/>
  <c r="A461" i="3"/>
  <c r="Z460" i="3"/>
  <c r="O460" i="3"/>
  <c r="A460" i="3"/>
  <c r="Z459" i="3"/>
  <c r="O459" i="3"/>
  <c r="A459" i="3"/>
  <c r="Z458" i="3"/>
  <c r="O458" i="3"/>
  <c r="A458" i="3"/>
  <c r="Z457" i="3"/>
  <c r="O457" i="3"/>
  <c r="A457" i="3"/>
  <c r="Z456" i="3"/>
  <c r="O456" i="3"/>
  <c r="A456" i="3"/>
  <c r="Z455" i="3"/>
  <c r="O455" i="3"/>
  <c r="A455" i="3"/>
  <c r="Z454" i="3"/>
  <c r="O454" i="3"/>
  <c r="A454" i="3"/>
  <c r="Z453" i="3"/>
  <c r="O453" i="3"/>
  <c r="A453" i="3"/>
  <c r="Z452" i="3"/>
  <c r="O452" i="3"/>
  <c r="A452" i="3"/>
  <c r="Z451" i="3"/>
  <c r="O451" i="3"/>
  <c r="A451" i="3"/>
  <c r="Z450" i="3"/>
  <c r="O450" i="3"/>
  <c r="A450" i="3"/>
  <c r="Z449" i="3"/>
  <c r="O449" i="3"/>
  <c r="A449" i="3"/>
  <c r="Z448" i="3"/>
  <c r="O448" i="3"/>
  <c r="A448" i="3"/>
  <c r="AC447" i="3"/>
  <c r="Z447" i="3"/>
  <c r="O447" i="3"/>
  <c r="A447" i="3"/>
  <c r="Z446" i="3"/>
  <c r="O446" i="3"/>
  <c r="A446" i="3"/>
  <c r="Z445" i="3"/>
  <c r="O445" i="3"/>
  <c r="A445" i="3"/>
  <c r="Z444" i="3"/>
  <c r="O444" i="3"/>
  <c r="A444" i="3"/>
  <c r="Z443" i="3"/>
  <c r="O443" i="3"/>
  <c r="A443" i="3"/>
  <c r="Z442" i="3"/>
  <c r="O442" i="3"/>
  <c r="A442" i="3"/>
  <c r="Z441" i="3"/>
  <c r="O441" i="3"/>
  <c r="A441" i="3"/>
  <c r="Z440" i="3"/>
  <c r="O440" i="3"/>
  <c r="A440" i="3"/>
  <c r="Z439" i="3"/>
  <c r="O439" i="3"/>
  <c r="A439" i="3"/>
  <c r="Z438" i="3"/>
  <c r="O438" i="3"/>
  <c r="A438" i="3"/>
  <c r="Z437" i="3"/>
  <c r="O437" i="3"/>
  <c r="A437" i="3"/>
  <c r="Z436" i="3"/>
  <c r="O436" i="3"/>
  <c r="A436" i="3"/>
  <c r="Z435" i="3"/>
  <c r="O435" i="3"/>
  <c r="A435" i="3"/>
  <c r="Z434" i="3"/>
  <c r="O434" i="3"/>
  <c r="A434" i="3"/>
  <c r="Z433" i="3"/>
  <c r="O433" i="3"/>
  <c r="A433" i="3"/>
  <c r="Z432" i="3"/>
  <c r="O432" i="3"/>
  <c r="A432" i="3"/>
  <c r="Z431" i="3"/>
  <c r="O431" i="3"/>
  <c r="A431" i="3"/>
  <c r="Z430" i="3"/>
  <c r="O430" i="3"/>
  <c r="A430" i="3"/>
  <c r="Z429" i="3"/>
  <c r="O429" i="3"/>
  <c r="A429" i="3"/>
  <c r="Z428" i="3"/>
  <c r="O428" i="3"/>
  <c r="A428" i="3"/>
  <c r="Z427" i="3"/>
  <c r="O427" i="3"/>
  <c r="A427" i="3"/>
  <c r="Z426" i="3"/>
  <c r="O426" i="3"/>
  <c r="A426" i="3"/>
  <c r="Z425" i="3"/>
  <c r="O425" i="3"/>
  <c r="A425" i="3"/>
  <c r="Z424" i="3"/>
  <c r="O424" i="3"/>
  <c r="A424" i="3"/>
  <c r="Z423" i="3"/>
  <c r="O423" i="3"/>
  <c r="A423" i="3"/>
  <c r="Z422" i="3"/>
  <c r="O422" i="3"/>
  <c r="A422" i="3"/>
  <c r="Z421" i="3"/>
  <c r="O421" i="3"/>
  <c r="A421" i="3"/>
  <c r="Z420" i="3"/>
  <c r="O420" i="3"/>
  <c r="A420" i="3"/>
  <c r="AC419" i="3"/>
  <c r="Z419" i="3"/>
  <c r="O419" i="3"/>
  <c r="A419" i="3"/>
  <c r="Z418" i="3"/>
  <c r="O418" i="3"/>
  <c r="A418" i="3"/>
  <c r="Z417" i="3"/>
  <c r="O417" i="3"/>
  <c r="A417" i="3"/>
  <c r="Z416" i="3"/>
  <c r="O416" i="3"/>
  <c r="A416" i="3"/>
  <c r="Z415" i="3"/>
  <c r="O415" i="3"/>
  <c r="A415" i="3"/>
  <c r="Z414" i="3"/>
  <c r="O414" i="3"/>
  <c r="A414" i="3"/>
  <c r="Z413" i="3"/>
  <c r="O413" i="3"/>
  <c r="A413" i="3"/>
  <c r="Z412" i="3"/>
  <c r="O412" i="3"/>
  <c r="A412" i="3"/>
  <c r="Z411" i="3"/>
  <c r="O411" i="3"/>
  <c r="A411" i="3"/>
  <c r="Z410" i="3"/>
  <c r="O410" i="3"/>
  <c r="A410" i="3"/>
  <c r="Z409" i="3"/>
  <c r="O409" i="3"/>
  <c r="A409" i="3"/>
  <c r="Z408" i="3"/>
  <c r="O408" i="3"/>
  <c r="A408" i="3"/>
  <c r="Z407" i="3"/>
  <c r="O407" i="3"/>
  <c r="A407" i="3"/>
  <c r="Z406" i="3"/>
  <c r="O406" i="3"/>
  <c r="A406" i="3"/>
  <c r="Z405" i="3"/>
  <c r="O405" i="3"/>
  <c r="A405" i="3"/>
  <c r="Z404" i="3"/>
  <c r="O404" i="3"/>
  <c r="A404" i="3"/>
  <c r="Z403" i="3"/>
  <c r="O403" i="3"/>
  <c r="A403" i="3"/>
  <c r="Z402" i="3"/>
  <c r="O402" i="3"/>
  <c r="A402" i="3"/>
  <c r="Z401" i="3"/>
  <c r="O401" i="3"/>
  <c r="A401" i="3"/>
  <c r="Z400" i="3"/>
  <c r="O400" i="3"/>
  <c r="A400" i="3"/>
  <c r="Z399" i="3"/>
  <c r="O399" i="3"/>
  <c r="A399" i="3"/>
  <c r="Z398" i="3"/>
  <c r="O398" i="3"/>
  <c r="A398" i="3"/>
  <c r="Z397" i="3"/>
  <c r="O397" i="3"/>
  <c r="A397" i="3"/>
  <c r="Z396" i="3"/>
  <c r="O396" i="3"/>
  <c r="A396" i="3"/>
  <c r="Z395" i="3"/>
  <c r="O395" i="3"/>
  <c r="A395" i="3"/>
  <c r="Z394" i="3"/>
  <c r="O394" i="3"/>
  <c r="A394" i="3"/>
  <c r="Z393" i="3"/>
  <c r="O393" i="3"/>
  <c r="A393" i="3"/>
  <c r="Z392" i="3"/>
  <c r="O392" i="3"/>
  <c r="A392" i="3"/>
  <c r="Z391" i="3"/>
  <c r="O391" i="3"/>
  <c r="A391" i="3"/>
  <c r="AC390" i="3"/>
  <c r="Z390" i="3"/>
  <c r="O390" i="3"/>
  <c r="A390" i="3"/>
  <c r="Z389" i="3"/>
  <c r="O389" i="3"/>
  <c r="A389" i="3"/>
  <c r="Z388" i="3"/>
  <c r="O388" i="3"/>
  <c r="A388" i="3"/>
  <c r="Z387" i="3"/>
  <c r="O387" i="3"/>
  <c r="A387" i="3"/>
  <c r="Z386" i="3"/>
  <c r="O386" i="3"/>
  <c r="A386" i="3"/>
  <c r="Z385" i="3"/>
  <c r="O385" i="3"/>
  <c r="A385" i="3"/>
  <c r="Z384" i="3"/>
  <c r="O384" i="3"/>
  <c r="A384" i="3"/>
  <c r="Z383" i="3"/>
  <c r="O383" i="3"/>
  <c r="A383" i="3"/>
  <c r="Z382" i="3"/>
  <c r="O382" i="3"/>
  <c r="A382" i="3"/>
  <c r="Z381" i="3"/>
  <c r="O381" i="3"/>
  <c r="A381" i="3"/>
  <c r="Z380" i="3"/>
  <c r="O380" i="3"/>
  <c r="A380" i="3"/>
  <c r="Z379" i="3"/>
  <c r="O379" i="3"/>
  <c r="A379" i="3"/>
  <c r="Z378" i="3"/>
  <c r="O378" i="3"/>
  <c r="A378" i="3"/>
  <c r="Z377" i="3"/>
  <c r="O377" i="3"/>
  <c r="A377" i="3"/>
  <c r="Z376" i="3"/>
  <c r="O376" i="3"/>
  <c r="A376" i="3"/>
  <c r="Z375" i="3"/>
  <c r="O375" i="3"/>
  <c r="A375" i="3"/>
  <c r="Z374" i="3"/>
  <c r="O374" i="3"/>
  <c r="A374" i="3"/>
  <c r="Z373" i="3"/>
  <c r="O373" i="3"/>
  <c r="A373" i="3"/>
  <c r="Z372" i="3"/>
  <c r="O372" i="3"/>
  <c r="A372" i="3"/>
  <c r="Z371" i="3"/>
  <c r="O371" i="3"/>
  <c r="A371" i="3"/>
  <c r="Z370" i="3"/>
  <c r="O370" i="3"/>
  <c r="A370" i="3"/>
  <c r="Z369" i="3"/>
  <c r="O369" i="3"/>
  <c r="A369" i="3"/>
  <c r="Z368" i="3"/>
  <c r="O368" i="3"/>
  <c r="A368" i="3"/>
  <c r="Z367" i="3"/>
  <c r="O367" i="3"/>
  <c r="A367" i="3"/>
  <c r="Z366" i="3"/>
  <c r="O366" i="3"/>
  <c r="A366" i="3"/>
  <c r="Z365" i="3"/>
  <c r="O365" i="3"/>
  <c r="A365" i="3"/>
  <c r="Z364" i="3"/>
  <c r="O364" i="3"/>
  <c r="A364" i="3"/>
  <c r="Z363" i="3"/>
  <c r="O363" i="3"/>
  <c r="A363" i="3"/>
  <c r="AC362" i="3"/>
  <c r="Z362" i="3"/>
  <c r="O362" i="3"/>
  <c r="A362" i="3"/>
  <c r="Z361" i="3"/>
  <c r="O361" i="3"/>
  <c r="A361" i="3"/>
  <c r="Z360" i="3"/>
  <c r="O360" i="3"/>
  <c r="A360" i="3"/>
  <c r="Z359" i="3"/>
  <c r="O359" i="3"/>
  <c r="A359" i="3"/>
  <c r="Z358" i="3"/>
  <c r="O358" i="3"/>
  <c r="A358" i="3"/>
  <c r="Z357" i="3"/>
  <c r="O357" i="3"/>
  <c r="A357" i="3"/>
  <c r="Z356" i="3"/>
  <c r="O356" i="3"/>
  <c r="A356" i="3"/>
  <c r="Z355" i="3"/>
  <c r="O355" i="3"/>
  <c r="A355" i="3"/>
  <c r="Z354" i="3"/>
  <c r="O354" i="3"/>
  <c r="A354" i="3"/>
  <c r="Z353" i="3"/>
  <c r="O353" i="3"/>
  <c r="A353" i="3"/>
  <c r="Z352" i="3"/>
  <c r="O352" i="3"/>
  <c r="A352" i="3"/>
  <c r="Z351" i="3"/>
  <c r="O351" i="3"/>
  <c r="A351" i="3"/>
  <c r="Z350" i="3"/>
  <c r="O350" i="3"/>
  <c r="A350" i="3"/>
  <c r="Z349" i="3"/>
  <c r="O349" i="3"/>
  <c r="A349" i="3"/>
  <c r="Z348" i="3"/>
  <c r="O348" i="3"/>
  <c r="A348" i="3"/>
  <c r="Z347" i="3"/>
  <c r="O347" i="3"/>
  <c r="A347" i="3"/>
  <c r="Z346" i="3"/>
  <c r="O346" i="3"/>
  <c r="A346" i="3"/>
  <c r="Z345" i="3"/>
  <c r="O345" i="3"/>
  <c r="A345" i="3"/>
  <c r="Z344" i="3"/>
  <c r="O344" i="3"/>
  <c r="A344" i="3"/>
  <c r="Z343" i="3"/>
  <c r="O343" i="3"/>
  <c r="A343" i="3"/>
  <c r="Z342" i="3"/>
  <c r="O342" i="3"/>
  <c r="A342" i="3"/>
  <c r="Z341" i="3"/>
  <c r="O341" i="3"/>
  <c r="A341" i="3"/>
  <c r="Z340" i="3"/>
  <c r="O340" i="3"/>
  <c r="A340" i="3"/>
  <c r="Z339" i="3"/>
  <c r="O339" i="3"/>
  <c r="A339" i="3"/>
  <c r="Z338" i="3"/>
  <c r="O338" i="3"/>
  <c r="M338" i="3"/>
  <c r="A338" i="3"/>
  <c r="Z337" i="3"/>
  <c r="O337" i="3"/>
  <c r="M337" i="3"/>
  <c r="A337" i="3"/>
  <c r="Z336" i="3"/>
  <c r="O336" i="3"/>
  <c r="M336" i="3"/>
  <c r="A336" i="3"/>
  <c r="Z335" i="3"/>
  <c r="O335" i="3"/>
  <c r="M335" i="3"/>
  <c r="A335" i="3"/>
  <c r="Z334" i="3"/>
  <c r="O334" i="3"/>
  <c r="A334" i="3"/>
  <c r="Z333" i="3"/>
  <c r="O333" i="3"/>
  <c r="A333" i="3"/>
  <c r="Z332" i="3"/>
  <c r="O332" i="3"/>
  <c r="A332" i="3"/>
  <c r="Z331" i="3"/>
  <c r="O331" i="3"/>
  <c r="A331" i="3"/>
  <c r="Z330" i="3"/>
  <c r="O330" i="3"/>
  <c r="A330" i="3"/>
  <c r="Z329" i="3"/>
  <c r="O329" i="3"/>
  <c r="A329" i="3"/>
  <c r="Z328" i="3"/>
  <c r="O328" i="3"/>
  <c r="A328" i="3"/>
  <c r="AC327" i="3"/>
  <c r="Z327" i="3"/>
  <c r="O327" i="3"/>
  <c r="A327" i="3"/>
  <c r="Z326" i="3"/>
  <c r="O326" i="3"/>
  <c r="A326" i="3"/>
  <c r="Z325" i="3"/>
  <c r="O325" i="3"/>
  <c r="A325" i="3"/>
  <c r="Z324" i="3"/>
  <c r="O324" i="3"/>
  <c r="A324" i="3"/>
  <c r="Z323" i="3"/>
  <c r="O323" i="3"/>
  <c r="A323" i="3"/>
  <c r="Z322" i="3"/>
  <c r="O322" i="3"/>
  <c r="A322" i="3"/>
  <c r="Z321" i="3"/>
  <c r="O321" i="3"/>
  <c r="A321" i="3"/>
  <c r="Z320" i="3"/>
  <c r="O320" i="3"/>
  <c r="A320" i="3"/>
  <c r="Z319" i="3"/>
  <c r="O319" i="3"/>
  <c r="A319" i="3"/>
  <c r="Z318" i="3"/>
  <c r="O318" i="3"/>
  <c r="A318" i="3"/>
  <c r="Z317" i="3"/>
  <c r="O317" i="3"/>
  <c r="A317" i="3"/>
  <c r="Z316" i="3"/>
  <c r="O316" i="3"/>
  <c r="A316" i="3"/>
  <c r="Z315" i="3"/>
  <c r="O315" i="3"/>
  <c r="A315" i="3"/>
  <c r="Z314" i="3"/>
  <c r="O314" i="3"/>
  <c r="A314" i="3"/>
  <c r="Z313" i="3"/>
  <c r="O313" i="3"/>
  <c r="A313" i="3"/>
  <c r="Z312" i="3"/>
  <c r="U312" i="3"/>
  <c r="AC312" i="3" s="1"/>
  <c r="O312" i="3"/>
  <c r="A312" i="3"/>
  <c r="Z311" i="3"/>
  <c r="O311" i="3"/>
  <c r="A311" i="3"/>
  <c r="Z310" i="3"/>
  <c r="O310" i="3"/>
  <c r="A310" i="3"/>
  <c r="Z309" i="3"/>
  <c r="O309" i="3"/>
  <c r="A309" i="3"/>
  <c r="Z308" i="3"/>
  <c r="O308" i="3"/>
  <c r="A308" i="3"/>
  <c r="Z307" i="3"/>
  <c r="O307" i="3"/>
  <c r="A307" i="3"/>
  <c r="Z306" i="3"/>
  <c r="O306" i="3"/>
  <c r="A306" i="3"/>
  <c r="Z305" i="3"/>
  <c r="O305" i="3"/>
  <c r="A305" i="3"/>
  <c r="Z304" i="3"/>
  <c r="O304" i="3"/>
  <c r="A304" i="3"/>
  <c r="Z303" i="3"/>
  <c r="O303" i="3"/>
  <c r="A303" i="3"/>
  <c r="Z302" i="3"/>
  <c r="O302" i="3"/>
  <c r="A302" i="3"/>
  <c r="Z301" i="3"/>
  <c r="O301" i="3"/>
  <c r="A301" i="3"/>
  <c r="Z300" i="3"/>
  <c r="O300" i="3"/>
  <c r="A300" i="3"/>
  <c r="Z299" i="3"/>
  <c r="O299" i="3"/>
  <c r="A299" i="3"/>
  <c r="Z298" i="3"/>
  <c r="O298" i="3"/>
  <c r="A298" i="3"/>
  <c r="Z297" i="3"/>
  <c r="O297" i="3"/>
  <c r="A297" i="3"/>
  <c r="AC296" i="3"/>
  <c r="Z296" i="3"/>
  <c r="O296" i="3"/>
  <c r="A296" i="3"/>
  <c r="Z295" i="3"/>
  <c r="O295" i="3"/>
  <c r="A295" i="3"/>
  <c r="Z294" i="3"/>
  <c r="O294" i="3"/>
  <c r="A294" i="3"/>
  <c r="Z293" i="3"/>
  <c r="O293" i="3"/>
  <c r="A293" i="3"/>
  <c r="Z292" i="3"/>
  <c r="O292" i="3"/>
  <c r="A292" i="3"/>
  <c r="Z291" i="3"/>
  <c r="O291" i="3"/>
  <c r="A291" i="3"/>
  <c r="Z290" i="3"/>
  <c r="O290" i="3"/>
  <c r="A290" i="3"/>
  <c r="Z289" i="3"/>
  <c r="O289" i="3"/>
  <c r="A289" i="3"/>
  <c r="Z288" i="3"/>
  <c r="O288" i="3"/>
  <c r="A288" i="3"/>
  <c r="Z287" i="3"/>
  <c r="O287" i="3"/>
  <c r="A287" i="3"/>
  <c r="Z286" i="3"/>
  <c r="O286" i="3"/>
  <c r="A286" i="3"/>
  <c r="Z285" i="3"/>
  <c r="O285" i="3"/>
  <c r="A285" i="3"/>
  <c r="Z284" i="3"/>
  <c r="O284" i="3"/>
  <c r="A284" i="3"/>
  <c r="Z283" i="3"/>
  <c r="O283" i="3"/>
  <c r="A283" i="3"/>
  <c r="Z282" i="3"/>
  <c r="O282" i="3"/>
  <c r="A282" i="3"/>
  <c r="Z281" i="3"/>
  <c r="O281" i="3"/>
  <c r="A281" i="3"/>
  <c r="AC280" i="3"/>
  <c r="Z280" i="3"/>
  <c r="O280" i="3"/>
  <c r="A280" i="3"/>
  <c r="Z279" i="3"/>
  <c r="O279" i="3"/>
  <c r="A279" i="3"/>
  <c r="Z278" i="3"/>
  <c r="O278" i="3"/>
  <c r="A278" i="3"/>
  <c r="Z277" i="3"/>
  <c r="O277" i="3"/>
  <c r="A277" i="3"/>
  <c r="Z276" i="3"/>
  <c r="O276" i="3"/>
  <c r="A276" i="3"/>
  <c r="Z275" i="3"/>
  <c r="O275" i="3"/>
  <c r="A275" i="3"/>
  <c r="Z274" i="3"/>
  <c r="O274" i="3"/>
  <c r="A274" i="3"/>
  <c r="Z273" i="3"/>
  <c r="O273" i="3"/>
  <c r="A273" i="3"/>
  <c r="Z272" i="3"/>
  <c r="O272" i="3"/>
  <c r="A272" i="3"/>
  <c r="Z271" i="3"/>
  <c r="O271" i="3"/>
  <c r="A271" i="3"/>
  <c r="Z270" i="3"/>
  <c r="O270" i="3"/>
  <c r="A270" i="3"/>
  <c r="Z269" i="3"/>
  <c r="O269" i="3"/>
  <c r="A269" i="3"/>
  <c r="Z268" i="3"/>
  <c r="O268" i="3"/>
  <c r="A268" i="3"/>
  <c r="Z267" i="3"/>
  <c r="O267" i="3"/>
  <c r="A267" i="3"/>
  <c r="Z266" i="3"/>
  <c r="O266" i="3"/>
  <c r="A266" i="3"/>
  <c r="AC265" i="3"/>
  <c r="Z265" i="3"/>
  <c r="O265" i="3"/>
  <c r="A265" i="3"/>
  <c r="Z264" i="3"/>
  <c r="O264" i="3"/>
  <c r="A264" i="3"/>
  <c r="Z263" i="3"/>
  <c r="O263" i="3"/>
  <c r="A263" i="3"/>
  <c r="Z262" i="3"/>
  <c r="O262" i="3"/>
  <c r="A262" i="3"/>
  <c r="Z261" i="3"/>
  <c r="O261" i="3"/>
  <c r="A261" i="3"/>
  <c r="Z260" i="3"/>
  <c r="O260" i="3"/>
  <c r="A260" i="3"/>
  <c r="Z259" i="3"/>
  <c r="O259" i="3"/>
  <c r="A259" i="3"/>
  <c r="Z258" i="3"/>
  <c r="O258" i="3"/>
  <c r="A258" i="3"/>
  <c r="Z257" i="3"/>
  <c r="O257" i="3"/>
  <c r="A257" i="3"/>
  <c r="Z256" i="3"/>
  <c r="O256" i="3"/>
  <c r="A256" i="3"/>
  <c r="Z255" i="3"/>
  <c r="O255" i="3"/>
  <c r="A255" i="3"/>
  <c r="Z254" i="3"/>
  <c r="O254" i="3"/>
  <c r="A254" i="3"/>
  <c r="Z253" i="3"/>
  <c r="O253" i="3"/>
  <c r="A253" i="3"/>
  <c r="Z252" i="3"/>
  <c r="O252" i="3"/>
  <c r="A252" i="3"/>
  <c r="Z251" i="3"/>
  <c r="O251" i="3"/>
  <c r="A251" i="3"/>
  <c r="Z250" i="3"/>
  <c r="O250" i="3"/>
  <c r="A250" i="3"/>
  <c r="AC249" i="3"/>
  <c r="Z249" i="3"/>
  <c r="O249" i="3"/>
  <c r="A249" i="3"/>
  <c r="Z248" i="3"/>
  <c r="O248" i="3"/>
  <c r="A248" i="3"/>
  <c r="Z247" i="3"/>
  <c r="O247" i="3"/>
  <c r="A247" i="3"/>
  <c r="Z246" i="3"/>
  <c r="O246" i="3"/>
  <c r="A246" i="3"/>
  <c r="Z245" i="3"/>
  <c r="O245" i="3"/>
  <c r="A245" i="3"/>
  <c r="Z244" i="3"/>
  <c r="O244" i="3"/>
  <c r="A244" i="3"/>
  <c r="Z243" i="3"/>
  <c r="O243" i="3"/>
  <c r="A243" i="3"/>
  <c r="Z242" i="3"/>
  <c r="O242" i="3"/>
  <c r="A242" i="3"/>
  <c r="Z241" i="3"/>
  <c r="O241" i="3"/>
  <c r="A241" i="3"/>
  <c r="AC240" i="3"/>
  <c r="Z240" i="3"/>
  <c r="O240" i="3"/>
  <c r="A240" i="3"/>
  <c r="Z239" i="3"/>
  <c r="O239" i="3"/>
  <c r="M239" i="3"/>
  <c r="A239" i="3"/>
  <c r="Z238" i="3"/>
  <c r="O238" i="3"/>
  <c r="M238" i="3"/>
  <c r="A238" i="3"/>
  <c r="Z237" i="3"/>
  <c r="O237" i="3"/>
  <c r="M237" i="3"/>
  <c r="A237" i="3"/>
  <c r="Z236" i="3"/>
  <c r="O236" i="3"/>
  <c r="M236" i="3"/>
  <c r="A236" i="3"/>
  <c r="Z235" i="3"/>
  <c r="O235" i="3"/>
  <c r="M235" i="3"/>
  <c r="A235" i="3"/>
  <c r="Z234" i="3"/>
  <c r="O234" i="3"/>
  <c r="M234" i="3"/>
  <c r="A234" i="3"/>
  <c r="Z233" i="3"/>
  <c r="O233" i="3"/>
  <c r="M233" i="3"/>
  <c r="A233" i="3"/>
  <c r="Z232" i="3"/>
  <c r="O232" i="3"/>
  <c r="M232" i="3"/>
  <c r="A232" i="3"/>
  <c r="Z231" i="3"/>
  <c r="O231" i="3"/>
  <c r="M231" i="3"/>
  <c r="A231" i="3"/>
  <c r="Z230" i="3"/>
  <c r="O230" i="3"/>
  <c r="M230" i="3"/>
  <c r="A230" i="3"/>
  <c r="Z229" i="3"/>
  <c r="O229" i="3"/>
  <c r="M229" i="3"/>
  <c r="A229" i="3"/>
  <c r="Z228" i="3"/>
  <c r="O228" i="3"/>
  <c r="M228" i="3"/>
  <c r="A228" i="3"/>
  <c r="Z227" i="3"/>
  <c r="O227" i="3"/>
  <c r="M227" i="3"/>
  <c r="A227" i="3"/>
  <c r="Z226" i="3"/>
  <c r="O226" i="3"/>
  <c r="A226" i="3"/>
  <c r="Z225" i="3"/>
  <c r="O225" i="3"/>
  <c r="A225" i="3"/>
  <c r="Z224" i="3"/>
  <c r="O224" i="3"/>
  <c r="A224" i="3"/>
  <c r="Z223" i="3"/>
  <c r="O223" i="3"/>
  <c r="A223" i="3"/>
  <c r="Z222" i="3"/>
  <c r="O222" i="3"/>
  <c r="A222" i="3"/>
  <c r="Z221" i="3"/>
  <c r="O221" i="3"/>
  <c r="A221" i="3"/>
  <c r="Z220" i="3"/>
  <c r="O220" i="3"/>
  <c r="A220" i="3"/>
  <c r="Z219" i="3"/>
  <c r="O219" i="3"/>
  <c r="A219" i="3"/>
  <c r="Z218" i="3"/>
  <c r="O218" i="3"/>
  <c r="A218" i="3"/>
  <c r="Z217" i="3"/>
  <c r="O217" i="3"/>
  <c r="A217" i="3"/>
  <c r="Z216" i="3"/>
  <c r="O216" i="3"/>
  <c r="A216" i="3"/>
  <c r="Z215" i="3"/>
  <c r="O215" i="3"/>
  <c r="A215" i="3"/>
  <c r="Z214" i="3"/>
  <c r="O214" i="3"/>
  <c r="A214" i="3"/>
  <c r="Z213" i="3"/>
  <c r="O213" i="3"/>
  <c r="A213" i="3"/>
  <c r="Z212" i="3"/>
  <c r="O212" i="3"/>
  <c r="A212" i="3"/>
  <c r="Z211" i="3"/>
  <c r="O211" i="3"/>
  <c r="A211" i="3"/>
  <c r="Z210" i="3"/>
  <c r="O210" i="3"/>
  <c r="A210" i="3"/>
  <c r="Z209" i="3"/>
  <c r="O209" i="3"/>
  <c r="A209" i="3"/>
  <c r="Z208" i="3"/>
  <c r="O208" i="3"/>
  <c r="A208" i="3"/>
  <c r="Z207" i="3"/>
  <c r="O207" i="3"/>
  <c r="A207" i="3"/>
  <c r="Z206" i="3"/>
  <c r="O206" i="3"/>
  <c r="A206" i="3"/>
  <c r="Z205" i="3"/>
  <c r="O205" i="3"/>
  <c r="A205" i="3"/>
  <c r="Z204" i="3"/>
  <c r="O204" i="3"/>
  <c r="A204" i="3"/>
  <c r="Z203" i="3"/>
  <c r="O203" i="3"/>
  <c r="A203" i="3"/>
  <c r="Z202" i="3"/>
  <c r="O202" i="3"/>
  <c r="A202" i="3"/>
  <c r="Z201" i="3"/>
  <c r="O201" i="3"/>
  <c r="A201" i="3"/>
  <c r="Z200" i="3"/>
  <c r="O200" i="3"/>
  <c r="A200" i="3"/>
  <c r="Z199" i="3"/>
  <c r="O199" i="3"/>
  <c r="A199" i="3"/>
  <c r="Z198" i="3"/>
  <c r="O198" i="3"/>
  <c r="A198" i="3"/>
  <c r="Z197" i="3"/>
  <c r="O197" i="3"/>
  <c r="A197" i="3"/>
  <c r="AC196" i="3"/>
  <c r="Z196" i="3"/>
  <c r="O196" i="3"/>
  <c r="A196" i="3"/>
  <c r="Z195" i="3"/>
  <c r="O195" i="3"/>
  <c r="A195" i="3"/>
  <c r="Z194" i="3"/>
  <c r="O194" i="3"/>
  <c r="A194" i="3"/>
  <c r="Z193" i="3"/>
  <c r="O193" i="3"/>
  <c r="A193" i="3"/>
  <c r="Z192" i="3"/>
  <c r="O192" i="3"/>
  <c r="A192" i="3"/>
  <c r="Z191" i="3"/>
  <c r="O191" i="3"/>
  <c r="A191" i="3"/>
  <c r="Z190" i="3"/>
  <c r="O190" i="3"/>
  <c r="A190" i="3"/>
  <c r="Z189" i="3"/>
  <c r="O189" i="3"/>
  <c r="A189" i="3"/>
  <c r="Z188" i="3"/>
  <c r="O188" i="3"/>
  <c r="A188" i="3"/>
  <c r="Z187" i="3"/>
  <c r="O187" i="3"/>
  <c r="A187" i="3"/>
  <c r="Z186" i="3"/>
  <c r="O186" i="3"/>
  <c r="A186" i="3"/>
  <c r="Z185" i="3"/>
  <c r="O185" i="3"/>
  <c r="A185" i="3"/>
  <c r="Z184" i="3"/>
  <c r="O184" i="3"/>
  <c r="A184" i="3"/>
  <c r="Z183" i="3"/>
  <c r="O183" i="3"/>
  <c r="A183" i="3"/>
  <c r="Z182" i="3"/>
  <c r="O182" i="3"/>
  <c r="A182" i="3"/>
  <c r="Z181" i="3"/>
  <c r="O181" i="3"/>
  <c r="A181" i="3"/>
  <c r="Z180" i="3"/>
  <c r="O180" i="3"/>
  <c r="A180" i="3"/>
  <c r="Z179" i="3"/>
  <c r="O179" i="3"/>
  <c r="A179" i="3"/>
  <c r="Z178" i="3"/>
  <c r="O178" i="3"/>
  <c r="A178" i="3"/>
  <c r="Z177" i="3"/>
  <c r="O177" i="3"/>
  <c r="A177" i="3"/>
  <c r="Z176" i="3"/>
  <c r="O176" i="3"/>
  <c r="A176" i="3"/>
  <c r="Z175" i="3"/>
  <c r="O175" i="3"/>
  <c r="A175" i="3"/>
  <c r="Z174" i="3"/>
  <c r="O174" i="3"/>
  <c r="A174" i="3"/>
  <c r="Z173" i="3"/>
  <c r="O173" i="3"/>
  <c r="A173" i="3"/>
  <c r="Z172" i="3"/>
  <c r="O172" i="3"/>
  <c r="A172" i="3"/>
  <c r="Z171" i="3"/>
  <c r="O171" i="3"/>
  <c r="A171" i="3"/>
  <c r="Z170" i="3"/>
  <c r="O170" i="3"/>
  <c r="A170" i="3"/>
  <c r="Z169" i="3"/>
  <c r="O169" i="3"/>
  <c r="A169" i="3"/>
  <c r="Z168" i="3"/>
  <c r="O168" i="3"/>
  <c r="A168" i="3"/>
  <c r="Z167" i="3"/>
  <c r="O167" i="3"/>
  <c r="A167" i="3"/>
  <c r="Z166" i="3"/>
  <c r="O166" i="3"/>
  <c r="A166" i="3"/>
  <c r="AC165" i="3"/>
  <c r="Z165" i="3"/>
  <c r="O165" i="3"/>
  <c r="A165" i="3"/>
  <c r="Z164" i="3"/>
  <c r="O164" i="3"/>
  <c r="A164" i="3"/>
  <c r="Z163" i="3"/>
  <c r="O163" i="3"/>
  <c r="A163" i="3"/>
  <c r="Z162" i="3"/>
  <c r="O162" i="3"/>
  <c r="A162" i="3"/>
  <c r="Z161" i="3"/>
  <c r="O161" i="3"/>
  <c r="A161" i="3"/>
  <c r="Z160" i="3"/>
  <c r="O160" i="3"/>
  <c r="A160" i="3"/>
  <c r="Z159" i="3"/>
  <c r="O159" i="3"/>
  <c r="A159" i="3"/>
  <c r="Z158" i="3"/>
  <c r="O158" i="3"/>
  <c r="A158" i="3"/>
  <c r="Z157" i="3"/>
  <c r="O157" i="3"/>
  <c r="A157" i="3"/>
  <c r="Z156" i="3"/>
  <c r="O156" i="3"/>
  <c r="A156" i="3"/>
  <c r="Z155" i="3"/>
  <c r="O155" i="3"/>
  <c r="A155" i="3"/>
  <c r="Z154" i="3"/>
  <c r="O154" i="3"/>
  <c r="A154" i="3"/>
  <c r="Z153" i="3"/>
  <c r="O153" i="3"/>
  <c r="A153" i="3"/>
  <c r="Z152" i="3"/>
  <c r="O152" i="3"/>
  <c r="A152" i="3"/>
  <c r="Z151" i="3"/>
  <c r="O151" i="3"/>
  <c r="A151" i="3"/>
  <c r="Z150" i="3"/>
  <c r="O150" i="3"/>
  <c r="A150" i="3"/>
  <c r="Z149" i="3"/>
  <c r="O149" i="3"/>
  <c r="A149" i="3"/>
  <c r="Z148" i="3"/>
  <c r="O148" i="3"/>
  <c r="A148" i="3"/>
  <c r="Z147" i="3"/>
  <c r="O147" i="3"/>
  <c r="A147" i="3"/>
  <c r="Z146" i="3"/>
  <c r="O146" i="3"/>
  <c r="A146" i="3"/>
  <c r="Z145" i="3"/>
  <c r="O145" i="3"/>
  <c r="A145" i="3"/>
  <c r="Z144" i="3"/>
  <c r="O144" i="3"/>
  <c r="A144" i="3"/>
  <c r="Z143" i="3"/>
  <c r="O143" i="3"/>
  <c r="A143" i="3"/>
  <c r="Z142" i="3"/>
  <c r="O142" i="3"/>
  <c r="A142" i="3"/>
  <c r="Z141" i="3"/>
  <c r="O141" i="3"/>
  <c r="A141" i="3"/>
  <c r="Z140" i="3"/>
  <c r="O140" i="3"/>
  <c r="A140" i="3"/>
  <c r="Z139" i="3"/>
  <c r="O139" i="3"/>
  <c r="A139" i="3"/>
  <c r="Z138" i="3"/>
  <c r="O138" i="3"/>
  <c r="A138" i="3"/>
  <c r="Z137" i="3"/>
  <c r="O137" i="3"/>
  <c r="A137" i="3"/>
  <c r="Z136" i="3"/>
  <c r="O136" i="3"/>
  <c r="A136" i="3"/>
  <c r="Z135" i="3"/>
  <c r="O135" i="3"/>
  <c r="A135" i="3"/>
  <c r="AC134" i="3"/>
  <c r="Z134" i="3"/>
  <c r="O134" i="3"/>
  <c r="A134" i="3"/>
  <c r="Z133" i="3"/>
  <c r="O133" i="3"/>
  <c r="M133" i="3"/>
  <c r="A133" i="3"/>
  <c r="Z132" i="3"/>
  <c r="O132" i="3"/>
  <c r="M132" i="3"/>
  <c r="A132" i="3"/>
  <c r="Z131" i="3"/>
  <c r="O131" i="3"/>
  <c r="M131" i="3"/>
  <c r="A131" i="3"/>
  <c r="Z130" i="3"/>
  <c r="O130" i="3"/>
  <c r="M130" i="3"/>
  <c r="A130" i="3"/>
  <c r="Z129" i="3"/>
  <c r="O129" i="3"/>
  <c r="M129" i="3"/>
  <c r="A129" i="3"/>
  <c r="Z128" i="3"/>
  <c r="A128" i="3"/>
  <c r="Z127" i="3"/>
  <c r="O127" i="3"/>
  <c r="A127" i="3"/>
  <c r="Z126" i="3"/>
  <c r="O126" i="3"/>
  <c r="A126" i="3"/>
  <c r="Z125" i="3"/>
  <c r="O125" i="3"/>
  <c r="A125" i="3"/>
  <c r="Z124" i="3"/>
  <c r="O124" i="3"/>
  <c r="A124" i="3"/>
  <c r="Z123" i="3"/>
  <c r="O123" i="3"/>
  <c r="A123" i="3"/>
  <c r="Z122" i="3"/>
  <c r="O122" i="3"/>
  <c r="A122" i="3"/>
  <c r="Z121" i="3"/>
  <c r="O121" i="3"/>
  <c r="A121" i="3"/>
  <c r="Z120" i="3"/>
  <c r="O120" i="3"/>
  <c r="A120" i="3"/>
  <c r="Z119" i="3"/>
  <c r="O119" i="3"/>
  <c r="A119" i="3"/>
  <c r="Z118" i="3"/>
  <c r="O118" i="3"/>
  <c r="A118" i="3"/>
  <c r="Z117" i="3"/>
  <c r="O117" i="3"/>
  <c r="A117" i="3"/>
  <c r="Z116" i="3"/>
  <c r="O116" i="3"/>
  <c r="A116" i="3"/>
  <c r="Z115" i="3"/>
  <c r="O115" i="3"/>
  <c r="A115" i="3"/>
  <c r="Z114" i="3"/>
  <c r="O114" i="3"/>
  <c r="A114" i="3"/>
  <c r="Z113" i="3"/>
  <c r="O113" i="3"/>
  <c r="A113" i="3"/>
  <c r="Z112" i="3"/>
  <c r="O112" i="3"/>
  <c r="A112" i="3"/>
  <c r="Z111" i="3"/>
  <c r="O111" i="3"/>
  <c r="A111" i="3"/>
  <c r="Z110" i="3"/>
  <c r="O110" i="3"/>
  <c r="A110" i="3"/>
  <c r="Z109" i="3"/>
  <c r="O109" i="3"/>
  <c r="A109" i="3"/>
  <c r="Z108" i="3"/>
  <c r="O108" i="3"/>
  <c r="A108" i="3"/>
  <c r="Z107" i="3"/>
  <c r="O107" i="3"/>
  <c r="A107" i="3"/>
  <c r="Z106" i="3"/>
  <c r="O106" i="3"/>
  <c r="A106" i="3"/>
  <c r="Z105" i="3"/>
  <c r="O105" i="3"/>
  <c r="A105" i="3"/>
  <c r="Z104" i="3"/>
  <c r="O104" i="3"/>
  <c r="A104" i="3"/>
  <c r="Z103" i="3"/>
  <c r="O103" i="3"/>
  <c r="A103" i="3"/>
  <c r="AC102" i="3"/>
  <c r="Z102" i="3"/>
  <c r="O102" i="3"/>
  <c r="A102" i="3"/>
  <c r="Z101" i="3"/>
  <c r="O101" i="3"/>
  <c r="A101" i="3"/>
  <c r="Z100" i="3"/>
  <c r="O100" i="3"/>
  <c r="A100" i="3"/>
  <c r="Z99" i="3"/>
  <c r="O99" i="3"/>
  <c r="A99" i="3"/>
  <c r="Z98" i="3"/>
  <c r="O98" i="3"/>
  <c r="A98" i="3"/>
  <c r="Z97" i="3"/>
  <c r="O97" i="3"/>
  <c r="A97" i="3"/>
  <c r="Z96" i="3"/>
  <c r="O96" i="3"/>
  <c r="A96" i="3"/>
  <c r="Z95" i="3"/>
  <c r="O95" i="3"/>
  <c r="A95" i="3"/>
  <c r="AC94" i="3"/>
  <c r="Z94" i="3"/>
  <c r="O94" i="3"/>
  <c r="A94" i="3"/>
  <c r="Z93" i="3"/>
  <c r="O93" i="3"/>
  <c r="A93" i="3"/>
  <c r="Z92" i="3"/>
  <c r="O92" i="3"/>
  <c r="A92" i="3"/>
  <c r="Z91" i="3"/>
  <c r="O91" i="3"/>
  <c r="A91" i="3"/>
  <c r="Z90" i="3"/>
  <c r="O90" i="3"/>
  <c r="A90" i="3"/>
  <c r="Z89" i="3"/>
  <c r="O89" i="3"/>
  <c r="A89" i="3"/>
  <c r="Z88" i="3"/>
  <c r="O88" i="3"/>
  <c r="A88" i="3"/>
  <c r="Z87" i="3"/>
  <c r="O87" i="3"/>
  <c r="A87" i="3"/>
  <c r="Z86" i="3"/>
  <c r="O86" i="3"/>
  <c r="A86" i="3"/>
  <c r="Z85" i="3"/>
  <c r="O85" i="3"/>
  <c r="A85" i="3"/>
  <c r="Z84" i="3"/>
  <c r="O84" i="3"/>
  <c r="A84" i="3"/>
  <c r="Z83" i="3"/>
  <c r="O83" i="3"/>
  <c r="A83" i="3"/>
  <c r="Z82" i="3"/>
  <c r="O82" i="3"/>
  <c r="A82" i="3"/>
  <c r="Z81" i="3"/>
  <c r="O81" i="3"/>
  <c r="A81" i="3"/>
  <c r="Z80" i="3"/>
  <c r="O80" i="3"/>
  <c r="A80" i="3"/>
  <c r="Z79" i="3"/>
  <c r="O79" i="3"/>
  <c r="A79" i="3"/>
  <c r="Z78" i="3"/>
  <c r="O78" i="3"/>
  <c r="A78" i="3"/>
  <c r="Z77" i="3"/>
  <c r="O77" i="3"/>
  <c r="A77" i="3"/>
  <c r="Z76" i="3"/>
  <c r="O76" i="3"/>
  <c r="A76" i="3"/>
  <c r="Z75" i="3"/>
  <c r="O75" i="3"/>
  <c r="A75" i="3"/>
  <c r="Z74" i="3"/>
  <c r="O74" i="3"/>
  <c r="A74" i="3"/>
  <c r="Z73" i="3"/>
  <c r="O73" i="3"/>
  <c r="A73" i="3"/>
  <c r="Z72" i="3"/>
  <c r="O72" i="3"/>
  <c r="A72" i="3"/>
  <c r="Z71" i="3"/>
  <c r="O71" i="3"/>
  <c r="A71" i="3"/>
  <c r="Z70" i="3"/>
  <c r="O70" i="3"/>
  <c r="A70" i="3"/>
  <c r="AC69" i="3"/>
  <c r="Z69" i="3"/>
  <c r="O69" i="3"/>
  <c r="A69" i="3"/>
  <c r="Z68" i="3"/>
  <c r="O68" i="3"/>
  <c r="A68" i="3"/>
  <c r="Z67" i="3"/>
  <c r="O67" i="3"/>
  <c r="A67" i="3"/>
  <c r="Z66" i="3"/>
  <c r="O66" i="3"/>
  <c r="A66" i="3"/>
  <c r="Z65" i="3"/>
  <c r="O65" i="3"/>
  <c r="A65" i="3"/>
  <c r="Z64" i="3"/>
  <c r="O64" i="3"/>
  <c r="A64" i="3"/>
  <c r="Z63" i="3"/>
  <c r="O63" i="3"/>
  <c r="A63" i="3"/>
  <c r="Z62" i="3"/>
  <c r="O62" i="3"/>
  <c r="A62" i="3"/>
  <c r="AC61" i="3"/>
  <c r="Z61" i="3"/>
  <c r="O61" i="3"/>
  <c r="A61" i="3"/>
  <c r="Z60" i="3"/>
  <c r="O60" i="3"/>
  <c r="A60" i="3"/>
  <c r="Z59" i="3"/>
  <c r="O59" i="3"/>
  <c r="A59" i="3"/>
  <c r="Z58" i="3"/>
  <c r="O58" i="3"/>
  <c r="A58" i="3"/>
  <c r="Z57" i="3"/>
  <c r="O57" i="3"/>
  <c r="A57" i="3"/>
  <c r="Z56" i="3"/>
  <c r="O56" i="3"/>
  <c r="A56" i="3"/>
  <c r="Z55" i="3"/>
  <c r="O55" i="3"/>
  <c r="A55" i="3"/>
  <c r="Z54" i="3"/>
  <c r="O54" i="3"/>
  <c r="A54" i="3"/>
  <c r="Z53" i="3"/>
  <c r="O53" i="3"/>
  <c r="A53" i="3"/>
  <c r="Z52" i="3"/>
  <c r="O52" i="3"/>
  <c r="A52" i="3"/>
  <c r="Z51" i="3"/>
  <c r="O51" i="3"/>
  <c r="A51" i="3"/>
  <c r="Z50" i="3"/>
  <c r="O50" i="3"/>
  <c r="A50" i="3"/>
  <c r="Z49" i="3"/>
  <c r="O49" i="3"/>
  <c r="A49" i="3"/>
  <c r="Z48" i="3"/>
  <c r="O48" i="3"/>
  <c r="A48" i="3"/>
  <c r="Z47" i="3"/>
  <c r="O47" i="3"/>
  <c r="A47" i="3"/>
  <c r="Z46" i="3"/>
  <c r="O46" i="3"/>
  <c r="A46" i="3"/>
  <c r="Z45" i="3"/>
  <c r="O45" i="3"/>
  <c r="A45" i="3"/>
  <c r="Z44" i="3"/>
  <c r="O44" i="3"/>
  <c r="A44" i="3"/>
  <c r="Z43" i="3"/>
  <c r="O43" i="3"/>
  <c r="A43" i="3"/>
  <c r="Z42" i="3"/>
  <c r="O42" i="3"/>
  <c r="A42" i="3"/>
  <c r="Z41" i="3"/>
  <c r="O41" i="3"/>
  <c r="A41" i="3"/>
  <c r="Z40" i="3"/>
  <c r="O40" i="3"/>
  <c r="A40" i="3"/>
  <c r="Z39" i="3"/>
  <c r="O39" i="3"/>
  <c r="A39" i="3"/>
  <c r="Z38" i="3"/>
  <c r="O38" i="3"/>
  <c r="A38" i="3"/>
  <c r="Z37" i="3"/>
  <c r="O37" i="3"/>
  <c r="A37" i="3"/>
  <c r="AC36" i="3"/>
  <c r="Z36" i="3"/>
  <c r="O36" i="3"/>
  <c r="A36" i="3"/>
  <c r="Z35" i="3"/>
  <c r="O35" i="3"/>
  <c r="A35" i="3"/>
  <c r="Z34" i="3"/>
  <c r="M34" i="3"/>
  <c r="A34" i="3"/>
  <c r="Z33" i="3"/>
  <c r="O33" i="3"/>
  <c r="M33" i="3"/>
  <c r="A33" i="3"/>
  <c r="Z32" i="3"/>
  <c r="O32" i="3"/>
  <c r="M32" i="3"/>
  <c r="A32" i="3"/>
  <c r="Z31" i="3"/>
  <c r="O31" i="3"/>
  <c r="M31" i="3"/>
  <c r="A31" i="3"/>
  <c r="Z30" i="3"/>
  <c r="O30" i="3"/>
  <c r="M30" i="3"/>
  <c r="A30" i="3"/>
  <c r="Z29" i="3"/>
  <c r="O29" i="3"/>
  <c r="M29" i="3"/>
  <c r="A29" i="3"/>
  <c r="Z28" i="3"/>
  <c r="O28" i="3"/>
  <c r="M28" i="3"/>
  <c r="A28" i="3"/>
  <c r="Z27" i="3"/>
  <c r="O27" i="3"/>
  <c r="M27" i="3"/>
  <c r="A27" i="3"/>
  <c r="Z26" i="3"/>
  <c r="O26" i="3"/>
  <c r="M26" i="3"/>
  <c r="A26" i="3"/>
  <c r="Z25" i="3"/>
  <c r="O25" i="3"/>
  <c r="M25" i="3"/>
  <c r="A25" i="3"/>
  <c r="Z24" i="3"/>
  <c r="O24" i="3"/>
  <c r="M24" i="3"/>
  <c r="A24" i="3"/>
  <c r="Z23" i="3"/>
  <c r="O23" i="3"/>
  <c r="M23" i="3"/>
  <c r="A23" i="3"/>
  <c r="Z22" i="3"/>
  <c r="O22" i="3"/>
  <c r="A22" i="3"/>
  <c r="Z21" i="3"/>
  <c r="O21" i="3"/>
  <c r="A21" i="3"/>
  <c r="Z20" i="3"/>
  <c r="O20" i="3"/>
  <c r="A20" i="3"/>
  <c r="Z19" i="3"/>
  <c r="O19" i="3"/>
  <c r="A19" i="3"/>
  <c r="Z18" i="3"/>
  <c r="O18" i="3"/>
  <c r="A18" i="3"/>
  <c r="Z17" i="3"/>
  <c r="A17" i="3"/>
  <c r="Z16" i="3"/>
  <c r="A16" i="3"/>
  <c r="Z15" i="3"/>
  <c r="A15" i="3"/>
  <c r="Z14" i="3"/>
  <c r="A14" i="3"/>
  <c r="Z13" i="3"/>
  <c r="O13" i="3"/>
  <c r="A13" i="3"/>
  <c r="Z12" i="3"/>
  <c r="O12" i="3"/>
  <c r="A12" i="3"/>
  <c r="Z11" i="3"/>
  <c r="O11" i="3"/>
  <c r="A11" i="3"/>
  <c r="Z10" i="3"/>
  <c r="O10" i="3"/>
  <c r="A10" i="3"/>
  <c r="Z9" i="3"/>
  <c r="O9" i="3"/>
  <c r="A9" i="3"/>
  <c r="Z8" i="3"/>
  <c r="O8" i="3"/>
  <c r="A8" i="3"/>
  <c r="Z7" i="3"/>
  <c r="O7" i="3"/>
  <c r="A7" i="3"/>
  <c r="Z6" i="3"/>
  <c r="O6" i="3"/>
  <c r="A6" i="3"/>
  <c r="Z5" i="3"/>
  <c r="O5" i="3"/>
  <c r="A5" i="3"/>
  <c r="Z4" i="3"/>
  <c r="O4" i="3"/>
  <c r="A4" i="3"/>
  <c r="Z3" i="3"/>
  <c r="O3" i="3"/>
  <c r="A3" i="3"/>
  <c r="AC2" i="3"/>
  <c r="Z2" i="3"/>
  <c r="O2" i="3"/>
  <c r="A2" i="3"/>
  <c r="V2677" i="3"/>
  <c r="V2665" i="3"/>
  <c r="S68" i="23"/>
  <c r="S67" i="23"/>
  <c r="V2699" i="3"/>
  <c r="V2744" i="3"/>
  <c r="V2759" i="3"/>
  <c r="V2714" i="3"/>
  <c r="V2774" i="3"/>
  <c r="V2684" i="3"/>
  <c r="V2729" i="3"/>
  <c r="V2688" i="3"/>
  <c r="V2778" i="3"/>
  <c r="V2718" i="3"/>
  <c r="M96" i="23"/>
  <c r="A96" i="23"/>
  <c r="V2701" i="3"/>
  <c r="A97" i="23"/>
  <c r="M97" i="23"/>
  <c r="M102" i="23"/>
  <c r="A102" i="23"/>
  <c r="E100" i="11"/>
  <c r="E101" i="11"/>
  <c r="P102" i="11"/>
  <c r="P101" i="11"/>
  <c r="P100" i="11"/>
  <c r="P99" i="11"/>
  <c r="P3" i="1"/>
  <c r="P11" i="1"/>
  <c r="P182" i="11"/>
  <c r="E182" i="11"/>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L5" i="8"/>
  <c r="P176" i="11"/>
  <c r="P175" i="11"/>
  <c r="P174" i="11"/>
  <c r="P173" i="11"/>
  <c r="P172" i="11"/>
  <c r="P171" i="11"/>
  <c r="P168" i="11"/>
  <c r="P167" i="11"/>
  <c r="P166" i="11"/>
  <c r="P165" i="11"/>
  <c r="P164" i="11"/>
  <c r="P163" i="11"/>
  <c r="P162" i="11"/>
  <c r="P161" i="11"/>
  <c r="P160" i="11"/>
  <c r="P159" i="11"/>
  <c r="P158" i="11"/>
  <c r="P157" i="11"/>
  <c r="P156" i="11"/>
  <c r="P155" i="11"/>
  <c r="P154" i="11"/>
  <c r="P153" i="11"/>
  <c r="P152" i="11"/>
  <c r="P151" i="11"/>
  <c r="P150" i="11"/>
  <c r="P149" i="11"/>
  <c r="P148" i="11"/>
  <c r="P147" i="11"/>
  <c r="P146" i="11"/>
  <c r="P145" i="11"/>
  <c r="P144" i="11"/>
  <c r="P143" i="11"/>
  <c r="P142" i="11"/>
  <c r="P141" i="11"/>
  <c r="P140" i="11"/>
  <c r="P139" i="11"/>
  <c r="P138" i="11"/>
  <c r="P137" i="11"/>
  <c r="P136" i="11"/>
  <c r="P135" i="11"/>
  <c r="P134" i="11"/>
  <c r="P133" i="11"/>
  <c r="P132" i="11"/>
  <c r="P131" i="11"/>
  <c r="P130" i="11"/>
  <c r="P129" i="11"/>
  <c r="P128" i="11"/>
  <c r="P127" i="11"/>
  <c r="P126" i="11"/>
  <c r="P125" i="11"/>
  <c r="P124" i="11"/>
  <c r="P123" i="11"/>
  <c r="P122" i="11"/>
  <c r="P121" i="11"/>
  <c r="P120" i="11"/>
  <c r="P119" i="11"/>
  <c r="P118" i="11"/>
  <c r="P117" i="11"/>
  <c r="P116" i="11"/>
  <c r="P115" i="11"/>
  <c r="P114" i="11"/>
  <c r="P113" i="11"/>
  <c r="P112" i="11"/>
  <c r="P111" i="11"/>
  <c r="P110" i="11"/>
  <c r="P109" i="11"/>
  <c r="P108" i="11"/>
  <c r="P107" i="11"/>
  <c r="P106" i="11"/>
  <c r="P105" i="11"/>
  <c r="P104" i="11"/>
  <c r="P103" i="11"/>
  <c r="P98" i="11"/>
  <c r="P97" i="11"/>
  <c r="P96" i="11"/>
  <c r="P95" i="11"/>
  <c r="P94" i="11"/>
  <c r="P93" i="11"/>
  <c r="P92" i="11"/>
  <c r="P91" i="11"/>
  <c r="P90" i="11"/>
  <c r="P89" i="11"/>
  <c r="P88" i="11"/>
  <c r="P87" i="11"/>
  <c r="P86" i="11"/>
  <c r="P85" i="11"/>
  <c r="P84" i="11"/>
  <c r="P83" i="11"/>
  <c r="P82" i="11"/>
  <c r="P81" i="11"/>
  <c r="P80" i="11"/>
  <c r="P79" i="11"/>
  <c r="P78" i="11"/>
  <c r="P77" i="11"/>
  <c r="P76" i="11"/>
  <c r="P75" i="11"/>
  <c r="P74" i="11"/>
  <c r="P73" i="11"/>
  <c r="P72" i="11"/>
  <c r="P71" i="11"/>
  <c r="P70" i="11"/>
  <c r="P69" i="11"/>
  <c r="P68" i="11"/>
  <c r="P67" i="11"/>
  <c r="P66" i="11"/>
  <c r="P65" i="11"/>
  <c r="P64" i="11"/>
  <c r="P63" i="11"/>
  <c r="P62" i="11"/>
  <c r="P61" i="11"/>
  <c r="P60" i="11"/>
  <c r="P59" i="11"/>
  <c r="P58" i="11"/>
  <c r="P57" i="11"/>
  <c r="P56" i="11"/>
  <c r="P55" i="11"/>
  <c r="P54" i="11"/>
  <c r="P53" i="11"/>
  <c r="P52" i="11"/>
  <c r="P51" i="11"/>
  <c r="P50" i="11"/>
  <c r="P49" i="11"/>
  <c r="P48" i="11"/>
  <c r="P47" i="11"/>
  <c r="P46" i="11"/>
  <c r="P45" i="11"/>
  <c r="P44" i="11"/>
  <c r="P43" i="11"/>
  <c r="P42" i="11"/>
  <c r="P41" i="11"/>
  <c r="P40" i="11"/>
  <c r="P39" i="11"/>
  <c r="P38" i="11"/>
  <c r="P37" i="11"/>
  <c r="P36" i="11"/>
  <c r="P35" i="11"/>
  <c r="P34" i="11"/>
  <c r="P33" i="11"/>
  <c r="P32" i="11"/>
  <c r="P31" i="11"/>
  <c r="P30" i="11"/>
  <c r="P29" i="11"/>
  <c r="P28" i="11"/>
  <c r="P27" i="11"/>
  <c r="P26" i="11"/>
  <c r="P25" i="11"/>
  <c r="P24" i="11"/>
  <c r="P23" i="11"/>
  <c r="P22" i="11"/>
  <c r="P21" i="11"/>
  <c r="P20" i="11"/>
  <c r="P19" i="11"/>
  <c r="P18" i="11"/>
  <c r="P17" i="11"/>
  <c r="P16" i="11"/>
  <c r="P15" i="11"/>
  <c r="P14" i="11"/>
  <c r="P13" i="11"/>
  <c r="P12" i="11"/>
  <c r="P11" i="11"/>
  <c r="P10" i="11"/>
  <c r="P9" i="11"/>
  <c r="P8" i="11"/>
  <c r="P7" i="11"/>
  <c r="P6" i="11"/>
  <c r="P5" i="11"/>
  <c r="P3" i="11"/>
  <c r="P177" i="11"/>
  <c r="G19" i="8"/>
  <c r="E178" i="11"/>
  <c r="E179" i="11"/>
  <c r="E180" i="11"/>
  <c r="E181" i="11"/>
  <c r="G18" i="8"/>
  <c r="G17" i="8"/>
  <c r="G16" i="8"/>
  <c r="G15" i="8"/>
  <c r="R176" i="11" a="1"/>
  <c r="R176" i="11"/>
  <c r="R175" i="11" a="1"/>
  <c r="R175" i="11"/>
  <c r="R174" i="11" a="1"/>
  <c r="R174" i="11"/>
  <c r="R173" i="11" a="1"/>
  <c r="R173" i="11"/>
  <c r="R172" i="11" a="1"/>
  <c r="R172" i="11"/>
  <c r="E197" i="9"/>
  <c r="E196" i="9"/>
  <c r="E195" i="9"/>
  <c r="E194" i="9"/>
  <c r="E193" i="9"/>
  <c r="E192" i="9"/>
  <c r="E191" i="9"/>
  <c r="E190" i="9"/>
  <c r="E189" i="9"/>
  <c r="E188" i="9"/>
  <c r="E187" i="9"/>
  <c r="E186" i="9"/>
  <c r="E185" i="9"/>
  <c r="E184" i="9"/>
  <c r="E183" i="9"/>
  <c r="E182" i="9"/>
  <c r="E181" i="9"/>
  <c r="E180" i="9"/>
  <c r="E179" i="9"/>
  <c r="E178" i="9"/>
  <c r="E177" i="9"/>
  <c r="E176" i="9"/>
  <c r="E175" i="9"/>
  <c r="E174" i="9"/>
  <c r="E173" i="9"/>
  <c r="E172" i="9"/>
  <c r="E171" i="9"/>
  <c r="E170" i="9"/>
  <c r="E169" i="9"/>
  <c r="E168" i="9"/>
  <c r="E167" i="9"/>
  <c r="E166" i="9"/>
  <c r="E165" i="9"/>
  <c r="E164" i="9"/>
  <c r="E163" i="9"/>
  <c r="E162" i="9"/>
  <c r="E161" i="9"/>
  <c r="E160" i="9"/>
  <c r="E159" i="9"/>
  <c r="E158" i="9"/>
  <c r="E157" i="9"/>
  <c r="E156" i="9"/>
  <c r="E155" i="9"/>
  <c r="E154" i="9"/>
  <c r="E153" i="9"/>
  <c r="E152" i="9"/>
  <c r="E151" i="9"/>
  <c r="E150" i="9"/>
  <c r="E149" i="9"/>
  <c r="E148" i="9"/>
  <c r="E147" i="9"/>
  <c r="D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E92" i="9"/>
  <c r="E91" i="9"/>
  <c r="E90" i="9"/>
  <c r="E89" i="9"/>
  <c r="E88" i="9"/>
  <c r="E87" i="9"/>
  <c r="E86" i="9"/>
  <c r="E85" i="9"/>
  <c r="E84" i="9"/>
  <c r="E83" i="9"/>
  <c r="E82" i="9"/>
  <c r="E81" i="9"/>
  <c r="E80" i="9"/>
  <c r="E79" i="9"/>
  <c r="E78" i="9"/>
  <c r="E77" i="9"/>
  <c r="E76" i="9"/>
  <c r="E75" i="9"/>
  <c r="D75" i="9"/>
  <c r="E74" i="9"/>
  <c r="E73" i="9"/>
  <c r="E72" i="9"/>
  <c r="E71" i="9"/>
  <c r="E70" i="9"/>
  <c r="E69" i="9"/>
  <c r="E68" i="9"/>
  <c r="E67" i="9"/>
  <c r="E66" i="9"/>
  <c r="E65" i="9"/>
  <c r="E64" i="9"/>
  <c r="E63" i="9"/>
  <c r="E62" i="9"/>
  <c r="E61" i="9"/>
  <c r="E60" i="9"/>
  <c r="E59" i="9"/>
  <c r="E58" i="9"/>
  <c r="E57" i="9"/>
  <c r="E56" i="9"/>
  <c r="E55" i="9"/>
  <c r="E54" i="9"/>
  <c r="E53" i="9"/>
  <c r="E52" i="9"/>
  <c r="E51" i="9"/>
  <c r="E50" i="9"/>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8" i="9"/>
  <c r="CV2" i="7" a="1"/>
  <c r="CV2" i="7"/>
  <c r="AJ2" i="7" a="1"/>
  <c r="AJ2" i="7"/>
  <c r="B2" i="7" a="1"/>
  <c r="B2" i="7"/>
  <c r="E171" i="11"/>
  <c r="E168" i="11"/>
  <c r="E167" i="11"/>
  <c r="E166" i="11"/>
  <c r="E165" i="11"/>
  <c r="E164" i="11"/>
  <c r="E163" i="11"/>
  <c r="E162" i="11"/>
  <c r="E161" i="11"/>
  <c r="E160" i="11"/>
  <c r="E159" i="11"/>
  <c r="E158" i="11"/>
  <c r="E157" i="11"/>
  <c r="E156" i="11"/>
  <c r="E155" i="11"/>
  <c r="E154" i="11"/>
  <c r="E153" i="11"/>
  <c r="E152" i="11"/>
  <c r="E151" i="11"/>
  <c r="E150" i="11"/>
  <c r="E149" i="11"/>
  <c r="E148" i="11"/>
  <c r="E147" i="11"/>
  <c r="E146" i="11"/>
  <c r="E145" i="11"/>
  <c r="E144" i="11"/>
  <c r="E143" i="11"/>
  <c r="E142" i="11"/>
  <c r="E141" i="11"/>
  <c r="E140" i="11"/>
  <c r="E139" i="11"/>
  <c r="E138" i="11"/>
  <c r="E137" i="11"/>
  <c r="E136" i="11"/>
  <c r="E135" i="11"/>
  <c r="E134" i="11"/>
  <c r="E133" i="11"/>
  <c r="E132" i="11"/>
  <c r="E131" i="11"/>
  <c r="E130" i="11"/>
  <c r="E129" i="11"/>
  <c r="E128" i="11"/>
  <c r="E127" i="11"/>
  <c r="E126" i="11"/>
  <c r="E125" i="11"/>
  <c r="E124" i="11"/>
  <c r="E123" i="11"/>
  <c r="E122" i="11"/>
  <c r="E121" i="11"/>
  <c r="E120" i="11"/>
  <c r="E119" i="11"/>
  <c r="E118" i="11"/>
  <c r="E117" i="11"/>
  <c r="E116" i="11"/>
  <c r="E115" i="11"/>
  <c r="E114" i="11"/>
  <c r="E113" i="11"/>
  <c r="E112" i="11"/>
  <c r="E111" i="11"/>
  <c r="E110" i="11"/>
  <c r="E109" i="11"/>
  <c r="E108" i="11"/>
  <c r="E107" i="11"/>
  <c r="E106" i="11"/>
  <c r="E105" i="11"/>
  <c r="E104" i="11"/>
  <c r="E103" i="11"/>
  <c r="E98" i="11"/>
  <c r="E97" i="11"/>
  <c r="E96" i="11"/>
  <c r="E95" i="11"/>
  <c r="E94" i="11"/>
  <c r="E93" i="11"/>
  <c r="E92" i="11"/>
  <c r="E91" i="11"/>
  <c r="E90" i="11"/>
  <c r="E89" i="11"/>
  <c r="E88" i="11"/>
  <c r="E87" i="11"/>
  <c r="E86" i="11"/>
  <c r="E85" i="11"/>
  <c r="E84" i="11"/>
  <c r="E83" i="11"/>
  <c r="E82" i="11"/>
  <c r="E81" i="11"/>
  <c r="E80" i="11"/>
  <c r="E79" i="11"/>
  <c r="E78" i="11"/>
  <c r="E77" i="11"/>
  <c r="E76" i="11"/>
  <c r="E75" i="11"/>
  <c r="E74" i="11"/>
  <c r="E73" i="11"/>
  <c r="E72" i="11"/>
  <c r="E71" i="11"/>
  <c r="E70" i="11"/>
  <c r="E69" i="11"/>
  <c r="E68" i="11"/>
  <c r="E67" i="11"/>
  <c r="E66" i="11"/>
  <c r="E65" i="11"/>
  <c r="E64" i="11"/>
  <c r="E63" i="11"/>
  <c r="E62" i="11"/>
  <c r="E61" i="11"/>
  <c r="E60" i="11"/>
  <c r="E59" i="11"/>
  <c r="E58" i="11"/>
  <c r="E57" i="11"/>
  <c r="E56" i="11"/>
  <c r="E55" i="11"/>
  <c r="E54" i="11"/>
  <c r="E53" i="11"/>
  <c r="E52" i="11"/>
  <c r="E51" i="11"/>
  <c r="E50" i="11"/>
  <c r="E49" i="11"/>
  <c r="E48" i="11"/>
  <c r="E47" i="11"/>
  <c r="E46" i="11"/>
  <c r="E45" i="11"/>
  <c r="E44" i="11"/>
  <c r="E43" i="11"/>
  <c r="E42" i="11"/>
  <c r="E41" i="11"/>
  <c r="E40" i="11"/>
  <c r="E39" i="11"/>
  <c r="E38" i="11"/>
  <c r="E37" i="11"/>
  <c r="E36" i="11"/>
  <c r="E35" i="11"/>
  <c r="E34" i="11"/>
  <c r="E33" i="11"/>
  <c r="E32" i="11"/>
  <c r="E31" i="11"/>
  <c r="E30" i="11"/>
  <c r="E29" i="11"/>
  <c r="E28" i="11"/>
  <c r="E27" i="11"/>
  <c r="E26" i="11"/>
  <c r="E25" i="11"/>
  <c r="E24" i="11"/>
  <c r="E23" i="11"/>
  <c r="E22" i="11"/>
  <c r="E21" i="11"/>
  <c r="E20" i="11"/>
  <c r="E19" i="11"/>
  <c r="E18" i="11"/>
  <c r="E17" i="11"/>
  <c r="E16" i="11"/>
  <c r="E15" i="11"/>
  <c r="E14" i="11"/>
  <c r="E13" i="11"/>
  <c r="E12" i="11"/>
  <c r="E11" i="11"/>
  <c r="E10" i="11"/>
  <c r="E9" i="11"/>
  <c r="E8" i="11"/>
  <c r="E7" i="11"/>
  <c r="E6" i="11"/>
  <c r="E5" i="11"/>
  <c r="E4" i="11"/>
  <c r="E3" i="11"/>
  <c r="H119" i="2"/>
  <c r="F119" i="2"/>
  <c r="H118" i="2"/>
  <c r="F118" i="2"/>
  <c r="H117" i="2"/>
  <c r="F117" i="2"/>
  <c r="H116" i="2"/>
  <c r="F116" i="2"/>
  <c r="H115" i="2"/>
  <c r="F115" i="2"/>
  <c r="H114" i="2"/>
  <c r="F114" i="2"/>
  <c r="H113" i="2"/>
  <c r="F113" i="2"/>
  <c r="H112" i="2"/>
  <c r="F112" i="2"/>
  <c r="H111" i="2"/>
  <c r="F111" i="2"/>
  <c r="H110" i="2"/>
  <c r="F110" i="2"/>
  <c r="H109" i="2"/>
  <c r="F109" i="2"/>
  <c r="H108" i="2"/>
  <c r="F108" i="2"/>
  <c r="H107" i="2"/>
  <c r="F107" i="2"/>
  <c r="H106" i="2"/>
  <c r="F106" i="2"/>
  <c r="H105" i="2"/>
  <c r="F105" i="2"/>
  <c r="H104" i="2"/>
  <c r="F104" i="2"/>
  <c r="H103" i="2"/>
  <c r="F103" i="2"/>
  <c r="H102" i="2"/>
  <c r="F102" i="2"/>
  <c r="H101" i="2"/>
  <c r="F101" i="2"/>
  <c r="H100" i="2"/>
  <c r="F100" i="2"/>
  <c r="H99" i="2"/>
  <c r="F99" i="2"/>
  <c r="H98" i="2"/>
  <c r="F98" i="2"/>
  <c r="H97" i="2"/>
  <c r="F97" i="2"/>
  <c r="H96" i="2"/>
  <c r="F96" i="2"/>
  <c r="H95" i="2"/>
  <c r="F95" i="2"/>
  <c r="H94" i="2"/>
  <c r="F94" i="2"/>
  <c r="H93" i="2"/>
  <c r="F93" i="2"/>
  <c r="H92" i="2"/>
  <c r="F92" i="2"/>
  <c r="H91" i="2"/>
  <c r="F91" i="2"/>
  <c r="H90" i="2"/>
  <c r="F90" i="2"/>
  <c r="H89" i="2"/>
  <c r="F89" i="2"/>
  <c r="H88" i="2"/>
  <c r="F88" i="2"/>
  <c r="H87" i="2"/>
  <c r="F87" i="2"/>
  <c r="H86" i="2"/>
  <c r="F86" i="2"/>
  <c r="H85" i="2"/>
  <c r="F85" i="2"/>
  <c r="H84" i="2"/>
  <c r="F84" i="2"/>
  <c r="H83" i="2"/>
  <c r="F83" i="2"/>
  <c r="H82" i="2"/>
  <c r="F82" i="2"/>
  <c r="H81" i="2"/>
  <c r="F81" i="2"/>
  <c r="H80" i="2"/>
  <c r="F80" i="2"/>
  <c r="H79" i="2"/>
  <c r="F79" i="2"/>
  <c r="H78" i="2"/>
  <c r="F78" i="2"/>
  <c r="H77" i="2"/>
  <c r="F77" i="2"/>
  <c r="H76" i="2"/>
  <c r="F76" i="2"/>
  <c r="H75" i="2"/>
  <c r="F75" i="2"/>
  <c r="H74" i="2"/>
  <c r="F74" i="2"/>
  <c r="H73" i="2"/>
  <c r="F73" i="2"/>
  <c r="H72" i="2"/>
  <c r="F72" i="2"/>
  <c r="H71" i="2"/>
  <c r="F71" i="2"/>
  <c r="H70" i="2"/>
  <c r="F70" i="2"/>
  <c r="H69" i="2"/>
  <c r="F69" i="2"/>
  <c r="H68" i="2"/>
  <c r="F68" i="2"/>
  <c r="H67" i="2"/>
  <c r="F67" i="2"/>
  <c r="H66" i="2"/>
  <c r="F66" i="2"/>
  <c r="H65" i="2"/>
  <c r="F65" i="2"/>
  <c r="H64" i="2"/>
  <c r="F64" i="2"/>
  <c r="H63" i="2"/>
  <c r="F63" i="2"/>
  <c r="H62" i="2"/>
  <c r="F62" i="2"/>
  <c r="H61" i="2"/>
  <c r="F61" i="2"/>
  <c r="H60" i="2"/>
  <c r="F60" i="2"/>
  <c r="H59" i="2"/>
  <c r="F59" i="2"/>
  <c r="H58" i="2"/>
  <c r="F58" i="2"/>
  <c r="H57" i="2"/>
  <c r="F57" i="2"/>
  <c r="H56" i="2"/>
  <c r="F56" i="2"/>
  <c r="H55" i="2"/>
  <c r="F55" i="2"/>
  <c r="H54" i="2"/>
  <c r="F54" i="2"/>
  <c r="H53" i="2"/>
  <c r="F53" i="2"/>
  <c r="H52" i="2"/>
  <c r="F52" i="2"/>
  <c r="H51" i="2"/>
  <c r="F51" i="2"/>
  <c r="H50" i="2"/>
  <c r="F50" i="2"/>
  <c r="H49" i="2"/>
  <c r="F49" i="2"/>
  <c r="H48" i="2"/>
  <c r="F48" i="2"/>
  <c r="H47" i="2"/>
  <c r="F47" i="2"/>
  <c r="H46" i="2"/>
  <c r="F46" i="2"/>
  <c r="H45" i="2"/>
  <c r="F45" i="2"/>
  <c r="H44" i="2"/>
  <c r="F44" i="2"/>
  <c r="H43" i="2"/>
  <c r="F43" i="2"/>
  <c r="H42" i="2"/>
  <c r="F42" i="2"/>
  <c r="H41" i="2"/>
  <c r="F41" i="2"/>
  <c r="H40" i="2"/>
  <c r="F40" i="2"/>
  <c r="H39" i="2"/>
  <c r="F39" i="2"/>
  <c r="H38" i="2"/>
  <c r="F38" i="2"/>
  <c r="H37" i="2"/>
  <c r="F37" i="2"/>
  <c r="H36" i="2"/>
  <c r="F36" i="2"/>
  <c r="H35" i="2"/>
  <c r="F35" i="2"/>
  <c r="H34" i="2"/>
  <c r="F34" i="2"/>
  <c r="H33" i="2"/>
  <c r="F33" i="2"/>
  <c r="H32" i="2"/>
  <c r="F32" i="2"/>
  <c r="H31" i="2"/>
  <c r="F31" i="2"/>
  <c r="H30" i="2"/>
  <c r="F30" i="2"/>
  <c r="H29" i="2"/>
  <c r="F29" i="2"/>
  <c r="H28" i="2"/>
  <c r="F28" i="2"/>
  <c r="H27" i="2"/>
  <c r="F27" i="2"/>
  <c r="H26" i="2"/>
  <c r="F26" i="2"/>
  <c r="H25" i="2"/>
  <c r="F25" i="2"/>
  <c r="H24" i="2"/>
  <c r="F24" i="2"/>
  <c r="H23" i="2"/>
  <c r="F23" i="2"/>
  <c r="H22" i="2"/>
  <c r="F22" i="2"/>
  <c r="H21" i="2"/>
  <c r="F21" i="2"/>
  <c r="H20" i="2"/>
  <c r="F20" i="2"/>
  <c r="H19" i="2"/>
  <c r="F19" i="2"/>
  <c r="H18" i="2"/>
  <c r="F18" i="2"/>
  <c r="H17" i="2"/>
  <c r="F17" i="2"/>
  <c r="H16" i="2"/>
  <c r="F16" i="2"/>
  <c r="H15" i="2"/>
  <c r="F15" i="2"/>
  <c r="H14" i="2"/>
  <c r="F14" i="2"/>
  <c r="H13" i="2"/>
  <c r="F13" i="2"/>
  <c r="H12" i="2"/>
  <c r="F12" i="2"/>
  <c r="H11" i="2"/>
  <c r="F11" i="2"/>
  <c r="H10" i="2"/>
  <c r="F10" i="2"/>
  <c r="H9" i="2"/>
  <c r="F9" i="2"/>
  <c r="H8" i="2"/>
  <c r="F8" i="2"/>
  <c r="H7" i="2"/>
  <c r="F7" i="2"/>
  <c r="H6" i="2"/>
  <c r="F6" i="2"/>
  <c r="H5" i="2"/>
  <c r="F5" i="2"/>
  <c r="H4" i="2"/>
  <c r="F4" i="2"/>
  <c r="H3" i="2"/>
  <c r="F3" i="2"/>
  <c r="H2" i="2"/>
  <c r="F2" i="2"/>
  <c r="B26" i="8"/>
  <c r="G20" i="8"/>
  <c r="B22" i="8"/>
  <c r="D22" i="8" a="1"/>
  <c r="D22" i="8"/>
  <c r="R26" i="1" a="1"/>
  <c r="R26" i="1"/>
  <c r="B23" i="8"/>
  <c r="D23" i="8" a="1"/>
  <c r="D23" i="8"/>
  <c r="R27" i="1" a="1"/>
  <c r="R27" i="1"/>
  <c r="B25" i="8"/>
  <c r="B24" i="8"/>
  <c r="D24" i="8" a="1"/>
  <c r="D24" i="8"/>
  <c r="B21" i="8"/>
  <c r="D21" i="8" a="1"/>
  <c r="D21" i="8"/>
  <c r="R25" i="1" a="1"/>
  <c r="R25" i="1"/>
  <c r="R24" i="1" a="1"/>
  <c r="R24" i="1"/>
  <c r="BQ3" i="7"/>
  <c r="BU1" i="7"/>
  <c r="K3" i="11" a="1"/>
  <c r="K3" i="11"/>
  <c r="L3" i="11" a="1"/>
  <c r="L3" i="11"/>
  <c r="M3" i="11" a="1"/>
  <c r="N3" i="11" a="1"/>
  <c r="O3" i="11" a="1"/>
  <c r="M3" i="11"/>
  <c r="N3" i="11"/>
  <c r="O3" i="11"/>
  <c r="Q3" i="11"/>
  <c r="K4" i="11" a="1"/>
  <c r="K4" i="11"/>
  <c r="L4" i="11" a="1"/>
  <c r="L4" i="11"/>
  <c r="M4" i="11" a="1"/>
  <c r="N4" i="11" a="1"/>
  <c r="O4" i="11" a="1"/>
  <c r="M4" i="11"/>
  <c r="N4" i="11"/>
  <c r="O4" i="11"/>
  <c r="Q4" i="11"/>
  <c r="K5" i="11" a="1"/>
  <c r="K5" i="11"/>
  <c r="L5" i="11" a="1"/>
  <c r="L5" i="11"/>
  <c r="M5" i="11" a="1"/>
  <c r="N5" i="11" a="1"/>
  <c r="O5" i="11" a="1"/>
  <c r="M5" i="11"/>
  <c r="N5" i="11"/>
  <c r="O5" i="11"/>
  <c r="Q5" i="11"/>
  <c r="K6" i="11" a="1"/>
  <c r="K6" i="11"/>
  <c r="L6" i="11" a="1"/>
  <c r="L6" i="11"/>
  <c r="M6" i="11" a="1"/>
  <c r="N6" i="11" a="1"/>
  <c r="O6" i="11" a="1"/>
  <c r="M6" i="11"/>
  <c r="N6" i="11"/>
  <c r="O6" i="11"/>
  <c r="Q6" i="11"/>
  <c r="K7" i="11" a="1"/>
  <c r="L7" i="11" a="1"/>
  <c r="M7" i="11" a="1"/>
  <c r="N7" i="11" a="1"/>
  <c r="O7" i="11" a="1"/>
  <c r="K7" i="11"/>
  <c r="L7" i="11"/>
  <c r="M7" i="11"/>
  <c r="N7" i="11"/>
  <c r="O7" i="11"/>
  <c r="Q7" i="11"/>
  <c r="K8" i="11" a="1"/>
  <c r="L8" i="11" a="1"/>
  <c r="M8" i="11" a="1"/>
  <c r="N8" i="11" a="1"/>
  <c r="O8" i="11" a="1"/>
  <c r="K8" i="11"/>
  <c r="L8" i="11"/>
  <c r="M8" i="11"/>
  <c r="N8" i="11"/>
  <c r="O8" i="11"/>
  <c r="Q8" i="11"/>
  <c r="K9" i="11" a="1"/>
  <c r="L9" i="11" a="1"/>
  <c r="M9" i="11" a="1"/>
  <c r="N9" i="11" a="1"/>
  <c r="O9" i="11" a="1"/>
  <c r="K9" i="11"/>
  <c r="L9" i="11"/>
  <c r="M9" i="11"/>
  <c r="N9" i="11"/>
  <c r="O9" i="11"/>
  <c r="Q9" i="11"/>
  <c r="K10" i="11" a="1"/>
  <c r="L10" i="11" a="1"/>
  <c r="M10" i="11" a="1"/>
  <c r="N10" i="11" a="1"/>
  <c r="O10" i="11" a="1"/>
  <c r="K10" i="11"/>
  <c r="L10" i="11"/>
  <c r="M10" i="11"/>
  <c r="N10" i="11"/>
  <c r="O10" i="11"/>
  <c r="Q10" i="11"/>
  <c r="K11" i="11" a="1"/>
  <c r="L11" i="11" a="1"/>
  <c r="M11" i="11" a="1"/>
  <c r="N11" i="11" a="1"/>
  <c r="O11" i="11" a="1"/>
  <c r="K11" i="11"/>
  <c r="L11" i="11"/>
  <c r="M11" i="11"/>
  <c r="N11" i="11"/>
  <c r="O11" i="11"/>
  <c r="Q11" i="11"/>
  <c r="K12" i="11" a="1"/>
  <c r="L12" i="11" a="1"/>
  <c r="M12" i="11" a="1"/>
  <c r="N12" i="11" a="1"/>
  <c r="O12" i="11" a="1"/>
  <c r="K12" i="11"/>
  <c r="L12" i="11"/>
  <c r="M12" i="11"/>
  <c r="N12" i="11"/>
  <c r="O12" i="11"/>
  <c r="Q12" i="11"/>
  <c r="K13" i="11" a="1"/>
  <c r="L13" i="11" a="1"/>
  <c r="M13" i="11" a="1"/>
  <c r="N13" i="11" a="1"/>
  <c r="O13" i="11" a="1"/>
  <c r="K13" i="11"/>
  <c r="L13" i="11"/>
  <c r="M13" i="11"/>
  <c r="N13" i="11"/>
  <c r="O13" i="11"/>
  <c r="Q13" i="11"/>
  <c r="K14" i="11" a="1"/>
  <c r="L14" i="11" a="1"/>
  <c r="M14" i="11" a="1"/>
  <c r="N14" i="11" a="1"/>
  <c r="O14" i="11" a="1"/>
  <c r="K14" i="11"/>
  <c r="L14" i="11"/>
  <c r="M14" i="11"/>
  <c r="N14" i="11"/>
  <c r="O14" i="11"/>
  <c r="Q14" i="11"/>
  <c r="K15" i="11" a="1"/>
  <c r="L15" i="11" a="1"/>
  <c r="M15" i="11" a="1"/>
  <c r="N15" i="11" a="1"/>
  <c r="O15" i="11" a="1"/>
  <c r="K15" i="11"/>
  <c r="L15" i="11"/>
  <c r="M15" i="11"/>
  <c r="N15" i="11"/>
  <c r="O15" i="11"/>
  <c r="Q15" i="11"/>
  <c r="K16" i="11" a="1"/>
  <c r="L16" i="11" a="1"/>
  <c r="M16" i="11" a="1"/>
  <c r="N16" i="11" a="1"/>
  <c r="O16" i="11" a="1"/>
  <c r="K16" i="11"/>
  <c r="L16" i="11"/>
  <c r="M16" i="11"/>
  <c r="N16" i="11"/>
  <c r="O16" i="11"/>
  <c r="Q16" i="11"/>
  <c r="K17" i="11" a="1"/>
  <c r="L17" i="11" a="1"/>
  <c r="M17" i="11" a="1"/>
  <c r="N17" i="11" a="1"/>
  <c r="O17" i="11" a="1"/>
  <c r="K17" i="11"/>
  <c r="L17" i="11"/>
  <c r="M17" i="11"/>
  <c r="N17" i="11"/>
  <c r="O17" i="11"/>
  <c r="Q17" i="11"/>
  <c r="K18" i="11" a="1"/>
  <c r="L18" i="11" a="1"/>
  <c r="M18" i="11" a="1"/>
  <c r="N18" i="11" a="1"/>
  <c r="O18" i="11" a="1"/>
  <c r="K18" i="11"/>
  <c r="L18" i="11"/>
  <c r="M18" i="11"/>
  <c r="N18" i="11"/>
  <c r="O18" i="11"/>
  <c r="Q18" i="11"/>
  <c r="K19" i="11" a="1"/>
  <c r="L19" i="11" a="1"/>
  <c r="M19" i="11" a="1"/>
  <c r="N19" i="11" a="1"/>
  <c r="O19" i="11" a="1"/>
  <c r="K19" i="11"/>
  <c r="L19" i="11"/>
  <c r="M19" i="11"/>
  <c r="N19" i="11"/>
  <c r="O19" i="11"/>
  <c r="Q19" i="11"/>
  <c r="K20" i="11" a="1"/>
  <c r="L20" i="11" a="1"/>
  <c r="M20" i="11" a="1"/>
  <c r="N20" i="11" a="1"/>
  <c r="O20" i="11" a="1"/>
  <c r="K20" i="11"/>
  <c r="L20" i="11"/>
  <c r="M20" i="11"/>
  <c r="N20" i="11"/>
  <c r="O20" i="11"/>
  <c r="Q20" i="11"/>
  <c r="K21" i="11" a="1"/>
  <c r="L21" i="11" a="1"/>
  <c r="M21" i="11" a="1"/>
  <c r="N21" i="11" a="1"/>
  <c r="O21" i="11" a="1"/>
  <c r="K21" i="11"/>
  <c r="L21" i="11"/>
  <c r="M21" i="11"/>
  <c r="N21" i="11"/>
  <c r="O21" i="11"/>
  <c r="Q21" i="11"/>
  <c r="K22" i="11" a="1"/>
  <c r="L22" i="11" a="1"/>
  <c r="M22" i="11" a="1"/>
  <c r="N22" i="11" a="1"/>
  <c r="O22" i="11" a="1"/>
  <c r="K22" i="11"/>
  <c r="L22" i="11"/>
  <c r="M22" i="11"/>
  <c r="N22" i="11"/>
  <c r="O22" i="11"/>
  <c r="Q22" i="11"/>
  <c r="K23" i="11" a="1"/>
  <c r="L23" i="11" a="1"/>
  <c r="M23" i="11" a="1"/>
  <c r="N23" i="11" a="1"/>
  <c r="O23" i="11" a="1"/>
  <c r="K23" i="11"/>
  <c r="L23" i="11"/>
  <c r="M23" i="11"/>
  <c r="N23" i="11"/>
  <c r="O23" i="11"/>
  <c r="Q23" i="11"/>
  <c r="K24" i="11" a="1"/>
  <c r="L24" i="11" a="1"/>
  <c r="M24" i="11" a="1"/>
  <c r="N24" i="11" a="1"/>
  <c r="O24" i="11" a="1"/>
  <c r="K24" i="11"/>
  <c r="L24" i="11"/>
  <c r="M24" i="11"/>
  <c r="N24" i="11"/>
  <c r="O24" i="11"/>
  <c r="Q24" i="11"/>
  <c r="K25" i="11" a="1"/>
  <c r="L25" i="11" a="1"/>
  <c r="M25" i="11" a="1"/>
  <c r="N25" i="11" a="1"/>
  <c r="O25" i="11" a="1"/>
  <c r="K25" i="11"/>
  <c r="L25" i="11"/>
  <c r="M25" i="11"/>
  <c r="N25" i="11"/>
  <c r="O25" i="11"/>
  <c r="Q25" i="11"/>
  <c r="K26" i="11" a="1"/>
  <c r="L26" i="11" a="1"/>
  <c r="M26" i="11" a="1"/>
  <c r="N26" i="11" a="1"/>
  <c r="O26" i="11" a="1"/>
  <c r="K26" i="11"/>
  <c r="L26" i="11"/>
  <c r="M26" i="11"/>
  <c r="N26" i="11"/>
  <c r="O26" i="11"/>
  <c r="Q26" i="11"/>
  <c r="K27" i="11" a="1"/>
  <c r="L27" i="11" a="1"/>
  <c r="M27" i="11" a="1"/>
  <c r="N27" i="11" a="1"/>
  <c r="O27" i="11" a="1"/>
  <c r="K27" i="11"/>
  <c r="L27" i="11"/>
  <c r="M27" i="11"/>
  <c r="N27" i="11"/>
  <c r="O27" i="11"/>
  <c r="Q27" i="11"/>
  <c r="K28" i="11" a="1"/>
  <c r="L28" i="11" a="1"/>
  <c r="M28" i="11" a="1"/>
  <c r="N28" i="11" a="1"/>
  <c r="O28" i="11" a="1"/>
  <c r="K28" i="11"/>
  <c r="L28" i="11"/>
  <c r="M28" i="11"/>
  <c r="N28" i="11"/>
  <c r="O28" i="11"/>
  <c r="Q28" i="11"/>
  <c r="K29" i="11" a="1"/>
  <c r="L29" i="11" a="1"/>
  <c r="M29" i="11" a="1"/>
  <c r="N29" i="11" a="1"/>
  <c r="O29" i="11" a="1"/>
  <c r="K29" i="11"/>
  <c r="L29" i="11"/>
  <c r="M29" i="11"/>
  <c r="N29" i="11"/>
  <c r="O29" i="11"/>
  <c r="Q29" i="11"/>
  <c r="K30" i="11" a="1"/>
  <c r="L30" i="11" a="1"/>
  <c r="M30" i="11" a="1"/>
  <c r="N30" i="11" a="1"/>
  <c r="O30" i="11" a="1"/>
  <c r="K30" i="11"/>
  <c r="L30" i="11"/>
  <c r="M30" i="11"/>
  <c r="N30" i="11"/>
  <c r="O30" i="11"/>
  <c r="Q30" i="11"/>
  <c r="K31" i="11" a="1"/>
  <c r="L31" i="11" a="1"/>
  <c r="M31" i="11" a="1"/>
  <c r="N31" i="11" a="1"/>
  <c r="O31" i="11" a="1"/>
  <c r="K31" i="11"/>
  <c r="L31" i="11"/>
  <c r="M31" i="11"/>
  <c r="N31" i="11"/>
  <c r="O31" i="11"/>
  <c r="Q31" i="11"/>
  <c r="K32" i="11" a="1"/>
  <c r="L32" i="11" a="1"/>
  <c r="M32" i="11" a="1"/>
  <c r="N32" i="11" a="1"/>
  <c r="O32" i="11" a="1"/>
  <c r="K32" i="11"/>
  <c r="L32" i="11"/>
  <c r="M32" i="11"/>
  <c r="N32" i="11"/>
  <c r="O32" i="11"/>
  <c r="Q32" i="11"/>
  <c r="K33" i="11" a="1"/>
  <c r="L33" i="11" a="1"/>
  <c r="M33" i="11" a="1"/>
  <c r="N33" i="11" a="1"/>
  <c r="O33" i="11" a="1"/>
  <c r="K33" i="11"/>
  <c r="L33" i="11"/>
  <c r="M33" i="11"/>
  <c r="N33" i="11"/>
  <c r="O33" i="11"/>
  <c r="Q33" i="11"/>
  <c r="K34" i="11" a="1"/>
  <c r="L34" i="11" a="1"/>
  <c r="M34" i="11" a="1"/>
  <c r="N34" i="11" a="1"/>
  <c r="O34" i="11" a="1"/>
  <c r="K34" i="11"/>
  <c r="L34" i="11"/>
  <c r="M34" i="11"/>
  <c r="N34" i="11"/>
  <c r="O34" i="11"/>
  <c r="Q34" i="11"/>
  <c r="K35" i="11" a="1"/>
  <c r="L35" i="11" a="1"/>
  <c r="M35" i="11" a="1"/>
  <c r="N35" i="11" a="1"/>
  <c r="O35" i="11" a="1"/>
  <c r="K35" i="11"/>
  <c r="L35" i="11"/>
  <c r="M35" i="11"/>
  <c r="N35" i="11"/>
  <c r="O35" i="11"/>
  <c r="Q35" i="11"/>
  <c r="K36" i="11" a="1"/>
  <c r="L36" i="11" a="1"/>
  <c r="M36" i="11" a="1"/>
  <c r="N36" i="11" a="1"/>
  <c r="O36" i="11" a="1"/>
  <c r="K36" i="11"/>
  <c r="L36" i="11"/>
  <c r="M36" i="11"/>
  <c r="N36" i="11"/>
  <c r="O36" i="11"/>
  <c r="Q36" i="11"/>
  <c r="K37" i="11" a="1"/>
  <c r="L37" i="11" a="1"/>
  <c r="M37" i="11" a="1"/>
  <c r="N37" i="11" a="1"/>
  <c r="O37" i="11" a="1"/>
  <c r="K37" i="11"/>
  <c r="L37" i="11"/>
  <c r="M37" i="11"/>
  <c r="N37" i="11"/>
  <c r="O37" i="11"/>
  <c r="Q37" i="11"/>
  <c r="K38" i="11" a="1"/>
  <c r="L38" i="11" a="1"/>
  <c r="M38" i="11" a="1"/>
  <c r="N38" i="11" a="1"/>
  <c r="O38" i="11" a="1"/>
  <c r="K38" i="11"/>
  <c r="L38" i="11"/>
  <c r="M38" i="11"/>
  <c r="N38" i="11"/>
  <c r="O38" i="11"/>
  <c r="Q38" i="11"/>
  <c r="K39" i="11" a="1"/>
  <c r="L39" i="11" a="1"/>
  <c r="M39" i="11" a="1"/>
  <c r="N39" i="11" a="1"/>
  <c r="O39" i="11" a="1"/>
  <c r="K39" i="11"/>
  <c r="L39" i="11"/>
  <c r="M39" i="11"/>
  <c r="N39" i="11"/>
  <c r="O39" i="11"/>
  <c r="Q39" i="11"/>
  <c r="K40" i="11" a="1"/>
  <c r="L40" i="11" a="1"/>
  <c r="M40" i="11" a="1"/>
  <c r="N40" i="11" a="1"/>
  <c r="O40" i="11" a="1"/>
  <c r="K40" i="11"/>
  <c r="L40" i="11"/>
  <c r="M40" i="11"/>
  <c r="N40" i="11"/>
  <c r="O40" i="11"/>
  <c r="Q40" i="11"/>
  <c r="K41" i="11" a="1"/>
  <c r="L41" i="11" a="1"/>
  <c r="M41" i="11" a="1"/>
  <c r="N41" i="11" a="1"/>
  <c r="O41" i="11" a="1"/>
  <c r="K41" i="11"/>
  <c r="L41" i="11"/>
  <c r="M41" i="11"/>
  <c r="N41" i="11"/>
  <c r="O41" i="11"/>
  <c r="Q41" i="11"/>
  <c r="K42" i="11" a="1"/>
  <c r="L42" i="11" a="1"/>
  <c r="M42" i="11" a="1"/>
  <c r="N42" i="11" a="1"/>
  <c r="O42" i="11" a="1"/>
  <c r="K42" i="11"/>
  <c r="L42" i="11"/>
  <c r="M42" i="11"/>
  <c r="N42" i="11"/>
  <c r="O42" i="11"/>
  <c r="Q42" i="11"/>
  <c r="K43" i="11" a="1"/>
  <c r="L43" i="11" a="1"/>
  <c r="M43" i="11" a="1"/>
  <c r="N43" i="11" a="1"/>
  <c r="O43" i="11" a="1"/>
  <c r="K43" i="11"/>
  <c r="L43" i="11"/>
  <c r="M43" i="11"/>
  <c r="N43" i="11"/>
  <c r="O43" i="11"/>
  <c r="Q43" i="11"/>
  <c r="K44" i="11" a="1"/>
  <c r="L44" i="11" a="1"/>
  <c r="M44" i="11" a="1"/>
  <c r="N44" i="11" a="1"/>
  <c r="O44" i="11" a="1"/>
  <c r="K44" i="11"/>
  <c r="L44" i="11"/>
  <c r="M44" i="11"/>
  <c r="N44" i="11"/>
  <c r="O44" i="11"/>
  <c r="Q44" i="11"/>
  <c r="K45" i="11" a="1"/>
  <c r="L45" i="11" a="1"/>
  <c r="M45" i="11" a="1"/>
  <c r="N45" i="11" a="1"/>
  <c r="O45" i="11" a="1"/>
  <c r="K45" i="11"/>
  <c r="L45" i="11"/>
  <c r="M45" i="11"/>
  <c r="N45" i="11"/>
  <c r="O45" i="11"/>
  <c r="Q45" i="11"/>
  <c r="K46" i="11" a="1"/>
  <c r="L46" i="11" a="1"/>
  <c r="M46" i="11" a="1"/>
  <c r="N46" i="11" a="1"/>
  <c r="O46" i="11" a="1"/>
  <c r="K46" i="11"/>
  <c r="L46" i="11"/>
  <c r="M46" i="11"/>
  <c r="N46" i="11"/>
  <c r="O46" i="11"/>
  <c r="Q46" i="11"/>
  <c r="K47" i="11" a="1"/>
  <c r="L47" i="11" a="1"/>
  <c r="M47" i="11" a="1"/>
  <c r="N47" i="11" a="1"/>
  <c r="O47" i="11" a="1"/>
  <c r="K47" i="11"/>
  <c r="L47" i="11"/>
  <c r="M47" i="11"/>
  <c r="N47" i="11"/>
  <c r="O47" i="11"/>
  <c r="Q47" i="11"/>
  <c r="K48" i="11" a="1"/>
  <c r="L48" i="11" a="1"/>
  <c r="M48" i="11" a="1"/>
  <c r="N48" i="11" a="1"/>
  <c r="O48" i="11" a="1"/>
  <c r="K48" i="11"/>
  <c r="L48" i="11"/>
  <c r="M48" i="11"/>
  <c r="N48" i="11"/>
  <c r="O48" i="11"/>
  <c r="Q48" i="11"/>
  <c r="K49" i="11" a="1"/>
  <c r="L49" i="11" a="1"/>
  <c r="M49" i="11" a="1"/>
  <c r="N49" i="11" a="1"/>
  <c r="O49" i="11" a="1"/>
  <c r="K49" i="11"/>
  <c r="L49" i="11"/>
  <c r="M49" i="11"/>
  <c r="N49" i="11"/>
  <c r="O49" i="11"/>
  <c r="Q49" i="11"/>
  <c r="K50" i="11" a="1"/>
  <c r="L50" i="11" a="1"/>
  <c r="M50" i="11" a="1"/>
  <c r="N50" i="11" a="1"/>
  <c r="O50" i="11" a="1"/>
  <c r="K50" i="11"/>
  <c r="L50" i="11"/>
  <c r="M50" i="11"/>
  <c r="N50" i="11"/>
  <c r="O50" i="11"/>
  <c r="Q50" i="11"/>
  <c r="K51" i="11" a="1"/>
  <c r="L51" i="11" a="1"/>
  <c r="M51" i="11" a="1"/>
  <c r="N51" i="11" a="1"/>
  <c r="O51" i="11" a="1"/>
  <c r="K51" i="11"/>
  <c r="L51" i="11"/>
  <c r="M51" i="11"/>
  <c r="N51" i="11"/>
  <c r="O51" i="11"/>
  <c r="Q51" i="11"/>
  <c r="K52" i="11" a="1"/>
  <c r="L52" i="11" a="1"/>
  <c r="M52" i="11" a="1"/>
  <c r="N52" i="11" a="1"/>
  <c r="O52" i="11" a="1"/>
  <c r="K52" i="11"/>
  <c r="L52" i="11"/>
  <c r="M52" i="11"/>
  <c r="N52" i="11"/>
  <c r="O52" i="11"/>
  <c r="Q52" i="11"/>
  <c r="K53" i="11" a="1"/>
  <c r="L53" i="11" a="1"/>
  <c r="M53" i="11" a="1"/>
  <c r="N53" i="11" a="1"/>
  <c r="O53" i="11" a="1"/>
  <c r="K53" i="11"/>
  <c r="L53" i="11"/>
  <c r="M53" i="11"/>
  <c r="N53" i="11"/>
  <c r="O53" i="11"/>
  <c r="Q53" i="11"/>
  <c r="K54" i="11" a="1"/>
  <c r="L54" i="11" a="1"/>
  <c r="M54" i="11" a="1"/>
  <c r="N54" i="11" a="1"/>
  <c r="O54" i="11" a="1"/>
  <c r="K54" i="11"/>
  <c r="L54" i="11"/>
  <c r="M54" i="11"/>
  <c r="N54" i="11"/>
  <c r="O54" i="11"/>
  <c r="Q54" i="11"/>
  <c r="K55" i="11" a="1"/>
  <c r="L55" i="11" a="1"/>
  <c r="M55" i="11" a="1"/>
  <c r="N55" i="11" a="1"/>
  <c r="O55" i="11" a="1"/>
  <c r="K55" i="11"/>
  <c r="L55" i="11"/>
  <c r="M55" i="11"/>
  <c r="N55" i="11"/>
  <c r="O55" i="11"/>
  <c r="Q55" i="11"/>
  <c r="K56" i="11" a="1"/>
  <c r="L56" i="11" a="1"/>
  <c r="M56" i="11" a="1"/>
  <c r="N56" i="11" a="1"/>
  <c r="O56" i="11" a="1"/>
  <c r="K56" i="11"/>
  <c r="L56" i="11"/>
  <c r="M56" i="11"/>
  <c r="N56" i="11"/>
  <c r="O56" i="11"/>
  <c r="Q56" i="11"/>
  <c r="K57" i="11" a="1"/>
  <c r="L57" i="11" a="1"/>
  <c r="M57" i="11" a="1"/>
  <c r="N57" i="11" a="1"/>
  <c r="O57" i="11" a="1"/>
  <c r="K57" i="11"/>
  <c r="L57" i="11"/>
  <c r="M57" i="11"/>
  <c r="N57" i="11"/>
  <c r="O57" i="11"/>
  <c r="Q57" i="11"/>
  <c r="K58" i="11" a="1"/>
  <c r="L58" i="11" a="1"/>
  <c r="M58" i="11" a="1"/>
  <c r="N58" i="11" a="1"/>
  <c r="O58" i="11" a="1"/>
  <c r="K58" i="11"/>
  <c r="L58" i="11"/>
  <c r="M58" i="11"/>
  <c r="N58" i="11"/>
  <c r="O58" i="11"/>
  <c r="Q58" i="11"/>
  <c r="K59" i="11" a="1"/>
  <c r="L59" i="11" a="1"/>
  <c r="M59" i="11" a="1"/>
  <c r="N59" i="11" a="1"/>
  <c r="O59" i="11" a="1"/>
  <c r="K59" i="11"/>
  <c r="L59" i="11"/>
  <c r="M59" i="11"/>
  <c r="N59" i="11"/>
  <c r="O59" i="11"/>
  <c r="Q59" i="11"/>
  <c r="K60" i="11" a="1"/>
  <c r="L60" i="11" a="1"/>
  <c r="M60" i="11" a="1"/>
  <c r="N60" i="11" a="1"/>
  <c r="O60" i="11" a="1"/>
  <c r="K60" i="11"/>
  <c r="L60" i="11"/>
  <c r="M60" i="11"/>
  <c r="N60" i="11"/>
  <c r="O60" i="11"/>
  <c r="Q60" i="11"/>
  <c r="K61" i="11" a="1"/>
  <c r="L61" i="11" a="1"/>
  <c r="M61" i="11" a="1"/>
  <c r="N61" i="11" a="1"/>
  <c r="O61" i="11" a="1"/>
  <c r="K61" i="11"/>
  <c r="L61" i="11"/>
  <c r="M61" i="11"/>
  <c r="N61" i="11"/>
  <c r="O61" i="11"/>
  <c r="Q61" i="11"/>
  <c r="K62" i="11" a="1"/>
  <c r="L62" i="11" a="1"/>
  <c r="M62" i="11" a="1"/>
  <c r="N62" i="11" a="1"/>
  <c r="O62" i="11" a="1"/>
  <c r="K62" i="11"/>
  <c r="L62" i="11"/>
  <c r="M62" i="11"/>
  <c r="N62" i="11"/>
  <c r="O62" i="11"/>
  <c r="Q62" i="11"/>
  <c r="K63" i="11" a="1"/>
  <c r="L63" i="11" a="1"/>
  <c r="M63" i="11" a="1"/>
  <c r="N63" i="11" a="1"/>
  <c r="O63" i="11" a="1"/>
  <c r="K63" i="11"/>
  <c r="L63" i="11"/>
  <c r="M63" i="11"/>
  <c r="N63" i="11"/>
  <c r="O63" i="11"/>
  <c r="Q63" i="11"/>
  <c r="K64" i="11" a="1"/>
  <c r="L64" i="11" a="1"/>
  <c r="M64" i="11" a="1"/>
  <c r="N64" i="11" a="1"/>
  <c r="O64" i="11" a="1"/>
  <c r="K64" i="11"/>
  <c r="L64" i="11"/>
  <c r="M64" i="11"/>
  <c r="N64" i="11"/>
  <c r="O64" i="11"/>
  <c r="Q64" i="11"/>
  <c r="K65" i="11" a="1"/>
  <c r="L65" i="11" a="1"/>
  <c r="M65" i="11" a="1"/>
  <c r="N65" i="11" a="1"/>
  <c r="O65" i="11" a="1"/>
  <c r="K65" i="11"/>
  <c r="L65" i="11"/>
  <c r="M65" i="11"/>
  <c r="N65" i="11"/>
  <c r="O65" i="11"/>
  <c r="Q65" i="11"/>
  <c r="K66" i="11" a="1"/>
  <c r="L66" i="11" a="1"/>
  <c r="M66" i="11" a="1"/>
  <c r="N66" i="11" a="1"/>
  <c r="O66" i="11" a="1"/>
  <c r="K66" i="11"/>
  <c r="L66" i="11"/>
  <c r="M66" i="11"/>
  <c r="N66" i="11"/>
  <c r="O66" i="11"/>
  <c r="Q66" i="11"/>
  <c r="K67" i="11" a="1"/>
  <c r="L67" i="11" a="1"/>
  <c r="M67" i="11" a="1"/>
  <c r="N67" i="11" a="1"/>
  <c r="O67" i="11" a="1"/>
  <c r="K67" i="11"/>
  <c r="L67" i="11"/>
  <c r="M67" i="11"/>
  <c r="N67" i="11"/>
  <c r="O67" i="11"/>
  <c r="Q67" i="11"/>
  <c r="K68" i="11" a="1"/>
  <c r="L68" i="11" a="1"/>
  <c r="M68" i="11" a="1"/>
  <c r="N68" i="11" a="1"/>
  <c r="O68" i="11" a="1"/>
  <c r="K68" i="11"/>
  <c r="L68" i="11"/>
  <c r="M68" i="11"/>
  <c r="N68" i="11"/>
  <c r="O68" i="11"/>
  <c r="Q68" i="11"/>
  <c r="K69" i="11" a="1"/>
  <c r="L69" i="11" a="1"/>
  <c r="M69" i="11" a="1"/>
  <c r="N69" i="11" a="1"/>
  <c r="O69" i="11" a="1"/>
  <c r="K69" i="11"/>
  <c r="L69" i="11"/>
  <c r="M69" i="11"/>
  <c r="N69" i="11"/>
  <c r="O69" i="11"/>
  <c r="Q69" i="11"/>
  <c r="K70" i="11" a="1"/>
  <c r="L70" i="11" a="1"/>
  <c r="M70" i="11" a="1"/>
  <c r="N70" i="11" a="1"/>
  <c r="O70" i="11" a="1"/>
  <c r="K70" i="11"/>
  <c r="L70" i="11"/>
  <c r="M70" i="11"/>
  <c r="N70" i="11"/>
  <c r="O70" i="11"/>
  <c r="Q70" i="11"/>
  <c r="K71" i="11" a="1"/>
  <c r="L71" i="11" a="1"/>
  <c r="M71" i="11" a="1"/>
  <c r="N71" i="11" a="1"/>
  <c r="O71" i="11" a="1"/>
  <c r="K71" i="11"/>
  <c r="L71" i="11"/>
  <c r="M71" i="11"/>
  <c r="N71" i="11"/>
  <c r="O71" i="11"/>
  <c r="Q71" i="11"/>
  <c r="K72" i="11" a="1"/>
  <c r="L72" i="11" a="1"/>
  <c r="M72" i="11" a="1"/>
  <c r="N72" i="11" a="1"/>
  <c r="O72" i="11" a="1"/>
  <c r="K72" i="11"/>
  <c r="L72" i="11"/>
  <c r="M72" i="11"/>
  <c r="N72" i="11"/>
  <c r="O72" i="11"/>
  <c r="Q72" i="11"/>
  <c r="K73" i="11" a="1"/>
  <c r="L73" i="11" a="1"/>
  <c r="M73" i="11" a="1"/>
  <c r="N73" i="11" a="1"/>
  <c r="O73" i="11" a="1"/>
  <c r="K73" i="11"/>
  <c r="L73" i="11"/>
  <c r="M73" i="11"/>
  <c r="N73" i="11"/>
  <c r="O73" i="11"/>
  <c r="Q73" i="11"/>
  <c r="K74" i="11" a="1"/>
  <c r="L74" i="11" a="1"/>
  <c r="M74" i="11" a="1"/>
  <c r="N74" i="11" a="1"/>
  <c r="O74" i="11" a="1"/>
  <c r="K74" i="11"/>
  <c r="L74" i="11"/>
  <c r="M74" i="11"/>
  <c r="N74" i="11"/>
  <c r="O74" i="11"/>
  <c r="Q74" i="11"/>
  <c r="K75" i="11" a="1"/>
  <c r="L75" i="11" a="1"/>
  <c r="M75" i="11" a="1"/>
  <c r="N75" i="11" a="1"/>
  <c r="O75" i="11" a="1"/>
  <c r="K75" i="11"/>
  <c r="L75" i="11"/>
  <c r="M75" i="11"/>
  <c r="N75" i="11"/>
  <c r="O75" i="11"/>
  <c r="Q75" i="11"/>
  <c r="K76" i="11" a="1"/>
  <c r="L76" i="11" a="1"/>
  <c r="M76" i="11" a="1"/>
  <c r="N76" i="11" a="1"/>
  <c r="O76" i="11" a="1"/>
  <c r="K76" i="11"/>
  <c r="L76" i="11"/>
  <c r="M76" i="11"/>
  <c r="N76" i="11"/>
  <c r="O76" i="11"/>
  <c r="Q76" i="11"/>
  <c r="K77" i="11" a="1"/>
  <c r="L77" i="11" a="1"/>
  <c r="M77" i="11" a="1"/>
  <c r="N77" i="11" a="1"/>
  <c r="O77" i="11" a="1"/>
  <c r="K77" i="11"/>
  <c r="L77" i="11"/>
  <c r="M77" i="11"/>
  <c r="N77" i="11"/>
  <c r="O77" i="11"/>
  <c r="Q77" i="11"/>
  <c r="K78" i="11" a="1"/>
  <c r="L78" i="11" a="1"/>
  <c r="M78" i="11" a="1"/>
  <c r="N78" i="11" a="1"/>
  <c r="O78" i="11" a="1"/>
  <c r="K78" i="11"/>
  <c r="L78" i="11"/>
  <c r="M78" i="11"/>
  <c r="N78" i="11"/>
  <c r="O78" i="11"/>
  <c r="Q78" i="11"/>
  <c r="K79" i="11" a="1"/>
  <c r="L79" i="11" a="1"/>
  <c r="M79" i="11" a="1"/>
  <c r="N79" i="11" a="1"/>
  <c r="O79" i="11" a="1"/>
  <c r="K79" i="11"/>
  <c r="L79" i="11"/>
  <c r="M79" i="11"/>
  <c r="N79" i="11"/>
  <c r="O79" i="11"/>
  <c r="Q79" i="11"/>
  <c r="K80" i="11" a="1"/>
  <c r="L80" i="11" a="1"/>
  <c r="M80" i="11" a="1"/>
  <c r="N80" i="11" a="1"/>
  <c r="O80" i="11" a="1"/>
  <c r="K80" i="11"/>
  <c r="L80" i="11"/>
  <c r="M80" i="11"/>
  <c r="N80" i="11"/>
  <c r="O80" i="11"/>
  <c r="Q80" i="11"/>
  <c r="K81" i="11" a="1"/>
  <c r="L81" i="11" a="1"/>
  <c r="M81" i="11" a="1"/>
  <c r="N81" i="11" a="1"/>
  <c r="O81" i="11" a="1"/>
  <c r="K81" i="11"/>
  <c r="L81" i="11"/>
  <c r="M81" i="11"/>
  <c r="N81" i="11"/>
  <c r="O81" i="11"/>
  <c r="Q81" i="11"/>
  <c r="K82" i="11" a="1"/>
  <c r="L82" i="11" a="1"/>
  <c r="M82" i="11" a="1"/>
  <c r="N82" i="11" a="1"/>
  <c r="O82" i="11" a="1"/>
  <c r="K82" i="11"/>
  <c r="L82" i="11"/>
  <c r="M82" i="11"/>
  <c r="N82" i="11"/>
  <c r="O82" i="11"/>
  <c r="Q82" i="11"/>
  <c r="K83" i="11" a="1"/>
  <c r="L83" i="11" a="1"/>
  <c r="M83" i="11" a="1"/>
  <c r="N83" i="11" a="1"/>
  <c r="O83" i="11" a="1"/>
  <c r="K83" i="11"/>
  <c r="L83" i="11"/>
  <c r="M83" i="11"/>
  <c r="N83" i="11"/>
  <c r="O83" i="11"/>
  <c r="Q83" i="11"/>
  <c r="K84" i="11" a="1"/>
  <c r="L84" i="11" a="1"/>
  <c r="M84" i="11" a="1"/>
  <c r="N84" i="11" a="1"/>
  <c r="O84" i="11" a="1"/>
  <c r="K84" i="11"/>
  <c r="L84" i="11"/>
  <c r="M84" i="11"/>
  <c r="N84" i="11"/>
  <c r="O84" i="11"/>
  <c r="Q84" i="11"/>
  <c r="K85" i="11" a="1"/>
  <c r="L85" i="11" a="1"/>
  <c r="M85" i="11" a="1"/>
  <c r="N85" i="11" a="1"/>
  <c r="O85" i="11" a="1"/>
  <c r="K85" i="11"/>
  <c r="L85" i="11"/>
  <c r="M85" i="11"/>
  <c r="N85" i="11"/>
  <c r="O85" i="11"/>
  <c r="Q85" i="11"/>
  <c r="K86" i="11" a="1"/>
  <c r="L86" i="11" a="1"/>
  <c r="M86" i="11" a="1"/>
  <c r="N86" i="11" a="1"/>
  <c r="O86" i="11" a="1"/>
  <c r="K86" i="11"/>
  <c r="L86" i="11"/>
  <c r="M86" i="11"/>
  <c r="N86" i="11"/>
  <c r="O86" i="11"/>
  <c r="Q86" i="11"/>
  <c r="K87" i="11" a="1"/>
  <c r="L87" i="11" a="1"/>
  <c r="M87" i="11" a="1"/>
  <c r="N87" i="11" a="1"/>
  <c r="O87" i="11" a="1"/>
  <c r="K87" i="11"/>
  <c r="L87" i="11"/>
  <c r="M87" i="11"/>
  <c r="N87" i="11"/>
  <c r="O87" i="11"/>
  <c r="Q87" i="11"/>
  <c r="K88" i="11" a="1"/>
  <c r="L88" i="11" a="1"/>
  <c r="M88" i="11" a="1"/>
  <c r="N88" i="11" a="1"/>
  <c r="O88" i="11" a="1"/>
  <c r="K88" i="11"/>
  <c r="L88" i="11"/>
  <c r="M88" i="11"/>
  <c r="N88" i="11"/>
  <c r="O88" i="11"/>
  <c r="Q88" i="11"/>
  <c r="K89" i="11" a="1"/>
  <c r="L89" i="11" a="1"/>
  <c r="M89" i="11" a="1"/>
  <c r="N89" i="11" a="1"/>
  <c r="O89" i="11" a="1"/>
  <c r="K89" i="11"/>
  <c r="L89" i="11"/>
  <c r="M89" i="11"/>
  <c r="N89" i="11"/>
  <c r="O89" i="11"/>
  <c r="Q89" i="11"/>
  <c r="K90" i="11" a="1"/>
  <c r="L90" i="11" a="1"/>
  <c r="M90" i="11" a="1"/>
  <c r="N90" i="11" a="1"/>
  <c r="O90" i="11" a="1"/>
  <c r="K90" i="11"/>
  <c r="L90" i="11"/>
  <c r="M90" i="11"/>
  <c r="N90" i="11"/>
  <c r="O90" i="11"/>
  <c r="Q90" i="11"/>
  <c r="K91" i="11" a="1"/>
  <c r="L91" i="11" a="1"/>
  <c r="M91" i="11" a="1"/>
  <c r="N91" i="11" a="1"/>
  <c r="O91" i="11" a="1"/>
  <c r="K91" i="11"/>
  <c r="L91" i="11"/>
  <c r="M91" i="11"/>
  <c r="N91" i="11"/>
  <c r="O91" i="11"/>
  <c r="Q91" i="11"/>
  <c r="K92" i="11" a="1"/>
  <c r="L92" i="11" a="1"/>
  <c r="M92" i="11" a="1"/>
  <c r="N92" i="11" a="1"/>
  <c r="O92" i="11" a="1"/>
  <c r="K92" i="11"/>
  <c r="L92" i="11"/>
  <c r="M92" i="11"/>
  <c r="N92" i="11"/>
  <c r="O92" i="11"/>
  <c r="Q92" i="11"/>
  <c r="K93" i="11" a="1"/>
  <c r="L93" i="11" a="1"/>
  <c r="M93" i="11" a="1"/>
  <c r="N93" i="11" a="1"/>
  <c r="O93" i="11" a="1"/>
  <c r="K93" i="11"/>
  <c r="L93" i="11"/>
  <c r="M93" i="11"/>
  <c r="N93" i="11"/>
  <c r="O93" i="11"/>
  <c r="Q93" i="11"/>
  <c r="K94" i="11" a="1"/>
  <c r="L94" i="11" a="1"/>
  <c r="M94" i="11" a="1"/>
  <c r="N94" i="11" a="1"/>
  <c r="O94" i="11" a="1"/>
  <c r="K94" i="11"/>
  <c r="L94" i="11"/>
  <c r="M94" i="11"/>
  <c r="N94" i="11"/>
  <c r="O94" i="11"/>
  <c r="Q94" i="11"/>
  <c r="K95" i="11" a="1"/>
  <c r="L95" i="11" a="1"/>
  <c r="M95" i="11" a="1"/>
  <c r="N95" i="11" a="1"/>
  <c r="O95" i="11" a="1"/>
  <c r="K95" i="11"/>
  <c r="L95" i="11"/>
  <c r="M95" i="11"/>
  <c r="N95" i="11"/>
  <c r="O95" i="11"/>
  <c r="Q95" i="11"/>
  <c r="K96" i="11" a="1"/>
  <c r="L96" i="11" a="1"/>
  <c r="M96" i="11" a="1"/>
  <c r="N96" i="11" a="1"/>
  <c r="O96" i="11" a="1"/>
  <c r="K96" i="11"/>
  <c r="L96" i="11"/>
  <c r="M96" i="11"/>
  <c r="N96" i="11"/>
  <c r="O96" i="11"/>
  <c r="Q96" i="11"/>
  <c r="K97" i="11" a="1"/>
  <c r="L97" i="11" a="1"/>
  <c r="M97" i="11" a="1"/>
  <c r="N97" i="11" a="1"/>
  <c r="O97" i="11" a="1"/>
  <c r="K97" i="11"/>
  <c r="L97" i="11"/>
  <c r="M97" i="11"/>
  <c r="N97" i="11"/>
  <c r="O97" i="11"/>
  <c r="Q97" i="11"/>
  <c r="K98" i="11" a="1"/>
  <c r="L98" i="11" a="1"/>
  <c r="M98" i="11" a="1"/>
  <c r="N98" i="11" a="1"/>
  <c r="O98" i="11" a="1"/>
  <c r="K98" i="11"/>
  <c r="L98" i="11"/>
  <c r="M98" i="11"/>
  <c r="N98" i="11"/>
  <c r="O98" i="11"/>
  <c r="Q98" i="11"/>
  <c r="K99" i="11" a="1"/>
  <c r="L99" i="11" a="1"/>
  <c r="M99" i="11" a="1"/>
  <c r="N99" i="11" a="1"/>
  <c r="O99" i="11" a="1"/>
  <c r="K99" i="11"/>
  <c r="L99" i="11"/>
  <c r="M99" i="11"/>
  <c r="N99" i="11"/>
  <c r="O99" i="11"/>
  <c r="Q99" i="11"/>
  <c r="K100" i="11" a="1"/>
  <c r="L100" i="11" a="1"/>
  <c r="M100" i="11" a="1"/>
  <c r="N100" i="11" a="1"/>
  <c r="O100" i="11" a="1"/>
  <c r="K100" i="11"/>
  <c r="L100" i="11"/>
  <c r="M100" i="11"/>
  <c r="N100" i="11"/>
  <c r="O100" i="11"/>
  <c r="Q100" i="11"/>
  <c r="K101" i="11" a="1"/>
  <c r="L101" i="11" a="1"/>
  <c r="M101" i="11" a="1"/>
  <c r="N101" i="11" a="1"/>
  <c r="O101" i="11" a="1"/>
  <c r="K101" i="11"/>
  <c r="L101" i="11"/>
  <c r="M101" i="11"/>
  <c r="N101" i="11"/>
  <c r="O101" i="11"/>
  <c r="Q101" i="11"/>
  <c r="K102" i="11" a="1"/>
  <c r="L102" i="11" a="1"/>
  <c r="M102" i="11" a="1"/>
  <c r="N102" i="11" a="1"/>
  <c r="O102" i="11" a="1"/>
  <c r="K102" i="11"/>
  <c r="L102" i="11"/>
  <c r="M102" i="11"/>
  <c r="N102" i="11"/>
  <c r="O102" i="11"/>
  <c r="Q102" i="11"/>
  <c r="K103" i="11" a="1"/>
  <c r="L103" i="11" a="1"/>
  <c r="M103" i="11" a="1"/>
  <c r="N103" i="11" a="1"/>
  <c r="O103" i="11" a="1"/>
  <c r="K103" i="11"/>
  <c r="L103" i="11"/>
  <c r="M103" i="11"/>
  <c r="N103" i="11"/>
  <c r="O103" i="11"/>
  <c r="Q103" i="11"/>
  <c r="K104" i="11" a="1"/>
  <c r="L104" i="11" a="1"/>
  <c r="M104" i="11" a="1"/>
  <c r="N104" i="11" a="1"/>
  <c r="O104" i="11" a="1"/>
  <c r="K104" i="11"/>
  <c r="L104" i="11"/>
  <c r="M104" i="11"/>
  <c r="N104" i="11"/>
  <c r="O104" i="11"/>
  <c r="Q104" i="11"/>
  <c r="K105" i="11" a="1"/>
  <c r="L105" i="11" a="1"/>
  <c r="M105" i="11" a="1"/>
  <c r="N105" i="11" a="1"/>
  <c r="O105" i="11" a="1"/>
  <c r="K105" i="11"/>
  <c r="L105" i="11"/>
  <c r="M105" i="11"/>
  <c r="N105" i="11"/>
  <c r="O105" i="11"/>
  <c r="Q105" i="11"/>
  <c r="K106" i="11" a="1"/>
  <c r="L106" i="11" a="1"/>
  <c r="M106" i="11" a="1"/>
  <c r="N106" i="11" a="1"/>
  <c r="O106" i="11" a="1"/>
  <c r="K106" i="11"/>
  <c r="L106" i="11"/>
  <c r="M106" i="11"/>
  <c r="N106" i="11"/>
  <c r="O106" i="11"/>
  <c r="Q106" i="11"/>
  <c r="K107" i="11" a="1"/>
  <c r="L107" i="11" a="1"/>
  <c r="M107" i="11" a="1"/>
  <c r="N107" i="11" a="1"/>
  <c r="O107" i="11" a="1"/>
  <c r="K107" i="11"/>
  <c r="L107" i="11"/>
  <c r="M107" i="11"/>
  <c r="N107" i="11"/>
  <c r="O107" i="11"/>
  <c r="Q107" i="11"/>
  <c r="K108" i="11" a="1"/>
  <c r="L108" i="11" a="1"/>
  <c r="M108" i="11" a="1"/>
  <c r="N108" i="11" a="1"/>
  <c r="O108" i="11" a="1"/>
  <c r="K108" i="11"/>
  <c r="L108" i="11"/>
  <c r="M108" i="11"/>
  <c r="N108" i="11"/>
  <c r="O108" i="11"/>
  <c r="Q108" i="11"/>
  <c r="K109" i="11" a="1"/>
  <c r="L109" i="11" a="1"/>
  <c r="M109" i="11" a="1"/>
  <c r="N109" i="11" a="1"/>
  <c r="O109" i="11" a="1"/>
  <c r="K109" i="11"/>
  <c r="L109" i="11"/>
  <c r="M109" i="11"/>
  <c r="N109" i="11"/>
  <c r="O109" i="11"/>
  <c r="Q109" i="11"/>
  <c r="K110" i="11" a="1"/>
  <c r="L110" i="11" a="1"/>
  <c r="M110" i="11" a="1"/>
  <c r="N110" i="11" a="1"/>
  <c r="O110" i="11" a="1"/>
  <c r="K110" i="11"/>
  <c r="L110" i="11"/>
  <c r="M110" i="11"/>
  <c r="N110" i="11"/>
  <c r="O110" i="11"/>
  <c r="Q110" i="11"/>
  <c r="K111" i="11" a="1"/>
  <c r="L111" i="11" a="1"/>
  <c r="M111" i="11" a="1"/>
  <c r="N111" i="11" a="1"/>
  <c r="O111" i="11" a="1"/>
  <c r="K111" i="11"/>
  <c r="L111" i="11"/>
  <c r="M111" i="11"/>
  <c r="N111" i="11"/>
  <c r="O111" i="11"/>
  <c r="Q111" i="11"/>
  <c r="K112" i="11" a="1"/>
  <c r="L112" i="11" a="1"/>
  <c r="M112" i="11" a="1"/>
  <c r="N112" i="11" a="1"/>
  <c r="O112" i="11" a="1"/>
  <c r="K112" i="11"/>
  <c r="L112" i="11"/>
  <c r="M112" i="11"/>
  <c r="N112" i="11"/>
  <c r="O112" i="11"/>
  <c r="Q112" i="11"/>
  <c r="K113" i="11" a="1"/>
  <c r="L113" i="11" a="1"/>
  <c r="M113" i="11" a="1"/>
  <c r="N113" i="11" a="1"/>
  <c r="O113" i="11" a="1"/>
  <c r="K113" i="11"/>
  <c r="L113" i="11"/>
  <c r="M113" i="11"/>
  <c r="N113" i="11"/>
  <c r="O113" i="11"/>
  <c r="Q113" i="11"/>
  <c r="K114" i="11" a="1"/>
  <c r="L114" i="11" a="1"/>
  <c r="M114" i="11" a="1"/>
  <c r="N114" i="11" a="1"/>
  <c r="O114" i="11" a="1"/>
  <c r="K114" i="11"/>
  <c r="L114" i="11"/>
  <c r="M114" i="11"/>
  <c r="N114" i="11"/>
  <c r="O114" i="11"/>
  <c r="Q114" i="11"/>
  <c r="K115" i="11" a="1"/>
  <c r="L115" i="11" a="1"/>
  <c r="M115" i="11" a="1"/>
  <c r="N115" i="11" a="1"/>
  <c r="O115" i="11" a="1"/>
  <c r="K115" i="11"/>
  <c r="L115" i="11"/>
  <c r="M115" i="11"/>
  <c r="N115" i="11"/>
  <c r="O115" i="11"/>
  <c r="Q115" i="11"/>
  <c r="K116" i="11" a="1"/>
  <c r="L116" i="11" a="1"/>
  <c r="M116" i="11" a="1"/>
  <c r="N116" i="11" a="1"/>
  <c r="O116" i="11" a="1"/>
  <c r="K116" i="11"/>
  <c r="L116" i="11"/>
  <c r="M116" i="11"/>
  <c r="N116" i="11"/>
  <c r="O116" i="11"/>
  <c r="Q116" i="11"/>
  <c r="K117" i="11" a="1"/>
  <c r="L117" i="11" a="1"/>
  <c r="M117" i="11" a="1"/>
  <c r="N117" i="11" a="1"/>
  <c r="O117" i="11" a="1"/>
  <c r="K117" i="11"/>
  <c r="L117" i="11"/>
  <c r="M117" i="11"/>
  <c r="N117" i="11"/>
  <c r="O117" i="11"/>
  <c r="Q117" i="11"/>
  <c r="K118" i="11" a="1"/>
  <c r="L118" i="11" a="1"/>
  <c r="M118" i="11" a="1"/>
  <c r="N118" i="11" a="1"/>
  <c r="O118" i="11" a="1"/>
  <c r="K118" i="11"/>
  <c r="L118" i="11"/>
  <c r="M118" i="11"/>
  <c r="N118" i="11"/>
  <c r="O118" i="11"/>
  <c r="Q118" i="11"/>
  <c r="K119" i="11" a="1"/>
  <c r="L119" i="11" a="1"/>
  <c r="M119" i="11" a="1"/>
  <c r="N119" i="11" a="1"/>
  <c r="O119" i="11" a="1"/>
  <c r="K119" i="11"/>
  <c r="L119" i="11"/>
  <c r="M119" i="11"/>
  <c r="N119" i="11"/>
  <c r="O119" i="11"/>
  <c r="Q119" i="11"/>
  <c r="K120" i="11" a="1"/>
  <c r="L120" i="11" a="1"/>
  <c r="M120" i="11" a="1"/>
  <c r="N120" i="11" a="1"/>
  <c r="O120" i="11" a="1"/>
  <c r="K120" i="11"/>
  <c r="L120" i="11"/>
  <c r="M120" i="11"/>
  <c r="N120" i="11"/>
  <c r="O120" i="11"/>
  <c r="Q120" i="11"/>
  <c r="K121" i="11" a="1"/>
  <c r="L121" i="11" a="1"/>
  <c r="M121" i="11" a="1"/>
  <c r="N121" i="11" a="1"/>
  <c r="O121" i="11" a="1"/>
  <c r="K121" i="11"/>
  <c r="L121" i="11"/>
  <c r="M121" i="11"/>
  <c r="N121" i="11"/>
  <c r="O121" i="11"/>
  <c r="Q121" i="11"/>
  <c r="K122" i="11" a="1"/>
  <c r="L122" i="11" a="1"/>
  <c r="M122" i="11" a="1"/>
  <c r="N122" i="11" a="1"/>
  <c r="O122" i="11" a="1"/>
  <c r="K122" i="11"/>
  <c r="L122" i="11"/>
  <c r="M122" i="11"/>
  <c r="N122" i="11"/>
  <c r="O122" i="11"/>
  <c r="Q122" i="11"/>
  <c r="K123" i="11" a="1"/>
  <c r="L123" i="11" a="1"/>
  <c r="M123" i="11" a="1"/>
  <c r="N123" i="11" a="1"/>
  <c r="O123" i="11" a="1"/>
  <c r="K123" i="11"/>
  <c r="L123" i="11"/>
  <c r="M123" i="11"/>
  <c r="N123" i="11"/>
  <c r="O123" i="11"/>
  <c r="Q123" i="11"/>
  <c r="K124" i="11" a="1"/>
  <c r="L124" i="11" a="1"/>
  <c r="M124" i="11" a="1"/>
  <c r="N124" i="11" a="1"/>
  <c r="O124" i="11" a="1"/>
  <c r="K124" i="11"/>
  <c r="L124" i="11"/>
  <c r="M124" i="11"/>
  <c r="N124" i="11"/>
  <c r="O124" i="11"/>
  <c r="Q124" i="11"/>
  <c r="K125" i="11" a="1"/>
  <c r="L125" i="11" a="1"/>
  <c r="M125" i="11" a="1"/>
  <c r="N125" i="11" a="1"/>
  <c r="O125" i="11" a="1"/>
  <c r="K125" i="11"/>
  <c r="L125" i="11"/>
  <c r="M125" i="11"/>
  <c r="N125" i="11"/>
  <c r="O125" i="11"/>
  <c r="Q125" i="11"/>
  <c r="K126" i="11" a="1"/>
  <c r="L126" i="11" a="1"/>
  <c r="M126" i="11" a="1"/>
  <c r="N126" i="11" a="1"/>
  <c r="O126" i="11" a="1"/>
  <c r="K126" i="11"/>
  <c r="L126" i="11"/>
  <c r="M126" i="11"/>
  <c r="N126" i="11"/>
  <c r="O126" i="11"/>
  <c r="Q126" i="11"/>
  <c r="K127" i="11" a="1"/>
  <c r="L127" i="11" a="1"/>
  <c r="M127" i="11" a="1"/>
  <c r="N127" i="11" a="1"/>
  <c r="O127" i="11" a="1"/>
  <c r="K127" i="11"/>
  <c r="L127" i="11"/>
  <c r="M127" i="11"/>
  <c r="N127" i="11"/>
  <c r="O127" i="11"/>
  <c r="Q127" i="11"/>
  <c r="K128" i="11" a="1"/>
  <c r="L128" i="11" a="1"/>
  <c r="M128" i="11" a="1"/>
  <c r="N128" i="11" a="1"/>
  <c r="O128" i="11" a="1"/>
  <c r="K128" i="11"/>
  <c r="L128" i="11"/>
  <c r="M128" i="11"/>
  <c r="N128" i="11"/>
  <c r="O128" i="11"/>
  <c r="Q128" i="11"/>
  <c r="K129" i="11" a="1"/>
  <c r="L129" i="11" a="1"/>
  <c r="M129" i="11" a="1"/>
  <c r="N129" i="11" a="1"/>
  <c r="O129" i="11" a="1"/>
  <c r="K129" i="11"/>
  <c r="L129" i="11"/>
  <c r="M129" i="11"/>
  <c r="N129" i="11"/>
  <c r="O129" i="11"/>
  <c r="Q129" i="11"/>
  <c r="K130" i="11" a="1"/>
  <c r="L130" i="11" a="1"/>
  <c r="M130" i="11" a="1"/>
  <c r="N130" i="11" a="1"/>
  <c r="O130" i="11" a="1"/>
  <c r="K130" i="11"/>
  <c r="L130" i="11"/>
  <c r="M130" i="11"/>
  <c r="N130" i="11"/>
  <c r="O130" i="11"/>
  <c r="Q130" i="11"/>
  <c r="K131" i="11" a="1"/>
  <c r="L131" i="11" a="1"/>
  <c r="M131" i="11" a="1"/>
  <c r="N131" i="11" a="1"/>
  <c r="O131" i="11" a="1"/>
  <c r="K131" i="11"/>
  <c r="L131" i="11"/>
  <c r="M131" i="11"/>
  <c r="N131" i="11"/>
  <c r="O131" i="11"/>
  <c r="Q131" i="11"/>
  <c r="K132" i="11" a="1"/>
  <c r="L132" i="11" a="1"/>
  <c r="M132" i="11" a="1"/>
  <c r="N132" i="11" a="1"/>
  <c r="O132" i="11" a="1"/>
  <c r="K132" i="11"/>
  <c r="L132" i="11"/>
  <c r="M132" i="11"/>
  <c r="N132" i="11"/>
  <c r="O132" i="11"/>
  <c r="Q132" i="11"/>
  <c r="K133" i="11" a="1"/>
  <c r="L133" i="11" a="1"/>
  <c r="M133" i="11" a="1"/>
  <c r="N133" i="11" a="1"/>
  <c r="O133" i="11" a="1"/>
  <c r="K133" i="11"/>
  <c r="L133" i="11"/>
  <c r="M133" i="11"/>
  <c r="N133" i="11"/>
  <c r="O133" i="11"/>
  <c r="Q133" i="11"/>
  <c r="K134" i="11" a="1"/>
  <c r="L134" i="11" a="1"/>
  <c r="M134" i="11" a="1"/>
  <c r="N134" i="11" a="1"/>
  <c r="O134" i="11" a="1"/>
  <c r="K134" i="11"/>
  <c r="L134" i="11"/>
  <c r="M134" i="11"/>
  <c r="N134" i="11"/>
  <c r="O134" i="11"/>
  <c r="Q134" i="11"/>
  <c r="K135" i="11" a="1"/>
  <c r="L135" i="11" a="1"/>
  <c r="M135" i="11" a="1"/>
  <c r="N135" i="11" a="1"/>
  <c r="O135" i="11" a="1"/>
  <c r="K135" i="11"/>
  <c r="L135" i="11"/>
  <c r="M135" i="11"/>
  <c r="N135" i="11"/>
  <c r="O135" i="11"/>
  <c r="Q135" i="11"/>
  <c r="K136" i="11" a="1"/>
  <c r="L136" i="11" a="1"/>
  <c r="M136" i="11" a="1"/>
  <c r="N136" i="11" a="1"/>
  <c r="O136" i="11" a="1"/>
  <c r="K136" i="11"/>
  <c r="L136" i="11"/>
  <c r="M136" i="11"/>
  <c r="N136" i="11"/>
  <c r="O136" i="11"/>
  <c r="Q136" i="11"/>
  <c r="K137" i="11" a="1"/>
  <c r="L137" i="11" a="1"/>
  <c r="M137" i="11" a="1"/>
  <c r="N137" i="11" a="1"/>
  <c r="O137" i="11" a="1"/>
  <c r="K137" i="11"/>
  <c r="L137" i="11"/>
  <c r="M137" i="11"/>
  <c r="N137" i="11"/>
  <c r="O137" i="11"/>
  <c r="Q137" i="11"/>
  <c r="K138" i="11" a="1"/>
  <c r="L138" i="11" a="1"/>
  <c r="M138" i="11" a="1"/>
  <c r="N138" i="11" a="1"/>
  <c r="O138" i="11" a="1"/>
  <c r="K138" i="11"/>
  <c r="L138" i="11"/>
  <c r="M138" i="11"/>
  <c r="N138" i="11"/>
  <c r="O138" i="11"/>
  <c r="Q138" i="11"/>
  <c r="K139" i="11" a="1"/>
  <c r="L139" i="11" a="1"/>
  <c r="M139" i="11" a="1"/>
  <c r="N139" i="11" a="1"/>
  <c r="O139" i="11" a="1"/>
  <c r="K139" i="11"/>
  <c r="L139" i="11"/>
  <c r="M139" i="11"/>
  <c r="N139" i="11"/>
  <c r="O139" i="11"/>
  <c r="Q139" i="11"/>
  <c r="K140" i="11" a="1"/>
  <c r="L140" i="11" a="1"/>
  <c r="M140" i="11" a="1"/>
  <c r="N140" i="11" a="1"/>
  <c r="O140" i="11" a="1"/>
  <c r="K140" i="11"/>
  <c r="L140" i="11"/>
  <c r="M140" i="11"/>
  <c r="N140" i="11"/>
  <c r="O140" i="11"/>
  <c r="Q140" i="11"/>
  <c r="K141" i="11" a="1"/>
  <c r="L141" i="11" a="1"/>
  <c r="M141" i="11" a="1"/>
  <c r="N141" i="11" a="1"/>
  <c r="O141" i="11" a="1"/>
  <c r="K141" i="11"/>
  <c r="L141" i="11"/>
  <c r="M141" i="11"/>
  <c r="N141" i="11"/>
  <c r="O141" i="11"/>
  <c r="Q141" i="11"/>
  <c r="K142" i="11" a="1"/>
  <c r="L142" i="11" a="1"/>
  <c r="M142" i="11" a="1"/>
  <c r="N142" i="11" a="1"/>
  <c r="O142" i="11" a="1"/>
  <c r="K142" i="11"/>
  <c r="L142" i="11"/>
  <c r="M142" i="11"/>
  <c r="N142" i="11"/>
  <c r="O142" i="11"/>
  <c r="Q142" i="11"/>
  <c r="K143" i="11" a="1"/>
  <c r="L143" i="11" a="1"/>
  <c r="M143" i="11" a="1"/>
  <c r="N143" i="11" a="1"/>
  <c r="O143" i="11" a="1"/>
  <c r="K143" i="11"/>
  <c r="L143" i="11"/>
  <c r="M143" i="11"/>
  <c r="N143" i="11"/>
  <c r="O143" i="11"/>
  <c r="Q143" i="11"/>
  <c r="K144" i="11" a="1"/>
  <c r="L144" i="11" a="1"/>
  <c r="M144" i="11" a="1"/>
  <c r="N144" i="11" a="1"/>
  <c r="O144" i="11" a="1"/>
  <c r="K144" i="11"/>
  <c r="L144" i="11"/>
  <c r="M144" i="11"/>
  <c r="N144" i="11"/>
  <c r="O144" i="11"/>
  <c r="Q144" i="11"/>
  <c r="K145" i="11" a="1"/>
  <c r="L145" i="11" a="1"/>
  <c r="M145" i="11" a="1"/>
  <c r="N145" i="11" a="1"/>
  <c r="O145" i="11" a="1"/>
  <c r="K145" i="11"/>
  <c r="L145" i="11"/>
  <c r="M145" i="11"/>
  <c r="N145" i="11"/>
  <c r="O145" i="11"/>
  <c r="Q145" i="11"/>
  <c r="K146" i="11" a="1"/>
  <c r="L146" i="11" a="1"/>
  <c r="M146" i="11" a="1"/>
  <c r="N146" i="11" a="1"/>
  <c r="O146" i="11" a="1"/>
  <c r="K146" i="11"/>
  <c r="L146" i="11"/>
  <c r="M146" i="11"/>
  <c r="N146" i="11"/>
  <c r="O146" i="11"/>
  <c r="Q146" i="11"/>
  <c r="K147" i="11" a="1"/>
  <c r="L147" i="11" a="1"/>
  <c r="M147" i="11" a="1"/>
  <c r="N147" i="11" a="1"/>
  <c r="O147" i="11" a="1"/>
  <c r="K147" i="11"/>
  <c r="L147" i="11"/>
  <c r="M147" i="11"/>
  <c r="N147" i="11"/>
  <c r="O147" i="11"/>
  <c r="Q147" i="11"/>
  <c r="K148" i="11" a="1"/>
  <c r="L148" i="11" a="1"/>
  <c r="M148" i="11" a="1"/>
  <c r="N148" i="11" a="1"/>
  <c r="O148" i="11" a="1"/>
  <c r="K148" i="11"/>
  <c r="L148" i="11"/>
  <c r="M148" i="11"/>
  <c r="N148" i="11"/>
  <c r="O148" i="11"/>
  <c r="Q148" i="11"/>
  <c r="K149" i="11" a="1"/>
  <c r="L149" i="11" a="1"/>
  <c r="M149" i="11" a="1"/>
  <c r="N149" i="11" a="1"/>
  <c r="O149" i="11" a="1"/>
  <c r="K149" i="11"/>
  <c r="L149" i="11"/>
  <c r="M149" i="11"/>
  <c r="N149" i="11"/>
  <c r="O149" i="11"/>
  <c r="Q149" i="11"/>
  <c r="K150" i="11" a="1"/>
  <c r="L150" i="11" a="1"/>
  <c r="M150" i="11" a="1"/>
  <c r="N150" i="11" a="1"/>
  <c r="O150" i="11" a="1"/>
  <c r="K150" i="11"/>
  <c r="L150" i="11"/>
  <c r="M150" i="11"/>
  <c r="N150" i="11"/>
  <c r="O150" i="11"/>
  <c r="Q150" i="11"/>
  <c r="K151" i="11" a="1"/>
  <c r="L151" i="11" a="1"/>
  <c r="M151" i="11" a="1"/>
  <c r="N151" i="11" a="1"/>
  <c r="O151" i="11" a="1"/>
  <c r="K151" i="11"/>
  <c r="L151" i="11"/>
  <c r="M151" i="11"/>
  <c r="N151" i="11"/>
  <c r="O151" i="11"/>
  <c r="Q151" i="11"/>
  <c r="K152" i="11" a="1"/>
  <c r="L152" i="11" a="1"/>
  <c r="M152" i="11" a="1"/>
  <c r="N152" i="11" a="1"/>
  <c r="O152" i="11" a="1"/>
  <c r="K152" i="11"/>
  <c r="L152" i="11"/>
  <c r="M152" i="11"/>
  <c r="N152" i="11"/>
  <c r="O152" i="11"/>
  <c r="Q152" i="11"/>
  <c r="K153" i="11" a="1"/>
  <c r="L153" i="11" a="1"/>
  <c r="M153" i="11" a="1"/>
  <c r="N153" i="11" a="1"/>
  <c r="O153" i="11" a="1"/>
  <c r="K153" i="11"/>
  <c r="L153" i="11"/>
  <c r="M153" i="11"/>
  <c r="N153" i="11"/>
  <c r="O153" i="11"/>
  <c r="Q153" i="11"/>
  <c r="K154" i="11" a="1"/>
  <c r="L154" i="11" a="1"/>
  <c r="M154" i="11" a="1"/>
  <c r="N154" i="11" a="1"/>
  <c r="O154" i="11" a="1"/>
  <c r="K154" i="11"/>
  <c r="L154" i="11"/>
  <c r="M154" i="11"/>
  <c r="N154" i="11"/>
  <c r="O154" i="11"/>
  <c r="Q154" i="11"/>
  <c r="K155" i="11" a="1"/>
  <c r="L155" i="11" a="1"/>
  <c r="M155" i="11" a="1"/>
  <c r="N155" i="11" a="1"/>
  <c r="O155" i="11" a="1"/>
  <c r="K155" i="11"/>
  <c r="L155" i="11"/>
  <c r="M155" i="11"/>
  <c r="N155" i="11"/>
  <c r="O155" i="11"/>
  <c r="Q155" i="11"/>
  <c r="K156" i="11" a="1"/>
  <c r="L156" i="11" a="1"/>
  <c r="M156" i="11" a="1"/>
  <c r="N156" i="11" a="1"/>
  <c r="O156" i="11" a="1"/>
  <c r="K156" i="11"/>
  <c r="L156" i="11"/>
  <c r="M156" i="11"/>
  <c r="N156" i="11"/>
  <c r="O156" i="11"/>
  <c r="Q156" i="11"/>
  <c r="K157" i="11" a="1"/>
  <c r="L157" i="11" a="1"/>
  <c r="M157" i="11" a="1"/>
  <c r="N157" i="11" a="1"/>
  <c r="O157" i="11" a="1"/>
  <c r="K157" i="11"/>
  <c r="L157" i="11"/>
  <c r="M157" i="11"/>
  <c r="N157" i="11"/>
  <c r="O157" i="11"/>
  <c r="Q157" i="11"/>
  <c r="K158" i="11" a="1"/>
  <c r="L158" i="11" a="1"/>
  <c r="M158" i="11" a="1"/>
  <c r="N158" i="11" a="1"/>
  <c r="O158" i="11" a="1"/>
  <c r="K158" i="11"/>
  <c r="L158" i="11"/>
  <c r="M158" i="11"/>
  <c r="N158" i="11"/>
  <c r="O158" i="11"/>
  <c r="Q158" i="11"/>
  <c r="K159" i="11" a="1"/>
  <c r="L159" i="11" a="1"/>
  <c r="M159" i="11" a="1"/>
  <c r="N159" i="11" a="1"/>
  <c r="O159" i="11" a="1"/>
  <c r="K159" i="11"/>
  <c r="L159" i="11"/>
  <c r="M159" i="11"/>
  <c r="N159" i="11"/>
  <c r="O159" i="11"/>
  <c r="Q159" i="11"/>
  <c r="K160" i="11" a="1"/>
  <c r="L160" i="11" a="1"/>
  <c r="M160" i="11" a="1"/>
  <c r="N160" i="11" a="1"/>
  <c r="O160" i="11" a="1"/>
  <c r="K160" i="11"/>
  <c r="L160" i="11"/>
  <c r="M160" i="11"/>
  <c r="N160" i="11"/>
  <c r="O160" i="11"/>
  <c r="Q160" i="11"/>
  <c r="K161" i="11" a="1"/>
  <c r="L161" i="11" a="1"/>
  <c r="M161" i="11" a="1"/>
  <c r="N161" i="11" a="1"/>
  <c r="O161" i="11" a="1"/>
  <c r="K161" i="11"/>
  <c r="L161" i="11"/>
  <c r="M161" i="11"/>
  <c r="N161" i="11"/>
  <c r="O161" i="11"/>
  <c r="Q161" i="11"/>
  <c r="K162" i="11" a="1"/>
  <c r="L162" i="11" a="1"/>
  <c r="M162" i="11" a="1"/>
  <c r="N162" i="11" a="1"/>
  <c r="O162" i="11" a="1"/>
  <c r="K162" i="11"/>
  <c r="L162" i="11"/>
  <c r="M162" i="11"/>
  <c r="N162" i="11"/>
  <c r="O162" i="11"/>
  <c r="Q162" i="11"/>
  <c r="K163" i="11" a="1"/>
  <c r="L163" i="11" a="1"/>
  <c r="M163" i="11" a="1"/>
  <c r="N163" i="11" a="1"/>
  <c r="O163" i="11" a="1"/>
  <c r="K163" i="11"/>
  <c r="L163" i="11"/>
  <c r="M163" i="11"/>
  <c r="N163" i="11"/>
  <c r="O163" i="11"/>
  <c r="Q163" i="11"/>
  <c r="K164" i="11" a="1"/>
  <c r="L164" i="11" a="1"/>
  <c r="M164" i="11" a="1"/>
  <c r="N164" i="11" a="1"/>
  <c r="O164" i="11" a="1"/>
  <c r="K164" i="11"/>
  <c r="L164" i="11"/>
  <c r="M164" i="11"/>
  <c r="N164" i="11"/>
  <c r="O164" i="11"/>
  <c r="Q164" i="11"/>
  <c r="K165" i="11" a="1"/>
  <c r="L165" i="11" a="1"/>
  <c r="M165" i="11" a="1"/>
  <c r="N165" i="11" a="1"/>
  <c r="O165" i="11" a="1"/>
  <c r="K165" i="11"/>
  <c r="L165" i="11"/>
  <c r="M165" i="11"/>
  <c r="N165" i="11"/>
  <c r="O165" i="11"/>
  <c r="Q165" i="11"/>
  <c r="K166" i="11" a="1"/>
  <c r="L166" i="11" a="1"/>
  <c r="M166" i="11" a="1"/>
  <c r="N166" i="11" a="1"/>
  <c r="O166" i="11" a="1"/>
  <c r="K166" i="11"/>
  <c r="L166" i="11"/>
  <c r="M166" i="11"/>
  <c r="N166" i="11"/>
  <c r="O166" i="11"/>
  <c r="Q166" i="11"/>
  <c r="K167" i="11" a="1"/>
  <c r="L167" i="11" a="1"/>
  <c r="M167" i="11" a="1"/>
  <c r="N167" i="11" a="1"/>
  <c r="O167" i="11" a="1"/>
  <c r="K167" i="11"/>
  <c r="L167" i="11"/>
  <c r="M167" i="11"/>
  <c r="N167" i="11"/>
  <c r="O167" i="11"/>
  <c r="Q167" i="11"/>
  <c r="K168" i="11" a="1"/>
  <c r="L168" i="11" a="1"/>
  <c r="M168" i="11" a="1"/>
  <c r="N168" i="11" a="1"/>
  <c r="O168" i="11" a="1"/>
  <c r="K168" i="11"/>
  <c r="L168" i="11"/>
  <c r="M168" i="11"/>
  <c r="N168" i="11"/>
  <c r="O168" i="11"/>
  <c r="Q168" i="11"/>
  <c r="K169" i="11" a="1"/>
  <c r="L169" i="11" a="1"/>
  <c r="M169" i="11" a="1"/>
  <c r="N169" i="11" a="1"/>
  <c r="O169" i="11" a="1"/>
  <c r="K169" i="11"/>
  <c r="L169" i="11"/>
  <c r="M169" i="11"/>
  <c r="N169" i="11"/>
  <c r="O169" i="11"/>
  <c r="Q169" i="11"/>
  <c r="K170" i="11" a="1"/>
  <c r="L170" i="11" a="1"/>
  <c r="M170" i="11" a="1"/>
  <c r="N170" i="11" a="1"/>
  <c r="O170" i="11" a="1"/>
  <c r="K170" i="11"/>
  <c r="L170" i="11"/>
  <c r="M170" i="11"/>
  <c r="N170" i="11"/>
  <c r="O170" i="11"/>
  <c r="Q170" i="11"/>
  <c r="K171" i="11" a="1"/>
  <c r="L171" i="11" a="1"/>
  <c r="M171" i="11" a="1"/>
  <c r="N171" i="11" a="1"/>
  <c r="O171" i="11" a="1"/>
  <c r="K171" i="11"/>
  <c r="L171" i="11"/>
  <c r="M171" i="11"/>
  <c r="N171" i="11"/>
  <c r="O171" i="11"/>
  <c r="Q171" i="11"/>
  <c r="K172" i="11" a="1"/>
  <c r="L172" i="11" a="1"/>
  <c r="M172" i="11" a="1"/>
  <c r="N172" i="11" a="1"/>
  <c r="O172" i="11" a="1"/>
  <c r="K172" i="11"/>
  <c r="L172" i="11"/>
  <c r="M172" i="11"/>
  <c r="N172" i="11"/>
  <c r="O172" i="11"/>
  <c r="Q172" i="11"/>
  <c r="K173" i="11" a="1"/>
  <c r="L173" i="11" a="1"/>
  <c r="M173" i="11" a="1"/>
  <c r="N173" i="11" a="1"/>
  <c r="O173" i="11" a="1"/>
  <c r="K173" i="11"/>
  <c r="L173" i="11"/>
  <c r="M173" i="11"/>
  <c r="N173" i="11"/>
  <c r="O173" i="11"/>
  <c r="Q173" i="11"/>
  <c r="K174" i="11" a="1"/>
  <c r="L174" i="11" a="1"/>
  <c r="M174" i="11" a="1"/>
  <c r="N174" i="11" a="1"/>
  <c r="O174" i="11" a="1"/>
  <c r="K174" i="11"/>
  <c r="L174" i="11"/>
  <c r="M174" i="11"/>
  <c r="N174" i="11"/>
  <c r="O174" i="11"/>
  <c r="Q174" i="11"/>
  <c r="K175" i="11" a="1"/>
  <c r="L175" i="11" a="1"/>
  <c r="M175" i="11" a="1"/>
  <c r="N175" i="11" a="1"/>
  <c r="O175" i="11" a="1"/>
  <c r="K175" i="11"/>
  <c r="L175" i="11"/>
  <c r="M175" i="11"/>
  <c r="N175" i="11"/>
  <c r="O175" i="11"/>
  <c r="Q175" i="11"/>
  <c r="K176" i="11" a="1"/>
  <c r="L176" i="11" a="1"/>
  <c r="M176" i="11" a="1"/>
  <c r="N176" i="11" a="1"/>
  <c r="O176" i="11" a="1"/>
  <c r="K176" i="11"/>
  <c r="L176" i="11"/>
  <c r="M176" i="11"/>
  <c r="N176" i="11"/>
  <c r="O176" i="11"/>
  <c r="Q176" i="11"/>
  <c r="K177" i="11" a="1"/>
  <c r="L177" i="11" a="1"/>
  <c r="M177" i="11" a="1"/>
  <c r="N177" i="11" a="1"/>
  <c r="O177" i="11" a="1"/>
  <c r="K177" i="11"/>
  <c r="L177" i="11"/>
  <c r="M177" i="11"/>
  <c r="N177" i="11"/>
  <c r="O177" i="11"/>
  <c r="Q177" i="11"/>
  <c r="K178" i="11" a="1"/>
  <c r="L178" i="11" a="1"/>
  <c r="M178" i="11" a="1"/>
  <c r="N178" i="11" a="1"/>
  <c r="O178" i="11" a="1"/>
  <c r="K178" i="11"/>
  <c r="L178" i="11"/>
  <c r="M178" i="11"/>
  <c r="N178" i="11"/>
  <c r="O178" i="11"/>
  <c r="K179" i="11" a="1"/>
  <c r="L179" i="11" a="1"/>
  <c r="M179" i="11" a="1"/>
  <c r="N179" i="11" a="1"/>
  <c r="O179" i="11" a="1"/>
  <c r="K179" i="11"/>
  <c r="L179" i="11"/>
  <c r="M179" i="11"/>
  <c r="N179" i="11"/>
  <c r="O179" i="11"/>
  <c r="K180" i="11" a="1"/>
  <c r="L180" i="11" a="1"/>
  <c r="M180" i="11" a="1"/>
  <c r="N180" i="11" a="1"/>
  <c r="O180" i="11" a="1"/>
  <c r="K180" i="11"/>
  <c r="L180" i="11"/>
  <c r="M180" i="11"/>
  <c r="N180" i="11"/>
  <c r="O180" i="11"/>
  <c r="K181" i="11" a="1"/>
  <c r="L181" i="11" a="1"/>
  <c r="M181" i="11" a="1"/>
  <c r="N181" i="11" a="1"/>
  <c r="O181" i="11" a="1"/>
  <c r="K181" i="11"/>
  <c r="L181" i="11"/>
  <c r="M181" i="11"/>
  <c r="N181" i="11"/>
  <c r="O181" i="11"/>
  <c r="K182" i="11" a="1"/>
  <c r="L182" i="11" a="1"/>
  <c r="M182" i="11" a="1"/>
  <c r="N182" i="11" a="1"/>
  <c r="O182" i="11" a="1"/>
  <c r="K182" i="11"/>
  <c r="L182" i="11"/>
  <c r="M182" i="11"/>
  <c r="N182" i="11"/>
  <c r="O182" i="11"/>
  <c r="Q182" i="11"/>
  <c r="K183" i="11" a="1"/>
  <c r="L183" i="11" a="1"/>
  <c r="M183" i="11" a="1"/>
  <c r="N183" i="11" a="1"/>
  <c r="O183" i="11" a="1"/>
  <c r="K183" i="11"/>
  <c r="L183" i="11"/>
  <c r="M183" i="11"/>
  <c r="N183" i="11"/>
  <c r="O183" i="11"/>
  <c r="Q183" i="11"/>
  <c r="K184" i="11" a="1"/>
  <c r="L184" i="11" a="1"/>
  <c r="M184" i="11" a="1"/>
  <c r="N184" i="11" a="1"/>
  <c r="O184" i="11" a="1"/>
  <c r="K184" i="11"/>
  <c r="L184" i="11"/>
  <c r="M184" i="11"/>
  <c r="N184" i="11"/>
  <c r="O184" i="11"/>
  <c r="Q184" i="11"/>
  <c r="K186" i="11" a="1"/>
  <c r="L186" i="11" a="1"/>
  <c r="M186" i="11" a="1"/>
  <c r="N186" i="11" a="1"/>
  <c r="O186" i="11" a="1"/>
  <c r="K186" i="11"/>
  <c r="L186" i="11"/>
  <c r="M186" i="11"/>
  <c r="N186" i="11"/>
  <c r="O186" i="11"/>
  <c r="Q186" i="11"/>
  <c r="K187" i="11" a="1"/>
  <c r="L187" i="11" a="1"/>
  <c r="M187" i="11" a="1"/>
  <c r="N187" i="11" a="1"/>
  <c r="O187" i="11" a="1"/>
  <c r="K187" i="11"/>
  <c r="L187" i="11"/>
  <c r="M187" i="11"/>
  <c r="N187" i="11"/>
  <c r="O187" i="11"/>
  <c r="Q187" i="11"/>
  <c r="K188" i="11" a="1"/>
  <c r="L188" i="11" a="1"/>
  <c r="M188" i="11" a="1"/>
  <c r="N188" i="11" a="1"/>
  <c r="O188" i="11" a="1"/>
  <c r="K188" i="11"/>
  <c r="L188" i="11"/>
  <c r="M188" i="11"/>
  <c r="N188" i="11"/>
  <c r="O188" i="11"/>
  <c r="Q188" i="11"/>
  <c r="K189" i="11" a="1"/>
  <c r="L189" i="11" a="1"/>
  <c r="M189" i="11" a="1"/>
  <c r="N189" i="11" a="1"/>
  <c r="O189" i="11" a="1"/>
  <c r="K189" i="11"/>
  <c r="L189" i="11"/>
  <c r="M189" i="11"/>
  <c r="N189" i="11"/>
  <c r="O189" i="11"/>
  <c r="Q189" i="11"/>
  <c r="K190" i="11" a="1"/>
  <c r="L190" i="11" a="1"/>
  <c r="M190" i="11" a="1"/>
  <c r="N190" i="11" a="1"/>
  <c r="O190" i="11" a="1"/>
  <c r="K190" i="11"/>
  <c r="L190" i="11"/>
  <c r="M190" i="11"/>
  <c r="N190" i="11"/>
  <c r="O190" i="11"/>
  <c r="Q190" i="11"/>
  <c r="K191" i="11" a="1"/>
  <c r="L191" i="11" a="1"/>
  <c r="M191" i="11" a="1"/>
  <c r="N191" i="11" a="1"/>
  <c r="O191" i="11" a="1"/>
  <c r="K191" i="11"/>
  <c r="L191" i="11"/>
  <c r="M191" i="11"/>
  <c r="N191" i="11"/>
  <c r="O191" i="11"/>
  <c r="Q191" i="11"/>
  <c r="K192" i="11" a="1"/>
  <c r="L192" i="11" a="1"/>
  <c r="M192" i="11" a="1"/>
  <c r="N192" i="11" a="1"/>
  <c r="O192" i="11" a="1"/>
  <c r="K192" i="11"/>
  <c r="L192" i="11"/>
  <c r="M192" i="11"/>
  <c r="N192" i="11"/>
  <c r="O192" i="11"/>
  <c r="Q192" i="11"/>
  <c r="K193" i="11" a="1"/>
  <c r="L193" i="11" a="1"/>
  <c r="M193" i="11" a="1"/>
  <c r="N193" i="11" a="1"/>
  <c r="O193" i="11" a="1"/>
  <c r="K193" i="11"/>
  <c r="L193" i="11"/>
  <c r="M193" i="11"/>
  <c r="N193" i="11"/>
  <c r="O193" i="11"/>
  <c r="Q193" i="11"/>
  <c r="K194" i="11" a="1"/>
  <c r="L194" i="11" a="1"/>
  <c r="M194" i="11" a="1"/>
  <c r="N194" i="11" a="1"/>
  <c r="O194" i="11" a="1"/>
  <c r="K194" i="11"/>
  <c r="L194" i="11"/>
  <c r="M194" i="11"/>
  <c r="N194" i="11"/>
  <c r="O194" i="11"/>
  <c r="Q194" i="11"/>
  <c r="K195" i="11" a="1"/>
  <c r="L195" i="11" a="1"/>
  <c r="M195" i="11" a="1"/>
  <c r="N195" i="11" a="1"/>
  <c r="O195" i="11" a="1"/>
  <c r="K195" i="11"/>
  <c r="L195" i="11"/>
  <c r="M195" i="11"/>
  <c r="N195" i="11"/>
  <c r="O195" i="11"/>
  <c r="Q195" i="11"/>
  <c r="K196" i="11" a="1"/>
  <c r="L196" i="11" a="1"/>
  <c r="M196" i="11" a="1"/>
  <c r="N196" i="11" a="1"/>
  <c r="O196" i="11" a="1"/>
  <c r="K196" i="11"/>
  <c r="L196" i="11"/>
  <c r="M196" i="11"/>
  <c r="N196" i="11"/>
  <c r="O196" i="11"/>
  <c r="Q196" i="11"/>
  <c r="K197" i="11" a="1"/>
  <c r="L197" i="11" a="1"/>
  <c r="M197" i="11" a="1"/>
  <c r="N197" i="11" a="1"/>
  <c r="O197" i="11" a="1"/>
  <c r="K197" i="11"/>
  <c r="L197" i="11"/>
  <c r="M197" i="11"/>
  <c r="N197" i="11"/>
  <c r="O197" i="11"/>
  <c r="Q197" i="11"/>
  <c r="K198" i="11" a="1"/>
  <c r="L198" i="11" a="1"/>
  <c r="M198" i="11" a="1"/>
  <c r="N198" i="11" a="1"/>
  <c r="O198" i="11" a="1"/>
  <c r="K198" i="11"/>
  <c r="L198" i="11"/>
  <c r="M198" i="11"/>
  <c r="N198" i="11"/>
  <c r="O198" i="11"/>
  <c r="Q198" i="11"/>
  <c r="K199" i="11" a="1"/>
  <c r="L199" i="11" a="1"/>
  <c r="M199" i="11" a="1"/>
  <c r="N199" i="11" a="1"/>
  <c r="O199" i="11" a="1"/>
  <c r="K199" i="11"/>
  <c r="L199" i="11"/>
  <c r="M199" i="11"/>
  <c r="N199" i="11"/>
  <c r="O199" i="11"/>
  <c r="Q199" i="11"/>
  <c r="K200" i="11" a="1"/>
  <c r="L200" i="11" a="1"/>
  <c r="M200" i="11" a="1"/>
  <c r="N200" i="11" a="1"/>
  <c r="O200" i="11" a="1"/>
  <c r="K200" i="11"/>
  <c r="L200" i="11"/>
  <c r="M200" i="11"/>
  <c r="N200" i="11"/>
  <c r="O200" i="11"/>
  <c r="Q200" i="11"/>
  <c r="K201" i="11" a="1"/>
  <c r="L201" i="11" a="1"/>
  <c r="M201" i="11" a="1"/>
  <c r="N201" i="11" a="1"/>
  <c r="O201" i="11" a="1"/>
  <c r="K201" i="11"/>
  <c r="L201" i="11"/>
  <c r="M201" i="11"/>
  <c r="N201" i="11"/>
  <c r="O201" i="11"/>
  <c r="Q201" i="11"/>
  <c r="K202" i="11" a="1"/>
  <c r="L202" i="11" a="1"/>
  <c r="M202" i="11" a="1"/>
  <c r="N202" i="11" a="1"/>
  <c r="O202" i="11" a="1"/>
  <c r="K202" i="11"/>
  <c r="L202" i="11"/>
  <c r="M202" i="11"/>
  <c r="N202" i="11"/>
  <c r="O202" i="11"/>
  <c r="Q202" i="11"/>
  <c r="K203" i="11" a="1"/>
  <c r="L203" i="11" a="1"/>
  <c r="M203" i="11" a="1"/>
  <c r="N203" i="11" a="1"/>
  <c r="O203" i="11" a="1"/>
  <c r="K203" i="11"/>
  <c r="L203" i="11"/>
  <c r="M203" i="11"/>
  <c r="N203" i="11"/>
  <c r="O203" i="11"/>
  <c r="Q203" i="11"/>
  <c r="K204" i="11" a="1"/>
  <c r="L204" i="11" a="1"/>
  <c r="M204" i="11" a="1"/>
  <c r="N204" i="11" a="1"/>
  <c r="O204" i="11" a="1"/>
  <c r="K204" i="11"/>
  <c r="L204" i="11"/>
  <c r="M204" i="11"/>
  <c r="N204" i="11"/>
  <c r="O204" i="11"/>
  <c r="Q204" i="11"/>
  <c r="K205" i="11" a="1"/>
  <c r="L205" i="11" a="1"/>
  <c r="M205" i="11" a="1"/>
  <c r="N205" i="11" a="1"/>
  <c r="O205" i="11" a="1"/>
  <c r="K205" i="11"/>
  <c r="L205" i="11"/>
  <c r="M205" i="11"/>
  <c r="N205" i="11"/>
  <c r="O205" i="11"/>
  <c r="Q205" i="11"/>
  <c r="K206" i="11" a="1"/>
  <c r="L206" i="11" a="1"/>
  <c r="M206" i="11" a="1"/>
  <c r="N206" i="11" a="1"/>
  <c r="O206" i="11" a="1"/>
  <c r="K206" i="11"/>
  <c r="L206" i="11"/>
  <c r="M206" i="11"/>
  <c r="N206" i="11"/>
  <c r="O206" i="11"/>
  <c r="Q206" i="11"/>
  <c r="K207" i="11" a="1"/>
  <c r="L207" i="11" a="1"/>
  <c r="M207" i="11" a="1"/>
  <c r="N207" i="11" a="1"/>
  <c r="O207" i="11" a="1"/>
  <c r="K207" i="11"/>
  <c r="L207" i="11"/>
  <c r="M207" i="11"/>
  <c r="N207" i="11"/>
  <c r="O207" i="11"/>
  <c r="Q207" i="11"/>
  <c r="K208" i="11" a="1"/>
  <c r="L208" i="11" a="1"/>
  <c r="M208" i="11" a="1"/>
  <c r="N208" i="11" a="1"/>
  <c r="O208" i="11" a="1"/>
  <c r="K208" i="11"/>
  <c r="L208" i="11"/>
  <c r="M208" i="11"/>
  <c r="N208" i="11"/>
  <c r="O208" i="11"/>
  <c r="Q208" i="11"/>
  <c r="K209" i="11" a="1"/>
  <c r="L209" i="11" a="1"/>
  <c r="M209" i="11" a="1"/>
  <c r="N209" i="11" a="1"/>
  <c r="O209" i="11" a="1"/>
  <c r="K209" i="11"/>
  <c r="L209" i="11"/>
  <c r="M209" i="11"/>
  <c r="N209" i="11"/>
  <c r="O209" i="11"/>
  <c r="Q209" i="11"/>
  <c r="K210" i="11" a="1"/>
  <c r="L210" i="11" a="1"/>
  <c r="M210" i="11" a="1"/>
  <c r="N210" i="11" a="1"/>
  <c r="O210" i="11" a="1"/>
  <c r="K210" i="11"/>
  <c r="L210" i="11"/>
  <c r="M210" i="11"/>
  <c r="N210" i="11"/>
  <c r="O210" i="11"/>
  <c r="Q210" i="11"/>
  <c r="K211" i="11" a="1"/>
  <c r="L211" i="11" a="1"/>
  <c r="M211" i="11" a="1"/>
  <c r="N211" i="11" a="1"/>
  <c r="O211" i="11" a="1"/>
  <c r="K211" i="11"/>
  <c r="L211" i="11"/>
  <c r="M211" i="11"/>
  <c r="N211" i="11"/>
  <c r="O211" i="11"/>
  <c r="Q211" i="11"/>
  <c r="K212" i="11" a="1"/>
  <c r="L212" i="11" a="1"/>
  <c r="M212" i="11" a="1"/>
  <c r="N212" i="11" a="1"/>
  <c r="O212" i="11" a="1"/>
  <c r="K212" i="11"/>
  <c r="L212" i="11"/>
  <c r="M212" i="11"/>
  <c r="N212" i="11"/>
  <c r="O212" i="11"/>
  <c r="Q212" i="11"/>
  <c r="K213" i="11" a="1"/>
  <c r="L213" i="11" a="1"/>
  <c r="M213" i="11" a="1"/>
  <c r="N213" i="11" a="1"/>
  <c r="O213" i="11" a="1"/>
  <c r="K213" i="11"/>
  <c r="L213" i="11"/>
  <c r="M213" i="11"/>
  <c r="N213" i="11"/>
  <c r="O213" i="11"/>
  <c r="Q213" i="11"/>
  <c r="K214" i="11" a="1"/>
  <c r="L214" i="11" a="1"/>
  <c r="M214" i="11" a="1"/>
  <c r="N214" i="11" a="1"/>
  <c r="O214" i="11" a="1"/>
  <c r="K214" i="11"/>
  <c r="L214" i="11"/>
  <c r="M214" i="11"/>
  <c r="N214" i="11"/>
  <c r="O214" i="11"/>
  <c r="Q214" i="11"/>
  <c r="K215" i="11" a="1"/>
  <c r="L215" i="11" a="1"/>
  <c r="M215" i="11" a="1"/>
  <c r="N215" i="11" a="1"/>
  <c r="O215" i="11" a="1"/>
  <c r="K215" i="11"/>
  <c r="L215" i="11"/>
  <c r="M215" i="11"/>
  <c r="N215" i="11"/>
  <c r="O215" i="11"/>
  <c r="Q215" i="11"/>
  <c r="K216" i="11" a="1"/>
  <c r="L216" i="11" a="1"/>
  <c r="M216" i="11" a="1"/>
  <c r="N216" i="11" a="1"/>
  <c r="O216" i="11" a="1"/>
  <c r="K216" i="11"/>
  <c r="L216" i="11"/>
  <c r="M216" i="11"/>
  <c r="N216" i="11"/>
  <c r="O216" i="11"/>
  <c r="Q216" i="11"/>
  <c r="K217" i="11" a="1"/>
  <c r="L217" i="11" a="1"/>
  <c r="M217" i="11" a="1"/>
  <c r="N217" i="11" a="1"/>
  <c r="O217" i="11" a="1"/>
  <c r="K217" i="11"/>
  <c r="L217" i="11"/>
  <c r="M217" i="11"/>
  <c r="N217" i="11"/>
  <c r="O217" i="11"/>
  <c r="Q217" i="11"/>
  <c r="K218" i="11" a="1"/>
  <c r="L218" i="11" a="1"/>
  <c r="M218" i="11" a="1"/>
  <c r="N218" i="11" a="1"/>
  <c r="O218" i="11" a="1"/>
  <c r="K218" i="11"/>
  <c r="L218" i="11"/>
  <c r="M218" i="11"/>
  <c r="N218" i="11"/>
  <c r="O218" i="11"/>
  <c r="Q218" i="11"/>
  <c r="K219" i="11" a="1"/>
  <c r="L219" i="11" a="1"/>
  <c r="M219" i="11" a="1"/>
  <c r="N219" i="11" a="1"/>
  <c r="O219" i="11" a="1"/>
  <c r="K219" i="11"/>
  <c r="L219" i="11"/>
  <c r="M219" i="11"/>
  <c r="N219" i="11"/>
  <c r="O219" i="11"/>
  <c r="Q219" i="11"/>
  <c r="K220" i="11" a="1"/>
  <c r="L220" i="11" a="1"/>
  <c r="M220" i="11" a="1"/>
  <c r="N220" i="11" a="1"/>
  <c r="O220" i="11" a="1"/>
  <c r="K220" i="11"/>
  <c r="L220" i="11"/>
  <c r="M220" i="11"/>
  <c r="N220" i="11"/>
  <c r="O220" i="11"/>
  <c r="Q220" i="11"/>
  <c r="K221" i="11" a="1"/>
  <c r="L221" i="11" a="1"/>
  <c r="M221" i="11" a="1"/>
  <c r="N221" i="11" a="1"/>
  <c r="O221" i="11" a="1"/>
  <c r="K221" i="11"/>
  <c r="L221" i="11"/>
  <c r="M221" i="11"/>
  <c r="N221" i="11"/>
  <c r="O221" i="11"/>
  <c r="Q221" i="11"/>
  <c r="K222" i="11" a="1"/>
  <c r="L222" i="11" a="1"/>
  <c r="M222" i="11" a="1"/>
  <c r="N222" i="11" a="1"/>
  <c r="O222" i="11" a="1"/>
  <c r="K222" i="11"/>
  <c r="L222" i="11"/>
  <c r="M222" i="11"/>
  <c r="N222" i="11"/>
  <c r="O222" i="11"/>
  <c r="Q222" i="11"/>
  <c r="K223" i="11" a="1"/>
  <c r="L223" i="11" a="1"/>
  <c r="M223" i="11" a="1"/>
  <c r="N223" i="11" a="1"/>
  <c r="O223" i="11" a="1"/>
  <c r="K223" i="11"/>
  <c r="L223" i="11"/>
  <c r="M223" i="11"/>
  <c r="N223" i="11"/>
  <c r="O223" i="11"/>
  <c r="Q223" i="11"/>
  <c r="K224" i="11" a="1"/>
  <c r="L224" i="11" a="1"/>
  <c r="M224" i="11" a="1"/>
  <c r="N224" i="11" a="1"/>
  <c r="O224" i="11" a="1"/>
  <c r="K224" i="11"/>
  <c r="L224" i="11"/>
  <c r="M224" i="11"/>
  <c r="N224" i="11"/>
  <c r="O224" i="11"/>
  <c r="Q224" i="11"/>
  <c r="K225" i="11" a="1"/>
  <c r="L225" i="11" a="1"/>
  <c r="M225" i="11" a="1"/>
  <c r="N225" i="11" a="1"/>
  <c r="O225" i="11" a="1"/>
  <c r="K225" i="11"/>
  <c r="L225" i="11"/>
  <c r="M225" i="11"/>
  <c r="N225" i="11"/>
  <c r="O225" i="11"/>
  <c r="Q225" i="11"/>
  <c r="K226" i="11" a="1"/>
  <c r="L226" i="11" a="1"/>
  <c r="M226" i="11" a="1"/>
  <c r="N226" i="11" a="1"/>
  <c r="O226" i="11" a="1"/>
  <c r="K226" i="11"/>
  <c r="L226" i="11"/>
  <c r="M226" i="11"/>
  <c r="N226" i="11"/>
  <c r="O226" i="11"/>
  <c r="Q226" i="11"/>
  <c r="K227" i="11" a="1"/>
  <c r="L227" i="11" a="1"/>
  <c r="M227" i="11" a="1"/>
  <c r="N227" i="11" a="1"/>
  <c r="O227" i="11" a="1"/>
  <c r="K227" i="11"/>
  <c r="L227" i="11"/>
  <c r="M227" i="11"/>
  <c r="N227" i="11"/>
  <c r="O227" i="11"/>
  <c r="Q227" i="11"/>
  <c r="K228" i="11" a="1"/>
  <c r="L228" i="11" a="1"/>
  <c r="M228" i="11" a="1"/>
  <c r="N228" i="11" a="1"/>
  <c r="O228" i="11" a="1"/>
  <c r="K228" i="11"/>
  <c r="L228" i="11"/>
  <c r="M228" i="11"/>
  <c r="N228" i="11"/>
  <c r="O228" i="11"/>
  <c r="Q228" i="11"/>
  <c r="K229" i="11" a="1"/>
  <c r="L229" i="11" a="1"/>
  <c r="M229" i="11" a="1"/>
  <c r="N229" i="11" a="1"/>
  <c r="O229" i="11" a="1"/>
  <c r="K229" i="11"/>
  <c r="L229" i="11"/>
  <c r="M229" i="11"/>
  <c r="N229" i="11"/>
  <c r="O229" i="11"/>
  <c r="Q229" i="11"/>
  <c r="K230" i="11" a="1"/>
  <c r="L230" i="11" a="1"/>
  <c r="M230" i="11" a="1"/>
  <c r="N230" i="11" a="1"/>
  <c r="O230" i="11" a="1"/>
  <c r="K230" i="11"/>
  <c r="L230" i="11"/>
  <c r="M230" i="11"/>
  <c r="N230" i="11"/>
  <c r="O230" i="11"/>
  <c r="Q230" i="11"/>
  <c r="K231" i="11" a="1"/>
  <c r="L231" i="11" a="1"/>
  <c r="M231" i="11" a="1"/>
  <c r="N231" i="11" a="1"/>
  <c r="O231" i="11" a="1"/>
  <c r="K231" i="11"/>
  <c r="L231" i="11"/>
  <c r="M231" i="11"/>
  <c r="N231" i="11"/>
  <c r="O231" i="11"/>
  <c r="Q231" i="11"/>
  <c r="K232" i="11" a="1"/>
  <c r="L232" i="11" a="1"/>
  <c r="M232" i="11" a="1"/>
  <c r="N232" i="11" a="1"/>
  <c r="O232" i="11" a="1"/>
  <c r="K232" i="11"/>
  <c r="L232" i="11"/>
  <c r="M232" i="11"/>
  <c r="N232" i="11"/>
  <c r="O232" i="11"/>
  <c r="Q232" i="11"/>
  <c r="K233" i="11" a="1"/>
  <c r="L233" i="11" a="1"/>
  <c r="M233" i="11" a="1"/>
  <c r="N233" i="11" a="1"/>
  <c r="O233" i="11" a="1"/>
  <c r="K233" i="11"/>
  <c r="L233" i="11"/>
  <c r="M233" i="11"/>
  <c r="N233" i="11"/>
  <c r="O233" i="11"/>
  <c r="Q233" i="11"/>
  <c r="K234" i="11" a="1"/>
  <c r="L234" i="11" a="1"/>
  <c r="M234" i="11" a="1"/>
  <c r="N234" i="11" a="1"/>
  <c r="O234" i="11" a="1"/>
  <c r="K234" i="11"/>
  <c r="L234" i="11"/>
  <c r="M234" i="11"/>
  <c r="N234" i="11"/>
  <c r="O234" i="11"/>
  <c r="Q234" i="11"/>
  <c r="G4" i="23" a="1"/>
  <c r="G4" i="23"/>
  <c r="G5" i="23" a="1"/>
  <c r="G5" i="23"/>
  <c r="G6" i="23" a="1"/>
  <c r="G6" i="23"/>
  <c r="G7" i="23" a="1"/>
  <c r="G7" i="23"/>
  <c r="G8" i="23" a="1"/>
  <c r="G8" i="23"/>
  <c r="G9" i="23" a="1"/>
  <c r="G9" i="23"/>
  <c r="G10" i="23" a="1"/>
  <c r="G10" i="23"/>
  <c r="G11" i="23" a="1"/>
  <c r="G11" i="23"/>
  <c r="G12" i="23" a="1"/>
  <c r="G12" i="23"/>
  <c r="G13" i="23" a="1"/>
  <c r="G13" i="23"/>
  <c r="N13" i="23"/>
  <c r="G14" i="23" a="1"/>
  <c r="G14" i="23"/>
  <c r="G15" i="23" a="1"/>
  <c r="G15" i="23"/>
  <c r="G16" i="23" a="1"/>
  <c r="G16" i="23"/>
  <c r="G17" i="23" a="1"/>
  <c r="G17" i="23"/>
  <c r="G18" i="23" a="1"/>
  <c r="G18" i="23"/>
  <c r="G19" i="23" a="1"/>
  <c r="G19" i="23"/>
  <c r="G20" i="23" a="1"/>
  <c r="G20" i="23"/>
  <c r="G21" i="23" a="1"/>
  <c r="G21" i="23"/>
  <c r="G22" i="23" a="1"/>
  <c r="G22" i="23"/>
  <c r="G23" i="23" a="1"/>
  <c r="G23" i="23"/>
  <c r="G24" i="23" a="1"/>
  <c r="G24" i="23"/>
  <c r="N24" i="23"/>
  <c r="G25" i="23" a="1"/>
  <c r="G25" i="23"/>
  <c r="G26" i="23" a="1"/>
  <c r="G26" i="23"/>
  <c r="G27" i="23" a="1"/>
  <c r="G27" i="23"/>
  <c r="G28" i="23" a="1"/>
  <c r="G28" i="23"/>
  <c r="G29" i="23" a="1"/>
  <c r="G29" i="23"/>
  <c r="G30" i="23" a="1"/>
  <c r="G30" i="23"/>
  <c r="G31" i="23" a="1"/>
  <c r="G31" i="23"/>
  <c r="G32" i="23" a="1"/>
  <c r="G32" i="23"/>
  <c r="N32" i="23"/>
  <c r="G33" i="23" a="1"/>
  <c r="G33" i="23"/>
  <c r="G34" i="23" a="1"/>
  <c r="G34" i="23"/>
  <c r="G35" i="23" a="1"/>
  <c r="G35" i="23"/>
  <c r="G36" i="23" a="1"/>
  <c r="G36" i="23"/>
  <c r="N36" i="23"/>
  <c r="G37" i="23" a="1"/>
  <c r="G37" i="23"/>
  <c r="G38" i="23" a="1"/>
  <c r="G38" i="23"/>
  <c r="G39" i="23" a="1"/>
  <c r="G39" i="23"/>
  <c r="G40" i="23" a="1"/>
  <c r="G40" i="23"/>
  <c r="G41" i="23" a="1"/>
  <c r="G41" i="23"/>
  <c r="G42" i="23" a="1"/>
  <c r="G42" i="23"/>
  <c r="G43" i="23" a="1"/>
  <c r="G43" i="23"/>
  <c r="G44" i="23" a="1"/>
  <c r="G44" i="23"/>
  <c r="G45" i="23" a="1"/>
  <c r="G45" i="23"/>
  <c r="G46" i="23" a="1"/>
  <c r="G46" i="23"/>
  <c r="G47" i="23" a="1"/>
  <c r="G47" i="23"/>
  <c r="N47" i="23"/>
  <c r="G48" i="23" a="1"/>
  <c r="G48" i="23"/>
  <c r="G49" i="23" a="1"/>
  <c r="G49" i="23"/>
  <c r="G50" i="23" a="1"/>
  <c r="G50" i="23"/>
  <c r="G51" i="23" a="1"/>
  <c r="G51" i="23"/>
  <c r="G52" i="23" a="1"/>
  <c r="G52" i="23"/>
  <c r="G53" i="23" a="1"/>
  <c r="G53" i="23"/>
  <c r="G54" i="23" a="1"/>
  <c r="G54" i="23"/>
  <c r="G55" i="23" a="1"/>
  <c r="G55" i="23"/>
  <c r="N55" i="23"/>
  <c r="G56" i="23" a="1"/>
  <c r="G56" i="23"/>
  <c r="G57" i="23" a="1"/>
  <c r="G57" i="23"/>
  <c r="G58" i="23" a="1"/>
  <c r="G58" i="23"/>
  <c r="G59" i="23" a="1"/>
  <c r="G59" i="23"/>
  <c r="G60" i="23" a="1"/>
  <c r="G60" i="23"/>
  <c r="G61" i="23" a="1"/>
  <c r="G61" i="23"/>
  <c r="G62" i="23" a="1"/>
  <c r="G62" i="23"/>
  <c r="G63" i="23" a="1"/>
  <c r="G63" i="23"/>
  <c r="N63" i="23"/>
  <c r="G64" i="23" a="1"/>
  <c r="G64" i="23"/>
  <c r="N64" i="23"/>
  <c r="G65" i="23" a="1"/>
  <c r="G65" i="23"/>
  <c r="N65" i="23"/>
  <c r="G66" i="23" a="1"/>
  <c r="G66" i="23"/>
  <c r="N66" i="23"/>
  <c r="G67" i="23" a="1"/>
  <c r="G67" i="23"/>
  <c r="N67" i="23"/>
  <c r="G68" i="23" a="1"/>
  <c r="G68" i="23"/>
  <c r="G69" i="23" a="1"/>
  <c r="G69" i="23"/>
  <c r="N69" i="23"/>
  <c r="G70" i="23" a="1"/>
  <c r="G70" i="23"/>
  <c r="G71" i="23" a="1"/>
  <c r="G71" i="23"/>
  <c r="G72" i="23" a="1"/>
  <c r="G72" i="23"/>
  <c r="G73" i="23" a="1"/>
  <c r="G73" i="23"/>
  <c r="G74" i="23" a="1"/>
  <c r="G74" i="23"/>
  <c r="G75" i="23" a="1"/>
  <c r="G75" i="23"/>
  <c r="G76" i="23" a="1"/>
  <c r="G76" i="23"/>
  <c r="G77" i="23" a="1"/>
  <c r="G77" i="23"/>
  <c r="G78" i="23" a="1"/>
  <c r="G78" i="23"/>
  <c r="G79" i="23" a="1"/>
  <c r="G79" i="23"/>
  <c r="G80" i="23" a="1"/>
  <c r="G80" i="23"/>
  <c r="N80" i="23"/>
  <c r="G81" i="23" a="1"/>
  <c r="G81" i="23"/>
  <c r="G82" i="23" a="1"/>
  <c r="G82" i="23"/>
  <c r="G83" i="23" a="1"/>
  <c r="G83" i="23"/>
  <c r="G84" i="23" a="1"/>
  <c r="G84" i="23"/>
  <c r="G85" i="23" a="1"/>
  <c r="G85" i="23"/>
  <c r="G86" i="23" a="1"/>
  <c r="G86" i="23"/>
  <c r="G87" i="23" a="1"/>
  <c r="G87" i="23"/>
  <c r="G88" i="23" a="1"/>
  <c r="G88" i="23"/>
  <c r="G89" i="23" a="1"/>
  <c r="G89" i="23"/>
  <c r="G90" i="23" a="1"/>
  <c r="G90" i="23"/>
  <c r="G91" i="23" a="1"/>
  <c r="G91" i="23"/>
  <c r="N91" i="23"/>
  <c r="G92" i="23" a="1"/>
  <c r="G92" i="23"/>
  <c r="G93" i="23" a="1"/>
  <c r="G93" i="23"/>
  <c r="N93" i="23"/>
  <c r="G94" i="23" a="1"/>
  <c r="G94" i="23"/>
  <c r="N94" i="23"/>
  <c r="G95" i="23" a="1"/>
  <c r="G95" i="23"/>
  <c r="G96" i="23" a="1"/>
  <c r="G96" i="23"/>
  <c r="N96" i="23"/>
  <c r="G97" i="23" a="1"/>
  <c r="G97" i="23"/>
  <c r="N97" i="23"/>
  <c r="G98" i="23" a="1"/>
  <c r="G98" i="23"/>
  <c r="G99" i="23" a="1"/>
  <c r="G99" i="23"/>
  <c r="G100" i="23" a="1"/>
  <c r="G100" i="23"/>
  <c r="G101" i="23" a="1"/>
  <c r="G101" i="23"/>
  <c r="G102" i="23" a="1"/>
  <c r="G102" i="23"/>
  <c r="N102" i="23"/>
  <c r="G103" i="23" a="1"/>
  <c r="G103" i="23"/>
  <c r="G104" i="23" a="1"/>
  <c r="G104" i="23"/>
  <c r="G105" i="23" a="1"/>
  <c r="G105" i="23"/>
  <c r="G106" i="23" a="1"/>
  <c r="G106" i="23"/>
  <c r="G107" i="23" a="1"/>
  <c r="G107" i="23"/>
  <c r="G108" i="23" a="1"/>
  <c r="G108" i="23"/>
  <c r="G109" i="23" a="1"/>
  <c r="G109" i="23"/>
  <c r="G110" i="23" a="1"/>
  <c r="G110" i="23"/>
  <c r="G111" i="23" a="1"/>
  <c r="G111" i="23"/>
  <c r="G112" i="23" a="1"/>
  <c r="G112" i="23"/>
  <c r="G113" i="23" a="1"/>
  <c r="G113" i="23"/>
  <c r="N113" i="23"/>
  <c r="G114" i="23" a="1"/>
  <c r="G114" i="23"/>
  <c r="G115" i="23" a="1"/>
  <c r="G115" i="23"/>
  <c r="G116" i="23" a="1"/>
  <c r="G116" i="23"/>
  <c r="G117" i="23" a="1"/>
  <c r="G117" i="23"/>
  <c r="G118" i="23" a="1"/>
  <c r="G118" i="23"/>
  <c r="G119" i="23" a="1"/>
  <c r="G119" i="23"/>
  <c r="G120" i="23" a="1"/>
  <c r="G120" i="23"/>
  <c r="G121" i="23" a="1"/>
  <c r="G121" i="23"/>
  <c r="G122" i="23" a="1"/>
  <c r="G122" i="23"/>
  <c r="G123" i="23" a="1"/>
  <c r="G123" i="23"/>
  <c r="R28" i="1" a="1"/>
  <c r="R28" i="1"/>
  <c r="R29" i="1"/>
  <c r="R30" i="1"/>
  <c r="R31" i="1"/>
  <c r="R32" i="1"/>
  <c r="R33" i="1" a="1"/>
  <c r="R33" i="1"/>
  <c r="R34" i="1"/>
  <c r="S2751" i="3" l="1"/>
  <c r="AC2651" i="3"/>
  <c r="U2651" i="3"/>
  <c r="S2651" i="3"/>
  <c r="S2651" i="3" a="1"/>
  <c r="AC2697" i="3"/>
  <c r="U2697" i="3"/>
  <c r="S2697" i="3"/>
  <c r="S2697" i="3" a="1"/>
  <c r="AC387" i="3"/>
  <c r="U387" i="3"/>
  <c r="S387" i="3"/>
  <c r="S387" i="3" a="1"/>
  <c r="S2074" i="3"/>
  <c r="AC1448" i="3"/>
  <c r="U1448" i="3"/>
  <c r="S1448" i="3"/>
  <c r="S1448" i="3" a="1"/>
  <c r="S1634" i="3"/>
  <c r="AC2588" i="3"/>
  <c r="U2588" i="3"/>
  <c r="S2588" i="3"/>
  <c r="S2588" i="3" a="1"/>
  <c r="S608" i="3"/>
  <c r="S735" i="3"/>
  <c r="AC1921" i="3"/>
  <c r="U1921" i="3"/>
  <c r="S1921" i="3"/>
  <c r="S1921" i="3" a="1"/>
  <c r="S1124" i="3"/>
  <c r="AC1134" i="3"/>
  <c r="U1134" i="3"/>
  <c r="S1134" i="3"/>
  <c r="S1134" i="3" a="1"/>
  <c r="AC142" i="3"/>
  <c r="U142" i="3"/>
  <c r="S142" i="3"/>
  <c r="S142" i="3" a="1"/>
  <c r="S2034" i="3"/>
  <c r="AC2521" i="3"/>
  <c r="U2521" i="3"/>
  <c r="S2521" i="3"/>
  <c r="S2521" i="3" a="1"/>
  <c r="S1888" i="3"/>
  <c r="S758" i="3"/>
  <c r="AC1938" i="3"/>
  <c r="U1938" i="3"/>
  <c r="S1938" i="3"/>
  <c r="S1938" i="3" a="1"/>
  <c r="AC693" i="3"/>
  <c r="U693" i="3"/>
  <c r="S693" i="3"/>
  <c r="S693" i="3" a="1"/>
  <c r="S2657" i="3"/>
  <c r="AC2117" i="3"/>
  <c r="U2117" i="3"/>
  <c r="S2117" i="3"/>
  <c r="S2117" i="3" a="1"/>
  <c r="AC1589" i="3"/>
  <c r="U1589" i="3"/>
  <c r="S1589" i="3"/>
  <c r="S1589" i="3" a="1"/>
  <c r="S2795" i="3"/>
  <c r="AC2782" i="3"/>
  <c r="U2782" i="3"/>
  <c r="S2782" i="3"/>
  <c r="S2782" i="3" a="1"/>
  <c r="S151" i="3"/>
  <c r="AC1637" i="3"/>
  <c r="U1637" i="3"/>
  <c r="S1637" i="3"/>
  <c r="S1637" i="3" a="1"/>
  <c r="AC1133" i="3"/>
  <c r="U1133" i="3"/>
  <c r="S1133" i="3"/>
  <c r="S1133" i="3" a="1"/>
  <c r="S66" i="3"/>
  <c r="AC1226" i="3"/>
  <c r="U1226" i="3"/>
  <c r="S1226" i="3"/>
  <c r="S1226" i="3" a="1"/>
  <c r="AC2075" i="3"/>
  <c r="U2075" i="3"/>
  <c r="S2075" i="3"/>
  <c r="S2075" i="3" a="1"/>
  <c r="S1647" i="3"/>
  <c r="S1688" i="3"/>
  <c r="AC1304" i="3"/>
  <c r="U1304" i="3"/>
  <c r="S1304" i="3"/>
  <c r="S1304" i="3" a="1"/>
  <c r="AC2374" i="3"/>
  <c r="U2374" i="3"/>
  <c r="S2374" i="3"/>
  <c r="S2374" i="3" a="1"/>
  <c r="AC2353" i="3"/>
  <c r="U2353" i="3"/>
  <c r="S2353" i="3"/>
  <c r="S2353" i="3" a="1"/>
  <c r="AC1963" i="3"/>
  <c r="U1963" i="3"/>
  <c r="S1963" i="3"/>
  <c r="S1963" i="3" a="1"/>
  <c r="AC96" i="3"/>
  <c r="U96" i="3"/>
  <c r="S96" i="3"/>
  <c r="S96" i="3" a="1"/>
  <c r="AC1459" i="3"/>
  <c r="U1459" i="3"/>
  <c r="S1459" i="3"/>
  <c r="S1459" i="3" a="1"/>
  <c r="AC1650" i="3"/>
  <c r="U1650" i="3"/>
  <c r="S1650" i="3"/>
  <c r="S1650" i="3" a="1"/>
  <c r="S2365" i="3"/>
  <c r="AC2760" i="3"/>
  <c r="U2760" i="3"/>
  <c r="S2760" i="3"/>
  <c r="S2760" i="3" a="1"/>
  <c r="S1062" i="3"/>
  <c r="AC2564" i="3"/>
  <c r="U2564" i="3"/>
  <c r="S2564" i="3"/>
  <c r="S2564" i="3" a="1"/>
  <c r="AC215" i="3"/>
  <c r="U215" i="3"/>
  <c r="S215" i="3"/>
  <c r="S215" i="3" a="1"/>
  <c r="AC450" i="3"/>
  <c r="U450" i="3"/>
  <c r="S450" i="3"/>
  <c r="S450" i="3" a="1"/>
  <c r="AC1538" i="3"/>
  <c r="U1538" i="3"/>
  <c r="S1538" i="3"/>
  <c r="S1538" i="3" a="1"/>
  <c r="AC589" i="3"/>
  <c r="U589" i="3"/>
  <c r="S589" i="3"/>
  <c r="S589" i="3" a="1"/>
  <c r="AC340" i="3"/>
  <c r="U340" i="3"/>
  <c r="S340" i="3"/>
  <c r="S340" i="3" a="1"/>
  <c r="AC2748" i="3"/>
  <c r="U2748" i="3"/>
  <c r="S2748" i="3"/>
  <c r="S2748" i="3" a="1"/>
  <c r="S608" i="3" a="1"/>
  <c r="U608" i="3"/>
  <c r="AC608" i="3"/>
  <c r="T41" i="23"/>
  <c r="R41" i="23"/>
  <c r="R41" i="23" a="1"/>
  <c r="AC2451" i="3"/>
  <c r="U2451" i="3"/>
  <c r="S2451" i="3"/>
  <c r="S2451" i="3" a="1"/>
  <c r="AC2185" i="3"/>
  <c r="U2185" i="3"/>
  <c r="S2185" i="3"/>
  <c r="S2185" i="3" a="1"/>
  <c r="AC2085" i="3"/>
  <c r="U2085" i="3"/>
  <c r="S2085" i="3"/>
  <c r="S2085" i="3" a="1"/>
  <c r="U2819" i="3"/>
  <c r="S2819" i="3"/>
  <c r="S2819" i="3" a="1"/>
  <c r="S1345" i="3"/>
  <c r="AC631" i="3"/>
  <c r="U631" i="3"/>
  <c r="S631" i="3"/>
  <c r="S631" i="3" a="1"/>
  <c r="AC1749" i="3"/>
  <c r="U1749" i="3"/>
  <c r="S1749" i="3"/>
  <c r="S1749" i="3" a="1"/>
  <c r="AC650" i="3"/>
  <c r="U650" i="3"/>
  <c r="S650" i="3"/>
  <c r="S650" i="3" a="1"/>
  <c r="AC2484" i="3"/>
  <c r="U2484" i="3"/>
  <c r="S2484" i="3"/>
  <c r="S2484" i="3" a="1"/>
  <c r="AC799" i="3"/>
  <c r="U799" i="3"/>
  <c r="S799" i="3"/>
  <c r="S799" i="3" a="1"/>
  <c r="AC2757" i="3"/>
  <c r="U2757" i="3"/>
  <c r="S2757" i="3"/>
  <c r="S2757" i="3" a="1"/>
  <c r="AC1484" i="3"/>
  <c r="U1484" i="3"/>
  <c r="S1484" i="3"/>
  <c r="S1484" i="3" a="1"/>
  <c r="S1525" i="3"/>
  <c r="AC1988" i="3"/>
  <c r="U1988" i="3"/>
  <c r="S1988" i="3"/>
  <c r="S1988" i="3" a="1"/>
  <c r="S1647" i="3" a="1"/>
  <c r="U1647" i="3"/>
  <c r="AC1647" i="3"/>
  <c r="AC135" i="3"/>
  <c r="U135" i="3"/>
  <c r="S135" i="3"/>
  <c r="S135" i="3" a="1"/>
  <c r="AC2509" i="3"/>
  <c r="U2509" i="3"/>
  <c r="S2509" i="3"/>
  <c r="S2509" i="3" a="1"/>
  <c r="AC445" i="3"/>
  <c r="U445" i="3"/>
  <c r="S445" i="3"/>
  <c r="S445" i="3" a="1"/>
  <c r="AC881" i="3"/>
  <c r="U881" i="3"/>
  <c r="S881" i="3"/>
  <c r="S881" i="3" a="1"/>
  <c r="AC2602" i="3"/>
  <c r="U2602" i="3"/>
  <c r="S2602" i="3"/>
  <c r="S2602" i="3" a="1"/>
  <c r="AC485" i="3"/>
  <c r="U485" i="3"/>
  <c r="S485" i="3"/>
  <c r="S485" i="3" a="1"/>
  <c r="S2627" i="3"/>
  <c r="AC2344" i="3"/>
  <c r="U2344" i="3"/>
  <c r="S2344" i="3"/>
  <c r="S2344" i="3" a="1"/>
  <c r="AC1388" i="3"/>
  <c r="U1388" i="3"/>
  <c r="S1388" i="3"/>
  <c r="S1388" i="3" a="1"/>
  <c r="AC1797" i="3"/>
  <c r="U1797" i="3"/>
  <c r="S1797" i="3"/>
  <c r="S1797" i="3" a="1"/>
  <c r="AC307" i="3"/>
  <c r="U307" i="3"/>
  <c r="S307" i="3"/>
  <c r="S307" i="3" a="1"/>
  <c r="AC129" i="3"/>
  <c r="U129" i="3"/>
  <c r="S129" i="3"/>
  <c r="S129" i="3" a="1"/>
  <c r="AC2669" i="3"/>
  <c r="U2669" i="3"/>
  <c r="S2669" i="3"/>
  <c r="S2669" i="3" a="1"/>
  <c r="AC1694" i="3"/>
  <c r="U1694" i="3"/>
  <c r="S1694" i="3"/>
  <c r="S1694" i="3" a="1"/>
  <c r="AC2329" i="3"/>
  <c r="U2329" i="3"/>
  <c r="S2329" i="3"/>
  <c r="S2329" i="3" a="1"/>
  <c r="S1401" i="3"/>
  <c r="AC1454" i="3"/>
  <c r="U1454" i="3"/>
  <c r="S1454" i="3"/>
  <c r="S1454" i="3" a="1"/>
  <c r="AC2121" i="3"/>
  <c r="U2121" i="3"/>
  <c r="S2121" i="3"/>
  <c r="S2121" i="3" a="1"/>
  <c r="AC991" i="3"/>
  <c r="U991" i="3"/>
  <c r="S991" i="3"/>
  <c r="S991" i="3" a="1"/>
  <c r="AC391" i="3"/>
  <c r="U391" i="3"/>
  <c r="S391" i="3"/>
  <c r="S391" i="3" a="1"/>
  <c r="T34" i="23"/>
  <c r="R34" i="23"/>
  <c r="R34" i="23" a="1"/>
  <c r="AC1091" i="3"/>
  <c r="U1091" i="3"/>
  <c r="S1091" i="3"/>
  <c r="S1091" i="3" a="1"/>
  <c r="AC2529" i="3"/>
  <c r="U2529" i="3"/>
  <c r="S2529" i="3"/>
  <c r="S2529" i="3" a="1"/>
  <c r="AC632" i="3"/>
  <c r="U632" i="3"/>
  <c r="S632" i="3"/>
  <c r="S632" i="3" a="1"/>
  <c r="AC665" i="3"/>
  <c r="U665" i="3"/>
  <c r="S665" i="3"/>
  <c r="S665" i="3" a="1"/>
  <c r="AC1225" i="3"/>
  <c r="U1225" i="3"/>
  <c r="S1225" i="3"/>
  <c r="S1225" i="3" a="1"/>
  <c r="AC1840" i="3"/>
  <c r="U1840" i="3"/>
  <c r="S1840" i="3"/>
  <c r="S1840" i="3" a="1"/>
  <c r="AC2275" i="3"/>
  <c r="U2275" i="3"/>
  <c r="S2275" i="3"/>
  <c r="S2275" i="3" a="1"/>
  <c r="S2270" i="3"/>
  <c r="AC403" i="3"/>
  <c r="U403" i="3"/>
  <c r="S403" i="3"/>
  <c r="S403" i="3" a="1"/>
  <c r="AC1922" i="3"/>
  <c r="U1922" i="3"/>
  <c r="S1922" i="3"/>
  <c r="S1922" i="3" a="1"/>
  <c r="AC51" i="3"/>
  <c r="U51" i="3"/>
  <c r="S51" i="3"/>
  <c r="S51" i="3" a="1"/>
  <c r="T84" i="23"/>
  <c r="R84" i="23"/>
  <c r="R84" i="23" a="1"/>
  <c r="AC2635" i="3"/>
  <c r="U2635" i="3"/>
  <c r="S2635" i="3"/>
  <c r="S2635" i="3" a="1"/>
  <c r="AC1340" i="3"/>
  <c r="U1340" i="3"/>
  <c r="S1340" i="3"/>
  <c r="S1340" i="3" a="1"/>
  <c r="AC2410" i="3"/>
  <c r="U2410" i="3"/>
  <c r="S2410" i="3"/>
  <c r="S2410" i="3" a="1"/>
  <c r="AC82" i="3"/>
  <c r="U82" i="3"/>
  <c r="S82" i="3"/>
  <c r="S82" i="3" a="1"/>
  <c r="N106" i="23"/>
  <c r="L106" i="23"/>
  <c r="AC2633" i="3"/>
  <c r="U2633" i="3"/>
  <c r="S2633" i="3"/>
  <c r="S2633" i="3" a="1"/>
  <c r="AC2290" i="3"/>
  <c r="U2290" i="3"/>
  <c r="S2290" i="3"/>
  <c r="S2290" i="3" a="1"/>
  <c r="AC2361" i="3"/>
  <c r="U2361" i="3"/>
  <c r="S2361" i="3"/>
  <c r="S2361" i="3" a="1"/>
  <c r="AC1776" i="3"/>
  <c r="U1776" i="3"/>
  <c r="S1776" i="3"/>
  <c r="S1776" i="3" a="1"/>
  <c r="S2701" i="3"/>
  <c r="AC907" i="3"/>
  <c r="U907" i="3"/>
  <c r="S907" i="3"/>
  <c r="S907" i="3" a="1"/>
  <c r="AC610" i="3"/>
  <c r="U610" i="3"/>
  <c r="S610" i="3"/>
  <c r="S610" i="3" a="1"/>
  <c r="S218" i="3"/>
  <c r="N50" i="23"/>
  <c r="L50" i="23"/>
  <c r="AC637" i="3"/>
  <c r="U637" i="3"/>
  <c r="S637" i="3"/>
  <c r="S637" i="3" a="1"/>
  <c r="AC1928" i="3"/>
  <c r="U1928" i="3"/>
  <c r="S1928" i="3"/>
  <c r="S1928" i="3" a="1"/>
  <c r="AC1978" i="3"/>
  <c r="U1978" i="3"/>
  <c r="S1978" i="3"/>
  <c r="S1978" i="3" a="1"/>
  <c r="AC1504" i="3"/>
  <c r="U1504" i="3"/>
  <c r="S1504" i="3"/>
  <c r="S1504" i="3" a="1"/>
  <c r="AC1295" i="3"/>
  <c r="U1295" i="3"/>
  <c r="S1295" i="3"/>
  <c r="S1295" i="3" a="1"/>
  <c r="AC420" i="3"/>
  <c r="U420" i="3"/>
  <c r="S420" i="3"/>
  <c r="S420" i="3" a="1"/>
  <c r="S2729" i="3"/>
  <c r="S2368" i="3"/>
  <c r="S1254" i="3"/>
  <c r="S1013" i="3"/>
  <c r="AC2320" i="3"/>
  <c r="U2320" i="3"/>
  <c r="S2320" i="3"/>
  <c r="S2320" i="3" a="1"/>
  <c r="AC1734" i="3"/>
  <c r="U1734" i="3"/>
  <c r="S1734" i="3"/>
  <c r="S1734" i="3" a="1"/>
  <c r="S1791" i="3"/>
  <c r="AC1016" i="3"/>
  <c r="U1016" i="3"/>
  <c r="S1016" i="3"/>
  <c r="S1016" i="3" a="1"/>
  <c r="AC1391" i="3"/>
  <c r="U1391" i="3"/>
  <c r="S1391" i="3"/>
  <c r="S1391" i="3" a="1"/>
  <c r="AC715" i="3"/>
  <c r="U715" i="3"/>
  <c r="S715" i="3"/>
  <c r="S715" i="3" a="1"/>
  <c r="AC273" i="3"/>
  <c r="U273" i="3"/>
  <c r="S273" i="3"/>
  <c r="S273" i="3" a="1"/>
  <c r="S2751" i="3" a="1"/>
  <c r="U2751" i="3"/>
  <c r="AC2751" i="3"/>
  <c r="AC2493" i="3"/>
  <c r="U2493" i="3"/>
  <c r="S2493" i="3"/>
  <c r="S2493" i="3" a="1"/>
  <c r="AC1874" i="3"/>
  <c r="U1874" i="3"/>
  <c r="S1874" i="3"/>
  <c r="S1874" i="3" a="1"/>
  <c r="AC1379" i="3"/>
  <c r="U1379" i="3"/>
  <c r="S1379" i="3"/>
  <c r="S1379" i="3" a="1"/>
  <c r="AC2511" i="3"/>
  <c r="U2511" i="3"/>
  <c r="S2511" i="3"/>
  <c r="S2511" i="3" a="1"/>
  <c r="AC2763" i="3"/>
  <c r="U2763" i="3"/>
  <c r="S2763" i="3"/>
  <c r="S2763" i="3" a="1"/>
  <c r="E206" i="11"/>
  <c r="S206" i="11"/>
  <c r="U2818" i="3"/>
  <c r="S382" i="3"/>
  <c r="AC766" i="3"/>
  <c r="U766" i="3"/>
  <c r="S766" i="3"/>
  <c r="S766" i="3" a="1"/>
  <c r="S1857" i="3"/>
  <c r="AC2131" i="3"/>
  <c r="U2131" i="3"/>
  <c r="S2131" i="3"/>
  <c r="S2131" i="3" a="1"/>
  <c r="AC2256" i="3"/>
  <c r="U2256" i="3"/>
  <c r="S2256" i="3"/>
  <c r="S2256" i="3" a="1"/>
  <c r="AC1342" i="3"/>
  <c r="U1342" i="3"/>
  <c r="S1342" i="3"/>
  <c r="S1342" i="3" a="1"/>
  <c r="AC1083" i="3"/>
  <c r="U1083" i="3"/>
  <c r="S1083" i="3"/>
  <c r="S1083" i="3" a="1"/>
  <c r="AC473" i="3"/>
  <c r="U473" i="3"/>
  <c r="S473" i="3"/>
  <c r="S473" i="3" a="1"/>
  <c r="AC2148" i="3"/>
  <c r="U2148" i="3"/>
  <c r="S2148" i="3"/>
  <c r="S2148" i="3" a="1"/>
  <c r="S732" i="3"/>
  <c r="AC977" i="3"/>
  <c r="U977" i="3"/>
  <c r="S977" i="3"/>
  <c r="S977" i="3" a="1"/>
  <c r="AC2206" i="3"/>
  <c r="U2206" i="3"/>
  <c r="S2206" i="3"/>
  <c r="S2206" i="3" a="1"/>
  <c r="S126" i="3"/>
  <c r="S922" i="3"/>
  <c r="AC1042" i="3"/>
  <c r="U1042" i="3"/>
  <c r="S1042" i="3"/>
  <c r="S1042" i="3" a="1"/>
  <c r="N16" i="23"/>
  <c r="L16" i="23"/>
  <c r="T54" i="23"/>
  <c r="R54" i="23"/>
  <c r="R54" i="23" a="1"/>
  <c r="S2607" i="3"/>
  <c r="AC1977" i="3"/>
  <c r="U1977" i="3"/>
  <c r="S1977" i="3"/>
  <c r="S1977" i="3" a="1"/>
  <c r="AC2315" i="3"/>
  <c r="U2315" i="3"/>
  <c r="S2315" i="3"/>
  <c r="S2315" i="3" a="1"/>
  <c r="AC1181" i="3"/>
  <c r="U1181" i="3"/>
  <c r="S1181" i="3"/>
  <c r="S1181" i="3" a="1"/>
  <c r="T107" i="23"/>
  <c r="R107" i="23"/>
  <c r="R107" i="23" a="1"/>
  <c r="N339" i="3"/>
  <c r="M339" i="3"/>
  <c r="AB339" i="3"/>
  <c r="AB339" i="3" a="1"/>
  <c r="AC2561" i="3"/>
  <c r="U2561" i="3"/>
  <c r="S2561" i="3"/>
  <c r="S2561" i="3" a="1"/>
  <c r="AC371" i="3"/>
  <c r="U371" i="3"/>
  <c r="S371" i="3"/>
  <c r="S371" i="3" a="1"/>
  <c r="AC329" i="3"/>
  <c r="U329" i="3"/>
  <c r="S329" i="3"/>
  <c r="S329" i="3" a="1"/>
  <c r="AC1146" i="3"/>
  <c r="U1146" i="3"/>
  <c r="S1146" i="3"/>
  <c r="S1146" i="3" a="1"/>
  <c r="AC1334" i="3"/>
  <c r="U1334" i="3"/>
  <c r="S1334" i="3"/>
  <c r="S1334" i="3" a="1"/>
  <c r="AC1138" i="3"/>
  <c r="U1138" i="3"/>
  <c r="S1138" i="3"/>
  <c r="S1138" i="3" a="1"/>
  <c r="AC1833" i="3"/>
  <c r="U1833" i="3"/>
  <c r="S1833" i="3"/>
  <c r="S1833" i="3" a="1"/>
  <c r="AC733" i="3"/>
  <c r="U733" i="3"/>
  <c r="S733" i="3"/>
  <c r="S733" i="3" a="1"/>
  <c r="N337" i="3"/>
  <c r="L337" i="3"/>
  <c r="S854" i="3"/>
  <c r="T9" i="23"/>
  <c r="R9" i="23"/>
  <c r="R9" i="23" a="1"/>
  <c r="AC2778" i="3"/>
  <c r="U2778" i="3"/>
  <c r="S2778" i="3"/>
  <c r="S2778" i="3" a="1"/>
  <c r="AC1233" i="3"/>
  <c r="U1233" i="3"/>
  <c r="S1233" i="3"/>
  <c r="S1233" i="3" a="1"/>
  <c r="AC2545" i="3"/>
  <c r="U2545" i="3"/>
  <c r="S2545" i="3"/>
  <c r="S2545" i="3" a="1"/>
  <c r="AC475" i="3"/>
  <c r="U475" i="3"/>
  <c r="S475" i="3"/>
  <c r="S475" i="3" a="1"/>
  <c r="AC1583" i="3"/>
  <c r="U1583" i="3"/>
  <c r="S1583" i="3"/>
  <c r="S1583" i="3" a="1"/>
  <c r="AC969" i="3"/>
  <c r="U969" i="3"/>
  <c r="S969" i="3"/>
  <c r="S969" i="3" a="1"/>
  <c r="AC356" i="3"/>
  <c r="U356" i="3"/>
  <c r="S356" i="3"/>
  <c r="S356" i="3" a="1"/>
  <c r="S1857" i="3" a="1"/>
  <c r="U1857" i="3"/>
  <c r="AC1857" i="3"/>
  <c r="AC986" i="3"/>
  <c r="U986" i="3"/>
  <c r="S986" i="3"/>
  <c r="S986" i="3" a="1"/>
  <c r="AC1851" i="3"/>
  <c r="U1851" i="3"/>
  <c r="S1851" i="3"/>
  <c r="S1851" i="3" a="1"/>
  <c r="AC357" i="3"/>
  <c r="U357" i="3"/>
  <c r="S357" i="3"/>
  <c r="S357" i="3" a="1"/>
  <c r="AC2040" i="3"/>
  <c r="U2040" i="3"/>
  <c r="S2040" i="3"/>
  <c r="S2040" i="3" a="1"/>
  <c r="AC1665" i="3"/>
  <c r="U1665" i="3"/>
  <c r="S1665" i="3"/>
  <c r="S1665" i="3" a="1"/>
  <c r="AC2547" i="3"/>
  <c r="U2547" i="3"/>
  <c r="S2547" i="3"/>
  <c r="S2547" i="3" a="1"/>
  <c r="AC318" i="3"/>
  <c r="U318" i="3"/>
  <c r="S318" i="3"/>
  <c r="S318" i="3" a="1"/>
  <c r="N17" i="23"/>
  <c r="L17" i="23"/>
  <c r="AC1736" i="3"/>
  <c r="U1736" i="3"/>
  <c r="S1736" i="3"/>
  <c r="S1736" i="3" a="1"/>
  <c r="AC640" i="3"/>
  <c r="U640" i="3"/>
  <c r="S640" i="3"/>
  <c r="S640" i="3" a="1"/>
  <c r="AC2530" i="3"/>
  <c r="U2530" i="3"/>
  <c r="S2530" i="3"/>
  <c r="S2530" i="3" a="1"/>
  <c r="S1698" i="3"/>
  <c r="S2607" i="3" a="1"/>
  <c r="U2607" i="3"/>
  <c r="AC2607" i="3"/>
  <c r="AC2576" i="3"/>
  <c r="U2576" i="3"/>
  <c r="S2576" i="3"/>
  <c r="S2576" i="3" a="1"/>
  <c r="E222" i="11"/>
  <c r="S222" i="11"/>
  <c r="AC203" i="3"/>
  <c r="U203" i="3"/>
  <c r="S203" i="3"/>
  <c r="S203" i="3" a="1"/>
  <c r="AC1911" i="3"/>
  <c r="U1911" i="3"/>
  <c r="S1911" i="3"/>
  <c r="S1911" i="3" a="1"/>
  <c r="AC1321" i="3"/>
  <c r="U1321" i="3"/>
  <c r="S1321" i="3"/>
  <c r="S1321" i="3" a="1"/>
  <c r="AC284" i="3"/>
  <c r="U284" i="3"/>
  <c r="S284" i="3"/>
  <c r="S284" i="3" a="1"/>
  <c r="S1215" i="3"/>
  <c r="S206" i="3"/>
  <c r="AC348" i="3"/>
  <c r="U348" i="3"/>
  <c r="S348" i="3"/>
  <c r="S348" i="3" a="1"/>
  <c r="AC1582" i="3"/>
  <c r="U1582" i="3"/>
  <c r="S1582" i="3"/>
  <c r="S1582" i="3" a="1"/>
  <c r="AC1346" i="3"/>
  <c r="U1346" i="3"/>
  <c r="S1346" i="3"/>
  <c r="S1346" i="3" a="1"/>
  <c r="AC2743" i="3"/>
  <c r="U2743" i="3"/>
  <c r="S421" i="3"/>
  <c r="AC24" i="3"/>
  <c r="U24" i="3"/>
  <c r="S24" i="3"/>
  <c r="S24" i="3" a="1"/>
  <c r="AC2383" i="3"/>
  <c r="U2383" i="3"/>
  <c r="S2383" i="3"/>
  <c r="S2383" i="3" a="1"/>
  <c r="AC167" i="3"/>
  <c r="U167" i="3"/>
  <c r="S167" i="3"/>
  <c r="S167" i="3" a="1"/>
  <c r="S1676" i="3"/>
  <c r="N4" i="23"/>
  <c r="L4" i="23"/>
  <c r="AC1685" i="3"/>
  <c r="U1685" i="3"/>
  <c r="S1685" i="3"/>
  <c r="S1685" i="3" a="1"/>
  <c r="AC526" i="3"/>
  <c r="U526" i="3"/>
  <c r="S526" i="3"/>
  <c r="S526" i="3" a="1"/>
  <c r="AC2754" i="3"/>
  <c r="U2754" i="3"/>
  <c r="S2754" i="3"/>
  <c r="S2754" i="3" a="1"/>
  <c r="AC1802" i="3"/>
  <c r="U1802" i="3"/>
  <c r="S1802" i="3"/>
  <c r="S1802" i="3" a="1"/>
  <c r="AC2654" i="3"/>
  <c r="U2654" i="3"/>
  <c r="S2654" i="3"/>
  <c r="S2654" i="3" a="1"/>
  <c r="AC2428" i="3"/>
  <c r="U2428" i="3"/>
  <c r="S2428" i="3"/>
  <c r="S2428" i="3" a="1"/>
  <c r="AC2271" i="3"/>
  <c r="U2271" i="3"/>
  <c r="S2271" i="3"/>
  <c r="S2271" i="3" a="1"/>
  <c r="AC2168" i="3"/>
  <c r="U2168" i="3"/>
  <c r="S2168" i="3"/>
  <c r="S2168" i="3" a="1"/>
  <c r="S293" i="3"/>
  <c r="S975" i="3"/>
  <c r="S176" i="3"/>
  <c r="AC1669" i="3"/>
  <c r="U1669" i="3"/>
  <c r="S1669" i="3"/>
  <c r="S1669" i="3" a="1"/>
  <c r="AC1952" i="3"/>
  <c r="U1952" i="3"/>
  <c r="S1952" i="3"/>
  <c r="S1952" i="3" a="1"/>
  <c r="AC386" i="3"/>
  <c r="U386" i="3"/>
  <c r="S386" i="3"/>
  <c r="S386" i="3" a="1"/>
  <c r="AC1723" i="3"/>
  <c r="U1723" i="3"/>
  <c r="S1723" i="3"/>
  <c r="S1723" i="3" a="1"/>
  <c r="AC699" i="3"/>
  <c r="U699" i="3"/>
  <c r="S699" i="3"/>
  <c r="S699" i="3" a="1"/>
  <c r="AC750" i="3"/>
  <c r="U750" i="3"/>
  <c r="S750" i="3"/>
  <c r="S750" i="3" a="1"/>
  <c r="AC2257" i="3"/>
  <c r="U2257" i="3"/>
  <c r="S2257" i="3"/>
  <c r="S2257" i="3" a="1"/>
  <c r="N99" i="23"/>
  <c r="L99" i="23"/>
  <c r="R97" i="23"/>
  <c r="T86" i="23"/>
  <c r="R86" i="23"/>
  <c r="R86" i="23" a="1"/>
  <c r="S1203" i="3"/>
  <c r="S136" i="3"/>
  <c r="AC1485" i="3"/>
  <c r="U1485" i="3"/>
  <c r="S1485" i="3"/>
  <c r="S1485" i="3" a="1"/>
  <c r="AC374" i="3"/>
  <c r="U374" i="3"/>
  <c r="S374" i="3"/>
  <c r="S374" i="3" a="1"/>
  <c r="AC2438" i="3"/>
  <c r="U2438" i="3"/>
  <c r="S2438" i="3"/>
  <c r="S2438" i="3" a="1"/>
  <c r="S2399" i="3"/>
  <c r="AC1560" i="3"/>
  <c r="U1560" i="3"/>
  <c r="S1560" i="3"/>
  <c r="S1560" i="3" a="1"/>
  <c r="S2360" i="3"/>
  <c r="AC497" i="3"/>
  <c r="U497" i="3"/>
  <c r="S497" i="3"/>
  <c r="S497" i="3" a="1"/>
  <c r="N120" i="23"/>
  <c r="L120" i="23"/>
  <c r="AC2506" i="3"/>
  <c r="U2506" i="3"/>
  <c r="S2506" i="3"/>
  <c r="S2506" i="3" a="1"/>
  <c r="AC2230" i="3"/>
  <c r="U2230" i="3"/>
  <c r="S2230" i="3"/>
  <c r="S2230" i="3" a="1"/>
  <c r="S115" i="3"/>
  <c r="S1006" i="3"/>
  <c r="AC1566" i="3"/>
  <c r="U1566" i="3"/>
  <c r="S1566" i="3"/>
  <c r="S1566" i="3" a="1"/>
  <c r="AC277" i="3"/>
  <c r="U277" i="3"/>
  <c r="S277" i="3"/>
  <c r="S277" i="3" a="1"/>
  <c r="AC359" i="3"/>
  <c r="U359" i="3"/>
  <c r="S359" i="3"/>
  <c r="S359" i="3" a="1"/>
  <c r="U2814" i="3"/>
  <c r="S2814" i="3"/>
  <c r="S2814" i="3" a="1"/>
  <c r="T60" i="23"/>
  <c r="R60" i="23"/>
  <c r="R60" i="23" a="1"/>
  <c r="S1255" i="3"/>
  <c r="AC1753" i="3"/>
  <c r="U1753" i="3"/>
  <c r="S1753" i="3"/>
  <c r="S1753" i="3" a="1"/>
  <c r="AC2416" i="3"/>
  <c r="U2416" i="3"/>
  <c r="S2416" i="3"/>
  <c r="S2416" i="3" a="1"/>
  <c r="S2253" i="3"/>
  <c r="S293" i="3" a="1"/>
  <c r="U293" i="3"/>
  <c r="AC293" i="3"/>
  <c r="S1958" i="3"/>
  <c r="AC1211" i="3"/>
  <c r="U1211" i="3"/>
  <c r="S1211" i="3"/>
  <c r="S1211" i="3" a="1"/>
  <c r="N30" i="23"/>
  <c r="L30" i="23"/>
  <c r="AC1330" i="3"/>
  <c r="U1330" i="3"/>
  <c r="S1330" i="3"/>
  <c r="S1330" i="3" a="1"/>
  <c r="AC157" i="3"/>
  <c r="U157" i="3"/>
  <c r="S157" i="3"/>
  <c r="S157" i="3" a="1"/>
  <c r="AC643" i="3"/>
  <c r="U643" i="3"/>
  <c r="S643" i="3"/>
  <c r="S643" i="3" a="1"/>
  <c r="AC27" i="3"/>
  <c r="U27" i="3"/>
  <c r="S27" i="3"/>
  <c r="S27" i="3" a="1"/>
  <c r="AC1518" i="3"/>
  <c r="U1518" i="3"/>
  <c r="S1518" i="3"/>
  <c r="S1518" i="3" a="1"/>
  <c r="AC2262" i="3"/>
  <c r="U2262" i="3"/>
  <c r="S2262" i="3"/>
  <c r="S2262" i="3" a="1"/>
  <c r="AC71" i="3"/>
  <c r="U71" i="3"/>
  <c r="S71" i="3"/>
  <c r="S71" i="3" a="1"/>
  <c r="S2550" i="3"/>
  <c r="AC1174" i="3"/>
  <c r="U1174" i="3"/>
  <c r="S1174" i="3"/>
  <c r="S1174" i="3" a="1"/>
  <c r="S1154" i="3"/>
  <c r="AC2724" i="3"/>
  <c r="U2724" i="3"/>
  <c r="S2724" i="3"/>
  <c r="S2724" i="3" a="1"/>
  <c r="E208" i="11"/>
  <c r="S2795" i="3" a="1"/>
  <c r="U2795" i="3"/>
  <c r="S208" i="11"/>
  <c r="AC1002" i="3"/>
  <c r="U1002" i="3"/>
  <c r="S1002" i="3"/>
  <c r="S1002" i="3" a="1"/>
  <c r="S740" i="3"/>
  <c r="AC2665" i="3"/>
  <c r="U2665" i="3"/>
  <c r="S2665" i="3"/>
  <c r="S2665" i="3" a="1"/>
  <c r="AC1326" i="3"/>
  <c r="U1326" i="3"/>
  <c r="S1326" i="3"/>
  <c r="S1326" i="3" a="1"/>
  <c r="AC848" i="3"/>
  <c r="U848" i="3"/>
  <c r="S848" i="3"/>
  <c r="S848" i="3" a="1"/>
  <c r="AC306" i="3"/>
  <c r="U306" i="3"/>
  <c r="S306" i="3"/>
  <c r="S306" i="3" a="1"/>
  <c r="S350" i="3"/>
  <c r="AC780" i="3"/>
  <c r="U780" i="3"/>
  <c r="S780" i="3"/>
  <c r="S780" i="3" a="1"/>
  <c r="T7" i="23"/>
  <c r="R7" i="23"/>
  <c r="R7" i="23" a="1"/>
  <c r="S2156" i="3"/>
  <c r="AC1359" i="3"/>
  <c r="U1359" i="3"/>
  <c r="S1359" i="3"/>
  <c r="S1359" i="3" a="1"/>
  <c r="S2028" i="3"/>
  <c r="S92" i="3"/>
  <c r="AC681" i="3"/>
  <c r="U681" i="3"/>
  <c r="S681" i="3"/>
  <c r="S681" i="3" a="1"/>
  <c r="AC351" i="3"/>
  <c r="U351" i="3"/>
  <c r="S351" i="3"/>
  <c r="S351" i="3" a="1"/>
  <c r="E230" i="11"/>
  <c r="S230" i="11"/>
  <c r="AC1483" i="3"/>
  <c r="U1483" i="3"/>
  <c r="S1483" i="3"/>
  <c r="S1483" i="3" a="1"/>
  <c r="N98" i="23"/>
  <c r="L98" i="23"/>
  <c r="AC454" i="3"/>
  <c r="U454" i="3"/>
  <c r="S454" i="3"/>
  <c r="S454" i="3" a="1"/>
  <c r="S2011" i="3"/>
  <c r="AC1265" i="3"/>
  <c r="U1265" i="3"/>
  <c r="S1265" i="3"/>
  <c r="S1265" i="3" a="1"/>
  <c r="AC1496" i="3"/>
  <c r="U1496" i="3"/>
  <c r="S1496" i="3"/>
  <c r="S1496" i="3" a="1"/>
  <c r="AC2774" i="3"/>
  <c r="U2774" i="3"/>
  <c r="S2774" i="3"/>
  <c r="S2774" i="3" a="1"/>
  <c r="S1401" i="3" a="1"/>
  <c r="U1401" i="3"/>
  <c r="AC1401" i="3"/>
  <c r="S2074" i="3" a="1"/>
  <c r="U2074" i="3"/>
  <c r="AC2074" i="3"/>
  <c r="S1062" i="3" a="1"/>
  <c r="U1062" i="3"/>
  <c r="AC1062" i="3"/>
  <c r="S2533" i="3"/>
  <c r="S426" i="3"/>
  <c r="S1634" i="3" a="1"/>
  <c r="U1634" i="3"/>
  <c r="AC1634" i="3"/>
  <c r="S975" i="3" a="1"/>
  <c r="U975" i="3"/>
  <c r="AC975" i="3"/>
  <c r="S735" i="3" a="1"/>
  <c r="U735" i="3"/>
  <c r="AC735" i="3"/>
  <c r="S1394" i="3"/>
  <c r="S2235" i="3"/>
  <c r="S1124" i="3" a="1"/>
  <c r="U1124" i="3"/>
  <c r="AC1124" i="3"/>
  <c r="S1345" i="3" a="1"/>
  <c r="U1345" i="3"/>
  <c r="AC1345" i="3"/>
  <c r="AC2570" i="3"/>
  <c r="U2570" i="3"/>
  <c r="S2570" i="3"/>
  <c r="S2570" i="3" a="1"/>
  <c r="S2701" i="3" a="1"/>
  <c r="U2701" i="3"/>
  <c r="AC2701" i="3"/>
  <c r="S1888" i="3" a="1"/>
  <c r="U1888" i="3"/>
  <c r="AC1888" i="3"/>
  <c r="S126" i="3" a="1"/>
  <c r="U126" i="3"/>
  <c r="AC126" i="3"/>
  <c r="S922" i="3" a="1"/>
  <c r="U922" i="3"/>
  <c r="AC922" i="3"/>
  <c r="S1492" i="3"/>
  <c r="S1322" i="3"/>
  <c r="S2690" i="3"/>
  <c r="AC563" i="3"/>
  <c r="U563" i="3"/>
  <c r="S563" i="3"/>
  <c r="S563" i="3" a="1"/>
  <c r="S2657" i="3" a="1"/>
  <c r="U2657" i="3"/>
  <c r="AC2657" i="3"/>
  <c r="S29" i="3"/>
  <c r="S1525" i="3" a="1"/>
  <c r="U1525" i="3"/>
  <c r="AC1525" i="3"/>
  <c r="S1698" i="3" a="1"/>
  <c r="U1698" i="3"/>
  <c r="AC1698" i="3"/>
  <c r="S151" i="3" a="1"/>
  <c r="U151" i="3"/>
  <c r="AC151" i="3"/>
  <c r="S66" i="3" a="1"/>
  <c r="U66" i="3"/>
  <c r="AC66" i="3"/>
  <c r="AC1307" i="3"/>
  <c r="U1307" i="3"/>
  <c r="S1307" i="3"/>
  <c r="S1307" i="3" a="1"/>
  <c r="S1688" i="3" a="1"/>
  <c r="U1688" i="3"/>
  <c r="AC1688" i="3"/>
  <c r="AC1403" i="3"/>
  <c r="U1403" i="3"/>
  <c r="S1403" i="3"/>
  <c r="S1403" i="3" a="1"/>
  <c r="AC609" i="3"/>
  <c r="U609" i="3"/>
  <c r="S609" i="3"/>
  <c r="S609" i="3" a="1"/>
  <c r="S2186" i="3"/>
  <c r="AC1316" i="3"/>
  <c r="U1316" i="3"/>
  <c r="S1316" i="3"/>
  <c r="S1316" i="3" a="1"/>
  <c r="AC18" i="3"/>
  <c r="U18" i="3"/>
  <c r="S18" i="3"/>
  <c r="S18" i="3" a="1"/>
  <c r="S545" i="3"/>
  <c r="S1674" i="3"/>
  <c r="AC1940" i="3"/>
  <c r="U1940" i="3"/>
  <c r="S1940" i="3"/>
  <c r="S1940" i="3" a="1"/>
  <c r="S484" i="3"/>
  <c r="S2060" i="3"/>
  <c r="S1270" i="3"/>
  <c r="AC412" i="3"/>
  <c r="U412" i="3"/>
  <c r="S412" i="3"/>
  <c r="S412" i="3" a="1"/>
  <c r="AC1739" i="3"/>
  <c r="U1739" i="3"/>
  <c r="S1739" i="3"/>
  <c r="S1739" i="3" a="1"/>
  <c r="AC1761" i="3"/>
  <c r="U1761" i="3"/>
  <c r="S1761" i="3"/>
  <c r="S1761" i="3" a="1"/>
  <c r="S625" i="3"/>
  <c r="AC1046" i="3"/>
  <c r="U1046" i="3"/>
  <c r="S1046" i="3"/>
  <c r="S1046" i="3" a="1"/>
  <c r="AC2494" i="3"/>
  <c r="U2494" i="3"/>
  <c r="S2494" i="3"/>
  <c r="S2494" i="3" a="1"/>
  <c r="AC1186" i="3"/>
  <c r="U1186" i="3"/>
  <c r="S1186" i="3"/>
  <c r="S1186" i="3" a="1"/>
  <c r="AC1119" i="3"/>
  <c r="U1119" i="3"/>
  <c r="S1119" i="3"/>
  <c r="S1119" i="3" a="1"/>
  <c r="AC342" i="3"/>
  <c r="U342" i="3"/>
  <c r="S342" i="3"/>
  <c r="S342" i="3" a="1"/>
  <c r="E226" i="11"/>
  <c r="S226" i="11"/>
  <c r="S2815" i="3"/>
  <c r="AC712" i="3"/>
  <c r="U712" i="3"/>
  <c r="S712" i="3"/>
  <c r="S712" i="3" a="1"/>
  <c r="AC1157" i="3"/>
  <c r="U1157" i="3"/>
  <c r="S1157" i="3"/>
  <c r="S1157" i="3" a="1"/>
  <c r="AC2211" i="3"/>
  <c r="U2211" i="3"/>
  <c r="S2211" i="3"/>
  <c r="S2211" i="3" a="1"/>
  <c r="AC704" i="3"/>
  <c r="U704" i="3"/>
  <c r="S704" i="3"/>
  <c r="S704" i="3" a="1"/>
  <c r="S895" i="3"/>
  <c r="AC2405" i="3"/>
  <c r="U2405" i="3"/>
  <c r="S2405" i="3"/>
  <c r="S2405" i="3" a="1"/>
  <c r="S2330" i="3"/>
  <c r="AC1384" i="3"/>
  <c r="U1384" i="3"/>
  <c r="S1384" i="3"/>
  <c r="S1384" i="3" a="1"/>
  <c r="S657" i="3"/>
  <c r="S2571" i="3"/>
  <c r="AC267" i="3"/>
  <c r="U267" i="3"/>
  <c r="S267" i="3"/>
  <c r="S267" i="3" a="1"/>
  <c r="AC2767" i="3"/>
  <c r="U2767" i="3"/>
  <c r="S2767" i="3"/>
  <c r="S2767" i="3" a="1"/>
  <c r="S1394" i="3" a="1"/>
  <c r="U1394" i="3"/>
  <c r="AC1394" i="3"/>
  <c r="AC1773" i="3"/>
  <c r="U1773" i="3"/>
  <c r="S1773" i="3"/>
  <c r="S1773" i="3" a="1"/>
  <c r="S2180" i="3"/>
  <c r="S1021" i="3"/>
  <c r="AC1462" i="3"/>
  <c r="U1462" i="3"/>
  <c r="S1462" i="3"/>
  <c r="S1462" i="3" a="1"/>
  <c r="AC2761" i="3"/>
  <c r="U2761" i="3"/>
  <c r="S2761" i="3"/>
  <c r="S2761" i="3" a="1"/>
  <c r="AC2059" i="3"/>
  <c r="U2059" i="3"/>
  <c r="S2059" i="3"/>
  <c r="S2059" i="3" a="1"/>
  <c r="AC416" i="3"/>
  <c r="U416" i="3"/>
  <c r="S416" i="3"/>
  <c r="S416" i="3" a="1"/>
  <c r="S648" i="3"/>
  <c r="AC760" i="3"/>
  <c r="U760" i="3"/>
  <c r="S760" i="3"/>
  <c r="S760" i="3" a="1"/>
  <c r="S1262" i="3"/>
  <c r="AC1351" i="3"/>
  <c r="U1351" i="3"/>
  <c r="S1351" i="3"/>
  <c r="S1351" i="3" a="1"/>
  <c r="AC1117" i="3"/>
  <c r="U1117" i="3"/>
  <c r="S1117" i="3"/>
  <c r="S1117" i="3" a="1"/>
  <c r="AC1625" i="3"/>
  <c r="U1625" i="3"/>
  <c r="S1625" i="3"/>
  <c r="S1625" i="3" a="1"/>
  <c r="T31" i="23"/>
  <c r="R31" i="23"/>
  <c r="R31" i="23" a="1"/>
  <c r="S93" i="3"/>
  <c r="AC1577" i="3"/>
  <c r="U1577" i="3"/>
  <c r="S1577" i="3"/>
  <c r="S1577" i="3" a="1"/>
  <c r="S741" i="3"/>
  <c r="AC1576" i="3"/>
  <c r="U1576" i="3"/>
  <c r="S1576" i="3"/>
  <c r="S1576" i="3" a="1"/>
  <c r="S48" i="3"/>
  <c r="AC1666" i="3"/>
  <c r="U1666" i="3"/>
  <c r="S1666" i="3"/>
  <c r="S1666" i="3" a="1"/>
  <c r="AC2129" i="3"/>
  <c r="U2129" i="3"/>
  <c r="S2129" i="3"/>
  <c r="S2129" i="3" a="1"/>
  <c r="AC247" i="3"/>
  <c r="U247" i="3"/>
  <c r="S247" i="3"/>
  <c r="S247" i="3" a="1"/>
  <c r="AC1080" i="3"/>
  <c r="U1080" i="3"/>
  <c r="S1080" i="3"/>
  <c r="S1080" i="3" a="1"/>
  <c r="AC1422" i="3"/>
  <c r="U1422" i="3"/>
  <c r="S1422" i="3"/>
  <c r="S1422" i="3" a="1"/>
  <c r="AC54" i="3"/>
  <c r="U54" i="3"/>
  <c r="S54" i="3"/>
  <c r="S54" i="3" a="1"/>
  <c r="N28" i="23"/>
  <c r="L28" i="23"/>
  <c r="AC164" i="3"/>
  <c r="U164" i="3"/>
  <c r="S164" i="3"/>
  <c r="S164" i="3" a="1"/>
  <c r="AC122" i="3"/>
  <c r="U122" i="3"/>
  <c r="S122" i="3"/>
  <c r="S122" i="3" a="1"/>
  <c r="AC1069" i="3"/>
  <c r="U1069" i="3"/>
  <c r="S1069" i="3"/>
  <c r="S1069" i="3" a="1"/>
  <c r="AC1180" i="3"/>
  <c r="U1180" i="3"/>
  <c r="S1180" i="3"/>
  <c r="S1180" i="3" a="1"/>
  <c r="T29" i="23"/>
  <c r="R29" i="23"/>
  <c r="R29" i="23" a="1"/>
  <c r="AC2730" i="3"/>
  <c r="U2730" i="3"/>
  <c r="S2730" i="3"/>
  <c r="S2730" i="3" a="1"/>
  <c r="S1686" i="3"/>
  <c r="AC2395" i="3"/>
  <c r="U2395" i="3"/>
  <c r="S2395" i="3"/>
  <c r="S2395" i="3" a="1"/>
  <c r="S2399" i="3" a="1"/>
  <c r="U2399" i="3"/>
  <c r="AC2399" i="3"/>
  <c r="S993" i="3"/>
  <c r="AC1076" i="3"/>
  <c r="U1076" i="3"/>
  <c r="S1076" i="3"/>
  <c r="S1076" i="3" a="1"/>
  <c r="AC380" i="3"/>
  <c r="U380" i="3"/>
  <c r="S380" i="3"/>
  <c r="S380" i="3" a="1"/>
  <c r="N52" i="23"/>
  <c r="L52" i="23"/>
  <c r="AC156" i="3"/>
  <c r="U156" i="3"/>
  <c r="S156" i="3"/>
  <c r="S156" i="3" a="1"/>
  <c r="S1291" i="3"/>
  <c r="S1845" i="3"/>
  <c r="S2186" i="3" a="1"/>
  <c r="U2186" i="3"/>
  <c r="AC2186" i="3"/>
  <c r="AC687" i="3"/>
  <c r="U687" i="3"/>
  <c r="S687" i="3"/>
  <c r="S687" i="3" a="1"/>
  <c r="S1539" i="3"/>
  <c r="S2360" i="3" a="1"/>
  <c r="U2360" i="3"/>
  <c r="AC2360" i="3"/>
  <c r="S2421" i="3"/>
  <c r="S1644" i="3"/>
  <c r="S1946" i="3"/>
  <c r="AC1641" i="3"/>
  <c r="U1641" i="3"/>
  <c r="S1641" i="3"/>
  <c r="S1641" i="3" a="1"/>
  <c r="S1274" i="3"/>
  <c r="AC1147" i="3"/>
  <c r="U1147" i="3"/>
  <c r="S1147" i="3"/>
  <c r="S1147" i="3" a="1"/>
  <c r="AC682" i="3"/>
  <c r="U682" i="3"/>
  <c r="S682" i="3"/>
  <c r="S682" i="3" a="1"/>
  <c r="S2156" i="3" a="1"/>
  <c r="U2156" i="3"/>
  <c r="AC2156" i="3"/>
  <c r="AC2314" i="3"/>
  <c r="U2314" i="3"/>
  <c r="S2314" i="3"/>
  <c r="S2314" i="3" a="1"/>
  <c r="AC1150" i="3"/>
  <c r="U1150" i="3"/>
  <c r="S1150" i="3"/>
  <c r="S1150" i="3" a="1"/>
  <c r="AC509" i="3"/>
  <c r="U509" i="3"/>
  <c r="S509" i="3"/>
  <c r="S509" i="3" a="1"/>
  <c r="S791" i="3"/>
  <c r="AC1910" i="3"/>
  <c r="U1910" i="3"/>
  <c r="S1910" i="3"/>
  <c r="S1910" i="3" a="1"/>
  <c r="S2268" i="3"/>
  <c r="AC2169" i="3"/>
  <c r="U2169" i="3"/>
  <c r="S2169" i="3"/>
  <c r="S2169" i="3" a="1"/>
  <c r="AC1731" i="3"/>
  <c r="U1731" i="3"/>
  <c r="S1731" i="3"/>
  <c r="S1731" i="3" a="1"/>
  <c r="AC524" i="3"/>
  <c r="U524" i="3"/>
  <c r="S524" i="3"/>
  <c r="S524" i="3" a="1"/>
  <c r="AC1477" i="3"/>
  <c r="U1477" i="3"/>
  <c r="S1477" i="3"/>
  <c r="S1477" i="3" a="1"/>
  <c r="S1132" i="3"/>
  <c r="AC2614" i="3"/>
  <c r="U2614" i="3"/>
  <c r="S2614" i="3"/>
  <c r="S2614" i="3" a="1"/>
  <c r="S854" i="3" a="1"/>
  <c r="U854" i="3"/>
  <c r="AC854" i="3"/>
  <c r="AC2745" i="3"/>
  <c r="U2745" i="3"/>
  <c r="S2745" i="3"/>
  <c r="S2745" i="3" a="1"/>
  <c r="S92" i="3" a="1"/>
  <c r="U92" i="3"/>
  <c r="AC92" i="3"/>
  <c r="AC486" i="3"/>
  <c r="U486" i="3"/>
  <c r="S486" i="3"/>
  <c r="S486" i="3" a="1"/>
  <c r="S2365" i="3" a="1"/>
  <c r="U2365" i="3"/>
  <c r="AC2365" i="3"/>
  <c r="AC370" i="3"/>
  <c r="U370" i="3"/>
  <c r="S370" i="3"/>
  <c r="S370" i="3" a="1"/>
  <c r="E200" i="11"/>
  <c r="S200" i="11"/>
  <c r="U2788" i="3"/>
  <c r="AC1858" i="3"/>
  <c r="U1858" i="3"/>
  <c r="S1858" i="3"/>
  <c r="S1858" i="3" a="1"/>
  <c r="S728" i="3"/>
  <c r="S1600" i="3"/>
  <c r="S2449" i="3"/>
  <c r="AC691" i="3"/>
  <c r="U691" i="3"/>
  <c r="S691" i="3"/>
  <c r="S691" i="3" a="1"/>
  <c r="AC2503" i="3"/>
  <c r="U2503" i="3"/>
  <c r="S2503" i="3"/>
  <c r="S2503" i="3" a="1"/>
  <c r="AC2345" i="3"/>
  <c r="U2345" i="3"/>
  <c r="S2345" i="3"/>
  <c r="S2345" i="3" a="1"/>
  <c r="S625" i="3" a="1"/>
  <c r="U625" i="3"/>
  <c r="AC625" i="3"/>
  <c r="AC4" i="3"/>
  <c r="U4" i="3"/>
  <c r="S4" i="3"/>
  <c r="S4" i="3" a="1"/>
  <c r="S372" i="3"/>
  <c r="S1311" i="3"/>
  <c r="S1954" i="3"/>
  <c r="AC2083" i="3"/>
  <c r="U2083" i="3"/>
  <c r="S2083" i="3"/>
  <c r="S2083" i="3" a="1"/>
  <c r="S2011" i="3" a="1"/>
  <c r="U2011" i="3"/>
  <c r="AC2011" i="3"/>
  <c r="AC1895" i="3"/>
  <c r="U1895" i="3"/>
  <c r="S1895" i="3"/>
  <c r="S1895" i="3" a="1"/>
  <c r="S1299" i="3"/>
  <c r="S137" i="3"/>
  <c r="AC1628" i="3"/>
  <c r="U1628" i="3"/>
  <c r="S1628" i="3"/>
  <c r="S1628" i="3" a="1"/>
  <c r="AC301" i="3"/>
  <c r="U301" i="3"/>
  <c r="S301" i="3"/>
  <c r="S301" i="3" a="1"/>
  <c r="AC2336" i="3"/>
  <c r="U2336" i="3"/>
  <c r="S2336" i="3"/>
  <c r="S2336" i="3" a="1"/>
  <c r="S405" i="3"/>
  <c r="S1425" i="3"/>
  <c r="AC2337" i="3"/>
  <c r="U2337" i="3"/>
  <c r="S2337" i="3"/>
  <c r="S2337" i="3" a="1"/>
  <c r="S309" i="3"/>
  <c r="AC1567" i="3"/>
  <c r="U1567" i="3"/>
  <c r="S1567" i="3"/>
  <c r="S1567" i="3" a="1"/>
  <c r="S1072" i="3"/>
  <c r="AC15" i="3"/>
  <c r="U15" i="3"/>
  <c r="S15" i="3"/>
  <c r="S15" i="3" a="1"/>
  <c r="AC192" i="3"/>
  <c r="U192" i="3"/>
  <c r="S192" i="3"/>
  <c r="S192" i="3" a="1"/>
  <c r="AC31" i="3"/>
  <c r="U31" i="3"/>
  <c r="S31" i="3"/>
  <c r="S31" i="3" a="1"/>
  <c r="AC46" i="3"/>
  <c r="U46" i="3"/>
  <c r="S46" i="3"/>
  <c r="S46" i="3" a="1"/>
  <c r="AC1530" i="3"/>
  <c r="U1530" i="3"/>
  <c r="S1530" i="3"/>
  <c r="S1530" i="3" a="1"/>
  <c r="S1393" i="3"/>
  <c r="S2313" i="3"/>
  <c r="AC2244" i="3"/>
  <c r="U2244" i="3"/>
  <c r="S2244" i="3"/>
  <c r="S2244" i="3" a="1"/>
  <c r="AC471" i="3"/>
  <c r="U471" i="3"/>
  <c r="S471" i="3"/>
  <c r="S471" i="3" a="1"/>
  <c r="AC1519" i="3"/>
  <c r="U1519" i="3"/>
  <c r="S1519" i="3"/>
  <c r="S1519" i="3" a="1"/>
  <c r="AC858" i="3"/>
  <c r="U858" i="3"/>
  <c r="S858" i="3"/>
  <c r="S858" i="3" a="1"/>
  <c r="AC1984" i="3"/>
  <c r="U1984" i="3"/>
  <c r="S1984" i="3"/>
  <c r="S1984" i="3" a="1"/>
  <c r="S1619" i="3"/>
  <c r="S510" i="3"/>
  <c r="AC262" i="3"/>
  <c r="U262" i="3"/>
  <c r="S262" i="3"/>
  <c r="S262" i="3" a="1"/>
  <c r="AC1900" i="3"/>
  <c r="U1900" i="3"/>
  <c r="S1900" i="3"/>
  <c r="S1900" i="3" a="1"/>
  <c r="AC1823" i="3"/>
  <c r="U1823" i="3"/>
  <c r="S1823" i="3"/>
  <c r="S1823" i="3" a="1"/>
  <c r="AC236" i="3"/>
  <c r="U236" i="3"/>
  <c r="S236" i="3"/>
  <c r="S236" i="3" a="1"/>
  <c r="AC2480" i="3"/>
  <c r="U2480" i="3"/>
  <c r="S2480" i="3"/>
  <c r="S2480" i="3" a="1"/>
  <c r="S532" i="3"/>
  <c r="S883" i="3"/>
  <c r="AC2460" i="3"/>
  <c r="U2460" i="3"/>
  <c r="S2460" i="3"/>
  <c r="S2460" i="3" a="1"/>
  <c r="S2464" i="3"/>
  <c r="AC1063" i="3"/>
  <c r="U1063" i="3"/>
  <c r="S1063" i="3"/>
  <c r="S1063" i="3" a="1"/>
  <c r="S2105" i="3"/>
  <c r="S1648" i="3"/>
  <c r="AC2507" i="3"/>
  <c r="U2507" i="3"/>
  <c r="S2507" i="3"/>
  <c r="S2507" i="3" a="1"/>
  <c r="S1777" i="3"/>
  <c r="S1906" i="3"/>
  <c r="T123" i="23"/>
  <c r="R123" i="23"/>
  <c r="R123" i="23" a="1"/>
  <c r="AC2195" i="3"/>
  <c r="U2195" i="3"/>
  <c r="S2195" i="3"/>
  <c r="S2195" i="3" a="1"/>
  <c r="AC963" i="3"/>
  <c r="U963" i="3"/>
  <c r="S963" i="3"/>
  <c r="S963" i="3" a="1"/>
  <c r="AC1423" i="3"/>
  <c r="U1423" i="3"/>
  <c r="S1423" i="3"/>
  <c r="S1423" i="3" a="1"/>
  <c r="T109" i="23"/>
  <c r="R109" i="23"/>
  <c r="R109" i="23" a="1"/>
  <c r="AC1598" i="3"/>
  <c r="U1598" i="3"/>
  <c r="S1598" i="3"/>
  <c r="S1598" i="3" a="1"/>
  <c r="AC469" i="3"/>
  <c r="U469" i="3"/>
  <c r="S469" i="3"/>
  <c r="S469" i="3" a="1"/>
  <c r="S111" i="3"/>
  <c r="S607" i="3"/>
  <c r="S554" i="3"/>
  <c r="S85" i="3"/>
  <c r="AC10" i="3"/>
  <c r="U10" i="3"/>
  <c r="E102" i="11"/>
  <c r="S102" i="11"/>
  <c r="AC1206" i="3"/>
  <c r="U1206" i="3"/>
  <c r="S1206" i="3"/>
  <c r="S1206" i="3" a="1"/>
  <c r="AC1822" i="3"/>
  <c r="U1822" i="3"/>
  <c r="S1822" i="3"/>
  <c r="S1822" i="3" a="1"/>
  <c r="AC2050" i="3"/>
  <c r="U2050" i="3"/>
  <c r="S2050" i="3"/>
  <c r="S2050" i="3" a="1"/>
  <c r="AC1595" i="3"/>
  <c r="U1595" i="3"/>
  <c r="S1595" i="3"/>
  <c r="S1595" i="3" a="1"/>
  <c r="N46" i="23"/>
  <c r="L46" i="23"/>
  <c r="AC541" i="3"/>
  <c r="U541" i="3"/>
  <c r="S541" i="3"/>
  <c r="S541" i="3" a="1"/>
  <c r="S1908" i="3"/>
  <c r="AC2107" i="3"/>
  <c r="U2107" i="3"/>
  <c r="S2107" i="3"/>
  <c r="S2107" i="3" a="1"/>
  <c r="AC2591" i="3"/>
  <c r="U2591" i="3"/>
  <c r="S2591" i="3"/>
  <c r="S2591" i="3" a="1"/>
  <c r="AC144" i="3"/>
  <c r="U144" i="3"/>
  <c r="S144" i="3"/>
  <c r="S144" i="3" a="1"/>
  <c r="AC568" i="3"/>
  <c r="U568" i="3"/>
  <c r="S568" i="3"/>
  <c r="S568" i="3" a="1"/>
  <c r="S1896" i="3"/>
  <c r="AC1785" i="3"/>
  <c r="U1785" i="3"/>
  <c r="S1785" i="3"/>
  <c r="S1785" i="3" a="1"/>
  <c r="AC1502" i="3"/>
  <c r="U1502" i="3"/>
  <c r="S1502" i="3"/>
  <c r="S1502" i="3" a="1"/>
  <c r="AC411" i="3"/>
  <c r="U411" i="3"/>
  <c r="S411" i="3"/>
  <c r="S411" i="3" a="1"/>
  <c r="AC1847" i="3"/>
  <c r="U1847" i="3"/>
  <c r="S1847" i="3"/>
  <c r="S1847" i="3" a="1"/>
  <c r="AC20" i="3"/>
  <c r="U20" i="3"/>
  <c r="S20" i="3"/>
  <c r="S20" i="3" a="1"/>
  <c r="N76" i="23"/>
  <c r="L76" i="23"/>
  <c r="AC230" i="3"/>
  <c r="U230" i="3"/>
  <c r="S230" i="3"/>
  <c r="S230" i="3" a="1"/>
  <c r="AC2646" i="3"/>
  <c r="U2646" i="3"/>
  <c r="AC1323" i="3"/>
  <c r="U1323" i="3"/>
  <c r="S1323" i="3"/>
  <c r="S1323" i="3" a="1"/>
  <c r="AC870" i="3"/>
  <c r="U870" i="3"/>
  <c r="S870" i="3"/>
  <c r="S870" i="3" a="1"/>
  <c r="AC444" i="3"/>
  <c r="U444" i="3"/>
  <c r="S444" i="3"/>
  <c r="S444" i="3" a="1"/>
  <c r="S1508" i="3"/>
  <c r="S895" i="3" a="1"/>
  <c r="U895" i="3"/>
  <c r="AC895" i="3"/>
  <c r="AC182" i="3"/>
  <c r="U182" i="3"/>
  <c r="S182" i="3"/>
  <c r="S182" i="3" a="1"/>
  <c r="N107" i="23"/>
  <c r="L107" i="23"/>
  <c r="AC1219" i="3"/>
  <c r="U1219" i="3"/>
  <c r="S1219" i="3"/>
  <c r="S1219" i="3" a="1"/>
  <c r="AC1107" i="3"/>
  <c r="U1107" i="3"/>
  <c r="S1107" i="3"/>
  <c r="S1107" i="3" a="1"/>
  <c r="AC1314" i="3"/>
  <c r="U1314" i="3"/>
  <c r="S1314" i="3"/>
  <c r="S1314" i="3" a="1"/>
  <c r="AC2601" i="3"/>
  <c r="U2601" i="3"/>
  <c r="S2601" i="3"/>
  <c r="S2601" i="3" a="1"/>
  <c r="U2804" i="3"/>
  <c r="S2804" i="3"/>
  <c r="S2804" i="3" a="1"/>
  <c r="AC2350" i="3"/>
  <c r="U2350" i="3"/>
  <c r="S2350" i="3"/>
  <c r="S2350" i="3" a="1"/>
  <c r="AC1048" i="3"/>
  <c r="U1048" i="3"/>
  <c r="S1048" i="3"/>
  <c r="S1048" i="3" a="1"/>
  <c r="AC1741" i="3"/>
  <c r="U1741" i="3"/>
  <c r="S1741" i="3"/>
  <c r="S1741" i="3" a="1"/>
  <c r="AC2454" i="3"/>
  <c r="U2454" i="3"/>
  <c r="S2454" i="3"/>
  <c r="S2454" i="3" a="1"/>
  <c r="AC2603" i="3"/>
  <c r="U2603" i="3"/>
  <c r="S2603" i="3"/>
  <c r="S2603" i="3" a="1"/>
  <c r="AC270" i="3"/>
  <c r="U270" i="3"/>
  <c r="S270" i="3"/>
  <c r="S270" i="3" a="1"/>
  <c r="AC1164" i="3"/>
  <c r="U1164" i="3"/>
  <c r="S1164" i="3"/>
  <c r="S1164" i="3" a="1"/>
  <c r="S173" i="3"/>
  <c r="AC1382" i="3"/>
  <c r="U1382" i="3"/>
  <c r="S1382" i="3"/>
  <c r="S1382" i="3" a="1"/>
  <c r="AC1965" i="3"/>
  <c r="U1965" i="3"/>
  <c r="S1965" i="3"/>
  <c r="S1965" i="3" a="1"/>
  <c r="N62" i="23"/>
  <c r="L62" i="23"/>
  <c r="AC1364" i="3"/>
  <c r="U1364" i="3"/>
  <c r="S1364" i="3"/>
  <c r="S1364" i="3" a="1"/>
  <c r="AC57" i="3"/>
  <c r="U57" i="3"/>
  <c r="S57" i="3"/>
  <c r="S57" i="3" a="1"/>
  <c r="AC1149" i="3"/>
  <c r="U1149" i="3"/>
  <c r="S1149" i="3"/>
  <c r="S1149" i="3" a="1"/>
  <c r="AC1440" i="3"/>
  <c r="U1440" i="3"/>
  <c r="S1440" i="3"/>
  <c r="S1440" i="3" a="1"/>
  <c r="S302" i="3"/>
  <c r="S93" i="3" a="1"/>
  <c r="U93" i="3"/>
  <c r="AC93" i="3"/>
  <c r="AC670" i="3"/>
  <c r="U670" i="3"/>
  <c r="S670" i="3"/>
  <c r="S670" i="3" a="1"/>
  <c r="AC59" i="3"/>
  <c r="U59" i="3"/>
  <c r="S59" i="3"/>
  <c r="S59" i="3" a="1"/>
  <c r="AC1229" i="3"/>
  <c r="U1229" i="3"/>
  <c r="S1229" i="3"/>
  <c r="S1229" i="3" a="1"/>
  <c r="S48" i="3" a="1"/>
  <c r="U48" i="3"/>
  <c r="AC48" i="3"/>
  <c r="AC2132" i="3"/>
  <c r="U2132" i="3"/>
  <c r="S2132" i="3"/>
  <c r="S2132" i="3" a="1"/>
  <c r="AC2681" i="3"/>
  <c r="U2681" i="3"/>
  <c r="S2681" i="3"/>
  <c r="S2681" i="3" a="1"/>
  <c r="AC2470" i="3"/>
  <c r="U2470" i="3"/>
  <c r="S2470" i="3"/>
  <c r="S2470" i="3" a="1"/>
  <c r="S2346" i="3"/>
  <c r="AC1942" i="3"/>
  <c r="U1942" i="3"/>
  <c r="S1942" i="3"/>
  <c r="S1942" i="3" a="1"/>
  <c r="AC1189" i="3"/>
  <c r="U1189" i="3"/>
  <c r="S1189" i="3"/>
  <c r="S1189" i="3" a="1"/>
  <c r="S2394" i="3"/>
  <c r="S2281" i="3"/>
  <c r="S1478" i="3"/>
  <c r="AC190" i="3"/>
  <c r="U190" i="3"/>
  <c r="S190" i="3"/>
  <c r="S190" i="3" a="1"/>
  <c r="AC2519" i="3"/>
  <c r="U2519" i="3"/>
  <c r="S2519" i="3"/>
  <c r="S2519" i="3" a="1"/>
  <c r="AC1075" i="3"/>
  <c r="U1075" i="3"/>
  <c r="S1075" i="3"/>
  <c r="S1075" i="3" a="1"/>
  <c r="AC757" i="3"/>
  <c r="U757" i="3"/>
  <c r="S757" i="3"/>
  <c r="S757" i="3" a="1"/>
  <c r="S1686" i="3" a="1"/>
  <c r="U1686" i="3"/>
  <c r="AC1686" i="3"/>
  <c r="AC2366" i="3"/>
  <c r="U2366" i="3"/>
  <c r="S2366" i="3"/>
  <c r="S2366" i="3" a="1"/>
  <c r="AC188" i="3"/>
  <c r="U188" i="3"/>
  <c r="S188" i="3"/>
  <c r="S188" i="3" a="1"/>
  <c r="AC1302" i="3"/>
  <c r="U1302" i="3"/>
  <c r="S1302" i="3"/>
  <c r="S1302" i="3" a="1"/>
  <c r="AC2219" i="3"/>
  <c r="U2219" i="3"/>
  <c r="S2219" i="3"/>
  <c r="S2219" i="3" a="1"/>
  <c r="AC820" i="3"/>
  <c r="U820" i="3"/>
  <c r="S820" i="3"/>
  <c r="S820" i="3" a="1"/>
  <c r="AC1087" i="3"/>
  <c r="U1087" i="3"/>
  <c r="S1087" i="3"/>
  <c r="S1087" i="3" a="1"/>
  <c r="S2575" i="3"/>
  <c r="AC1177" i="3"/>
  <c r="U1177" i="3"/>
  <c r="S1177" i="3"/>
  <c r="S1177" i="3" a="1"/>
  <c r="S1975" i="3"/>
  <c r="AC2560" i="3"/>
  <c r="U2560" i="3"/>
  <c r="S2560" i="3"/>
  <c r="S2560" i="3" a="1"/>
  <c r="AC857" i="3"/>
  <c r="U857" i="3"/>
  <c r="S857" i="3"/>
  <c r="S857" i="3" a="1"/>
  <c r="S1291" i="3" a="1"/>
  <c r="U1291" i="3"/>
  <c r="AC1291" i="3"/>
  <c r="N92" i="23"/>
  <c r="L92" i="23"/>
  <c r="AC1752" i="3"/>
  <c r="U1752" i="3"/>
  <c r="S1752" i="3"/>
  <c r="S1752" i="3" a="1"/>
  <c r="S123" i="3"/>
  <c r="AC2400" i="3"/>
  <c r="U2400" i="3"/>
  <c r="S2400" i="3"/>
  <c r="S2400" i="3" a="1"/>
  <c r="S796" i="3"/>
  <c r="AC1367" i="3"/>
  <c r="U1367" i="3"/>
  <c r="S1367" i="3"/>
  <c r="S1367" i="3" a="1"/>
  <c r="AC1465" i="3"/>
  <c r="U1465" i="3"/>
  <c r="S1465" i="3"/>
  <c r="S1465" i="3" a="1"/>
  <c r="S1071" i="3"/>
  <c r="N72" i="23"/>
  <c r="L72" i="23"/>
  <c r="AC1095" i="3"/>
  <c r="U1095" i="3"/>
  <c r="S1095" i="3"/>
  <c r="S1095" i="3" a="1"/>
  <c r="S1396" i="3"/>
  <c r="AC764" i="3"/>
  <c r="U764" i="3"/>
  <c r="S764" i="3"/>
  <c r="S764" i="3" a="1"/>
  <c r="AC1362" i="3"/>
  <c r="U1362" i="3"/>
  <c r="S1362" i="3"/>
  <c r="S1362" i="3" a="1"/>
  <c r="S1031" i="3"/>
  <c r="S2677" i="3"/>
  <c r="S1199" i="3"/>
  <c r="S1274" i="3" a="1"/>
  <c r="U1274" i="3"/>
  <c r="AC1274" i="3"/>
  <c r="S197" i="3"/>
  <c r="S1250" i="3"/>
  <c r="AC114" i="3"/>
  <c r="U114" i="3"/>
  <c r="S114" i="3"/>
  <c r="S114" i="3" a="1"/>
  <c r="AC1413" i="3"/>
  <c r="U1413" i="3"/>
  <c r="S1413" i="3"/>
  <c r="S1413" i="3" a="1"/>
  <c r="S1343" i="3"/>
  <c r="S1561" i="3"/>
  <c r="T110" i="23"/>
  <c r="R110" i="23"/>
  <c r="R110" i="23" a="1"/>
  <c r="S1303" i="3"/>
  <c r="S1373" i="3"/>
  <c r="AC1915" i="3"/>
  <c r="U1915" i="3"/>
  <c r="S1915" i="3"/>
  <c r="S1915" i="3" a="1"/>
  <c r="AC13" i="3"/>
  <c r="U13" i="3"/>
  <c r="R69" i="23"/>
  <c r="AC926" i="3"/>
  <c r="U926" i="3"/>
  <c r="S926" i="3"/>
  <c r="S926" i="3" a="1"/>
  <c r="AC1170" i="3"/>
  <c r="U1170" i="3"/>
  <c r="S1170" i="3"/>
  <c r="S1170" i="3" a="1"/>
  <c r="S791" i="3" a="1"/>
  <c r="U791" i="3"/>
  <c r="AC791" i="3"/>
  <c r="AC923" i="3"/>
  <c r="U923" i="3"/>
  <c r="S923" i="3"/>
  <c r="S923" i="3" a="1"/>
  <c r="S2268" i="3" a="1"/>
  <c r="U2268" i="3"/>
  <c r="AC2268" i="3"/>
  <c r="AC2737" i="3"/>
  <c r="AC49" i="3"/>
  <c r="U49" i="3"/>
  <c r="S49" i="3"/>
  <c r="S49" i="3" a="1"/>
  <c r="AC1551" i="3"/>
  <c r="U1551" i="3"/>
  <c r="S1551" i="3"/>
  <c r="S1551" i="3" a="1"/>
  <c r="AC1242" i="3"/>
  <c r="U1242" i="3"/>
  <c r="S1242" i="3"/>
  <c r="S1242" i="3" a="1"/>
  <c r="AC1059" i="3"/>
  <c r="U1059" i="3"/>
  <c r="S1059" i="3"/>
  <c r="S1059" i="3" a="1"/>
  <c r="S1132" i="3" a="1"/>
  <c r="U1132" i="3"/>
  <c r="AC1132" i="3"/>
  <c r="S2512" i="3"/>
  <c r="N340" i="3"/>
  <c r="M340" i="3"/>
  <c r="AB340" i="3"/>
  <c r="AB340" i="3" a="1"/>
  <c r="S2250" i="3"/>
  <c r="S2072" i="3"/>
  <c r="AC1608" i="3"/>
  <c r="U1608" i="3"/>
  <c r="S1608" i="3"/>
  <c r="S1608" i="3" a="1"/>
  <c r="AC698" i="3"/>
  <c r="U698" i="3"/>
  <c r="S698" i="3"/>
  <c r="S698" i="3" a="1"/>
  <c r="S1294" i="3"/>
  <c r="S1678" i="3"/>
  <c r="S940" i="3"/>
  <c r="S1645" i="3"/>
  <c r="AC1301" i="3"/>
  <c r="U1301" i="3"/>
  <c r="S1301" i="3"/>
  <c r="S1301" i="3" a="1"/>
  <c r="AC564" i="3"/>
  <c r="U564" i="3"/>
  <c r="S564" i="3"/>
  <c r="S564" i="3" a="1"/>
  <c r="S1740" i="3"/>
  <c r="AC141" i="3"/>
  <c r="U141" i="3"/>
  <c r="S141" i="3"/>
  <c r="S141" i="3" a="1"/>
  <c r="AC1969" i="3"/>
  <c r="U1969" i="3"/>
  <c r="S1969" i="3"/>
  <c r="S1969" i="3" a="1"/>
  <c r="S332" i="3"/>
  <c r="AC2240" i="3"/>
  <c r="U2240" i="3"/>
  <c r="S2240" i="3"/>
  <c r="S2240" i="3" a="1"/>
  <c r="S1808" i="3"/>
  <c r="S2549" i="3"/>
  <c r="AC1772" i="3"/>
  <c r="U1772" i="3"/>
  <c r="S1772" i="3"/>
  <c r="S1772" i="3" a="1"/>
  <c r="AC175" i="3"/>
  <c r="U175" i="3"/>
  <c r="S175" i="3"/>
  <c r="S175" i="3" a="1"/>
  <c r="AC384" i="3"/>
  <c r="U384" i="3"/>
  <c r="S384" i="3"/>
  <c r="S384" i="3" a="1"/>
  <c r="T111" i="23"/>
  <c r="R111" i="23"/>
  <c r="R111" i="23" a="1"/>
  <c r="S372" i="3" a="1"/>
  <c r="U372" i="3"/>
  <c r="AC372" i="3"/>
  <c r="S1311" i="3" a="1"/>
  <c r="U1311" i="3"/>
  <c r="AC1311" i="3"/>
  <c r="S1954" i="3" a="1"/>
  <c r="U1954" i="3"/>
  <c r="AC1954" i="3"/>
  <c r="S2463" i="3"/>
  <c r="S38" i="3"/>
  <c r="S405" i="3" a="1"/>
  <c r="U405" i="3"/>
  <c r="AC405" i="3"/>
  <c r="AC1378" i="3"/>
  <c r="U1378" i="3"/>
  <c r="S1378" i="3"/>
  <c r="S1378" i="3" a="1"/>
  <c r="S309" i="3" a="1"/>
  <c r="U309" i="3"/>
  <c r="AC309" i="3"/>
  <c r="S263" i="3"/>
  <c r="S695" i="3"/>
  <c r="AC2597" i="3"/>
  <c r="U2597" i="3"/>
  <c r="S2597" i="3"/>
  <c r="S2597" i="3" a="1"/>
  <c r="AC2741" i="3"/>
  <c r="U2741" i="3"/>
  <c r="S2741" i="3"/>
  <c r="S2741" i="3" a="1"/>
  <c r="S1072" i="3" a="1"/>
  <c r="U1072" i="3"/>
  <c r="AC1072" i="3"/>
  <c r="AC2660" i="3"/>
  <c r="U2660" i="3"/>
  <c r="S2660" i="3"/>
  <c r="S2660" i="3" a="1"/>
  <c r="AC1409" i="3"/>
  <c r="U1409" i="3"/>
  <c r="S1409" i="3"/>
  <c r="S1409" i="3" a="1"/>
  <c r="S1865" i="3"/>
  <c r="AC1137" i="3"/>
  <c r="U1137" i="3"/>
  <c r="S1137" i="3"/>
  <c r="S1137" i="3" a="1"/>
  <c r="S8" i="3"/>
  <c r="S515" i="3"/>
  <c r="S2496" i="3"/>
  <c r="S1347" i="3"/>
  <c r="AC2713" i="3"/>
  <c r="U2713" i="3"/>
  <c r="S2246" i="3"/>
  <c r="S2396" i="3"/>
  <c r="S510" i="3" a="1"/>
  <c r="U510" i="3"/>
  <c r="AC510" i="3"/>
  <c r="AC1466" i="3"/>
  <c r="U1466" i="3"/>
  <c r="S1466" i="3"/>
  <c r="S1466" i="3" a="1"/>
  <c r="E202" i="11"/>
  <c r="S202" i="11"/>
  <c r="U2798" i="3"/>
  <c r="AC2586" i="3"/>
  <c r="U2586" i="3"/>
  <c r="S2586" i="3"/>
  <c r="S2586" i="3" a="1"/>
  <c r="AC2531" i="3"/>
  <c r="U2531" i="3"/>
  <c r="S2531" i="3"/>
  <c r="S2531" i="3" a="1"/>
  <c r="S532" i="3" a="1"/>
  <c r="U532" i="3"/>
  <c r="AC532" i="3"/>
  <c r="AC1126" i="3"/>
  <c r="U1126" i="3"/>
  <c r="S1126" i="3"/>
  <c r="S1126" i="3" a="1"/>
  <c r="AC1264" i="3"/>
  <c r="U1264" i="3"/>
  <c r="S1264" i="3"/>
  <c r="S1264" i="3" a="1"/>
  <c r="AC2001" i="3"/>
  <c r="U2001" i="3"/>
  <c r="S2001" i="3"/>
  <c r="S2001" i="3" a="1"/>
  <c r="S490" i="3"/>
  <c r="S2292" i="3"/>
  <c r="S1906" i="3" a="1"/>
  <c r="U1906" i="3"/>
  <c r="AC1906" i="3"/>
  <c r="S2472" i="3"/>
  <c r="B3" i="7"/>
  <c r="S290" i="3"/>
  <c r="AC838" i="3"/>
  <c r="U838" i="3"/>
  <c r="S838" i="3"/>
  <c r="S838" i="3" a="1"/>
  <c r="AC275" i="3"/>
  <c r="U275" i="3"/>
  <c r="S275" i="3"/>
  <c r="S275" i="3" a="1"/>
  <c r="S1722" i="3"/>
  <c r="AC2641" i="3"/>
  <c r="U2641" i="3"/>
  <c r="S2641" i="3"/>
  <c r="S2641" i="3" a="1"/>
  <c r="S111" i="3" a="1"/>
  <c r="U111" i="3"/>
  <c r="AC111" i="3"/>
  <c r="S607" i="3" a="1"/>
  <c r="U607" i="3"/>
  <c r="AC607" i="3"/>
  <c r="S980" i="3"/>
  <c r="AC2218" i="3"/>
  <c r="U2218" i="3"/>
  <c r="S2218" i="3"/>
  <c r="S2218" i="3" a="1"/>
  <c r="S2285" i="3"/>
  <c r="S85" i="3" a="1"/>
  <c r="U85" i="3"/>
  <c r="AC85" i="3"/>
  <c r="AC171" i="3"/>
  <c r="U171" i="3"/>
  <c r="S171" i="3"/>
  <c r="S171" i="3" a="1"/>
  <c r="AC2508" i="3"/>
  <c r="U2508" i="3"/>
  <c r="S2508" i="3"/>
  <c r="S2508" i="3" a="1"/>
  <c r="T79" i="23"/>
  <c r="R79" i="23"/>
  <c r="R79" i="23" a="1"/>
  <c r="AC2188" i="3"/>
  <c r="U2188" i="3"/>
  <c r="S2188" i="3"/>
  <c r="S2188" i="3" a="1"/>
  <c r="N101" i="23"/>
  <c r="L101" i="23"/>
  <c r="S300" i="3"/>
  <c r="AC884" i="3"/>
  <c r="U884" i="3"/>
  <c r="S884" i="3"/>
  <c r="S884" i="3" a="1"/>
  <c r="S1338" i="3"/>
  <c r="S108" i="3"/>
  <c r="S2111" i="3"/>
  <c r="S1908" i="3" a="1"/>
  <c r="U1908" i="3"/>
  <c r="AC1908" i="3"/>
  <c r="AC2327" i="3"/>
  <c r="U2327" i="3"/>
  <c r="S2327" i="3"/>
  <c r="S2327" i="3" a="1"/>
  <c r="AC2474" i="3"/>
  <c r="U2474" i="3"/>
  <c r="S2474" i="3"/>
  <c r="S2474" i="3" a="1"/>
  <c r="N2646" i="3"/>
  <c r="L2646" i="3"/>
  <c r="S1923" i="3"/>
  <c r="S2737" i="3"/>
  <c r="AC717" i="3"/>
  <c r="U717" i="3"/>
  <c r="S717" i="3"/>
  <c r="S717" i="3" a="1"/>
  <c r="S2533" i="3" a="1"/>
  <c r="U2533" i="3"/>
  <c r="AC2533" i="3"/>
  <c r="S382" i="3" a="1"/>
  <c r="U382" i="3"/>
  <c r="AC382" i="3"/>
  <c r="S1508" i="3" a="1"/>
  <c r="U1508" i="3"/>
  <c r="AC1508" i="3"/>
  <c r="S2330" i="3" a="1"/>
  <c r="U2330" i="3"/>
  <c r="AC2330" i="3"/>
  <c r="E99" i="11"/>
  <c r="S99" i="11"/>
  <c r="S2676" i="3"/>
  <c r="S657" i="3" a="1"/>
  <c r="U657" i="3"/>
  <c r="AC657" i="3"/>
  <c r="S2571" i="3" a="1"/>
  <c r="U2571" i="3"/>
  <c r="AC2571" i="3"/>
  <c r="T106" i="23"/>
  <c r="R106" i="23"/>
  <c r="R106" i="23" a="1"/>
  <c r="S2270" i="3" a="1"/>
  <c r="U2270" i="3"/>
  <c r="AC2270" i="3"/>
  <c r="N39" i="23"/>
  <c r="L39" i="23"/>
  <c r="S2253" i="3" a="1"/>
  <c r="U2253" i="3"/>
  <c r="AC2253" i="3"/>
  <c r="S426" i="3" a="1"/>
  <c r="U426" i="3"/>
  <c r="AC426" i="3"/>
  <c r="S1255" i="3" a="1"/>
  <c r="U1255" i="3"/>
  <c r="AC1255" i="3"/>
  <c r="S2180" i="3" a="1"/>
  <c r="U2180" i="3"/>
  <c r="AC2180" i="3"/>
  <c r="S1021" i="3" a="1"/>
  <c r="U1021" i="3"/>
  <c r="AC1021" i="3"/>
  <c r="S1958" i="3" a="1"/>
  <c r="U1958" i="3"/>
  <c r="AC1958" i="3"/>
  <c r="S176" i="3" a="1"/>
  <c r="U176" i="3"/>
  <c r="AC176" i="3"/>
  <c r="S2235" i="3" a="1"/>
  <c r="U2235" i="3"/>
  <c r="AC2235" i="3"/>
  <c r="S648" i="3" a="1"/>
  <c r="U648" i="3"/>
  <c r="AC648" i="3"/>
  <c r="S1262" i="3" a="1"/>
  <c r="U1262" i="3"/>
  <c r="AC1262" i="3"/>
  <c r="S1492" i="3" a="1"/>
  <c r="U1492" i="3"/>
  <c r="AC1492" i="3"/>
  <c r="S1322" i="3" a="1"/>
  <c r="U1322" i="3"/>
  <c r="AC1322" i="3"/>
  <c r="S173" i="3" a="1"/>
  <c r="U173" i="3"/>
  <c r="AC173" i="3"/>
  <c r="S2034" i="3" a="1"/>
  <c r="U2034" i="3"/>
  <c r="AC2034" i="3"/>
  <c r="S302" i="3" a="1"/>
  <c r="U302" i="3"/>
  <c r="AC302" i="3"/>
  <c r="S732" i="3" a="1"/>
  <c r="U732" i="3"/>
  <c r="AC732" i="3"/>
  <c r="S741" i="3" a="1"/>
  <c r="U741" i="3"/>
  <c r="AC741" i="3"/>
  <c r="S1154" i="3" a="1"/>
  <c r="U1154" i="3"/>
  <c r="AC1154" i="3"/>
  <c r="S2690" i="3" a="1"/>
  <c r="U2690" i="3"/>
  <c r="AC2690" i="3"/>
  <c r="S758" i="3" a="1"/>
  <c r="U758" i="3"/>
  <c r="AC758" i="3"/>
  <c r="S2346" i="3" a="1"/>
  <c r="U2346" i="3"/>
  <c r="AC2346" i="3"/>
  <c r="S2550" i="3" a="1"/>
  <c r="U2550" i="3"/>
  <c r="AC2550" i="3"/>
  <c r="S218" i="3" a="1"/>
  <c r="U218" i="3"/>
  <c r="AC218" i="3"/>
  <c r="S29" i="3" a="1"/>
  <c r="U29" i="3"/>
  <c r="AC29" i="3"/>
  <c r="T89" i="23"/>
  <c r="R89" i="23"/>
  <c r="R89" i="23" a="1"/>
  <c r="N23" i="23"/>
  <c r="L23" i="23"/>
  <c r="S2677" i="3" a="1"/>
  <c r="U2677" i="3"/>
  <c r="AC2677" i="3"/>
  <c r="S2394" i="3" a="1"/>
  <c r="U2394" i="3"/>
  <c r="AC2394" i="3"/>
  <c r="S2281" i="3" a="1"/>
  <c r="U2281" i="3"/>
  <c r="AC2281" i="3"/>
  <c r="S1478" i="3" a="1"/>
  <c r="U1478" i="3"/>
  <c r="AC1478" i="3"/>
  <c r="AC2012" i="3"/>
  <c r="U2012" i="3"/>
  <c r="S2012" i="3"/>
  <c r="S2012" i="3" a="1"/>
  <c r="AC1439" i="3"/>
  <c r="U1439" i="3"/>
  <c r="S1439" i="3"/>
  <c r="S1439" i="3" a="1"/>
  <c r="AC201" i="3"/>
  <c r="U201" i="3"/>
  <c r="S201" i="3"/>
  <c r="S201" i="3" a="1"/>
  <c r="S1183" i="3"/>
  <c r="AC2319" i="3"/>
  <c r="U2319" i="3"/>
  <c r="S2319" i="3"/>
  <c r="S2319" i="3" a="1"/>
  <c r="R36" i="23"/>
  <c r="AC2003" i="3"/>
  <c r="U2003" i="3"/>
  <c r="S2003" i="3"/>
  <c r="S2003" i="3" a="1"/>
  <c r="AC2616" i="3"/>
  <c r="U2616" i="3"/>
  <c r="S2616" i="3"/>
  <c r="S2616" i="3" a="1"/>
  <c r="AC194" i="3"/>
  <c r="U194" i="3"/>
  <c r="S194" i="3"/>
  <c r="S194" i="3" a="1"/>
  <c r="AC1724" i="3"/>
  <c r="U1724" i="3"/>
  <c r="S1724" i="3"/>
  <c r="S1724" i="3" a="1"/>
  <c r="AC2710" i="3"/>
  <c r="U2710" i="3"/>
  <c r="S2710" i="3"/>
  <c r="S2710" i="3" a="1"/>
  <c r="S736" i="3"/>
  <c r="AC1987" i="3"/>
  <c r="U1987" i="3"/>
  <c r="S1987" i="3"/>
  <c r="S1987" i="3" a="1"/>
  <c r="AC400" i="3"/>
  <c r="U400" i="3"/>
  <c r="S400" i="3"/>
  <c r="S400" i="3" a="1"/>
  <c r="AC1866" i="3"/>
  <c r="U1866" i="3"/>
  <c r="S1866" i="3"/>
  <c r="S1866" i="3" a="1"/>
  <c r="AC430" i="3"/>
  <c r="U430" i="3"/>
  <c r="S430" i="3"/>
  <c r="S430" i="3" a="1"/>
  <c r="AC1960" i="3"/>
  <c r="U1960" i="3"/>
  <c r="S1960" i="3"/>
  <c r="S1960" i="3" a="1"/>
  <c r="T53" i="23"/>
  <c r="R53" i="23"/>
  <c r="R53" i="23" a="1"/>
  <c r="S1337" i="3"/>
  <c r="S1071" i="3" a="1"/>
  <c r="U1071" i="3"/>
  <c r="AC1071" i="3"/>
  <c r="S2142" i="3"/>
  <c r="S2592" i="3"/>
  <c r="S2238" i="3"/>
  <c r="S1396" i="3" a="1"/>
  <c r="U1396" i="3"/>
  <c r="AC1396" i="3"/>
  <c r="AC1266" i="3"/>
  <c r="U1266" i="3"/>
  <c r="S1266" i="3"/>
  <c r="S1266" i="3" a="1"/>
  <c r="AC826" i="3"/>
  <c r="U826" i="3"/>
  <c r="S826" i="3"/>
  <c r="S826" i="3" a="1"/>
  <c r="AC200" i="3"/>
  <c r="U200" i="3"/>
  <c r="S200" i="3"/>
  <c r="S200" i="3" a="1"/>
  <c r="S1199" i="3" a="1"/>
  <c r="U1199" i="3"/>
  <c r="AC1199" i="3"/>
  <c r="S1482" i="3"/>
  <c r="S197" i="3" a="1"/>
  <c r="U197" i="3"/>
  <c r="AC197" i="3"/>
  <c r="S1250" i="3" a="1"/>
  <c r="U1250" i="3"/>
  <c r="AC1250" i="3"/>
  <c r="S1032" i="3"/>
  <c r="AC2776" i="3"/>
  <c r="U2776" i="3"/>
  <c r="S2776" i="3"/>
  <c r="S2776" i="3" a="1"/>
  <c r="AC2163" i="3"/>
  <c r="U2163" i="3"/>
  <c r="S2163" i="3"/>
  <c r="S2163" i="3" a="1"/>
  <c r="N25" i="23"/>
  <c r="L25" i="23"/>
  <c r="S1303" i="3" a="1"/>
  <c r="U1303" i="3"/>
  <c r="AC1303" i="3"/>
  <c r="S1373" i="3" a="1"/>
  <c r="U1373" i="3"/>
  <c r="AC1373" i="3"/>
  <c r="S163" i="3"/>
  <c r="E215" i="11"/>
  <c r="S215" i="11"/>
  <c r="U2796" i="3"/>
  <c r="S2796" i="3"/>
  <c r="S2796" i="3" a="1"/>
  <c r="S1188" i="3"/>
  <c r="AC1985" i="3"/>
  <c r="U1985" i="3"/>
  <c r="S1985" i="3"/>
  <c r="S1985" i="3" a="1"/>
  <c r="AC2035" i="3"/>
  <c r="U2035" i="3"/>
  <c r="S2035" i="3"/>
  <c r="S2035" i="3" a="1"/>
  <c r="U2830" i="3"/>
  <c r="S2830" i="3"/>
  <c r="S2830" i="3" a="1"/>
  <c r="AC377" i="3"/>
  <c r="U377" i="3"/>
  <c r="S377" i="3"/>
  <c r="S377" i="3" a="1"/>
  <c r="AC1792" i="3"/>
  <c r="U1792" i="3"/>
  <c r="S1792" i="3"/>
  <c r="S1792" i="3" a="1"/>
  <c r="S1400" i="3"/>
  <c r="AC621" i="3"/>
  <c r="U621" i="3"/>
  <c r="S621" i="3"/>
  <c r="S621" i="3" a="1"/>
  <c r="N100" i="23"/>
  <c r="L100" i="23"/>
  <c r="AC1708" i="3"/>
  <c r="U1708" i="3"/>
  <c r="S1708" i="3"/>
  <c r="S1708" i="3" a="1"/>
  <c r="AC1445" i="3"/>
  <c r="U1445" i="3"/>
  <c r="S1445" i="3"/>
  <c r="S1445" i="3" a="1"/>
  <c r="S2512" i="3" a="1"/>
  <c r="U2512" i="3"/>
  <c r="AC2512" i="3"/>
  <c r="N41" i="23"/>
  <c r="L41" i="23"/>
  <c r="S2250" i="3" a="1"/>
  <c r="U2250" i="3"/>
  <c r="AC2250" i="3"/>
  <c r="S930" i="3"/>
  <c r="S1294" i="3" a="1"/>
  <c r="U1294" i="3"/>
  <c r="AC1294" i="3"/>
  <c r="S1678" i="3" a="1"/>
  <c r="U1678" i="3"/>
  <c r="AC1678" i="3"/>
  <c r="S940" i="3" a="1"/>
  <c r="U940" i="3"/>
  <c r="AC940" i="3"/>
  <c r="S1645" i="3" a="1"/>
  <c r="U1645" i="3"/>
  <c r="AC1645" i="3"/>
  <c r="AC388" i="3"/>
  <c r="U388" i="3"/>
  <c r="S388" i="3"/>
  <c r="S388" i="3" a="1"/>
  <c r="AC1956" i="3"/>
  <c r="U1956" i="3"/>
  <c r="S1956" i="3"/>
  <c r="S1956" i="3" a="1"/>
  <c r="S1740" i="3" a="1"/>
  <c r="U1740" i="3"/>
  <c r="AC1740" i="3"/>
  <c r="S1245" i="3"/>
  <c r="AC1861" i="3"/>
  <c r="U1861" i="3"/>
  <c r="S1861" i="3"/>
  <c r="S1861" i="3" a="1"/>
  <c r="S332" i="3" a="1"/>
  <c r="U332" i="3"/>
  <c r="AC332" i="3"/>
  <c r="AC1991" i="3"/>
  <c r="U1991" i="3"/>
  <c r="S1991" i="3"/>
  <c r="S1991" i="3" a="1"/>
  <c r="S87" i="3"/>
  <c r="S1142" i="3"/>
  <c r="T19" i="23"/>
  <c r="R19" i="23"/>
  <c r="R19" i="23" a="1"/>
  <c r="S1808" i="3" a="1"/>
  <c r="U1808" i="3"/>
  <c r="AC1808" i="3"/>
  <c r="S2549" i="3" a="1"/>
  <c r="U2549" i="3"/>
  <c r="AC2549" i="3"/>
  <c r="S52" i="3"/>
  <c r="S84" i="3"/>
  <c r="AC629" i="3"/>
  <c r="U629" i="3"/>
  <c r="S629" i="3"/>
  <c r="S629" i="3" a="1"/>
  <c r="S964" i="3"/>
  <c r="S1880" i="3"/>
  <c r="S1902" i="3"/>
  <c r="S2463" i="3" a="1"/>
  <c r="U2463" i="3"/>
  <c r="AC2463" i="3"/>
  <c r="S1491" i="3"/>
  <c r="AC2728" i="3"/>
  <c r="U2728" i="3"/>
  <c r="S2728" i="3"/>
  <c r="S38" i="3" a="1"/>
  <c r="U38" i="3"/>
  <c r="AC38" i="3"/>
  <c r="AC1542" i="3"/>
  <c r="U1542" i="3"/>
  <c r="S1542" i="3"/>
  <c r="S1542" i="3" a="1"/>
  <c r="AC2563" i="3"/>
  <c r="U2563" i="3"/>
  <c r="S2563" i="3"/>
  <c r="S2563" i="3" a="1"/>
  <c r="S263" i="3" a="1"/>
  <c r="U263" i="3"/>
  <c r="AC263" i="3"/>
  <c r="S695" i="3" a="1"/>
  <c r="U695" i="3"/>
  <c r="AC695" i="3"/>
  <c r="S1166" i="3"/>
  <c r="S227" i="3"/>
  <c r="S1865" i="3" a="1"/>
  <c r="U1865" i="3"/>
  <c r="AC1865" i="3"/>
  <c r="S647" i="3"/>
  <c r="S1207" i="3"/>
  <c r="S2126" i="3"/>
  <c r="S2583" i="3"/>
  <c r="S1368" i="3"/>
  <c r="S2725" i="3"/>
  <c r="S1610" i="3"/>
  <c r="AC466" i="3"/>
  <c r="U466" i="3"/>
  <c r="S466" i="3"/>
  <c r="S466" i="3" a="1"/>
  <c r="AC423" i="3"/>
  <c r="U423" i="3"/>
  <c r="S423" i="3"/>
  <c r="S423" i="3" a="1"/>
  <c r="S8" i="3" a="1"/>
  <c r="U8" i="3"/>
  <c r="AC8" i="3"/>
  <c r="S515" i="3" a="1"/>
  <c r="U515" i="3"/>
  <c r="AC515" i="3"/>
  <c r="S2496" i="3" a="1"/>
  <c r="U2496" i="3"/>
  <c r="AC2496" i="3"/>
  <c r="S1347" i="3" a="1"/>
  <c r="U1347" i="3"/>
  <c r="AC1347" i="3"/>
  <c r="S2246" i="3" a="1"/>
  <c r="U2246" i="3"/>
  <c r="AC2246" i="3"/>
  <c r="AC1252" i="3"/>
  <c r="U1252" i="3"/>
  <c r="S1252" i="3"/>
  <c r="S1252" i="3" a="1"/>
  <c r="N56" i="23"/>
  <c r="L56" i="23"/>
  <c r="T58" i="23"/>
  <c r="R58" i="23"/>
  <c r="R58" i="23" a="1"/>
  <c r="E197" i="11"/>
  <c r="S197" i="11"/>
  <c r="E219" i="11"/>
  <c r="S219" i="11"/>
  <c r="U2816" i="3"/>
  <c r="S2816" i="3"/>
  <c r="S2816" i="3" a="1"/>
  <c r="S2396" i="3" a="1"/>
  <c r="U2396" i="3"/>
  <c r="AC2396" i="3"/>
  <c r="AC2307" i="3"/>
  <c r="U2307" i="3"/>
  <c r="S2307" i="3"/>
  <c r="S2307" i="3" a="1"/>
  <c r="T10" i="23"/>
  <c r="R10" i="23"/>
  <c r="R10" i="23" a="1"/>
  <c r="T99" i="23"/>
  <c r="R99" i="23"/>
  <c r="R99" i="23" a="1"/>
  <c r="AC787" i="3"/>
  <c r="U787" i="3"/>
  <c r="S787" i="3"/>
  <c r="S787" i="3" a="1"/>
  <c r="AC2324" i="3"/>
  <c r="U2324" i="3"/>
  <c r="S2324" i="3"/>
  <c r="S2324" i="3" a="1"/>
  <c r="S2589" i="3"/>
  <c r="AC1964" i="3"/>
  <c r="U1964" i="3"/>
  <c r="S1964" i="3"/>
  <c r="S1964" i="3" a="1"/>
  <c r="AC1537" i="3"/>
  <c r="U1537" i="3"/>
  <c r="S1537" i="3"/>
  <c r="S1537" i="3" a="1"/>
  <c r="S1349" i="3"/>
  <c r="S376" i="3"/>
  <c r="AC958" i="3"/>
  <c r="U958" i="3"/>
  <c r="S958" i="3"/>
  <c r="S958" i="3" a="1"/>
  <c r="AC2077" i="3"/>
  <c r="U2077" i="3"/>
  <c r="S2077" i="3"/>
  <c r="S2077" i="3" a="1"/>
  <c r="AC1451" i="3"/>
  <c r="U1451" i="3"/>
  <c r="S1451" i="3"/>
  <c r="S1451" i="3" a="1"/>
  <c r="AC2649" i="3"/>
  <c r="U2649" i="3"/>
  <c r="S2649" i="3"/>
  <c r="S2649" i="3" a="1"/>
  <c r="S490" i="3" a="1"/>
  <c r="U490" i="3"/>
  <c r="AC490" i="3"/>
  <c r="AC994" i="3"/>
  <c r="U994" i="3"/>
  <c r="S994" i="3"/>
  <c r="S994" i="3" a="1"/>
  <c r="AC1360" i="3"/>
  <c r="U1360" i="3"/>
  <c r="S1360" i="3"/>
  <c r="S1360" i="3" a="1"/>
  <c r="S2292" i="3" a="1"/>
  <c r="U2292" i="3"/>
  <c r="AC2292" i="3"/>
  <c r="S2472" i="3" a="1"/>
  <c r="U2472" i="3"/>
  <c r="AC2472" i="3"/>
  <c r="S2791" i="3"/>
  <c r="AC1759" i="3"/>
  <c r="U1759" i="3"/>
  <c r="S1759" i="3"/>
  <c r="S1759" i="3" a="1"/>
  <c r="S2447" i="3"/>
  <c r="AC2332" i="3"/>
  <c r="U2332" i="3"/>
  <c r="S2332" i="3"/>
  <c r="S2332" i="3" a="1"/>
  <c r="AC1202" i="3"/>
  <c r="U1202" i="3"/>
  <c r="S1202" i="3"/>
  <c r="S1202" i="3" a="1"/>
  <c r="S1827" i="3"/>
  <c r="S980" i="3" a="1"/>
  <c r="U980" i="3"/>
  <c r="AC980" i="3"/>
  <c r="S1258" i="3"/>
  <c r="S2080" i="3"/>
  <c r="AC1790" i="3"/>
  <c r="U1790" i="3"/>
  <c r="S1790" i="3"/>
  <c r="S1790" i="3" a="1"/>
  <c r="S321" i="3"/>
  <c r="S2285" i="3" a="1"/>
  <c r="U2285" i="3"/>
  <c r="AC2285" i="3"/>
  <c r="S952" i="3"/>
  <c r="S2136" i="3"/>
  <c r="AC1884" i="3"/>
  <c r="U1884" i="3"/>
  <c r="S1884" i="3"/>
  <c r="S1884" i="3" a="1"/>
  <c r="AC1228" i="3"/>
  <c r="U1228" i="3"/>
  <c r="S1228" i="3"/>
  <c r="S1228" i="3" a="1"/>
  <c r="S1458" i="3"/>
  <c r="S300" i="3" a="1"/>
  <c r="U300" i="3"/>
  <c r="AC300" i="3"/>
  <c r="S2488" i="3"/>
  <c r="S1338" i="3" a="1"/>
  <c r="U1338" i="3"/>
  <c r="AC1338" i="3"/>
  <c r="S108" i="3" a="1"/>
  <c r="U108" i="3"/>
  <c r="AC108" i="3"/>
  <c r="S432" i="3"/>
  <c r="AC39" i="3"/>
  <c r="U39" i="3"/>
  <c r="S39" i="3"/>
  <c r="S39" i="3" a="1"/>
  <c r="AC1220" i="3"/>
  <c r="U1220" i="3"/>
  <c r="S1220" i="3"/>
  <c r="S1220" i="3" a="1"/>
  <c r="AC392" i="3"/>
  <c r="U392" i="3"/>
  <c r="S392" i="3"/>
  <c r="S392" i="3" a="1"/>
  <c r="S353" i="3"/>
  <c r="E211" i="11"/>
  <c r="S211" i="11"/>
  <c r="S1545" i="3"/>
  <c r="S2713" i="3"/>
  <c r="S1642" i="3"/>
  <c r="S1923" i="3" a="1"/>
  <c r="U1923" i="3"/>
  <c r="AC1923" i="3"/>
  <c r="AC1158" i="3"/>
  <c r="U1158" i="3"/>
  <c r="S1158" i="3"/>
  <c r="S1158" i="3" a="1"/>
  <c r="AC1693" i="3"/>
  <c r="U1693" i="3"/>
  <c r="S1693" i="3"/>
  <c r="S1693" i="3" a="1"/>
  <c r="AC1850" i="3"/>
  <c r="U1850" i="3"/>
  <c r="S1850" i="3"/>
  <c r="S1850" i="3" a="1"/>
  <c r="Q179" i="11"/>
  <c r="P179" i="11"/>
  <c r="AC1690" i="3"/>
  <c r="U1690" i="3"/>
  <c r="S1690" i="3"/>
  <c r="S1690" i="3" a="1"/>
  <c r="AC2381" i="3"/>
  <c r="U2381" i="3"/>
  <c r="S2382" i="3"/>
  <c r="S2382" i="3" a="1"/>
  <c r="S1183" i="3" a="1"/>
  <c r="U1183" i="3"/>
  <c r="AC1183" i="3"/>
  <c r="S2596" i="3"/>
  <c r="S2473" i="3"/>
  <c r="AC394" i="3"/>
  <c r="U394" i="3"/>
  <c r="S394" i="3"/>
  <c r="S394" i="3" a="1"/>
  <c r="AC1994" i="3"/>
  <c r="U1994" i="3"/>
  <c r="S1994" i="3"/>
  <c r="S1994" i="3" a="1"/>
  <c r="AC1461" i="3"/>
  <c r="U1461" i="3"/>
  <c r="S1461" i="3"/>
  <c r="S1461" i="3" a="1"/>
  <c r="S1259" i="3"/>
  <c r="S1588" i="3"/>
  <c r="AC953" i="3"/>
  <c r="U953" i="3"/>
  <c r="S953" i="3"/>
  <c r="S953" i="3" a="1"/>
  <c r="S407" i="3"/>
  <c r="S1337" i="3" a="1"/>
  <c r="U1337" i="3"/>
  <c r="AC1337" i="3"/>
  <c r="S959" i="3"/>
  <c r="S2179" i="3"/>
  <c r="S2142" i="3" a="1"/>
  <c r="U2142" i="3"/>
  <c r="AC2142" i="3"/>
  <c r="S2592" i="3" a="1"/>
  <c r="U2592" i="3"/>
  <c r="AC2592" i="3"/>
  <c r="T73" i="23"/>
  <c r="R73" i="23"/>
  <c r="R73" i="23" a="1"/>
  <c r="R91" i="23"/>
  <c r="AC2640" i="3"/>
  <c r="U2640" i="3"/>
  <c r="S2640" i="3"/>
  <c r="S2640" i="3" a="1"/>
  <c r="S2743" i="3"/>
  <c r="AC495" i="3"/>
  <c r="U495" i="3"/>
  <c r="S495" i="3"/>
  <c r="S495" i="3" a="1"/>
  <c r="AC944" i="3"/>
  <c r="U944" i="3"/>
  <c r="S944" i="3"/>
  <c r="S944" i="3" a="1"/>
  <c r="AC1614" i="3"/>
  <c r="U1614" i="3"/>
  <c r="S1614" i="3"/>
  <c r="S1614" i="3" a="1"/>
  <c r="S1239" i="3"/>
  <c r="T17" i="23"/>
  <c r="R17" i="23"/>
  <c r="R17" i="23" a="1"/>
  <c r="N21" i="23"/>
  <c r="L21" i="23"/>
  <c r="AC1287" i="3"/>
  <c r="U1287" i="3"/>
  <c r="S1287" i="3"/>
  <c r="S1287" i="3" a="1"/>
  <c r="AC286" i="3"/>
  <c r="U286" i="3"/>
  <c r="S286" i="3"/>
  <c r="S286" i="3" a="1"/>
  <c r="AC1763" i="3"/>
  <c r="U1763" i="3"/>
  <c r="S1763" i="3"/>
  <c r="S1763" i="3" a="1"/>
  <c r="S2228" i="3"/>
  <c r="AC841" i="3"/>
  <c r="U841" i="3"/>
  <c r="S841" i="3"/>
  <c r="S841" i="3" a="1"/>
  <c r="AC2053" i="3"/>
  <c r="U2053" i="3"/>
  <c r="S2053" i="3"/>
  <c r="S2053" i="3" a="1"/>
  <c r="S1070" i="3"/>
  <c r="S1400" i="3" a="1"/>
  <c r="U1400" i="3"/>
  <c r="AC1400" i="3"/>
  <c r="AC1366" i="3"/>
  <c r="U1366" i="3"/>
  <c r="S1366" i="3"/>
  <c r="S1366" i="3" a="1"/>
  <c r="AC358" i="3"/>
  <c r="U358" i="3"/>
  <c r="S358" i="3"/>
  <c r="S358" i="3" a="1"/>
  <c r="AC303" i="3"/>
  <c r="U303" i="3"/>
  <c r="S303" i="3"/>
  <c r="S303" i="3" a="1"/>
  <c r="AC619" i="3"/>
  <c r="U619" i="3"/>
  <c r="S619" i="3"/>
  <c r="S619" i="3" a="1"/>
  <c r="AC2687" i="3"/>
  <c r="U2687" i="3"/>
  <c r="S2687" i="3"/>
  <c r="S2687" i="3" a="1"/>
  <c r="AC720" i="3"/>
  <c r="U720" i="3"/>
  <c r="S720" i="3"/>
  <c r="S720" i="3" a="1"/>
  <c r="S930" i="3" a="1"/>
  <c r="U930" i="3"/>
  <c r="AC930" i="3"/>
  <c r="AC651" i="3"/>
  <c r="U651" i="3"/>
  <c r="S651" i="3"/>
  <c r="S651" i="3" a="1"/>
  <c r="S1245" i="3" a="1"/>
  <c r="U1245" i="3"/>
  <c r="AC1245" i="3"/>
  <c r="V2706" i="3"/>
  <c r="S2698" i="3"/>
  <c r="T118" i="23"/>
  <c r="R118" i="23"/>
  <c r="R118" i="23" a="1"/>
  <c r="R24" i="23"/>
  <c r="S87" i="3" a="1"/>
  <c r="U87" i="3"/>
  <c r="AC87" i="3"/>
  <c r="S1142" i="3" a="1"/>
  <c r="U1142" i="3"/>
  <c r="AC1142" i="3"/>
  <c r="AC2070" i="3"/>
  <c r="U2070" i="3"/>
  <c r="S2070" i="3"/>
  <c r="S2070" i="3" a="1"/>
  <c r="S52" i="3" a="1"/>
  <c r="U52" i="3"/>
  <c r="AC52" i="3"/>
  <c r="S2025" i="3"/>
  <c r="S84" i="3" a="1"/>
  <c r="U84" i="3"/>
  <c r="AC84" i="3"/>
  <c r="S2261" i="3"/>
  <c r="AC1997" i="3"/>
  <c r="U1997" i="3"/>
  <c r="S1997" i="3"/>
  <c r="S1997" i="3" a="1"/>
  <c r="AC1195" i="3"/>
  <c r="U1195" i="3"/>
  <c r="S1195" i="3"/>
  <c r="S1195" i="3" a="1"/>
  <c r="AC2785" i="3"/>
  <c r="U2785" i="3"/>
  <c r="S2785" i="3"/>
  <c r="S2785" i="3" a="1"/>
  <c r="T44" i="23"/>
  <c r="R44" i="23"/>
  <c r="R44" i="23" a="1"/>
  <c r="N85" i="23"/>
  <c r="L85" i="23"/>
  <c r="S964" i="3" a="1"/>
  <c r="U964" i="3"/>
  <c r="AC964" i="3"/>
  <c r="S1880" i="3" a="1"/>
  <c r="U1880" i="3"/>
  <c r="AC1880" i="3"/>
  <c r="S1902" i="3" a="1"/>
  <c r="U1902" i="3"/>
  <c r="AC1902" i="3"/>
  <c r="S2818" i="3"/>
  <c r="AC2631" i="3"/>
  <c r="U2631" i="3"/>
  <c r="S2631" i="3"/>
  <c r="S2631" i="3" a="1"/>
  <c r="S1472" i="3"/>
  <c r="S244" i="3"/>
  <c r="S1491" i="3" a="1"/>
  <c r="U1491" i="3"/>
  <c r="AC1491" i="3"/>
  <c r="S2728" i="3" a="1"/>
  <c r="V2736" i="3"/>
  <c r="AC2444" i="3"/>
  <c r="U2444" i="3"/>
  <c r="S2444" i="3"/>
  <c r="S2444" i="3" a="1"/>
  <c r="S1399" i="3"/>
  <c r="S901" i="3"/>
  <c r="AC322" i="3"/>
  <c r="U322" i="3"/>
  <c r="S322" i="3"/>
  <c r="S322" i="3" a="1"/>
  <c r="AC1172" i="3"/>
  <c r="U1172" i="3"/>
  <c r="S1172" i="3"/>
  <c r="S1172" i="3" a="1"/>
  <c r="S656" i="3"/>
  <c r="S996" i="3"/>
  <c r="S1613" i="3"/>
  <c r="S2140" i="3"/>
  <c r="AC2058" i="3"/>
  <c r="U2058" i="3"/>
  <c r="S2058" i="3"/>
  <c r="S2058" i="3" a="1"/>
  <c r="E173" i="11"/>
  <c r="S173" i="11"/>
  <c r="S1166" i="3" a="1"/>
  <c r="U1166" i="3"/>
  <c r="AC1166" i="3"/>
  <c r="S781" i="3"/>
  <c r="S227" i="3" a="1"/>
  <c r="U227" i="3"/>
  <c r="AC227" i="3"/>
  <c r="N114" i="23"/>
  <c r="L114" i="23"/>
  <c r="S647" i="3" a="1"/>
  <c r="U647" i="3"/>
  <c r="AC647" i="3"/>
  <c r="S1207" i="3" a="1"/>
  <c r="U1207" i="3"/>
  <c r="AC1207" i="3"/>
  <c r="S2126" i="3" a="1"/>
  <c r="U2126" i="3"/>
  <c r="AC2126" i="3"/>
  <c r="S2583" i="3" a="1"/>
  <c r="U2583" i="3"/>
  <c r="AC2583" i="3"/>
  <c r="S1368" i="3" a="1"/>
  <c r="U1368" i="3"/>
  <c r="AC1368" i="3"/>
  <c r="S2725" i="3" a="1"/>
  <c r="U2725" i="3"/>
  <c r="AC2725" i="3"/>
  <c r="AC911" i="3"/>
  <c r="U911" i="3"/>
  <c r="S911" i="3"/>
  <c r="S911" i="3" a="1"/>
  <c r="AC461" i="3"/>
  <c r="U461" i="3"/>
  <c r="S461" i="3"/>
  <c r="S461" i="3" a="1"/>
  <c r="S2525" i="3"/>
  <c r="S1350" i="3"/>
  <c r="S1099" i="3"/>
  <c r="S1555" i="3"/>
  <c r="S2335" i="3"/>
  <c r="S2207" i="3"/>
  <c r="AC63" i="3"/>
  <c r="U63" i="3"/>
  <c r="S63" i="3"/>
  <c r="S63" i="3" a="1"/>
  <c r="AC2429" i="3"/>
  <c r="U2429" i="3"/>
  <c r="S2429" i="3"/>
  <c r="S2429" i="3" a="1"/>
  <c r="AC746" i="3"/>
  <c r="U746" i="3"/>
  <c r="S746" i="3"/>
  <c r="S746" i="3" a="1"/>
  <c r="AC1377" i="3"/>
  <c r="U1377" i="3"/>
  <c r="S1377" i="3"/>
  <c r="S1377" i="3" a="1"/>
  <c r="S2589" i="3" a="1"/>
  <c r="U2589" i="3"/>
  <c r="AC2589" i="3"/>
  <c r="S399" i="3"/>
  <c r="S1349" i="3" a="1"/>
  <c r="U1349" i="3"/>
  <c r="AC1349" i="3"/>
  <c r="S2349" i="3"/>
  <c r="S376" i="3" a="1"/>
  <c r="U376" i="3"/>
  <c r="AC376" i="3"/>
  <c r="AC2609" i="3"/>
  <c r="U2609" i="3"/>
  <c r="S2609" i="3"/>
  <c r="S2609" i="3" a="1"/>
  <c r="S2791" i="3" a="1"/>
  <c r="U2791" i="3"/>
  <c r="S214" i="11"/>
  <c r="E214" i="11"/>
  <c r="S1014" i="3"/>
  <c r="S1130" i="3"/>
  <c r="S19" i="3"/>
  <c r="AC987" i="3"/>
  <c r="U987" i="3"/>
  <c r="S987" i="3"/>
  <c r="S987" i="3" a="1"/>
  <c r="S2447" i="3" a="1"/>
  <c r="U2447" i="3"/>
  <c r="AC2447" i="3"/>
  <c r="AC2063" i="3"/>
  <c r="U2063" i="3"/>
  <c r="S2063" i="3"/>
  <c r="S2063" i="3" a="1"/>
  <c r="S1616" i="3"/>
  <c r="AC451" i="3"/>
  <c r="U451" i="3"/>
  <c r="S451" i="3"/>
  <c r="S451" i="3" a="1"/>
  <c r="S1827" i="3" a="1"/>
  <c r="U1827" i="3"/>
  <c r="AC1827" i="3"/>
  <c r="S1718" i="3"/>
  <c r="S1258" i="3" a="1"/>
  <c r="U1258" i="3"/>
  <c r="AC1258" i="3"/>
  <c r="S2080" i="3" a="1"/>
  <c r="U2080" i="3"/>
  <c r="AC2080" i="3"/>
  <c r="S321" i="3" a="1"/>
  <c r="U321" i="3"/>
  <c r="AC321" i="3"/>
  <c r="AC1819" i="3"/>
  <c r="U1819" i="3"/>
  <c r="S1819" i="3"/>
  <c r="S1819" i="3" a="1"/>
  <c r="AC147" i="3"/>
  <c r="U147" i="3"/>
  <c r="S147" i="3"/>
  <c r="S147" i="3" a="1"/>
  <c r="S2136" i="3" a="1"/>
  <c r="U2136" i="3"/>
  <c r="AC2136" i="3"/>
  <c r="AC1680" i="3"/>
  <c r="U1680" i="3"/>
  <c r="S1680" i="3"/>
  <c r="S1680" i="3" a="1"/>
  <c r="S1458" i="3" a="1"/>
  <c r="U1458" i="3"/>
  <c r="AC1458" i="3"/>
  <c r="S2488" i="3" a="1"/>
  <c r="U2488" i="3"/>
  <c r="AC2488" i="3"/>
  <c r="S1079" i="3"/>
  <c r="S1883" i="3"/>
  <c r="AC2437" i="3"/>
  <c r="U2437" i="3"/>
  <c r="S2437" i="3"/>
  <c r="S2437" i="3" a="1"/>
  <c r="S880" i="3"/>
  <c r="S566" i="3"/>
  <c r="S289" i="3"/>
  <c r="S1227" i="3"/>
  <c r="S353" i="3" a="1"/>
  <c r="U353" i="3"/>
  <c r="AC353" i="3"/>
  <c r="AC109" i="3"/>
  <c r="U109" i="3"/>
  <c r="S109" i="3"/>
  <c r="S109" i="3" a="1"/>
  <c r="S1545" i="3" a="1"/>
  <c r="U1545" i="3"/>
  <c r="AC1545" i="3"/>
  <c r="S1642" i="3" a="1"/>
  <c r="U1642" i="3"/>
  <c r="AC1642" i="3"/>
  <c r="AC1121" i="3"/>
  <c r="U1121" i="3"/>
  <c r="S1121" i="3"/>
  <c r="S1121" i="3" a="1"/>
  <c r="S863" i="3"/>
  <c r="S2179" i="3" a="1"/>
  <c r="U2179" i="3"/>
  <c r="AC2179" i="3"/>
  <c r="AC335" i="3"/>
  <c r="U335" i="3"/>
  <c r="S1482" i="3" a="1"/>
  <c r="U1482" i="3"/>
  <c r="AC1482" i="3"/>
  <c r="S2473" i="3" a="1"/>
  <c r="U2473" i="3"/>
  <c r="AC2473" i="3"/>
  <c r="S1600" i="3" a="1"/>
  <c r="U1600" i="3"/>
  <c r="AC1600" i="3"/>
  <c r="U2808" i="3"/>
  <c r="S204" i="11"/>
  <c r="E204" i="11"/>
  <c r="S1203" i="3" a="1"/>
  <c r="U1203" i="3"/>
  <c r="AC1203" i="3"/>
  <c r="S740" i="3" a="1"/>
  <c r="U740" i="3"/>
  <c r="AC740" i="3"/>
  <c r="S2575" i="3" a="1"/>
  <c r="U2575" i="3"/>
  <c r="AC2575" i="3"/>
  <c r="S136" i="3" a="1"/>
  <c r="U136" i="3"/>
  <c r="AC136" i="3"/>
  <c r="S993" i="3" a="1"/>
  <c r="U993" i="3"/>
  <c r="AC993" i="3"/>
  <c r="S2729" i="3" a="1"/>
  <c r="U2729" i="3"/>
  <c r="AC2729" i="3"/>
  <c r="S1975" i="3" a="1"/>
  <c r="U1975" i="3"/>
  <c r="AC1975" i="3"/>
  <c r="S2596" i="3" a="1"/>
  <c r="U2596" i="3"/>
  <c r="AC2596" i="3"/>
  <c r="S1215" i="3" a="1"/>
  <c r="U1215" i="3"/>
  <c r="AC1215" i="3"/>
  <c r="S736" i="3" a="1"/>
  <c r="U736" i="3"/>
  <c r="AC736" i="3"/>
  <c r="T50" i="23"/>
  <c r="R50" i="23"/>
  <c r="R50" i="23" a="1"/>
  <c r="S123" i="3" a="1"/>
  <c r="U123" i="3"/>
  <c r="AC123" i="3"/>
  <c r="S1283" i="3"/>
  <c r="S796" i="3" a="1"/>
  <c r="U796" i="3"/>
  <c r="AC796" i="3"/>
  <c r="S1259" i="3" a="1"/>
  <c r="U1259" i="3"/>
  <c r="AC1259" i="3"/>
  <c r="S407" i="3" a="1"/>
  <c r="U407" i="3"/>
  <c r="AC407" i="3"/>
  <c r="S588" i="3"/>
  <c r="S243" i="3"/>
  <c r="S350" i="3" a="1"/>
  <c r="U350" i="3"/>
  <c r="AC350" i="3"/>
  <c r="S2238" i="3" a="1"/>
  <c r="U2238" i="3"/>
  <c r="AC2238" i="3"/>
  <c r="S2368" i="3" a="1"/>
  <c r="U2367" i="3"/>
  <c r="AC2367" i="3"/>
  <c r="S206" i="3" a="1"/>
  <c r="U206" i="3"/>
  <c r="AC206" i="3"/>
  <c r="S1714" i="3"/>
  <c r="S1946" i="3" a="1"/>
  <c r="U1946" i="3"/>
  <c r="AC1946" i="3"/>
  <c r="S1031" i="3" a="1"/>
  <c r="U1031" i="3"/>
  <c r="AC1031" i="3"/>
  <c r="S959" i="3" a="1"/>
  <c r="U959" i="3"/>
  <c r="AC959" i="3"/>
  <c r="R91" i="23" a="1"/>
  <c r="T91" i="23"/>
  <c r="S1254" i="3" a="1"/>
  <c r="U1254" i="3"/>
  <c r="AC1254" i="3"/>
  <c r="R2" i="23"/>
  <c r="S1343" i="3" a="1"/>
  <c r="U1343" i="3"/>
  <c r="AC1343" i="3"/>
  <c r="S1013" i="3" a="1"/>
  <c r="U1013" i="3"/>
  <c r="AC1013" i="3"/>
  <c r="S1561" i="3" a="1"/>
  <c r="U1561" i="3"/>
  <c r="AC1561" i="3"/>
  <c r="S2092" i="3"/>
  <c r="S2743" i="3" a="1"/>
  <c r="V2751" i="3"/>
  <c r="S2716" i="3"/>
  <c r="S421" i="3" a="1"/>
  <c r="U421" i="3"/>
  <c r="AC421" i="3"/>
  <c r="S1791" i="3" a="1"/>
  <c r="U1791" i="3"/>
  <c r="AC1791" i="3"/>
  <c r="S1239" i="3" a="1"/>
  <c r="U1239" i="3"/>
  <c r="AC1239" i="3"/>
  <c r="AC1125" i="3"/>
  <c r="U1125" i="3"/>
  <c r="S1125" i="3"/>
  <c r="S1125" i="3" a="1"/>
  <c r="S2426" i="3"/>
  <c r="AC1298" i="3"/>
  <c r="U1298" i="3"/>
  <c r="S1298" i="3"/>
  <c r="S1298" i="3" a="1"/>
  <c r="AC1769" i="3"/>
  <c r="U1769" i="3"/>
  <c r="S1769" i="3"/>
  <c r="S1769" i="3" a="1"/>
  <c r="AC184" i="3"/>
  <c r="U184" i="3"/>
  <c r="S184" i="3"/>
  <c r="S184" i="3" a="1"/>
  <c r="S1070" i="3" a="1"/>
  <c r="U1070" i="3"/>
  <c r="AC1070" i="3"/>
  <c r="AC2709" i="3"/>
  <c r="U2709" i="3"/>
  <c r="S2709" i="3"/>
  <c r="S2709" i="3" a="1"/>
  <c r="H25" i="8"/>
  <c r="H25" i="8" a="1"/>
  <c r="C14" i="28"/>
  <c r="AC751" i="3"/>
  <c r="U751" i="3"/>
  <c r="S751" i="3"/>
  <c r="S751" i="3" a="1"/>
  <c r="AC2254" i="3"/>
  <c r="U2254" i="3"/>
  <c r="S2254" i="3"/>
  <c r="S2254" i="3" a="1"/>
  <c r="U2797" i="3"/>
  <c r="S2797" i="3"/>
  <c r="S2797" i="3" a="1"/>
  <c r="AC2375" i="3"/>
  <c r="U2375" i="3"/>
  <c r="S2375" i="3"/>
  <c r="S2375" i="3" a="1"/>
  <c r="S2815" i="3" a="1"/>
  <c r="U2815" i="3"/>
  <c r="S212" i="11"/>
  <c r="E212" i="11"/>
  <c r="S1284" i="3"/>
  <c r="AC2664" i="3"/>
  <c r="U2664" i="3"/>
  <c r="S2664" i="3"/>
  <c r="S2664" i="3" a="1"/>
  <c r="AC1691" i="3"/>
  <c r="U1691" i="3"/>
  <c r="S1691" i="3"/>
  <c r="S1691" i="3" a="1"/>
  <c r="N77" i="23"/>
  <c r="L77" i="23"/>
  <c r="T115" i="23"/>
  <c r="R115" i="23"/>
  <c r="R115" i="23" a="1"/>
  <c r="N40" i="23"/>
  <c r="L40" i="23"/>
  <c r="AC396" i="3"/>
  <c r="U396" i="3"/>
  <c r="S396" i="3"/>
  <c r="S396" i="3" a="1"/>
  <c r="AC973" i="3"/>
  <c r="U973" i="3"/>
  <c r="S973" i="3"/>
  <c r="S973" i="3" a="1"/>
  <c r="S1292" i="3"/>
  <c r="S2698" i="3" a="1"/>
  <c r="U2698" i="3"/>
  <c r="AC2698" i="3"/>
  <c r="AC361" i="3"/>
  <c r="U361" i="3"/>
  <c r="S361" i="3"/>
  <c r="S361" i="3" a="1"/>
  <c r="AC317" i="3"/>
  <c r="U317" i="3"/>
  <c r="S317" i="3"/>
  <c r="S317" i="3" a="1"/>
  <c r="AC1022" i="3"/>
  <c r="U1022" i="3"/>
  <c r="S1022" i="3"/>
  <c r="S1022" i="3" a="1"/>
  <c r="S1300" i="3"/>
  <c r="S2025" i="3" a="1"/>
  <c r="U2025" i="3"/>
  <c r="AC2025" i="3"/>
  <c r="S2261" i="3" a="1"/>
  <c r="U2261" i="3"/>
  <c r="AC2261" i="3"/>
  <c r="AC1732" i="3"/>
  <c r="U1732" i="3"/>
  <c r="S1732" i="3"/>
  <c r="S1732" i="3" a="1"/>
  <c r="AC1692" i="3"/>
  <c r="U1692" i="3"/>
  <c r="S1692" i="3"/>
  <c r="S1692" i="3" a="1"/>
  <c r="S146" i="3"/>
  <c r="S624" i="3"/>
  <c r="S1200" i="3"/>
  <c r="AC724" i="3"/>
  <c r="U724" i="3"/>
  <c r="S724" i="3"/>
  <c r="S724" i="3" a="1"/>
  <c r="S1472" i="3" a="1"/>
  <c r="U1472" i="3"/>
  <c r="AC1472" i="3"/>
  <c r="S244" i="3" a="1"/>
  <c r="U244" i="3"/>
  <c r="AC244" i="3"/>
  <c r="S692" i="3"/>
  <c r="S2069" i="3"/>
  <c r="S1399" i="3" a="1"/>
  <c r="U1399" i="3"/>
  <c r="AC1399" i="3"/>
  <c r="S656" i="3" a="1"/>
  <c r="U656" i="3"/>
  <c r="AC656" i="3"/>
  <c r="S996" i="3" a="1"/>
  <c r="U996" i="3"/>
  <c r="AC996" i="3"/>
  <c r="S1613" i="3" a="1"/>
  <c r="U1613" i="3"/>
  <c r="AC1613" i="3"/>
  <c r="S2140" i="3" a="1"/>
  <c r="U2140" i="3"/>
  <c r="AC2140" i="3"/>
  <c r="S754" i="3"/>
  <c r="AC1184" i="3"/>
  <c r="U1184" i="3"/>
  <c r="S1184" i="3"/>
  <c r="S1184" i="3" a="1"/>
  <c r="AC2393" i="3"/>
  <c r="U2393" i="3"/>
  <c r="S2393" i="3"/>
  <c r="S2393" i="3" a="1"/>
  <c r="E223" i="11"/>
  <c r="S223" i="11"/>
  <c r="S2800" i="3"/>
  <c r="S781" i="3" a="1"/>
  <c r="U781" i="3"/>
  <c r="AC781" i="3"/>
  <c r="S1768" i="3"/>
  <c r="AC1707" i="3"/>
  <c r="U1707" i="3"/>
  <c r="S1707" i="3"/>
  <c r="S1707" i="3" a="1"/>
  <c r="AC1524" i="3"/>
  <c r="U1524" i="3"/>
  <c r="S1524" i="3"/>
  <c r="S1524" i="3" a="1"/>
  <c r="S1528" i="3"/>
  <c r="AC120" i="3"/>
  <c r="U120" i="3"/>
  <c r="S120" i="3"/>
  <c r="S120" i="3" a="1"/>
  <c r="AC1024" i="3"/>
  <c r="U1024" i="3"/>
  <c r="S1024" i="3"/>
  <c r="S1024" i="3" a="1"/>
  <c r="AC2146" i="3"/>
  <c r="U2146" i="3"/>
  <c r="S2146" i="3"/>
  <c r="S2146" i="3" a="1"/>
  <c r="AC910" i="3"/>
  <c r="U910" i="3"/>
  <c r="S910" i="3"/>
  <c r="S910" i="3" a="1"/>
  <c r="AC2054" i="3"/>
  <c r="U2054" i="3"/>
  <c r="S2054" i="3"/>
  <c r="S2054" i="3" a="1"/>
  <c r="S1350" i="3" a="1"/>
  <c r="U1350" i="3"/>
  <c r="AC1350" i="3"/>
  <c r="S1099" i="3" a="1"/>
  <c r="U1099" i="3"/>
  <c r="AC1099" i="3"/>
  <c r="S1555" i="3" a="1"/>
  <c r="U1555" i="3"/>
  <c r="AC1555" i="3"/>
  <c r="S2335" i="3" a="1"/>
  <c r="U2335" i="3"/>
  <c r="AC2335" i="3"/>
  <c r="S2207" i="3" a="1"/>
  <c r="U2207" i="3"/>
  <c r="AC2207" i="3"/>
  <c r="S2217" i="3"/>
  <c r="S53" i="3"/>
  <c r="S1054" i="3"/>
  <c r="AC2044" i="3"/>
  <c r="U2044" i="3"/>
  <c r="S2044" i="3"/>
  <c r="S2044" i="3" a="1"/>
  <c r="T114" i="23"/>
  <c r="R114" i="23"/>
  <c r="R114" i="23" a="1"/>
  <c r="N117" i="23"/>
  <c r="L117" i="23"/>
  <c r="N122" i="23"/>
  <c r="L122" i="23"/>
  <c r="AC2247" i="3"/>
  <c r="U2247" i="3"/>
  <c r="S2247" i="3"/>
  <c r="S2247" i="3" a="1"/>
  <c r="S673" i="3"/>
  <c r="E216" i="11"/>
  <c r="S216" i="11"/>
  <c r="U2801" i="3"/>
  <c r="S2801" i="3"/>
  <c r="S2801" i="3" a="1"/>
  <c r="S399" i="3" a="1"/>
  <c r="U399" i="3"/>
  <c r="AC399" i="3"/>
  <c r="S2349" i="3" a="1"/>
  <c r="U2349" i="3"/>
  <c r="AC2349" i="3"/>
  <c r="S488" i="3"/>
  <c r="S1830" i="3"/>
  <c r="AC955" i="3"/>
  <c r="U955" i="3"/>
  <c r="S955" i="3"/>
  <c r="S955" i="3" a="1"/>
  <c r="AC1344" i="3"/>
  <c r="U1344" i="3"/>
  <c r="S1344" i="3"/>
  <c r="S1344" i="3" a="1"/>
  <c r="AC1574" i="3"/>
  <c r="U1574" i="3"/>
  <c r="S1574" i="3"/>
  <c r="S1574" i="3" a="1"/>
  <c r="AC2357" i="3"/>
  <c r="U2357" i="3"/>
  <c r="S2357" i="3"/>
  <c r="S2357" i="3" a="1"/>
  <c r="AC1564" i="3"/>
  <c r="U1564" i="3"/>
  <c r="S1564" i="3"/>
  <c r="S1564" i="3" a="1"/>
  <c r="AC2608" i="3"/>
  <c r="U2608" i="3"/>
  <c r="S2608" i="3"/>
  <c r="S2608" i="3" a="1"/>
  <c r="S1419" i="3"/>
  <c r="S1130" i="3" a="1"/>
  <c r="U1130" i="3"/>
  <c r="AC1130" i="3"/>
  <c r="S19" i="3" a="1"/>
  <c r="U19" i="3"/>
  <c r="AC19" i="3"/>
  <c r="AC181" i="3"/>
  <c r="U181" i="3"/>
  <c r="S181" i="3"/>
  <c r="S181" i="3" a="1"/>
  <c r="U2799" i="3"/>
  <c r="S2799" i="3"/>
  <c r="S2799" i="3" a="1"/>
  <c r="AC1562" i="3"/>
  <c r="U1562" i="3"/>
  <c r="S1562" i="3"/>
  <c r="S1562" i="3" a="1"/>
  <c r="T96" i="23"/>
  <c r="R96" i="23"/>
  <c r="R96" i="23" a="1"/>
  <c r="S458" i="3"/>
  <c r="S966" i="3"/>
  <c r="S1718" i="3" a="1"/>
  <c r="U1718" i="3"/>
  <c r="AC1718" i="3"/>
  <c r="S2418" i="3"/>
  <c r="S2784" i="3"/>
  <c r="AC612" i="3"/>
  <c r="U612" i="3"/>
  <c r="S612" i="3"/>
  <c r="S612" i="3" a="1"/>
  <c r="S1512" i="3"/>
  <c r="AC649" i="3"/>
  <c r="U649" i="3"/>
  <c r="S649" i="3"/>
  <c r="S649" i="3" a="1"/>
  <c r="S982" i="3"/>
  <c r="AC395" i="3"/>
  <c r="U395" i="3"/>
  <c r="S395" i="3"/>
  <c r="S395" i="3" a="1"/>
  <c r="AC2659" i="3"/>
  <c r="U2659" i="3"/>
  <c r="S2659" i="3"/>
  <c r="S2659" i="3" a="1"/>
  <c r="S211" i="3"/>
  <c r="AC1672" i="3"/>
  <c r="U1672" i="3"/>
  <c r="S1672" i="3"/>
  <c r="S1672" i="3" a="1"/>
  <c r="S867" i="3"/>
  <c r="N75" i="23"/>
  <c r="L75" i="23"/>
  <c r="S1079" i="3" a="1"/>
  <c r="U1079" i="3"/>
  <c r="AC1079" i="3"/>
  <c r="S1883" i="3" a="1"/>
  <c r="U1883" i="3"/>
  <c r="AC1883" i="3"/>
  <c r="AC397" i="3"/>
  <c r="U397" i="3"/>
  <c r="S397" i="3"/>
  <c r="S397" i="3" a="1"/>
  <c r="S566" i="3" a="1"/>
  <c r="U566" i="3"/>
  <c r="AC566" i="3"/>
  <c r="S289" i="3" a="1"/>
  <c r="U289" i="3"/>
  <c r="AC289" i="3"/>
  <c r="S1227" i="3" a="1"/>
  <c r="U1227" i="3"/>
  <c r="AC1227" i="3"/>
  <c r="U2792" i="3"/>
  <c r="S2792" i="3"/>
  <c r="S2792" i="3" a="1"/>
  <c r="S2388" i="3"/>
  <c r="S806" i="3"/>
  <c r="S1197" i="3"/>
  <c r="S2693" i="3"/>
  <c r="E177" i="11"/>
  <c r="S177" i="11"/>
  <c r="R63" i="23"/>
  <c r="AC2771" i="3"/>
  <c r="U2771" i="3"/>
  <c r="S2771" i="3"/>
  <c r="S2771" i="3" a="1"/>
  <c r="N60" i="23"/>
  <c r="L60" i="23"/>
  <c r="S2420" i="3"/>
  <c r="AC446" i="3"/>
  <c r="U446" i="3"/>
  <c r="S446" i="3"/>
  <c r="S446" i="3" a="1"/>
  <c r="T38" i="23"/>
  <c r="R38" i="23"/>
  <c r="R38" i="23" a="1"/>
  <c r="S2426" i="3" a="1"/>
  <c r="U2426" i="3"/>
  <c r="AC2426" i="3"/>
  <c r="AC2417" i="3"/>
  <c r="U2417" i="3"/>
  <c r="S2417" i="3"/>
  <c r="S2417" i="3" a="1"/>
  <c r="AC2643" i="3"/>
  <c r="U2643" i="3"/>
  <c r="S2643" i="3"/>
  <c r="S2643" i="3" a="1"/>
  <c r="AC2567" i="3"/>
  <c r="U2567" i="3"/>
  <c r="S2567" i="3"/>
  <c r="S2567" i="3" a="1"/>
  <c r="AC1056" i="3"/>
  <c r="U1056" i="3"/>
  <c r="S1056" i="3"/>
  <c r="S1056" i="3" a="1"/>
  <c r="S770" i="3"/>
  <c r="AC1631" i="3"/>
  <c r="U1631" i="3"/>
  <c r="S1631" i="3"/>
  <c r="S1631" i="3" a="1"/>
  <c r="AC885" i="3"/>
  <c r="U885" i="3"/>
  <c r="S885" i="3"/>
  <c r="S885" i="3" a="1"/>
  <c r="AC1335" i="3"/>
  <c r="U1335" i="3"/>
  <c r="S1335" i="3"/>
  <c r="S1335" i="3" a="1"/>
  <c r="AC278" i="3"/>
  <c r="U278" i="3"/>
  <c r="S278" i="3"/>
  <c r="S278" i="3" a="1"/>
  <c r="AC1493" i="3"/>
  <c r="U1493" i="3"/>
  <c r="S1493" i="3"/>
  <c r="S1493" i="3" a="1"/>
  <c r="N18" i="23"/>
  <c r="L18" i="23"/>
  <c r="S1284" i="3" a="1"/>
  <c r="U1284" i="3"/>
  <c r="AC1284" i="3"/>
  <c r="S2415" i="3"/>
  <c r="AC1536" i="3"/>
  <c r="U1536" i="3"/>
  <c r="S1536" i="3"/>
  <c r="S1536" i="3" a="1"/>
  <c r="AC2694" i="3"/>
  <c r="U2694" i="3"/>
  <c r="S2694" i="3"/>
  <c r="S2694" i="3" a="1"/>
  <c r="S1406" i="3"/>
  <c r="S1834" i="3"/>
  <c r="S2684" i="3"/>
  <c r="S2116" i="3"/>
  <c r="S2359" i="3"/>
  <c r="AC2066" i="3"/>
  <c r="U2066" i="3"/>
  <c r="S2066" i="3"/>
  <c r="S2066" i="3" a="1"/>
  <c r="AC2009" i="3"/>
  <c r="U2009" i="3"/>
  <c r="S2009" i="3"/>
  <c r="S2009" i="3" a="1"/>
  <c r="S43" i="3"/>
  <c r="S99" i="3"/>
  <c r="S1292" i="3" a="1"/>
  <c r="U1292" i="3"/>
  <c r="AC1292" i="3"/>
  <c r="AC2005" i="3"/>
  <c r="U2005" i="3"/>
  <c r="S2005" i="3"/>
  <c r="S2005" i="3" a="1"/>
  <c r="AC2554" i="3"/>
  <c r="U2554" i="3"/>
  <c r="S2554" i="3"/>
  <c r="S2554" i="3" a="1"/>
  <c r="S132" i="3"/>
  <c r="S1657" i="3"/>
  <c r="S2152" i="3"/>
  <c r="S616" i="3"/>
  <c r="S1764" i="3"/>
  <c r="S1300" i="3" a="1"/>
  <c r="U1300" i="3"/>
  <c r="AC1300" i="3"/>
  <c r="AC2668" i="3"/>
  <c r="U2668" i="3"/>
  <c r="S2668" i="3"/>
  <c r="S2668" i="3" a="1"/>
  <c r="AC291" i="3"/>
  <c r="U291" i="3"/>
  <c r="S291" i="3"/>
  <c r="S291" i="3" a="1"/>
  <c r="AC2041" i="3"/>
  <c r="U2041" i="3"/>
  <c r="S2041" i="3"/>
  <c r="S2041" i="3" a="1"/>
  <c r="S146" i="3" a="1"/>
  <c r="U146" i="3"/>
  <c r="AC146" i="3"/>
  <c r="AC238" i="3"/>
  <c r="U238" i="3"/>
  <c r="S238" i="3"/>
  <c r="S238" i="3" a="1"/>
  <c r="T3" i="23"/>
  <c r="R3" i="23"/>
  <c r="R3" i="23" a="1"/>
  <c r="S624" i="3" a="1"/>
  <c r="U624" i="3"/>
  <c r="AC624" i="3"/>
  <c r="S1200" i="3" a="1"/>
  <c r="U1200" i="3"/>
  <c r="AC1200" i="3"/>
  <c r="AC1389" i="3"/>
  <c r="U1389" i="3"/>
  <c r="S1389" i="3"/>
  <c r="S1389" i="3" a="1"/>
  <c r="S1135" i="3"/>
  <c r="S2069" i="3" a="1"/>
  <c r="U2069" i="3"/>
  <c r="AC2069" i="3"/>
  <c r="AC539" i="3"/>
  <c r="U539" i="3"/>
  <c r="S539" i="3"/>
  <c r="S539" i="3" a="1"/>
  <c r="AC2397" i="3"/>
  <c r="U2397" i="3"/>
  <c r="S2397" i="3"/>
  <c r="S2397" i="3" a="1"/>
  <c r="S2781" i="3"/>
  <c r="S932" i="3"/>
  <c r="AC1553" i="3"/>
  <c r="U1553" i="3"/>
  <c r="S1553" i="3"/>
  <c r="S1553" i="3" a="1"/>
  <c r="R102" i="23"/>
  <c r="S754" i="3" a="1"/>
  <c r="U754" i="3"/>
  <c r="AC754" i="3"/>
  <c r="S274" i="3"/>
  <c r="S1660" i="3"/>
  <c r="S718" i="3"/>
  <c r="AC1277" i="3"/>
  <c r="U1277" i="3"/>
  <c r="S1277" i="3"/>
  <c r="S1277" i="3" a="1"/>
  <c r="S1818" i="3"/>
  <c r="S1768" i="3" a="1"/>
  <c r="U1768" i="3"/>
  <c r="AC1768" i="3"/>
  <c r="S2343" i="3"/>
  <c r="S1528" i="3" a="1"/>
  <c r="U1528" i="3"/>
  <c r="AC1528" i="3"/>
  <c r="AC655" i="3"/>
  <c r="U655" i="3"/>
  <c r="S655" i="3"/>
  <c r="S655" i="3" a="1"/>
  <c r="AC557" i="3"/>
  <c r="U557" i="3"/>
  <c r="S557" i="3"/>
  <c r="S557" i="3" a="1"/>
  <c r="S2467" i="3"/>
  <c r="S1412" i="3"/>
  <c r="S1533" i="3"/>
  <c r="S2248" i="3"/>
  <c r="AC2661" i="3"/>
  <c r="U2661" i="3"/>
  <c r="S809" i="3"/>
  <c r="S555" i="3"/>
  <c r="S2217" i="3" a="1"/>
  <c r="U2217" i="3"/>
  <c r="AC2217" i="3"/>
  <c r="S53" i="3" a="1"/>
  <c r="U53" i="3"/>
  <c r="AC53" i="3"/>
  <c r="S1054" i="3" a="1"/>
  <c r="U1054" i="3"/>
  <c r="AC1054" i="3"/>
  <c r="AC2585" i="3"/>
  <c r="U2585" i="3"/>
  <c r="S2585" i="3"/>
  <c r="S2585" i="3" a="1"/>
  <c r="AC172" i="3"/>
  <c r="U172" i="3"/>
  <c r="S172" i="3"/>
  <c r="S172" i="3" a="1"/>
  <c r="AC226" i="3"/>
  <c r="U226" i="3"/>
  <c r="S226" i="3"/>
  <c r="S226" i="3" a="1"/>
  <c r="AC700" i="3"/>
  <c r="U700" i="3"/>
  <c r="S700" i="3"/>
  <c r="S700" i="3" a="1"/>
  <c r="AC1894" i="3"/>
  <c r="U1894" i="3"/>
  <c r="S1894" i="3"/>
  <c r="S1894" i="3" a="1"/>
  <c r="AC209" i="3"/>
  <c r="U209" i="3"/>
  <c r="S209" i="3"/>
  <c r="S209" i="3" a="1"/>
  <c r="AC1329" i="3"/>
  <c r="U1329" i="3"/>
  <c r="S1329" i="3"/>
  <c r="S1329" i="3" a="1"/>
  <c r="E207" i="11"/>
  <c r="S207" i="11"/>
  <c r="S905" i="3"/>
  <c r="S1838" i="3"/>
  <c r="S488" i="3" a="1"/>
  <c r="U488" i="3"/>
  <c r="AC488" i="3"/>
  <c r="S1830" i="3" a="1"/>
  <c r="U1830" i="3"/>
  <c r="AC1830" i="3"/>
  <c r="AC1441" i="3"/>
  <c r="U1441" i="3"/>
  <c r="S1441" i="3"/>
  <c r="S1441" i="3" a="1"/>
  <c r="AC1976" i="3"/>
  <c r="U1976" i="3"/>
  <c r="S1976" i="3"/>
  <c r="S1976" i="3" a="1"/>
  <c r="AC1973" i="3"/>
  <c r="U1973" i="3"/>
  <c r="S1973" i="3"/>
  <c r="S1973" i="3" a="1"/>
  <c r="S1175" i="3"/>
  <c r="S1419" i="3" a="1"/>
  <c r="U1419" i="3"/>
  <c r="AC1419" i="3"/>
  <c r="S503" i="3"/>
  <c r="AC1745" i="3"/>
  <c r="U1745" i="3"/>
  <c r="S1745" i="3"/>
  <c r="S1745" i="3" a="1"/>
  <c r="S874" i="3"/>
  <c r="AC1532" i="3"/>
  <c r="U1532" i="3"/>
  <c r="S1532" i="3"/>
  <c r="S1532" i="3" a="1"/>
  <c r="AC331" i="3"/>
  <c r="U331" i="3"/>
  <c r="S331" i="3"/>
  <c r="S331" i="3" a="1"/>
  <c r="S1820" i="3"/>
  <c r="AC2177" i="3"/>
  <c r="U2177" i="3"/>
  <c r="S2177" i="3"/>
  <c r="S2177" i="3" a="1"/>
  <c r="S2057" i="3"/>
  <c r="S2404" i="3"/>
  <c r="S458" i="3" a="1"/>
  <c r="U458" i="3"/>
  <c r="AC458" i="3"/>
  <c r="S966" i="3" a="1"/>
  <c r="U966" i="3"/>
  <c r="AC966" i="3"/>
  <c r="S77" i="3"/>
  <c r="S2418" i="3" a="1"/>
  <c r="U2418" i="3"/>
  <c r="AC2418" i="3"/>
  <c r="S2784" i="3" a="1"/>
  <c r="U2784" i="3"/>
  <c r="AC2784" i="3"/>
  <c r="AC2130" i="3"/>
  <c r="U2130" i="3"/>
  <c r="S2130" i="3"/>
  <c r="S2130" i="3" a="1"/>
  <c r="AC2528" i="3"/>
  <c r="U2528" i="3"/>
  <c r="S2528" i="3"/>
  <c r="S2528" i="3" a="1"/>
  <c r="S1512" i="3" a="1"/>
  <c r="U1512" i="3"/>
  <c r="AC1512" i="3"/>
  <c r="AC2122" i="3"/>
  <c r="U2122" i="3"/>
  <c r="S2122" i="3"/>
  <c r="S2122" i="3" a="1"/>
  <c r="AC2537" i="3"/>
  <c r="U2537" i="3"/>
  <c r="S2537" i="3"/>
  <c r="S2537" i="3" a="1"/>
  <c r="AC727" i="3"/>
  <c r="U727" i="3"/>
  <c r="S727" i="3"/>
  <c r="S727" i="3" a="1"/>
  <c r="AC2645" i="3"/>
  <c r="U2645" i="3"/>
  <c r="S211" i="3" a="1"/>
  <c r="U211" i="3"/>
  <c r="AC211" i="3"/>
  <c r="S116" i="3"/>
  <c r="S867" i="3" a="1"/>
  <c r="U867" i="3"/>
  <c r="AC867" i="3"/>
  <c r="S2143" i="3"/>
  <c r="S800" i="3"/>
  <c r="S493" i="3"/>
  <c r="S2388" i="3" a="1"/>
  <c r="U2388" i="3"/>
  <c r="AC2388" i="3"/>
  <c r="AC914" i="3"/>
  <c r="U914" i="3"/>
  <c r="S914" i="3"/>
  <c r="S914" i="3" a="1"/>
  <c r="S2229" i="3"/>
  <c r="S413" i="3"/>
  <c r="N19" i="23"/>
  <c r="L19" i="23"/>
  <c r="AC950" i="3"/>
  <c r="U950" i="3"/>
  <c r="S950" i="3"/>
  <c r="S950" i="3" a="1"/>
  <c r="S2693" i="3" a="1"/>
  <c r="U2693" i="3"/>
  <c r="AC2693" i="3"/>
  <c r="S243" i="3" a="1"/>
  <c r="U243" i="3"/>
  <c r="AC243" i="3"/>
  <c r="S1588" i="3" a="1"/>
  <c r="U1588" i="3"/>
  <c r="AC1588" i="3"/>
  <c r="S1845" i="3" a="1"/>
  <c r="U1845" i="3"/>
  <c r="AC1845" i="3"/>
  <c r="S1714" i="3" a="1"/>
  <c r="U1714" i="3"/>
  <c r="AC1714" i="3"/>
  <c r="S1283" i="3" a="1"/>
  <c r="U1283" i="3"/>
  <c r="AC1283" i="3"/>
  <c r="S1539" i="3" a="1"/>
  <c r="U1539" i="3"/>
  <c r="AC1539" i="3"/>
  <c r="S588" i="3" a="1"/>
  <c r="U588" i="3"/>
  <c r="AC588" i="3"/>
  <c r="S2421" i="3" a="1"/>
  <c r="U2421" i="3"/>
  <c r="AC2421" i="3"/>
  <c r="N90" i="23"/>
  <c r="L90" i="23"/>
  <c r="E174" i="11"/>
  <c r="S174" i="11"/>
  <c r="S1644" i="3" a="1"/>
  <c r="U1644" i="3"/>
  <c r="AC1644" i="3"/>
  <c r="E176" i="11"/>
  <c r="S176" i="11"/>
  <c r="S1032" i="3" a="1"/>
  <c r="U1032" i="3"/>
  <c r="AC1032" i="3"/>
  <c r="S545" i="3" a="1"/>
  <c r="U545" i="3"/>
  <c r="AC545" i="3"/>
  <c r="S2092" i="3" a="1"/>
  <c r="U2092" i="3"/>
  <c r="AC2092" i="3"/>
  <c r="N2645" i="3"/>
  <c r="L2645" i="3"/>
  <c r="S2627" i="3" a="1"/>
  <c r="U2627" i="3"/>
  <c r="AC2627" i="3"/>
  <c r="S2716" i="3" a="1"/>
  <c r="U2716" i="3"/>
  <c r="AC2716" i="3"/>
  <c r="S163" i="3" a="1"/>
  <c r="U163" i="3"/>
  <c r="AC163" i="3"/>
  <c r="R80" i="23"/>
  <c r="S1188" i="3" a="1"/>
  <c r="U1188" i="3"/>
  <c r="AC1188" i="3"/>
  <c r="R63" i="23" a="1"/>
  <c r="T63" i="23"/>
  <c r="S2228" i="3" a="1"/>
  <c r="U2228" i="3"/>
  <c r="AC2228" i="3"/>
  <c r="T90" i="23"/>
  <c r="R90" i="23"/>
  <c r="R90" i="23" a="1"/>
  <c r="S2420" i="3" a="1"/>
  <c r="U2420" i="3"/>
  <c r="AC2420" i="3"/>
  <c r="S1674" i="3" a="1"/>
  <c r="U1674" i="3"/>
  <c r="AC1674" i="3"/>
  <c r="S274" i="3" a="1"/>
  <c r="U274" i="3"/>
  <c r="AC274" i="3"/>
  <c r="S1135" i="3" a="1"/>
  <c r="U1135" i="3"/>
  <c r="AC1135" i="3"/>
  <c r="S1006" i="3" a="1"/>
  <c r="U1006" i="3"/>
  <c r="AC1006" i="3"/>
  <c r="S692" i="3" a="1"/>
  <c r="U692" i="3"/>
  <c r="AC692" i="3"/>
  <c r="S484" i="3" a="1"/>
  <c r="U484" i="3"/>
  <c r="AC484" i="3"/>
  <c r="S770" i="3" a="1"/>
  <c r="U770" i="3"/>
  <c r="AC770" i="3"/>
  <c r="S2060" i="3" a="1"/>
  <c r="U2060" i="3"/>
  <c r="AC2060" i="3"/>
  <c r="S2072" i="3" a="1"/>
  <c r="U2072" i="3"/>
  <c r="AC2072" i="3"/>
  <c r="S673" i="3" a="1"/>
  <c r="U673" i="3"/>
  <c r="AC673" i="3"/>
  <c r="S1270" i="3" a="1"/>
  <c r="U1270" i="3"/>
  <c r="AC1270" i="3"/>
  <c r="S115" i="3" a="1"/>
  <c r="U115" i="3"/>
  <c r="AC115" i="3"/>
  <c r="S2028" i="3" a="1"/>
  <c r="U2028" i="3"/>
  <c r="AC2028" i="3"/>
  <c r="S2415" i="3" a="1"/>
  <c r="U2415" i="3"/>
  <c r="AC2415" i="3"/>
  <c r="S1406" i="3" a="1"/>
  <c r="U1406" i="3"/>
  <c r="AC1406" i="3"/>
  <c r="S1834" i="3" a="1"/>
  <c r="U1834" i="3"/>
  <c r="AC1834" i="3"/>
  <c r="S2684" i="3" a="1"/>
  <c r="U2684" i="3"/>
  <c r="AC2684" i="3"/>
  <c r="S2116" i="3" a="1"/>
  <c r="U2116" i="3"/>
  <c r="AC2116" i="3"/>
  <c r="S2359" i="3" a="1"/>
  <c r="U2359" i="3"/>
  <c r="AC2359" i="3"/>
  <c r="S728" i="3" a="1"/>
  <c r="U728" i="3"/>
  <c r="AC728" i="3"/>
  <c r="S43" i="3" a="1"/>
  <c r="U43" i="3"/>
  <c r="AC43" i="3"/>
  <c r="S99" i="3" a="1"/>
  <c r="U99" i="3"/>
  <c r="AC99" i="3"/>
  <c r="S2449" i="3" a="1"/>
  <c r="U2449" i="3"/>
  <c r="AC2449" i="3"/>
  <c r="S132" i="3" a="1"/>
  <c r="U132" i="3"/>
  <c r="AC132" i="3"/>
  <c r="S1657" i="3" a="1"/>
  <c r="U1657" i="3"/>
  <c r="AC1657" i="3"/>
  <c r="S2152" i="3" a="1"/>
  <c r="U2152" i="3"/>
  <c r="AC2152" i="3"/>
  <c r="S616" i="3" a="1"/>
  <c r="U616" i="3"/>
  <c r="AC616" i="3"/>
  <c r="S1764" i="3" a="1"/>
  <c r="U1764" i="3"/>
  <c r="AC1764" i="3"/>
  <c r="S1676" i="3" a="1"/>
  <c r="U1676" i="3"/>
  <c r="AC1676" i="3"/>
  <c r="N8" i="23"/>
  <c r="L8" i="23"/>
  <c r="S901" i="3" a="1"/>
  <c r="U901" i="3"/>
  <c r="AC901" i="3"/>
  <c r="S1299" i="3" a="1"/>
  <c r="U1299" i="3"/>
  <c r="AC1299" i="3"/>
  <c r="R97" i="23" a="1"/>
  <c r="T97" i="23"/>
  <c r="S137" i="3" a="1"/>
  <c r="U137" i="3"/>
  <c r="AC137" i="3"/>
  <c r="S1425" i="3" a="1"/>
  <c r="U1425" i="3"/>
  <c r="AC1425" i="3"/>
  <c r="S1818" i="3" a="1"/>
  <c r="U1818" i="3"/>
  <c r="AC1818" i="3"/>
  <c r="S2781" i="3" a="1"/>
  <c r="U2781" i="3"/>
  <c r="AC2781" i="3"/>
  <c r="S932" i="3" a="1"/>
  <c r="U932" i="3"/>
  <c r="AC932" i="3"/>
  <c r="S2793" i="3"/>
  <c r="E187" i="11"/>
  <c r="AC2648" i="3"/>
  <c r="U2648" i="3"/>
  <c r="S1660" i="3" a="1"/>
  <c r="U1660" i="3"/>
  <c r="AC1660" i="3"/>
  <c r="S718" i="3" a="1"/>
  <c r="U718" i="3"/>
  <c r="AC718" i="3"/>
  <c r="S2291" i="3"/>
  <c r="AC1925" i="3"/>
  <c r="U1925" i="3"/>
  <c r="S1925" i="3"/>
  <c r="S1925" i="3" a="1"/>
  <c r="S538" i="3"/>
  <c r="N22" i="23"/>
  <c r="L22" i="23"/>
  <c r="AC1113" i="3"/>
  <c r="U1113" i="3"/>
  <c r="S1113" i="3"/>
  <c r="S1113" i="3" a="1"/>
  <c r="S2343" i="3" a="1"/>
  <c r="U2343" i="3"/>
  <c r="AC2343" i="3"/>
  <c r="S349" i="3"/>
  <c r="S1607" i="3"/>
  <c r="S1269" i="3"/>
  <c r="S970" i="3"/>
  <c r="S2198" i="3"/>
  <c r="AC752" i="3"/>
  <c r="U752" i="3"/>
  <c r="S752" i="3"/>
  <c r="S752" i="3" a="1"/>
  <c r="S2467" i="3" a="1"/>
  <c r="U2467" i="3"/>
  <c r="AC2467" i="3"/>
  <c r="S1412" i="3" a="1"/>
  <c r="U1412" i="3"/>
  <c r="AC1412" i="3"/>
  <c r="S1533" i="3" a="1"/>
  <c r="U1533" i="3"/>
  <c r="AC1533" i="3"/>
  <c r="S2248" i="3" a="1"/>
  <c r="U2248" i="3"/>
  <c r="AC2248" i="3"/>
  <c r="S809" i="3" a="1"/>
  <c r="U809" i="3"/>
  <c r="AC809" i="3"/>
  <c r="S2559" i="3"/>
  <c r="S555" i="3" a="1"/>
  <c r="U555" i="3"/>
  <c r="AC555" i="3"/>
  <c r="N111" i="23"/>
  <c r="L111" i="23"/>
  <c r="S1000" i="3"/>
  <c r="R45" i="23"/>
  <c r="T85" i="23"/>
  <c r="R85" i="23"/>
  <c r="R85" i="23" a="1"/>
  <c r="S308" i="3"/>
  <c r="S2403" i="3"/>
  <c r="AC802" i="3"/>
  <c r="U802" i="3"/>
  <c r="S802" i="3"/>
  <c r="S802" i="3" a="1"/>
  <c r="AC2578" i="3"/>
  <c r="U2578" i="3"/>
  <c r="S2578" i="3"/>
  <c r="S2578" i="3" a="1"/>
  <c r="AC1285" i="3"/>
  <c r="U1285" i="3"/>
  <c r="S1285" i="3"/>
  <c r="S1285" i="3" a="1"/>
  <c r="T75" i="23"/>
  <c r="R75" i="23"/>
  <c r="R75" i="23" a="1"/>
  <c r="AC1742" i="3"/>
  <c r="U1742" i="3"/>
  <c r="S1742" i="3"/>
  <c r="S1742" i="3" a="1"/>
  <c r="S187" i="11"/>
  <c r="S194" i="11"/>
  <c r="E194" i="11"/>
  <c r="AC840" i="3"/>
  <c r="U840" i="3"/>
  <c r="S840" i="3"/>
  <c r="S840" i="3" a="1"/>
  <c r="S1702" i="3"/>
  <c r="S2347" i="3"/>
  <c r="AC320" i="3"/>
  <c r="U320" i="3"/>
  <c r="S320" i="3"/>
  <c r="S320" i="3" a="1"/>
  <c r="AC1136" i="3"/>
  <c r="U1136" i="3"/>
  <c r="S1136" i="3"/>
  <c r="S1136" i="3" a="1"/>
  <c r="AC2629" i="3"/>
  <c r="U2629" i="3"/>
  <c r="S1175" i="3" a="1"/>
  <c r="U1175" i="3"/>
  <c r="AC1175" i="3"/>
  <c r="AC2115" i="3"/>
  <c r="U2115" i="3"/>
  <c r="S2115" i="3"/>
  <c r="S2115" i="3" a="1"/>
  <c r="S503" i="3" a="1"/>
  <c r="U503" i="3"/>
  <c r="AC503" i="3"/>
  <c r="AC1849" i="3"/>
  <c r="U1849" i="3"/>
  <c r="S1849" i="3"/>
  <c r="S1849" i="3" a="1"/>
  <c r="S939" i="3"/>
  <c r="S2391" i="3"/>
  <c r="S2057" i="3" a="1"/>
  <c r="U2057" i="3"/>
  <c r="AC2057" i="3"/>
  <c r="AC1065" i="3"/>
  <c r="U1065" i="3"/>
  <c r="S1065" i="3"/>
  <c r="S1065" i="3" a="1"/>
  <c r="AC2064" i="3"/>
  <c r="U2064" i="3"/>
  <c r="S2064" i="3"/>
  <c r="S2064" i="3" a="1"/>
  <c r="S77" i="3" a="1"/>
  <c r="U77" i="3"/>
  <c r="AC77" i="3"/>
  <c r="S294" i="3"/>
  <c r="S2600" i="3"/>
  <c r="S1260" i="3"/>
  <c r="T37" i="23"/>
  <c r="R37" i="23"/>
  <c r="R37" i="23" a="1"/>
  <c r="AC1882" i="3"/>
  <c r="U1882" i="3"/>
  <c r="S1882" i="3"/>
  <c r="S1882" i="3" a="1"/>
  <c r="AC1131" i="3"/>
  <c r="U1131" i="3"/>
  <c r="S1131" i="3"/>
  <c r="S1131" i="3" a="1"/>
  <c r="S116" i="3" a="1"/>
  <c r="U116" i="3"/>
  <c r="AC116" i="3"/>
  <c r="AC710" i="3"/>
  <c r="U710" i="3"/>
  <c r="S710" i="3"/>
  <c r="S710" i="3" a="1"/>
  <c r="T51" i="23"/>
  <c r="R51" i="23"/>
  <c r="R51" i="23" a="1"/>
  <c r="S1050" i="3"/>
  <c r="S800" i="3" a="1"/>
  <c r="U800" i="3"/>
  <c r="AC800" i="3"/>
  <c r="AC2358" i="3"/>
  <c r="U2358" i="3"/>
  <c r="S2358" i="3"/>
  <c r="S2358" i="3" a="1"/>
  <c r="AC577" i="3"/>
  <c r="U577" i="3"/>
  <c r="S577" i="3"/>
  <c r="S577" i="3" a="1"/>
  <c r="S2229" i="3" a="1"/>
  <c r="U2229" i="3"/>
  <c r="AC2229" i="3"/>
  <c r="AC145" i="3"/>
  <c r="U145" i="3"/>
  <c r="S145" i="3"/>
  <c r="S145" i="3" a="1"/>
  <c r="AC1875" i="3"/>
  <c r="U1875" i="3"/>
  <c r="S1875" i="3"/>
  <c r="S1875" i="3" a="1"/>
  <c r="S2150" i="3"/>
  <c r="S2341" i="3"/>
  <c r="AC887" i="3"/>
  <c r="U887" i="3"/>
  <c r="S887" i="3"/>
  <c r="S887" i="3" a="1"/>
  <c r="AC1061" i="3"/>
  <c r="U1061" i="3"/>
  <c r="S1061" i="3"/>
  <c r="S1061" i="3" a="1"/>
  <c r="S1610" i="3" a="1"/>
  <c r="U1610" i="3"/>
  <c r="AC1610" i="3"/>
  <c r="S2291" i="3" a="1"/>
  <c r="U2291" i="3"/>
  <c r="AC2291" i="3"/>
  <c r="T121" i="23"/>
  <c r="R121" i="23"/>
  <c r="R121" i="23" a="1"/>
  <c r="S538" i="3" a="1"/>
  <c r="U538" i="3"/>
  <c r="AC538" i="3"/>
  <c r="S2808" i="3"/>
  <c r="S2313" i="3" a="1"/>
  <c r="U2313" i="3"/>
  <c r="AC2313" i="3"/>
  <c r="S2525" i="3" a="1"/>
  <c r="U2525" i="3"/>
  <c r="AC2525" i="3"/>
  <c r="S349" i="3" a="1"/>
  <c r="U349" i="3"/>
  <c r="AC349" i="3"/>
  <c r="S1607" i="3" a="1"/>
  <c r="U1607" i="3"/>
  <c r="AC1607" i="3"/>
  <c r="S1269" i="3" a="1"/>
  <c r="U1269" i="3"/>
  <c r="AC1269" i="3"/>
  <c r="S970" i="3" a="1"/>
  <c r="U970" i="3"/>
  <c r="AC970" i="3"/>
  <c r="S2198" i="3" a="1"/>
  <c r="U2198" i="3"/>
  <c r="AC2198" i="3"/>
  <c r="S1619" i="3" a="1"/>
  <c r="U1619" i="3"/>
  <c r="AC1619" i="3"/>
  <c r="S1000" i="3" a="1"/>
  <c r="U1000" i="3"/>
  <c r="AC1000" i="3"/>
  <c r="E210" i="11"/>
  <c r="S210" i="11"/>
  <c r="S1197" i="3" a="1"/>
  <c r="U1197" i="3"/>
  <c r="AC1197" i="3"/>
  <c r="S1393" i="3" a="1"/>
  <c r="U1393" i="3"/>
  <c r="AC1393" i="3"/>
  <c r="S2559" i="3" a="1"/>
  <c r="U2559" i="3"/>
  <c r="AC2559" i="3"/>
  <c r="S905" i="3" a="1"/>
  <c r="U905" i="3"/>
  <c r="AC905" i="3"/>
  <c r="S2403" i="3" a="1"/>
  <c r="U2403" i="3"/>
  <c r="AC2403" i="3"/>
  <c r="S308" i="3" a="1"/>
  <c r="U308" i="3"/>
  <c r="AC308" i="3"/>
  <c r="S1838" i="3" a="1"/>
  <c r="U1838" i="3"/>
  <c r="AC1838" i="3"/>
  <c r="S2464" i="3" a="1"/>
  <c r="U2464" i="3"/>
  <c r="AC2464" i="3"/>
  <c r="S1014" i="3" a="1"/>
  <c r="U1014" i="3"/>
  <c r="AC1014" i="3"/>
  <c r="S806" i="3" a="1"/>
  <c r="U806" i="3"/>
  <c r="AC806" i="3"/>
  <c r="S883" i="3" a="1"/>
  <c r="U883" i="3"/>
  <c r="AC883" i="3"/>
  <c r="S1702" i="3" a="1"/>
  <c r="U1702" i="3"/>
  <c r="AC1702" i="3"/>
  <c r="S2347" i="3" a="1"/>
  <c r="U2347" i="3"/>
  <c r="AC2347" i="3"/>
  <c r="S290" i="3" a="1"/>
  <c r="U290" i="3"/>
  <c r="AC290" i="3"/>
  <c r="S874" i="3" a="1"/>
  <c r="U874" i="3"/>
  <c r="AC874" i="3"/>
  <c r="N38" i="23"/>
  <c r="L38" i="23"/>
  <c r="S1616" i="3" a="1"/>
  <c r="U1616" i="3"/>
  <c r="AC1616" i="3"/>
  <c r="S1820" i="3" a="1"/>
  <c r="U1820" i="3"/>
  <c r="AC1820" i="3"/>
  <c r="S1722" i="3" a="1"/>
  <c r="U1722" i="3"/>
  <c r="AC1722" i="3"/>
  <c r="S2105" i="3" a="1"/>
  <c r="U2105" i="3"/>
  <c r="AC2105" i="3"/>
  <c r="S1648" i="3" a="1"/>
  <c r="U1648" i="3"/>
  <c r="AC1648" i="3"/>
  <c r="S1777" i="3" a="1"/>
  <c r="U1777" i="3"/>
  <c r="AC1777" i="3"/>
  <c r="S2404" i="3" a="1"/>
  <c r="U2404" i="3"/>
  <c r="AC2404" i="3"/>
  <c r="S952" i="3" a="1"/>
  <c r="U952" i="3"/>
  <c r="AC952" i="3"/>
  <c r="S982" i="3" a="1"/>
  <c r="U982" i="3"/>
  <c r="AC982" i="3"/>
  <c r="S939" i="3" a="1"/>
  <c r="U939" i="3"/>
  <c r="AC939" i="3"/>
  <c r="S2391" i="3" a="1"/>
  <c r="U2391" i="3"/>
  <c r="AC2391" i="3"/>
  <c r="S294" i="3" a="1"/>
  <c r="U294" i="3"/>
  <c r="AC294" i="3"/>
  <c r="S2600" i="3" a="1"/>
  <c r="U2600" i="3"/>
  <c r="AC2600" i="3"/>
  <c r="S1260" i="3" a="1"/>
  <c r="U1260" i="3"/>
  <c r="AC1260" i="3"/>
  <c r="S2143" i="3" a="1"/>
  <c r="U2143" i="3"/>
  <c r="AC2143" i="3"/>
  <c r="S554" i="3" a="1"/>
  <c r="U554" i="3"/>
  <c r="AC554" i="3"/>
  <c r="S880" i="3" a="1"/>
  <c r="U880" i="3"/>
  <c r="AC880" i="3"/>
  <c r="S2111" i="3" a="1"/>
  <c r="U2111" i="3"/>
  <c r="AC2111" i="3"/>
  <c r="S432" i="3" a="1"/>
  <c r="U432" i="3"/>
  <c r="AC432" i="3"/>
  <c r="S493" i="3" a="1"/>
  <c r="U493" i="3"/>
  <c r="AC493" i="3"/>
  <c r="S413" i="3" a="1"/>
  <c r="U413" i="3"/>
  <c r="AC413" i="3"/>
  <c r="S863" i="3" a="1"/>
  <c r="U863" i="3"/>
  <c r="AC863" i="3"/>
  <c r="S1050" i="3" a="1"/>
  <c r="U1050" i="3"/>
  <c r="AC1050" i="3"/>
  <c r="AC1467" i="3"/>
  <c r="U1467" i="3"/>
  <c r="S1467" i="3"/>
  <c r="S1467" i="3" a="1"/>
  <c r="N48" i="23"/>
  <c r="L48" i="23"/>
  <c r="S2192" i="3"/>
  <c r="S2150" i="3" a="1"/>
  <c r="U2150" i="3"/>
  <c r="AC2150" i="3"/>
  <c r="S2341" i="3" a="1"/>
  <c r="U2341" i="3"/>
  <c r="AC2341" i="3"/>
  <c r="S26" i="3"/>
  <c r="S26" i="3" a="1"/>
  <c r="U26" i="3"/>
  <c r="AC26" i="3"/>
  <c r="AC259" i="3"/>
  <c r="U259" i="3"/>
  <c r="S259" i="3"/>
  <c r="S259" i="3" a="1"/>
  <c r="AC1966" i="3"/>
  <c r="U1966" i="3"/>
  <c r="S1966" i="3"/>
  <c r="S1966" i="3" a="1"/>
  <c r="AC1064" i="3"/>
  <c r="U1064" i="3"/>
  <c r="S1064" i="3"/>
  <c r="S1064" i="3" a="1"/>
  <c r="AC2626" i="3"/>
  <c r="U2626" i="3"/>
  <c r="S2626" i="3"/>
  <c r="S2626" i="3" a="1"/>
  <c r="S979" i="3"/>
  <c r="AC2151" i="3"/>
  <c r="U2151" i="3"/>
  <c r="S2151" i="3"/>
  <c r="S2151" i="3" a="1"/>
  <c r="AC1374" i="3"/>
  <c r="U1374" i="3"/>
  <c r="S1374" i="3"/>
  <c r="S1374" i="3" a="1"/>
  <c r="N71" i="23"/>
  <c r="L71" i="23"/>
  <c r="AC604" i="3"/>
  <c r="U604" i="3"/>
  <c r="S604" i="3"/>
  <c r="S604" i="3" a="1"/>
  <c r="AC2079" i="3"/>
  <c r="U2079" i="3"/>
  <c r="S2079" i="3"/>
  <c r="S2079" i="3" a="1"/>
  <c r="S531" i="3"/>
  <c r="AC2379" i="3"/>
  <c r="U2379" i="3"/>
  <c r="S2379" i="3"/>
  <c r="S2379" i="3" a="1"/>
  <c r="S448" i="3"/>
  <c r="N2647" i="3"/>
  <c r="L2647" i="3"/>
  <c r="AC1481" i="3"/>
  <c r="U1481" i="3"/>
  <c r="S1481" i="3"/>
  <c r="S1481" i="3" a="1"/>
  <c r="S228" i="3"/>
  <c r="AC1244" i="3"/>
  <c r="U1244" i="3"/>
  <c r="S1244" i="3"/>
  <c r="S1244" i="3" a="1"/>
  <c r="AC2452" i="3"/>
  <c r="U2452" i="3"/>
  <c r="S2452" i="3"/>
  <c r="S2452" i="3" a="1"/>
  <c r="AC1998" i="3"/>
  <c r="U1998" i="3"/>
  <c r="S1998" i="3"/>
  <c r="S1998" i="3" a="1"/>
  <c r="S2808" i="3" a="1"/>
  <c r="S190" i="11"/>
  <c r="E190" i="11"/>
  <c r="AC410" i="3"/>
  <c r="U410" i="3"/>
  <c r="S410" i="3"/>
  <c r="S410" i="3" a="1"/>
  <c r="S2706" i="3"/>
  <c r="AC2673" i="3"/>
  <c r="U2673" i="3"/>
  <c r="S2673" i="3"/>
  <c r="S2673" i="3" a="1"/>
  <c r="AC560" i="3"/>
  <c r="U560" i="3"/>
  <c r="S560" i="3"/>
  <c r="S560" i="3" a="1"/>
  <c r="AC1904" i="3"/>
  <c r="U1904" i="3"/>
  <c r="S1904" i="3"/>
  <c r="S1904" i="3" a="1"/>
  <c r="AC2147" i="3"/>
  <c r="U2147" i="3"/>
  <c r="S2147" i="3"/>
  <c r="S2147" i="3" a="1"/>
  <c r="S573" i="3"/>
  <c r="AC2094" i="3"/>
  <c r="U2094" i="3"/>
  <c r="S2094" i="3"/>
  <c r="S2094" i="3" a="1"/>
  <c r="S1176" i="3"/>
  <c r="AC103" i="3"/>
  <c r="U103" i="3"/>
  <c r="S103" i="3"/>
  <c r="S103" i="3" a="1"/>
  <c r="AC1864" i="3"/>
  <c r="U1864" i="3"/>
  <c r="S1864" i="3"/>
  <c r="S1864" i="3" a="1"/>
  <c r="S32" i="3"/>
  <c r="S456" i="3"/>
  <c r="S2824" i="3"/>
  <c r="AC2465" i="3"/>
  <c r="U2465" i="3"/>
  <c r="S2465" i="3"/>
  <c r="S2465" i="3" a="1"/>
  <c r="AC2443" i="3"/>
  <c r="U2443" i="3"/>
  <c r="S2443" i="3"/>
  <c r="S2443" i="3" a="1"/>
  <c r="S571" i="3"/>
  <c r="S2499" i="3"/>
  <c r="S2742" i="3"/>
  <c r="AC283" i="3"/>
  <c r="U283" i="3"/>
  <c r="S283" i="3"/>
  <c r="S283" i="3" a="1"/>
  <c r="AC2104" i="3"/>
  <c r="U2104" i="3"/>
  <c r="S2104" i="3"/>
  <c r="S2104" i="3" a="1"/>
  <c r="AC2446" i="3"/>
  <c r="U2446" i="3"/>
  <c r="S2446" i="3"/>
  <c r="S2446" i="3" a="1"/>
  <c r="AC460" i="3"/>
  <c r="U460" i="3"/>
  <c r="S460" i="3"/>
  <c r="S460" i="3" a="1"/>
  <c r="AC121" i="3"/>
  <c r="U121" i="3"/>
  <c r="S121" i="3"/>
  <c r="S121" i="3" a="1"/>
  <c r="AC101" i="3"/>
  <c r="U101" i="3"/>
  <c r="S101" i="3"/>
  <c r="S101" i="3" a="1"/>
  <c r="S1100" i="3"/>
  <c r="AC198" i="3"/>
  <c r="U198" i="3"/>
  <c r="S198" i="3"/>
  <c r="S198" i="3" a="1"/>
  <c r="AC2768" i="3"/>
  <c r="U2768" i="3"/>
  <c r="S2768" i="3"/>
  <c r="S2768" i="3" a="1"/>
  <c r="S1597" i="3"/>
  <c r="AC823" i="3"/>
  <c r="U823" i="3"/>
  <c r="S823" i="3"/>
  <c r="S823" i="3" a="1"/>
  <c r="S2522" i="3"/>
  <c r="AC1950" i="3"/>
  <c r="U1950" i="3"/>
  <c r="S1950" i="3"/>
  <c r="S1950" i="3" a="1"/>
  <c r="AC110" i="3"/>
  <c r="U110" i="3"/>
  <c r="S1935" i="3"/>
  <c r="AC1800" i="3"/>
  <c r="U1800" i="3"/>
  <c r="S1800" i="3"/>
  <c r="S1800" i="3" a="1"/>
  <c r="S2212" i="3"/>
  <c r="AC2786" i="3"/>
  <c r="U2786" i="3"/>
  <c r="S2786" i="3"/>
  <c r="S2786" i="3" a="1"/>
  <c r="AC1620" i="3"/>
  <c r="U1620" i="3"/>
  <c r="S1620" i="3"/>
  <c r="S1620" i="3" a="1"/>
  <c r="S459" i="3"/>
  <c r="S1205" i="3"/>
  <c r="S1447" i="3"/>
  <c r="S1700" i="3"/>
  <c r="N108" i="23"/>
  <c r="L108" i="23"/>
  <c r="AC315" i="3"/>
  <c r="U315" i="3"/>
  <c r="S315" i="3"/>
  <c r="S315" i="3" a="1"/>
  <c r="S2201" i="3"/>
  <c r="S534" i="3"/>
  <c r="S464" i="3"/>
  <c r="S639" i="3"/>
  <c r="AC2043" i="3"/>
  <c r="U2043" i="3"/>
  <c r="S2043" i="3"/>
  <c r="S2043" i="3" a="1"/>
  <c r="AC326" i="3"/>
  <c r="U326" i="3"/>
  <c r="S326" i="3"/>
  <c r="S326" i="3" a="1"/>
  <c r="AC999" i="3"/>
  <c r="U999" i="3"/>
  <c r="S999" i="3"/>
  <c r="S999" i="3" a="1"/>
  <c r="AC1106" i="3"/>
  <c r="U1106" i="3"/>
  <c r="S1106" i="3"/>
  <c r="S1106" i="3" a="1"/>
  <c r="AC1563" i="3"/>
  <c r="U1563" i="3"/>
  <c r="S1563" i="3"/>
  <c r="S1563" i="3" a="1"/>
  <c r="AC763" i="3"/>
  <c r="U763" i="3"/>
  <c r="S763" i="3"/>
  <c r="S763" i="3" a="1"/>
  <c r="S2015" i="3"/>
  <c r="S2718" i="3"/>
  <c r="S2777" i="3"/>
  <c r="S496" i="3"/>
  <c r="AC620" i="3"/>
  <c r="U620" i="3"/>
  <c r="S620" i="3"/>
  <c r="S620" i="3" a="1"/>
  <c r="AC153" i="3"/>
  <c r="U153" i="3"/>
  <c r="S153" i="3"/>
  <c r="S153" i="3" a="1"/>
  <c r="AC2112" i="3"/>
  <c r="U2112" i="3"/>
  <c r="S2112" i="3"/>
  <c r="S2112" i="3" a="1"/>
  <c r="AC599" i="3"/>
  <c r="U599" i="3"/>
  <c r="S599" i="3"/>
  <c r="S599" i="3" a="1"/>
  <c r="S1246" i="3"/>
  <c r="AC831" i="3"/>
  <c r="U831" i="3"/>
  <c r="S831" i="3"/>
  <c r="S831" i="3" a="1"/>
  <c r="S2157" i="3"/>
  <c r="S2459" i="3"/>
  <c r="AC2181" i="3"/>
  <c r="U2181" i="3"/>
  <c r="S2181" i="3"/>
  <c r="S2181" i="3" a="1"/>
  <c r="S842" i="3"/>
  <c r="S1165" i="3"/>
  <c r="S2579" i="3"/>
  <c r="AC869" i="3"/>
  <c r="U869" i="3"/>
  <c r="S869" i="3"/>
  <c r="S869" i="3" a="1"/>
  <c r="AC1167" i="3"/>
  <c r="U1167" i="3"/>
  <c r="S1167" i="3"/>
  <c r="S1167" i="3" a="1"/>
  <c r="AC1209" i="3"/>
  <c r="U1209" i="3"/>
  <c r="S1209" i="3"/>
  <c r="S1209" i="3" a="1"/>
  <c r="S2477" i="3"/>
  <c r="S2516" i="3"/>
  <c r="S119" i="3"/>
  <c r="AC207" i="3"/>
  <c r="U207" i="3"/>
  <c r="S207" i="3"/>
  <c r="S207" i="3" a="1"/>
  <c r="AC1020" i="3"/>
  <c r="U1020" i="3"/>
  <c r="S1020" i="3"/>
  <c r="S1020" i="3" a="1"/>
  <c r="S1433" i="3"/>
  <c r="AC2655" i="3"/>
  <c r="U2655" i="3"/>
  <c r="S2655" i="3"/>
  <c r="S2655" i="3" a="1"/>
  <c r="T71" i="23"/>
  <c r="R71" i="23"/>
  <c r="R71" i="23" a="1"/>
  <c r="AC2170" i="3"/>
  <c r="U2170" i="3"/>
  <c r="S2170" i="3"/>
  <c r="S2170" i="3" a="1"/>
  <c r="AC152" i="3"/>
  <c r="U152" i="3"/>
  <c r="S152" i="3"/>
  <c r="S152" i="3" a="1"/>
  <c r="AC1653" i="3"/>
  <c r="U1653" i="3"/>
  <c r="S1653" i="3"/>
  <c r="S1653" i="3" a="1"/>
  <c r="T11" i="23"/>
  <c r="R11" i="23"/>
  <c r="R11" i="23" a="1"/>
  <c r="S1352" i="3"/>
  <c r="AC2717" i="3"/>
  <c r="U2717" i="3"/>
  <c r="S2717" i="3"/>
  <c r="S2717" i="3" a="1"/>
  <c r="AC1390" i="3"/>
  <c r="U1390" i="3"/>
  <c r="S1390" i="3"/>
  <c r="S1390" i="3" a="1"/>
  <c r="S590" i="3"/>
  <c r="AC1426" i="3"/>
  <c r="U1426" i="3"/>
  <c r="S1426" i="3"/>
  <c r="S1426" i="3" a="1"/>
  <c r="AC1169" i="3"/>
  <c r="U1169" i="3"/>
  <c r="S1169" i="3"/>
  <c r="S1169" i="3" a="1"/>
  <c r="AC1953" i="3"/>
  <c r="U1953" i="3"/>
  <c r="S1953" i="3"/>
  <c r="S1953" i="3" a="1"/>
  <c r="AC180" i="3"/>
  <c r="U180" i="3"/>
  <c r="S180" i="3"/>
  <c r="S180" i="3" a="1"/>
  <c r="AC983" i="3"/>
  <c r="U983" i="3"/>
  <c r="S983" i="3"/>
  <c r="S983" i="3" a="1"/>
  <c r="S2073" i="3"/>
  <c r="AC1424" i="3"/>
  <c r="U1424" i="3"/>
  <c r="S1424" i="3"/>
  <c r="S1424" i="3" a="1"/>
  <c r="S1535" i="3"/>
  <c r="AC251" i="3"/>
  <c r="U251" i="3"/>
  <c r="S251" i="3"/>
  <c r="S251" i="3" a="1"/>
  <c r="S1081" i="3"/>
  <c r="AC1912" i="3"/>
  <c r="U1912" i="3"/>
  <c r="S1912" i="3"/>
  <c r="S1912" i="3" a="1"/>
  <c r="AC2288" i="3"/>
  <c r="U2288" i="3"/>
  <c r="S2288" i="3"/>
  <c r="S2288" i="3" a="1"/>
  <c r="S2231" i="3"/>
  <c r="AC2408" i="3"/>
  <c r="U2408" i="3"/>
  <c r="S2408" i="3"/>
  <c r="S2408" i="3" a="1"/>
  <c r="S2798" i="3"/>
  <c r="AC1548" i="3"/>
  <c r="U1548" i="3"/>
  <c r="S1548" i="3"/>
  <c r="S1548" i="3" a="1"/>
  <c r="S1009" i="3"/>
  <c r="AC1103" i="3"/>
  <c r="U1103" i="3"/>
  <c r="S1103" i="3"/>
  <c r="S1103" i="3" a="1"/>
  <c r="AC1581" i="3"/>
  <c r="U1581" i="3"/>
  <c r="S1581" i="3"/>
  <c r="S1581" i="3" a="1"/>
  <c r="AC2125" i="3"/>
  <c r="U2125" i="3"/>
  <c r="S2125" i="3"/>
  <c r="S2125" i="3" a="1"/>
  <c r="S1717" i="3"/>
  <c r="S438" i="3"/>
  <c r="AC1238" i="3"/>
  <c r="U1238" i="3"/>
  <c r="S1238" i="3"/>
  <c r="S1238" i="3" a="1"/>
  <c r="E217" i="11"/>
  <c r="S217" i="11"/>
  <c r="U2806" i="3"/>
  <c r="S2806" i="3"/>
  <c r="S2806" i="3" a="1"/>
  <c r="AC832" i="3"/>
  <c r="U832" i="3"/>
  <c r="S832" i="3"/>
  <c r="S832" i="3" a="1"/>
  <c r="AC1684" i="3"/>
  <c r="U1684" i="3"/>
  <c r="S1684" i="3"/>
  <c r="S1684" i="3" a="1"/>
  <c r="AC512" i="3"/>
  <c r="U512" i="3"/>
  <c r="S512" i="3"/>
  <c r="S512" i="3" a="1"/>
  <c r="AC440" i="3"/>
  <c r="U440" i="3"/>
  <c r="S440" i="3"/>
  <c r="S440" i="3" a="1"/>
  <c r="AC233" i="3"/>
  <c r="U233" i="3"/>
  <c r="S233" i="3"/>
  <c r="S233" i="3" a="1"/>
  <c r="AC1996" i="3"/>
  <c r="U1996" i="3"/>
  <c r="S1996" i="3"/>
  <c r="S1996" i="3" a="1"/>
  <c r="S828" i="3"/>
  <c r="S56" i="3"/>
  <c r="AC319" i="3"/>
  <c r="U319" i="3"/>
  <c r="S319" i="3"/>
  <c r="S319" i="3" a="1"/>
  <c r="AC1814" i="3"/>
  <c r="U1814" i="3"/>
  <c r="S1814" i="3"/>
  <c r="S1814" i="3" a="1"/>
  <c r="AC775" i="3"/>
  <c r="U775" i="3"/>
  <c r="S775" i="3"/>
  <c r="S775" i="3" a="1"/>
  <c r="AC159" i="3"/>
  <c r="U159" i="3"/>
  <c r="S159" i="3"/>
  <c r="S159" i="3" a="1"/>
  <c r="S956" i="3"/>
  <c r="AC768" i="3"/>
  <c r="U768" i="3"/>
  <c r="S768" i="3"/>
  <c r="S768" i="3" a="1"/>
  <c r="S1523" i="3"/>
  <c r="S622" i="3"/>
  <c r="AC1497" i="3"/>
  <c r="U1497" i="3"/>
  <c r="S1497" i="3"/>
  <c r="S1497" i="3" a="1"/>
  <c r="S1748" i="3"/>
  <c r="AC60" i="3"/>
  <c r="U60" i="3"/>
  <c r="S60" i="3"/>
  <c r="S60" i="3" a="1"/>
  <c r="AC1043" i="3"/>
  <c r="U1043" i="3"/>
  <c r="S1043" i="3"/>
  <c r="S1043" i="3" a="1"/>
  <c r="AC154" i="3"/>
  <c r="U154" i="3"/>
  <c r="S154" i="3"/>
  <c r="S154" i="3" a="1"/>
  <c r="N54" i="23"/>
  <c r="L54" i="23"/>
  <c r="S2689" i="3"/>
  <c r="AC2738" i="3"/>
  <c r="U2738" i="3"/>
  <c r="S2738" i="3"/>
  <c r="S2738" i="3" a="1"/>
  <c r="AC784" i="3"/>
  <c r="U784" i="3"/>
  <c r="S784" i="3"/>
  <c r="S784" i="3" a="1"/>
  <c r="E201" i="11"/>
  <c r="S201" i="11"/>
  <c r="S2793" i="3" a="1"/>
  <c r="U2793" i="3"/>
  <c r="S78" i="3"/>
  <c r="AC1505" i="3"/>
  <c r="U1505" i="3"/>
  <c r="S1505" i="3"/>
  <c r="S1505" i="3" a="1"/>
  <c r="S979" i="3" a="1"/>
  <c r="U979" i="3"/>
  <c r="AC979" i="3"/>
  <c r="AC2595" i="3"/>
  <c r="U2595" i="3"/>
  <c r="S2595" i="3"/>
  <c r="S2595" i="3" a="1"/>
  <c r="AC755" i="3"/>
  <c r="U755" i="3"/>
  <c r="S755" i="3"/>
  <c r="S755" i="3" a="1"/>
  <c r="AC1486" i="3"/>
  <c r="U1486" i="3"/>
  <c r="S1486" i="3"/>
  <c r="S1486" i="3" a="1"/>
  <c r="AC2711" i="3"/>
  <c r="U2711" i="3"/>
  <c r="S2711" i="3"/>
  <c r="S2711" i="3" a="1"/>
  <c r="AC223" i="3"/>
  <c r="U223" i="3"/>
  <c r="S223" i="3"/>
  <c r="S223" i="3" a="1"/>
  <c r="S1534" i="3"/>
  <c r="S531" i="3" a="1"/>
  <c r="U531" i="3"/>
  <c r="AC531" i="3"/>
  <c r="S448" i="3" a="1"/>
  <c r="U448" i="3"/>
  <c r="AC448" i="3"/>
  <c r="S228" i="3" a="1"/>
  <c r="U228" i="3"/>
  <c r="AC228" i="3"/>
  <c r="AC1190" i="3"/>
  <c r="U1190" i="3"/>
  <c r="S1190" i="3"/>
  <c r="S1190" i="3" a="1"/>
  <c r="AC379" i="3"/>
  <c r="U379" i="3"/>
  <c r="S379" i="3"/>
  <c r="S379" i="3" a="1"/>
  <c r="S427" i="3"/>
  <c r="S365" i="3"/>
  <c r="AC1945" i="3"/>
  <c r="U1945" i="3"/>
  <c r="S1945" i="3"/>
  <c r="S1945" i="3" a="1"/>
  <c r="S2706" i="3" a="1"/>
  <c r="U2706" i="3"/>
  <c r="AC2706" i="3"/>
  <c r="S2392" i="3"/>
  <c r="AC241" i="3"/>
  <c r="U241" i="3"/>
  <c r="S241" i="3"/>
  <c r="S241" i="3" a="1"/>
  <c r="AC942" i="3"/>
  <c r="U942" i="3"/>
  <c r="S942" i="3"/>
  <c r="S942" i="3" a="1"/>
  <c r="AC2182" i="3"/>
  <c r="U2182" i="3"/>
  <c r="S2182" i="3"/>
  <c r="S2182" i="3" a="1"/>
  <c r="S1624" i="3"/>
  <c r="S32" i="3" a="1"/>
  <c r="U32" i="3"/>
  <c r="AC32" i="3"/>
  <c r="S2370" i="3"/>
  <c r="S2419" i="3"/>
  <c r="T5" i="23"/>
  <c r="R5" i="23"/>
  <c r="R5" i="23" a="1"/>
  <c r="S456" i="3" a="1"/>
  <c r="U456" i="3"/>
  <c r="AC456" i="3"/>
  <c r="S2824" i="3" a="1"/>
  <c r="U2824" i="3"/>
  <c r="S229" i="11"/>
  <c r="E229" i="11"/>
  <c r="S562" i="3"/>
  <c r="S571" i="3" a="1"/>
  <c r="U571" i="3"/>
  <c r="AC571" i="3"/>
  <c r="S2101" i="3"/>
  <c r="S2742" i="3" a="1"/>
  <c r="U2742" i="3"/>
  <c r="AC2742" i="3"/>
  <c r="AC931" i="3"/>
  <c r="U931" i="3"/>
  <c r="S931" i="3"/>
  <c r="S931" i="3" a="1"/>
  <c r="AC1268" i="3"/>
  <c r="U1268" i="3"/>
  <c r="S1268" i="3"/>
  <c r="S1268" i="3" a="1"/>
  <c r="AC2149" i="3"/>
  <c r="U2149" i="3"/>
  <c r="S2149" i="3"/>
  <c r="S2149" i="3" a="1"/>
  <c r="S1546" i="3"/>
  <c r="AC507" i="3"/>
  <c r="U507" i="3"/>
  <c r="S507" i="3"/>
  <c r="S507" i="3" a="1"/>
  <c r="S988" i="3"/>
  <c r="AC131" i="3"/>
  <c r="U131" i="3"/>
  <c r="S131" i="3"/>
  <c r="S131" i="3" a="1"/>
  <c r="S1100" i="3" a="1"/>
  <c r="U1100" i="3"/>
  <c r="AC1100" i="3"/>
  <c r="S1597" i="3" a="1"/>
  <c r="U1597" i="3"/>
  <c r="AC1597" i="3"/>
  <c r="S1446" i="3"/>
  <c r="S570" i="3"/>
  <c r="S2522" i="3" a="1"/>
  <c r="U2522" i="3"/>
  <c r="AC2522" i="3"/>
  <c r="AC1034" i="3"/>
  <c r="U1034" i="3"/>
  <c r="S1034" i="3"/>
  <c r="S1034" i="3" a="1"/>
  <c r="S1935" i="3" a="1"/>
  <c r="U1935" i="3"/>
  <c r="AC1935" i="3"/>
  <c r="N31" i="23"/>
  <c r="L31" i="23"/>
  <c r="AC1194" i="3"/>
  <c r="U1194" i="3"/>
  <c r="S1194" i="3"/>
  <c r="S1194" i="3" a="1"/>
  <c r="S2212" i="3" a="1"/>
  <c r="U2212" i="3"/>
  <c r="AC2212" i="3"/>
  <c r="S235" i="3"/>
  <c r="S753" i="3"/>
  <c r="AC1163" i="3"/>
  <c r="U1163" i="3"/>
  <c r="S1163" i="3"/>
  <c r="S1163" i="3" a="1"/>
  <c r="S459" i="3" a="1"/>
  <c r="U459" i="3"/>
  <c r="AC459" i="3"/>
  <c r="S1205" i="3" a="1"/>
  <c r="U1205" i="3"/>
  <c r="AC1205" i="3"/>
  <c r="S1447" i="3" a="1"/>
  <c r="U1447" i="3"/>
  <c r="AC1447" i="3"/>
  <c r="S1700" i="3" a="1"/>
  <c r="U1700" i="3"/>
  <c r="AC1700" i="3"/>
  <c r="S2171" i="3"/>
  <c r="S2024" i="3"/>
  <c r="AC88" i="3"/>
  <c r="U88" i="3"/>
  <c r="S88" i="3"/>
  <c r="S88" i="3" a="1"/>
  <c r="S2201" i="3" a="1"/>
  <c r="U2201" i="3"/>
  <c r="AC2201" i="3"/>
  <c r="T92" i="23"/>
  <c r="R92" i="23"/>
  <c r="R92" i="23" a="1"/>
  <c r="S997" i="3"/>
  <c r="AC381" i="3"/>
  <c r="U381" i="3"/>
  <c r="S381" i="3"/>
  <c r="S381" i="3" a="1"/>
  <c r="AC1765" i="3"/>
  <c r="U1765" i="3"/>
  <c r="S1765" i="3"/>
  <c r="S1765" i="3" a="1"/>
  <c r="AC1397" i="3"/>
  <c r="U1397" i="3"/>
  <c r="S1397" i="3"/>
  <c r="S1397" i="3" a="1"/>
  <c r="AC893" i="3"/>
  <c r="U893" i="3"/>
  <c r="S893" i="3"/>
  <c r="S893" i="3" a="1"/>
  <c r="AC337" i="3"/>
  <c r="U337" i="3"/>
  <c r="S2015" i="3" a="1"/>
  <c r="U2015" i="3"/>
  <c r="AC2015" i="3"/>
  <c r="S2718" i="3" a="1"/>
  <c r="U2718" i="3"/>
  <c r="AC2718" i="3"/>
  <c r="AC630" i="3"/>
  <c r="U630" i="3"/>
  <c r="S630" i="3"/>
  <c r="S630" i="3" a="1"/>
  <c r="AC2000" i="3"/>
  <c r="U2000" i="3"/>
  <c r="S2000" i="3"/>
  <c r="S2000" i="3" a="1"/>
  <c r="S496" i="3" a="1"/>
  <c r="U496" i="3"/>
  <c r="AC496" i="3"/>
  <c r="AC1431" i="3"/>
  <c r="U1431" i="3"/>
  <c r="S1431" i="3"/>
  <c r="S1431" i="3" a="1"/>
  <c r="AC2402" i="3"/>
  <c r="U2402" i="3"/>
  <c r="S2402" i="3"/>
  <c r="S2402" i="3" a="1"/>
  <c r="AC232" i="3"/>
  <c r="U232" i="3"/>
  <c r="S232" i="3"/>
  <c r="S232" i="3" a="1"/>
  <c r="AC2124" i="3"/>
  <c r="U2124" i="3"/>
  <c r="S2124" i="3"/>
  <c r="S2124" i="3" a="1"/>
  <c r="S2157" i="3" a="1"/>
  <c r="U2157" i="3"/>
  <c r="AC2157" i="3"/>
  <c r="S2459" i="3" a="1"/>
  <c r="U2459" i="3"/>
  <c r="AC2459" i="3"/>
  <c r="S842" i="3" a="1"/>
  <c r="U842" i="3"/>
  <c r="AC842" i="3"/>
  <c r="S170" i="3"/>
  <c r="S1165" i="3" a="1"/>
  <c r="U1165" i="3"/>
  <c r="AC1165" i="3"/>
  <c r="S2579" i="3" a="1"/>
  <c r="U2579" i="3"/>
  <c r="AC2579" i="3"/>
  <c r="AC1762" i="3"/>
  <c r="U1762" i="3"/>
  <c r="S1762" i="3"/>
  <c r="S1762" i="3" a="1"/>
  <c r="S2516" i="3" a="1"/>
  <c r="U2516" i="3"/>
  <c r="AC2516" i="3"/>
  <c r="T39" i="23"/>
  <c r="R39" i="23"/>
  <c r="R39" i="23" a="1"/>
  <c r="S1433" i="3" a="1"/>
  <c r="U1433" i="3"/>
  <c r="AC1433" i="3"/>
  <c r="S556" i="3"/>
  <c r="S1318" i="3"/>
  <c r="S875" i="3"/>
  <c r="S1352" i="3" a="1"/>
  <c r="U1352" i="3"/>
  <c r="AC1352" i="3"/>
  <c r="AC2267" i="3"/>
  <c r="U2267" i="3"/>
  <c r="S2267" i="3"/>
  <c r="S2267" i="3" a="1"/>
  <c r="AC617" i="3"/>
  <c r="U617" i="3"/>
  <c r="S617" i="3"/>
  <c r="S617" i="3" a="1"/>
  <c r="AC50" i="3"/>
  <c r="U50" i="3"/>
  <c r="S50" i="3"/>
  <c r="S50" i="3" a="1"/>
  <c r="S590" i="3" a="1"/>
  <c r="U590" i="3"/>
  <c r="AC590" i="3"/>
  <c r="S546" i="3"/>
  <c r="S266" i="3"/>
  <c r="S2073" i="3" a="1"/>
  <c r="U2073" i="3"/>
  <c r="AC2073" i="3"/>
  <c r="S161" i="3"/>
  <c r="S2492" i="3"/>
  <c r="S1011" i="3"/>
  <c r="S2462" i="3"/>
  <c r="S1081" i="3" a="1"/>
  <c r="U1081" i="3"/>
  <c r="AC1081" i="3"/>
  <c r="AC1893" i="3"/>
  <c r="U1893" i="3"/>
  <c r="S1893" i="3"/>
  <c r="S1893" i="3" a="1"/>
  <c r="S2274" i="3"/>
  <c r="S2231" i="3" a="1"/>
  <c r="U2231" i="3"/>
  <c r="AC2231" i="3"/>
  <c r="AC2264" i="3"/>
  <c r="U2264" i="3"/>
  <c r="S2264" i="3"/>
  <c r="S2264" i="3" a="1"/>
  <c r="S333" i="3"/>
  <c r="AC1778" i="3"/>
  <c r="U1778" i="3"/>
  <c r="S1778" i="3"/>
  <c r="S1778" i="3" a="1"/>
  <c r="S1009" i="3" a="1"/>
  <c r="U1009" i="3"/>
  <c r="AC1009" i="3"/>
  <c r="N79" i="23"/>
  <c r="L79" i="23"/>
  <c r="S2018" i="3"/>
  <c r="Q178" i="11"/>
  <c r="P178" i="11"/>
  <c r="AC903" i="3"/>
  <c r="U903" i="3"/>
  <c r="S903" i="3"/>
  <c r="S903" i="3" a="1"/>
  <c r="S438" i="3" a="1"/>
  <c r="U438" i="3"/>
  <c r="AC438" i="3"/>
  <c r="AC2184" i="3"/>
  <c r="U2184" i="3"/>
  <c r="S2184" i="3"/>
  <c r="S2184" i="3" a="1"/>
  <c r="AC978" i="3"/>
  <c r="U978" i="3"/>
  <c r="S978" i="3"/>
  <c r="S978" i="3" a="1"/>
  <c r="AC2339" i="3"/>
  <c r="U2339" i="3"/>
  <c r="S2340" i="3"/>
  <c r="S2340" i="3" a="1"/>
  <c r="AC2469" i="3"/>
  <c r="U2469" i="3"/>
  <c r="S2469" i="3"/>
  <c r="S2469" i="3" a="1"/>
  <c r="S2300" i="3"/>
  <c r="S828" i="3" a="1"/>
  <c r="U828" i="3"/>
  <c r="AC828" i="3"/>
  <c r="S56" i="3" a="1"/>
  <c r="U56" i="3"/>
  <c r="AC56" i="3"/>
  <c r="S2623" i="3"/>
  <c r="AC187" i="3"/>
  <c r="U187" i="3"/>
  <c r="S187" i="3"/>
  <c r="S187" i="3" a="1"/>
  <c r="AC1655" i="3"/>
  <c r="U1655" i="3"/>
  <c r="S1655" i="3"/>
  <c r="S1655" i="3" a="1"/>
  <c r="AC1058" i="3"/>
  <c r="U1058" i="3"/>
  <c r="S1058" i="3"/>
  <c r="S1058" i="3" a="1"/>
  <c r="AC434" i="3"/>
  <c r="U434" i="3"/>
  <c r="S434" i="3"/>
  <c r="S434" i="3" a="1"/>
  <c r="AC1109" i="3"/>
  <c r="U1109" i="3"/>
  <c r="S1109" i="3"/>
  <c r="S1109" i="3" a="1"/>
  <c r="AC1171" i="3"/>
  <c r="U1171" i="3"/>
  <c r="S1171" i="3"/>
  <c r="S1171" i="3" a="1"/>
  <c r="AC1580" i="3"/>
  <c r="U1580" i="3"/>
  <c r="S1580" i="3"/>
  <c r="S1580" i="3" a="1"/>
  <c r="S1640" i="3"/>
  <c r="AC1213" i="3"/>
  <c r="U1213" i="3"/>
  <c r="S1213" i="3"/>
  <c r="S1213" i="3" a="1"/>
  <c r="AC2663" i="3"/>
  <c r="U2663" i="3"/>
  <c r="S2663" i="3"/>
  <c r="S2663" i="3" a="1"/>
  <c r="S1514" i="3"/>
  <c r="AC934" i="3"/>
  <c r="U934" i="3"/>
  <c r="S934" i="3"/>
  <c r="S934" i="3" a="1"/>
  <c r="S78" i="3" a="1"/>
  <c r="U78" i="3"/>
  <c r="AC78" i="3"/>
  <c r="AC1305" i="3"/>
  <c r="U1305" i="3"/>
  <c r="S1305" i="3"/>
  <c r="S1305" i="3" a="1"/>
  <c r="S366" i="3"/>
  <c r="AC1469" i="3"/>
  <c r="U1469" i="3"/>
  <c r="S1469" i="3"/>
  <c r="S1469" i="3" a="1"/>
  <c r="S1881" i="3"/>
  <c r="S2621" i="3"/>
  <c r="E175" i="11"/>
  <c r="S175" i="11"/>
  <c r="AC965" i="3"/>
  <c r="U965" i="3"/>
  <c r="S965" i="3"/>
  <c r="S965" i="3" a="1"/>
  <c r="S2618" i="3"/>
  <c r="AC2303" i="3"/>
  <c r="U2303" i="3"/>
  <c r="S2303" i="3"/>
  <c r="S2303" i="3" a="1"/>
  <c r="AC42" i="3"/>
  <c r="U42" i="3"/>
  <c r="S42" i="3"/>
  <c r="S42" i="3" a="1"/>
  <c r="AC1606" i="3"/>
  <c r="U1606" i="3"/>
  <c r="S1606" i="3"/>
  <c r="S1606" i="3" a="1"/>
  <c r="S427" i="3" a="1"/>
  <c r="U427" i="3"/>
  <c r="AC427" i="3"/>
  <c r="AC618" i="3"/>
  <c r="U618" i="3"/>
  <c r="S618" i="3"/>
  <c r="S618" i="3" a="1"/>
  <c r="S365" i="3" a="1"/>
  <c r="U365" i="3"/>
  <c r="AC365" i="3"/>
  <c r="AC1161" i="3"/>
  <c r="U1161" i="3"/>
  <c r="S1161" i="3"/>
  <c r="S1161" i="3" a="1"/>
  <c r="S2392" i="3" a="1"/>
  <c r="U2392" i="3"/>
  <c r="AC2392" i="3"/>
  <c r="AC899" i="3"/>
  <c r="U899" i="3"/>
  <c r="S899" i="3"/>
  <c r="S899" i="3" a="1"/>
  <c r="AC767" i="3"/>
  <c r="U767" i="3"/>
  <c r="S767" i="3"/>
  <c r="S767" i="3" a="1"/>
  <c r="AC703" i="3"/>
  <c r="U703" i="3"/>
  <c r="S703" i="3"/>
  <c r="S703" i="3" a="1"/>
  <c r="T98" i="23"/>
  <c r="R98" i="23"/>
  <c r="R98" i="23" a="1"/>
  <c r="AC1476" i="3"/>
  <c r="U1476" i="3"/>
  <c r="S1476" i="3"/>
  <c r="S1476" i="3" a="1"/>
  <c r="AC2233" i="3"/>
  <c r="U2233" i="3"/>
  <c r="S2233" i="3"/>
  <c r="S2233" i="3" a="1"/>
  <c r="S369" i="3"/>
  <c r="AC2273" i="3"/>
  <c r="U2273" i="3"/>
  <c r="S2273" i="3"/>
  <c r="S2273" i="3" a="1"/>
  <c r="S2370" i="3" a="1"/>
  <c r="U2370" i="3"/>
  <c r="AC2370" i="3"/>
  <c r="S2419" i="3" a="1"/>
  <c r="U2419" i="3"/>
  <c r="AC2419" i="3"/>
  <c r="AC1924" i="3"/>
  <c r="U1924" i="3"/>
  <c r="S1924" i="3"/>
  <c r="S1924" i="3" a="1"/>
  <c r="S1592" i="3"/>
  <c r="S562" i="3" a="1"/>
  <c r="U562" i="3"/>
  <c r="AC562" i="3"/>
  <c r="S2101" i="3" a="1"/>
  <c r="U2101" i="3"/>
  <c r="AC2101" i="3"/>
  <c r="S1115" i="3"/>
  <c r="S2615" i="3"/>
  <c r="S990" i="3"/>
  <c r="AC2553" i="3"/>
  <c r="U2553" i="3"/>
  <c r="S2553" i="3"/>
  <c r="S2553" i="3" a="1"/>
  <c r="AC279" i="3"/>
  <c r="U279" i="3"/>
  <c r="S279" i="3"/>
  <c r="S279" i="3" a="1"/>
  <c r="AC1783" i="3"/>
  <c r="U1783" i="3"/>
  <c r="S1783" i="3"/>
  <c r="S1783" i="3" a="1"/>
  <c r="AC1092" i="3"/>
  <c r="U1092" i="3"/>
  <c r="S1092" i="3"/>
  <c r="S1092" i="3" a="1"/>
  <c r="S1546" i="3" a="1"/>
  <c r="U1546" i="3"/>
  <c r="AC1546" i="3"/>
  <c r="S988" i="3" a="1"/>
  <c r="U988" i="3"/>
  <c r="AC988" i="3"/>
  <c r="S865" i="3"/>
  <c r="AC1662" i="3"/>
  <c r="U1662" i="3"/>
  <c r="S1662" i="3"/>
  <c r="S1662" i="3" a="1"/>
  <c r="AC104" i="3"/>
  <c r="U104" i="3"/>
  <c r="S104" i="3"/>
  <c r="S104" i="3" a="1"/>
  <c r="AC2306" i="3"/>
  <c r="U2306" i="3"/>
  <c r="S2306" i="3"/>
  <c r="S2306" i="3" a="1"/>
  <c r="AC707" i="3"/>
  <c r="U707" i="3"/>
  <c r="S707" i="3"/>
  <c r="S707" i="3" a="1"/>
  <c r="S815" i="3"/>
  <c r="S1446" i="3" a="1"/>
  <c r="U1446" i="3"/>
  <c r="AC1446" i="3"/>
  <c r="S570" i="3" a="1"/>
  <c r="U570" i="3"/>
  <c r="AC570" i="3"/>
  <c r="AC2258" i="3"/>
  <c r="U2258" i="3"/>
  <c r="S2258" i="3"/>
  <c r="S2258" i="3" a="1"/>
  <c r="S2047" i="3"/>
  <c r="S2756" i="3"/>
  <c r="S428" i="3"/>
  <c r="S231" i="3"/>
  <c r="AC1023" i="3"/>
  <c r="U1023" i="3"/>
  <c r="S1023" i="3"/>
  <c r="S1023" i="3" a="1"/>
  <c r="S235" i="3" a="1"/>
  <c r="U235" i="3"/>
  <c r="AC235" i="3"/>
  <c r="S753" i="3" a="1"/>
  <c r="U753" i="3"/>
  <c r="AC753" i="3"/>
  <c r="S878" i="3"/>
  <c r="S2171" i="3" a="1"/>
  <c r="U2171" i="3"/>
  <c r="AC2171" i="3"/>
  <c r="S2024" i="3" a="1"/>
  <c r="U2024" i="3"/>
  <c r="AC2024" i="3"/>
  <c r="S997" i="3" a="1"/>
  <c r="U997" i="3"/>
  <c r="AC997" i="3"/>
  <c r="AC827" i="3"/>
  <c r="U827" i="3"/>
  <c r="S827" i="3"/>
  <c r="S827" i="3" a="1"/>
  <c r="AC1835" i="3"/>
  <c r="U1835" i="3"/>
  <c r="S1835" i="3"/>
  <c r="S1835" i="3" a="1"/>
  <c r="T26" i="23"/>
  <c r="R26" i="23"/>
  <c r="R26" i="23" a="1"/>
  <c r="AC679" i="3"/>
  <c r="U679" i="3"/>
  <c r="S679" i="3"/>
  <c r="S679" i="3" a="1"/>
  <c r="AC287" i="3"/>
  <c r="U287" i="3"/>
  <c r="S287" i="3"/>
  <c r="S287" i="3" a="1"/>
  <c r="AC1155" i="3"/>
  <c r="U1155" i="3"/>
  <c r="S1155" i="3"/>
  <c r="S1155" i="3" a="1"/>
  <c r="S2411" i="3"/>
  <c r="AC324" i="3"/>
  <c r="U324" i="3"/>
  <c r="S324" i="3"/>
  <c r="S324" i="3" a="1"/>
  <c r="S2551" i="3"/>
  <c r="AC615" i="3"/>
  <c r="U615" i="3"/>
  <c r="S615" i="3"/>
  <c r="S615" i="3" a="1"/>
  <c r="AC1974" i="3"/>
  <c r="U1974" i="3"/>
  <c r="S1974" i="3"/>
  <c r="S1974" i="3" a="1"/>
  <c r="E198" i="11"/>
  <c r="S198" i="11"/>
  <c r="S2813" i="3"/>
  <c r="AC2670" i="3"/>
  <c r="U2670" i="3"/>
  <c r="S2670" i="3"/>
  <c r="S2670" i="3" a="1"/>
  <c r="S730" i="3"/>
  <c r="S170" i="3" a="1"/>
  <c r="U170" i="3"/>
  <c r="AC170" i="3"/>
  <c r="AC1789" i="3"/>
  <c r="U1789" i="3"/>
  <c r="S1789" i="3"/>
  <c r="S1789" i="3" a="1"/>
  <c r="N119" i="23"/>
  <c r="L119" i="23"/>
  <c r="AC1375" i="3"/>
  <c r="U1375" i="3"/>
  <c r="S1375" i="3"/>
  <c r="S1375" i="3" a="1"/>
  <c r="N116" i="23"/>
  <c r="L116" i="23"/>
  <c r="AC645" i="3"/>
  <c r="U645" i="3"/>
  <c r="S645" i="3"/>
  <c r="S645" i="3" a="1"/>
  <c r="AC2594" i="3"/>
  <c r="U2594" i="3"/>
  <c r="S2594" i="3"/>
  <c r="S2594" i="3" a="1"/>
  <c r="AC2160" i="3"/>
  <c r="U2160" i="3"/>
  <c r="S2160" i="3"/>
  <c r="S2160" i="3" a="1"/>
  <c r="AC678" i="3"/>
  <c r="U678" i="3"/>
  <c r="S678" i="3"/>
  <c r="S678" i="3" a="1"/>
  <c r="S928" i="3"/>
  <c r="S40" i="3"/>
  <c r="S556" i="3" a="1"/>
  <c r="U556" i="3"/>
  <c r="AC556" i="3"/>
  <c r="S1318" i="3" a="1"/>
  <c r="U1318" i="3"/>
  <c r="AC1318" i="3"/>
  <c r="S875" i="3" a="1"/>
  <c r="U875" i="3"/>
  <c r="AC875" i="3"/>
  <c r="N10" i="23"/>
  <c r="L10" i="23"/>
  <c r="AC2277" i="3"/>
  <c r="U2277" i="3"/>
  <c r="S2277" i="3"/>
  <c r="S2277" i="3" a="1"/>
  <c r="N34" i="23"/>
  <c r="L34" i="23"/>
  <c r="AC1816" i="3"/>
  <c r="U1816" i="3"/>
  <c r="S1816" i="3"/>
  <c r="S1816" i="3" a="1"/>
  <c r="S546" i="3" a="1"/>
  <c r="U546" i="3"/>
  <c r="AC546" i="3"/>
  <c r="T18" i="23"/>
  <c r="R18" i="23"/>
  <c r="R18" i="23" a="1"/>
  <c r="S161" i="3" a="1"/>
  <c r="U161" i="3"/>
  <c r="AC161" i="3"/>
  <c r="S2492" i="3" a="1"/>
  <c r="U2492" i="3"/>
  <c r="AC2492" i="3"/>
  <c r="S1011" i="3" a="1"/>
  <c r="U1011" i="3"/>
  <c r="AC1011" i="3"/>
  <c r="S2462" i="3" a="1"/>
  <c r="U2462" i="3"/>
  <c r="AC2462" i="3"/>
  <c r="S1039" i="3"/>
  <c r="AC1933" i="3"/>
  <c r="U1933" i="3"/>
  <c r="S1933" i="3"/>
  <c r="S1933" i="3" a="1"/>
  <c r="S913" i="3"/>
  <c r="S2432" i="3"/>
  <c r="S1455" i="3"/>
  <c r="S2274" i="3" a="1"/>
  <c r="U2274" i="3"/>
  <c r="AC2274" i="3"/>
  <c r="S2534" i="3"/>
  <c r="AC1331" i="3"/>
  <c r="U1331" i="3"/>
  <c r="S1331" i="3"/>
  <c r="S1331" i="3" a="1"/>
  <c r="S333" i="3" a="1"/>
  <c r="U333" i="3"/>
  <c r="AC333" i="3"/>
  <c r="S1570" i="3"/>
  <c r="AC1681" i="3"/>
  <c r="U1681" i="3"/>
  <c r="S1681" i="3"/>
  <c r="S1681" i="3" a="1"/>
  <c r="S1709" i="3"/>
  <c r="S1275" i="3"/>
  <c r="S1017" i="3"/>
  <c r="AC435" i="3"/>
  <c r="U435" i="3"/>
  <c r="S435" i="3"/>
  <c r="S435" i="3" a="1"/>
  <c r="S641" i="3"/>
  <c r="S2018" i="3" a="1"/>
  <c r="U2018" i="3"/>
  <c r="AC2018" i="3"/>
  <c r="S581" i="3"/>
  <c r="S2790" i="3"/>
  <c r="AC1503" i="3"/>
  <c r="U1503" i="3"/>
  <c r="S1503" i="3"/>
  <c r="S1503" i="3" a="1"/>
  <c r="S305" i="3"/>
  <c r="AC2065" i="3"/>
  <c r="U2065" i="3"/>
  <c r="S2065" i="3"/>
  <c r="S2065" i="3" a="1"/>
  <c r="N70" i="23"/>
  <c r="L70" i="23"/>
  <c r="S1586" i="3"/>
  <c r="AC1782" i="3"/>
  <c r="U1782" i="3"/>
  <c r="S1782" i="3"/>
  <c r="S1782" i="3" a="1"/>
  <c r="AC1192" i="3"/>
  <c r="U1192" i="3"/>
  <c r="S1192" i="3"/>
  <c r="S1192" i="3" a="1"/>
  <c r="AC2632" i="3"/>
  <c r="U2632" i="3"/>
  <c r="S2632" i="3"/>
  <c r="S2632" i="3" a="1"/>
  <c r="AC898" i="3"/>
  <c r="U898" i="3"/>
  <c r="S898" i="3"/>
  <c r="S898" i="3" a="1"/>
  <c r="S162" i="3"/>
  <c r="S292" i="3"/>
  <c r="AC1993" i="3"/>
  <c r="U1993" i="3"/>
  <c r="S1993" i="3"/>
  <c r="S1993" i="3" a="1"/>
  <c r="S1030" i="3"/>
  <c r="S1699" i="3"/>
  <c r="AC595" i="3"/>
  <c r="U595" i="3"/>
  <c r="S595" i="3"/>
  <c r="S595" i="3" a="1"/>
  <c r="S502" i="3"/>
  <c r="AC747" i="3"/>
  <c r="U747" i="3"/>
  <c r="S747" i="3"/>
  <c r="S747" i="3" a="1"/>
  <c r="S918" i="3"/>
  <c r="S366" i="3" a="1"/>
  <c r="U366" i="3"/>
  <c r="AC366" i="3"/>
  <c r="AC1430" i="3"/>
  <c r="U1430" i="3"/>
  <c r="S1430" i="3"/>
  <c r="S1430" i="3" a="1"/>
  <c r="AC1101" i="3"/>
  <c r="U1101" i="3"/>
  <c r="S1101" i="3"/>
  <c r="S1101" i="3" a="1"/>
  <c r="S1881" i="3" a="1"/>
  <c r="U1881" i="3"/>
  <c r="AC1881" i="3"/>
  <c r="S1499" i="3"/>
  <c r="AC2747" i="3"/>
  <c r="U2747" i="3"/>
  <c r="S2747" i="3"/>
  <c r="S2747" i="3" a="1"/>
  <c r="S2621" i="3" a="1"/>
  <c r="U2621" i="3"/>
  <c r="AC2621" i="3"/>
  <c r="S2252" i="3"/>
  <c r="S2618" i="3" a="1"/>
  <c r="U2618" i="3"/>
  <c r="AC2618" i="3"/>
  <c r="AC1630" i="3"/>
  <c r="U1630" i="3"/>
  <c r="S1630" i="3"/>
  <c r="S1630" i="3" a="1"/>
  <c r="E199" i="11"/>
  <c r="S199" i="11"/>
  <c r="S2619" i="3"/>
  <c r="S343" i="3"/>
  <c r="M17" i="28"/>
  <c r="U2827" i="3"/>
  <c r="S2827" i="3"/>
  <c r="S2827" i="3" a="1"/>
  <c r="AC2331" i="3"/>
  <c r="U2331" i="3"/>
  <c r="S2331" i="3"/>
  <c r="S2331" i="3" a="1"/>
  <c r="E227" i="11"/>
  <c r="S227" i="11"/>
  <c r="U2802" i="3"/>
  <c r="S2802" i="3"/>
  <c r="S2802" i="3" a="1"/>
  <c r="S1398" i="3"/>
  <c r="S1824" i="3"/>
  <c r="AC128" i="3"/>
  <c r="U128" i="3"/>
  <c r="S128" i="3"/>
  <c r="S128" i="3" a="1"/>
  <c r="AC1889" i="3"/>
  <c r="U1889" i="3"/>
  <c r="S1889" i="3"/>
  <c r="S1889" i="3" a="1"/>
  <c r="S431" i="3"/>
  <c r="S1697" i="3"/>
  <c r="S1592" i="3" a="1"/>
  <c r="U1592" i="3"/>
  <c r="AC1592" i="3"/>
  <c r="S1115" i="3" a="1"/>
  <c r="U1115" i="3"/>
  <c r="AC1115" i="3"/>
  <c r="S2615" i="3" a="1"/>
  <c r="U2615" i="3"/>
  <c r="AC2615" i="3"/>
  <c r="S990" i="3" a="1"/>
  <c r="U990" i="3"/>
  <c r="AC990" i="3"/>
  <c r="AC406" i="3"/>
  <c r="U406" i="3"/>
  <c r="S406" i="3"/>
  <c r="S406" i="3" a="1"/>
  <c r="AC1970" i="3"/>
  <c r="U1970" i="3"/>
  <c r="S1970" i="3"/>
  <c r="S1970" i="3" a="1"/>
  <c r="S1878" i="3"/>
  <c r="S1738" i="3"/>
  <c r="S1543" i="3"/>
  <c r="AC968" i="3"/>
  <c r="U968" i="3"/>
  <c r="S968" i="3"/>
  <c r="S968" i="3" a="1"/>
  <c r="S865" i="3" a="1"/>
  <c r="U865" i="3"/>
  <c r="AC865" i="3"/>
  <c r="S1615" i="3"/>
  <c r="CV3" i="7"/>
  <c r="S815" i="3" a="1"/>
  <c r="U815" i="3"/>
  <c r="AC815" i="3"/>
  <c r="S2371" i="3"/>
  <c r="S636" i="3"/>
  <c r="AC2032" i="3"/>
  <c r="U2032" i="3"/>
  <c r="S2032" i="3"/>
  <c r="S2032" i="3" a="1"/>
  <c r="S2756" i="3" a="1"/>
  <c r="U2756" i="3"/>
  <c r="AC2756" i="3"/>
  <c r="S428" i="3" a="1"/>
  <c r="U428" i="3"/>
  <c r="AC428" i="3"/>
  <c r="S231" i="3" a="1"/>
  <c r="U231" i="3"/>
  <c r="AC231" i="3"/>
  <c r="S2759" i="3"/>
  <c r="S2191" i="3"/>
  <c r="S2099" i="3"/>
  <c r="S878" i="3" a="1"/>
  <c r="U878" i="3"/>
  <c r="AC878" i="3"/>
  <c r="S67" i="3"/>
  <c r="AC882" i="3"/>
  <c r="U882" i="3"/>
  <c r="S882" i="3"/>
  <c r="S882" i="3" a="1"/>
  <c r="N29" i="23"/>
  <c r="L29" i="23"/>
  <c r="AC822" i="3"/>
  <c r="U822" i="3"/>
  <c r="S822" i="3"/>
  <c r="S822" i="3" a="1"/>
  <c r="AC449" i="3"/>
  <c r="U449" i="3"/>
  <c r="S449" i="3"/>
  <c r="S449" i="3" a="1"/>
  <c r="AC1417" i="3"/>
  <c r="U1417" i="3"/>
  <c r="S1417" i="3"/>
  <c r="S1417" i="3" a="1"/>
  <c r="AC1267" i="3"/>
  <c r="U1267" i="3"/>
  <c r="S1267" i="3"/>
  <c r="S1267" i="3" a="1"/>
  <c r="S2752" i="3"/>
  <c r="S995" i="3"/>
  <c r="AC2490" i="3"/>
  <c r="U2490" i="3"/>
  <c r="S2490" i="3"/>
  <c r="S2490" i="3" a="1"/>
  <c r="H23" i="8"/>
  <c r="H23" i="8" a="1"/>
  <c r="C12" i="28"/>
  <c r="S2551" i="3" a="1"/>
  <c r="U2551" i="3"/>
  <c r="AC2551" i="3"/>
  <c r="AC2610" i="3"/>
  <c r="U2610" i="3"/>
  <c r="S2610" i="3"/>
  <c r="S2610" i="3" a="1"/>
  <c r="AC498" i="3"/>
  <c r="U498" i="3"/>
  <c r="S498" i="3"/>
  <c r="S498" i="3" a="1"/>
  <c r="S730" i="3" a="1"/>
  <c r="U730" i="3"/>
  <c r="AC730" i="3"/>
  <c r="S1527" i="3"/>
  <c r="S2611" i="3"/>
  <c r="AC2110" i="3"/>
  <c r="U2110" i="3"/>
  <c r="S2110" i="3"/>
  <c r="S2110" i="3" a="1"/>
  <c r="S408" i="3"/>
  <c r="Q181" i="11"/>
  <c r="P181" i="11"/>
  <c r="AC1767" i="3"/>
  <c r="U1767" i="3"/>
  <c r="S1767" i="3"/>
  <c r="S1767" i="3" a="1"/>
  <c r="S928" i="3" a="1"/>
  <c r="U928" i="3"/>
  <c r="AC928" i="3"/>
  <c r="S40" i="3" a="1"/>
  <c r="U40" i="3"/>
  <c r="AC40" i="3"/>
  <c r="AC1737" i="3"/>
  <c r="U1737" i="3"/>
  <c r="S1737" i="3"/>
  <c r="S1737" i="3" a="1"/>
  <c r="T104" i="23"/>
  <c r="R104" i="23"/>
  <c r="R104" i="23" a="1"/>
  <c r="AC2457" i="3"/>
  <c r="U2457" i="3"/>
  <c r="S2457" i="3"/>
  <c r="S2457" i="3" a="1"/>
  <c r="S2287" i="3"/>
  <c r="AC30" i="3"/>
  <c r="U30" i="3"/>
  <c r="S30" i="3"/>
  <c r="S30" i="3" a="1"/>
  <c r="AC2260" i="3"/>
  <c r="U2260" i="3"/>
  <c r="S2260" i="3"/>
  <c r="S2260" i="3" a="1"/>
  <c r="S1411" i="3"/>
  <c r="S1456" i="3"/>
  <c r="S1198" i="3"/>
  <c r="S2504" i="3"/>
  <c r="S506" i="3"/>
  <c r="S79" i="3"/>
  <c r="AC738" i="3"/>
  <c r="U738" i="3"/>
  <c r="S738" i="3"/>
  <c r="S738" i="3" a="1"/>
  <c r="S1037" i="3"/>
  <c r="S1178" i="3"/>
  <c r="S1039" i="3" a="1"/>
  <c r="U1039" i="3"/>
  <c r="AC1039" i="3"/>
  <c r="S2783" i="3"/>
  <c r="AC606" i="3"/>
  <c r="U606" i="3"/>
  <c r="S606" i="3"/>
  <c r="S606" i="3" a="1"/>
  <c r="S913" i="3" a="1"/>
  <c r="U913" i="3"/>
  <c r="AC913" i="3"/>
  <c r="S2432" i="3" a="1"/>
  <c r="U2432" i="3"/>
  <c r="AC2432" i="3"/>
  <c r="S1455" i="3" a="1"/>
  <c r="U1455" i="3"/>
  <c r="AC1455" i="3"/>
  <c r="S2471" i="3"/>
  <c r="S2534" i="3" a="1"/>
  <c r="U2534" i="3"/>
  <c r="AC2534" i="3"/>
  <c r="S1570" i="3" a="1"/>
  <c r="U1570" i="3"/>
  <c r="AC1570" i="3"/>
  <c r="S1709" i="3" a="1"/>
  <c r="U1709" i="3"/>
  <c r="AC1709" i="3"/>
  <c r="S1275" i="3" a="1"/>
  <c r="U1275" i="3"/>
  <c r="AC1275" i="3"/>
  <c r="S1017" i="3" a="1"/>
  <c r="U1017" i="3"/>
  <c r="AC1017" i="3"/>
  <c r="AC2373" i="3"/>
  <c r="U2373" i="3"/>
  <c r="S2373" i="3"/>
  <c r="S2373" i="3" a="1"/>
  <c r="S1746" i="3"/>
  <c r="S641" i="3" a="1"/>
  <c r="U641" i="3"/>
  <c r="AC641" i="3"/>
  <c r="T119" i="23"/>
  <c r="R119" i="23"/>
  <c r="R119" i="23" a="1"/>
  <c r="S581" i="3" a="1"/>
  <c r="U581" i="3"/>
  <c r="AC581" i="3"/>
  <c r="S1643" i="3"/>
  <c r="S433" i="3"/>
  <c r="S305" i="3" a="1"/>
  <c r="U305" i="3"/>
  <c r="AC305" i="3"/>
  <c r="S1251" i="3"/>
  <c r="AC97" i="3"/>
  <c r="U97" i="3"/>
  <c r="S97" i="3"/>
  <c r="S97" i="3" a="1"/>
  <c r="AC1593" i="3"/>
  <c r="U1593" i="3"/>
  <c r="S1593" i="3"/>
  <c r="S1593" i="3" a="1"/>
  <c r="S938" i="3"/>
  <c r="N104" i="23"/>
  <c r="L104" i="23"/>
  <c r="S1586" i="3" a="1"/>
  <c r="U1586" i="3"/>
  <c r="AC1586" i="3"/>
  <c r="S1770" i="3"/>
  <c r="AC569" i="3"/>
  <c r="U569" i="3"/>
  <c r="S569" i="3"/>
  <c r="S569" i="3" a="1"/>
  <c r="AC2624" i="3"/>
  <c r="U2624" i="3"/>
  <c r="S2624" i="3"/>
  <c r="S2624" i="3" a="1"/>
  <c r="S2682" i="3"/>
  <c r="AC1420" i="3"/>
  <c r="U1420" i="3"/>
  <c r="S1420" i="3"/>
  <c r="S1420" i="3" a="1"/>
  <c r="E172" i="11"/>
  <c r="S172" i="11"/>
  <c r="R66" i="23"/>
  <c r="AC1263" i="3"/>
  <c r="U1263" i="3"/>
  <c r="S1263" i="3"/>
  <c r="S1263" i="3" a="1"/>
  <c r="S162" i="3" a="1"/>
  <c r="U162" i="3"/>
  <c r="AC162" i="3"/>
  <c r="AC336" i="3"/>
  <c r="U336" i="3"/>
  <c r="S2242" i="3"/>
  <c r="S2475" i="3"/>
  <c r="AC1747" i="3"/>
  <c r="U1747" i="3"/>
  <c r="S1747" i="3"/>
  <c r="S1747" i="3" a="1"/>
  <c r="AC719" i="3"/>
  <c r="U719" i="3"/>
  <c r="S719" i="3"/>
  <c r="S719" i="3" a="1"/>
  <c r="S1110" i="3"/>
  <c r="N78" i="23"/>
  <c r="L78" i="23"/>
  <c r="S918" i="3" a="1"/>
  <c r="U918" i="3"/>
  <c r="AC918" i="3"/>
  <c r="AC927" i="3"/>
  <c r="U927" i="3"/>
  <c r="S927" i="3"/>
  <c r="S927" i="3" a="1"/>
  <c r="AC143" i="3"/>
  <c r="U143" i="3"/>
  <c r="S143" i="3"/>
  <c r="S143" i="3" a="1"/>
  <c r="AC1073" i="3"/>
  <c r="U1073" i="3"/>
  <c r="S1073" i="3"/>
  <c r="S1073" i="3" a="1"/>
  <c r="AC2322" i="3"/>
  <c r="U2322" i="3"/>
  <c r="S2322" i="3"/>
  <c r="S2322" i="3" a="1"/>
  <c r="S415" i="3"/>
  <c r="AC155" i="3"/>
  <c r="U155" i="3"/>
  <c r="S155" i="3"/>
  <c r="S155" i="3" a="1"/>
  <c r="AC2226" i="3"/>
  <c r="U2226" i="3"/>
  <c r="S2226" i="3"/>
  <c r="S2226" i="3" a="1"/>
  <c r="AC2605" i="3"/>
  <c r="U2605" i="3"/>
  <c r="S2605" i="3"/>
  <c r="S2605" i="3" a="1"/>
  <c r="AC2662" i="3"/>
  <c r="U2662" i="3"/>
  <c r="S2662" i="3"/>
  <c r="S2662" i="3" a="1"/>
  <c r="S1499" i="3" a="1"/>
  <c r="U1499" i="3"/>
  <c r="AC1499" i="3"/>
  <c r="S1786" i="3"/>
  <c r="S1341" i="3"/>
  <c r="S1517" i="3"/>
  <c r="S90" i="3"/>
  <c r="AC1432" i="3"/>
  <c r="U1432" i="3"/>
  <c r="S1432" i="3"/>
  <c r="S1432" i="3" a="1"/>
  <c r="S2252" i="3" a="1"/>
  <c r="U2252" i="3"/>
  <c r="AC2252" i="3"/>
  <c r="AC1243" i="3"/>
  <c r="U1243" i="3"/>
  <c r="S1243" i="3"/>
  <c r="S1243" i="3" a="1"/>
  <c r="S2818" i="3" a="1"/>
  <c r="S192" i="11"/>
  <c r="E192" i="11"/>
  <c r="AC523" i="3"/>
  <c r="U523" i="3"/>
  <c r="S523" i="3"/>
  <c r="S523" i="3" a="1"/>
  <c r="S2619" i="3" a="1"/>
  <c r="U2619" i="3"/>
  <c r="AC2619" i="3"/>
  <c r="S343" i="3" a="1"/>
  <c r="U343" i="3"/>
  <c r="AC343" i="3"/>
  <c r="S2022" i="3"/>
  <c r="N84" i="23"/>
  <c r="L84" i="23"/>
  <c r="AC1572" i="3"/>
  <c r="U1572" i="3"/>
  <c r="S1572" i="3"/>
  <c r="S1572" i="3" a="1"/>
  <c r="AC1369" i="3"/>
  <c r="U1369" i="3"/>
  <c r="S1369" i="3"/>
  <c r="S1369" i="3" a="1"/>
  <c r="AC127" i="3"/>
  <c r="U127" i="3"/>
  <c r="S127" i="3"/>
  <c r="S127" i="3" a="1"/>
  <c r="N51" i="23"/>
  <c r="L51" i="23"/>
  <c r="S1398" i="3" a="1"/>
  <c r="U1398" i="3"/>
  <c r="AC1398" i="3"/>
  <c r="S742" i="3"/>
  <c r="S1824" i="3" a="1"/>
  <c r="U1824" i="3"/>
  <c r="AC1824" i="3"/>
  <c r="AC1558" i="3"/>
  <c r="U1558" i="3"/>
  <c r="S1558" i="3"/>
  <c r="S1558" i="3" a="1"/>
  <c r="S431" i="3" a="1"/>
  <c r="U431" i="3"/>
  <c r="AC431" i="3"/>
  <c r="S166" i="3"/>
  <c r="S1697" i="3" a="1"/>
  <c r="U1697" i="3"/>
  <c r="AC1697" i="3"/>
  <c r="S492" i="3"/>
  <c r="T20" i="23"/>
  <c r="R20" i="23"/>
  <c r="R20" i="23" a="1"/>
  <c r="N42" i="23"/>
  <c r="L42" i="23"/>
  <c r="S2308" i="3"/>
  <c r="S1959" i="3"/>
  <c r="AC1934" i="3"/>
  <c r="U1934" i="3"/>
  <c r="S1934" i="3"/>
  <c r="S1934" i="3" a="1"/>
  <c r="AC1348" i="3"/>
  <c r="U1348" i="3"/>
  <c r="S1348" i="3"/>
  <c r="S1348" i="3" a="1"/>
  <c r="S1878" i="3" a="1"/>
  <c r="U1878" i="3"/>
  <c r="AC1878" i="3"/>
  <c r="S1738" i="3" a="1"/>
  <c r="U1738" i="3"/>
  <c r="AC1738" i="3"/>
  <c r="S1543" i="3" a="1"/>
  <c r="U1543" i="3"/>
  <c r="AC1543" i="3"/>
  <c r="S522" i="3"/>
  <c r="U2809" i="3"/>
  <c r="S2809" i="3"/>
  <c r="S2809" i="3" a="1"/>
  <c r="AC1468" i="3"/>
  <c r="U1468" i="3"/>
  <c r="S1468" i="3"/>
  <c r="S1468" i="3" a="1"/>
  <c r="S191" i="11"/>
  <c r="E191" i="11"/>
  <c r="S2371" i="3" a="1"/>
  <c r="U2371" i="3"/>
  <c r="AC2371" i="3"/>
  <c r="S2295" i="3"/>
  <c r="N81" i="23"/>
  <c r="L81" i="23"/>
  <c r="AC383" i="3"/>
  <c r="U383" i="3"/>
  <c r="S383" i="3"/>
  <c r="S383" i="3" a="1"/>
  <c r="S1916" i="3"/>
  <c r="S2409" i="3"/>
  <c r="AC364" i="3"/>
  <c r="U364" i="3"/>
  <c r="S364" i="3"/>
  <c r="S364" i="3" a="1"/>
  <c r="S1235" i="3"/>
  <c r="S636" i="3" a="1"/>
  <c r="U636" i="3"/>
  <c r="AC636" i="3"/>
  <c r="AC2363" i="3"/>
  <c r="U2363" i="3"/>
  <c r="S2363" i="3"/>
  <c r="S2363" i="3" a="1"/>
  <c r="T15" i="23"/>
  <c r="R15" i="23"/>
  <c r="R15" i="23" a="1"/>
  <c r="S868" i="3"/>
  <c r="N74" i="23"/>
  <c r="L74" i="23"/>
  <c r="S2191" i="3" a="1"/>
  <c r="U2191" i="3"/>
  <c r="AC2191" i="3"/>
  <c r="S2099" i="3" a="1"/>
  <c r="U2099" i="3"/>
  <c r="AC2099" i="3"/>
  <c r="N9" i="23"/>
  <c r="L9" i="23"/>
  <c r="S1077" i="3"/>
  <c r="S1309" i="3"/>
  <c r="S1257" i="3"/>
  <c r="U2822" i="3"/>
  <c r="S2822" i="3"/>
  <c r="S2822" i="3" a="1"/>
  <c r="S67" i="3" a="1"/>
  <c r="U67" i="3"/>
  <c r="AC67" i="3"/>
  <c r="S801" i="3"/>
  <c r="S113" i="3"/>
  <c r="S299" i="3"/>
  <c r="E9" i="1"/>
  <c r="E9" i="1" a="1"/>
  <c r="H9" i="1"/>
  <c r="H9" i="1" a="1"/>
  <c r="AC501" i="3"/>
  <c r="U501" i="3"/>
  <c r="S501" i="3"/>
  <c r="S501" i="3" a="1"/>
  <c r="AC1788" i="3"/>
  <c r="U1788" i="3"/>
  <c r="S1788" i="3"/>
  <c r="S1788" i="3" a="1"/>
  <c r="AC2652" i="3"/>
  <c r="U2652" i="3"/>
  <c r="S2652" i="3"/>
  <c r="S2652" i="3" a="1"/>
  <c r="T21" i="23"/>
  <c r="R21" i="23"/>
  <c r="R21" i="23" a="1"/>
  <c r="AC2412" i="3"/>
  <c r="U2412" i="3"/>
  <c r="S2412" i="3"/>
  <c r="S2412" i="3" a="1"/>
  <c r="S2752" i="3" a="1"/>
  <c r="U2752" i="3"/>
  <c r="AC2752" i="3"/>
  <c r="S995" i="3" a="1"/>
  <c r="U995" i="3"/>
  <c r="AC995" i="3"/>
  <c r="AC892" i="3"/>
  <c r="U892" i="3"/>
  <c r="S892" i="3"/>
  <c r="S892" i="3" a="1"/>
  <c r="AC2736" i="3"/>
  <c r="U2736" i="3"/>
  <c r="S2736" i="3"/>
  <c r="S2736" i="3" a="1"/>
  <c r="AC1510" i="3"/>
  <c r="U1510" i="3"/>
  <c r="S1510" i="3"/>
  <c r="S1510" i="3" a="1"/>
  <c r="AC1094" i="3"/>
  <c r="U1094" i="3"/>
  <c r="S1094" i="3"/>
  <c r="S1094" i="3" a="1"/>
  <c r="AC1961" i="3"/>
  <c r="U1961" i="3"/>
  <c r="S1961" i="3"/>
  <c r="S1961" i="3" a="1"/>
  <c r="S1527" i="3" a="1"/>
  <c r="U1527" i="3"/>
  <c r="AC1527" i="3"/>
  <c r="S2013" i="3"/>
  <c r="S2119" i="3"/>
  <c r="S2611" i="3" a="1"/>
  <c r="U2611" i="3"/>
  <c r="AC2611" i="3"/>
  <c r="S436" i="3"/>
  <c r="S985" i="3"/>
  <c r="S2120" i="3"/>
  <c r="S1909" i="3"/>
  <c r="S2133" i="3"/>
  <c r="AC117" i="3"/>
  <c r="U117" i="3"/>
  <c r="S117" i="3"/>
  <c r="S117" i="3" a="1"/>
  <c r="AC2310" i="3"/>
  <c r="U2310" i="3"/>
  <c r="S2310" i="3"/>
  <c r="S2310" i="3" a="1"/>
  <c r="S2750" i="3"/>
  <c r="S1019" i="3"/>
  <c r="AC1376" i="3"/>
  <c r="U1376" i="3"/>
  <c r="S1376" i="3"/>
  <c r="S1376" i="3" a="1"/>
  <c r="AC709" i="3"/>
  <c r="U709" i="3"/>
  <c r="S709" i="3"/>
  <c r="S709" i="3" a="1"/>
  <c r="S1411" i="3" a="1"/>
  <c r="U1411" i="3"/>
  <c r="AC1411" i="3"/>
  <c r="S1456" i="3" a="1"/>
  <c r="U1456" i="3"/>
  <c r="AC1456" i="3"/>
  <c r="S1198" i="3" a="1"/>
  <c r="U1198" i="3"/>
  <c r="AC1198" i="3"/>
  <c r="S2504" i="3" a="1"/>
  <c r="U2504" i="3"/>
  <c r="AC2504" i="3"/>
  <c r="S2441" i="3"/>
  <c r="S494" i="3"/>
  <c r="S506" i="3" a="1"/>
  <c r="U506" i="3"/>
  <c r="AC506" i="3"/>
  <c r="S79" i="3" a="1"/>
  <c r="U79" i="3"/>
  <c r="AC79" i="3"/>
  <c r="S1037" i="3" a="1"/>
  <c r="U1037" i="3"/>
  <c r="AC1037" i="3"/>
  <c r="S1178" i="3" a="1"/>
  <c r="U1178" i="3"/>
  <c r="AC1178" i="3"/>
  <c r="AC70" i="3"/>
  <c r="U70" i="3"/>
  <c r="S70" i="3"/>
  <c r="S70" i="3" a="1"/>
  <c r="AC1494" i="3"/>
  <c r="U1494" i="3"/>
  <c r="S1494" i="3"/>
  <c r="S1494" i="3" a="1"/>
  <c r="S74" i="3"/>
  <c r="AC2442" i="3"/>
  <c r="U2442" i="3"/>
  <c r="S2442" i="3"/>
  <c r="S2442" i="3" a="1"/>
  <c r="S2674" i="3"/>
  <c r="AC1452" i="3"/>
  <c r="U1452" i="3"/>
  <c r="S1452" i="3"/>
  <c r="S1452" i="3" a="1"/>
  <c r="AC2413" i="3"/>
  <c r="U2413" i="3"/>
  <c r="S2413" i="3"/>
  <c r="S2413" i="3" a="1"/>
  <c r="S821" i="3"/>
  <c r="S1272" i="3"/>
  <c r="S1746" i="3" a="1"/>
  <c r="U1746" i="3"/>
  <c r="AC1746" i="3"/>
  <c r="S671" i="3"/>
  <c r="S2164" i="3"/>
  <c r="S186" i="3"/>
  <c r="S1643" i="3" a="1"/>
  <c r="U1643" i="3"/>
  <c r="AC1643" i="3"/>
  <c r="S2790" i="3" a="1"/>
  <c r="U2790" i="3"/>
  <c r="S221" i="11"/>
  <c r="E221" i="11"/>
  <c r="AC1038" i="3"/>
  <c r="U1038" i="3"/>
  <c r="S1038" i="3"/>
  <c r="S1038" i="3" a="1"/>
  <c r="S433" i="3" a="1"/>
  <c r="U433" i="3"/>
  <c r="AC433" i="3"/>
  <c r="AC2046" i="3"/>
  <c r="U2046" i="3"/>
  <c r="S2046" i="3"/>
  <c r="S2046" i="3" a="1"/>
  <c r="S169" i="3"/>
  <c r="AC976" i="3"/>
  <c r="U976" i="3"/>
  <c r="S976" i="3"/>
  <c r="S976" i="3" a="1"/>
  <c r="S1251" i="3" a="1"/>
  <c r="U1251" i="3"/>
  <c r="AC1251" i="3"/>
  <c r="S2390" i="3"/>
  <c r="S938" i="3" a="1"/>
  <c r="U938" i="3"/>
  <c r="AC938" i="3"/>
  <c r="S1770" i="3" a="1"/>
  <c r="U1770" i="3"/>
  <c r="AC1770" i="3"/>
  <c r="S909" i="3"/>
  <c r="S1218" i="3"/>
  <c r="AC1646" i="3"/>
  <c r="U1646" i="3"/>
  <c r="S1646" i="3"/>
  <c r="S1646" i="3" a="1"/>
  <c r="AC686" i="3"/>
  <c r="U686" i="3"/>
  <c r="S686" i="3"/>
  <c r="S686" i="3" a="1"/>
  <c r="AC2234" i="3"/>
  <c r="U2234" i="3"/>
  <c r="S2234" i="3"/>
  <c r="S2234" i="3" a="1"/>
  <c r="S890" i="3"/>
  <c r="AC360" i="3"/>
  <c r="U360" i="3"/>
  <c r="S360" i="3"/>
  <c r="S360" i="3" a="1"/>
  <c r="R66" i="23" a="1"/>
  <c r="T66" i="23"/>
  <c r="AC2098" i="3"/>
  <c r="U2098" i="3"/>
  <c r="S2098" i="3"/>
  <c r="S2098" i="3" a="1"/>
  <c r="AC1112" i="3"/>
  <c r="U1112" i="3"/>
  <c r="S1112" i="3"/>
  <c r="S1112" i="3" a="1"/>
  <c r="AC1846" i="3"/>
  <c r="U1846" i="3"/>
  <c r="S1846" i="3"/>
  <c r="S1846" i="3" a="1"/>
  <c r="AC191" i="3"/>
  <c r="U191" i="3"/>
  <c r="S191" i="3"/>
  <c r="S191" i="3" a="1"/>
  <c r="AC1743" i="3"/>
  <c r="U1743" i="3"/>
  <c r="S1743" i="3"/>
  <c r="S1743" i="3" a="1"/>
  <c r="AC1333" i="3"/>
  <c r="U1333" i="3"/>
  <c r="S1333" i="3"/>
  <c r="S1333" i="3" a="1"/>
  <c r="N58" i="23"/>
  <c r="L58" i="23"/>
  <c r="AC1128" i="3"/>
  <c r="U1128" i="3"/>
  <c r="S1128" i="3"/>
  <c r="S1128" i="3" a="1"/>
  <c r="AC62" i="3"/>
  <c r="U62" i="3"/>
  <c r="S62" i="3"/>
  <c r="S62" i="3" a="1"/>
  <c r="AC1721" i="3"/>
  <c r="U1721" i="3"/>
  <c r="S1721" i="3"/>
  <c r="S1721" i="3" a="1"/>
  <c r="AC981" i="3"/>
  <c r="U981" i="3"/>
  <c r="S981" i="3"/>
  <c r="S981" i="3" a="1"/>
  <c r="S1786" i="3" a="1"/>
  <c r="U1786" i="3"/>
  <c r="AC1786" i="3"/>
  <c r="S1341" i="3" a="1"/>
  <c r="U1341" i="3"/>
  <c r="AC1341" i="3"/>
  <c r="S1517" i="3" a="1"/>
  <c r="U1517" i="3"/>
  <c r="AC1517" i="3"/>
  <c r="AC2380" i="3"/>
  <c r="U2380" i="3"/>
  <c r="S2380" i="3"/>
  <c r="S2380" i="3" a="1"/>
  <c r="S90" i="3" a="1"/>
  <c r="U90" i="3"/>
  <c r="AC90" i="3"/>
  <c r="AC2731" i="3"/>
  <c r="U2731" i="3"/>
  <c r="S2731" i="3"/>
  <c r="S2731" i="3" a="1"/>
  <c r="AC1290" i="3"/>
  <c r="U1290" i="3"/>
  <c r="S1290" i="3"/>
  <c r="S1290" i="3" a="1"/>
  <c r="S783" i="3"/>
  <c r="N12" i="23"/>
  <c r="L12" i="23"/>
  <c r="S689" i="3"/>
  <c r="AC1862" i="3"/>
  <c r="U1862" i="3"/>
  <c r="S1862" i="3"/>
  <c r="S1862" i="3" a="1"/>
  <c r="S1201" i="3"/>
  <c r="AC1920" i="3"/>
  <c r="U1920" i="3"/>
  <c r="S1920" i="3"/>
  <c r="S1920" i="3" a="1"/>
  <c r="S1010" i="3"/>
  <c r="S2084" i="3"/>
  <c r="S2022" i="3" a="1"/>
  <c r="U2022" i="3"/>
  <c r="AC2022" i="3"/>
  <c r="AC2666" i="3"/>
  <c r="U2666" i="3"/>
  <c r="S2666" i="3"/>
  <c r="S2666" i="3" a="1"/>
  <c r="AC1365" i="3"/>
  <c r="U1365" i="3"/>
  <c r="S1365" i="3"/>
  <c r="S1365" i="3" a="1"/>
  <c r="AC2378" i="3"/>
  <c r="U2378" i="3"/>
  <c r="S2378" i="3"/>
  <c r="S2378" i="3" a="1"/>
  <c r="AC1775" i="3"/>
  <c r="U1775" i="3"/>
  <c r="S1775" i="3"/>
  <c r="S1775" i="3" a="1"/>
  <c r="S2215" i="3"/>
  <c r="S742" i="3" a="1"/>
  <c r="U742" i="3"/>
  <c r="AC742" i="3"/>
  <c r="S804" i="3"/>
  <c r="AC866" i="3"/>
  <c r="U866" i="3"/>
  <c r="S866" i="3"/>
  <c r="S866" i="3" a="1"/>
  <c r="S642" i="3"/>
  <c r="S166" i="3" a="1"/>
  <c r="U166" i="3"/>
  <c r="AC166" i="3"/>
  <c r="S492" i="3" a="1"/>
  <c r="U492" i="3"/>
  <c r="AC492" i="3"/>
  <c r="S2223" i="3"/>
  <c r="AC2456" i="3"/>
  <c r="U2456" i="3"/>
  <c r="S2456" i="3"/>
  <c r="S2456" i="3" a="1"/>
  <c r="AC2577" i="3"/>
  <c r="U2577" i="3"/>
  <c r="S2577" i="3"/>
  <c r="S2577" i="3" a="1"/>
  <c r="S1635" i="3"/>
  <c r="S2308" i="3" a="1"/>
  <c r="U2308" i="3"/>
  <c r="AC2308" i="3"/>
  <c r="S1959" i="3" a="1"/>
  <c r="U1959" i="3"/>
  <c r="AC1959" i="3"/>
  <c r="S646" i="3"/>
  <c r="S2526" i="3"/>
  <c r="AC37" i="3"/>
  <c r="U37" i="3"/>
  <c r="S37" i="3"/>
  <c r="S37" i="3" a="1"/>
  <c r="T72" i="23"/>
  <c r="R72" i="23"/>
  <c r="R72" i="23" a="1"/>
  <c r="AC1897" i="3"/>
  <c r="U1897" i="3"/>
  <c r="S1897" i="3"/>
  <c r="S1897" i="3" a="1"/>
  <c r="S1387" i="3"/>
  <c r="S522" i="3" a="1"/>
  <c r="U522" i="3"/>
  <c r="AC522" i="3"/>
  <c r="AC1710" i="3"/>
  <c r="U1710" i="3"/>
  <c r="S1710" i="3"/>
  <c r="S1710" i="3" a="1"/>
  <c r="AC961" i="3"/>
  <c r="U961" i="3"/>
  <c r="S961" i="3"/>
  <c r="S961" i="3" a="1"/>
  <c r="AC559" i="3"/>
  <c r="U559" i="3"/>
  <c r="S559" i="3"/>
  <c r="S559" i="3" a="1"/>
  <c r="S2295" i="3" a="1"/>
  <c r="U2295" i="3"/>
  <c r="AC2295" i="3"/>
  <c r="S1649" i="3"/>
  <c r="S1916" i="3" a="1"/>
  <c r="U1916" i="3"/>
  <c r="AC1916" i="3"/>
  <c r="S2409" i="3" a="1"/>
  <c r="U2409" i="3"/>
  <c r="AC2409" i="3"/>
  <c r="AC2656" i="3"/>
  <c r="U2656" i="3"/>
  <c r="S2656" i="3"/>
  <c r="S2656" i="3" a="1"/>
  <c r="S1235" i="3" a="1"/>
  <c r="U1235" i="3"/>
  <c r="AC1235" i="3"/>
  <c r="S2251" i="3"/>
  <c r="T56" i="23"/>
  <c r="R56" i="23"/>
  <c r="R56" i="23" a="1"/>
  <c r="AC1683" i="3"/>
  <c r="U1683" i="3"/>
  <c r="S1683" i="3"/>
  <c r="S1683" i="3" a="1"/>
  <c r="AC2265" i="3"/>
  <c r="U2265" i="3"/>
  <c r="S2265" i="3"/>
  <c r="S2265" i="3" a="1"/>
  <c r="S373" i="3"/>
  <c r="S576" i="3"/>
  <c r="S1077" i="3" a="1"/>
  <c r="U1077" i="3"/>
  <c r="AC1077" i="3"/>
  <c r="S1309" i="3" a="1"/>
  <c r="U1309" i="3"/>
  <c r="AC1309" i="3"/>
  <c r="S1257" i="3" a="1"/>
  <c r="U1257" i="3"/>
  <c r="AC1257" i="3"/>
  <c r="S1182" i="3"/>
  <c r="S1729" i="3"/>
  <c r="AC1489" i="3"/>
  <c r="U1489" i="3"/>
  <c r="S1489" i="3"/>
  <c r="S1489" i="3" a="1"/>
  <c r="S801" i="3" a="1"/>
  <c r="U801" i="3"/>
  <c r="AC801" i="3"/>
  <c r="S113" i="3" a="1"/>
  <c r="U113" i="3"/>
  <c r="AC113" i="3"/>
  <c r="S299" i="3" a="1"/>
  <c r="U299" i="3"/>
  <c r="AC299" i="3"/>
  <c r="S1664" i="3"/>
  <c r="AC2678" i="3"/>
  <c r="U2678" i="3"/>
  <c r="S2678" i="3"/>
  <c r="S2678" i="3" a="1"/>
  <c r="AC1320" i="3"/>
  <c r="U1320" i="3"/>
  <c r="S1320" i="3"/>
  <c r="S1320" i="3" a="1"/>
  <c r="AC499" i="3"/>
  <c r="U499" i="3"/>
  <c r="S499" i="3"/>
  <c r="S499" i="3" a="1"/>
  <c r="AC574" i="3"/>
  <c r="U574" i="3"/>
  <c r="S574" i="3"/>
  <c r="S574" i="3" a="1"/>
  <c r="AC2284" i="3"/>
  <c r="U2284" i="3"/>
  <c r="S2284" i="3"/>
  <c r="S2284" i="3" a="1"/>
  <c r="R64" i="23"/>
  <c r="S239" i="3"/>
  <c r="AC779" i="3"/>
  <c r="U779" i="3"/>
  <c r="S779" i="3"/>
  <c r="S779" i="3" a="1"/>
  <c r="S2263" i="3"/>
  <c r="S2013" i="3" a="1"/>
  <c r="U2013" i="3"/>
  <c r="AC2013" i="3"/>
  <c r="S2119" i="3" a="1"/>
  <c r="U2119" i="3"/>
  <c r="AC2119" i="3"/>
  <c r="S436" i="3" a="1"/>
  <c r="U436" i="3"/>
  <c r="AC436" i="3"/>
  <c r="S985" i="3" a="1"/>
  <c r="U985" i="3"/>
  <c r="AC985" i="3"/>
  <c r="S2120" i="3" a="1"/>
  <c r="U2120" i="3"/>
  <c r="AC2120" i="3"/>
  <c r="S1909" i="3" a="1"/>
  <c r="U1909" i="3"/>
  <c r="AC1909" i="3"/>
  <c r="AC2276" i="3"/>
  <c r="U2276" i="3"/>
  <c r="S2276" i="3"/>
  <c r="S2276" i="3" a="1"/>
  <c r="AC2540" i="3"/>
  <c r="U2540" i="3"/>
  <c r="S2540" i="3"/>
  <c r="S2540" i="3" a="1"/>
  <c r="S1869" i="3"/>
  <c r="S2133" i="3" a="1"/>
  <c r="U2133" i="3"/>
  <c r="AC2133" i="3"/>
  <c r="S2805" i="3"/>
  <c r="AC756" i="3"/>
  <c r="U756" i="3"/>
  <c r="S756" i="3"/>
  <c r="S756" i="3" a="1"/>
  <c r="S2414" i="3"/>
  <c r="AC896" i="3"/>
  <c r="U896" i="3"/>
  <c r="S896" i="3"/>
  <c r="S896" i="3" a="1"/>
  <c r="S1223" i="3"/>
  <c r="S2431" i="3"/>
  <c r="T4" i="23"/>
  <c r="R4" i="23"/>
  <c r="R4" i="23" a="1"/>
  <c r="AC1661" i="3"/>
  <c r="U1661" i="3"/>
  <c r="S1661" i="3"/>
  <c r="S1661" i="3" a="1"/>
  <c r="S567" i="3"/>
  <c r="S2750" i="3" a="1"/>
  <c r="U2750" i="3"/>
  <c r="AC2750" i="3"/>
  <c r="S1019" i="3" a="1"/>
  <c r="U1019" i="3"/>
  <c r="AC1019" i="3"/>
  <c r="S2328" i="3"/>
  <c r="S494" i="3" a="1"/>
  <c r="U494" i="3"/>
  <c r="AC494" i="3"/>
  <c r="S2086" i="3"/>
  <c r="S583" i="3"/>
  <c r="S2538" i="3"/>
  <c r="S311" i="3"/>
  <c r="AC2524" i="3"/>
  <c r="U2524" i="3"/>
  <c r="S2524" i="3"/>
  <c r="S2524" i="3" a="1"/>
  <c r="S74" i="3" a="1"/>
  <c r="U74" i="3"/>
  <c r="AC74" i="3"/>
  <c r="S2674" i="3" a="1"/>
  <c r="U2674" i="3"/>
  <c r="AC2674" i="3"/>
  <c r="S2239" i="3"/>
  <c r="S257" i="3"/>
  <c r="AC1704" i="3"/>
  <c r="U1704" i="3"/>
  <c r="S1704" i="3"/>
  <c r="S1704" i="3" a="1"/>
  <c r="N45" i="23"/>
  <c r="L45" i="23"/>
  <c r="S821" i="3" a="1"/>
  <c r="U821" i="3"/>
  <c r="AC821" i="3"/>
  <c r="S1272" i="3" a="1"/>
  <c r="U1272" i="3"/>
  <c r="AC1272" i="3"/>
  <c r="AC585" i="3"/>
  <c r="U585" i="3"/>
  <c r="S585" i="3"/>
  <c r="S585" i="3" a="1"/>
  <c r="S671" i="3" a="1"/>
  <c r="U671" i="3"/>
  <c r="AC671" i="3"/>
  <c r="AC2424" i="3"/>
  <c r="U2424" i="3"/>
  <c r="S2424" i="3"/>
  <c r="S2424" i="3" a="1"/>
  <c r="S186" i="3" a="1"/>
  <c r="U186" i="3"/>
  <c r="AC186" i="3"/>
  <c r="S1711" i="3"/>
  <c r="S1001" i="3"/>
  <c r="S1892" i="3"/>
  <c r="S810" i="3"/>
  <c r="S688" i="3"/>
  <c r="AC2204" i="3"/>
  <c r="U2204" i="3"/>
  <c r="S2204" i="3"/>
  <c r="S2204" i="3" a="1"/>
  <c r="AC304" i="3"/>
  <c r="U304" i="3"/>
  <c r="S304" i="3"/>
  <c r="S304" i="3" a="1"/>
  <c r="S677" i="3"/>
  <c r="S2599" i="3"/>
  <c r="S462" i="3"/>
  <c r="S909" i="3" a="1"/>
  <c r="U909" i="3"/>
  <c r="AC909" i="3"/>
  <c r="S1218" i="3" a="1"/>
  <c r="U1218" i="3"/>
  <c r="AC1218" i="3"/>
  <c r="S814" i="3"/>
  <c r="E183" i="11"/>
  <c r="S183" i="11"/>
  <c r="S2691" i="3"/>
  <c r="AC1148" i="3"/>
  <c r="U1148" i="3"/>
  <c r="S1148" i="3"/>
  <c r="S1148" i="3" a="1"/>
  <c r="AC12" i="3"/>
  <c r="U12" i="3"/>
  <c r="AC65" i="3"/>
  <c r="U65" i="3"/>
  <c r="S65" i="3"/>
  <c r="S65" i="3" a="1"/>
  <c r="AC1498" i="3"/>
  <c r="U1498" i="3"/>
  <c r="S1498" i="3"/>
  <c r="S1498" i="3" a="1"/>
  <c r="S2118" i="3"/>
  <c r="S1143" i="3"/>
  <c r="AC1594" i="3"/>
  <c r="U1594" i="3"/>
  <c r="S1594" i="3"/>
  <c r="S1594" i="3" a="1"/>
  <c r="AC638" i="3"/>
  <c r="U638" i="3"/>
  <c r="S638" i="3"/>
  <c r="S638" i="3" a="1"/>
  <c r="AC861" i="3"/>
  <c r="U861" i="3"/>
  <c r="S861" i="3"/>
  <c r="S861" i="3" a="1"/>
  <c r="AC2386" i="3"/>
  <c r="U2386" i="3"/>
  <c r="S2386" i="3"/>
  <c r="S2386" i="3" a="1"/>
  <c r="AC933" i="3"/>
  <c r="U933" i="3"/>
  <c r="S933" i="3"/>
  <c r="S933" i="3" a="1"/>
  <c r="S1812" i="3"/>
  <c r="S425" i="3"/>
  <c r="S783" i="3" a="1"/>
  <c r="U783" i="3"/>
  <c r="AC783" i="3"/>
  <c r="AC2087" i="3"/>
  <c r="U2087" i="3"/>
  <c r="S2087" i="3"/>
  <c r="S2087" i="3" a="1"/>
  <c r="AC706" i="3"/>
  <c r="U706" i="3"/>
  <c r="S706" i="3"/>
  <c r="S706" i="3" a="1"/>
  <c r="S1010" i="3" a="1"/>
  <c r="U1010" i="3"/>
  <c r="AC1010" i="3"/>
  <c r="S1656" i="3"/>
  <c r="AC654" i="3"/>
  <c r="U654" i="3"/>
  <c r="S654" i="3"/>
  <c r="S654" i="3" a="1"/>
  <c r="AC2010" i="3"/>
  <c r="U2010" i="3"/>
  <c r="S2010" i="3"/>
  <c r="S2010" i="3" a="1"/>
  <c r="S2215" i="3" a="1"/>
  <c r="U2215" i="3"/>
  <c r="AC2215" i="3"/>
  <c r="AC1854" i="3"/>
  <c r="U1854" i="3"/>
  <c r="S1854" i="3"/>
  <c r="S1854" i="3" a="1"/>
  <c r="S804" i="3" a="1"/>
  <c r="U804" i="3"/>
  <c r="AC804" i="3"/>
  <c r="N7" i="23"/>
  <c r="L7" i="23"/>
  <c r="AC2604" i="3"/>
  <c r="U2604" i="3"/>
  <c r="S2604" i="3"/>
  <c r="S2604" i="3" a="1"/>
  <c r="S520" i="3"/>
  <c r="S2223" i="3" a="1"/>
  <c r="U2223" i="3"/>
  <c r="AC2223" i="3"/>
  <c r="S1635" i="3" a="1"/>
  <c r="U1635" i="3"/>
  <c r="AC1635" i="3"/>
  <c r="S646" i="3" a="1"/>
  <c r="U646" i="3"/>
  <c r="AC646" i="3"/>
  <c r="S2384" i="3"/>
  <c r="S7" i="3"/>
  <c r="AC817" i="3"/>
  <c r="U817" i="3"/>
  <c r="S817" i="3"/>
  <c r="S817" i="3" a="1"/>
  <c r="S773" i="3"/>
  <c r="AC1140" i="3"/>
  <c r="U1140" i="3"/>
  <c r="S1140" i="3"/>
  <c r="S1140" i="3" a="1"/>
  <c r="AC1843" i="3"/>
  <c r="U1843" i="3"/>
  <c r="S1843" i="3"/>
  <c r="S1843" i="3" a="1"/>
  <c r="S2606" i="3"/>
  <c r="S1751" i="3"/>
  <c r="S1649" i="3" a="1"/>
  <c r="U1649" i="3"/>
  <c r="AC1649" i="3"/>
  <c r="S561" i="3"/>
  <c r="S705" i="3"/>
  <c r="S2251" i="3" a="1"/>
  <c r="U2251" i="3"/>
  <c r="AC2251" i="3"/>
  <c r="S205" i="3"/>
  <c r="AC2562" i="3"/>
  <c r="U2562" i="3"/>
  <c r="S2562" i="3"/>
  <c r="S2562" i="3" a="1"/>
  <c r="S1224" i="3"/>
  <c r="AC429" i="3"/>
  <c r="U429" i="3"/>
  <c r="S429" i="3"/>
  <c r="S429" i="3" a="1"/>
  <c r="AC1500" i="3"/>
  <c r="U1500" i="3"/>
  <c r="S1500" i="3"/>
  <c r="S1500" i="3" a="1"/>
  <c r="S373" i="3" a="1"/>
  <c r="U373" i="3"/>
  <c r="AC373" i="3"/>
  <c r="S576" i="3" a="1"/>
  <c r="U576" i="3"/>
  <c r="AC576" i="3"/>
  <c r="S603" i="3"/>
  <c r="S1339" i="3"/>
  <c r="S1182" i="3" a="1"/>
  <c r="U1182" i="3"/>
  <c r="AC1182" i="3"/>
  <c r="S1729" i="3" a="1"/>
  <c r="U1729" i="3"/>
  <c r="AC1729" i="3"/>
  <c r="T116" i="23"/>
  <c r="R116" i="23"/>
  <c r="R116" i="23" a="1"/>
  <c r="S1437" i="3"/>
  <c r="S1664" i="3" a="1"/>
  <c r="U1664" i="3"/>
  <c r="AC1664" i="3"/>
  <c r="AC3" i="3"/>
  <c r="U3" i="3"/>
  <c r="S3" i="3"/>
  <c r="S3" i="3" a="1"/>
  <c r="L234" i="3"/>
  <c r="N234" i="3"/>
  <c r="AC723" i="3"/>
  <c r="U723" i="3"/>
  <c r="S723" i="3"/>
  <c r="S723" i="3" a="1"/>
  <c r="T117" i="23"/>
  <c r="R117" i="23"/>
  <c r="R117" i="23" a="1"/>
  <c r="AC836" i="3"/>
  <c r="U836" i="3"/>
  <c r="S836" i="3"/>
  <c r="S836" i="3" a="1"/>
  <c r="AC2167" i="3"/>
  <c r="U2167" i="3"/>
  <c r="S2167" i="3"/>
  <c r="S2167" i="3" a="1"/>
  <c r="AC1509" i="3"/>
  <c r="U1509" i="3"/>
  <c r="S1509" i="3"/>
  <c r="S1509" i="3" a="1"/>
  <c r="AC14" i="3"/>
  <c r="U14" i="3"/>
  <c r="S14" i="3"/>
  <c r="S14" i="3" a="1"/>
  <c r="S2301" i="3"/>
  <c r="S1917" i="3"/>
  <c r="S2762" i="3"/>
  <c r="S239" i="3" a="1"/>
  <c r="U239" i="3"/>
  <c r="AC239" i="3"/>
  <c r="S2263" i="3" a="1"/>
  <c r="U2263" i="3"/>
  <c r="AC2263" i="3"/>
  <c r="AC2580" i="3"/>
  <c r="U2580" i="3"/>
  <c r="S2580" i="3"/>
  <c r="S2580" i="3" a="1"/>
  <c r="AC696" i="3"/>
  <c r="U696" i="3"/>
  <c r="S696" i="3"/>
  <c r="S696" i="3" a="1"/>
  <c r="AC2638" i="3"/>
  <c r="U2638" i="3"/>
  <c r="R93" i="23"/>
  <c r="AC483" i="3"/>
  <c r="U483" i="3"/>
  <c r="S483" i="3"/>
  <c r="S483" i="3" a="1"/>
  <c r="S598" i="3"/>
  <c r="AC1487" i="3"/>
  <c r="U1487" i="3"/>
  <c r="S1487" i="3"/>
  <c r="S1487" i="3" a="1"/>
  <c r="S1869" i="3" a="1"/>
  <c r="U1869" i="3"/>
  <c r="AC1869" i="3"/>
  <c r="AC1806" i="3"/>
  <c r="U1806" i="3"/>
  <c r="S1806" i="3"/>
  <c r="S1806" i="3" a="1"/>
  <c r="S1357" i="3"/>
  <c r="S1223" i="3" a="1"/>
  <c r="U1223" i="3"/>
  <c r="AC1223" i="3"/>
  <c r="S2431" i="3" a="1"/>
  <c r="U2431" i="3"/>
  <c r="AC2431" i="3"/>
  <c r="S567" i="3" a="1"/>
  <c r="U567" i="3"/>
  <c r="AC567" i="3"/>
  <c r="AC725" i="3"/>
  <c r="U725" i="3"/>
  <c r="S725" i="3"/>
  <c r="S725" i="3" a="1"/>
  <c r="AC1569" i="3"/>
  <c r="U1569" i="3"/>
  <c r="S1569" i="3"/>
  <c r="S1569" i="3" a="1"/>
  <c r="AC75" i="3"/>
  <c r="U75" i="3"/>
  <c r="S75" i="3"/>
  <c r="S75" i="3" a="1"/>
  <c r="R113" i="23"/>
  <c r="S2328" i="3" a="1"/>
  <c r="U2328" i="3"/>
  <c r="AC2328" i="3"/>
  <c r="S17" i="3"/>
  <c r="AC584" i="3"/>
  <c r="U584" i="3"/>
  <c r="S584" i="3"/>
  <c r="S584" i="3" a="1"/>
  <c r="S2086" i="3" a="1"/>
  <c r="U2086" i="3"/>
  <c r="AC2086" i="3"/>
  <c r="AC888" i="3"/>
  <c r="U888" i="3"/>
  <c r="S888" i="3"/>
  <c r="S888" i="3" a="1"/>
  <c r="S583" i="3" a="1"/>
  <c r="U583" i="3"/>
  <c r="AC583" i="3"/>
  <c r="S2538" i="3" a="1"/>
  <c r="U2538" i="3"/>
  <c r="AC2538" i="3"/>
  <c r="T77" i="23"/>
  <c r="R77" i="23"/>
  <c r="R77" i="23" a="1"/>
  <c r="AC1007" i="3"/>
  <c r="U1007" i="3"/>
  <c r="S1007" i="3"/>
  <c r="S1007" i="3" a="1"/>
  <c r="AC95" i="3"/>
  <c r="U95" i="3"/>
  <c r="S95" i="3"/>
  <c r="S95" i="3" a="1"/>
  <c r="S1780" i="3"/>
  <c r="S2483" i="3"/>
  <c r="S2239" i="3" a="1"/>
  <c r="U2239" i="3"/>
  <c r="AC2239" i="3"/>
  <c r="S1828" i="3"/>
  <c r="S257" i="3" a="1"/>
  <c r="U257" i="3"/>
  <c r="AC257" i="3"/>
  <c r="S889" i="3"/>
  <c r="S2369" i="3"/>
  <c r="T43" i="23"/>
  <c r="R43" i="23"/>
  <c r="R43" i="23" a="1"/>
  <c r="AC1755" i="3"/>
  <c r="U1755" i="3"/>
  <c r="S1755" i="3"/>
  <c r="S1755" i="3" a="1"/>
  <c r="S1941" i="3"/>
  <c r="T87" i="23"/>
  <c r="R87" i="23"/>
  <c r="R87" i="23" a="1"/>
  <c r="AC1488" i="3"/>
  <c r="U1488" i="3"/>
  <c r="S1488" i="3"/>
  <c r="S1488" i="3" a="1"/>
  <c r="S1041" i="3"/>
  <c r="S1711" i="3" a="1"/>
  <c r="U1711" i="3"/>
  <c r="AC1711" i="3"/>
  <c r="S1001" i="3" a="1"/>
  <c r="U1001" i="3"/>
  <c r="AC1001" i="3"/>
  <c r="S2723" i="3"/>
  <c r="AC658" i="3"/>
  <c r="U658" i="3"/>
  <c r="S658" i="3"/>
  <c r="S658" i="3" a="1"/>
  <c r="S2139" i="3"/>
  <c r="S677" i="3" a="1"/>
  <c r="U677" i="3"/>
  <c r="AC677" i="3"/>
  <c r="AC2544" i="3"/>
  <c r="U2544" i="3"/>
  <c r="S2544" i="3"/>
  <c r="S2544" i="3" a="1"/>
  <c r="AC1813" i="3"/>
  <c r="U1813" i="3"/>
  <c r="S1813" i="3"/>
  <c r="S1813" i="3" a="1"/>
  <c r="AC2023" i="3"/>
  <c r="U2023" i="3"/>
  <c r="S2023" i="3"/>
  <c r="S2023" i="3" a="1"/>
  <c r="S210" i="3"/>
  <c r="S462" i="3" a="1"/>
  <c r="U462" i="3"/>
  <c r="AC462" i="3"/>
  <c r="S765" i="3"/>
  <c r="S1844" i="3"/>
  <c r="S894" i="3"/>
  <c r="AC1371" i="3"/>
  <c r="U1371" i="3"/>
  <c r="S1371" i="3"/>
  <c r="S1371" i="3" a="1"/>
  <c r="AC660" i="3"/>
  <c r="U660" i="3"/>
  <c r="S660" i="3"/>
  <c r="S660" i="3" a="1"/>
  <c r="AC627" i="3"/>
  <c r="U627" i="3"/>
  <c r="S627" i="3"/>
  <c r="S627" i="3" a="1"/>
  <c r="AC2187" i="3"/>
  <c r="U2187" i="3"/>
  <c r="S2187" i="3"/>
  <c r="S2187" i="3" a="1"/>
  <c r="AC2487" i="3"/>
  <c r="U2487" i="3"/>
  <c r="S2487" i="3"/>
  <c r="S2487" i="3" a="1"/>
  <c r="AC2299" i="3"/>
  <c r="U2299" i="3"/>
  <c r="S2299" i="3"/>
  <c r="S2299" i="3" a="1"/>
  <c r="T22" i="23"/>
  <c r="R22" i="23"/>
  <c r="R22" i="23" a="1"/>
  <c r="S762" i="3"/>
  <c r="AC1279" i="3"/>
  <c r="U1279" i="3"/>
  <c r="S1279" i="3"/>
  <c r="S1279" i="3" a="1"/>
  <c r="S415" i="3" a="1"/>
  <c r="U415" i="3"/>
  <c r="AC415" i="3"/>
  <c r="S1896" i="3" a="1"/>
  <c r="U1896" i="3"/>
  <c r="AC1896" i="3"/>
  <c r="S2192" i="3" a="1"/>
  <c r="U2192" i="3"/>
  <c r="AC2192" i="3"/>
  <c r="S1534" i="3" a="1"/>
  <c r="U1534" i="3"/>
  <c r="AC1534" i="3"/>
  <c r="S2713" i="3" a="1"/>
  <c r="V2721" i="3"/>
  <c r="N86" i="23"/>
  <c r="L86" i="23"/>
  <c r="T76" i="23"/>
  <c r="R76" i="23"/>
  <c r="R76" i="23" a="1"/>
  <c r="S689" i="3" a="1"/>
  <c r="U689" i="3"/>
  <c r="AC689" i="3"/>
  <c r="S1201" i="3" a="1"/>
  <c r="U1201" i="3"/>
  <c r="AC1201" i="3"/>
  <c r="S1812" i="3" a="1"/>
  <c r="U1812" i="3"/>
  <c r="AC1812" i="3"/>
  <c r="S425" i="3" a="1"/>
  <c r="U425" i="3"/>
  <c r="AC425" i="3"/>
  <c r="S2084" i="3" a="1"/>
  <c r="U2084" i="3"/>
  <c r="AC2084" i="3"/>
  <c r="S2759" i="3" a="1"/>
  <c r="U2759" i="3"/>
  <c r="AC2759" i="3"/>
  <c r="S573" i="3" a="1"/>
  <c r="U573" i="3"/>
  <c r="AC573" i="3"/>
  <c r="S868" i="3" a="1"/>
  <c r="U868" i="3"/>
  <c r="AC868" i="3"/>
  <c r="S1656" i="3" a="1"/>
  <c r="U1656" i="3"/>
  <c r="AC1656" i="3"/>
  <c r="S1624" i="3" a="1"/>
  <c r="U1624" i="3"/>
  <c r="AC1624" i="3"/>
  <c r="S1176" i="3" a="1"/>
  <c r="U1176" i="3"/>
  <c r="AC1176" i="3"/>
  <c r="S369" i="3" a="1"/>
  <c r="U369" i="3"/>
  <c r="AC369" i="3"/>
  <c r="S642" i="3" a="1"/>
  <c r="U642" i="3"/>
  <c r="AC642" i="3"/>
  <c r="R55" i="23"/>
  <c r="S1387" i="3" a="1"/>
  <c r="U1387" i="3"/>
  <c r="AC1387" i="3"/>
  <c r="S520" i="3" a="1"/>
  <c r="U520" i="3"/>
  <c r="AC520" i="3"/>
  <c r="S2526" i="3" a="1"/>
  <c r="U2526" i="3"/>
  <c r="AC2526" i="3"/>
  <c r="S2384" i="3" a="1"/>
  <c r="U2384" i="3"/>
  <c r="AC2384" i="3"/>
  <c r="S7" i="3" a="1"/>
  <c r="U7" i="3"/>
  <c r="AC7" i="3"/>
  <c r="S2499" i="3" a="1"/>
  <c r="U2499" i="3"/>
  <c r="AC2499" i="3"/>
  <c r="S773" i="3" a="1"/>
  <c r="U773" i="3"/>
  <c r="AC773" i="3"/>
  <c r="S1615" i="3" a="1"/>
  <c r="U1615" i="3"/>
  <c r="AC1615" i="3"/>
  <c r="S2606" i="3" a="1"/>
  <c r="U2606" i="3"/>
  <c r="AC2606" i="3"/>
  <c r="S2047" i="3" a="1"/>
  <c r="U2047" i="3"/>
  <c r="AC2047" i="3"/>
  <c r="U2807" i="3"/>
  <c r="S2807" i="3"/>
  <c r="S2807" i="3" a="1"/>
  <c r="S205" i="3" a="1"/>
  <c r="U205" i="3"/>
  <c r="AC205" i="3"/>
  <c r="S1751" i="3" a="1"/>
  <c r="U1751" i="3"/>
  <c r="AC1751" i="3"/>
  <c r="S561" i="3" a="1"/>
  <c r="U561" i="3"/>
  <c r="AC561" i="3"/>
  <c r="N115" i="23"/>
  <c r="L115" i="23"/>
  <c r="S705" i="3" a="1"/>
  <c r="U705" i="3"/>
  <c r="AC705" i="3"/>
  <c r="S2441" i="3" a="1"/>
  <c r="U2441" i="3"/>
  <c r="AC2441" i="3"/>
  <c r="T120" i="23"/>
  <c r="R120" i="23"/>
  <c r="R120" i="23" a="1"/>
  <c r="S1224" i="3" a="1"/>
  <c r="U1224" i="3"/>
  <c r="AC1224" i="3"/>
  <c r="S603" i="3" a="1"/>
  <c r="U603" i="3"/>
  <c r="AC603" i="3"/>
  <c r="S1339" i="3" a="1"/>
  <c r="U1339" i="3"/>
  <c r="AC1339" i="3"/>
  <c r="S1437" i="3" a="1"/>
  <c r="U1437" i="3"/>
  <c r="AC1437" i="3"/>
  <c r="S2411" i="3" a="1"/>
  <c r="U2411" i="3"/>
  <c r="AC2411" i="3"/>
  <c r="S534" i="3" a="1"/>
  <c r="U534" i="3"/>
  <c r="AC534" i="3"/>
  <c r="S464" i="3" a="1"/>
  <c r="U464" i="3"/>
  <c r="AC464" i="3"/>
  <c r="S2471" i="3" a="1"/>
  <c r="U2471" i="3"/>
  <c r="AC2471" i="3"/>
  <c r="S639" i="3" a="1"/>
  <c r="U639" i="3"/>
  <c r="AC639" i="3"/>
  <c r="N43" i="23"/>
  <c r="L43" i="23"/>
  <c r="S2390" i="3" a="1"/>
  <c r="U2390" i="3"/>
  <c r="AC2390" i="3"/>
  <c r="S2777" i="3" a="1"/>
  <c r="U2777" i="3"/>
  <c r="AC2777" i="3"/>
  <c r="S2301" i="3" a="1"/>
  <c r="U2301" i="3"/>
  <c r="AC2301" i="3"/>
  <c r="S1917" i="3" a="1"/>
  <c r="U1917" i="3"/>
  <c r="AC1917" i="3"/>
  <c r="S2762" i="3" a="1"/>
  <c r="U2762" i="3"/>
  <c r="AC2762" i="3"/>
  <c r="S408" i="3" a="1"/>
  <c r="U408" i="3"/>
  <c r="AC408" i="3"/>
  <c r="S1246" i="3" a="1"/>
  <c r="U1246" i="3"/>
  <c r="AC1246" i="3"/>
  <c r="S2414" i="3" a="1"/>
  <c r="U2414" i="3"/>
  <c r="AC2414" i="3"/>
  <c r="T68" i="23"/>
  <c r="R68" i="23"/>
  <c r="R68" i="23" a="1"/>
  <c r="S598" i="3" a="1"/>
  <c r="U598" i="3"/>
  <c r="AC598" i="3"/>
  <c r="S2287" i="3" a="1"/>
  <c r="U2287" i="3"/>
  <c r="AC2287" i="3"/>
  <c r="S2477" i="3" a="1"/>
  <c r="U2477" i="3"/>
  <c r="AC2477" i="3"/>
  <c r="S119" i="3" a="1"/>
  <c r="U119" i="3"/>
  <c r="AC119" i="3"/>
  <c r="S2805" i="3" a="1"/>
  <c r="U2805" i="3"/>
  <c r="S224" i="11"/>
  <c r="E224" i="11"/>
  <c r="S1357" i="3" a="1"/>
  <c r="U1357" i="3"/>
  <c r="AC1357" i="3"/>
  <c r="S266" i="3" a="1"/>
  <c r="U266" i="3"/>
  <c r="AC266" i="3"/>
  <c r="S2783" i="3" a="1"/>
  <c r="U2783" i="3"/>
  <c r="AC2783" i="3"/>
  <c r="S311" i="3" a="1"/>
  <c r="U311" i="3"/>
  <c r="AC311" i="3"/>
  <c r="S17" i="3" a="1"/>
  <c r="U17" i="3"/>
  <c r="AC17" i="3"/>
  <c r="S1535" i="3" a="1"/>
  <c r="U1535" i="3"/>
  <c r="AC1535" i="3"/>
  <c r="S2164" i="3" a="1"/>
  <c r="U2164" i="3"/>
  <c r="AC2164" i="3"/>
  <c r="N112" i="23"/>
  <c r="L112" i="23"/>
  <c r="S1780" i="3" a="1"/>
  <c r="U1780" i="3"/>
  <c r="AC1780" i="3"/>
  <c r="S2483" i="3" a="1"/>
  <c r="U2483" i="3"/>
  <c r="AC2483" i="3"/>
  <c r="S1828" i="3" a="1"/>
  <c r="U1828" i="3"/>
  <c r="AC1828" i="3"/>
  <c r="S1892" i="3" a="1"/>
  <c r="U1892" i="3"/>
  <c r="AC1892" i="3"/>
  <c r="S810" i="3" a="1"/>
  <c r="U810" i="3"/>
  <c r="AC810" i="3"/>
  <c r="S889" i="3" a="1"/>
  <c r="U889" i="3"/>
  <c r="AC889" i="3"/>
  <c r="S2369" i="3" a="1"/>
  <c r="U2369" i="3"/>
  <c r="AC2369" i="3"/>
  <c r="S688" i="3" a="1"/>
  <c r="U688" i="3"/>
  <c r="AC688" i="3"/>
  <c r="S169" i="3" a="1"/>
  <c r="U169" i="3"/>
  <c r="AC169" i="3"/>
  <c r="R32" i="23"/>
  <c r="S1941" i="3" a="1"/>
  <c r="U1941" i="3"/>
  <c r="AC1941" i="3"/>
  <c r="S2599" i="3" a="1"/>
  <c r="U2599" i="3"/>
  <c r="AC2599" i="3"/>
  <c r="N5" i="23"/>
  <c r="L5" i="23"/>
  <c r="S1041" i="3" a="1"/>
  <c r="U1041" i="3"/>
  <c r="AC1041" i="3"/>
  <c r="S2300" i="3" a="1"/>
  <c r="U2300" i="3"/>
  <c r="AC2300" i="3"/>
  <c r="S2723" i="3" a="1"/>
  <c r="U2723" i="3"/>
  <c r="AC2723" i="3"/>
  <c r="S1717" i="3" a="1"/>
  <c r="U1717" i="3"/>
  <c r="AC1717" i="3"/>
  <c r="S2623" i="3" a="1"/>
  <c r="U2623" i="3"/>
  <c r="AC2623" i="3"/>
  <c r="S2139" i="3" a="1"/>
  <c r="U2139" i="3"/>
  <c r="AC2139" i="3"/>
  <c r="S210" i="3" a="1"/>
  <c r="U210" i="3"/>
  <c r="AC210" i="3"/>
  <c r="S814" i="3" a="1"/>
  <c r="U814" i="3"/>
  <c r="AC814" i="3"/>
  <c r="S765" i="3" a="1"/>
  <c r="U765" i="3"/>
  <c r="AC765" i="3"/>
  <c r="S1844" i="3" a="1"/>
  <c r="U1844" i="3"/>
  <c r="AC1844" i="3"/>
  <c r="AC41" i="3"/>
  <c r="U41" i="3"/>
  <c r="S41" i="3"/>
  <c r="S41" i="3" a="1"/>
  <c r="S1139" i="3"/>
  <c r="S956" i="3" a="1"/>
  <c r="U956" i="3"/>
  <c r="AC956" i="3"/>
  <c r="S1523" i="3" a="1"/>
  <c r="U1523" i="3"/>
  <c r="AC1523" i="3"/>
  <c r="AC2208" i="3"/>
  <c r="U2208" i="3"/>
  <c r="S2208" i="3"/>
  <c r="S2208" i="3" a="1"/>
  <c r="V2661" i="3"/>
  <c r="AC229" i="3"/>
  <c r="U229" i="3"/>
  <c r="S229" i="3"/>
  <c r="S229" i="3" a="1"/>
  <c r="AC2532" i="3"/>
  <c r="U2532" i="3"/>
  <c r="S2532" i="3"/>
  <c r="S2532" i="3" a="1"/>
  <c r="AC2501" i="3"/>
  <c r="U2501" i="3"/>
  <c r="S2501" i="3"/>
  <c r="S2501" i="3" a="1"/>
  <c r="T30" i="23"/>
  <c r="R30" i="23"/>
  <c r="R30" i="23" a="1"/>
  <c r="AC644" i="3"/>
  <c r="U644" i="3"/>
  <c r="S644" i="3"/>
  <c r="S644" i="3" a="1"/>
  <c r="AC1003" i="3"/>
  <c r="U1003" i="3"/>
  <c r="S1003" i="3"/>
  <c r="S1003" i="3" a="1"/>
  <c r="AC2613" i="3"/>
  <c r="U2613" i="3"/>
  <c r="S2613" i="3"/>
  <c r="S2613" i="3" a="1"/>
  <c r="AC1863" i="3"/>
  <c r="U1863" i="3"/>
  <c r="S1863" i="3"/>
  <c r="S1863" i="3" a="1"/>
  <c r="AC701" i="3"/>
  <c r="U701" i="3"/>
  <c r="S701" i="3"/>
  <c r="S701" i="3" a="1"/>
  <c r="AC886" i="3"/>
  <c r="U886" i="3"/>
  <c r="S886" i="3"/>
  <c r="S886" i="3" a="1"/>
  <c r="S2691" i="3" a="1"/>
  <c r="U2691" i="3"/>
  <c r="AC2691" i="3"/>
  <c r="S1324" i="3"/>
  <c r="S292" i="3" a="1"/>
  <c r="U292" i="3"/>
  <c r="AC292" i="3"/>
  <c r="AC424" i="3"/>
  <c r="U424" i="3"/>
  <c r="S424" i="3"/>
  <c r="S424" i="3" a="1"/>
  <c r="S2242" i="3" a="1"/>
  <c r="U2242" i="3"/>
  <c r="AC2242" i="3"/>
  <c r="S2475" i="3" a="1"/>
  <c r="U2475" i="3"/>
  <c r="AC2475" i="3"/>
  <c r="AC1217" i="3"/>
  <c r="U1217" i="3"/>
  <c r="S1217" i="3"/>
  <c r="S1217" i="3" a="1"/>
  <c r="S1143" i="3" a="1"/>
  <c r="U1143" i="3"/>
  <c r="AC1143" i="3"/>
  <c r="S793" i="3"/>
  <c r="S729" i="3"/>
  <c r="AC594" i="3"/>
  <c r="U594" i="3"/>
  <c r="S594" i="3"/>
  <c r="S594" i="3" a="1"/>
  <c r="S2108" i="3"/>
  <c r="S1699" i="3" a="1"/>
  <c r="U1699" i="3"/>
  <c r="AC1699" i="3"/>
  <c r="S1030" i="3" a="1"/>
  <c r="U1030" i="3"/>
  <c r="AC1030" i="3"/>
  <c r="S762" i="3" a="1"/>
  <c r="U762" i="3"/>
  <c r="AC762" i="3"/>
  <c r="S2658" i="3"/>
  <c r="S2689" i="3" a="1"/>
  <c r="U2689" i="3"/>
  <c r="AC2689" i="3"/>
  <c r="S179" i="3"/>
  <c r="S2448" i="3"/>
  <c r="AC491" i="3"/>
  <c r="U491" i="3"/>
  <c r="S491" i="3"/>
  <c r="S491" i="3" a="1"/>
  <c r="S1640" i="3" a="1"/>
  <c r="U1640" i="3"/>
  <c r="AC1640" i="3"/>
  <c r="AC744" i="3"/>
  <c r="U744" i="3"/>
  <c r="S744" i="3"/>
  <c r="S744" i="3" a="1"/>
  <c r="S330" i="3"/>
  <c r="AC2093" i="3"/>
  <c r="U2093" i="3"/>
  <c r="S2093" i="3"/>
  <c r="S2093" i="3" a="1"/>
  <c r="AC1104" i="3"/>
  <c r="U1104" i="3"/>
  <c r="S1104" i="3"/>
  <c r="S1104" i="3" a="1"/>
  <c r="S73" i="3"/>
  <c r="AC669" i="3"/>
  <c r="U669" i="3"/>
  <c r="S669" i="3"/>
  <c r="S669" i="3" a="1"/>
  <c r="S1474" i="3"/>
  <c r="AC1271" i="3"/>
  <c r="U1271" i="3"/>
  <c r="S1271" i="3"/>
  <c r="S1271" i="3" a="1"/>
  <c r="U2817" i="3"/>
  <c r="S2817" i="3"/>
  <c r="S2817" i="3" a="1"/>
  <c r="S502" i="3" a="1"/>
  <c r="U502" i="3"/>
  <c r="AC502" i="3"/>
  <c r="S1110" i="3" a="1"/>
  <c r="U1110" i="3"/>
  <c r="AC1110" i="3"/>
  <c r="S2478" i="3"/>
  <c r="AC345" i="3"/>
  <c r="U345" i="3"/>
  <c r="S345" i="3"/>
  <c r="S345" i="3" a="1"/>
  <c r="AC2318" i="3"/>
  <c r="U2318" i="3"/>
  <c r="S2318" i="3"/>
  <c r="S2318" i="3" a="1"/>
  <c r="S1004" i="3"/>
  <c r="T103" i="23"/>
  <c r="R103" i="23"/>
  <c r="R103" i="23" a="1"/>
  <c r="AC437" i="3"/>
  <c r="U437" i="3"/>
  <c r="S437" i="3"/>
  <c r="S437" i="3" a="1"/>
  <c r="S1514" i="3" a="1"/>
  <c r="U1514" i="3"/>
  <c r="AC1514" i="3"/>
  <c r="S1787" i="3"/>
  <c r="T8" i="23"/>
  <c r="R8" i="23"/>
  <c r="R8" i="23" a="1"/>
  <c r="AC774" i="3"/>
  <c r="U774" i="3"/>
  <c r="S774" i="3"/>
  <c r="S774" i="3" a="1"/>
  <c r="S1859" i="3"/>
  <c r="E205" i="11"/>
  <c r="S205" i="11"/>
  <c r="S2813" i="3" a="1"/>
  <c r="U2813" i="3"/>
  <c r="AC125" i="3"/>
  <c r="U125" i="3"/>
  <c r="S125" i="3"/>
  <c r="S125" i="3" a="1"/>
  <c r="AC1705" i="3"/>
  <c r="U1705" i="3"/>
  <c r="S1705" i="3"/>
  <c r="S1705" i="3" a="1"/>
  <c r="AC1159" i="3"/>
  <c r="U1159" i="3"/>
  <c r="S1159" i="3"/>
  <c r="S1159" i="3" a="1"/>
  <c r="AC2351" i="3"/>
  <c r="U2351" i="3"/>
  <c r="S2351" i="3"/>
  <c r="S2351" i="3" a="1"/>
  <c r="AC1355" i="3"/>
  <c r="U1355" i="3"/>
  <c r="S1355" i="3"/>
  <c r="S1355" i="3" a="1"/>
  <c r="AC1282" i="3"/>
  <c r="U1282" i="3"/>
  <c r="S1282" i="3"/>
  <c r="S1282" i="3" a="1"/>
  <c r="AC1754" i="3"/>
  <c r="U1754" i="3"/>
  <c r="S1754" i="3"/>
  <c r="S1754" i="3" a="1"/>
  <c r="S219" i="3"/>
  <c r="AC1444" i="3"/>
  <c r="U1444" i="3"/>
  <c r="S1444" i="3"/>
  <c r="S1444" i="3" a="1"/>
  <c r="AC439" i="3"/>
  <c r="U439" i="3"/>
  <c r="S439" i="3"/>
  <c r="S439" i="3" a="1"/>
  <c r="AC575" i="3"/>
  <c r="U575" i="3"/>
  <c r="S575" i="3"/>
  <c r="S575" i="3" a="1"/>
  <c r="AC847" i="3"/>
  <c r="U847" i="3"/>
  <c r="S847" i="3"/>
  <c r="S847" i="3" a="1"/>
  <c r="S389" i="3"/>
  <c r="AC824" i="3"/>
  <c r="U824" i="3"/>
  <c r="S824" i="3"/>
  <c r="S824" i="3" a="1"/>
  <c r="AC1026" i="3"/>
  <c r="U1026" i="3"/>
  <c r="S1026" i="3"/>
  <c r="S1026" i="3" a="1"/>
  <c r="S2650" i="3"/>
  <c r="S1453" i="3"/>
  <c r="S1673" i="3"/>
  <c r="S1689" i="3"/>
  <c r="AC722" i="3"/>
  <c r="U722" i="3"/>
  <c r="S722" i="3"/>
  <c r="S722" i="3" a="1"/>
  <c r="AC633" i="3"/>
  <c r="U633" i="3"/>
  <c r="S633" i="3"/>
  <c r="S633" i="3" a="1"/>
  <c r="AC1332" i="3"/>
  <c r="U1332" i="3"/>
  <c r="S1332" i="3"/>
  <c r="S1332" i="3" a="1"/>
  <c r="AC2703" i="3"/>
  <c r="U2703" i="3"/>
  <c r="S2703" i="3"/>
  <c r="S2703" i="3" a="1"/>
  <c r="AC535" i="3"/>
  <c r="U535" i="3"/>
  <c r="S535" i="3"/>
  <c r="S535" i="3" a="1"/>
  <c r="AC872" i="3"/>
  <c r="U872" i="3"/>
  <c r="S872" i="3"/>
  <c r="S872" i="3" a="1"/>
  <c r="AC1836" i="3"/>
  <c r="U1836" i="3"/>
  <c r="S1836" i="3"/>
  <c r="S1836" i="3" a="1"/>
  <c r="AC107" i="3"/>
  <c r="U107" i="3"/>
  <c r="S107" i="3"/>
  <c r="S107" i="3" a="1"/>
  <c r="S2765" i="3"/>
  <c r="AC807" i="3"/>
  <c r="U807" i="3"/>
  <c r="S807" i="3"/>
  <c r="S807" i="3" a="1"/>
  <c r="AC668" i="3"/>
  <c r="U668" i="3"/>
  <c r="S668" i="3"/>
  <c r="S668" i="3" a="1"/>
  <c r="S2352" i="3"/>
  <c r="AC2695" i="3"/>
  <c r="U2695" i="3"/>
  <c r="S2695" i="3"/>
  <c r="S2695" i="3" a="1"/>
  <c r="AC414" i="3"/>
  <c r="U414" i="3"/>
  <c r="S414" i="3"/>
  <c r="S414" i="3" a="1"/>
  <c r="S1668" i="3"/>
  <c r="AC697" i="3"/>
  <c r="U697" i="3"/>
  <c r="S697" i="3"/>
  <c r="S697" i="3" a="1"/>
  <c r="AC2491" i="3"/>
  <c r="U2491" i="3"/>
  <c r="S2491" i="3"/>
  <c r="S2491" i="3" a="1"/>
  <c r="AC1315" i="3"/>
  <c r="U1315" i="3"/>
  <c r="S1315" i="3"/>
  <c r="S1315" i="3" a="1"/>
  <c r="S2302" i="3"/>
  <c r="S2377" i="3"/>
  <c r="T14" i="23"/>
  <c r="R14" i="23"/>
  <c r="R14" i="23" a="1"/>
  <c r="AC1029" i="3"/>
  <c r="U1029" i="3"/>
  <c r="S1029" i="3"/>
  <c r="S1029" i="3" a="1"/>
  <c r="AC702" i="3"/>
  <c r="U702" i="3"/>
  <c r="S702" i="3"/>
  <c r="S702" i="3" a="1"/>
  <c r="S1932" i="3"/>
  <c r="S2205" i="3"/>
  <c r="S1807" i="3"/>
  <c r="AC721" i="3"/>
  <c r="U721" i="3"/>
  <c r="S721" i="3"/>
  <c r="S721" i="3" a="1"/>
  <c r="N26" i="23"/>
  <c r="L26" i="23"/>
  <c r="AC2582" i="3"/>
  <c r="U2582" i="3"/>
  <c r="S2582" i="3"/>
  <c r="S2582" i="3" a="1"/>
  <c r="AC81" i="3"/>
  <c r="U81" i="3"/>
  <c r="S81" i="3"/>
  <c r="S81" i="3" a="1"/>
  <c r="U2831" i="3"/>
  <c r="S2831" i="3"/>
  <c r="S2831" i="3" a="1"/>
  <c r="AC346" i="3"/>
  <c r="U346" i="3"/>
  <c r="S346" i="3"/>
  <c r="S346" i="3" a="1"/>
  <c r="AC1230" i="3"/>
  <c r="U1230" i="3"/>
  <c r="S1230" i="3"/>
  <c r="S1230" i="3" a="1"/>
  <c r="AC11" i="3"/>
  <c r="U11" i="3"/>
  <c r="AC634" i="3"/>
  <c r="U634" i="3"/>
  <c r="S634" i="3"/>
  <c r="S634" i="3" a="1"/>
  <c r="S148" i="3"/>
  <c r="S2439" i="3"/>
  <c r="S2385" i="3"/>
  <c r="AC2455" i="3"/>
  <c r="U2455" i="3"/>
  <c r="S2455" i="3"/>
  <c r="S2455" i="3" a="1"/>
  <c r="S468" i="3"/>
  <c r="AC2283" i="3"/>
  <c r="U2283" i="3"/>
  <c r="S2283" i="3"/>
  <c r="S2283" i="3" a="1"/>
  <c r="S1971" i="3"/>
  <c r="S6" i="3"/>
  <c r="S1703" i="3"/>
  <c r="N88" i="23"/>
  <c r="L88" i="23"/>
  <c r="S1590" i="3"/>
  <c r="AC1779" i="3"/>
  <c r="U1779" i="3"/>
  <c r="S1779" i="3"/>
  <c r="S1779" i="3" a="1"/>
  <c r="S948" i="3"/>
  <c r="AC2704" i="3"/>
  <c r="U2704" i="3"/>
  <c r="S2704" i="3"/>
  <c r="S2704" i="3" a="1"/>
  <c r="S915" i="3"/>
  <c r="S844" i="3"/>
  <c r="Q180" i="11"/>
  <c r="P180" i="11"/>
  <c r="AC924" i="3"/>
  <c r="U924" i="3"/>
  <c r="S924" i="3"/>
  <c r="S924" i="3" a="1"/>
  <c r="AC1962" i="3"/>
  <c r="U1962" i="3"/>
  <c r="S1962" i="3"/>
  <c r="S1962" i="3" a="1"/>
  <c r="S1658" i="3"/>
  <c r="AC916" i="3"/>
  <c r="U916" i="3"/>
  <c r="S916" i="3"/>
  <c r="S916" i="3" a="1"/>
  <c r="N49" i="23"/>
  <c r="L49" i="23"/>
  <c r="AC1047" i="3"/>
  <c r="U1047" i="3"/>
  <c r="S1047" i="3"/>
  <c r="S1047" i="3" a="1"/>
  <c r="S1506" i="3"/>
  <c r="AC2189" i="3"/>
  <c r="U2189" i="3"/>
  <c r="S2189" i="3"/>
  <c r="S2189" i="3" a="1"/>
  <c r="AC2565" i="3"/>
  <c r="U2565" i="3"/>
  <c r="S2565" i="3"/>
  <c r="S2565" i="3" a="1"/>
  <c r="AC1515" i="3"/>
  <c r="U1515" i="3"/>
  <c r="S1515" i="3"/>
  <c r="S1515" i="3" a="1"/>
  <c r="S1826" i="3"/>
  <c r="AB341" i="3"/>
  <c r="AC1522" i="3"/>
  <c r="U1522" i="3"/>
  <c r="S1522" i="3"/>
  <c r="S1522" i="3" a="1"/>
  <c r="AC2097" i="3"/>
  <c r="U2097" i="3"/>
  <c r="S2097" i="3"/>
  <c r="S2097" i="3" a="1"/>
  <c r="S2495" i="3"/>
  <c r="S2733" i="3"/>
  <c r="S2145" i="3"/>
  <c r="S261" i="3"/>
  <c r="S2280" i="3"/>
  <c r="S98" i="3"/>
  <c r="AC989" i="3"/>
  <c r="U989" i="3"/>
  <c r="S989" i="3"/>
  <c r="S989" i="3" a="1"/>
  <c r="S2770" i="3"/>
  <c r="S25" i="3"/>
  <c r="AC972" i="3"/>
  <c r="U972" i="3"/>
  <c r="S972" i="3"/>
  <c r="S972" i="3" a="1"/>
  <c r="AC1795" i="3"/>
  <c r="U1795" i="3"/>
  <c r="S1795" i="3"/>
  <c r="S1795" i="3" a="1"/>
  <c r="AC2766" i="3"/>
  <c r="U2766" i="3"/>
  <c r="S2766" i="3"/>
  <c r="S2766" i="3" a="1"/>
  <c r="T122" i="23"/>
  <c r="R122" i="23"/>
  <c r="R122" i="23" a="1"/>
  <c r="AC2590" i="3"/>
  <c r="U2590" i="3"/>
  <c r="S2590" i="3"/>
  <c r="S2590" i="3" a="1"/>
  <c r="AC220" i="3"/>
  <c r="U220" i="3"/>
  <c r="S220" i="3"/>
  <c r="S220" i="3" a="1"/>
  <c r="AC1602" i="3"/>
  <c r="U1602" i="3"/>
  <c r="S1602" i="3"/>
  <c r="S1602" i="3" a="1"/>
  <c r="AC2502" i="3"/>
  <c r="U2502" i="3"/>
  <c r="S2502" i="3"/>
  <c r="S2502" i="3" a="1"/>
  <c r="AC2510" i="3"/>
  <c r="U2510" i="3"/>
  <c r="S2510" i="3"/>
  <c r="S2510" i="3" a="1"/>
  <c r="S2088" i="3"/>
  <c r="S1931" i="3"/>
  <c r="AC393" i="3"/>
  <c r="U393" i="3"/>
  <c r="S393" i="3"/>
  <c r="S393" i="3" a="1"/>
  <c r="AC1621" i="3"/>
  <c r="U1621" i="3"/>
  <c r="S1621" i="3"/>
  <c r="S1621" i="3" a="1"/>
  <c r="AC514" i="3"/>
  <c r="U514" i="3"/>
  <c r="S514" i="3"/>
  <c r="S514" i="3" a="1"/>
  <c r="AC2289" i="3"/>
  <c r="U2289" i="3"/>
  <c r="S2289" i="3"/>
  <c r="S2289" i="3" a="1"/>
  <c r="AC477" i="3"/>
  <c r="U477" i="3"/>
  <c r="S477" i="3"/>
  <c r="S477" i="3" a="1"/>
  <c r="S2144" i="3"/>
  <c r="AC605" i="3"/>
  <c r="U605" i="3"/>
  <c r="S605" i="3"/>
  <c r="S605" i="3" a="1"/>
  <c r="AC667" i="3"/>
  <c r="U667" i="3"/>
  <c r="S667" i="3"/>
  <c r="S667" i="3" a="1"/>
  <c r="AC2468" i="3"/>
  <c r="U2468" i="3"/>
  <c r="S2468" i="3"/>
  <c r="S2468" i="3" a="1"/>
  <c r="AC55" i="3"/>
  <c r="U55" i="3"/>
  <c r="S55" i="3"/>
  <c r="S55" i="3" a="1"/>
  <c r="AC1414" i="3"/>
  <c r="U1414" i="3"/>
  <c r="S1414" i="3"/>
  <c r="S1414" i="3" a="1"/>
  <c r="AC1715" i="3"/>
  <c r="U1715" i="3"/>
  <c r="S1715" i="3"/>
  <c r="S1715" i="3" a="1"/>
  <c r="E195" i="11"/>
  <c r="S195" i="11"/>
  <c r="AC1784" i="3"/>
  <c r="U1784" i="3"/>
  <c r="S1784" i="3"/>
  <c r="S1784" i="3" a="1"/>
  <c r="AC2536" i="3"/>
  <c r="U2536" i="3"/>
  <c r="S2536" i="3"/>
  <c r="S2536" i="3" a="1"/>
  <c r="AC404" i="3"/>
  <c r="U404" i="3"/>
  <c r="S404" i="3"/>
  <c r="S404" i="3" a="1"/>
  <c r="AC354" i="3"/>
  <c r="U354" i="3"/>
  <c r="S354" i="3"/>
  <c r="S354" i="3" a="1"/>
  <c r="S2513" i="3"/>
  <c r="S45" i="3"/>
  <c r="S1097" i="3"/>
  <c r="S1842" i="3"/>
  <c r="AC2568" i="3"/>
  <c r="U2568" i="3"/>
  <c r="S2568" i="3"/>
  <c r="S2568" i="3" a="1"/>
  <c r="AC1325" i="3"/>
  <c r="U1325" i="3"/>
  <c r="S1325" i="3"/>
  <c r="S1325" i="3" a="1"/>
  <c r="H26" i="8"/>
  <c r="H26" i="8" a="1"/>
  <c r="C15" i="28"/>
  <c r="N105" i="23"/>
  <c r="L105" i="23"/>
  <c r="S2823" i="3"/>
  <c r="AC906" i="3"/>
  <c r="U906" i="3"/>
  <c r="S906" i="3"/>
  <c r="S906" i="3" a="1"/>
  <c r="AC1193" i="3"/>
  <c r="U1193" i="3"/>
  <c r="S1193" i="3"/>
  <c r="S1193" i="3" a="1"/>
  <c r="AC1306" i="3"/>
  <c r="U1306" i="3"/>
  <c r="S1306" i="3"/>
  <c r="S1306" i="3" a="1"/>
  <c r="AC2309" i="3"/>
  <c r="U2309" i="3"/>
  <c r="S2309" i="3"/>
  <c r="S2309" i="3" a="1"/>
  <c r="AC1057" i="3"/>
  <c r="U1057" i="3"/>
  <c r="S1057" i="3"/>
  <c r="S1057" i="3" a="1"/>
  <c r="AC2334" i="3"/>
  <c r="U2334" i="3"/>
  <c r="S2334" i="3"/>
  <c r="S2334" i="3" a="1"/>
  <c r="AC2055" i="3"/>
  <c r="U2055" i="3"/>
  <c r="S2055" i="3"/>
  <c r="S2055" i="3" a="1"/>
  <c r="AC862" i="3"/>
  <c r="U862" i="3"/>
  <c r="S862" i="3"/>
  <c r="S862" i="3" a="1"/>
  <c r="AC2196" i="3"/>
  <c r="U2196" i="3"/>
  <c r="S2196" i="3"/>
  <c r="S2196" i="3" a="1"/>
  <c r="S592" i="3"/>
  <c r="S1327" i="3"/>
  <c r="S2433" i="3"/>
  <c r="S739" i="3"/>
  <c r="AC480" i="3"/>
  <c r="U480" i="3"/>
  <c r="S480" i="3"/>
  <c r="S480" i="3" a="1"/>
  <c r="AC276" i="3"/>
  <c r="U276" i="3"/>
  <c r="S276" i="3"/>
  <c r="S276" i="3" a="1"/>
  <c r="S44" i="3"/>
  <c r="AC1713" i="3"/>
  <c r="U1713" i="3"/>
  <c r="S1713" i="3"/>
  <c r="S1713" i="3" a="1"/>
  <c r="E228" i="11"/>
  <c r="S2823" i="3" a="1"/>
  <c r="U2823" i="3"/>
  <c r="S228" i="11"/>
  <c r="S2166" i="3"/>
  <c r="AJ3" i="7"/>
  <c r="AC2481" i="3"/>
  <c r="U2481" i="3"/>
  <c r="S2481" i="3"/>
  <c r="S2481" i="3" a="1"/>
  <c r="S2598" i="3"/>
  <c r="S1983" i="3"/>
  <c r="AC745" i="3"/>
  <c r="U745" i="3"/>
  <c r="S745" i="3"/>
  <c r="S745" i="3" a="1"/>
  <c r="N87" i="23"/>
  <c r="L87" i="23"/>
  <c r="S1841" i="3"/>
  <c r="AC726" i="3"/>
  <c r="U726" i="3"/>
  <c r="S726" i="3"/>
  <c r="S726" i="3" a="1"/>
  <c r="S879" i="3"/>
  <c r="S1066" i="3"/>
  <c r="AC2423" i="3"/>
  <c r="U2423" i="3"/>
  <c r="S2423" i="3"/>
  <c r="S2423" i="3" a="1"/>
  <c r="AC1547" i="3"/>
  <c r="U1547" i="3"/>
  <c r="S1547" i="3"/>
  <c r="S1547" i="3" a="1"/>
  <c r="S946" i="3"/>
  <c r="AC2558" i="3"/>
  <c r="U2558" i="3"/>
  <c r="S2558" i="3"/>
  <c r="S2558" i="3" a="1"/>
  <c r="S482" i="3"/>
  <c r="T74" i="23"/>
  <c r="R74" i="23"/>
  <c r="R74" i="23" a="1"/>
  <c r="AC2755" i="3"/>
  <c r="U2755" i="3"/>
  <c r="S2755" i="3"/>
  <c r="S2755" i="3" a="1"/>
  <c r="AC422" i="3"/>
  <c r="U422" i="3"/>
  <c r="S422" i="3"/>
  <c r="S422" i="3" a="1"/>
  <c r="AC1981" i="3"/>
  <c r="U1981" i="3"/>
  <c r="S1981" i="3"/>
  <c r="S1981" i="3" a="1"/>
  <c r="S34" i="3"/>
  <c r="S1144" i="3"/>
  <c r="S1516" i="3"/>
  <c r="AC323" i="3"/>
  <c r="U323" i="3"/>
  <c r="S323" i="3"/>
  <c r="S323" i="3" a="1"/>
  <c r="S694" i="3"/>
  <c r="AC1108" i="3"/>
  <c r="U1108" i="3"/>
  <c r="S1108" i="3"/>
  <c r="S1108" i="3" a="1"/>
  <c r="S2342" i="3"/>
  <c r="S1085" i="3"/>
  <c r="S513" i="3"/>
  <c r="S504" i="3"/>
  <c r="AC2039" i="3"/>
  <c r="U2039" i="3"/>
  <c r="S2039" i="3"/>
  <c r="S2039" i="3" a="1"/>
  <c r="T42" i="23"/>
  <c r="R42" i="23"/>
  <c r="R42" i="23" a="1"/>
  <c r="AC1957" i="3"/>
  <c r="U1957" i="3"/>
  <c r="S1957" i="3"/>
  <c r="S1957" i="3" a="1"/>
  <c r="S219" i="3" a="1"/>
  <c r="U219" i="3"/>
  <c r="AC219" i="3"/>
  <c r="S2566" i="3"/>
  <c r="S1573" i="3"/>
  <c r="T100" i="23"/>
  <c r="R100" i="23"/>
  <c r="R100" i="23" a="1"/>
  <c r="AC237" i="3"/>
  <c r="U237" i="3"/>
  <c r="S237" i="3"/>
  <c r="S237" i="3" a="1"/>
  <c r="AC835" i="3"/>
  <c r="U835" i="3"/>
  <c r="S835" i="3"/>
  <c r="S835" i="3" a="1"/>
  <c r="S1927" i="3"/>
  <c r="S2810" i="3"/>
  <c r="AC2593" i="3"/>
  <c r="U2593" i="3"/>
  <c r="S2593" i="3"/>
  <c r="S2593" i="3" a="1"/>
  <c r="AC845" i="3"/>
  <c r="U845" i="3"/>
  <c r="S845" i="3"/>
  <c r="S845" i="3" a="1"/>
  <c r="S2650" i="3" a="1"/>
  <c r="U2650" i="3"/>
  <c r="AC2650" i="3"/>
  <c r="S1453" i="3" a="1"/>
  <c r="U1453" i="3"/>
  <c r="AC1453" i="3"/>
  <c r="S1673" i="3" a="1"/>
  <c r="U1673" i="3"/>
  <c r="AC1673" i="3"/>
  <c r="S355" i="3"/>
  <c r="S1579" i="3"/>
  <c r="AC1153" i="3"/>
  <c r="U1153" i="3"/>
  <c r="S1153" i="3"/>
  <c r="S1153" i="3" a="1"/>
  <c r="AC1599" i="3"/>
  <c r="U1599" i="3"/>
  <c r="S1599" i="3"/>
  <c r="S1599" i="3" a="1"/>
  <c r="AC1084" i="3"/>
  <c r="U1084" i="3"/>
  <c r="S1084" i="3"/>
  <c r="S1084" i="3" a="1"/>
  <c r="AC2364" i="3"/>
  <c r="U2364" i="3"/>
  <c r="S2364" i="3"/>
  <c r="S2364" i="3" a="1"/>
  <c r="AC2735" i="3"/>
  <c r="U2735" i="3"/>
  <c r="S2735" i="3"/>
  <c r="S2735" i="3" a="1"/>
  <c r="AC1249" i="3"/>
  <c r="U1249" i="3"/>
  <c r="S1249" i="3"/>
  <c r="S1249" i="3" a="1"/>
  <c r="AC2445" i="3"/>
  <c r="U2445" i="3"/>
  <c r="S2445" i="3"/>
  <c r="S2445" i="3" a="1"/>
  <c r="S1415" i="3"/>
  <c r="AC1687" i="3"/>
  <c r="U1687" i="3"/>
  <c r="S1687" i="3"/>
  <c r="S1687" i="3" a="1"/>
  <c r="S1825" i="3"/>
  <c r="S2765" i="3" a="1"/>
  <c r="U2765" i="3"/>
  <c r="AC2765" i="3"/>
  <c r="S2352" i="3" a="1"/>
  <c r="U2352" i="3"/>
  <c r="AC2352" i="3"/>
  <c r="S652" i="3"/>
  <c r="N27" i="23"/>
  <c r="L27" i="23"/>
  <c r="S935" i="3"/>
  <c r="S1668" i="3" a="1"/>
  <c r="U1668" i="3"/>
  <c r="AC1668" i="3"/>
  <c r="S2002" i="3"/>
  <c r="AC1208" i="3"/>
  <c r="U1208" i="3"/>
  <c r="S1208" i="3"/>
  <c r="S1208" i="3" a="1"/>
  <c r="AC2461" i="3"/>
  <c r="U2461" i="3"/>
  <c r="S2461" i="3"/>
  <c r="S2461" i="3" a="1"/>
  <c r="S2302" i="3" a="1"/>
  <c r="U2302" i="3"/>
  <c r="AC2302" i="3"/>
  <c r="S2377" i="3" a="1"/>
  <c r="U2377" i="3"/>
  <c r="AC2377" i="3"/>
  <c r="S1887" i="3"/>
  <c r="S1289" i="3"/>
  <c r="S1930" i="3"/>
  <c r="AC1730" i="3"/>
  <c r="U1730" i="3"/>
  <c r="S1730" i="3"/>
  <c r="S1730" i="3" a="1"/>
  <c r="AC375" i="3"/>
  <c r="U375" i="3"/>
  <c r="S375" i="3"/>
  <c r="S375" i="3" a="1"/>
  <c r="N95" i="23"/>
  <c r="L95" i="23"/>
  <c r="S1932" i="3" a="1"/>
  <c r="U1932" i="3"/>
  <c r="AC1932" i="3"/>
  <c r="S2205" i="3" a="1"/>
  <c r="U2205" i="3"/>
  <c r="AC2205" i="3"/>
  <c r="S1807" i="3" a="1"/>
  <c r="U1807" i="3"/>
  <c r="AC1807" i="3"/>
  <c r="S112" i="3"/>
  <c r="AC272" i="3"/>
  <c r="U272" i="3"/>
  <c r="S272" i="3"/>
  <c r="S272" i="3" a="1"/>
  <c r="S825" i="3"/>
  <c r="S1605" i="3"/>
  <c r="S1196" i="3"/>
  <c r="S148" i="3" a="1"/>
  <c r="U148" i="3"/>
  <c r="AC148" i="3"/>
  <c r="AC442" i="3"/>
  <c r="U442" i="3"/>
  <c r="S442" i="3"/>
  <c r="S442" i="3" a="1"/>
  <c r="S1210" i="3"/>
  <c r="S1247" i="3"/>
  <c r="S2385" i="3" a="1"/>
  <c r="U2385" i="3"/>
  <c r="AC2385" i="3"/>
  <c r="S468" i="3" a="1"/>
  <c r="U468" i="3"/>
  <c r="AC468" i="3"/>
  <c r="S1971" i="3" a="1"/>
  <c r="U1971" i="3"/>
  <c r="AC1971" i="3"/>
  <c r="S6" i="3" a="1"/>
  <c r="U6" i="3"/>
  <c r="AC6" i="3"/>
  <c r="S1703" i="3" a="1"/>
  <c r="U1703" i="3"/>
  <c r="AC1703" i="3"/>
  <c r="S1185" i="3"/>
  <c r="S1590" i="3" a="1"/>
  <c r="U1590" i="3"/>
  <c r="AC1590" i="3"/>
  <c r="T48" i="23"/>
  <c r="R48" i="23"/>
  <c r="R48" i="23" a="1"/>
  <c r="AC957" i="3"/>
  <c r="U957" i="3"/>
  <c r="S957" i="3"/>
  <c r="S957" i="3" a="1"/>
  <c r="S851" i="3"/>
  <c r="S915" i="3" a="1"/>
  <c r="U915" i="3"/>
  <c r="AC915" i="3"/>
  <c r="S844" i="3" a="1"/>
  <c r="U844" i="3"/>
  <c r="AC844" i="3"/>
  <c r="AC1575" i="3"/>
  <c r="U1575" i="3"/>
  <c r="S1575" i="3"/>
  <c r="S1575" i="3" a="1"/>
  <c r="AC352" i="3"/>
  <c r="U352" i="3"/>
  <c r="S352" i="3"/>
  <c r="S352" i="3" a="1"/>
  <c r="AC457" i="3"/>
  <c r="U457" i="3"/>
  <c r="S457" i="3"/>
  <c r="S457" i="3" a="1"/>
  <c r="S1658" i="3" a="1"/>
  <c r="U1658" i="3"/>
  <c r="AC1658" i="3"/>
  <c r="AC1726" i="3"/>
  <c r="U1726" i="3"/>
  <c r="S1726" i="3"/>
  <c r="S1726" i="3" a="1"/>
  <c r="S1089" i="3"/>
  <c r="S661" i="3"/>
  <c r="AC2014" i="3"/>
  <c r="U2014" i="3"/>
  <c r="S2014" i="3"/>
  <c r="S2014" i="3" a="1"/>
  <c r="S769" i="3"/>
  <c r="S1826" i="3" a="1"/>
  <c r="U1826" i="3"/>
  <c r="AC1826" i="3"/>
  <c r="S1234" i="3"/>
  <c r="AB341" i="3" a="1"/>
  <c r="M341" i="3"/>
  <c r="N341" i="3"/>
  <c r="S782" i="3"/>
  <c r="S2076" i="3"/>
  <c r="S2820" i="3"/>
  <c r="S2495" i="3" a="1"/>
  <c r="U2495" i="3"/>
  <c r="AC2495" i="3"/>
  <c r="S2733" i="3" a="1"/>
  <c r="U2733" i="3"/>
  <c r="AC2733" i="3"/>
  <c r="S2145" i="3" a="1"/>
  <c r="U2145" i="3"/>
  <c r="AC2145" i="3"/>
  <c r="S261" i="3" a="1"/>
  <c r="U261" i="3"/>
  <c r="AC261" i="3"/>
  <c r="AC2685" i="3"/>
  <c r="U2685" i="3"/>
  <c r="S2685" i="3"/>
  <c r="S2685" i="3" a="1"/>
  <c r="S2280" i="3" a="1"/>
  <c r="U2280" i="3"/>
  <c r="AC2280" i="3"/>
  <c r="S98" i="3" a="1"/>
  <c r="U98" i="3"/>
  <c r="AC98" i="3"/>
  <c r="AC1520" i="3"/>
  <c r="U1520" i="3"/>
  <c r="S1520" i="3"/>
  <c r="S1520" i="3" a="1"/>
  <c r="S2770" i="3" a="1"/>
  <c r="U2770" i="3"/>
  <c r="AC2770" i="3"/>
  <c r="S25" i="3" a="1"/>
  <c r="U25" i="3"/>
  <c r="AC25" i="3"/>
  <c r="AC2029" i="3"/>
  <c r="U2029" i="3"/>
  <c r="S2029" i="3"/>
  <c r="S2029" i="3" a="1"/>
  <c r="S2535" i="3"/>
  <c r="S2088" i="3" a="1"/>
  <c r="U2088" i="3"/>
  <c r="AC2088" i="3"/>
  <c r="AC2500" i="3"/>
  <c r="U2500" i="3"/>
  <c r="S2500" i="3"/>
  <c r="S2500" i="3" a="1"/>
  <c r="AC516" i="3"/>
  <c r="U516" i="3"/>
  <c r="S516" i="3"/>
  <c r="S516" i="3" a="1"/>
  <c r="AC683" i="3"/>
  <c r="U683" i="3"/>
  <c r="S683" i="3"/>
  <c r="S683" i="3" a="1"/>
  <c r="AC2430" i="3"/>
  <c r="U2430" i="3"/>
  <c r="S2430" i="3"/>
  <c r="S2430" i="3" a="1"/>
  <c r="AC1760" i="3"/>
  <c r="U1760" i="3"/>
  <c r="S1760" i="3"/>
  <c r="S1760" i="3" a="1"/>
  <c r="T81" i="23"/>
  <c r="R81" i="23"/>
  <c r="R81" i="23" a="1"/>
  <c r="AC1122" i="3"/>
  <c r="U1122" i="3"/>
  <c r="S1122" i="3"/>
  <c r="S1122" i="3" a="1"/>
  <c r="S2557" i="3"/>
  <c r="S2144" i="3" a="1"/>
  <c r="U2144" i="3"/>
  <c r="AC2144" i="3"/>
  <c r="S2513" i="3" a="1"/>
  <c r="U2513" i="3"/>
  <c r="AC2513" i="3"/>
  <c r="S919" i="3"/>
  <c r="S1801" i="3"/>
  <c r="U2812" i="3"/>
  <c r="S2812" i="3"/>
  <c r="S2812" i="3" a="1"/>
  <c r="S45" i="3" a="1"/>
  <c r="U45" i="3"/>
  <c r="AC45" i="3"/>
  <c r="S1097" i="3" a="1"/>
  <c r="U1097" i="3"/>
  <c r="AC1097" i="3"/>
  <c r="S1842" i="3" a="1"/>
  <c r="U1842" i="3"/>
  <c r="AC1842" i="3"/>
  <c r="S2037" i="3"/>
  <c r="S149" i="3"/>
  <c r="S1040" i="3"/>
  <c r="S1060" i="3"/>
  <c r="AC859" i="3"/>
  <c r="U859" i="3"/>
  <c r="S859" i="3"/>
  <c r="S859" i="3" a="1"/>
  <c r="S2514" i="3"/>
  <c r="S1028" i="3"/>
  <c r="S2082" i="3"/>
  <c r="S264" i="3"/>
  <c r="S1055" i="3"/>
  <c r="S2004" i="3"/>
  <c r="S217" i="3"/>
  <c r="S1151" i="3"/>
  <c r="S1088" i="3"/>
  <c r="S519" i="3"/>
  <c r="S1463" i="3"/>
  <c r="S1872" i="3"/>
  <c r="S2672" i="3"/>
  <c r="S2708" i="3"/>
  <c r="S298" i="3"/>
  <c r="S908" i="3"/>
  <c r="AC1798" i="3"/>
  <c r="U1798" i="3"/>
  <c r="S1798" i="3"/>
  <c r="S1798" i="3" a="1"/>
  <c r="T33" i="23"/>
  <c r="R33" i="23"/>
  <c r="R33" i="23" a="1"/>
  <c r="AC1947" i="3"/>
  <c r="U1947" i="3"/>
  <c r="S1947" i="3"/>
  <c r="S1947" i="3" a="1"/>
  <c r="U2794" i="3"/>
  <c r="S2794" i="3"/>
  <c r="S2794" i="3" a="1"/>
  <c r="AC1596" i="3"/>
  <c r="U1596" i="3"/>
  <c r="S1596" i="3"/>
  <c r="S1596" i="3" a="1"/>
  <c r="AC2407" i="3"/>
  <c r="U2407" i="3"/>
  <c r="S2407" i="3"/>
  <c r="S2407" i="3" a="1"/>
  <c r="AC2617" i="3"/>
  <c r="U2617" i="3"/>
  <c r="S2617" i="3"/>
  <c r="S2617" i="3" a="1"/>
  <c r="S2006" i="3"/>
  <c r="S478" i="3"/>
  <c r="S2719" i="3"/>
  <c r="S2435" i="3"/>
  <c r="S246" i="3"/>
  <c r="S1120" i="3"/>
  <c r="S2237" i="3"/>
  <c r="T23" i="23"/>
  <c r="R23" i="23"/>
  <c r="R23" i="23" a="1"/>
  <c r="S592" i="3" a="1"/>
  <c r="U592" i="3"/>
  <c r="AC592" i="3"/>
  <c r="S1327" i="3" a="1"/>
  <c r="U1327" i="3"/>
  <c r="AC1327" i="3"/>
  <c r="S2433" i="3" a="1"/>
  <c r="U2433" i="3"/>
  <c r="AC2433" i="3"/>
  <c r="S739" i="3" a="1"/>
  <c r="U739" i="3"/>
  <c r="AC739" i="3"/>
  <c r="S44" i="3" a="1"/>
  <c r="U44" i="3"/>
  <c r="AC44" i="3"/>
  <c r="U2832" i="3"/>
  <c r="S2832" i="3"/>
  <c r="S2832" i="3" a="1"/>
  <c r="S2166" i="3" a="1"/>
  <c r="U2166" i="3"/>
  <c r="AC2166" i="3"/>
  <c r="S2772" i="3"/>
  <c r="S2598" i="3" a="1"/>
  <c r="U2598" i="3"/>
  <c r="AC2598" i="3"/>
  <c r="S2354" i="3"/>
  <c r="S2158" i="3"/>
  <c r="S929" i="3"/>
  <c r="S339" i="3"/>
  <c r="S1983" i="3" a="1"/>
  <c r="U1983" i="3"/>
  <c r="AC1983" i="3"/>
  <c r="T70" i="23"/>
  <c r="R70" i="23"/>
  <c r="R70" i="23" a="1"/>
  <c r="S1907" i="3"/>
  <c r="S2236" i="3"/>
  <c r="S1841" i="3" a="1"/>
  <c r="U1841" i="3"/>
  <c r="AC1841" i="3"/>
  <c r="V2781" i="3"/>
  <c r="S2773" i="3"/>
  <c r="S879" i="3" a="1"/>
  <c r="U879" i="3"/>
  <c r="AC879" i="3"/>
  <c r="S465" i="3"/>
  <c r="S1066" i="3" a="1"/>
  <c r="U1066" i="3"/>
  <c r="AC1066" i="3"/>
  <c r="S946" i="3" a="1"/>
  <c r="U946" i="3"/>
  <c r="AC946" i="3"/>
  <c r="S1068" i="3"/>
  <c r="S1793" i="3"/>
  <c r="S664" i="3"/>
  <c r="S2705" i="3"/>
  <c r="S482" i="3" a="1"/>
  <c r="U482" i="3"/>
  <c r="AC482" i="3"/>
  <c r="S936" i="3"/>
  <c r="AC2007" i="3"/>
  <c r="U2007" i="3"/>
  <c r="S2007" i="3"/>
  <c r="S2007" i="3" a="1"/>
  <c r="AC256" i="3"/>
  <c r="U256" i="3"/>
  <c r="S256" i="3"/>
  <c r="S256" i="3" a="1"/>
  <c r="AC1288" i="3"/>
  <c r="U1288" i="3"/>
  <c r="S1288" i="3"/>
  <c r="S1288" i="3" a="1"/>
  <c r="S1141" i="3"/>
  <c r="N89" i="23"/>
  <c r="L89" i="23"/>
  <c r="AC971" i="3"/>
  <c r="U971" i="3"/>
  <c r="S971" i="3"/>
  <c r="S971" i="3" a="1"/>
  <c r="AC2712" i="3"/>
  <c r="U2712" i="3"/>
  <c r="S2712" i="3"/>
  <c r="S2712" i="3" a="1"/>
  <c r="S1324" i="3" a="1"/>
  <c r="U1324" i="3"/>
  <c r="AC1324" i="3"/>
  <c r="AC1936" i="3"/>
  <c r="U1936" i="3"/>
  <c r="S1936" i="3"/>
  <c r="S1936" i="3" a="1"/>
  <c r="S2486" i="3"/>
  <c r="S591" i="3"/>
  <c r="S954" i="3"/>
  <c r="AC1008" i="3"/>
  <c r="U1008" i="3"/>
  <c r="S1008" i="3"/>
  <c r="S1008" i="3" a="1"/>
  <c r="S1716" i="3"/>
  <c r="AC1356" i="3"/>
  <c r="U1356" i="3"/>
  <c r="S1356" i="3"/>
  <c r="S1356" i="3" a="1"/>
  <c r="S793" i="3" a="1"/>
  <c r="U793" i="3"/>
  <c r="AC793" i="3"/>
  <c r="S729" i="3" a="1"/>
  <c r="U729" i="3"/>
  <c r="AC729" i="3"/>
  <c r="AC2527" i="3"/>
  <c r="U2527" i="3"/>
  <c r="S2527" i="3"/>
  <c r="S2527" i="3" a="1"/>
  <c r="AC2056" i="3"/>
  <c r="U2056" i="3"/>
  <c r="S2056" i="3"/>
  <c r="S2056" i="3" a="1"/>
  <c r="S179" i="3" a="1"/>
  <c r="U179" i="3"/>
  <c r="AC179" i="3"/>
  <c r="S2448" i="3" a="1"/>
  <c r="U2448" i="3"/>
  <c r="AC2448" i="3"/>
  <c r="T108" i="23"/>
  <c r="R108" i="23"/>
  <c r="R108" i="23" a="1"/>
  <c r="S1831" i="3"/>
  <c r="S224" i="3"/>
  <c r="S73" i="3" a="1"/>
  <c r="U73" i="3"/>
  <c r="AC73" i="3"/>
  <c r="AC666" i="3"/>
  <c r="U666" i="3"/>
  <c r="S666" i="3"/>
  <c r="S666" i="3" a="1"/>
  <c r="S2272" i="3"/>
  <c r="S2128" i="3"/>
  <c r="AC1471" i="3"/>
  <c r="U1471" i="3"/>
  <c r="S1471" i="3"/>
  <c r="S1471" i="3" a="1"/>
  <c r="S1127" i="3"/>
  <c r="AC900" i="3"/>
  <c r="U900" i="3"/>
  <c r="S900" i="3"/>
  <c r="S900" i="3" a="1"/>
  <c r="S2478" i="3" a="1"/>
  <c r="U2478" i="3"/>
  <c r="AC2478" i="3"/>
  <c r="S1004" i="3" a="1"/>
  <c r="U1004" i="3"/>
  <c r="AC1004" i="3"/>
  <c r="S1421" i="3"/>
  <c r="AC1578" i="3"/>
  <c r="U1578" i="3"/>
  <c r="S1578" i="3"/>
  <c r="S1578" i="3" a="1"/>
  <c r="AC1162" i="3"/>
  <c r="U1162" i="3"/>
  <c r="S1162" i="3"/>
  <c r="S1162" i="3" a="1"/>
  <c r="AC2406" i="3"/>
  <c r="U2406" i="3"/>
  <c r="S2406" i="3"/>
  <c r="S2406" i="3" a="1"/>
  <c r="S1859" i="3" a="1"/>
  <c r="U1859" i="3"/>
  <c r="AC1859" i="3"/>
  <c r="AC2296" i="3"/>
  <c r="U2296" i="3"/>
  <c r="S2296" i="3"/>
  <c r="S2296" i="3" a="1"/>
  <c r="S34" i="3" a="1"/>
  <c r="U34" i="3"/>
  <c r="AC34" i="3"/>
  <c r="S1144" i="3" a="1"/>
  <c r="U1144" i="3"/>
  <c r="AC1144" i="3"/>
  <c r="S1516" i="3" a="1"/>
  <c r="U1516" i="3"/>
  <c r="AC1516" i="3"/>
  <c r="S2821" i="3"/>
  <c r="S1085" i="3" a="1"/>
  <c r="U1085" i="3"/>
  <c r="AC1085" i="3"/>
  <c r="AC864" i="3"/>
  <c r="U864" i="3"/>
  <c r="S864" i="3"/>
  <c r="S864" i="3" a="1"/>
  <c r="S513" i="3" a="1"/>
  <c r="U513" i="3"/>
  <c r="AC513" i="3"/>
  <c r="AC2552" i="3"/>
  <c r="U2552" i="3"/>
  <c r="S2552" i="3"/>
  <c r="S2552" i="3" a="1"/>
  <c r="S347" i="3"/>
  <c r="S1168" i="3"/>
  <c r="S504" i="3" a="1"/>
  <c r="U504" i="3"/>
  <c r="AC504" i="3"/>
  <c r="AC829" i="3"/>
  <c r="U829" i="3"/>
  <c r="S829" i="3"/>
  <c r="S829" i="3" a="1"/>
  <c r="AC508" i="3"/>
  <c r="U508" i="3"/>
  <c r="S508" i="3"/>
  <c r="S508" i="3" a="1"/>
  <c r="S582" i="3"/>
  <c r="S2566" i="3" a="1"/>
  <c r="U2566" i="3"/>
  <c r="AC2566" i="3"/>
  <c r="S2734" i="3"/>
  <c r="S1573" i="3" a="1"/>
  <c r="U1573" i="3"/>
  <c r="AC1573" i="3"/>
  <c r="S2779" i="3"/>
  <c r="S481" i="3"/>
  <c r="AC1967" i="3"/>
  <c r="U1967" i="3"/>
  <c r="S1967" i="3"/>
  <c r="S1967" i="3" a="1"/>
  <c r="S138" i="3"/>
  <c r="S150" i="3"/>
  <c r="S1989" i="3"/>
  <c r="S1173" i="3"/>
  <c r="S1927" i="3" a="1"/>
  <c r="U1927" i="3"/>
  <c r="AC1927" i="3"/>
  <c r="S355" i="3" a="1"/>
  <c r="U355" i="3"/>
  <c r="AC355" i="3"/>
  <c r="S1579" i="3" a="1"/>
  <c r="U1579" i="3"/>
  <c r="AC1579" i="3"/>
  <c r="AC1187" i="3"/>
  <c r="U1187" i="3"/>
  <c r="S1187" i="3"/>
  <c r="S1187" i="3" a="1"/>
  <c r="S214" i="3"/>
  <c r="T93" i="23"/>
  <c r="AC1774" i="3"/>
  <c r="U1774" i="3"/>
  <c r="S1774" i="3"/>
  <c r="S1774" i="3" a="1"/>
  <c r="AC2214" i="3"/>
  <c r="U2214" i="3"/>
  <c r="S2214" i="3"/>
  <c r="S2214" i="3" a="1"/>
  <c r="AC2425" i="3"/>
  <c r="U2425" i="3"/>
  <c r="S2425" i="3"/>
  <c r="S2425" i="3" a="1"/>
  <c r="AC1093" i="3"/>
  <c r="U1093" i="3"/>
  <c r="S1093" i="3"/>
  <c r="S1093" i="3" a="1"/>
  <c r="AC1096" i="3"/>
  <c r="U1096" i="3"/>
  <c r="S1096" i="3"/>
  <c r="S1096" i="3" a="1"/>
  <c r="S1803" i="3"/>
  <c r="S1825" i="3" a="1"/>
  <c r="U1825" i="3"/>
  <c r="AC1825" i="3"/>
  <c r="AC174" i="3"/>
  <c r="U174" i="3"/>
  <c r="S174" i="3"/>
  <c r="S174" i="3" a="1"/>
  <c r="AC2422" i="3"/>
  <c r="U2422" i="3"/>
  <c r="S2422" i="3"/>
  <c r="S2422" i="3" a="1"/>
  <c r="S195" i="3"/>
  <c r="AC1728" i="3"/>
  <c r="U1728" i="3"/>
  <c r="S1728" i="3"/>
  <c r="S1728" i="3" a="1"/>
  <c r="S1123" i="3"/>
  <c r="AC690" i="3"/>
  <c r="U690" i="3"/>
  <c r="S690" i="3"/>
  <c r="S690" i="3" a="1"/>
  <c r="S935" i="3" a="1"/>
  <c r="U935" i="3"/>
  <c r="AC935" i="3"/>
  <c r="S2002" i="3" a="1"/>
  <c r="U2002" i="3"/>
  <c r="AC2002" i="3"/>
  <c r="S254" i="3"/>
  <c r="S748" i="3"/>
  <c r="S1887" i="3" a="1"/>
  <c r="U1887" i="3"/>
  <c r="AC1887" i="3"/>
  <c r="S1289" i="3" a="1"/>
  <c r="U1289" i="3"/>
  <c r="AC1289" i="3"/>
  <c r="S1930" i="3" a="1"/>
  <c r="U1930" i="3"/>
  <c r="AC1930" i="3"/>
  <c r="AC2190" i="3"/>
  <c r="U2190" i="3"/>
  <c r="S2190" i="3"/>
  <c r="S2190" i="3" a="1"/>
  <c r="AC1719" i="3"/>
  <c r="U1719" i="3"/>
  <c r="S1719" i="3"/>
  <c r="S1719" i="3" a="1"/>
  <c r="AC1380" i="3"/>
  <c r="U1380" i="3"/>
  <c r="S1380" i="3"/>
  <c r="S1380" i="3" a="1"/>
  <c r="S2216" i="3"/>
  <c r="S825" i="3" a="1"/>
  <c r="U825" i="3"/>
  <c r="AC825" i="3"/>
  <c r="S1605" i="3" a="1"/>
  <c r="U1605" i="3"/>
  <c r="AC1605" i="3"/>
  <c r="S1196" i="3" a="1"/>
  <c r="U1196" i="3"/>
  <c r="AC1196" i="3"/>
  <c r="AC2090" i="3"/>
  <c r="U2090" i="3"/>
  <c r="S2090" i="3"/>
  <c r="S2090" i="3" a="1"/>
  <c r="S1210" i="3" a="1"/>
  <c r="U1210" i="3"/>
  <c r="AC1210" i="3"/>
  <c r="S1247" i="3" a="1"/>
  <c r="U1247" i="3"/>
  <c r="AC1247" i="3"/>
  <c r="AC2203" i="3"/>
  <c r="U2203" i="3"/>
  <c r="S2203" i="3"/>
  <c r="S2203" i="3" a="1"/>
  <c r="T82" i="23"/>
  <c r="R82" i="23"/>
  <c r="R82" i="23" a="1"/>
  <c r="AC1810" i="3"/>
  <c r="U1810" i="3"/>
  <c r="S1810" i="3"/>
  <c r="S1810" i="3" a="1"/>
  <c r="S35" i="3"/>
  <c r="S1276" i="3"/>
  <c r="S489" i="3"/>
  <c r="S1185" i="3" a="1"/>
  <c r="U1185" i="3"/>
  <c r="AC1185" i="3"/>
  <c r="S851" i="3" a="1"/>
  <c r="U851" i="3"/>
  <c r="AC851" i="3"/>
  <c r="AC1114" i="3"/>
  <c r="U1114" i="3"/>
  <c r="S1114" i="3"/>
  <c r="S1114" i="3" a="1"/>
  <c r="S834" i="3"/>
  <c r="S1955" i="3"/>
  <c r="S1450" i="3"/>
  <c r="AC1460" i="3"/>
  <c r="U1460" i="3"/>
  <c r="S1460" i="3"/>
  <c r="S1460" i="3" a="1"/>
  <c r="N83" i="23"/>
  <c r="L83" i="23"/>
  <c r="S1089" i="3" a="1"/>
  <c r="U1089" i="3"/>
  <c r="AC1089" i="3"/>
  <c r="S661" i="3" a="1"/>
  <c r="U661" i="3"/>
  <c r="AC661" i="3"/>
  <c r="AC663" i="3"/>
  <c r="U663" i="3"/>
  <c r="S663" i="3"/>
  <c r="S663" i="3" a="1"/>
  <c r="T46" i="23"/>
  <c r="R46" i="23"/>
  <c r="R46" i="23" a="1"/>
  <c r="AC949" i="3"/>
  <c r="U949" i="3"/>
  <c r="S949" i="3"/>
  <c r="S949" i="3" a="1"/>
  <c r="S2311" i="3"/>
  <c r="S769" i="3" a="1"/>
  <c r="U769" i="3"/>
  <c r="AC769" i="3"/>
  <c r="AC91" i="3"/>
  <c r="U91" i="3"/>
  <c r="S91" i="3"/>
  <c r="S91" i="3" a="1"/>
  <c r="S1234" i="3" a="1"/>
  <c r="U1234" i="3"/>
  <c r="AC1234" i="3"/>
  <c r="S2249" i="3"/>
  <c r="S782" i="3" a="1"/>
  <c r="U782" i="3"/>
  <c r="AC782" i="3"/>
  <c r="S2076" i="3" a="1"/>
  <c r="U2076" i="3"/>
  <c r="AC2076" i="3"/>
  <c r="S1568" i="3"/>
  <c r="S401" i="3"/>
  <c r="S635" i="3"/>
  <c r="S2008" i="3"/>
  <c r="S771" i="3"/>
  <c r="S1918" i="3"/>
  <c r="AC68" i="3"/>
  <c r="U68" i="3"/>
  <c r="S68" i="3"/>
  <c r="S68" i="3" a="1"/>
  <c r="AC455" i="3"/>
  <c r="U455" i="3"/>
  <c r="S455" i="3"/>
  <c r="S455" i="3" a="1"/>
  <c r="AC2021" i="3"/>
  <c r="U2021" i="3"/>
  <c r="S2021" i="3"/>
  <c r="S2021" i="3" a="1"/>
  <c r="S2535" i="3" a="1"/>
  <c r="U2535" i="3"/>
  <c r="AC2535" i="3"/>
  <c r="S2312" i="3"/>
  <c r="S1216" i="3"/>
  <c r="S183" i="3"/>
  <c r="AC2671" i="3"/>
  <c r="U2671" i="3"/>
  <c r="S2671" i="3"/>
  <c r="S2671" i="3" a="1"/>
  <c r="T105" i="23"/>
  <c r="R105" i="23"/>
  <c r="R105" i="23" a="1"/>
  <c r="AC2096" i="3"/>
  <c r="U2096" i="3"/>
  <c r="S2096" i="3"/>
  <c r="S2096" i="3" a="1"/>
  <c r="AC547" i="3"/>
  <c r="U547" i="3"/>
  <c r="S547" i="3"/>
  <c r="S547" i="3" a="1"/>
  <c r="N6" i="23"/>
  <c r="L6" i="23"/>
  <c r="S2557" i="3" a="1"/>
  <c r="U2557" i="3"/>
  <c r="AC2557" i="3"/>
  <c r="S2780" i="3"/>
  <c r="S2398" i="3"/>
  <c r="S1435" i="3"/>
  <c r="S2401" i="3"/>
  <c r="T25" i="23"/>
  <c r="R25" i="23"/>
  <c r="R25" i="23" a="1"/>
  <c r="S463" i="3"/>
  <c r="E184" i="11"/>
  <c r="S184" i="11"/>
  <c r="S2721" i="3"/>
  <c r="S919" i="3" a="1"/>
  <c r="U919" i="3"/>
  <c r="AC919" i="3"/>
  <c r="S1801" i="3" a="1"/>
  <c r="U1801" i="3"/>
  <c r="AC1801" i="3"/>
  <c r="S2037" i="3" a="1"/>
  <c r="U2037" i="3"/>
  <c r="AC2037" i="3"/>
  <c r="S149" i="3" a="1"/>
  <c r="U149" i="3"/>
  <c r="AC149" i="3"/>
  <c r="S1040" i="3" a="1"/>
  <c r="U1040" i="3"/>
  <c r="AC1040" i="3"/>
  <c r="S1060" i="3" a="1"/>
  <c r="U1060" i="3"/>
  <c r="AC1060" i="3"/>
  <c r="AC614" i="3"/>
  <c r="U614" i="3"/>
  <c r="S614" i="3"/>
  <c r="S614" i="3" a="1"/>
  <c r="AC1837" i="3"/>
  <c r="U1837" i="3"/>
  <c r="S1837" i="3"/>
  <c r="S1837" i="3" a="1"/>
  <c r="T59" i="23"/>
  <c r="R59" i="23"/>
  <c r="R59" i="23" a="1"/>
  <c r="S2514" i="3" a="1"/>
  <c r="U2514" i="3"/>
  <c r="AC2514" i="3"/>
  <c r="S1028" i="3" a="1"/>
  <c r="U1028" i="3"/>
  <c r="AC1028" i="3"/>
  <c r="S2082" i="3" a="1"/>
  <c r="U2082" i="3"/>
  <c r="AC2082" i="3"/>
  <c r="S264" i="3" a="1"/>
  <c r="U264" i="3"/>
  <c r="AC264" i="3"/>
  <c r="S1055" i="3" a="1"/>
  <c r="U1055" i="3"/>
  <c r="AC1055" i="3"/>
  <c r="S2004" i="3" a="1"/>
  <c r="U2004" i="3"/>
  <c r="AC2004" i="3"/>
  <c r="S217" i="3" a="1"/>
  <c r="U217" i="3"/>
  <c r="AC217" i="3"/>
  <c r="S1151" i="3" a="1"/>
  <c r="U1151" i="3"/>
  <c r="AC1151" i="3"/>
  <c r="S1088" i="3" a="1"/>
  <c r="U1088" i="3"/>
  <c r="AC1088" i="3"/>
  <c r="S519" i="3" a="1"/>
  <c r="U519" i="3"/>
  <c r="AC519" i="3"/>
  <c r="S1463" i="3" a="1"/>
  <c r="U1463" i="3"/>
  <c r="AC1463" i="3"/>
  <c r="S536" i="3"/>
  <c r="S1943" i="3"/>
  <c r="S1898" i="3"/>
  <c r="S288" i="3"/>
  <c r="S1872" i="3" a="1"/>
  <c r="U1872" i="3"/>
  <c r="AC1872" i="3"/>
  <c r="S2672" i="3" a="1"/>
  <c r="U2672" i="3"/>
  <c r="AC2672" i="3"/>
  <c r="S2708" i="3" a="1"/>
  <c r="U2708" i="3"/>
  <c r="AC2708" i="3"/>
  <c r="S298" i="3" a="1"/>
  <c r="U298" i="3"/>
  <c r="AC298" i="3"/>
  <c r="S2436" i="3"/>
  <c r="S908" i="3" a="1"/>
  <c r="U908" i="3"/>
  <c r="AC908" i="3"/>
  <c r="AC80" i="3"/>
  <c r="U80" i="3"/>
  <c r="S80" i="3"/>
  <c r="S80" i="3" a="1"/>
  <c r="AC920" i="3"/>
  <c r="U920" i="3"/>
  <c r="S920" i="3"/>
  <c r="S920" i="3" a="1"/>
  <c r="S2680" i="3"/>
  <c r="S478" i="3" a="1"/>
  <c r="U478" i="3"/>
  <c r="AC478" i="3"/>
  <c r="S2719" i="3" a="1"/>
  <c r="U2719" i="3"/>
  <c r="AC2719" i="3"/>
  <c r="S2435" i="3" a="1"/>
  <c r="U2435" i="3"/>
  <c r="AC2435" i="3"/>
  <c r="S246" i="3" a="1"/>
  <c r="U246" i="3"/>
  <c r="AC246" i="3"/>
  <c r="S1120" i="3" a="1"/>
  <c r="U1120" i="3"/>
  <c r="AC1120" i="3"/>
  <c r="S2237" i="3" a="1"/>
  <c r="U2237" i="3"/>
  <c r="AC2237" i="3"/>
  <c r="S611" i="3"/>
  <c r="S1758" i="3"/>
  <c r="S282" i="3"/>
  <c r="S860" i="3"/>
  <c r="S2194" i="3"/>
  <c r="S876" i="3"/>
  <c r="S1308" i="3"/>
  <c r="S2787" i="3"/>
  <c r="AC1281" i="3"/>
  <c r="U1281" i="3"/>
  <c r="S1281" i="3"/>
  <c r="S1281" i="3" a="1"/>
  <c r="S2772" i="3" a="1"/>
  <c r="U2772" i="3"/>
  <c r="AC2772" i="3"/>
  <c r="S234" i="3"/>
  <c r="N59" i="23"/>
  <c r="L59" i="23"/>
  <c r="S1654" i="3"/>
  <c r="S212" i="3"/>
  <c r="S2354" i="3" a="1"/>
  <c r="U2354" i="3"/>
  <c r="AC2354" i="3"/>
  <c r="S2158" i="3" a="1"/>
  <c r="U2158" i="3"/>
  <c r="AC2158" i="3"/>
  <c r="S929" i="3" a="1"/>
  <c r="U929" i="3"/>
  <c r="AC929" i="3"/>
  <c r="S2174" i="3"/>
  <c r="S1781" i="3"/>
  <c r="S339" i="3" a="1"/>
  <c r="U339" i="3"/>
  <c r="AC339" i="3"/>
  <c r="S553" i="3"/>
  <c r="T88" i="23"/>
  <c r="R88" i="23"/>
  <c r="R88" i="23" a="1"/>
  <c r="S2236" i="3" a="1"/>
  <c r="U2236" i="3"/>
  <c r="AC2236" i="3"/>
  <c r="S1416" i="3"/>
  <c r="S2773" i="3" a="1"/>
  <c r="U2773" i="3"/>
  <c r="AC2773" i="3"/>
  <c r="S465" i="3" a="1"/>
  <c r="U465" i="3"/>
  <c r="AC465" i="3"/>
  <c r="S2348" i="3"/>
  <c r="N338" i="3"/>
  <c r="L338" i="3"/>
  <c r="S1068" i="3" a="1"/>
  <c r="U1068" i="3"/>
  <c r="AC1068" i="3"/>
  <c r="S1793" i="3" a="1"/>
  <c r="U1793" i="3"/>
  <c r="AC1793" i="3"/>
  <c r="S786" i="3"/>
  <c r="S664" i="3" a="1"/>
  <c r="U664" i="3"/>
  <c r="AC664" i="3"/>
  <c r="S2705" i="3" a="1"/>
  <c r="U2705" i="3"/>
  <c r="AC2705" i="3"/>
  <c r="S1860" i="3"/>
  <c r="S894" i="3" a="1"/>
  <c r="U894" i="3"/>
  <c r="AC894" i="3"/>
  <c r="S138" i="3" a="1"/>
  <c r="U138" i="3"/>
  <c r="AC138" i="3"/>
  <c r="N53" i="23"/>
  <c r="L53" i="23"/>
  <c r="S622" i="3" a="1"/>
  <c r="U622" i="3"/>
  <c r="AC622" i="3"/>
  <c r="S890" i="3" a="1"/>
  <c r="U890" i="3"/>
  <c r="AC890" i="3"/>
  <c r="C5" i="28"/>
  <c r="C4" i="28"/>
  <c r="C2" i="28"/>
  <c r="C3" i="28"/>
  <c r="K2" i="28"/>
  <c r="H2" i="28"/>
  <c r="C6" i="28"/>
  <c r="AC2676" i="3"/>
  <c r="M2" i="28"/>
  <c r="S2676" i="3" a="1"/>
  <c r="U2676" i="3"/>
  <c r="S185" i="11"/>
  <c r="S1748" i="3" a="1"/>
  <c r="U1748" i="3"/>
  <c r="AC1748" i="3"/>
  <c r="U2825" i="3"/>
  <c r="S2825" i="3"/>
  <c r="S2825" i="3" a="1"/>
  <c r="S1141" i="3" a="1"/>
  <c r="U1141" i="3"/>
  <c r="AC1141" i="3"/>
  <c r="S2118" i="3" a="1"/>
  <c r="U2118" i="3"/>
  <c r="AC2118" i="3"/>
  <c r="S2486" i="3" a="1"/>
  <c r="U2486" i="3"/>
  <c r="AC2486" i="3"/>
  <c r="S2658" i="3" a="1"/>
  <c r="U2658" i="3"/>
  <c r="AC2658" i="3"/>
  <c r="S591" i="3" a="1"/>
  <c r="U591" i="3"/>
  <c r="AC591" i="3"/>
  <c r="S954" i="3" a="1"/>
  <c r="U954" i="3"/>
  <c r="AC954" i="3"/>
  <c r="S2707" i="3"/>
  <c r="AC385" i="3"/>
  <c r="U385" i="3"/>
  <c r="S385" i="3"/>
  <c r="S385" i="3" a="1"/>
  <c r="AC1626" i="3"/>
  <c r="U1626" i="3"/>
  <c r="S1626" i="3"/>
  <c r="S1626" i="3" a="1"/>
  <c r="S819" i="3"/>
  <c r="S1102" i="3"/>
  <c r="S21" i="3"/>
  <c r="S578" i="3"/>
  <c r="T112" i="23"/>
  <c r="R112" i="23"/>
  <c r="R112" i="23" a="1"/>
  <c r="AC1237" i="3"/>
  <c r="U1237" i="3"/>
  <c r="S1237" i="3"/>
  <c r="S1237" i="3" a="1"/>
  <c r="AC89" i="3"/>
  <c r="U89" i="3"/>
  <c r="S89" i="3"/>
  <c r="S89" i="3" a="1"/>
  <c r="S441" i="3"/>
  <c r="S813" i="3"/>
  <c r="AC2581" i="3"/>
  <c r="U2581" i="3"/>
  <c r="S2581" i="3"/>
  <c r="S2581" i="3" a="1"/>
  <c r="S2642" i="3"/>
  <c r="S224" i="3" a="1"/>
  <c r="U224" i="3"/>
  <c r="AC224" i="3"/>
  <c r="S2556" i="3"/>
  <c r="S2272" i="3" a="1"/>
  <c r="U2272" i="3"/>
  <c r="AC2272" i="3"/>
  <c r="AC1815" i="3"/>
  <c r="U1815" i="3"/>
  <c r="S1815" i="3"/>
  <c r="S1815" i="3" a="1"/>
  <c r="AC193" i="3"/>
  <c r="U193" i="3"/>
  <c r="S193" i="3"/>
  <c r="S193" i="3" a="1"/>
  <c r="S1127" i="3" a="1"/>
  <c r="U1127" i="3"/>
  <c r="AC1127" i="3"/>
  <c r="AC398" i="3"/>
  <c r="U398" i="3"/>
  <c r="S398" i="3"/>
  <c r="S398" i="3" a="1"/>
  <c r="AC2555" i="3"/>
  <c r="U2555" i="3"/>
  <c r="S2555" i="3"/>
  <c r="S2555" i="3" a="1"/>
  <c r="S253" i="3"/>
  <c r="S310" i="3"/>
  <c r="S2667" i="3"/>
  <c r="AC1529" i="3"/>
  <c r="U1529" i="3"/>
  <c r="S1529" i="3"/>
  <c r="S1529" i="3" a="1"/>
  <c r="S1421" i="3" a="1"/>
  <c r="U1421" i="3"/>
  <c r="AC1421" i="3"/>
  <c r="AC2333" i="3"/>
  <c r="U2333" i="3"/>
  <c r="S2333" i="3"/>
  <c r="S2333" i="3" a="1"/>
  <c r="N61" i="23"/>
  <c r="L61" i="23"/>
  <c r="S470" i="3"/>
  <c r="N37" i="23"/>
  <c r="L37" i="23"/>
  <c r="S2692" i="3"/>
  <c r="AC2543" i="3"/>
  <c r="U2543" i="3"/>
  <c r="S2543" i="3"/>
  <c r="S2543" i="3" a="1"/>
  <c r="AC1407" i="3"/>
  <c r="U1407" i="3"/>
  <c r="S1407" i="3"/>
  <c r="S1407" i="3" a="1"/>
  <c r="S347" i="3" a="1"/>
  <c r="U347" i="3"/>
  <c r="AC347" i="3"/>
  <c r="S1168" i="3" a="1"/>
  <c r="U1168" i="3"/>
  <c r="AC1168" i="3"/>
  <c r="AC2744" i="3"/>
  <c r="U2744" i="3"/>
  <c r="S2744" i="3"/>
  <c r="S2744" i="3" a="1"/>
  <c r="S2356" i="3"/>
  <c r="AC1231" i="3"/>
  <c r="U1231" i="3"/>
  <c r="S1231" i="3"/>
  <c r="S1231" i="3" a="1"/>
  <c r="AC1986" i="3"/>
  <c r="U1986" i="3"/>
  <c r="S1986" i="3"/>
  <c r="S1986" i="3" a="1"/>
  <c r="S582" i="3" a="1"/>
  <c r="U582" i="3"/>
  <c r="AC582" i="3"/>
  <c r="S2734" i="3" a="1"/>
  <c r="U2734" i="3"/>
  <c r="AC2734" i="3"/>
  <c r="AC500" i="3"/>
  <c r="U500" i="3"/>
  <c r="S500" i="3"/>
  <c r="S500" i="3" a="1"/>
  <c r="S467" i="3"/>
  <c r="T69" i="23"/>
  <c r="S481" i="3" a="1"/>
  <c r="U481" i="3"/>
  <c r="AC481" i="3"/>
  <c r="S177" i="3"/>
  <c r="S150" i="3" a="1"/>
  <c r="U150" i="3"/>
  <c r="AC150" i="3"/>
  <c r="S248" i="3"/>
  <c r="S596" i="3"/>
  <c r="S1173" i="3" a="1"/>
  <c r="U1173" i="3"/>
  <c r="AC1173" i="3"/>
  <c r="S1395" i="3"/>
  <c r="S214" i="3" a="1"/>
  <c r="U214" i="3"/>
  <c r="AC214" i="3"/>
  <c r="R93" i="23" a="1"/>
  <c r="U328" i="3"/>
  <c r="AC328" i="3"/>
  <c r="AC714" i="3"/>
  <c r="U714" i="3"/>
  <c r="S714" i="3"/>
  <c r="S714" i="3" a="1"/>
  <c r="AC849" i="3"/>
  <c r="U849" i="3"/>
  <c r="S849" i="3"/>
  <c r="S849" i="3" a="1"/>
  <c r="AC1585" i="3"/>
  <c r="U1585" i="3"/>
  <c r="S1585" i="3"/>
  <c r="S1585" i="3" a="1"/>
  <c r="AC130" i="3"/>
  <c r="U130" i="3"/>
  <c r="S130" i="3"/>
  <c r="S130" i="3" a="1"/>
  <c r="AC789" i="3"/>
  <c r="U789" i="3"/>
  <c r="S789" i="3"/>
  <c r="S789" i="3" a="1"/>
  <c r="AC1241" i="3"/>
  <c r="U1241" i="3"/>
  <c r="S1241" i="3"/>
  <c r="S1241" i="3" a="1"/>
  <c r="S2634" i="3"/>
  <c r="S1803" i="3" a="1"/>
  <c r="U1803" i="3"/>
  <c r="AC1803" i="3"/>
  <c r="AC168" i="3"/>
  <c r="U168" i="3"/>
  <c r="S168" i="3"/>
  <c r="S168" i="3" a="1"/>
  <c r="S897" i="3"/>
  <c r="S1799" i="3"/>
  <c r="T16" i="23"/>
  <c r="R16" i="23"/>
  <c r="R16" i="23" a="1"/>
  <c r="S1623" i="3"/>
  <c r="S1214" i="3"/>
  <c r="S195" i="3" a="1"/>
  <c r="U195" i="3"/>
  <c r="AC195" i="3"/>
  <c r="S839" i="3"/>
  <c r="S1885" i="3"/>
  <c r="N123" i="23"/>
  <c r="L123" i="23"/>
  <c r="S245" i="3"/>
  <c r="S1123" i="3" a="1"/>
  <c r="U1123" i="3"/>
  <c r="AC1123" i="3"/>
  <c r="AC1436" i="3"/>
  <c r="U1436" i="3"/>
  <c r="S1436" i="3"/>
  <c r="S1436" i="3" a="1"/>
  <c r="AC1361" i="3"/>
  <c r="U1361" i="3"/>
  <c r="S1361" i="3"/>
  <c r="S1361" i="3" a="1"/>
  <c r="S254" i="3" a="1"/>
  <c r="U254" i="3"/>
  <c r="AC254" i="3"/>
  <c r="S748" i="3" a="1"/>
  <c r="U748" i="3"/>
  <c r="AC748" i="3"/>
  <c r="AC2061" i="3"/>
  <c r="U2061" i="3"/>
  <c r="S2061" i="3"/>
  <c r="S2061" i="3" a="1"/>
  <c r="S2106" i="3"/>
  <c r="S1179" i="3"/>
  <c r="S2216" i="3" a="1"/>
  <c r="U2216" i="3"/>
  <c r="AC2216" i="3"/>
  <c r="S1090" i="3"/>
  <c r="AC2304" i="3"/>
  <c r="U2304" i="3"/>
  <c r="S2304" i="3"/>
  <c r="S2304" i="3" a="1"/>
  <c r="S540" i="3"/>
  <c r="S613" i="3"/>
  <c r="S1273" i="3"/>
  <c r="AC1470" i="3"/>
  <c r="U1470" i="3"/>
  <c r="S1470" i="3"/>
  <c r="S1470" i="3" a="1"/>
  <c r="AC1805" i="3"/>
  <c r="U1805" i="3"/>
  <c r="S1805" i="3"/>
  <c r="S1805" i="3" a="1"/>
  <c r="S902" i="3"/>
  <c r="S2788" i="3"/>
  <c r="S1438" i="3"/>
  <c r="S35" i="3" a="1"/>
  <c r="U35" i="3"/>
  <c r="AC35" i="3"/>
  <c r="S1276" i="3" a="1"/>
  <c r="U1276" i="3"/>
  <c r="AC1276" i="3"/>
  <c r="S489" i="3" a="1"/>
  <c r="U489" i="3"/>
  <c r="AC489" i="3"/>
  <c r="AC2048" i="3"/>
  <c r="U2048" i="3"/>
  <c r="S2048" i="3"/>
  <c r="S2048" i="3" a="1"/>
  <c r="AC2389" i="3"/>
  <c r="U2389" i="3"/>
  <c r="S2389" i="3"/>
  <c r="S2389" i="3" a="1"/>
  <c r="S834" i="3" a="1"/>
  <c r="U834" i="3"/>
  <c r="AC834" i="3"/>
  <c r="S1955" i="3" a="1"/>
  <c r="U1955" i="3"/>
  <c r="AC1955" i="3"/>
  <c r="S189" i="3"/>
  <c r="S33" i="3"/>
  <c r="AC1156" i="3"/>
  <c r="U1156" i="3"/>
  <c r="S1156" i="3"/>
  <c r="S1156" i="3" a="1"/>
  <c r="S1450" i="3" a="1"/>
  <c r="U1450" i="3"/>
  <c r="AC1450" i="3"/>
  <c r="AC271" i="3"/>
  <c r="U271" i="3"/>
  <c r="S271" i="3"/>
  <c r="S271" i="3" a="1"/>
  <c r="S1679" i="3"/>
  <c r="S2573" i="3"/>
  <c r="S2311" i="3" a="1"/>
  <c r="U2311" i="3"/>
  <c r="AC2311" i="3"/>
  <c r="AC2482" i="3"/>
  <c r="U2482" i="3"/>
  <c r="S2482" i="3"/>
  <c r="S2482" i="3" a="1"/>
  <c r="AC1706" i="3"/>
  <c r="U1706" i="3"/>
  <c r="S1706" i="3"/>
  <c r="S1706" i="3" a="1"/>
  <c r="S2249" i="3" a="1"/>
  <c r="U2249" i="3"/>
  <c r="AC2249" i="3"/>
  <c r="S1632" i="3"/>
  <c r="S1568" i="3" a="1"/>
  <c r="U1568" i="3"/>
  <c r="AC1568" i="3"/>
  <c r="S401" i="3" a="1"/>
  <c r="U401" i="3"/>
  <c r="AC401" i="3"/>
  <c r="S2820" i="3" a="1"/>
  <c r="U2820" i="3"/>
  <c r="S213" i="11"/>
  <c r="E213" i="11"/>
  <c r="S2008" i="3" a="1"/>
  <c r="U2008" i="3"/>
  <c r="AC2008" i="3"/>
  <c r="S771" i="3" a="1"/>
  <c r="U771" i="3"/>
  <c r="AC771" i="3"/>
  <c r="S1918" i="3" a="1"/>
  <c r="U1918" i="3"/>
  <c r="AC1918" i="3"/>
  <c r="AC1890" i="3"/>
  <c r="U1890" i="3"/>
  <c r="S1890" i="3"/>
  <c r="S1890" i="3" a="1"/>
  <c r="S1313" i="3"/>
  <c r="AC242" i="3"/>
  <c r="U242" i="3"/>
  <c r="S242" i="3"/>
  <c r="S242" i="3" a="1"/>
  <c r="S830" i="3"/>
  <c r="U2789" i="3"/>
  <c r="S2789" i="3"/>
  <c r="S2789" i="3" a="1"/>
  <c r="S1383" i="3"/>
  <c r="S2546" i="3"/>
  <c r="S1216" i="3" a="1"/>
  <c r="U1216" i="3"/>
  <c r="AC1216" i="3"/>
  <c r="S183" i="3" a="1"/>
  <c r="U183" i="3"/>
  <c r="AC183" i="3"/>
  <c r="S139" i="3"/>
  <c r="AC216" i="3"/>
  <c r="U216" i="3"/>
  <c r="S216" i="3"/>
  <c r="S216" i="3" a="1"/>
  <c r="AC1256" i="3"/>
  <c r="U1256" i="3"/>
  <c r="S1256" i="3"/>
  <c r="S1256" i="3" a="1"/>
  <c r="AC1392" i="3"/>
  <c r="U1392" i="3"/>
  <c r="S1392" i="3"/>
  <c r="S1392" i="3" a="1"/>
  <c r="AC2210" i="3"/>
  <c r="U2210" i="3"/>
  <c r="S2210" i="3"/>
  <c r="S2210" i="3" a="1"/>
  <c r="AC258" i="3"/>
  <c r="U258" i="3"/>
  <c r="S258" i="3"/>
  <c r="S258" i="3" a="1"/>
  <c r="S2780" i="3" a="1"/>
  <c r="U2780" i="3"/>
  <c r="AC2780" i="3"/>
  <c r="S2398" i="3" a="1"/>
  <c r="U2398" i="3"/>
  <c r="AC2398" i="3"/>
  <c r="S105" i="3"/>
  <c r="S1232" i="3"/>
  <c r="S925" i="3"/>
  <c r="N118" i="23"/>
  <c r="L118" i="23"/>
  <c r="S1435" i="3" a="1"/>
  <c r="U1435" i="3"/>
  <c r="AC1435" i="3"/>
  <c r="S2401" i="3" a="1"/>
  <c r="U2401" i="3"/>
  <c r="AC2401" i="3"/>
  <c r="S378" i="3"/>
  <c r="S2440" i="3"/>
  <c r="S1879" i="3"/>
  <c r="S945" i="3"/>
  <c r="S941" i="3"/>
  <c r="S2123" i="3"/>
  <c r="S1404" i="3"/>
  <c r="S1951" i="3"/>
  <c r="S2209" i="3"/>
  <c r="S2297" i="3"/>
  <c r="S463" i="3" a="1"/>
  <c r="U463" i="3"/>
  <c r="AC463" i="3"/>
  <c r="AC2222" i="3"/>
  <c r="U2222" i="3"/>
  <c r="S2222" i="3"/>
  <c r="S2222" i="3" a="1"/>
  <c r="T35" i="23"/>
  <c r="R35" i="23"/>
  <c r="R35" i="23" a="1"/>
  <c r="S1571" i="3"/>
  <c r="S536" i="3" a="1"/>
  <c r="U536" i="3"/>
  <c r="AC536" i="3"/>
  <c r="S1943" i="3" a="1"/>
  <c r="U1943" i="3"/>
  <c r="AC1943" i="3"/>
  <c r="S1898" i="3" a="1"/>
  <c r="U1898" i="3"/>
  <c r="AC1898" i="3"/>
  <c r="S288" i="3" a="1"/>
  <c r="U288" i="3"/>
  <c r="AC288" i="3"/>
  <c r="S1152" i="3"/>
  <c r="S2803" i="3"/>
  <c r="S2161" i="3"/>
  <c r="S904" i="3"/>
  <c r="S2436" i="3" a="1"/>
  <c r="U2436" i="3"/>
  <c r="AC2436" i="3"/>
  <c r="AC873" i="3"/>
  <c r="U873" i="3"/>
  <c r="S873" i="3"/>
  <c r="S873" i="3" a="1"/>
  <c r="AC1584" i="3"/>
  <c r="U1584" i="3"/>
  <c r="S1584" i="3"/>
  <c r="S1584" i="3" a="1"/>
  <c r="AC1701" i="3"/>
  <c r="U1701" i="3"/>
  <c r="S1701" i="3"/>
  <c r="S1701" i="3" a="1"/>
  <c r="AC1995" i="3"/>
  <c r="U1995" i="3"/>
  <c r="S1995" i="3"/>
  <c r="S1995" i="3" a="1"/>
  <c r="S2680" i="3" a="1"/>
  <c r="U2680" i="3"/>
  <c r="AC2680" i="3"/>
  <c r="S628" i="3"/>
  <c r="S1552" i="3"/>
  <c r="T36" i="23"/>
  <c r="S2175" i="3"/>
  <c r="S2355" i="3"/>
  <c r="AC2647" i="3"/>
  <c r="U2647" i="3"/>
  <c r="S611" i="3" a="1"/>
  <c r="U611" i="3"/>
  <c r="AC611" i="3"/>
  <c r="S1758" i="3" a="1"/>
  <c r="U1758" i="3"/>
  <c r="AC1758" i="3"/>
  <c r="S282" i="3" a="1"/>
  <c r="U282" i="3"/>
  <c r="AC282" i="3"/>
  <c r="S860" i="3" a="1"/>
  <c r="U860" i="3"/>
  <c r="AC860" i="3"/>
  <c r="S2194" i="3" a="1"/>
  <c r="U2194" i="3"/>
  <c r="AC2194" i="3"/>
  <c r="S876" i="3" a="1"/>
  <c r="U876" i="3"/>
  <c r="AC876" i="3"/>
  <c r="S1308" i="3" a="1"/>
  <c r="U1308" i="3"/>
  <c r="AC1308" i="3"/>
  <c r="S2787" i="3" a="1"/>
  <c r="U2787" i="3"/>
  <c r="AC2787" i="3"/>
  <c r="S208" i="3"/>
  <c r="S2279" i="3"/>
  <c r="S837" i="3"/>
  <c r="S234" i="3" a="1"/>
  <c r="U234" i="3"/>
  <c r="AC234" i="3"/>
  <c r="S1654" i="3" a="1"/>
  <c r="U1654" i="3"/>
  <c r="AC1654" i="3"/>
  <c r="S212" i="3" a="1"/>
  <c r="U212" i="3"/>
  <c r="AC212" i="3"/>
  <c r="S533" i="3"/>
  <c r="S418" i="3"/>
  <c r="S1618" i="3"/>
  <c r="S2174" i="3" a="1"/>
  <c r="U2174" i="3"/>
  <c r="AC2174" i="3"/>
  <c r="S1781" i="3" a="1"/>
  <c r="U1781" i="3"/>
  <c r="AC1781" i="3"/>
  <c r="AC2095" i="3"/>
  <c r="U2095" i="3"/>
  <c r="S2095" i="3"/>
  <c r="S2095" i="3" a="1"/>
  <c r="S285" i="3"/>
  <c r="S1443" i="3"/>
  <c r="S1416" i="3" a="1"/>
  <c r="U1416" i="3"/>
  <c r="AC1416" i="3"/>
  <c r="S1027" i="3"/>
  <c r="S1236" i="3"/>
  <c r="S2348" i="3" a="1"/>
  <c r="U2348" i="3"/>
  <c r="AC2348" i="3"/>
  <c r="S1757" i="3"/>
  <c r="S2045" i="3"/>
  <c r="S2102" i="3"/>
  <c r="S1353" i="3"/>
  <c r="S786" i="3" a="1"/>
  <c r="U786" i="3"/>
  <c r="AC786" i="3"/>
  <c r="S674" i="3"/>
  <c r="S1860" i="3" a="1"/>
  <c r="U1860" i="3"/>
  <c r="AC1860" i="3"/>
  <c r="AC2707" i="3"/>
  <c r="AC269" i="3"/>
  <c r="U269" i="3"/>
  <c r="S269" i="3"/>
  <c r="S269" i="3" a="1"/>
  <c r="S819" i="3" a="1"/>
  <c r="U819" i="3"/>
  <c r="AC819" i="3"/>
  <c r="S1102" i="3" a="1"/>
  <c r="U1102" i="3"/>
  <c r="AC1102" i="3"/>
  <c r="S21" i="3" a="1"/>
  <c r="U21" i="3"/>
  <c r="AC21" i="3"/>
  <c r="S951" i="3"/>
  <c r="S578" i="3" a="1"/>
  <c r="U578" i="3"/>
  <c r="AC578" i="3"/>
  <c r="S100" i="3"/>
  <c r="AC1475" i="3"/>
  <c r="U1475" i="3"/>
  <c r="S1475" i="3"/>
  <c r="S1475" i="3" a="1"/>
  <c r="S268" i="3"/>
  <c r="AC1636" i="3"/>
  <c r="U1636" i="3"/>
  <c r="S1636" i="3"/>
  <c r="S1636" i="3" a="1"/>
  <c r="AC23" i="3"/>
  <c r="U23" i="3"/>
  <c r="S23" i="3"/>
  <c r="S23" i="3" a="1"/>
  <c r="S2137" i="3"/>
  <c r="S441" i="3" a="1"/>
  <c r="U441" i="3"/>
  <c r="AC441" i="3"/>
  <c r="S813" i="3" a="1"/>
  <c r="U813" i="3"/>
  <c r="AC813" i="3"/>
  <c r="S2642" i="3" a="1"/>
  <c r="U2642" i="3"/>
  <c r="AC2642" i="3"/>
  <c r="S2466" i="3"/>
  <c r="S2556" i="3" a="1"/>
  <c r="U2556" i="3"/>
  <c r="AC2556" i="3"/>
  <c r="S341" i="3"/>
  <c r="AC2434" i="3"/>
  <c r="U2434" i="3"/>
  <c r="S2434" i="3"/>
  <c r="S2434" i="3" a="1"/>
  <c r="AC297" i="3"/>
  <c r="U297" i="3"/>
  <c r="S297" i="3"/>
  <c r="S297" i="3" a="1"/>
  <c r="S2141" i="3"/>
  <c r="N35" i="23"/>
  <c r="L35" i="23"/>
  <c r="S253" i="3" a="1"/>
  <c r="U253" i="3"/>
  <c r="AC253" i="3"/>
  <c r="S310" i="3" a="1"/>
  <c r="U310" i="3"/>
  <c r="AC310" i="3"/>
  <c r="S2667" i="3" a="1"/>
  <c r="U2667" i="3"/>
  <c r="AC2667" i="3"/>
  <c r="AC185" i="3"/>
  <c r="U185" i="3"/>
  <c r="S185" i="3"/>
  <c r="S185" i="3" a="1"/>
  <c r="S2539" i="3"/>
  <c r="AC1670" i="3"/>
  <c r="U1670" i="3"/>
  <c r="S1670" i="3"/>
  <c r="S1670" i="3" a="1"/>
  <c r="AC992" i="3"/>
  <c r="U992" i="3"/>
  <c r="S992" i="3"/>
  <c r="S992" i="3" a="1"/>
  <c r="AC2515" i="3"/>
  <c r="U2515" i="3"/>
  <c r="S2515" i="3"/>
  <c r="S2515" i="3" a="1"/>
  <c r="AC1012" i="3"/>
  <c r="U1012" i="3"/>
  <c r="S1012" i="3"/>
  <c r="S1012" i="3" a="1"/>
  <c r="S812" i="3"/>
  <c r="AC2338" i="3"/>
  <c r="U2338" i="3"/>
  <c r="S2338" i="3"/>
  <c r="S2338" i="3" a="1"/>
  <c r="S1992" i="3"/>
  <c r="AC2325" i="3"/>
  <c r="U2325" i="3"/>
  <c r="S2325" i="3"/>
  <c r="S2325" i="3" a="1"/>
  <c r="AC2178" i="3"/>
  <c r="U2178" i="3"/>
  <c r="S2178" i="3"/>
  <c r="S2178" i="3" a="1"/>
  <c r="S467" i="3" a="1"/>
  <c r="U467" i="3"/>
  <c r="AC467" i="3"/>
  <c r="R69" i="23" a="1"/>
  <c r="L73" i="23"/>
  <c r="N73" i="23"/>
  <c r="S543" i="3"/>
  <c r="S2726" i="3"/>
  <c r="S248" i="3" a="1"/>
  <c r="U248" i="3"/>
  <c r="AC248" i="3"/>
  <c r="S596" i="3" a="1"/>
  <c r="U596" i="3"/>
  <c r="AC596" i="3"/>
  <c r="S1410" i="3"/>
  <c r="S1905" i="3"/>
  <c r="AC2173" i="3"/>
  <c r="U2173" i="3"/>
  <c r="S2173" i="3"/>
  <c r="S2173" i="3" a="1"/>
  <c r="AC2033" i="3"/>
  <c r="U2033" i="3"/>
  <c r="S2033" i="3"/>
  <c r="S2033" i="3" a="1"/>
  <c r="S1395" i="3" a="1"/>
  <c r="U1395" i="3"/>
  <c r="AC1395" i="3"/>
  <c r="S2036" i="3"/>
  <c r="S368" i="3"/>
  <c r="S1744" i="3"/>
  <c r="S2740" i="3"/>
  <c r="AC221" i="3"/>
  <c r="U221" i="3"/>
  <c r="S221" i="3"/>
  <c r="S221" i="3" a="1"/>
  <c r="AC672" i="3"/>
  <c r="U672" i="3"/>
  <c r="S672" i="3"/>
  <c r="S672" i="3" a="1"/>
  <c r="AC2497" i="3"/>
  <c r="U2497" i="3"/>
  <c r="S2497" i="3"/>
  <c r="S2497" i="3" a="1"/>
  <c r="AC2326" i="3"/>
  <c r="U2326" i="3"/>
  <c r="S2326" i="3"/>
  <c r="S2326" i="3" a="1"/>
  <c r="AC72" i="3"/>
  <c r="U72" i="3"/>
  <c r="S72" i="3"/>
  <c r="S72" i="3" a="1"/>
  <c r="AC552" i="3"/>
  <c r="U552" i="3"/>
  <c r="S552" i="3"/>
  <c r="S552" i="3" a="1"/>
  <c r="R65" i="23"/>
  <c r="AC1870" i="3"/>
  <c r="U1870" i="3"/>
  <c r="S1870" i="3"/>
  <c r="S1870" i="3" a="1"/>
  <c r="T2" i="23"/>
  <c r="S2162" i="3"/>
  <c r="S2634" i="3" a="1"/>
  <c r="U2634" i="3"/>
  <c r="AC2634" i="3"/>
  <c r="T62" i="23"/>
  <c r="R62" i="23"/>
  <c r="R62" i="23" a="1"/>
  <c r="AC1280" i="3"/>
  <c r="U1280" i="3"/>
  <c r="S1280" i="3"/>
  <c r="S1280" i="3" a="1"/>
  <c r="S897" i="3" a="1"/>
  <c r="U897" i="3"/>
  <c r="AC897" i="3"/>
  <c r="S1799" i="3" a="1"/>
  <c r="U1799" i="3"/>
  <c r="AC1799" i="3"/>
  <c r="AC797" i="3"/>
  <c r="U797" i="3"/>
  <c r="S797" i="3"/>
  <c r="S797" i="3" a="1"/>
  <c r="S1623" i="3" a="1"/>
  <c r="U1623" i="3"/>
  <c r="AC1623" i="3"/>
  <c r="S1214" i="3" a="1"/>
  <c r="U1214" i="3"/>
  <c r="AC1214" i="3"/>
  <c r="S839" i="3" a="1"/>
  <c r="U839" i="3"/>
  <c r="AC839" i="3"/>
  <c r="S2062" i="3"/>
  <c r="S1885" i="3" a="1"/>
  <c r="U1885" i="3"/>
  <c r="AC1885" i="3"/>
  <c r="AC16" i="3"/>
  <c r="U16" i="3"/>
  <c r="S16" i="3"/>
  <c r="S16" i="3" a="1"/>
  <c r="S245" i="3" a="1"/>
  <c r="U245" i="3"/>
  <c r="AC245" i="3"/>
  <c r="AC2758" i="3"/>
  <c r="U2758" i="3"/>
  <c r="S2758" i="3"/>
  <c r="S1929" i="3"/>
  <c r="S2739" i="3"/>
  <c r="U2829" i="3"/>
  <c r="S2829" i="3"/>
  <c r="S2829" i="3" a="1"/>
  <c r="S1179" i="3" a="1"/>
  <c r="U1179" i="3"/>
  <c r="AC1179" i="3"/>
  <c r="S2518" i="3"/>
  <c r="S1867" i="3"/>
  <c r="S1051" i="3"/>
  <c r="S1090" i="3" a="1"/>
  <c r="U1090" i="3"/>
  <c r="AC1090" i="3"/>
  <c r="S540" i="3" a="1"/>
  <c r="U540" i="3"/>
  <c r="AC540" i="3"/>
  <c r="S2202" i="3"/>
  <c r="S613" i="3" a="1"/>
  <c r="U613" i="3"/>
  <c r="AC613" i="3"/>
  <c r="S1273" i="3" a="1"/>
  <c r="U1273" i="3"/>
  <c r="AC1273" i="3"/>
  <c r="S1513" i="3"/>
  <c r="S521" i="3"/>
  <c r="S902" i="3" a="1"/>
  <c r="U902" i="3"/>
  <c r="AC902" i="3"/>
  <c r="S1310" i="3"/>
  <c r="S1328" i="3"/>
  <c r="S529" i="3"/>
  <c r="AC487" i="3"/>
  <c r="U487" i="3"/>
  <c r="S487" i="3"/>
  <c r="S487" i="3" a="1"/>
  <c r="AC2081" i="3"/>
  <c r="U2081" i="3"/>
  <c r="S2081" i="3"/>
  <c r="S2081" i="3" a="1"/>
  <c r="S189" i="3" a="1"/>
  <c r="U189" i="3"/>
  <c r="AC189" i="3"/>
  <c r="S852" i="3"/>
  <c r="S2172" i="3"/>
  <c r="S33" i="3" a="1"/>
  <c r="U33" i="3"/>
  <c r="AC33" i="3"/>
  <c r="AC402" i="3"/>
  <c r="U402" i="3"/>
  <c r="S402" i="3"/>
  <c r="S402" i="3" a="1"/>
  <c r="AC1053" i="3"/>
  <c r="U1053" i="3"/>
  <c r="S1053" i="3"/>
  <c r="S1053" i="3" a="1"/>
  <c r="S1811" i="3"/>
  <c r="S1796" i="3"/>
  <c r="S2800" i="3" a="1"/>
  <c r="U2800" i="3"/>
  <c r="S209" i="11"/>
  <c r="E209" i="11"/>
  <c r="AC2197" i="3"/>
  <c r="U2197" i="3"/>
  <c r="S2197" i="3"/>
  <c r="S2197" i="3" a="1"/>
  <c r="AC2243" i="3"/>
  <c r="U2243" i="3"/>
  <c r="S2243" i="3"/>
  <c r="S2243" i="3" a="1"/>
  <c r="AC2286" i="3"/>
  <c r="U2286" i="3"/>
  <c r="S2286" i="3"/>
  <c r="S2286" i="3" a="1"/>
  <c r="S1679" i="3" a="1"/>
  <c r="U1679" i="3"/>
  <c r="AC1679" i="3"/>
  <c r="S2573" i="3" a="1"/>
  <c r="U2573" i="3"/>
  <c r="AC2573" i="3"/>
  <c r="AC260" i="3"/>
  <c r="U260" i="3"/>
  <c r="S260" i="3"/>
  <c r="S260" i="3" a="1"/>
  <c r="S1204" i="3"/>
  <c r="AC2683" i="3"/>
  <c r="U2683" i="3"/>
  <c r="S2683" i="3"/>
  <c r="S794" i="3"/>
  <c r="S1677" i="3"/>
  <c r="S1821" i="3"/>
  <c r="S676" i="3"/>
  <c r="S777" i="3"/>
  <c r="S772" i="3"/>
  <c r="S1591" i="3"/>
  <c r="T40" i="23"/>
  <c r="R40" i="23"/>
  <c r="R40" i="23" a="1"/>
  <c r="S1313" i="3" a="1"/>
  <c r="U1313" i="3"/>
  <c r="AC1313" i="3"/>
  <c r="S830" i="3" a="1"/>
  <c r="U830" i="3"/>
  <c r="AC830" i="3"/>
  <c r="S64" i="3"/>
  <c r="S1383" i="3" a="1"/>
  <c r="U1383" i="3"/>
  <c r="AC1383" i="3"/>
  <c r="S2546" i="3" a="1"/>
  <c r="U2546" i="3"/>
  <c r="AC2546" i="3"/>
  <c r="S139" i="3" a="1"/>
  <c r="U139" i="3"/>
  <c r="AC139" i="3"/>
  <c r="E186" i="11"/>
  <c r="AC1604" i="3"/>
  <c r="U1604" i="3"/>
  <c r="S1604" i="3"/>
  <c r="S1604" i="3" a="1"/>
  <c r="AC1521" i="3"/>
  <c r="U1521" i="3"/>
  <c r="S1521" i="3"/>
  <c r="S1521" i="3" a="1"/>
  <c r="AC1480" i="3"/>
  <c r="U1480" i="3"/>
  <c r="S1480" i="3"/>
  <c r="S1480" i="3" a="1"/>
  <c r="T49" i="23"/>
  <c r="R49" i="23"/>
  <c r="R49" i="23" a="1"/>
  <c r="AC2269" i="3"/>
  <c r="U2269" i="3"/>
  <c r="S2269" i="3"/>
  <c r="S2269" i="3" a="1"/>
  <c r="G25" i="1"/>
  <c r="G25" i="1" a="1"/>
  <c r="E25" i="1"/>
  <c r="E25" i="1" a="1"/>
  <c r="S105" i="3" a="1"/>
  <c r="U105" i="3"/>
  <c r="AC105" i="3"/>
  <c r="S1232" i="3" a="1"/>
  <c r="U1232" i="3"/>
  <c r="AC1232" i="3"/>
  <c r="S925" i="3" a="1"/>
  <c r="U925" i="3"/>
  <c r="AC925" i="3"/>
  <c r="N335" i="3"/>
  <c r="L335" i="3"/>
  <c r="S378" i="3" a="1"/>
  <c r="U378" i="3"/>
  <c r="AC378" i="3"/>
  <c r="S2440" i="3" a="1"/>
  <c r="U2440" i="3"/>
  <c r="AC2440" i="3"/>
  <c r="S1879" i="3" a="1"/>
  <c r="U1879" i="3"/>
  <c r="AC1879" i="3"/>
  <c r="S945" i="3" a="1"/>
  <c r="U945" i="3"/>
  <c r="AC945" i="3"/>
  <c r="S941" i="3" a="1"/>
  <c r="U941" i="3"/>
  <c r="AC941" i="3"/>
  <c r="S2123" i="3" a="1"/>
  <c r="U2123" i="3"/>
  <c r="AC2123" i="3"/>
  <c r="S1404" i="3" a="1"/>
  <c r="U1404" i="3"/>
  <c r="AC1404" i="3"/>
  <c r="S1951" i="3" a="1"/>
  <c r="U1951" i="3"/>
  <c r="AC1951" i="3"/>
  <c r="S2209" i="3" a="1"/>
  <c r="U2209" i="3"/>
  <c r="AC2209" i="3"/>
  <c r="S2297" i="3" a="1"/>
  <c r="U2297" i="3"/>
  <c r="AC2297" i="3"/>
  <c r="S2572" i="3"/>
  <c r="S659" i="3"/>
  <c r="S2720" i="3"/>
  <c r="S295" i="3"/>
  <c r="S1035" i="3"/>
  <c r="AC803" i="3"/>
  <c r="U803" i="3"/>
  <c r="S803" i="3"/>
  <c r="S803" i="3" a="1"/>
  <c r="S1571" i="3" a="1"/>
  <c r="U1571" i="3"/>
  <c r="AC1571" i="3"/>
  <c r="S133" i="3"/>
  <c r="S1152" i="3" a="1"/>
  <c r="U1152" i="3"/>
  <c r="AC1152" i="3"/>
  <c r="S2161" i="3" a="1"/>
  <c r="U2161" i="3"/>
  <c r="AC2161" i="3"/>
  <c r="S904" i="3" a="1"/>
  <c r="U904" i="3"/>
  <c r="AC904" i="3"/>
  <c r="T65" i="23"/>
  <c r="AC2479" i="3"/>
  <c r="U2479" i="3"/>
  <c r="S2479" i="3"/>
  <c r="S2479" i="3" a="1"/>
  <c r="AC2653" i="3"/>
  <c r="U2653" i="3"/>
  <c r="S2653" i="3"/>
  <c r="S2653" i="3" a="1"/>
  <c r="T6" i="23"/>
  <c r="R6" i="23"/>
  <c r="R6" i="23" a="1"/>
  <c r="AC1939" i="3"/>
  <c r="U1939" i="3"/>
  <c r="S1939" i="3"/>
  <c r="S1939" i="3" a="1"/>
  <c r="T94" i="23"/>
  <c r="R94" i="23"/>
  <c r="R94" i="23" a="1"/>
  <c r="AC453" i="3"/>
  <c r="U453" i="3"/>
  <c r="S453" i="3"/>
  <c r="S453" i="3" a="1"/>
  <c r="N110" i="23"/>
  <c r="L110" i="23"/>
  <c r="S628" i="3" a="1"/>
  <c r="U628" i="3"/>
  <c r="AC628" i="3"/>
  <c r="S1552" i="3" a="1"/>
  <c r="U1552" i="3"/>
  <c r="AC1552" i="3"/>
  <c r="R36" i="23" a="1"/>
  <c r="L44" i="23"/>
  <c r="N44" i="23"/>
  <c r="S2175" i="3" a="1"/>
  <c r="U2175" i="3"/>
  <c r="AC2175" i="3"/>
  <c r="S2355" i="3" a="1"/>
  <c r="U2355" i="3"/>
  <c r="AC2355" i="3"/>
  <c r="S225" i="3"/>
  <c r="S1336" i="3"/>
  <c r="S1756" i="3"/>
  <c r="S208" i="3" a="1"/>
  <c r="U208" i="3"/>
  <c r="AC208" i="3"/>
  <c r="S2639" i="3"/>
  <c r="S2279" i="3" a="1"/>
  <c r="U2279" i="3"/>
  <c r="AC2279" i="3"/>
  <c r="S542" i="3"/>
  <c r="S837" i="3" a="1"/>
  <c r="U837" i="3"/>
  <c r="AC837" i="3"/>
  <c r="S984" i="3"/>
  <c r="S2221" i="3"/>
  <c r="S533" i="3" a="1"/>
  <c r="U533" i="3"/>
  <c r="AC533" i="3"/>
  <c r="S479" i="3"/>
  <c r="S418" i="3" a="1"/>
  <c r="U418" i="3"/>
  <c r="AC418" i="3"/>
  <c r="S1082" i="3"/>
  <c r="S285" i="3" a="1"/>
  <c r="U285" i="3"/>
  <c r="AC285" i="3"/>
  <c r="S1443" i="3" a="1"/>
  <c r="U1443" i="3"/>
  <c r="AC1443" i="3"/>
  <c r="S1027" i="3" a="1"/>
  <c r="U1027" i="3"/>
  <c r="AC1027" i="3"/>
  <c r="T61" i="23"/>
  <c r="R61" i="23"/>
  <c r="R61" i="23" a="1"/>
  <c r="S1236" i="3" a="1"/>
  <c r="U1236" i="3"/>
  <c r="AC1236" i="3"/>
  <c r="S1757" i="3" a="1"/>
  <c r="U1757" i="3"/>
  <c r="AC1757" i="3"/>
  <c r="S2045" i="3" a="1"/>
  <c r="U2045" i="3"/>
  <c r="AC2045" i="3"/>
  <c r="S1638" i="3"/>
  <c r="S2102" i="3" a="1"/>
  <c r="U2102" i="3"/>
  <c r="AC2102" i="3"/>
  <c r="S1353" i="3" a="1"/>
  <c r="U1353" i="3"/>
  <c r="AC1353" i="3"/>
  <c r="S9" i="3"/>
  <c r="S792" i="3"/>
  <c r="S674" i="3" a="1"/>
  <c r="U674" i="3"/>
  <c r="AC674" i="3"/>
  <c r="S58" i="3"/>
  <c r="AC2127" i="3"/>
  <c r="U2127" i="3"/>
  <c r="S2127" i="3"/>
  <c r="S2127" i="3" a="1"/>
  <c r="AC1507" i="3"/>
  <c r="U1507" i="3"/>
  <c r="S1507" i="3"/>
  <c r="S1507" i="3" a="1"/>
  <c r="S951" i="3" a="1"/>
  <c r="U951" i="3"/>
  <c r="AC951" i="3"/>
  <c r="S2811" i="3"/>
  <c r="AC2485" i="3"/>
  <c r="U2485" i="3"/>
  <c r="S2485" i="3"/>
  <c r="S2485" i="3" a="1"/>
  <c r="S100" i="3" a="1"/>
  <c r="U100" i="3"/>
  <c r="AC100" i="3"/>
  <c r="S2026" i="3"/>
  <c r="S268" i="3" a="1"/>
  <c r="U268" i="3"/>
  <c r="AC268" i="3"/>
  <c r="S1949" i="3"/>
  <c r="S2137" i="3" a="1"/>
  <c r="U2137" i="3"/>
  <c r="AC2137" i="3"/>
  <c r="AC2100" i="3"/>
  <c r="U2100" i="3"/>
  <c r="S2100" i="3"/>
  <c r="S2100" i="3" a="1"/>
  <c r="AC2103" i="3"/>
  <c r="U2103" i="3"/>
  <c r="S2103" i="3"/>
  <c r="S2103" i="3" a="1"/>
  <c r="S917" i="3"/>
  <c r="AC1603" i="3"/>
  <c r="U1603" i="3"/>
  <c r="S1603" i="3"/>
  <c r="S1603" i="3" a="1"/>
  <c r="S5" i="3"/>
  <c r="S2466" i="3" a="1"/>
  <c r="U2466" i="3"/>
  <c r="AC2466" i="3"/>
  <c r="S548" i="3"/>
  <c r="S341" i="3" a="1"/>
  <c r="U341" i="3"/>
  <c r="AC341" i="3"/>
  <c r="S2523" i="3"/>
  <c r="AC1078" i="3"/>
  <c r="U1078" i="3"/>
  <c r="S1078" i="3"/>
  <c r="S1078" i="3" a="1"/>
  <c r="S2141" i="3" a="1"/>
  <c r="U2141" i="3"/>
  <c r="AC2141" i="3"/>
  <c r="AC160" i="3"/>
  <c r="U160" i="3"/>
  <c r="S160" i="3"/>
  <c r="S160" i="3" a="1"/>
  <c r="AC937" i="3"/>
  <c r="U937" i="3"/>
  <c r="S937" i="3"/>
  <c r="S937" i="3" a="1"/>
  <c r="S1554" i="3"/>
  <c r="N82" i="23"/>
  <c r="L82" i="23"/>
  <c r="S2539" i="3" a="1"/>
  <c r="U2539" i="3"/>
  <c r="AC2539" i="3"/>
  <c r="AC204" i="3"/>
  <c r="U204" i="3"/>
  <c r="S204" i="3"/>
  <c r="S204" i="3" a="1"/>
  <c r="S1429" i="3"/>
  <c r="S1899" i="3"/>
  <c r="S2688" i="3"/>
  <c r="S1839" i="3"/>
  <c r="S812" i="3" a="1"/>
  <c r="U812" i="3"/>
  <c r="AC812" i="3"/>
  <c r="AC1651" i="3"/>
  <c r="U1651" i="3"/>
  <c r="S1651" i="3"/>
  <c r="S1651" i="3" a="1"/>
  <c r="T78" i="23"/>
  <c r="R78" i="23"/>
  <c r="R78" i="23" a="1"/>
  <c r="AC2193" i="3"/>
  <c r="U2193" i="3"/>
  <c r="S2193" i="3"/>
  <c r="S2193" i="3" a="1"/>
  <c r="AC1972" i="3"/>
  <c r="U1972" i="3"/>
  <c r="S1972" i="3"/>
  <c r="S1972" i="3" a="1"/>
  <c r="S587" i="3"/>
  <c r="AC1025" i="3"/>
  <c r="U1025" i="3"/>
  <c r="S1025" i="3"/>
  <c r="S1025" i="3" a="1"/>
  <c r="AC856" i="3"/>
  <c r="U856" i="3"/>
  <c r="S856" i="3"/>
  <c r="S856" i="3" a="1"/>
  <c r="S623" i="3"/>
  <c r="S1540" i="3"/>
  <c r="S2159" i="3"/>
  <c r="AC252" i="3"/>
  <c r="U252" i="3"/>
  <c r="S252" i="3"/>
  <c r="S252" i="3" a="1"/>
  <c r="S543" i="3" a="1"/>
  <c r="U543" i="3"/>
  <c r="AC543" i="3"/>
  <c r="S2726" i="3" a="1"/>
  <c r="U2726" i="3"/>
  <c r="AC2726" i="3"/>
  <c r="S1410" i="3" a="1"/>
  <c r="U1410" i="3"/>
  <c r="AC1410" i="3"/>
  <c r="S2036" i="3" a="1"/>
  <c r="U2036" i="3"/>
  <c r="AC2036" i="3"/>
  <c r="S368" i="3" a="1"/>
  <c r="U368" i="3"/>
  <c r="AC368" i="3"/>
  <c r="S1744" i="3" a="1"/>
  <c r="U1744" i="3"/>
  <c r="AC1744" i="3"/>
  <c r="S2740" i="3" a="1"/>
  <c r="U2740" i="3"/>
  <c r="AC2740" i="3"/>
  <c r="S1501" i="3"/>
  <c r="S2505" i="3"/>
  <c r="N103" i="23"/>
  <c r="L103" i="23"/>
  <c r="AC601" i="3"/>
  <c r="U601" i="3"/>
  <c r="S601" i="3"/>
  <c r="S601" i="3" a="1"/>
  <c r="AC2278" i="3"/>
  <c r="U2278" i="3"/>
  <c r="S2278" i="3"/>
  <c r="S2278" i="3" a="1"/>
  <c r="AC2323" i="3"/>
  <c r="U2323" i="3"/>
  <c r="S2323" i="3"/>
  <c r="S2323" i="3" a="1"/>
  <c r="AC1221" i="3"/>
  <c r="U1221" i="3"/>
  <c r="S1221" i="3"/>
  <c r="S1221" i="3" a="1"/>
  <c r="AC1944" i="3"/>
  <c r="U1944" i="3"/>
  <c r="S1944" i="3"/>
  <c r="S1944" i="3" a="1"/>
  <c r="AC855" i="3"/>
  <c r="U855" i="3"/>
  <c r="S855" i="3"/>
  <c r="S855" i="3" a="1"/>
  <c r="L11" i="23"/>
  <c r="N11" i="23"/>
  <c r="S1873" i="3"/>
  <c r="AC1629" i="3"/>
  <c r="U1629" i="3"/>
  <c r="S1629" i="3"/>
  <c r="S1629" i="3" a="1"/>
  <c r="S2062" i="3" a="1"/>
  <c r="U2062" i="3"/>
  <c r="AC2062" i="3"/>
  <c r="AC1720" i="3"/>
  <c r="U1720" i="3"/>
  <c r="S1720" i="3"/>
  <c r="S1720" i="3" a="1"/>
  <c r="S833" i="3"/>
  <c r="AC2476" i="3"/>
  <c r="U2476" i="3"/>
  <c r="S2476" i="3"/>
  <c r="S2476" i="3" a="1"/>
  <c r="S2153" i="3"/>
  <c r="AC1926" i="3"/>
  <c r="U1926" i="3"/>
  <c r="S1926" i="3"/>
  <c r="S1926" i="3" a="1"/>
  <c r="N109" i="23"/>
  <c r="L109" i="23"/>
  <c r="S1929" i="3" a="1"/>
  <c r="U1929" i="3"/>
  <c r="AC1929" i="3"/>
  <c r="S549" i="3"/>
  <c r="S2739" i="3" a="1"/>
  <c r="U2739" i="3"/>
  <c r="AC2739" i="3"/>
  <c r="S1086" i="3"/>
  <c r="AC2746" i="3"/>
  <c r="U2746" i="3"/>
  <c r="S2746" i="3"/>
  <c r="S2746" i="3" a="1"/>
  <c r="S805" i="3"/>
  <c r="S2518" i="3" a="1"/>
  <c r="U2518" i="3"/>
  <c r="AC2518" i="3"/>
  <c r="S1867" i="3" a="1"/>
  <c r="U1867" i="3"/>
  <c r="AC1867" i="3"/>
  <c r="S1051" i="3" a="1"/>
  <c r="U1051" i="3"/>
  <c r="AC1051" i="3"/>
  <c r="AC1990" i="3"/>
  <c r="U1990" i="3"/>
  <c r="S1990" i="3"/>
  <c r="S1990" i="3" a="1"/>
  <c r="AC684" i="3"/>
  <c r="U684" i="3"/>
  <c r="S684" i="3"/>
  <c r="S684" i="3" a="1"/>
  <c r="S1871" i="3"/>
  <c r="S2749" i="3"/>
  <c r="AC1549" i="3"/>
  <c r="U1549" i="3"/>
  <c r="S1549" i="3"/>
  <c r="S1549" i="3" a="1"/>
  <c r="AC1442" i="3"/>
  <c r="U1442" i="3"/>
  <c r="S1442" i="3"/>
  <c r="S1442" i="3" a="1"/>
  <c r="AC2027" i="3"/>
  <c r="U2027" i="3"/>
  <c r="S2027" i="3"/>
  <c r="S2027" i="3" a="1"/>
  <c r="S2202" i="3" a="1"/>
  <c r="U2202" i="3"/>
  <c r="AC2202" i="3"/>
  <c r="S2225" i="3"/>
  <c r="S1513" i="3" a="1"/>
  <c r="U1513" i="3"/>
  <c r="AC1513" i="3"/>
  <c r="S2679" i="3"/>
  <c r="S124" i="3"/>
  <c r="S2255" i="3"/>
  <c r="AC2113" i="3"/>
  <c r="U2113" i="3"/>
  <c r="S2113" i="3"/>
  <c r="S2113" i="3" a="1"/>
  <c r="S521" i="3" a="1"/>
  <c r="U521" i="3"/>
  <c r="AC521" i="3"/>
  <c r="S550" i="3"/>
  <c r="S713" i="3"/>
  <c r="S2293" i="3"/>
  <c r="S2727" i="3"/>
  <c r="AC1794" i="3"/>
  <c r="U1794" i="3"/>
  <c r="S1794" i="3"/>
  <c r="S1794" i="3" a="1"/>
  <c r="S1310" i="3" a="1"/>
  <c r="U1310" i="3"/>
  <c r="AC1310" i="3"/>
  <c r="S1328" i="3" a="1"/>
  <c r="U1328" i="3"/>
  <c r="AC1328" i="3"/>
  <c r="S2696" i="3"/>
  <c r="S2542" i="3"/>
  <c r="S529" i="3" a="1"/>
  <c r="U529" i="3"/>
  <c r="AC529" i="3"/>
  <c r="S22" i="3"/>
  <c r="S921" i="3"/>
  <c r="AC2584" i="3"/>
  <c r="U2584" i="3"/>
  <c r="S2584" i="3"/>
  <c r="S2584" i="3" a="1"/>
  <c r="S852" i="3" a="1"/>
  <c r="U852" i="3"/>
  <c r="AC852" i="3"/>
  <c r="S2172" i="3" a="1"/>
  <c r="U2172" i="3"/>
  <c r="AC2172" i="3"/>
  <c r="AC363" i="3"/>
  <c r="U363" i="3"/>
  <c r="S363" i="3"/>
  <c r="S363" i="3" a="1"/>
  <c r="S1317" i="3"/>
  <c r="AC967" i="3"/>
  <c r="U967" i="3"/>
  <c r="S967" i="3"/>
  <c r="S967" i="3" a="1"/>
  <c r="AC1363" i="3"/>
  <c r="U1363" i="3"/>
  <c r="S1363" i="3"/>
  <c r="S1363" i="3" a="1"/>
  <c r="S1811" i="3" a="1"/>
  <c r="U1811" i="3"/>
  <c r="AC1811" i="3"/>
  <c r="S1796" i="3" a="1"/>
  <c r="U1796" i="3"/>
  <c r="AC1796" i="3"/>
  <c r="U2826" i="3"/>
  <c r="S2826" i="3"/>
  <c r="S2826" i="3" a="1"/>
  <c r="S158" i="3"/>
  <c r="AC1457" i="3"/>
  <c r="U1457" i="3"/>
  <c r="S1457" i="3"/>
  <c r="S1457" i="3" a="1"/>
  <c r="S1116" i="3"/>
  <c r="S1204" i="3" a="1"/>
  <c r="U1204" i="3"/>
  <c r="AC1204" i="3"/>
  <c r="T55" i="23"/>
  <c r="S1725" i="3"/>
  <c r="S2683" i="3" a="1"/>
  <c r="V2691" i="3"/>
  <c r="AC2183" i="3"/>
  <c r="U2183" i="3"/>
  <c r="S2183" i="3"/>
  <c r="S2183" i="3" a="1"/>
  <c r="S2305" i="3"/>
  <c r="S794" i="3" a="1"/>
  <c r="U794" i="3"/>
  <c r="AC794" i="3"/>
  <c r="S1695" i="3"/>
  <c r="S2569" i="3"/>
  <c r="S1677" i="3" a="1"/>
  <c r="U1677" i="3"/>
  <c r="AC1677" i="3"/>
  <c r="S1821" i="3" a="1"/>
  <c r="U1821" i="3"/>
  <c r="AC1821" i="3"/>
  <c r="S676" i="3" a="1"/>
  <c r="U676" i="3"/>
  <c r="AC676" i="3"/>
  <c r="U2803" i="3"/>
  <c r="S203" i="11"/>
  <c r="E203" i="11"/>
  <c r="S777" i="3" a="1"/>
  <c r="U777" i="3"/>
  <c r="AC777" i="3"/>
  <c r="S772" i="3" a="1"/>
  <c r="U772" i="3"/>
  <c r="AC772" i="3"/>
  <c r="AC2071" i="3"/>
  <c r="U2071" i="3"/>
  <c r="S2071" i="3"/>
  <c r="S2071" i="3" a="1"/>
  <c r="AC1663" i="3"/>
  <c r="U1663" i="3"/>
  <c r="S1663" i="3"/>
  <c r="S1663" i="3" a="1"/>
  <c r="S118" i="3"/>
  <c r="S2213" i="3"/>
  <c r="S2788" i="3" a="1"/>
  <c r="S186" i="11"/>
  <c r="S193" i="11"/>
  <c r="E193" i="11"/>
  <c r="S2721" i="3" a="1"/>
  <c r="U2721" i="3"/>
  <c r="AC2721" i="3"/>
  <c r="AC675" i="3"/>
  <c r="U675" i="3"/>
  <c r="S675" i="3"/>
  <c r="S675" i="3" a="1"/>
  <c r="AC1261" i="3"/>
  <c r="U1261" i="3"/>
  <c r="S1261" i="3"/>
  <c r="S1261" i="3" a="1"/>
  <c r="S474" i="3"/>
  <c r="S2232" i="3"/>
  <c r="S2572" i="3" a="1"/>
  <c r="U2572" i="3"/>
  <c r="AC2572" i="3"/>
  <c r="S659" i="3" a="1"/>
  <c r="U659" i="3"/>
  <c r="AC659" i="3"/>
  <c r="S853" i="3"/>
  <c r="S1052" i="3"/>
  <c r="S2227" i="3"/>
  <c r="S2720" i="3" a="1"/>
  <c r="U2720" i="3"/>
  <c r="AC2720" i="3"/>
  <c r="S295" i="3" a="1"/>
  <c r="U295" i="3"/>
  <c r="AC295" i="3"/>
  <c r="S1035" i="3" a="1"/>
  <c r="U1035" i="3"/>
  <c r="AC1035" i="3"/>
  <c r="S1358" i="3"/>
  <c r="S2622" i="3"/>
  <c r="S325" i="3"/>
  <c r="S2517" i="3"/>
  <c r="S2764" i="3"/>
  <c r="AC1428" i="3"/>
  <c r="U1428" i="3"/>
  <c r="S1428" i="3"/>
  <c r="S1428" i="3" a="1"/>
  <c r="S1015" i="3"/>
  <c r="S367" i="3"/>
  <c r="S1901" i="3"/>
  <c r="S2017" i="3"/>
  <c r="S452" i="3"/>
  <c r="S1852" i="3"/>
  <c r="AB342" i="3"/>
  <c r="S1297" i="3"/>
  <c r="S1627" i="3"/>
  <c r="S2376" i="3"/>
  <c r="S1212" i="3"/>
  <c r="S2135" i="3"/>
  <c r="S133" i="3" a="1"/>
  <c r="U133" i="3"/>
  <c r="AC133" i="3"/>
  <c r="AC2722" i="3"/>
  <c r="S1118" i="3"/>
  <c r="S1473" i="3"/>
  <c r="R65" i="23" a="1"/>
  <c r="L68" i="23"/>
  <c r="N68" i="23"/>
  <c r="AC737" i="3"/>
  <c r="U737" i="3"/>
  <c r="S737" i="3"/>
  <c r="S737" i="3" a="1"/>
  <c r="AC759" i="3"/>
  <c r="U759" i="3"/>
  <c r="S759" i="3"/>
  <c r="S759" i="3" a="1"/>
  <c r="AC222" i="3"/>
  <c r="U222" i="3"/>
  <c r="S222" i="3"/>
  <c r="S222" i="3" a="1"/>
  <c r="AC2362" i="3"/>
  <c r="U2362" i="3"/>
  <c r="S2362" i="3"/>
  <c r="S2362" i="3" a="1"/>
  <c r="AC947" i="3"/>
  <c r="U947" i="3"/>
  <c r="S947" i="3"/>
  <c r="S947" i="3" a="1"/>
  <c r="S818" i="3"/>
  <c r="S580" i="3"/>
  <c r="S2165" i="3"/>
  <c r="S2031" i="3"/>
  <c r="S225" i="3" a="1"/>
  <c r="U225" i="3"/>
  <c r="AC225" i="3"/>
  <c r="S1336" i="3" a="1"/>
  <c r="U1336" i="3"/>
  <c r="AC1336" i="3"/>
  <c r="S1756" i="3" a="1"/>
  <c r="U1756" i="3"/>
  <c r="AC1756" i="3"/>
  <c r="S2639" i="3" a="1"/>
  <c r="U2639" i="3"/>
  <c r="AC2639" i="3"/>
  <c r="S2020" i="3"/>
  <c r="S542" i="3" a="1"/>
  <c r="U542" i="3"/>
  <c r="AC542" i="3"/>
  <c r="S984" i="3" a="1"/>
  <c r="U984" i="3"/>
  <c r="AC984" i="3"/>
  <c r="S1611" i="3"/>
  <c r="S140" i="3"/>
  <c r="S479" i="3" a="1"/>
  <c r="U479" i="3"/>
  <c r="AC479" i="3"/>
  <c r="S798" i="3"/>
  <c r="S1082" i="3" a="1"/>
  <c r="U1082" i="3"/>
  <c r="AC1082" i="3"/>
  <c r="S2630" i="3"/>
  <c r="S1044" i="3"/>
  <c r="H27" i="8"/>
  <c r="S2732" i="3"/>
  <c r="S1105" i="3"/>
  <c r="S281" i="3"/>
  <c r="S1565" i="3"/>
  <c r="S1638" i="3" a="1"/>
  <c r="U1638" i="3"/>
  <c r="AC1638" i="3"/>
  <c r="S1609" i="3"/>
  <c r="S9" i="3" a="1"/>
  <c r="U9" i="3"/>
  <c r="AC9" i="3"/>
  <c r="S2038" i="3"/>
  <c r="S2714" i="3"/>
  <c r="S792" i="3" a="1"/>
  <c r="U792" i="3"/>
  <c r="AC792" i="3"/>
  <c r="S2067" i="3"/>
  <c r="S1868" i="3"/>
  <c r="T32" i="23"/>
  <c r="AC662" i="3"/>
  <c r="U662" i="3"/>
  <c r="S662" i="3"/>
  <c r="S662" i="3" a="1"/>
  <c r="AC1682" i="3"/>
  <c r="U1682" i="3"/>
  <c r="S1682" i="3"/>
  <c r="S1682" i="3" a="1"/>
  <c r="S2692" i="3" a="1"/>
  <c r="U2692" i="3"/>
  <c r="AC2692" i="3"/>
  <c r="AC2321" i="3"/>
  <c r="U2321" i="3"/>
  <c r="S2321" i="3"/>
  <c r="S2321" i="3" a="1"/>
  <c r="S255" i="3"/>
  <c r="S743" i="3"/>
  <c r="AC1240" i="3"/>
  <c r="U1240" i="3"/>
  <c r="S1240" i="3"/>
  <c r="S1240" i="3" a="1"/>
  <c r="S2753" i="3"/>
  <c r="S1544" i="3"/>
  <c r="AC313" i="3"/>
  <c r="U313" i="3"/>
  <c r="S313" i="3"/>
  <c r="S313" i="3" a="1"/>
  <c r="AC960" i="3"/>
  <c r="U960" i="3"/>
  <c r="S960" i="3"/>
  <c r="S960" i="3" a="1"/>
  <c r="S2026" i="3" a="1"/>
  <c r="U2026" i="3"/>
  <c r="AC2026" i="3"/>
  <c r="AC1381" i="3"/>
  <c r="U1381" i="3"/>
  <c r="S1381" i="3"/>
  <c r="S1381" i="3" a="1"/>
  <c r="S1949" i="3" a="1"/>
  <c r="U1949" i="3"/>
  <c r="AC1949" i="3"/>
  <c r="AC1248" i="3"/>
  <c r="U1248" i="3"/>
  <c r="S1248" i="3"/>
  <c r="S1248" i="3" a="1"/>
  <c r="S2686" i="3"/>
  <c r="S917" i="3" a="1"/>
  <c r="U917" i="3"/>
  <c r="AC917" i="3"/>
  <c r="S2138" i="3"/>
  <c r="AC2699" i="3"/>
  <c r="U2699" i="3"/>
  <c r="S2699" i="3"/>
  <c r="S2699" i="3" a="1"/>
  <c r="S5" i="3" a="1"/>
  <c r="U5" i="3"/>
  <c r="AC5" i="3"/>
  <c r="S548" i="3" a="1"/>
  <c r="U548" i="3"/>
  <c r="AC548" i="3"/>
  <c r="E196" i="11"/>
  <c r="S196" i="11"/>
  <c r="S716" i="3"/>
  <c r="AC2200" i="3"/>
  <c r="U2200" i="3"/>
  <c r="S2200" i="3"/>
  <c r="S2200" i="3" a="1"/>
  <c r="S2523" i="3" a="1"/>
  <c r="U2523" i="3"/>
  <c r="AC2523" i="3"/>
  <c r="S2675" i="3"/>
  <c r="S1554" i="3" a="1"/>
  <c r="U1554" i="3"/>
  <c r="AC1554" i="3"/>
  <c r="S785" i="3"/>
  <c r="AC314" i="3"/>
  <c r="U314" i="3"/>
  <c r="S314" i="3"/>
  <c r="S314" i="3" a="1"/>
  <c r="S1429" i="3" a="1"/>
  <c r="U1429" i="3"/>
  <c r="AC1429" i="3"/>
  <c r="S1899" i="3" a="1"/>
  <c r="U1899" i="3"/>
  <c r="AC1899" i="3"/>
  <c r="S2688" i="3" a="1"/>
  <c r="U2688" i="3"/>
  <c r="AC2688" i="3"/>
  <c r="S1839" i="3" a="1"/>
  <c r="U1839" i="3"/>
  <c r="AC1839" i="3"/>
  <c r="S1980" i="3"/>
  <c r="AC517" i="3"/>
  <c r="U517" i="3"/>
  <c r="S517" i="3"/>
  <c r="S517" i="3" a="1"/>
  <c r="S1145" i="3"/>
  <c r="S1617" i="3"/>
  <c r="S1886" i="3"/>
  <c r="S587" i="3" a="1"/>
  <c r="U587" i="3"/>
  <c r="AC587" i="3"/>
  <c r="T95" i="23"/>
  <c r="R95" i="23"/>
  <c r="R95" i="23" a="1"/>
  <c r="AC2298" i="3"/>
  <c r="U2298" i="3"/>
  <c r="S2298" i="3"/>
  <c r="S2298" i="3" a="1"/>
  <c r="AC1855" i="3"/>
  <c r="U1855" i="3"/>
  <c r="S1855" i="3"/>
  <c r="S1855" i="3" a="1"/>
  <c r="S623" i="3" a="1"/>
  <c r="U623" i="3"/>
  <c r="AC623" i="3"/>
  <c r="S1540" i="3" a="1"/>
  <c r="U1540" i="3"/>
  <c r="AC1540" i="3"/>
  <c r="S2372" i="3"/>
  <c r="AC472" i="3"/>
  <c r="U472" i="3"/>
  <c r="S472" i="3"/>
  <c r="S472" i="3" a="1"/>
  <c r="S1385" i="3"/>
  <c r="S2159" i="3" a="1"/>
  <c r="U2159" i="3"/>
  <c r="AC2159" i="3"/>
  <c r="AC998" i="3"/>
  <c r="U998" i="3"/>
  <c r="S998" i="3"/>
  <c r="S998" i="3" a="1"/>
  <c r="S749" i="3"/>
  <c r="S1045" i="3"/>
  <c r="AC1766" i="3"/>
  <c r="U1766" i="3"/>
  <c r="S1766" i="3"/>
  <c r="S1766" i="3" a="1"/>
  <c r="S178" i="3"/>
  <c r="S1501" i="3" a="1"/>
  <c r="U1501" i="3"/>
  <c r="AC1501" i="3"/>
  <c r="S2505" i="3" a="1"/>
  <c r="U2505" i="3"/>
  <c r="AC2505" i="3"/>
  <c r="AC28" i="3"/>
  <c r="U28" i="3"/>
  <c r="S28" i="3"/>
  <c r="S28" i="3" a="1"/>
  <c r="AC1049" i="3"/>
  <c r="U1049" i="3"/>
  <c r="S1049" i="3"/>
  <c r="S1049" i="3" a="1"/>
  <c r="AC1372" i="3"/>
  <c r="U1372" i="3"/>
  <c r="S1372" i="3"/>
  <c r="S1372" i="3" a="1"/>
  <c r="AC850" i="3"/>
  <c r="U850" i="3"/>
  <c r="S850" i="3"/>
  <c r="S850" i="3" a="1"/>
  <c r="AC602" i="3"/>
  <c r="U602" i="3"/>
  <c r="S602" i="3"/>
  <c r="S602" i="3" a="1"/>
  <c r="AC2019" i="3"/>
  <c r="U2019" i="3"/>
  <c r="S2019" i="3"/>
  <c r="S2019" i="3" a="1"/>
  <c r="S47" i="3"/>
  <c r="S443" i="3"/>
  <c r="S790" i="3"/>
  <c r="AC1914" i="3"/>
  <c r="U1914" i="3"/>
  <c r="S1914" i="3"/>
  <c r="S1914" i="3" a="1"/>
  <c r="R13" i="23"/>
  <c r="S833" i="3" a="1"/>
  <c r="U833" i="3"/>
  <c r="AC833" i="3"/>
  <c r="S877" i="3"/>
  <c r="S2153" i="3" a="1"/>
  <c r="U2153" i="3"/>
  <c r="AC2153" i="3"/>
  <c r="AC1856" i="3"/>
  <c r="U1856" i="3"/>
  <c r="S1856" i="3"/>
  <c r="S1856" i="3" a="1"/>
  <c r="T113" i="23"/>
  <c r="S316" i="3"/>
  <c r="S1979" i="3"/>
  <c r="S549" i="3" a="1"/>
  <c r="U549" i="3"/>
  <c r="AC549" i="3"/>
  <c r="T83" i="23"/>
  <c r="R83" i="23"/>
  <c r="R83" i="23" a="1"/>
  <c r="S1086" i="3" a="1"/>
  <c r="U1086" i="3"/>
  <c r="AC1086" i="3"/>
  <c r="S2016" i="3"/>
  <c r="AC202" i="3"/>
  <c r="U202" i="3"/>
  <c r="S202" i="3"/>
  <c r="S202" i="3" a="1"/>
  <c r="S1804" i="3"/>
  <c r="S1871" i="3" a="1"/>
  <c r="U1871" i="3"/>
  <c r="AC1871" i="3"/>
  <c r="S2749" i="3" a="1"/>
  <c r="U2749" i="3"/>
  <c r="AC2749" i="3"/>
  <c r="AC2078" i="3"/>
  <c r="U2078" i="3"/>
  <c r="S2078" i="3"/>
  <c r="S2078" i="3" a="1"/>
  <c r="S2225" i="3" a="1"/>
  <c r="U2225" i="3"/>
  <c r="AC2225" i="3"/>
  <c r="S2679" i="3" a="1"/>
  <c r="U2679" i="3"/>
  <c r="AC2679" i="3"/>
  <c r="S124" i="3" a="1"/>
  <c r="U124" i="3"/>
  <c r="AC124" i="3"/>
  <c r="S2255" i="3" a="1"/>
  <c r="U2255" i="3"/>
  <c r="AC2255" i="3"/>
  <c r="S528" i="3"/>
  <c r="AC2089" i="3"/>
  <c r="U2089" i="3"/>
  <c r="S2089" i="3"/>
  <c r="S2089" i="3" a="1"/>
  <c r="S2282" i="3"/>
  <c r="S550" i="3" a="1"/>
  <c r="U550" i="3"/>
  <c r="AC550" i="3"/>
  <c r="S2541" i="3"/>
  <c r="S713" i="3" a="1"/>
  <c r="U713" i="3"/>
  <c r="AC713" i="3"/>
  <c r="AC334" i="3"/>
  <c r="U334" i="3"/>
  <c r="S334" i="3"/>
  <c r="S334" i="3" a="1"/>
  <c r="S2727" i="3" a="1"/>
  <c r="U2727" i="3"/>
  <c r="AC2727" i="3"/>
  <c r="S1829" i="3"/>
  <c r="S199" i="3"/>
  <c r="S1490" i="3"/>
  <c r="S685" i="3"/>
  <c r="S2696" i="3" a="1"/>
  <c r="U2696" i="3"/>
  <c r="AC2696" i="3"/>
  <c r="S2625" i="3"/>
  <c r="S2542" i="3" a="1"/>
  <c r="U2542" i="3"/>
  <c r="AC2542" i="3"/>
  <c r="AC731" i="3"/>
  <c r="U731" i="3"/>
  <c r="S731" i="3"/>
  <c r="S731" i="3" a="1"/>
  <c r="S1913" i="3"/>
  <c r="S22" i="3" a="1"/>
  <c r="U22" i="3"/>
  <c r="AC22" i="3"/>
  <c r="S921" i="3" a="1"/>
  <c r="U921" i="3"/>
  <c r="AC921" i="3"/>
  <c r="AC1293" i="3"/>
  <c r="U1293" i="3"/>
  <c r="S1293" i="3"/>
  <c r="S1293" i="3" a="1"/>
  <c r="S1317" i="3" a="1"/>
  <c r="U1317" i="3"/>
  <c r="AC1317" i="3"/>
  <c r="AC2715" i="3"/>
  <c r="U2715" i="3"/>
  <c r="S2715" i="3"/>
  <c r="S2715" i="3" a="1"/>
  <c r="AC2775" i="3"/>
  <c r="U2775" i="3"/>
  <c r="S2775" i="3"/>
  <c r="S2775" i="3" a="1"/>
  <c r="AC83" i="3"/>
  <c r="U83" i="3"/>
  <c r="S83" i="3"/>
  <c r="S83" i="3" a="1"/>
  <c r="R47" i="23"/>
  <c r="S158" i="3" a="1"/>
  <c r="U158" i="3"/>
  <c r="AC158" i="3"/>
  <c r="S1876" i="3"/>
  <c r="S1116" i="3" a="1"/>
  <c r="U1116" i="3"/>
  <c r="AC1116" i="3"/>
  <c r="R55" i="23" a="1"/>
  <c r="L57" i="23"/>
  <c r="N57" i="23"/>
  <c r="S1725" i="3" a="1"/>
  <c r="U1725" i="3"/>
  <c r="AC1725" i="3"/>
  <c r="S2305" i="3" a="1"/>
  <c r="U2305" i="3"/>
  <c r="AC2305" i="3"/>
  <c r="S1695" i="3" a="1"/>
  <c r="U1695" i="3"/>
  <c r="AC1695" i="3"/>
  <c r="S2569" i="3" a="1"/>
  <c r="U2569" i="3"/>
  <c r="AC2569" i="3"/>
  <c r="S2700" i="3"/>
  <c r="S2498" i="3"/>
  <c r="S1111" i="3"/>
  <c r="S1877" i="3"/>
  <c r="S1427" i="3"/>
  <c r="AC1639" i="3"/>
  <c r="U1639" i="3"/>
  <c r="S1639" i="3"/>
  <c r="S1639" i="3" a="1"/>
  <c r="S250" i="3"/>
  <c r="S778" i="3"/>
  <c r="S2702" i="3"/>
  <c r="S597" i="3"/>
  <c r="AC1408" i="3"/>
  <c r="U1408" i="3"/>
  <c r="S1408" i="3"/>
  <c r="S1408" i="3" a="1"/>
  <c r="S2587" i="3"/>
  <c r="AC1633" i="3"/>
  <c r="U1633" i="3"/>
  <c r="S1633" i="3"/>
  <c r="S1633" i="3" a="1"/>
  <c r="S1557" i="3"/>
  <c r="S344" i="3"/>
  <c r="AC2176" i="3"/>
  <c r="U2176" i="3"/>
  <c r="S2176" i="3"/>
  <c r="S2176" i="3" a="1"/>
  <c r="S118" i="3" a="1"/>
  <c r="U118" i="3"/>
  <c r="AC118" i="3"/>
  <c r="S1733" i="3"/>
  <c r="S2213" i="3" a="1"/>
  <c r="U2213" i="3"/>
  <c r="AC2213" i="3"/>
  <c r="AC106" i="3"/>
  <c r="U106" i="3"/>
  <c r="S106" i="3"/>
  <c r="S106" i="3" a="1"/>
  <c r="AC1018" i="3"/>
  <c r="U1018" i="3"/>
  <c r="S1018" i="3"/>
  <c r="S1018" i="3" a="1"/>
  <c r="AC1652" i="3"/>
  <c r="U1652" i="3"/>
  <c r="S1652" i="3"/>
  <c r="S1652" i="3" a="1"/>
  <c r="AC2387" i="3"/>
  <c r="U2387" i="3"/>
  <c r="S2387" i="3"/>
  <c r="S2387" i="3" a="1"/>
  <c r="T27" i="23"/>
  <c r="R27" i="23"/>
  <c r="R27" i="23" a="1"/>
  <c r="AC2636" i="3"/>
  <c r="U2636" i="3"/>
  <c r="S2636" i="3"/>
  <c r="S2636" i="3" a="1"/>
  <c r="AC417" i="3"/>
  <c r="U417" i="3"/>
  <c r="S417" i="3"/>
  <c r="S417" i="3" a="1"/>
  <c r="AC2628" i="3"/>
  <c r="U2628" i="3"/>
  <c r="S2628" i="3"/>
  <c r="S2628" i="3" a="1"/>
  <c r="S474" i="3" a="1"/>
  <c r="U474" i="3"/>
  <c r="AC474" i="3"/>
  <c r="S2042" i="3"/>
  <c r="S711" i="3"/>
  <c r="S409" i="3"/>
  <c r="S2450" i="3"/>
  <c r="S2453" i="3"/>
  <c r="S2682" i="3" a="1"/>
  <c r="U2682" i="3"/>
  <c r="AC2682" i="3"/>
  <c r="S2052" i="3"/>
  <c r="S1556" i="3"/>
  <c r="S853" i="3" a="1"/>
  <c r="U853" i="3"/>
  <c r="AC853" i="3"/>
  <c r="S1052" i="3" a="1"/>
  <c r="U1052" i="3"/>
  <c r="AC1052" i="3"/>
  <c r="S2227" i="3" a="1"/>
  <c r="U2227" i="3"/>
  <c r="AC2227" i="3"/>
  <c r="S1358" i="3" a="1"/>
  <c r="U1358" i="3"/>
  <c r="AC1358" i="3"/>
  <c r="S2622" i="3" a="1"/>
  <c r="U2622" i="3"/>
  <c r="AC2622" i="3"/>
  <c r="S325" i="3" a="1"/>
  <c r="U325" i="3"/>
  <c r="AC325" i="3"/>
  <c r="S2517" i="3" a="1"/>
  <c r="U2517" i="3"/>
  <c r="AC2517" i="3"/>
  <c r="S2764" i="3" a="1"/>
  <c r="U2764" i="3"/>
  <c r="AC2764" i="3"/>
  <c r="AC2612" i="3"/>
  <c r="U2612" i="3"/>
  <c r="S2612" i="3"/>
  <c r="S2612" i="3" a="1"/>
  <c r="S811" i="3"/>
  <c r="S1015" i="3" a="1"/>
  <c r="U1015" i="3"/>
  <c r="AC1015" i="3"/>
  <c r="S1848" i="3"/>
  <c r="S795" i="3"/>
  <c r="S367" i="3" a="1"/>
  <c r="U367" i="3"/>
  <c r="AC367" i="3"/>
  <c r="S1901" i="3" a="1"/>
  <c r="U1901" i="3"/>
  <c r="AC1901" i="3"/>
  <c r="S2017" i="3" a="1"/>
  <c r="U2017" i="3"/>
  <c r="AC2017" i="3"/>
  <c r="S452" i="3" a="1"/>
  <c r="U452" i="3"/>
  <c r="AC452" i="3"/>
  <c r="S1852" i="3" a="1"/>
  <c r="U1852" i="3"/>
  <c r="AC1852" i="3"/>
  <c r="AB342" i="3" a="1"/>
  <c r="M342" i="3"/>
  <c r="N342" i="3"/>
  <c r="S1297" i="3" a="1"/>
  <c r="U1297" i="3"/>
  <c r="AC1297" i="3"/>
  <c r="S1627" i="3" a="1"/>
  <c r="U1627" i="3"/>
  <c r="AC1627" i="3"/>
  <c r="S2376" i="3" a="1"/>
  <c r="U2376" i="3"/>
  <c r="AC2376" i="3"/>
  <c r="S1212" i="3" a="1"/>
  <c r="U1212" i="3"/>
  <c r="AC1212" i="3"/>
  <c r="S2135" i="3" a="1"/>
  <c r="U2135" i="3"/>
  <c r="AC2135" i="3"/>
  <c r="S1712" i="3"/>
  <c r="S2317" i="3"/>
  <c r="S808" i="3"/>
  <c r="S2722" i="3"/>
  <c r="S1405" i="3"/>
  <c r="S1118" i="3" a="1"/>
  <c r="U1118" i="3"/>
  <c r="AC1118" i="3"/>
  <c r="S1612" i="3"/>
  <c r="S1473" i="3" a="1"/>
  <c r="U1473" i="3"/>
  <c r="AC1473" i="3"/>
  <c r="AC518" i="3"/>
  <c r="U518" i="3"/>
  <c r="S518" i="3"/>
  <c r="S518" i="3" a="1"/>
  <c r="AC1671" i="3"/>
  <c r="U1671" i="3"/>
  <c r="S1671" i="3"/>
  <c r="S1671" i="3" a="1"/>
  <c r="AC2155" i="3"/>
  <c r="U2155" i="3"/>
  <c r="S2155" i="3"/>
  <c r="S2155" i="3" a="1"/>
  <c r="AC2051" i="3"/>
  <c r="U2051" i="3"/>
  <c r="S2051" i="3"/>
  <c r="S2051" i="3" a="1"/>
  <c r="AC2109" i="3"/>
  <c r="U2109" i="3"/>
  <c r="S2109" i="3"/>
  <c r="S2109" i="3" a="1"/>
  <c r="S818" i="3" a="1"/>
  <c r="U818" i="3"/>
  <c r="AC818" i="3"/>
  <c r="S2810" i="3" a="1"/>
  <c r="U2810" i="3"/>
  <c r="S225" i="11"/>
  <c r="E225" i="11"/>
  <c r="S580" i="3" a="1"/>
  <c r="U580" i="3"/>
  <c r="AC580" i="3"/>
  <c r="S2165" i="3" a="1"/>
  <c r="U2165" i="3"/>
  <c r="AC2165" i="3"/>
  <c r="S2031" i="3" a="1"/>
  <c r="U2031" i="3"/>
  <c r="AC2031" i="3"/>
  <c r="S2644" i="3"/>
  <c r="S1531" i="3"/>
  <c r="S2259" i="3"/>
  <c r="S846" i="3"/>
  <c r="S1074" i="3"/>
  <c r="S76" i="3"/>
  <c r="S962" i="3"/>
  <c r="S2241" i="3"/>
  <c r="S776" i="3"/>
  <c r="S2020" i="3" a="1"/>
  <c r="U2020" i="3"/>
  <c r="AC2020" i="3"/>
  <c r="S2220" i="3"/>
  <c r="S140" i="3" a="1"/>
  <c r="U140" i="3"/>
  <c r="AC140" i="3"/>
  <c r="S1033" i="3"/>
  <c r="S798" i="3" a="1"/>
  <c r="U798" i="3"/>
  <c r="AC798" i="3"/>
  <c r="S1948" i="3"/>
  <c r="S511" i="3"/>
  <c r="S525" i="3"/>
  <c r="S1044" i="3" a="1"/>
  <c r="U1044" i="3"/>
  <c r="AC1044" i="3"/>
  <c r="S1296" i="3"/>
  <c r="S2769" i="3"/>
  <c r="S2732" i="3" a="1"/>
  <c r="U2732" i="3"/>
  <c r="AC2732" i="3"/>
  <c r="T13" i="23"/>
  <c r="S1982" i="3"/>
  <c r="S1105" i="3" a="1"/>
  <c r="U1105" i="3"/>
  <c r="AC1105" i="3"/>
  <c r="S281" i="3" a="1"/>
  <c r="U281" i="3"/>
  <c r="AC281" i="3"/>
  <c r="S1565" i="3" a="1"/>
  <c r="U1565" i="3"/>
  <c r="AC1565" i="3"/>
  <c r="S213" i="3"/>
  <c r="S1609" i="3" a="1"/>
  <c r="U1609" i="3"/>
  <c r="AC1609" i="3"/>
  <c r="S2038" i="3" a="1"/>
  <c r="U2038" i="3"/>
  <c r="AC2038" i="3"/>
  <c r="S86" i="3"/>
  <c r="S2714" i="3" a="1"/>
  <c r="U2714" i="3"/>
  <c r="AC2714" i="3"/>
  <c r="S2067" i="3" a="1"/>
  <c r="U2067" i="3"/>
  <c r="AC2067" i="3"/>
  <c r="S1868" i="3" a="1"/>
  <c r="U1868" i="3"/>
  <c r="AC1868" i="3"/>
  <c r="S2779" i="3" a="1"/>
  <c r="U2779" i="3"/>
  <c r="AC2779" i="3"/>
  <c r="S1139" i="3" a="1"/>
  <c r="U1139" i="3"/>
  <c r="AC1139" i="3"/>
  <c r="S743" i="3" a="1"/>
  <c r="U743" i="3"/>
  <c r="AC743" i="3"/>
  <c r="S1905" i="3" a="1"/>
  <c r="U1905" i="3"/>
  <c r="AC1905" i="3"/>
  <c r="S1145" i="3" a="1"/>
  <c r="U1145" i="3"/>
  <c r="AC1145" i="3"/>
  <c r="B3" i="11"/>
  <c r="B3" i="11" a="1"/>
  <c r="A3" i="11"/>
  <c r="A3" i="11" a="1"/>
  <c r="R32" i="23" a="1"/>
  <c r="L33" i="23"/>
  <c r="N33" i="23"/>
  <c r="S58" i="3" a="1"/>
  <c r="U58" i="3"/>
  <c r="AC58" i="3"/>
  <c r="S1716" i="3" a="1"/>
  <c r="U1716" i="3"/>
  <c r="AC1716" i="3"/>
  <c r="L14" i="23"/>
  <c r="N14" i="23"/>
  <c r="S255" i="3" a="1"/>
  <c r="U255" i="3"/>
  <c r="AC255" i="3"/>
  <c r="T28" i="23"/>
  <c r="R28" i="23"/>
  <c r="R28" i="23" a="1"/>
  <c r="S2753" i="3" a="1"/>
  <c r="U2753" i="3"/>
  <c r="AC2753" i="3"/>
  <c r="S1544" i="3" a="1"/>
  <c r="U1544" i="3"/>
  <c r="AC1544" i="3"/>
  <c r="C9" i="28"/>
  <c r="C7" i="28"/>
  <c r="C8" i="28"/>
  <c r="C10" i="28"/>
  <c r="S2707" i="3" a="1"/>
  <c r="U2707" i="3"/>
  <c r="K7" i="28"/>
  <c r="H7" i="28"/>
  <c r="C11" i="28"/>
  <c r="S330" i="3" a="1"/>
  <c r="U330" i="3"/>
  <c r="AC330" i="3"/>
  <c r="S1831" i="3" a="1"/>
  <c r="U1831" i="3"/>
  <c r="AC1831" i="3"/>
  <c r="S2811" i="3" a="1"/>
  <c r="U2811" i="3"/>
  <c r="S218" i="11"/>
  <c r="E218" i="11"/>
  <c r="S1474" i="3" a="1"/>
  <c r="U1474" i="3"/>
  <c r="AC1474" i="3"/>
  <c r="S2128" i="3" a="1"/>
  <c r="U2128" i="3"/>
  <c r="AC2128" i="3"/>
  <c r="S2108" i="3" a="1"/>
  <c r="U2108" i="3"/>
  <c r="AC2108" i="3"/>
  <c r="S2686" i="3" a="1"/>
  <c r="U2686" i="3"/>
  <c r="AC2686" i="3"/>
  <c r="S2138" i="3" a="1"/>
  <c r="U2138" i="3"/>
  <c r="AC2138" i="3"/>
  <c r="T67" i="23"/>
  <c r="R67" i="23"/>
  <c r="R67" i="23" a="1"/>
  <c r="U2828" i="3"/>
  <c r="S2828" i="3"/>
  <c r="S2828" i="3" a="1"/>
  <c r="L20" i="23"/>
  <c r="N20" i="23"/>
  <c r="S2803" i="3" a="1"/>
  <c r="S189" i="11"/>
  <c r="E189" i="11"/>
  <c r="S716" i="3" a="1"/>
  <c r="U716" i="3"/>
  <c r="AC716" i="3"/>
  <c r="S2821" i="3" a="1"/>
  <c r="U2821" i="3"/>
  <c r="S220" i="11"/>
  <c r="E220" i="11"/>
  <c r="S2675" i="3" a="1"/>
  <c r="U2675" i="3"/>
  <c r="AC2675" i="3"/>
  <c r="S470" i="3" a="1"/>
  <c r="U470" i="3"/>
  <c r="AC470" i="3"/>
  <c r="S785" i="3" a="1"/>
  <c r="U785" i="3"/>
  <c r="AC785" i="3"/>
  <c r="S694" i="3" a="1"/>
  <c r="U694" i="3"/>
  <c r="AC694" i="3"/>
  <c r="S2342" i="3" a="1"/>
  <c r="U2342" i="3"/>
  <c r="AC2342" i="3"/>
  <c r="S1787" i="3" a="1"/>
  <c r="U1787" i="3"/>
  <c r="AC1787" i="3"/>
  <c r="S1992" i="3" a="1"/>
  <c r="U1992" i="3"/>
  <c r="AC1992" i="3"/>
  <c r="S2356" i="3" a="1"/>
  <c r="U2356" i="3"/>
  <c r="AC2356" i="3"/>
  <c r="S2106" i="3" a="1"/>
  <c r="U2106" i="3"/>
  <c r="AC2106" i="3"/>
  <c r="S1385" i="3" a="1"/>
  <c r="U1385" i="3"/>
  <c r="AC1385" i="3"/>
  <c r="S1980" i="3" a="1"/>
  <c r="U1980" i="3"/>
  <c r="AC1980" i="3"/>
  <c r="S177" i="3" a="1"/>
  <c r="U177" i="3"/>
  <c r="AC177" i="3"/>
  <c r="S1989" i="3" a="1"/>
  <c r="U1989" i="3"/>
  <c r="AC1989" i="3"/>
  <c r="S1617" i="3" a="1"/>
  <c r="U1617" i="3"/>
  <c r="AC1617" i="3"/>
  <c r="S1886" i="3" a="1"/>
  <c r="U1886" i="3"/>
  <c r="AC1886" i="3"/>
  <c r="S389" i="3" a="1"/>
  <c r="U389" i="3"/>
  <c r="AC389" i="3"/>
  <c r="S2372" i="3" a="1"/>
  <c r="U2372" i="3"/>
  <c r="AC2372" i="3"/>
  <c r="S2162" i="3" a="1"/>
  <c r="U2162" i="3"/>
  <c r="AC2162" i="3"/>
  <c r="S749" i="3" a="1"/>
  <c r="U749" i="3"/>
  <c r="AC749" i="3"/>
  <c r="S1415" i="3" a="1"/>
  <c r="U1415" i="3"/>
  <c r="AC1415" i="3"/>
  <c r="H24" i="8"/>
  <c r="H24" i="8" a="1"/>
  <c r="C13" i="28"/>
  <c r="S1045" i="3" a="1"/>
  <c r="U1045" i="3"/>
  <c r="AC1045" i="3"/>
  <c r="S178" i="3" a="1"/>
  <c r="U178" i="3"/>
  <c r="AC178" i="3"/>
  <c r="S1873" i="3" a="1"/>
  <c r="U1873" i="3"/>
  <c r="AC1873" i="3"/>
  <c r="S1689" i="3" a="1"/>
  <c r="U1689" i="3"/>
  <c r="AC1689" i="3"/>
  <c r="S2006" i="3" a="1"/>
  <c r="U2006" i="3"/>
  <c r="AC2006" i="3"/>
  <c r="S2312" i="3" a="1"/>
  <c r="U2312" i="3"/>
  <c r="AC2312" i="3"/>
  <c r="S652" i="3" a="1"/>
  <c r="U652" i="3"/>
  <c r="AC652" i="3"/>
  <c r="S877" i="3" a="1"/>
  <c r="U877" i="3"/>
  <c r="AC877" i="3"/>
  <c r="N336" i="3"/>
  <c r="L336" i="3"/>
  <c r="S2758" i="3" a="1"/>
  <c r="V2766" i="3"/>
  <c r="S47" i="3" a="1"/>
  <c r="U47" i="3"/>
  <c r="AC47" i="3"/>
  <c r="S443" i="3" a="1"/>
  <c r="U443" i="3"/>
  <c r="AC443" i="3"/>
  <c r="T12" i="23"/>
  <c r="R12" i="23"/>
  <c r="R12" i="23" a="1"/>
  <c r="S790" i="3" a="1"/>
  <c r="U790" i="3"/>
  <c r="AC790" i="3"/>
  <c r="S805" i="3" a="1"/>
  <c r="U805" i="3"/>
  <c r="AC805" i="3"/>
  <c r="S112" i="3" a="1"/>
  <c r="U112" i="3"/>
  <c r="AC112" i="3"/>
  <c r="S1804" i="3" a="1"/>
  <c r="U1804" i="3"/>
  <c r="AC1804" i="3"/>
  <c r="R113" i="23" a="1"/>
  <c r="L121" i="23"/>
  <c r="N121" i="23"/>
  <c r="S316" i="3" a="1"/>
  <c r="U316" i="3"/>
  <c r="AC316" i="3"/>
  <c r="S1979" i="3" a="1"/>
  <c r="U1979" i="3"/>
  <c r="AC1979" i="3"/>
  <c r="S2016" i="3" a="1"/>
  <c r="U2016" i="3"/>
  <c r="AC2016" i="3"/>
  <c r="S2439" i="3" a="1"/>
  <c r="U2439" i="3"/>
  <c r="AC2439" i="3"/>
  <c r="S2293" i="3" a="1"/>
  <c r="U2293" i="3"/>
  <c r="AC2293" i="3"/>
  <c r="S1438" i="3" a="1"/>
  <c r="U1438" i="3"/>
  <c r="AC1438" i="3"/>
  <c r="R24" i="23" a="1"/>
  <c r="T24" i="23"/>
  <c r="S109" i="23"/>
  <c r="L342" i="3"/>
  <c r="T64" i="23"/>
  <c r="S99" i="23"/>
  <c r="S112" i="23"/>
  <c r="S108" i="23"/>
  <c r="L341" i="3"/>
  <c r="S98" i="23"/>
  <c r="L339" i="3"/>
  <c r="S111" i="23"/>
  <c r="L340" i="3"/>
  <c r="S528" i="3" a="1"/>
  <c r="U528" i="3"/>
  <c r="AC528" i="3"/>
  <c r="S2625" i="3" a="1"/>
  <c r="U2625" i="3"/>
  <c r="AC2625" i="3"/>
  <c r="S2282" i="3" a="1"/>
  <c r="U2282" i="3"/>
  <c r="AC2282" i="3"/>
  <c r="S2541" i="3" a="1"/>
  <c r="U2541" i="3"/>
  <c r="AC2541" i="3"/>
  <c r="S1829" i="3" a="1"/>
  <c r="U1829" i="3"/>
  <c r="AC1829" i="3"/>
  <c r="S199" i="3" a="1"/>
  <c r="U199" i="3"/>
  <c r="AC199" i="3"/>
  <c r="T52" i="23"/>
  <c r="R52" i="23"/>
  <c r="R52" i="23" a="1"/>
  <c r="S1490" i="3" a="1"/>
  <c r="U1490" i="3"/>
  <c r="AC1490" i="3"/>
  <c r="S685" i="3" a="1"/>
  <c r="U685" i="3"/>
  <c r="AC685" i="3"/>
  <c r="S1506" i="3" a="1"/>
  <c r="U1506" i="3"/>
  <c r="AC1506" i="3"/>
  <c r="S1913" i="3" a="1"/>
  <c r="U1913" i="3"/>
  <c r="AC1913" i="3"/>
  <c r="S948" i="3" a="1"/>
  <c r="U948" i="3"/>
  <c r="AC948" i="3"/>
  <c r="R45" i="23" a="1"/>
  <c r="T45" i="23"/>
  <c r="S1632" i="3" a="1"/>
  <c r="U1632" i="3"/>
  <c r="AC1632" i="3"/>
  <c r="S2232" i="3" a="1"/>
  <c r="U2232" i="3"/>
  <c r="AC2232" i="3"/>
  <c r="R47" i="23" a="1"/>
  <c r="T47" i="23"/>
  <c r="S635" i="3" a="1"/>
  <c r="U635" i="3"/>
  <c r="AC635" i="3"/>
  <c r="S1876" i="3" a="1"/>
  <c r="U1876" i="3"/>
  <c r="AC1876" i="3"/>
  <c r="S1591" i="3" a="1"/>
  <c r="U1591" i="3"/>
  <c r="AC1591" i="3"/>
  <c r="S64" i="3" a="1"/>
  <c r="U64" i="3"/>
  <c r="AC64" i="3"/>
  <c r="S2700" i="3" a="1"/>
  <c r="U2700" i="3"/>
  <c r="AC2700" i="3"/>
  <c r="S2498" i="3" a="1"/>
  <c r="U2498" i="3"/>
  <c r="AC2498" i="3"/>
  <c r="S1111" i="3" a="1"/>
  <c r="U1111" i="3"/>
  <c r="AC1111" i="3"/>
  <c r="S1877" i="3" a="1"/>
  <c r="U1877" i="3"/>
  <c r="AC1877" i="3"/>
  <c r="S1427" i="3" a="1"/>
  <c r="U1427" i="3"/>
  <c r="AC1427" i="3"/>
  <c r="S250" i="3" a="1"/>
  <c r="U250" i="3"/>
  <c r="AC250" i="3"/>
  <c r="S778" i="3" a="1"/>
  <c r="U778" i="3"/>
  <c r="AC778" i="3"/>
  <c r="S2702" i="3" a="1"/>
  <c r="U2702" i="3"/>
  <c r="AC2702" i="3"/>
  <c r="S597" i="3" a="1"/>
  <c r="U597" i="3"/>
  <c r="AC597" i="3"/>
  <c r="S2587" i="3" a="1"/>
  <c r="U2587" i="3"/>
  <c r="AC2587" i="3"/>
  <c r="S1557" i="3" a="1"/>
  <c r="U1557" i="3"/>
  <c r="AC1557" i="3"/>
  <c r="S344" i="3" a="1"/>
  <c r="U344" i="3"/>
  <c r="AC344" i="3"/>
  <c r="S1733" i="3" a="1"/>
  <c r="U1733" i="3"/>
  <c r="AC1733" i="3"/>
  <c r="S1907" i="3" a="1"/>
  <c r="U1907" i="3"/>
  <c r="AC1907" i="3"/>
  <c r="S1931" i="3" a="1"/>
  <c r="U1931" i="3"/>
  <c r="AC1931" i="3"/>
  <c r="T101" i="23"/>
  <c r="R101" i="23"/>
  <c r="R101" i="23" a="1"/>
  <c r="S2769" i="3" a="1"/>
  <c r="U2769" i="3"/>
  <c r="AC2769" i="3"/>
  <c r="S2221" i="3" a="1"/>
  <c r="U2221" i="3"/>
  <c r="AC2221" i="3"/>
  <c r="S2042" i="3" a="1"/>
  <c r="U2042" i="3"/>
  <c r="AC2042" i="3"/>
  <c r="S711" i="3" a="1"/>
  <c r="U711" i="3"/>
  <c r="AC711" i="3"/>
  <c r="T57" i="23"/>
  <c r="R57" i="23"/>
  <c r="R57" i="23" a="1"/>
  <c r="S409" i="3" a="1"/>
  <c r="U409" i="3"/>
  <c r="AC409" i="3"/>
  <c r="S2450" i="3" a="1"/>
  <c r="U2450" i="3"/>
  <c r="AC2450" i="3"/>
  <c r="S2453" i="3" a="1"/>
  <c r="U2453" i="3"/>
  <c r="AC2453" i="3"/>
  <c r="S2798" i="3" a="1"/>
  <c r="S188" i="11"/>
  <c r="E188" i="11"/>
  <c r="S2052" i="3" a="1"/>
  <c r="U2052" i="3"/>
  <c r="AC2052" i="3"/>
  <c r="S1556" i="3" a="1"/>
  <c r="U1556" i="3"/>
  <c r="AC1556" i="3"/>
  <c r="S553" i="3" a="1"/>
  <c r="U553" i="3"/>
  <c r="AC553" i="3"/>
  <c r="S1618" i="3" a="1"/>
  <c r="U1618" i="3"/>
  <c r="AC1618" i="3"/>
  <c r="S811" i="3" a="1"/>
  <c r="U811" i="3"/>
  <c r="AC811" i="3"/>
  <c r="S1848" i="3" a="1"/>
  <c r="U1848" i="3"/>
  <c r="AC1848" i="3"/>
  <c r="S795" i="3" a="1"/>
  <c r="U795" i="3"/>
  <c r="AC795" i="3"/>
  <c r="R102" i="23" a="1"/>
  <c r="T102" i="23"/>
  <c r="C19" i="28"/>
  <c r="C21" i="28"/>
  <c r="C18" i="28"/>
  <c r="C20" i="28"/>
  <c r="S2722" i="3" a="1"/>
  <c r="U2722" i="3"/>
  <c r="K17" i="28"/>
  <c r="H17" i="28"/>
  <c r="C17" i="28"/>
  <c r="R64" i="23" a="1"/>
  <c r="U338" i="3"/>
  <c r="AC338" i="3"/>
  <c r="S1712" i="3" a="1"/>
  <c r="U1712" i="3"/>
  <c r="AC1712" i="3"/>
  <c r="S2317" i="3" a="1"/>
  <c r="U2317" i="3"/>
  <c r="AC2317" i="3"/>
  <c r="S2737" i="3" a="1"/>
  <c r="U2737" i="3"/>
  <c r="K12" i="28"/>
  <c r="H12" i="28"/>
  <c r="C16" i="28"/>
  <c r="H27" i="8" a="1"/>
  <c r="D25" i="8"/>
  <c r="D26" i="8"/>
  <c r="S808" i="3" a="1"/>
  <c r="U808" i="3"/>
  <c r="AC808" i="3"/>
  <c r="S1405" i="3" a="1"/>
  <c r="U1405" i="3"/>
  <c r="AC1405" i="3"/>
  <c r="S1612" i="3" a="1"/>
  <c r="U1612" i="3"/>
  <c r="AC1612" i="3"/>
  <c r="S2630" i="3" a="1"/>
  <c r="U2630" i="3"/>
  <c r="AC2630" i="3"/>
  <c r="S1611" i="3" a="1"/>
  <c r="U1611" i="3"/>
  <c r="AC1611" i="3"/>
  <c r="S2644" i="3" a="1"/>
  <c r="U2644" i="3"/>
  <c r="AC2644" i="3"/>
  <c r="S1531" i="3" a="1"/>
  <c r="U1531" i="3"/>
  <c r="AC1531" i="3"/>
  <c r="S2259" i="3" a="1"/>
  <c r="U2259" i="3"/>
  <c r="AC2259" i="3"/>
  <c r="S846" i="3" a="1"/>
  <c r="U846" i="3"/>
  <c r="AC846" i="3"/>
  <c r="S1074" i="3" a="1"/>
  <c r="U1074" i="3"/>
  <c r="AC1074" i="3"/>
  <c r="S76" i="3" a="1"/>
  <c r="U76" i="3"/>
  <c r="AC76" i="3"/>
  <c r="S962" i="3" a="1"/>
  <c r="U962" i="3"/>
  <c r="AC962" i="3"/>
  <c r="S2241" i="3" a="1"/>
  <c r="U2241" i="3"/>
  <c r="AC2241" i="3"/>
  <c r="S776" i="3" a="1"/>
  <c r="U776" i="3"/>
  <c r="AC776" i="3"/>
  <c r="S2220" i="3" a="1"/>
  <c r="U2220" i="3"/>
  <c r="AC2220" i="3"/>
  <c r="S1033" i="3" a="1"/>
  <c r="U1033" i="3"/>
  <c r="AC1033" i="3"/>
  <c r="S1948" i="3" a="1"/>
  <c r="U1948" i="3"/>
  <c r="AC1948" i="3"/>
  <c r="S511" i="3" a="1"/>
  <c r="U511" i="3"/>
  <c r="AC511" i="3"/>
  <c r="S525" i="3" a="1"/>
  <c r="U525" i="3"/>
  <c r="AC525" i="3"/>
  <c r="S936" i="3" a="1"/>
  <c r="U936" i="3"/>
  <c r="AC936" i="3"/>
  <c r="S1296" i="3" a="1"/>
  <c r="U1296" i="3"/>
  <c r="AC1296" i="3"/>
  <c r="R80" i="23" a="1"/>
  <c r="T80" i="23"/>
  <c r="R2" i="23" a="1"/>
  <c r="L3" i="23"/>
  <c r="N3" i="23"/>
  <c r="CV3" i="7" a="1"/>
  <c r="CZ1" i="7"/>
  <c r="R13" i="23" a="1"/>
  <c r="L15" i="23"/>
  <c r="N15" i="23"/>
  <c r="S1982" i="3" a="1"/>
  <c r="U1982" i="3"/>
  <c r="AC1982" i="3"/>
  <c r="S213" i="3" a="1"/>
  <c r="U213" i="3"/>
  <c r="AC213" i="3"/>
  <c r="S86" i="3" a="1"/>
  <c r="U86" i="3"/>
  <c r="AC86" i="3"/>
  <c r="S1919" i="3"/>
  <c r="S1919" i="3" a="1"/>
  <c r="S337" i="3"/>
  <c r="S337" i="3" a="1"/>
  <c r="S390" i="3"/>
  <c r="S390" i="3" a="1"/>
  <c r="S1129" i="3"/>
  <c r="S1129" i="3" a="1"/>
  <c r="S1098" i="3"/>
  <c r="S1098" i="3" a="1"/>
  <c r="S1696" i="3"/>
  <c r="S1696" i="3" a="1"/>
  <c r="S2224" i="3"/>
  <c r="S2224" i="3" a="1"/>
  <c r="S2648" i="3"/>
  <c r="S2648" i="3" a="1"/>
  <c r="S1622" i="3"/>
  <c r="S1622" i="3" a="1"/>
  <c r="S13" i="3"/>
  <c r="S13" i="3" a="1"/>
  <c r="S10" i="3"/>
  <c r="S10" i="3" a="1"/>
  <c r="S362" i="3"/>
  <c r="S362" i="3" a="1"/>
  <c r="S240" i="3"/>
  <c r="S240" i="3" a="1"/>
  <c r="S816" i="3"/>
  <c r="S816" i="3" a="1"/>
  <c r="S134" i="3"/>
  <c r="S134" i="3" a="1"/>
  <c r="S1160" i="3"/>
  <c r="S1160" i="3" a="1"/>
  <c r="S1312" i="3"/>
  <c r="S1312" i="3" a="1"/>
  <c r="S1903" i="3"/>
  <c r="S1903" i="3" a="1"/>
  <c r="S1937" i="3"/>
  <c r="S1937" i="3" a="1"/>
  <c r="S1402" i="3"/>
  <c r="S1402" i="3" a="1"/>
  <c r="S2661" i="3"/>
  <c r="S2661" i="3" a="1"/>
  <c r="S2548" i="3"/>
  <c r="S2548" i="3" a="1"/>
  <c r="S653" i="3"/>
  <c r="S653" i="3" a="1"/>
  <c r="S2646" i="3"/>
  <c r="S2646" i="3" a="1"/>
  <c r="S1005" i="3"/>
  <c r="S1005" i="3" a="1"/>
  <c r="S2316" i="3"/>
  <c r="S2316" i="3" a="1"/>
  <c r="S327" i="3"/>
  <c r="S327" i="3" a="1"/>
  <c r="S2645" i="3"/>
  <c r="S2645" i="3" a="1"/>
  <c r="S1667" i="3"/>
  <c r="S1667" i="3" a="1"/>
  <c r="S1449" i="3"/>
  <c r="S1449" i="3" a="1"/>
  <c r="S102" i="3"/>
  <c r="S102" i="3" a="1"/>
  <c r="S680" i="3"/>
  <c r="S680" i="3" a="1"/>
  <c r="S265" i="3"/>
  <c r="S265" i="3" a="1"/>
  <c r="S1771" i="3"/>
  <c r="S1771" i="3" a="1"/>
  <c r="S2068" i="3"/>
  <c r="S2068" i="3" a="1"/>
  <c r="S419" i="3"/>
  <c r="S419" i="3" a="1"/>
  <c r="S843" i="3"/>
  <c r="S843" i="3" a="1"/>
  <c r="S1735" i="3"/>
  <c r="S1735" i="3" a="1"/>
  <c r="S335" i="3"/>
  <c r="S335" i="3" a="1"/>
  <c r="S2294" i="3"/>
  <c r="S2294" i="3" a="1"/>
  <c r="S912" i="3"/>
  <c r="S912" i="3" a="1"/>
  <c r="S891" i="3"/>
  <c r="S891" i="3" a="1"/>
  <c r="S1853" i="3"/>
  <c r="S1853" i="3" a="1"/>
  <c r="S1222" i="3"/>
  <c r="S1222" i="3" a="1"/>
  <c r="S2638" i="3"/>
  <c r="S2638" i="3" a="1"/>
  <c r="S974" i="3"/>
  <c r="S974" i="3" a="1"/>
  <c r="S61" i="3"/>
  <c r="S61" i="3" a="1"/>
  <c r="S1526" i="3"/>
  <c r="S1526" i="3" a="1"/>
  <c r="S1817" i="3"/>
  <c r="S1817" i="3" a="1"/>
  <c r="S1479" i="3"/>
  <c r="S1479" i="3" a="1"/>
  <c r="S338" i="3"/>
  <c r="S338" i="3" a="1"/>
  <c r="S1354" i="3"/>
  <c r="S1354" i="3" a="1"/>
  <c r="S1418" i="3"/>
  <c r="S1418" i="3" a="1"/>
  <c r="S2339" i="3"/>
  <c r="S2339" i="3" a="1"/>
  <c r="S871" i="3"/>
  <c r="S871" i="3" a="1"/>
  <c r="S2381" i="3"/>
  <c r="S2381" i="3" a="1"/>
  <c r="S2574" i="3"/>
  <c r="S2574" i="3" a="1"/>
  <c r="S2091" i="3"/>
  <c r="S2091" i="3" a="1"/>
  <c r="S12" i="3"/>
  <c r="S12" i="3" a="1"/>
  <c r="S2367" i="3"/>
  <c r="S2367" i="3" a="1"/>
  <c r="S708" i="3"/>
  <c r="S708" i="3" a="1"/>
  <c r="S2629" i="3"/>
  <c r="S2629" i="3" a="1"/>
  <c r="S2489" i="3"/>
  <c r="S2489" i="3" a="1"/>
  <c r="S734" i="3"/>
  <c r="S734" i="3" a="1"/>
  <c r="S1278" i="3"/>
  <c r="S1278" i="3" a="1"/>
  <c r="S2637" i="3"/>
  <c r="S2637" i="3" a="1"/>
  <c r="S1370" i="3"/>
  <c r="S1370" i="3" a="1"/>
  <c r="S110" i="3"/>
  <c r="S110" i="3" a="1"/>
  <c r="S2199" i="3"/>
  <c r="S2199" i="3" a="1"/>
  <c r="S1036" i="3"/>
  <c r="S1036" i="3" a="1"/>
  <c r="S280" i="3"/>
  <c r="S280" i="3" a="1"/>
  <c r="S2" i="3"/>
  <c r="S2" i="3" a="1"/>
  <c r="S476" i="3"/>
  <c r="S476" i="3" a="1"/>
  <c r="S505" i="3"/>
  <c r="S505" i="3" a="1"/>
  <c r="S1067" i="3"/>
  <c r="S1067" i="3" a="1"/>
  <c r="S1495" i="3"/>
  <c r="S1495" i="3" a="1"/>
  <c r="S2520" i="3"/>
  <c r="S2520" i="3" a="1"/>
  <c r="S312" i="3"/>
  <c r="S312" i="3" a="1"/>
  <c r="S626" i="3"/>
  <c r="S626" i="3" a="1"/>
  <c r="S1386" i="3"/>
  <c r="S1386" i="3" a="1"/>
  <c r="S328" i="3"/>
  <c r="S328" i="3" a="1"/>
  <c r="S943" i="3"/>
  <c r="S943" i="3" a="1"/>
  <c r="S2049" i="3"/>
  <c r="S2049" i="3" a="1"/>
  <c r="S1968" i="3"/>
  <c r="S1968" i="3" a="1"/>
  <c r="S1541" i="3"/>
  <c r="S1541" i="3" a="1"/>
  <c r="S2458" i="3"/>
  <c r="S2458" i="3" a="1"/>
  <c r="S36" i="3"/>
  <c r="S36" i="3" a="1"/>
  <c r="S2134" i="3"/>
  <c r="S2134" i="3" a="1"/>
  <c r="S165" i="3"/>
  <c r="S165" i="3" a="1"/>
  <c r="S69" i="3"/>
  <c r="S69" i="3" a="1"/>
  <c r="S1434" i="3"/>
  <c r="S1434" i="3" a="1"/>
  <c r="S296" i="3"/>
  <c r="S296" i="3" a="1"/>
  <c r="S2114" i="3"/>
  <c r="S2114" i="3" a="1"/>
  <c r="S1319" i="3"/>
  <c r="S1319" i="3" a="1"/>
  <c r="S1587" i="3"/>
  <c r="S1587" i="3" a="1"/>
  <c r="S2647" i="3"/>
  <c r="S2647" i="3" a="1"/>
  <c r="S2154" i="3"/>
  <c r="S2154" i="3" a="1"/>
  <c r="S196" i="3"/>
  <c r="S196" i="3" a="1"/>
  <c r="S1286" i="3"/>
  <c r="S1286" i="3" a="1"/>
  <c r="S2266" i="3"/>
  <c r="S2266" i="3" a="1"/>
  <c r="S2620" i="3"/>
  <c r="S2620" i="3" a="1"/>
  <c r="S249" i="3"/>
  <c r="S249" i="3" a="1"/>
  <c r="S761" i="3"/>
  <c r="S761" i="3" a="1"/>
  <c r="S600" i="3"/>
  <c r="S600" i="3" a="1"/>
  <c r="S1464" i="3"/>
  <c r="S1464" i="3" a="1"/>
  <c r="S1253" i="3"/>
  <c r="S1253" i="3" a="1"/>
  <c r="S1191" i="3"/>
  <c r="S1191" i="3" a="1"/>
  <c r="S2030" i="3"/>
  <c r="S2030" i="3" a="1"/>
  <c r="S1511" i="3"/>
  <c r="S1511" i="3" a="1"/>
  <c r="S2427" i="3"/>
  <c r="S2427" i="3" a="1"/>
  <c r="S336" i="3"/>
  <c r="S336" i="3" a="1"/>
  <c r="S94" i="3"/>
  <c r="S94" i="3" a="1"/>
  <c r="S447" i="3"/>
  <c r="S447" i="3" a="1"/>
  <c r="S788" i="3"/>
  <c r="S788" i="3" a="1"/>
  <c r="S11" i="3"/>
  <c r="S11" i="3" a="1"/>
  <c r="S1550" i="3"/>
  <c r="S1550" i="3" a="1"/>
  <c r="S2245" i="3"/>
  <c r="S2245" i="3" a="1"/>
  <c r="S1559" i="3"/>
  <c r="S1559" i="3" a="1"/>
  <c r="S1999" i="3"/>
  <c r="AJ3" i="7" a="1"/>
  <c r="AO1" i="7"/>
  <c r="S1999" i="3" a="1"/>
  <c r="S544" i="3"/>
  <c r="S544" i="3" a="1"/>
  <c r="S565" i="3"/>
  <c r="S565" i="3" a="1"/>
  <c r="S527" i="3"/>
  <c r="S527" i="3" a="1"/>
  <c r="S1809" i="3"/>
  <c r="S1809" i="3" a="1"/>
  <c r="S1891" i="3"/>
  <c r="S1891" i="3" a="1"/>
  <c r="S558" i="3"/>
  <c r="S558" i="3" a="1"/>
  <c r="S1601" i="3"/>
  <c r="S1601" i="3" a="1"/>
  <c r="S579" i="3"/>
  <c r="S579" i="3" a="1"/>
  <c r="S1659" i="3"/>
  <c r="S1659" i="3" a="1"/>
  <c r="S586" i="3"/>
  <c r="S586" i="3" a="1"/>
  <c r="S593" i="3"/>
  <c r="S593" i="3" a="1"/>
  <c r="S1832" i="3"/>
  <c r="S1832" i="3" a="1"/>
  <c r="S530" i="3"/>
  <c r="S530" i="3" a="1"/>
  <c r="S1727" i="3"/>
  <c r="S1727" i="3" a="1"/>
  <c r="S537" i="3"/>
  <c r="S537" i="3" a="1"/>
  <c r="S551" i="3"/>
  <c r="S551" i="3" a="1"/>
  <c r="S1675" i="3"/>
  <c r="S1675" i="3" a="1"/>
  <c r="S1750" i="3"/>
  <c r="S1750" i="3" a="1"/>
  <c r="S572" i="3"/>
  <c r="L233" i="3"/>
  <c r="N233" i="3"/>
  <c r="B3" i="7" a="1"/>
  <c r="F1" i="7"/>
  <c r="S572" i="3"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Cai, Hao</author>
    <author>Sykora, Tom</author>
  </authors>
  <commentList>
    <comment ref="R23" authorId="0" shapeId="0" xr:uid="{01D45A43-57F9-4C8D-A631-BDA7C3F75207}">
      <text>
        <r>
          <rPr>
            <b/>
            <sz val="9"/>
            <color indexed="81"/>
            <rFont val="Tahoma"/>
            <family val="2"/>
          </rPr>
          <t>GHG emissions are in g CO2e/MJ of CO2, CH4, and N2O, using IPCC AR5 GWP</t>
        </r>
      </text>
    </comment>
    <comment ref="F25" authorId="1" shapeId="0" xr:uid="{82BD492E-D42E-4D63-A5B3-6753F0504FB2}">
      <text>
        <r>
          <rPr>
            <sz val="9"/>
            <color indexed="81"/>
            <rFont val="Tahoma"/>
            <family val="2"/>
          </rPr>
          <t>1--AKGD, 2--AKMS, 3--AZNM_x000D_
 4--CAMX, 5--ERCT, 6--FRCC_x000D_
 7--HIMS, 8--HIOA, 9--MROE_x000D_
 10--MROW, 11--NEWE, 12--NWPP_x000D_
 13--NYCW, 14--NYLI, 15--NYUP_x000D_
 16--PRMS, 17--RFCE, 18--RFCM_x000D_
 19--RFCW, 20--RMPA, 21--SPNO_x000D_
 22--SPSO, 23--SRMV, 24--SRMW_x000D_
 25--SRSO, 26--SRTV, 27--SRVC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tc={1C05DB7F-16B3-463D-9FB8-BD93621DBF34}</author>
    <author>tc={5595F56E-9833-422C-99C3-36C56208AF76}</author>
    <author>tc={476EF5E7-D393-4DA8-98FC-2837CA456A14}</author>
    <author>tc={82F4B387-39DB-4327-B0A6-97E03336665E}</author>
    <author>tc={73F5F8FD-F25C-46E8-B255-29397EC56CD3}</author>
    <author>tc={E5D3478D-B9A3-4D34-B5F6-48A19FE90829}</author>
    <author>tc={357FD6F8-D33A-4B12-AE7C-3B005C572AA8}</author>
    <author>tc={0FDE8630-EA64-416A-BB50-9EBD89E90E17}</author>
    <author>tc={3CAB2DC5-5121-4AA5-BB33-1467FF03D292}</author>
    <author>tc={D97AF6FD-AEED-46D5-9AE1-C976B10816F4}</author>
  </authors>
  <commentList>
    <comment ref="A1" authorId="0" shapeId="0" xr:uid="{1C05DB7F-16B3-463D-9FB8-BD93621DBF34}">
      <text>
        <t>[Threaded comment]
Your version of Excel allows you to read this threaded comment; however, any edits to it will get removed if the file is opened in a newer version of Excel. Learn more: https://go.microsoft.com/fwlink/?linkid=870924
Comment:
    Table handles the transportation data shown on the dashboard. Columns P-S are shown; column O/N are the GREET locations</t>
      </text>
    </comment>
    <comment ref="J1" authorId="1" shapeId="0" xr:uid="{5595F56E-9833-422C-99C3-36C56208AF76}">
      <text>
        <t>[Threaded comment]
Your version of Excel allows you to read this threaded comment; however, any edits to it will get removed if the file is opened in a newer version of Excel. Learn more: https://go.microsoft.com/fwlink/?linkid=870924
Comment:
    Columns A-E hold what options should be on the slicers for the item to show. F-L are logic to control whether it is shown. F-J all have to be true for it to be shown. Column K is a manual override; it is blank by default but you can put TRUE in it to always hide a row.</t>
      </text>
    </comment>
    <comment ref="M1" authorId="2" shapeId="0" xr:uid="{476EF5E7-D393-4DA8-98FC-2837CA456A14}">
      <text>
        <t>[Threaded comment]
Your version of Excel allows you to read this threaded comment; however, any edits to it will get removed if the file is opened in a newer version of Excel. Learn more: https://go.microsoft.com/fwlink/?linkid=870924
Comment:
    Name of process, shown on dashboard</t>
      </text>
    </comment>
    <comment ref="N1" authorId="3" shapeId="0" xr:uid="{82F4B387-39DB-4327-B0A6-97E03336665E}">
      <text>
        <t>[Threaded comment]
Your version of Excel allows you to read this threaded comment; however, any edits to it will get removed if the file is opened in a newer version of Excel. Learn more: https://go.microsoft.com/fwlink/?linkid=870924
Comment:
    Name range the share value from the dashboard gets sent to within GREET1</t>
      </text>
    </comment>
    <comment ref="O1" authorId="4" shapeId="0" xr:uid="{73F5F8FD-F25C-46E8-B255-29397EC56CD3}">
      <text>
        <t>[Threaded comment]
Your version of Excel allows you to read this threaded comment; however, any edits to it will get removed if the file is opened in a newer version of Excel. Learn more: https://go.microsoft.com/fwlink/?linkid=870924
Comment:
    Name range distance value from the dashboard gets sent to within GREET1</t>
      </text>
    </comment>
    <comment ref="P1" authorId="5" shapeId="0" xr:uid="{E5D3478D-B9A3-4D34-B5F6-48A19FE90829}">
      <text>
        <t>[Threaded comment]
Your version of Excel allows you to read this threaded comment; however, any edits to it will get removed if the file is opened in a newer version of Excel. Learn more: https://go.microsoft.com/fwlink/?linkid=870924
Comment:
    Name of item, shown on dashboard</t>
      </text>
    </comment>
    <comment ref="Q1" authorId="6" shapeId="0" xr:uid="{357FD6F8-D33A-4B12-AE7C-3B005C572AA8}">
      <text>
        <t>[Threaded comment]
Your version of Excel allows you to read this threaded comment; however, any edits to it will get removed if the file is opened in a newer version of Excel. Learn more: https://go.microsoft.com/fwlink/?linkid=870924
Comment:
    Type of transportation, shown on dashbaord</t>
      </text>
    </comment>
    <comment ref="R1" authorId="7" shapeId="0" xr:uid="{0FDE8630-EA64-416A-BB50-9EBD89E90E17}">
      <text>
        <t>[Threaded comment]
Your version of Excel allows you to read this threaded comment; however, any edits to it will get removed if the file is opened in a newer version of Excel. Learn more: https://go.microsoft.com/fwlink/?linkid=870924
Comment:
    The default share of the transportation type. This is the default shown on the dashboard when a pathway first loads.</t>
      </text>
    </comment>
    <comment ref="T1" authorId="8" shapeId="0" xr:uid="{3CAB2DC5-5121-4AA5-BB33-1467FF03D292}">
      <text>
        <t>[Threaded comment]
Your version of Excel allows you to read this threaded comment; however, any edits to it will get removed if the file is opened in a newer version of Excel. Learn more: https://go.microsoft.com/fwlink/?linkid=870924
Comment:
    Notes just for development; these will not be shown on the dashboard</t>
      </text>
    </comment>
    <comment ref="U1" authorId="9" shapeId="0" xr:uid="{D97AF6FD-AEED-46D5-9AE1-C976B10816F4}">
      <text>
        <t>[Threaded comment]
Your version of Excel allows you to read this threaded comment; however, any edits to it will get removed if the file is opened in a newer version of Excel. Learn more: https://go.microsoft.com/fwlink/?linkid=870924
Comment:
    Notes shown on the dashboard as comments on the cell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tc={0A2ED82D-24E8-43C4-BA66-8EC1C511DDE4}</author>
    <author>tc={3DC45A44-8FDE-4D65-813D-7CDE9419271D}</author>
    <author>tc={BDE0D774-ADD0-4D05-ACB9-2FA092052E31}</author>
  </authors>
  <commentList>
    <comment ref="A1" authorId="0" shapeId="0" xr:uid="{0A2ED82D-24E8-43C4-BA66-8EC1C511DDE4}">
      <text>
        <t>[Threaded comment]
Your version of Excel allows you to read this threaded comment; however, any edits to it will get removed if the file is opened in a newer version of Excel. Learn more: https://go.microsoft.com/fwlink/?linkid=870924
Comment:
    Holds the list of pathways. First 5 selectors correspond to the slicers on the dashboard. Pathway name is the name of the pathway in the results table.</t>
      </text>
    </comment>
    <comment ref="H1" authorId="1" shapeId="0" xr:uid="{3DC45A44-8FDE-4D65-813D-7CDE9419271D}">
      <text>
        <t>[Threaded comment]
Your version of Excel allows you to read this threaded comment; however, any edits to it will get removed if the file is opened in a newer version of Excel. Learn more: https://go.microsoft.com/fwlink/?linkid=870924
Comment:
    Column in Results that pathway is found</t>
      </text>
    </comment>
    <comment ref="A108" authorId="2" shapeId="0" xr:uid="{BDE0D774-ADD0-4D05-ACB9-2FA092052E31}">
      <text>
        <t>[Threaded comment]
Your version of Excel allows you to read this threaded comment; however, any edits to it will get removed if the file is opened in a newer version of Excel. Learn more: https://go.microsoft.com/fwlink/?linkid=870924
Comment:
    NO DATA YET! Don't run this yet until we get GREET1 data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tc={BF6F6E35-A523-48D5-A8B9-4112A65FD6AB}</author>
    <author>tc={ED7691AE-13E0-455B-8F8D-C314122DE29A}</author>
    <author>tc={F38D63DB-2D2F-4862-9C13-B86596B43798}</author>
    <author>tc={1C3B5204-DC01-4D76-B5DF-EB3B302B2880}</author>
    <author>tc={BDF06D88-A180-47CE-AA3F-8FCDC524F0A8}</author>
    <author>tc={CEDF6F68-AEED-4D65-9E2D-C0733721BCC5}</author>
    <author>tc={B8BB9722-F758-40C1-BB81-54F16D9B9024}</author>
    <author>tc={95CEA7CC-01E7-47E0-B690-291D2C4BD691}</author>
    <author>tc={510EECF6-33B4-498E-89ED-6D156D576A14}</author>
    <author>tc={B8A501FC-4023-40D2-AC50-C5461FCB7F0D}</author>
  </authors>
  <commentList>
    <comment ref="B1" authorId="0" shapeId="0" xr:uid="{BF6F6E35-A523-48D5-A8B9-4112A65FD6AB}">
      <text>
        <t>[Threaded comment]
Your version of Excel allows you to read this threaded comment; however, any edits to it will get removed if the file is opened in a newer version of Excel. Learn more: https://go.microsoft.com/fwlink/?linkid=870924
Comment:
    In dev, please do not touch</t>
      </text>
    </comment>
    <comment ref="L1" authorId="1" shapeId="0" xr:uid="{ED7691AE-13E0-455B-8F8D-C314122DE29A}">
      <text>
        <t>[Threaded comment]
Your version of Excel allows you to read this threaded comment; however, any edits to it will get removed if the file is opened in a newer version of Excel. Learn more: https://go.microsoft.com/fwlink/?linkid=870924
Comment:
    This column defaults to true. If a value should only be shown when another value is selected, please put the formula here. For example, options for corn CCS only show when corn CCS is enabled.
When the user enters values into the dashboard, the values are put into column Q. this should be the column you check for the user inputted value. Please put options that depend on another below it. I.E corn CCS is in row 8, the values that depend on it should be row 9 or below. This helps with formatting.</t>
      </text>
    </comment>
    <comment ref="M1" authorId="2" shapeId="0" xr:uid="{F38D63DB-2D2F-4862-9C13-B86596B43798}">
      <text>
        <t>[Threaded comment]
Your version of Excel allows you to read this threaded comment; however, any edits to it will get removed if the file is opened in a newer version of Excel. Learn more: https://go.microsoft.com/fwlink/?linkid=870924
Comment:
    Should this be sent to GREET1? By default true if the name range isnt blank.</t>
      </text>
    </comment>
    <comment ref="N1" authorId="3" shapeId="0" xr:uid="{1C3B5204-DC01-4D76-B5DF-EB3B302B2880}">
      <text>
        <t xml:space="preserve">[Threaded comment]
Your version of Excel allows you to read this threaded comment; however, any edits to it will get removed if the file is opened in a newer version of Excel. Learn more: https://go.microsoft.com/fwlink/?linkid=870924
Comment:
    Should this value be displayed on the dashboard? True if G-L is true
</t>
      </text>
    </comment>
    <comment ref="O1" authorId="4" shapeId="0" xr:uid="{BDF06D88-A180-47CE-AA3F-8FCDC524F0A8}">
      <text>
        <t>[Threaded comment]
Your version of Excel allows you to read this threaded comment; however, any edits to it will get removed if the file is opened in a newer version of Excel. Learn more: https://go.microsoft.com/fwlink/?linkid=870924
Comment:
    Name range to send to on greet1</t>
      </text>
    </comment>
    <comment ref="P1" authorId="5" shapeId="0" xr:uid="{CEDF6F68-AEED-4D65-9E2D-C0733721BCC5}">
      <text>
        <t>[Threaded comment]
Your version of Excel allows you to read this threaded comment; however, any edits to it will get removed if the file is opened in a newer version of Excel. Learn more: https://go.microsoft.com/fwlink/?linkid=870924
Comment:
    Name range to send to on greet1</t>
      </text>
    </comment>
    <comment ref="R1" authorId="6" shapeId="0" xr:uid="{B8BB9722-F758-40C1-BB81-54F16D9B9024}">
      <text>
        <t>[Threaded comment]
Your version of Excel allows you to read this threaded comment; however, any edits to it will get removed if the file is opened in a newer version of Excel. Learn more: https://go.microsoft.com/fwlink/?linkid=870924
Comment:
    Value from dashboard</t>
      </text>
    </comment>
    <comment ref="S1" authorId="7" shapeId="0" xr:uid="{95CEA7CC-01E7-47E0-B690-291D2C4BD691}">
      <text>
        <t>[Threaded comment]
Your version of Excel allows you to read this threaded comment; however, any edits to it will get removed if the file is opened in a newer version of Excel. Learn more: https://go.microsoft.com/fwlink/?linkid=870924
Comment:
    Value sent to dashboard</t>
      </text>
    </comment>
    <comment ref="T1" authorId="8" shapeId="0" xr:uid="{510EECF6-33B4-498E-89ED-6D156D576A14}">
      <text>
        <t>[Threaded comment]
Your version of Excel allows you to read this threaded comment; however, any edits to it will get removed if the file is opened in a newer version of Excel. Learn more: https://go.microsoft.com/fwlink/?linkid=870924
Comment:
    Value calculated from input value; this is the value sent to GREET</t>
      </text>
    </comment>
    <comment ref="Z2" authorId="9" shapeId="0" xr:uid="{B8A501FC-4023-40D2-AC50-C5461FCB7F0D}">
      <text>
        <t>[Threaded comment]
Your version of Excel allows you to read this threaded comment; however, any edits to it will get removed if the file is opened in a newer version of Excel. Learn more: https://go.microsoft.com/fwlink/?linkid=870924
Comment:
    When resetting the dashboard, this is used to force all the selections to go back to their default values, so that it refreshes correctly. Otherwise, conditional elements will persist</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tc={D7C1CE9A-2CF4-4302-A6DC-4ECD9F6D7DBA}</author>
  </authors>
  <commentList>
    <comment ref="B1" authorId="0" shapeId="0" xr:uid="{D7C1CE9A-2CF4-4302-A6DC-4ECD9F6D7DBA}">
      <text>
        <t>[Threaded comment]
Your version of Excel allows you to read this threaded comment; however, any edits to it will get removed if the file is opened in a newer version of Excel. Learn more: https://go.microsoft.com/fwlink/?linkid=870924
Comment:
    Used for when I was getting the aggregated mitigation option results. Will require modification to work, keeping it in case we need before 40B release.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tc={140DE845-2753-4CB7-BF55-E9F4DB98BB3A}</author>
    <author>tc={0F066BF7-CFE1-4633-9630-8F30974720D6}</author>
  </authors>
  <commentList>
    <comment ref="B1" authorId="0" shapeId="0" xr:uid="{140DE845-2753-4CB7-BF55-E9F4DB98BB3A}">
      <text>
        <t>[Threaded comment]
Your version of Excel allows you to read this threaded comment; however, any edits to it will get removed if the file is opened in a newer version of Excel. Learn more: https://go.microsoft.com/fwlink/?linkid=870924
Comment:
    Keeping this incase we need it prior to 40B.</t>
      </text>
    </comment>
    <comment ref="S1" authorId="1" shapeId="0" xr:uid="{0F066BF7-CFE1-4633-9630-8F30974720D6}">
      <text>
        <t>[Threaded comment]
Your version of Excel allows you to read this threaded comment; however, any edits to it will get removed if the file is opened in a newer version of Excel. Learn more: https://go.microsoft.com/fwlink/?linkid=870924
Comment:
    Pivot table grabbing the results for the selected pathway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tc={B7D81E73-9919-4072-A00E-FBAA169282FD}</author>
    <author>tc={CBFD2BBA-8200-457C-B023-B4B9FE4B9203}</author>
    <author>tc={67DED29E-A46B-48C6-AD8B-68B0DEC16681}</author>
    <author>tc={D630D280-BC89-4501-AAEB-35829EE24B67}</author>
    <author>tc={C1734A8D-80D5-446F-A72E-BF5E3B195784}</author>
    <author>tc={55AC5539-FDFD-4069-B1CE-C242EDCDBD46}</author>
    <author>tc={8385C70D-3FDA-4BE2-AC5B-9771ACDD4794}</author>
  </authors>
  <commentList>
    <comment ref="A1" authorId="0" shapeId="0" xr:uid="{B7D81E73-9919-4072-A00E-FBAA169282FD}">
      <text>
        <t>[Threaded comment]
Your version of Excel allows you to read this threaded comment; however, any edits to it will get removed if the file is opened in a newer version of Excel. Learn more: https://go.microsoft.com/fwlink/?linkid=870924
Comment:
    Values sent to greet; left column is value, right column is Name Range</t>
      </text>
    </comment>
    <comment ref="E2" authorId="1" shapeId="0" xr:uid="{CBFD2BBA-8200-457C-B023-B4B9FE4B9203}">
      <text>
        <t>[Threaded comment]
Your version of Excel allows you to read this threaded comment; however, any edits to it will get removed if the file is opened in a newer version of Excel. Learn more: https://go.microsoft.com/fwlink/?linkid=870924
Comment:
    This table holds values that are sent to greet1 without modification. They are still only sent if the pathway is correct (or is listed as "All"), but are not shown to the user</t>
      </text>
    </comment>
    <comment ref="F2" authorId="2" shapeId="0" xr:uid="{67DED29E-A46B-48C6-AD8B-68B0DEC16681}">
      <text>
        <t>[Threaded comment]
Your version of Excel allows you to read this threaded comment; however, any edits to it will get removed if the file is opened in a newer version of Excel. Learn more: https://go.microsoft.com/fwlink/?linkid=870924
Comment:
    F-J: The options that should be on the selectors for a row to be sent to GREET1</t>
      </text>
    </comment>
    <comment ref="K2" authorId="3" shapeId="0" xr:uid="{D630D280-BC89-4501-AAEB-35829EE24B67}">
      <text>
        <t>[Threaded comment]
Your version of Excel allows you to read this threaded comment; however, any edits to it will get removed if the file is opened in a newer version of Excel. Learn more: https://go.microsoft.com/fwlink/?linkid=870924
Comment:
    Logic to check if F-J match the options on the selectors</t>
      </text>
    </comment>
    <comment ref="R2" authorId="4" shapeId="0" xr:uid="{C1734A8D-80D5-446F-A72E-BF5E3B195784}">
      <text>
        <t>[Threaded comment]
Your version of Excel allows you to read this threaded comment; however, any edits to it will get removed if the file is opened in a newer version of Excel. Learn more: https://go.microsoft.com/fwlink/?linkid=870924
Comment:
    NR of cell within GREET1</t>
      </text>
    </comment>
    <comment ref="S2" authorId="5" shapeId="0" xr:uid="{55AC5539-FDFD-4069-B1CE-C242EDCDBD46}">
      <text>
        <t>[Threaded comment]
Your version of Excel allows you to read this threaded comment; however, any edits to it will get removed if the file is opened in a newer version of Excel. Learn more: https://go.microsoft.com/fwlink/?linkid=870924
Comment:
    Value sent to GREET1</t>
      </text>
    </comment>
    <comment ref="T2" authorId="6" shapeId="0" xr:uid="{8385C70D-3FDA-4BE2-AC5B-9771ACDD4794}">
      <text>
        <t>[Threaded comment]
Your version of Excel allows you to read this threaded comment; however, any edits to it will get removed if the file is opened in a newer version of Excel. Learn more: https://go.microsoft.com/fwlink/?linkid=870924
Comment:
    Notes, just for development use, not shown to user in any way</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tc={67AE1E52-1E75-41B2-B59E-35C95F25C0B3}</author>
    <author>tc={CF19CFA5-00AB-4C5A-AB0D-73DA3B347AF8}</author>
    <author>tc={817A4E5C-DD9B-4918-9BBD-35E1A7F55960}</author>
    <author>tc={FBA7F1C6-D8EC-441B-BFBA-92181F0D6A05}</author>
    <author>tc={735C1261-7A03-4E43-A603-C83FD7526021}</author>
    <author>tc={6BB1E185-298E-44CE-8979-CF8881F285AA}</author>
    <author>tc={631B6D08-FEB4-438D-BAF4-CDC7C1333299}</author>
    <author>tc={64896DF5-87B5-40CE-9B40-5AF6293D80B8}</author>
    <author>tc={82EFB7CE-318F-4873-B820-B9C342C11B1F}</author>
    <author>tc={1457FE28-F061-4F07-9DEF-B6E28F2A256A}</author>
    <author>tc={3BA04AE6-F444-4241-9A57-29AE8088D75D}</author>
    <author>tc={C64924CA-221C-4DB5-ACCD-DAFA424B0276}</author>
    <author>tc={2DACE79D-8712-4121-A043-850F8970128C}</author>
    <author>tc={9449296F-AFE0-4C30-BA27-50C18B163E3A}</author>
    <author>tc={B46C0E6B-DE14-4544-AE2D-EB41744F538C}</author>
    <author>tc={842CF606-A950-4B49-B8CE-0989B2F1FB0E}</author>
    <author>tc={7363F701-C7A8-47CC-8E57-052616F24E10}</author>
    <author>tc={7BFDE923-16A3-453C-96D1-55D18F6E710C}</author>
    <author>tc={05002FE2-05E2-43B9-AC68-4A2E06FCBC52}</author>
    <author>tc={A4A837D3-6B69-4058-9CAD-88E78E45046E}</author>
    <author>tc={4FA6D84E-5711-4D29-A4CE-05A9463DF623}</author>
    <author>tc={8D02E939-158F-4863-881D-E36F6BD32C27}</author>
    <author>tc={D02277B4-BD8B-471B-A4C4-92CD49AEF28F}</author>
    <author>tom sykora</author>
  </authors>
  <commentList>
    <comment ref="A1" authorId="0" shapeId="0" xr:uid="{67AE1E52-1E75-41B2-B59E-35C95F25C0B3}">
      <text>
        <t>[Threaded comment]
Your version of Excel allows you to read this threaded comment; however, any edits to it will get removed if the file is opened in a newer version of Excel. Learn more: https://go.microsoft.com/fwlink/?linkid=870924
Comment:
    Table holds the Non-transport LCI shown to the user on the dashboard. Rows without a GREET1 name range are shown but not sent; usually used for calculations. Column R holds the value from the dashboard; Column T shows the value calculated from the dashboard value. The value from column T is what is sent to GREET1.  Column U is the default value to be displayed on the dashboard when the user loads in.</t>
      </text>
    </comment>
    <comment ref="B1" authorId="1" shapeId="0" xr:uid="{CF19CFA5-00AB-4C5A-AB0D-73DA3B347AF8}">
      <text>
        <t>[Threaded comment]
Your version of Excel allows you to read this threaded comment; however, any edits to it will get removed if the file is opened in a newer version of Excel. Learn more: https://go.microsoft.com/fwlink/?linkid=870924
Comment:
    B-F control what options need to be selected on the dashboard slicers for this item to appear</t>
      </text>
    </comment>
    <comment ref="G1" authorId="2" shapeId="0" xr:uid="{817A4E5C-DD9B-4918-9BBD-35E1A7F55960}">
      <text>
        <t>[Threaded comment]
Your version of Excel allows you to read this threaded comment; however, any edits to it will get removed if the file is opened in a newer version of Excel. Learn more: https://go.microsoft.com/fwlink/?linkid=870924
Comment:
    Logic to control if row is shown. Checks if B-F match the items shown on the dashboard slicers</t>
      </text>
    </comment>
    <comment ref="L1" authorId="3" shapeId="0" xr:uid="{FBA7F1C6-D8EC-441B-BFBA-92181F0D6A05}">
      <text>
        <t>[Threaded comment]
Your version of Excel allows you to read this threaded comment; however, any edits to it will get removed if the file is opened in a newer version of Excel. Learn more: https://go.microsoft.com/fwlink/?linkid=870924
Comment:
    Put in a custom equation here; if the equation is FALSE, the value wont be shown. If nothing is needed, just put =TRUE</t>
      </text>
    </comment>
    <comment ref="M1" authorId="4" shapeId="0" xr:uid="{735C1261-7A03-4E43-A603-C83FD7526021}">
      <text>
        <t xml:space="preserve">[Threaded comment]
Your version of Excel allows you to read this threaded comment; however, any edits to it will get removed if the file is opened in a newer version of Excel. Learn more: https://go.microsoft.com/fwlink/?linkid=870924
Comment:
    Manually hide a row by setting this to true
</t>
      </text>
    </comment>
    <comment ref="N1" authorId="5" shapeId="0" xr:uid="{6BB1E185-298E-44CE-8979-CF8881F285AA}">
      <text>
        <t>[Threaded comment]
Your version of Excel allows you to read this threaded comment; however, any edits to it will get removed if the file is opened in a newer version of Excel. Learn more: https://go.microsoft.com/fwlink/?linkid=870924
Comment:
    True if G-L is true and M is false. If this is true, item is showed on dashboard</t>
      </text>
    </comment>
    <comment ref="O1" authorId="6" shapeId="0" xr:uid="{631B6D08-FEB4-438D-BAF4-CDC7C1333299}">
      <text>
        <t xml:space="preserve">[Threaded comment]
Your version of Excel allows you to read this threaded comment; however, any edits to it will get removed if the file is opened in a newer version of Excel. Learn more: https://go.microsoft.com/fwlink/?linkid=870924
Comment:
    If greet NR is empty, value is not sent to GREET1 as theres nowhere to send it to </t>
      </text>
    </comment>
    <comment ref="P1" authorId="7" shapeId="0" xr:uid="{64896DF5-87B5-40CE-9B40-5AF6293D80B8}">
      <text>
        <t>[Threaded comment]
Your version of Excel allows you to read this threaded comment; however, any edits to it will get removed if the file is opened in a newer version of Excel. Learn more: https://go.microsoft.com/fwlink/?linkid=870924
Comment:
    Name of process; if process is jetfuel, shown in the jetfuel LCI section. Otherwise shown in the LCIFarming section</t>
      </text>
    </comment>
    <comment ref="Q1" authorId="8" shapeId="0" xr:uid="{82EFB7CE-318F-4873-B820-B9C342C11B1F}">
      <text>
        <t>[Threaded comment]
Your version of Excel allows you to read this threaded comment; however, any edits to it will get removed if the file is opened in a newer version of Excel. Learn more: https://go.microsoft.com/fwlink/?linkid=870924
Comment:
    NR the calculated value is sent to in GREET1</t>
      </text>
    </comment>
    <comment ref="R1" authorId="9" shapeId="0" xr:uid="{1457FE28-F061-4F07-9DEF-B6E28F2A256A}">
      <text>
        <t>[Threaded comment]
Your version of Excel allows you to read this threaded comment; however, any edits to it will get removed if the file is opened in a newer version of Excel. Learn more: https://go.microsoft.com/fwlink/?linkid=870924
Comment:
    Name of item, shown on the dashboard</t>
      </text>
    </comment>
    <comment ref="S1" authorId="10" shapeId="0" xr:uid="{3BA04AE6-F444-4241-9A57-29AE8088D75D}">
      <text>
        <t>[Threaded comment]
Your version of Excel allows you to read this threaded comment; however, any edits to it will get removed if the file is opened in a newer version of Excel. Learn more: https://go.microsoft.com/fwlink/?linkid=870924
Comment:
    This holds the value loaded from the dashboard. If the item is not on the dashboard, it holds the default displayed value in column V. Note that this has to pass through the Dashboard Data sheet first; If you are manually calculating with f9, you will need to calculate that sheet first, then this.</t>
      </text>
    </comment>
    <comment ref="T1" authorId="11" shapeId="0" xr:uid="{C64924CA-221C-4DB5-ACCD-DAFA424B0276}">
      <text>
        <t>[Threaded comment]
Your version of Excel allows you to read this threaded comment; however, any edits to it will get removed if the file is opened in a newer version of Excel. Learn more: https://go.microsoft.com/fwlink/?linkid=870924
Comment:
    Unit displayed on dashboard. This is a formula and should not be edited; edit Columns X and Y instead</t>
      </text>
    </comment>
    <comment ref="U1" authorId="12" shapeId="0" xr:uid="{2DACE79D-8712-4121-A043-850F8970128C}">
      <text>
        <t>[Threaded comment]
Your version of Excel allows you to read this threaded comment; however, any edits to it will get removed if the file is opened in a newer version of Excel. Learn more: https://go.microsoft.com/fwlink/?linkid=870924
Comment:
    Value actually sent to GREET1. The calculated value is derived from the dashboard value. The formula in this cell can be anything, and is depending on the actual LCI in that row. Note that if this ever evaluates to an error, sending an error value to GREET1 can lock the file, requiring it to be reset by closing and reopening without saving.</t>
      </text>
    </comment>
    <comment ref="V1" authorId="13" shapeId="0" xr:uid="{9449296F-AFE0-4C30-BA27-50C18B163E3A}">
      <text>
        <t>[Threaded comment]
Your version of Excel allows you to read this threaded comment; however, any edits to it will get removed if the file is opened in a newer version of Excel. Learn more: https://go.microsoft.com/fwlink/?linkid=870924
Comment:
    This is the default value first displayed on the dashboard when the LCI is first loaded up.</t>
      </text>
    </comment>
    <comment ref="W1" authorId="14" shapeId="0" xr:uid="{B46C0E6B-DE14-4544-AE2D-EB41744F538C}">
      <text>
        <t>[Threaded comment]
Your version of Excel allows you to read this threaded comment; however, any edits to it will get removed if the file is opened in a newer version of Excel. Learn more: https://go.microsoft.com/fwlink/?linkid=870924
Comment:
    This is what the calculated value should evaluate to when using the default dashboard value. This column is not used anywhere, and is just for QA</t>
      </text>
    </comment>
    <comment ref="X1" authorId="15" shapeId="0" xr:uid="{842CF606-A950-4B49-B8CE-0989B2F1FB0E}">
      <text>
        <t>[Threaded comment]
Your version of Excel allows you to read this threaded comment; however, any edits to it will get removed if the file is opened in a newer version of Excel. Learn more: https://go.microsoft.com/fwlink/?linkid=870924
Comment:
    The unit of the item displayed on the dashboard. This is the dashboard unit, not the calculated value's unit</t>
      </text>
    </comment>
    <comment ref="Y1" authorId="16" shapeId="0" xr:uid="{7363F701-C7A8-47CC-8E57-052616F24E10}">
      <text>
        <t>[Threaded comment]
Your version of Excel allows you to read this threaded comment; however, any edits to it will get removed if the file is opened in a newer version of Excel. Learn more: https://go.microsoft.com/fwlink/?linkid=870924
Comment:
    Functional unit of value displayed on dashboard.</t>
      </text>
    </comment>
    <comment ref="Z1" authorId="17" shapeId="0" xr:uid="{7BFDE923-16A3-453C-96D1-55D18F6E710C}">
      <text>
        <t>[Threaded comment]
Your version of Excel allows you to read this threaded comment; however, any edits to it will get removed if the file is opened in a newer version of Excel. Learn more: https://go.microsoft.com/fwlink/?linkid=870924
Comment:
    Formula to display notes properly, do not modify</t>
      </text>
    </comment>
    <comment ref="AA1" authorId="18" shapeId="0" xr:uid="{05002FE2-05E2-43B9-AC68-4A2E06FCBC52}">
      <text>
        <t>[Threaded comment]
Your version of Excel allows you to read this threaded comment; however, any edits to it will get removed if the file is opened in a newer version of Excel. Learn more: https://go.microsoft.com/fwlink/?linkid=870924
Comment:
    This column holds notes displayed to the user via comments on cells displayed on the dashboard. Anything here will be added as a comment to its relevant cell.</t>
      </text>
    </comment>
    <comment ref="AB1" authorId="19" shapeId="0" xr:uid="{A4A837D3-6B69-4058-9CAD-88E78E45046E}">
      <text>
        <t>[Threaded comment]
Your version of Excel allows you to read this threaded comment; however, any edits to it will get removed if the file is opened in a newer version of Excel. Learn more: https://go.microsoft.com/fwlink/?linkid=870924
Comment:
    Notes for development; these are not used but are here for our reference.</t>
      </text>
    </comment>
    <comment ref="AC1" authorId="20" shapeId="0" xr:uid="{4FA6D84E-5711-4D29-A4CE-05A9463DF623}">
      <text>
        <t>[Threaded comment]
Your version of Excel allows you to read this threaded comment; however, any edits to it will get removed if the file is opened in a newer version of Excel. Learn more: https://go.microsoft.com/fwlink/?linkid=870924
Comment:
    Used for QA, actual calculated value - default calculated value</t>
      </text>
    </comment>
    <comment ref="M128" authorId="21" shapeId="0" xr:uid="{8D02E939-158F-4863-881D-E36F6BD32C27}">
      <text>
        <t>[Threaded comment]
Your version of Excel allows you to read this threaded comment; however, any edits to it will get removed if the file is opened in a newer version of Excel. Learn more: https://go.microsoft.com/fwlink/?linkid=870924
Comment:
    Manually hidden</t>
      </text>
    </comment>
    <comment ref="T1927" authorId="22" shapeId="0" xr:uid="{D02277B4-BD8B-471B-A4C4-92CD49AEF28F}">
      <text>
        <t xml:space="preserve">[Threaded comment]
Your version of Excel allows you to read this threaded comment; however, any edits to it will get removed if the file is opened in a newer version of Excel. Learn more: https://go.microsoft.com/fwlink/?linkid=870924
Comment:
    Custom Unit
</t>
      </text>
    </comment>
    <comment ref="V2823" authorId="23" shapeId="0" xr:uid="{2D3D089C-2398-4BB8-96EF-213BC562FE55}">
      <text>
        <r>
          <rPr>
            <sz val="9"/>
            <color indexed="81"/>
            <rFont val="Tahoma"/>
            <family val="2"/>
          </rPr>
          <t>Specify the source in the selection table below.</t>
        </r>
      </text>
    </comment>
    <comment ref="W2823" authorId="23" shapeId="0" xr:uid="{866FDF52-16F9-4900-BE2B-B41B34A95191}">
      <text>
        <r>
          <rPr>
            <sz val="9"/>
            <color indexed="81"/>
            <rFont val="Tahoma"/>
            <family val="2"/>
          </rPr>
          <t>Specify the source in the selection table below.</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tc={D0D84396-2C9F-4BA1-B485-FAB701CE0E08}</author>
    <author>tc={D1225989-BAD7-4C87-B0FF-306FF3447650}</author>
  </authors>
  <commentList>
    <comment ref="A1" authorId="0" shapeId="0" xr:uid="{D0D84396-2C9F-4BA1-B485-FAB701CE0E08}">
      <text>
        <t>[Threaded comment]
Your version of Excel allows you to read this threaded comment; however, any edits to it will get removed if the file is opened in a newer version of Excel. Learn more: https://go.microsoft.com/fwlink/?linkid=870924
Comment:
    Only currently used for some calculations, will be removed when allocation factors are shown to the user</t>
      </text>
    </comment>
    <comment ref="Q1" authorId="1" shapeId="0" xr:uid="{D1225989-BAD7-4C87-B0FF-306FF3447650}">
      <text>
        <t>[Threaded comment]
Your version of Excel allows you to read this threaded comment; however, any edits to it will get removed if the file is opened in a newer version of Excel. Learn more: https://go.microsoft.com/fwlink/?linkid=870924
Comment:
    How do we change what value to send to GREET1 when switching between GREET and ICAO?</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tc={B4660BB4-0AFA-4AB2-A46D-D3A44A3C45B6}</author>
  </authors>
  <commentList>
    <comment ref="A1" authorId="0" shapeId="0" xr:uid="{B4660BB4-0AFA-4AB2-A46D-D3A44A3C45B6}">
      <text>
        <t>[Threaded comment]
Your version of Excel allows you to read this threaded comment; however, any edits to it will get removed if the file is opened in a newer version of Excel. Learn more: https://go.microsoft.com/fwlink/?linkid=870924
Comment:
    Holds results table from GREET1. Headers in row 1 should match the pathway name shown in the pathways and processes tab.</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tc={282F086E-A672-4680-85D9-601556223FB2}</author>
    <author>tc={84E098C5-7AFB-4D1E-B3AB-6068D6EE1556}</author>
    <author>tc={10992046-BF21-4F9E-8136-5738FF3E1FAD}</author>
    <author>tc={77E9A658-4F4D-4B5A-8A1F-64E7DDE815A6}</author>
    <author>tc={A1AAC592-1212-4B48-A6C1-871A8A8E54B3}</author>
    <author>tc={E90EE1D4-23BE-4AFC-AC61-432A1B2ED944}</author>
    <author>tc={E65C839A-D7FD-4A94-941A-CE5683BE15D6}</author>
    <author>tc={B402B4AA-3977-4129-9BC7-C8615ACE9D1A}</author>
    <author>tc={DB4CB2DF-4C5D-4810-9704-4B65D3A5469C}</author>
    <author>tc={8B4FA731-A04B-4F06-BDCE-EB8451F51357}</author>
    <author>tc={E7603148-1C28-4B73-993F-A32B21A8B736}</author>
    <author>tc={170AD9A5-CFDC-4BAD-BE0F-527D43ABB45E}</author>
    <author>tc={688BE802-A55B-4AC3-A0B1-2486349FA64D}</author>
    <author>tc={C0476109-C3BB-4D9C-AD17-C56F35AB74C8}</author>
    <author>tc={AD2F08B6-9F49-4A2C-8DF4-C56990B24B7B}</author>
    <author>tc={9332DB11-35A1-4079-B4A9-9A7EEE88AFEA}</author>
    <author>tc={5737F0B3-A8A9-4133-A723-E024F4D5C198}</author>
    <author>tc={28D975DA-F532-4900-9338-BF8FBF00EDBF}</author>
    <author>tc={07B1E52E-6BC0-4FBD-8B9B-5FE7F3DD2E6C}</author>
    <author>tc={125C25D0-AEDA-4EF1-B7D9-63E0FBFCE8FD}</author>
    <author>tc={86FAD84C-63C4-4995-BAF0-12E6BD36C9DB}</author>
    <author>tc={E9A73096-BAC6-4B8F-B93F-37C445C423D1}</author>
  </authors>
  <commentList>
    <comment ref="A1" authorId="0" shapeId="0" xr:uid="{282F086E-A672-4680-85D9-601556223FB2}">
      <text>
        <t>[Threaded comment]
Your version of Excel allows you to read this threaded comment; however, any edits to it will get removed if the file is opened in a newer version of Excel. Learn more: https://go.microsoft.com/fwlink/?linkid=870924
Comment:
    These two pivot tables at A1 and D1 are used to control which pathway is selected. Two pivot tables are needed so that the available options show up correctly</t>
      </text>
    </comment>
    <comment ref="E1" authorId="1" shapeId="0" xr:uid="{84E098C5-7AFB-4D1E-B3AB-6068D6EE1556}">
      <text>
        <t>[Threaded comment]
Your version of Excel allows you to read this threaded comment; however, any edits to it will get removed if the file is opened in a newer version of Excel. Learn more: https://go.microsoft.com/fwlink/?linkid=870924
Comment:
    Please do not move this table, it Is used in vba.</t>
      </text>
    </comment>
    <comment ref="H1" authorId="2" shapeId="0" xr:uid="{10992046-BF21-4F9E-8136-5738FF3E1FAD}">
      <text>
        <t>[Threaded comment]
Your version of Excel allows you to read this threaded comment; however, any edits to it will get removed if the file is opened in a newer version of Excel. Learn more: https://go.microsoft.com/fwlink/?linkid=870924
Comment:
    Previous feedstock</t>
      </text>
    </comment>
    <comment ref="J1" authorId="3" shapeId="0" xr:uid="{77E9A658-4F4D-4B5A-8A1F-64E7DDE815A6}">
      <text>
        <t>[Threaded comment]
Your version of Excel allows you to read this threaded comment; however, any edits to it will get removed if the file is opened in a newer version of Excel. Learn more: https://go.microsoft.com/fwlink/?linkid=870924
Comment:
    Name of the pathway selected</t>
      </text>
    </comment>
    <comment ref="L1" authorId="4" shapeId="0" xr:uid="{A1AAC592-1212-4B48-A6C1-871A8A8E54B3}">
      <text>
        <t>[Threaded comment]
Your version of Excel allows you to read this threaded comment; however, any edits to it will get removed if the file is opened in a newer version of Excel. Learn more: https://go.microsoft.com/fwlink/?linkid=870924
Comment:
    Please do not move this table, it Is used in vba.</t>
      </text>
    </comment>
    <comment ref="P1" authorId="5" shapeId="0" xr:uid="{E90EE1D4-23BE-4AFC-AC61-432A1B2ED944}">
      <text>
        <t>[Threaded comment]
Your version of Excel allows you to read this threaded comment; however, any edits to it will get removed if the file is opened in a newer version of Excel. Learn more: https://go.microsoft.com/fwlink/?linkid=870924
Comment:
    These columns from P to  X are used to store the values for data on the dashboard when changing a selection. Should not be directly modified. Controlled via VBA</t>
      </text>
    </comment>
    <comment ref="H2" authorId="6" shapeId="0" xr:uid="{E65C839A-D7FD-4A94-941A-CE5683BE15D6}">
      <text>
        <t>[Threaded comment]
Your version of Excel allows you to read this threaded comment; however, any edits to it will get removed if the file is opened in a newer version of Excel. Learn more: https://go.microsoft.com/fwlink/?linkid=870924
Comment:
    Used by some logic in the backend to make sure the worksheet updates correctly  only when the feedstock is changed; do not modify</t>
      </text>
    </comment>
    <comment ref="J2" authorId="7" shapeId="0" xr:uid="{B402B4AA-3977-4129-9BC7-C8615ACE9D1A}">
      <text>
        <t>[Threaded comment]
Your version of Excel allows you to read this threaded comment; however, any edits to it will get removed if the file is opened in a newer version of Excel. Learn more: https://go.microsoft.com/fwlink/?linkid=870924
Comment:
    Whether a valid pathway is selected</t>
      </text>
    </comment>
    <comment ref="H3" authorId="8" shapeId="0" xr:uid="{DB4CB2DF-4C5D-4810-9704-4B65D3A5469C}">
      <text>
        <t>[Threaded comment]
Your version of Excel allows you to read this threaded comment; however, any edits to it will get removed if the file is opened in a newer version of Excel. Learn more: https://go.microsoft.com/fwlink/?linkid=870924
Comment:
    In development, not used, please no touch</t>
      </text>
    </comment>
    <comment ref="J3" authorId="9" shapeId="0" xr:uid="{8B4FA731-A04B-4F06-BDCE-EB8451F51357}">
      <text>
        <t>[Threaded comment]
Your version of Excel allows you to read this threaded comment; however, any edits to it will get removed if the file is opened in a newer version of Excel. Learn more: https://go.microsoft.com/fwlink/?linkid=870924
Comment:
    Whether results have been calculated and need to be displayed</t>
      </text>
    </comment>
    <comment ref="J4" authorId="10" shapeId="0" xr:uid="{E7603148-1C28-4B73-993F-A32B21A8B736}">
      <text>
        <t>[Threaded comment]
Your version of Excel allows you to read this threaded comment; however, any edits to it will get removed if the file is opened in a newer version of Excel. Learn more: https://go.microsoft.com/fwlink/?linkid=870924
Comment:
    Whether the farming inputs should be displayed or just transport and jet fuel prod</t>
      </text>
    </comment>
    <comment ref="H6" authorId="11" shapeId="0" xr:uid="{170AD9A5-CFDC-4BAD-BE0F-527D43ABB45E}">
      <text>
        <t>[Threaded comment]
Your version of Excel allows you to read this threaded comment; however, any edits to it will get removed if the file is opened in a newer version of Excel. Learn more: https://go.microsoft.com/fwlink/?linkid=870924
Comment:
    Headers for the sections on the dashboard</t>
      </text>
    </comment>
    <comment ref="A11" authorId="12" shapeId="0" xr:uid="{688BE802-A55B-4AC3-A0B1-2486349FA64D}">
      <text>
        <t>[Threaded comment]
Your version of Excel allows you to read this threaded comment; however, any edits to it will get removed if the file is opened in a newer version of Excel. Learn more: https://go.microsoft.com/fwlink/?linkid=870924
Comment:
    Metric selected for graph</t>
      </text>
    </comment>
    <comment ref="J12" authorId="13" shapeId="0" xr:uid="{C0476109-C3BB-4D9C-AD17-C56F35AB74C8}">
      <text>
        <t>[Threaded comment]
Your version of Excel allows you to read this threaded comment; however, any edits to it will get removed if the file is opened in a newer version of Excel. Learn more: https://go.microsoft.com/fwlink/?linkid=870924
Comment:
    This value is used by some calculations and is hard coded. Not sure where to put this</t>
      </text>
    </comment>
    <comment ref="G14" authorId="14" shapeId="0" xr:uid="{AD2F08B6-9F49-4A2C-8DF4-C56990B24B7B}">
      <text>
        <t>[Threaded comment]
Your version of Excel allows you to read this threaded comment; however, any edits to it will get removed if the file is opened in a newer version of Excel. Learn more: https://go.microsoft.com/fwlink/?linkid=870924
Comment:
    Please do not move this table, it Is used in vba.</t>
      </text>
    </comment>
    <comment ref="G15" authorId="15" shapeId="0" xr:uid="{9332DB11-35A1-4079-B4A9-9A7EEE88AFEA}">
      <text>
        <t>[Threaded comment]
Your version of Excel allows you to read this threaded comment; however, any edits to it will get removed if the file is opened in a newer version of Excel. Learn more: https://go.microsoft.com/fwlink/?linkid=870924
Comment:
    Please do not move this table, it Is used in vba.</t>
      </text>
    </comment>
    <comment ref="G16" authorId="16" shapeId="0" xr:uid="{5737F0B3-A8A9-4133-A723-E024F4D5C198}">
      <text>
        <t>[Threaded comment]
Your version of Excel allows you to read this threaded comment; however, any edits to it will get removed if the file is opened in a newer version of Excel. Learn more: https://go.microsoft.com/fwlink/?linkid=870924
Comment:
    Please do not move this table, it Is used in vba.</t>
      </text>
    </comment>
    <comment ref="G17" authorId="17" shapeId="0" xr:uid="{28D975DA-F532-4900-9338-BF8FBF00EDBF}">
      <text>
        <t>[Threaded comment]
Your version of Excel allows you to read this threaded comment; however, any edits to it will get removed if the file is opened in a newer version of Excel. Learn more: https://go.microsoft.com/fwlink/?linkid=870924
Comment:
    Please do not move this table, it Is used in vba.</t>
      </text>
    </comment>
    <comment ref="G18" authorId="18" shapeId="0" xr:uid="{07B1E52E-6BC0-4FBD-8B9B-5FE7F3DD2E6C}">
      <text>
        <t>[Threaded comment]
Your version of Excel allows you to read this threaded comment; however, any edits to it will get removed if the file is opened in a newer version of Excel. Learn more: https://go.microsoft.com/fwlink/?linkid=870924
Comment:
    Please do not move this table, it Is used in vba.</t>
      </text>
    </comment>
    <comment ref="G19" authorId="19" shapeId="0" xr:uid="{125C25D0-AEDA-4EF1-B7D9-63E0FBFCE8FD}">
      <text>
        <t>[Threaded comment]
Your version of Excel allows you to read this threaded comment; however, any edits to it will get removed if the file is opened in a newer version of Excel. Learn more: https://go.microsoft.com/fwlink/?linkid=870924
Comment:
    Please do not move this table, it Is used in vba.</t>
      </text>
    </comment>
    <comment ref="A20" authorId="20" shapeId="0" xr:uid="{86FAD84C-63C4-4995-BAF0-12E6BD36C9DB}">
      <text>
        <t>[Threaded comment]
Your version of Excel allows you to read this threaded comment; however, any edits to it will get removed if the file is opened in a newer version of Excel. Learn more: https://go.microsoft.com/fwlink/?linkid=870924
Comment:
    Pivot table grabbing the results for the selected pathway</t>
      </text>
    </comment>
    <comment ref="G20" authorId="21" shapeId="0" xr:uid="{E9A73096-BAC6-4B8F-B93F-37C445C423D1}">
      <text>
        <t>[Threaded comment]
Your version of Excel allows you to read this threaded comment; however, any edits to it will get removed if the file is opened in a newer version of Excel. Learn more: https://go.microsoft.com/fwlink/?linkid=870924
Comment:
    Please do not move this table, it Is used in vba.</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tc={F3878B9B-825B-4E7E-AA75-E679C3D24717}</author>
    <author>tc={382941F1-9EE0-4299-BF20-DFEBADDE4242}</author>
  </authors>
  <commentList>
    <comment ref="A1" authorId="0" shapeId="0" xr:uid="{F3878B9B-825B-4E7E-AA75-E679C3D24717}">
      <text>
        <t>[Threaded comment]
Your version of Excel allows you to read this threaded comment; however, any edits to it will get removed if the file is opened in a newer version of Excel. Learn more: https://go.microsoft.com/fwlink/?linkid=870924
Comment:
    Copy of fuel specs from GREET1. Used in some LCI Calculations</t>
      </text>
    </comment>
    <comment ref="P112" authorId="1" shapeId="0" xr:uid="{382941F1-9EE0-4299-BF20-DFEBADDE4242}">
      <text>
        <t>[Threaded comment]
Your version of Excel allows you to read this threaded comment; however, any edits to it will get removed if the file is opened in a newer version of Excel. Learn more: https://go.microsoft.com/fwlink/?linkid=870924
Comment:
    https://bioresources.cnr.ncsu.edu/wp-content/uploads/2016/06/BioRes_07_1_0217_Pirraglia_GSWD_Fuel_Eucalypt_Torrefied_Wood_Pellets_2007.pdf</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tc={AEB09B5D-D17B-49C5-ABE2-FAE7E487026D}</author>
    <author>tc={D50C514A-0F90-48DA-8783-A39A64522E75}</author>
    <author>tc={65B54002-5E8D-44F0-8C53-180E8EB7010D}</author>
    <author>tc={805B5EA6-6FFE-4B16-A0EE-2E61D550B9BB}</author>
    <author>tc={914CB63E-661D-4C81-94E8-2CB8C51DA8AC}</author>
  </authors>
  <commentList>
    <comment ref="A2" authorId="0" shapeId="0" xr:uid="{AEB09B5D-D17B-49C5-ABE2-FAE7E487026D}">
      <text>
        <t>[Threaded comment]
Your version of Excel allows you to read this threaded comment; however, any edits to it will get removed if the file is opened in a newer version of Excel. Learn more: https://go.microsoft.com/fwlink/?linkid=870924
Comment:
    Please do not move this table, it Is used in vba.</t>
      </text>
    </comment>
    <comment ref="A3" authorId="1" shapeId="0" xr:uid="{D50C514A-0F90-48DA-8783-A39A64522E75}">
      <text>
        <t>[Threaded comment]
Your version of Excel allows you to read this threaded comment; however, any edits to it will get removed if the file is opened in a newer version of Excel. Learn more: https://go.microsoft.com/fwlink/?linkid=870924
Comment:
    Please do not move this table, it Is used in vba.</t>
      </text>
    </comment>
    <comment ref="A4" authorId="2" shapeId="0" xr:uid="{65B54002-5E8D-44F0-8C53-180E8EB7010D}">
      <text>
        <t>[Threaded comment]
Your version of Excel allows you to read this threaded comment; however, any edits to it will get removed if the file is opened in a newer version of Excel. Learn more: https://go.microsoft.com/fwlink/?linkid=870924
Comment:
    Please do not move this table, it Is used in vba.</t>
      </text>
    </comment>
    <comment ref="A5" authorId="3" shapeId="0" xr:uid="{805B5EA6-6FFE-4B16-A0EE-2E61D550B9BB}">
      <text>
        <t>[Threaded comment]
Your version of Excel allows you to read this threaded comment; however, any edits to it will get removed if the file is opened in a newer version of Excel. Learn more: https://go.microsoft.com/fwlink/?linkid=870924
Comment:
    Please do not move this table, it Is used in vba.</t>
      </text>
    </comment>
    <comment ref="A6" authorId="4" shapeId="0" xr:uid="{914CB63E-661D-4C81-94E8-2CB8C51DA8AC}">
      <text>
        <t>[Threaded comment]
Your version of Excel allows you to read this threaded comment; however, any edits to it will get removed if the file is opened in a newer version of Excel. Learn more: https://go.microsoft.com/fwlink/?linkid=870924
Comment:
    Please do not move this table, it Is used in vba.</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tc={9B4E6D6F-F182-43B3-B3E2-55DC2DF494D1}</author>
    <author>tc={58DA6A83-83EE-4866-B998-AA4F88A4F029}</author>
  </authors>
  <commentList>
    <comment ref="A1" authorId="0" shapeId="0" xr:uid="{9B4E6D6F-F182-43B3-B3E2-55DC2DF494D1}">
      <text>
        <t>[Threaded comment]
Your version of Excel allows you to read this threaded comment; however, any edits to it will get removed if the file is opened in a newer version of Excel. Learn more: https://go.microsoft.com/fwlink/?linkid=870924
Comment:
    Used to control dashboard; this sheet holds the filtered tables for LCI, selections, transportation, that get shown on the dashboard. The rows here are the items that will be on the dashboard. This is used as an intermediary between the dashboard and the backend data sheets, both for showing and for calculating values to send to GREET1.</t>
      </text>
    </comment>
    <comment ref="AJ3" authorId="1" shapeId="0" xr:uid="{58DA6A83-83EE-4866-B998-AA4F88A4F029}">
      <text>
        <t>[Threaded comment]
Your version of Excel allows you to read this threaded comment; however, any edits to it will get removed if the file is opened in a newer version of Excel. Learn more: https://go.microsoft.com/fwlink/?linkid=870924
Comment:
    DISABLED FOR 40B</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tc={F7DE051B-E0D3-4121-8A73-1793DB8DAD58}</author>
  </authors>
  <commentList>
    <comment ref="A1" authorId="0" shapeId="0" xr:uid="{F7DE051B-E0D3-4121-8A73-1793DB8DAD58}">
      <text>
        <t>[Threaded comment]
Your version of Excel allows you to read this threaded comment; however, any edits to it will get removed if the file is opened in a newer version of Excel. Learn more: https://go.microsoft.com/fwlink/?linkid=870924
Comment:
    Used in some calculations. Manually ported from GREET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<sst xmlns="http://schemas.openxmlformats.org/spreadsheetml/2006/main" count="62190" uniqueCount="2292">
  <si>
    <t>Pathway Selection</t>
  </si>
  <si>
    <t>Input Parameters</t>
  </si>
  <si>
    <t>Energy</t>
  </si>
  <si>
    <t>Unit</t>
  </si>
  <si>
    <t>MJ</t>
  </si>
  <si>
    <t>gal</t>
  </si>
  <si>
    <t>g</t>
  </si>
  <si>
    <t>N2O</t>
  </si>
  <si>
    <t>CO2</t>
  </si>
  <si>
    <t>Coal</t>
  </si>
  <si>
    <t>Soybean</t>
  </si>
  <si>
    <t>bu soybean</t>
  </si>
  <si>
    <t>lb</t>
  </si>
  <si>
    <t>Process No.</t>
  </si>
  <si>
    <t>Farming</t>
  </si>
  <si>
    <t>Extraction</t>
  </si>
  <si>
    <t>Mass</t>
  </si>
  <si>
    <t>Feedstock</t>
  </si>
  <si>
    <t>Conversion</t>
  </si>
  <si>
    <t>Show Feedstock</t>
  </si>
  <si>
    <t>Show Conversion</t>
  </si>
  <si>
    <t>Option</t>
  </si>
  <si>
    <t>Data Source</t>
  </si>
  <si>
    <t>Show Option</t>
  </si>
  <si>
    <t>Show Data Source</t>
  </si>
  <si>
    <t>IsVisible</t>
  </si>
  <si>
    <t>Process Name</t>
  </si>
  <si>
    <t>Functional Unit</t>
  </si>
  <si>
    <t>Crude oil</t>
  </si>
  <si>
    <t>GREET</t>
  </si>
  <si>
    <t>HEFA</t>
  </si>
  <si>
    <t>(blank)</t>
  </si>
  <si>
    <t>2) Global Warming Potentials of Greenhouse Gases: relative to CO2</t>
  </si>
  <si>
    <t>AR Edition/Type</t>
  </si>
  <si>
    <t>Time Horizon (YR)</t>
  </si>
  <si>
    <t>CH4</t>
  </si>
  <si>
    <t>3) Carbon and Sulfur Ratios of Pollutants</t>
  </si>
  <si>
    <t>Carbon ratio of VOC</t>
  </si>
  <si>
    <t>Carbon ratio of CO</t>
  </si>
  <si>
    <t>Carbon ratio of CH4</t>
  </si>
  <si>
    <t>Carbon ratio of CO2</t>
  </si>
  <si>
    <t>Share of Low Sulfur Diesel</t>
  </si>
  <si>
    <t>5) Unit Conversion</t>
  </si>
  <si>
    <t>Unit Type</t>
  </si>
  <si>
    <t>Start Unit</t>
  </si>
  <si>
    <t>End Unit</t>
  </si>
  <si>
    <t>Conversion Factor</t>
  </si>
  <si>
    <t>BTU</t>
  </si>
  <si>
    <t>J</t>
  </si>
  <si>
    <t>kJ</t>
  </si>
  <si>
    <t>Wh</t>
  </si>
  <si>
    <t>kWh</t>
  </si>
  <si>
    <t>mmBTU</t>
  </si>
  <si>
    <t>hph</t>
  </si>
  <si>
    <t>Jet fuel</t>
  </si>
  <si>
    <t>ton</t>
  </si>
  <si>
    <t>Btu</t>
  </si>
  <si>
    <t>ft3</t>
  </si>
  <si>
    <t>L</t>
  </si>
  <si>
    <t>mL</t>
  </si>
  <si>
    <t>m3</t>
  </si>
  <si>
    <t>kg</t>
  </si>
  <si>
    <t>metric tonne</t>
  </si>
  <si>
    <t>Length</t>
  </si>
  <si>
    <t>ft</t>
  </si>
  <si>
    <t>mm</t>
  </si>
  <si>
    <t>m</t>
  </si>
  <si>
    <t>km</t>
  </si>
  <si>
    <t>mi</t>
  </si>
  <si>
    <t>mg</t>
  </si>
  <si>
    <t>bu corn</t>
  </si>
  <si>
    <t>Volume</t>
  </si>
  <si>
    <t>GREET1 Name Range</t>
  </si>
  <si>
    <t>Hydrogen</t>
  </si>
  <si>
    <t>Petroleum</t>
  </si>
  <si>
    <t>Diesel_CornFarming</t>
  </si>
  <si>
    <t>Electricity_CornFarming</t>
  </si>
  <si>
    <t>EtOH_CornEtOH_LandChange_Option</t>
  </si>
  <si>
    <t>EtOH_CornStoverEtOH_LandChange_Option</t>
  </si>
  <si>
    <t>EtOH_HBiomassEtOH_LandChange_Option</t>
  </si>
  <si>
    <t>EtOH_MiscanthusEtOH_LandChange_Option</t>
  </si>
  <si>
    <t>EtOH_PoplarEtOH_LandChange_Option</t>
  </si>
  <si>
    <t>EtOH_SugarCaneEtOH_LandChange_Option</t>
  </si>
  <si>
    <t>EtOH_WBiomassEtOH_LandChange_Option</t>
  </si>
  <si>
    <t>EtOH_WoodResidueEtOH_LandChange_Option</t>
  </si>
  <si>
    <t>Gasoline_CornFarming</t>
  </si>
  <si>
    <t>JetFuel_ETJet_BiomassFeedstock</t>
  </si>
  <si>
    <t>JetFuel_ETJet_EthanolFeedstock</t>
  </si>
  <si>
    <t>JetFuel_STJet_BiomassFeedstock</t>
  </si>
  <si>
    <t>LPG_CornFarming</t>
  </si>
  <si>
    <t>NG_CornFarming</t>
  </si>
  <si>
    <t>Notes</t>
  </si>
  <si>
    <t>GREET1 Name Range, Share</t>
  </si>
  <si>
    <t>GREET1 Name Range, Distance</t>
  </si>
  <si>
    <t>Transportation Type</t>
  </si>
  <si>
    <t>Selected Transportation</t>
  </si>
  <si>
    <t>Input</t>
  </si>
  <si>
    <t>Item</t>
  </si>
  <si>
    <t>Default Share</t>
  </si>
  <si>
    <t>Default Distance</t>
  </si>
  <si>
    <t>Send to Greet</t>
  </si>
  <si>
    <t>Market</t>
  </si>
  <si>
    <t>Values</t>
  </si>
  <si>
    <t>Table headers</t>
  </si>
  <si>
    <t>LCI</t>
  </si>
  <si>
    <t>Transportation</t>
  </si>
  <si>
    <t>Diesel</t>
  </si>
  <si>
    <t>Gasoline</t>
  </si>
  <si>
    <t>Natural gas</t>
  </si>
  <si>
    <t>LPG</t>
  </si>
  <si>
    <t>Electricity</t>
  </si>
  <si>
    <t>Nitrogen fertilizer</t>
  </si>
  <si>
    <t>P2O5</t>
  </si>
  <si>
    <t>K2O</t>
  </si>
  <si>
    <t>Insecticide</t>
  </si>
  <si>
    <t>Residual oil</t>
  </si>
  <si>
    <t>N-hexane</t>
  </si>
  <si>
    <t>btu</t>
  </si>
  <si>
    <t>Value to Send</t>
  </si>
  <si>
    <t>Send?</t>
  </si>
  <si>
    <t>Hide Row</t>
  </si>
  <si>
    <t>Hide Column</t>
  </si>
  <si>
    <t>Palm</t>
  </si>
  <si>
    <t>Closed pond</t>
  </si>
  <si>
    <t>Open pond</t>
  </si>
  <si>
    <t>Canola</t>
  </si>
  <si>
    <t>Jatropha</t>
  </si>
  <si>
    <t>Camelina</t>
  </si>
  <si>
    <t>Carinata</t>
  </si>
  <si>
    <t>FT</t>
  </si>
  <si>
    <t>Landfill gas</t>
  </si>
  <si>
    <t>Willow</t>
  </si>
  <si>
    <t>Poplar</t>
  </si>
  <si>
    <t>Switchgrass</t>
  </si>
  <si>
    <t>Miscanthus</t>
  </si>
  <si>
    <t>Corn stover</t>
  </si>
  <si>
    <t>Corn</t>
  </si>
  <si>
    <t>Standalone</t>
  </si>
  <si>
    <t>Ethanol</t>
  </si>
  <si>
    <t>Biological STJ</t>
  </si>
  <si>
    <t>Catalytic STJ</t>
  </si>
  <si>
    <t>CaCO3</t>
  </si>
  <si>
    <t>Catalysts</t>
  </si>
  <si>
    <t>Lime</t>
  </si>
  <si>
    <t>Urea</t>
  </si>
  <si>
    <t>Yeast</t>
  </si>
  <si>
    <t>Water</t>
  </si>
  <si>
    <t>Collection</t>
  </si>
  <si>
    <t>Column1</t>
  </si>
  <si>
    <t>Pathway Name</t>
  </si>
  <si>
    <t>Units</t>
  </si>
  <si>
    <t>Total energy</t>
  </si>
  <si>
    <t>Fossil fuels</t>
  </si>
  <si>
    <t>Water consumption</t>
  </si>
  <si>
    <t>VOC</t>
  </si>
  <si>
    <t>CO</t>
  </si>
  <si>
    <t>NOx</t>
  </si>
  <si>
    <t>PM10</t>
  </si>
  <si>
    <t>PM2.5</t>
  </si>
  <si>
    <t>SOx</t>
  </si>
  <si>
    <t>BC</t>
  </si>
  <si>
    <t>OC</t>
  </si>
  <si>
    <t>CO2 (w/ C in VOC &amp; CO)</t>
  </si>
  <si>
    <t>GHGs</t>
  </si>
  <si>
    <t>VOC: Urban</t>
  </si>
  <si>
    <t>CO: Urban</t>
  </si>
  <si>
    <t>NOx: Urban</t>
  </si>
  <si>
    <t>PM10: Urban</t>
  </si>
  <si>
    <t>PM2.5: Urban</t>
  </si>
  <si>
    <t>SOx: Urban</t>
  </si>
  <si>
    <t>BC: Urban</t>
  </si>
  <si>
    <t>OC: Urban</t>
  </si>
  <si>
    <t>Metric</t>
  </si>
  <si>
    <t>Pathway</t>
  </si>
  <si>
    <t>Value</t>
  </si>
  <si>
    <t>Palm Oil HEFA</t>
  </si>
  <si>
    <t>Canola Oil HEFA</t>
  </si>
  <si>
    <t>Jatropha Oil HEFA</t>
  </si>
  <si>
    <t>Camelina Oil HEFA</t>
  </si>
  <si>
    <t>Carinata Oil HEFA</t>
  </si>
  <si>
    <t>Willow STJ (Biological)</t>
  </si>
  <si>
    <t>Poplar STJ (Biological)</t>
  </si>
  <si>
    <t>Switchgrass STJ (Biological)</t>
  </si>
  <si>
    <t>Miscanthus STJ (Biological)</t>
  </si>
  <si>
    <t>Corn Stover STJ (Biological)</t>
  </si>
  <si>
    <t>Forest Residue STJ (Biological)</t>
  </si>
  <si>
    <t>Willow FT</t>
  </si>
  <si>
    <t>Poplar FT</t>
  </si>
  <si>
    <t>Switchgrass FT</t>
  </si>
  <si>
    <t>Miscanthus FT</t>
  </si>
  <si>
    <t>Corn Stover FT</t>
  </si>
  <si>
    <t>Forest Residue FT</t>
  </si>
  <si>
    <t>Soy Oil HEFA</t>
  </si>
  <si>
    <t>Selected pathway</t>
  </si>
  <si>
    <t>ICAO</t>
  </si>
  <si>
    <t>PathID</t>
  </si>
  <si>
    <t>LCI ID</t>
  </si>
  <si>
    <t>GREET Location</t>
  </si>
  <si>
    <t>ID</t>
  </si>
  <si>
    <t xml:space="preserve"> </t>
  </si>
  <si>
    <t>Yield</t>
  </si>
  <si>
    <t>Renewable jet fuel</t>
  </si>
  <si>
    <t>Input Value</t>
  </si>
  <si>
    <t>Input Name</t>
  </si>
  <si>
    <t>Farming Inputs Enabled</t>
  </si>
  <si>
    <t>LCI - Not Jet Fuel</t>
  </si>
  <si>
    <t>LCI - Jet Fuel</t>
  </si>
  <si>
    <t>1) Specifications of Fuels and Other Substances</t>
  </si>
  <si>
    <t>Water density @ 25 °C</t>
  </si>
  <si>
    <t>Fuel</t>
  </si>
  <si>
    <t>Heating Value</t>
  </si>
  <si>
    <t>Density</t>
  </si>
  <si>
    <t>C ratio</t>
  </si>
  <si>
    <t>S ratio</t>
  </si>
  <si>
    <t>g/cm3</t>
  </si>
  <si>
    <t>Calculation: LHV</t>
  </si>
  <si>
    <t>LHV</t>
  </si>
  <si>
    <t>HHV</t>
  </si>
  <si>
    <t>(% by wt)</t>
  </si>
  <si>
    <t>(ppm by wt)</t>
  </si>
  <si>
    <t>Actual ratio by wt</t>
  </si>
  <si>
    <t>LHV/HHV</t>
  </si>
  <si>
    <t>lb/ft3</t>
  </si>
  <si>
    <t>Use LHV or HHV in calculations?</t>
  </si>
  <si>
    <t>1 -- LHV; 2 -- HHV</t>
  </si>
  <si>
    <t>lb/gal</t>
  </si>
  <si>
    <t>Liquid Fuels:</t>
  </si>
  <si>
    <t>Btu/gal</t>
  </si>
  <si>
    <t>grams/gal</t>
  </si>
  <si>
    <t>Synthetic crude oil (SCO)</t>
  </si>
  <si>
    <t>Bitumen</t>
  </si>
  <si>
    <t>Dilbit (After Recovery)</t>
  </si>
  <si>
    <t>Dilbit (Before Recovery)</t>
  </si>
  <si>
    <t>Diluent</t>
  </si>
  <si>
    <t>Shale Oil (Bakken)</t>
  </si>
  <si>
    <t>Shale Oil (Eagle Ford)</t>
  </si>
  <si>
    <t>Gasoline blendstock</t>
  </si>
  <si>
    <t>CA gasoline</t>
  </si>
  <si>
    <t>High Octane Fuel (E25)</t>
  </si>
  <si>
    <t>High Octane Fuel (E40)</t>
  </si>
  <si>
    <t>U.S. conventional diesel</t>
  </si>
  <si>
    <t>CA diesel</t>
  </si>
  <si>
    <t>Diesel for non-road engines</t>
  </si>
  <si>
    <t>Low-sulfur diesel</t>
  </si>
  <si>
    <t>Petroleum naphtha</t>
  </si>
  <si>
    <t>Low Octane Gasoline-Like Fuel (LOF)</t>
  </si>
  <si>
    <t>Conventional Jet Fuel</t>
  </si>
  <si>
    <t>ULS Jet Fuel</t>
  </si>
  <si>
    <t>NG-based FT naphtha</t>
  </si>
  <si>
    <t>Bunker fuel for ocean tanker</t>
  </si>
  <si>
    <t>Methanol</t>
  </si>
  <si>
    <t>Butanol</t>
  </si>
  <si>
    <t>Acetone</t>
  </si>
  <si>
    <t>EtOH-Diesel Additives</t>
  </si>
  <si>
    <t>Liquefied petroleum gas (LPG)</t>
  </si>
  <si>
    <t>Liquefied natural gas (LNG)</t>
  </si>
  <si>
    <t>Dimethyl ether (DME)</t>
  </si>
  <si>
    <t>Dimethoxy methane (DMM)</t>
  </si>
  <si>
    <t>Methyl ester (biodiesel, BD)</t>
  </si>
  <si>
    <t>Fischer-Tropsch diesel (FTD)</t>
  </si>
  <si>
    <t>Renewable Diesel I (SuperCetane)</t>
  </si>
  <si>
    <t>Renewable Diesel II (UOP-HDO)</t>
  </si>
  <si>
    <t>Renewable Diesel III (PNNL-HTL)</t>
  </si>
  <si>
    <t>Renewable Diesel IV (Sludge HTL)</t>
  </si>
  <si>
    <t>Renewable Gasoline</t>
  </si>
  <si>
    <t>Renewable Gasoline (IDL)</t>
  </si>
  <si>
    <t>Renewable Gasoline (Ex Situ CFP)</t>
  </si>
  <si>
    <t xml:space="preserve">SPK (FT Jet Fuel/HRJ) </t>
  </si>
  <si>
    <t>Liquid hydrogen</t>
  </si>
  <si>
    <t>Methyl tertiary butyl ether (MTBE)</t>
  </si>
  <si>
    <t>Ethyl tertiary butyl ether (ETBE)</t>
  </si>
  <si>
    <t>Tertiary amyl methyl ether (TAME)</t>
  </si>
  <si>
    <t>Butane</t>
  </si>
  <si>
    <t>Isobutane</t>
  </si>
  <si>
    <t>Isobutylene</t>
  </si>
  <si>
    <t>Propane</t>
  </si>
  <si>
    <t>Natural gas liquids</t>
  </si>
  <si>
    <t>n-Hexane</t>
  </si>
  <si>
    <t>E_fuel Gasoline BOB</t>
  </si>
  <si>
    <t>E_fuel Jet</t>
  </si>
  <si>
    <t>E_fuel Diesel</t>
  </si>
  <si>
    <t>E_fuel FT mixed fuel</t>
  </si>
  <si>
    <t>Isobutanol</t>
  </si>
  <si>
    <t>ARHC</t>
  </si>
  <si>
    <t xml:space="preserve">Isoalkane from waste feedstock </t>
  </si>
  <si>
    <t>Fatty alkyl ether (FAE)</t>
  </si>
  <si>
    <t>FAFE (Fatty acid fusel ester)</t>
  </si>
  <si>
    <t>HTL - Partial Upgrading (Sludge)</t>
  </si>
  <si>
    <t>HTL - Partial Upgrading (Manure)</t>
  </si>
  <si>
    <t>FP (Biomass)</t>
  </si>
  <si>
    <t>CFP - ZSM5 (Biomass)</t>
  </si>
  <si>
    <t>CFP (Pt/TiO2)</t>
  </si>
  <si>
    <t>Pyrolysis diesel</t>
  </si>
  <si>
    <t>FT-Gasoline-Nuclear</t>
  </si>
  <si>
    <t>FT-Jet-Nuclear</t>
  </si>
  <si>
    <t>FT-Diesel-Nuclear</t>
  </si>
  <si>
    <t>FT-Fuel Mix-Nuclear</t>
  </si>
  <si>
    <t>Gaseous Fuels (at 32F and 1atm):</t>
  </si>
  <si>
    <t>Btu/ft3</t>
  </si>
  <si>
    <t>gms/ft3</t>
  </si>
  <si>
    <t>Pure Methane</t>
  </si>
  <si>
    <t>Gaseous hydrogen</t>
  </si>
  <si>
    <t>Carbon Dioxide</t>
  </si>
  <si>
    <t>Still gas (in refineries)</t>
  </si>
  <si>
    <t>Solid Fuels:</t>
  </si>
  <si>
    <t>Btu/ton</t>
  </si>
  <si>
    <t>Coal Mix for Electricity Generation</t>
  </si>
  <si>
    <t>Bituminous coal</t>
  </si>
  <si>
    <t>Subbituminous coal</t>
  </si>
  <si>
    <t>Lignite coal</t>
  </si>
  <si>
    <t>Synthetic coal</t>
  </si>
  <si>
    <t>Waste coal</t>
  </si>
  <si>
    <t>Pet Coke</t>
  </si>
  <si>
    <t>Tire Derived Fuel</t>
  </si>
  <si>
    <t>Coking coal</t>
  </si>
  <si>
    <t>Catalyst Coke</t>
  </si>
  <si>
    <t>Forest residue</t>
  </si>
  <si>
    <t>Clean Pine</t>
  </si>
  <si>
    <t>Yard trimming waste</t>
  </si>
  <si>
    <t>Sugarcane straw</t>
  </si>
  <si>
    <t>Sugarcane bagasse</t>
  </si>
  <si>
    <t>Bio-char</t>
  </si>
  <si>
    <t>Grain sorghum bagasse</t>
  </si>
  <si>
    <t>Sweet sorghum bagasse</t>
  </si>
  <si>
    <t>Forage sorghum bagasse</t>
  </si>
  <si>
    <t>Municipal solid waste (defined by EISA)</t>
  </si>
  <si>
    <t>Convertible municipal solid waste</t>
  </si>
  <si>
    <t>Other substances</t>
  </si>
  <si>
    <t>Btu/kg</t>
  </si>
  <si>
    <t>Liquids</t>
  </si>
  <si>
    <t>Ethyne</t>
  </si>
  <si>
    <t>Propyne</t>
  </si>
  <si>
    <t>Butadiene</t>
  </si>
  <si>
    <t>Benzene</t>
  </si>
  <si>
    <t>Toluene</t>
  </si>
  <si>
    <t>Styrene</t>
  </si>
  <si>
    <t>Xylene</t>
  </si>
  <si>
    <t>o-Xylene</t>
  </si>
  <si>
    <t>m-Xylene</t>
  </si>
  <si>
    <t>p-Xylene</t>
  </si>
  <si>
    <t>Ethylbenzene</t>
  </si>
  <si>
    <t>Gases</t>
  </si>
  <si>
    <t>grams/ft3</t>
  </si>
  <si>
    <t>Ethane</t>
  </si>
  <si>
    <t>Ethylene</t>
  </si>
  <si>
    <t>Propylene (ie. Propene)</t>
  </si>
  <si>
    <t>Butatriene</t>
  </si>
  <si>
    <t>Butene</t>
  </si>
  <si>
    <t>Solids</t>
  </si>
  <si>
    <t>Asphalt</t>
  </si>
  <si>
    <t>Lubricants</t>
  </si>
  <si>
    <t>scf</t>
  </si>
  <si>
    <t>Renewable natural gas</t>
  </si>
  <si>
    <t>Alpha-amylase</t>
  </si>
  <si>
    <t>Gluco-amylase</t>
  </si>
  <si>
    <t>JRC</t>
  </si>
  <si>
    <t>Herbicides</t>
  </si>
  <si>
    <t>HDPE</t>
  </si>
  <si>
    <t>Palm FFB</t>
  </si>
  <si>
    <t>Electricity for palm oil extraction</t>
  </si>
  <si>
    <t>Palm oil</t>
  </si>
  <si>
    <t/>
  </si>
  <si>
    <t>Jatropha oil</t>
  </si>
  <si>
    <t>Corn dry mill w/o extraction</t>
  </si>
  <si>
    <t>Corn dry mill w/ extraction</t>
  </si>
  <si>
    <t>Corn wet mill</t>
  </si>
  <si>
    <t>Solid waste</t>
  </si>
  <si>
    <t>ANL</t>
  </si>
  <si>
    <t>BioGrace (EU)</t>
  </si>
  <si>
    <t>LatAm</t>
  </si>
  <si>
    <t>GHGenius (Canada)</t>
  </si>
  <si>
    <t>Closed pond - ANL</t>
  </si>
  <si>
    <t>Open pond - ANL</t>
  </si>
  <si>
    <t>ANL/UT</t>
  </si>
  <si>
    <t>Corn oil</t>
  </si>
  <si>
    <t>ANL/MIT (US)</t>
  </si>
  <si>
    <t>ANL/MIT (EU)</t>
  </si>
  <si>
    <t>MIT</t>
  </si>
  <si>
    <t>Co-located - Consensus</t>
  </si>
  <si>
    <t>Separate - Consensus</t>
  </si>
  <si>
    <t>Camelina oil</t>
  </si>
  <si>
    <t>Carinata oil</t>
  </si>
  <si>
    <t>Ammonia</t>
  </si>
  <si>
    <t>DAP</t>
  </si>
  <si>
    <t>Sulfuric acid</t>
  </si>
  <si>
    <t>DDGS (displacement)</t>
  </si>
  <si>
    <t>Corn steep liquor</t>
  </si>
  <si>
    <t>Glucose</t>
  </si>
  <si>
    <t>Host nutrients</t>
  </si>
  <si>
    <t>Ethanol: Corn dry mill w/o extraction</t>
  </si>
  <si>
    <t>Ethanol: Corn dry mill w/ extraction</t>
  </si>
  <si>
    <t>Ethanol: Corn wet mill</t>
  </si>
  <si>
    <t>Ethanol: Willow</t>
  </si>
  <si>
    <t>Ethanol: Poplar</t>
  </si>
  <si>
    <t>Ethanol: Switchgrass</t>
  </si>
  <si>
    <t>Ethanol: Miscanthus</t>
  </si>
  <si>
    <t>Ethanol: Corn stover</t>
  </si>
  <si>
    <t>Ethanol: Forest residue</t>
  </si>
  <si>
    <t>Ethanol: Solid waste</t>
  </si>
  <si>
    <t>HCl</t>
  </si>
  <si>
    <t>Canola oil</t>
  </si>
  <si>
    <t>Herbicide</t>
  </si>
  <si>
    <t>Cellulase</t>
  </si>
  <si>
    <t>NaOH</t>
  </si>
  <si>
    <t>Quicklime (CaO)</t>
  </si>
  <si>
    <t>Output item</t>
  </si>
  <si>
    <t>Functional unit of output (original)</t>
  </si>
  <si>
    <t>Functional unit of output (Dashboard)</t>
  </si>
  <si>
    <t>Functional unit of output (GREET1)</t>
  </si>
  <si>
    <t>Allocation method</t>
  </si>
  <si>
    <t>Allocation method default selector</t>
  </si>
  <si>
    <t>Allocation method GREET1</t>
  </si>
  <si>
    <t>Selected allocation factor</t>
  </si>
  <si>
    <t>acre</t>
  </si>
  <si>
    <t>BioOil!C15</t>
  </si>
  <si>
    <t>lb SAF</t>
  </si>
  <si>
    <t>mmbtu total fuel</t>
  </si>
  <si>
    <t>JetFuel_WTP!C107</t>
  </si>
  <si>
    <t>BioOil!D15</t>
  </si>
  <si>
    <t>BioOil!E15</t>
  </si>
  <si>
    <t>BioOil!F15</t>
  </si>
  <si>
    <t>BioOil!G15</t>
  </si>
  <si>
    <t>BioOil!K15</t>
  </si>
  <si>
    <t>mmbtu SAF</t>
  </si>
  <si>
    <t>MJ SAF</t>
  </si>
  <si>
    <t>JetFuel_WTP!B203</t>
  </si>
  <si>
    <t>JetFuel_WTP!C203</t>
  </si>
  <si>
    <t>JetFuel_WTP!D203</t>
  </si>
  <si>
    <t>Alcohol production</t>
  </si>
  <si>
    <t>Jet fuel production</t>
  </si>
  <si>
    <t>Corn uses switchgrass yield??</t>
  </si>
  <si>
    <t>gal/MJ</t>
  </si>
  <si>
    <t>g/MJ</t>
  </si>
  <si>
    <t>gCO2e/MJ</t>
  </si>
  <si>
    <t>J/MJ</t>
  </si>
  <si>
    <t>All</t>
  </si>
  <si>
    <t>IPCC Option</t>
  </si>
  <si>
    <t>AR5/GWP</t>
  </si>
  <si>
    <t>Display Unit</t>
  </si>
  <si>
    <t>Electricity (co-produced)</t>
  </si>
  <si>
    <t>CH4 (POME emissions)</t>
  </si>
  <si>
    <t>Technology</t>
  </si>
  <si>
    <t>Data Set</t>
  </si>
  <si>
    <t>Show Technology</t>
  </si>
  <si>
    <t>Show Data Set</t>
  </si>
  <si>
    <t>LC Stage</t>
  </si>
  <si>
    <t>Combustion</t>
  </si>
  <si>
    <t>Sugarcane</t>
  </si>
  <si>
    <t>SIP</t>
  </si>
  <si>
    <t>Sugarbeet</t>
  </si>
  <si>
    <t>Path Selected</t>
  </si>
  <si>
    <t>Camelina_Extraction_Coal</t>
  </si>
  <si>
    <t>Camelina_Extraction_Diesel</t>
  </si>
  <si>
    <t>Camelina_Extraction_Electricity</t>
  </si>
  <si>
    <t>Camelina_Extraction_Forest_residue</t>
  </si>
  <si>
    <t>Camelina_Extraction_Gasoline</t>
  </si>
  <si>
    <t>Camelina_Extraction_Landfill_gas</t>
  </si>
  <si>
    <t>Camelina_Extraction_LPG</t>
  </si>
  <si>
    <t>Camelina_Extraction_N_hexane</t>
  </si>
  <si>
    <t>Camelina_Extraction_Natural_gas</t>
  </si>
  <si>
    <t>Camelina_Extraction_Residual_oil</t>
  </si>
  <si>
    <t>Camelina_Farming_CaCO3</t>
  </si>
  <si>
    <t>Camelina_Farming_Coal</t>
  </si>
  <si>
    <t>Camelina_Farming_Diesel</t>
  </si>
  <si>
    <t>Camelina_Farming_Electricity</t>
  </si>
  <si>
    <t>Camelina_Farming_Gasoline</t>
  </si>
  <si>
    <t>Camelina_Farming_Herbicides</t>
  </si>
  <si>
    <t>Camelina_Farming_Insecticide</t>
  </si>
  <si>
    <t>Camelina_Farming_K2O</t>
  </si>
  <si>
    <t>Camelina_Farming_LPG</t>
  </si>
  <si>
    <t>Camelina_Farming_Natural_gas</t>
  </si>
  <si>
    <t>Camelina_Farming_Nitrogen_fertilizer</t>
  </si>
  <si>
    <t>Camelina_Farming_P2O5</t>
  </si>
  <si>
    <t>Camelina_Farming_Residual_oil</t>
  </si>
  <si>
    <t>Camelina_HEFA_Electricity</t>
  </si>
  <si>
    <t>Camelina_HEFA_Hydrogen</t>
  </si>
  <si>
    <t>Camelina_HEFA_Natural_gas</t>
  </si>
  <si>
    <t>Camelina_Oil_Extraction_Allocation</t>
  </si>
  <si>
    <t>Canola_Extraction_Coal</t>
  </si>
  <si>
    <t>Canola_Extraction_Diesel</t>
  </si>
  <si>
    <t>Canola_Extraction_Electricity</t>
  </si>
  <si>
    <t>Canola_Extraction_Forest_residue</t>
  </si>
  <si>
    <t>Canola_Extraction_Gasoline</t>
  </si>
  <si>
    <t>Canola_Extraction_Landfill_gas</t>
  </si>
  <si>
    <t>Canola_Extraction_LPG</t>
  </si>
  <si>
    <t>Canola_Extraction_N_hexane</t>
  </si>
  <si>
    <t>Canola_Extraction_Natural_gas</t>
  </si>
  <si>
    <t>Canola_Extraction_Residual_oil</t>
  </si>
  <si>
    <t>Canola_Farming_CaCO3</t>
  </si>
  <si>
    <t>Canola_Farming_Coal</t>
  </si>
  <si>
    <t>Canola_Farming_Diesel</t>
  </si>
  <si>
    <t>Canola_Farming_Electricity</t>
  </si>
  <si>
    <t>Canola_Farming_Gasoline</t>
  </si>
  <si>
    <t>Canola_Farming_Herbicides</t>
  </si>
  <si>
    <t>Canola_Farming_Insecticide</t>
  </si>
  <si>
    <t>Canola_Farming_K2O</t>
  </si>
  <si>
    <t>Canola_Farming_LPG</t>
  </si>
  <si>
    <t>Canola_Farming_Natural_gas</t>
  </si>
  <si>
    <t>Canola_Farming_Nitrogen_fertilizer</t>
  </si>
  <si>
    <t>Canola_Farming_P2O5</t>
  </si>
  <si>
    <t>Canola_Farming_Residual_oil</t>
  </si>
  <si>
    <t>Canola_HEFA_Electricity</t>
  </si>
  <si>
    <t>Canola_HEFA_Hydrogen</t>
  </si>
  <si>
    <t>Canola_HEFA_Natural_gas</t>
  </si>
  <si>
    <t>Canola_Oil_Extraction_Allocation</t>
  </si>
  <si>
    <t>Carinata_Extraction_Coal</t>
  </si>
  <si>
    <t>Carinata_Extraction_Diesel</t>
  </si>
  <si>
    <t>Carinata_Extraction_Electricity</t>
  </si>
  <si>
    <t>Carinata_Extraction_Forest_residue</t>
  </si>
  <si>
    <t>Carinata_Extraction_Gasoline</t>
  </si>
  <si>
    <t>Carinata_Extraction_Landfill_gas</t>
  </si>
  <si>
    <t>Carinata_Extraction_LPG</t>
  </si>
  <si>
    <t>Carinata_Extraction_N_hexane</t>
  </si>
  <si>
    <t>Carinata_Extraction_Natural_gas</t>
  </si>
  <si>
    <t>Carinata_Extraction_Residual_oil</t>
  </si>
  <si>
    <t>Carinata_Farming_CaCO3</t>
  </si>
  <si>
    <t>Carinata_Farming_Coal</t>
  </si>
  <si>
    <t>Carinata_Farming_Diesel</t>
  </si>
  <si>
    <t>Carinata_Farming_Electricity</t>
  </si>
  <si>
    <t>Carinata_Farming_Gasoline</t>
  </si>
  <si>
    <t>Carinata_Farming_Herbicides</t>
  </si>
  <si>
    <t>Carinata_Farming_Insecticide</t>
  </si>
  <si>
    <t>Carinata_Farming_K2O</t>
  </si>
  <si>
    <t>Carinata_Farming_LPG</t>
  </si>
  <si>
    <t>Carinata_Farming_Natural_gas</t>
  </si>
  <si>
    <t>Carinata_Farming_Nitrogen_fertilizer</t>
  </si>
  <si>
    <t>Carinata_Farming_P2O5</t>
  </si>
  <si>
    <t>Carinata_Farming_Residual_oil</t>
  </si>
  <si>
    <t>Carinata_HEFA_Electricity</t>
  </si>
  <si>
    <t>Carinata_HEFA_Hydrogen</t>
  </si>
  <si>
    <t>Carinata_HEFA_Natural_gas</t>
  </si>
  <si>
    <t>Carinata_Oil_Extraction_Allocation</t>
  </si>
  <si>
    <t>Cellulosic_Biological_STJ_Ammonia</t>
  </si>
  <si>
    <t>Cellulosic_Biological_STJ_Corn_oil</t>
  </si>
  <si>
    <t>Cellulosic_Biological_STJ_Corn_steep_liquor</t>
  </si>
  <si>
    <t>Cellulosic_Biological_STJ_Corn_stover</t>
  </si>
  <si>
    <t>Cellulosic_Biological_STJ_DAP</t>
  </si>
  <si>
    <t>Cellulosic_Biological_STJ_Electricity_co_produced</t>
  </si>
  <si>
    <t>Cellulosic_Biological_STJ_Glucose</t>
  </si>
  <si>
    <t>Cellulosic_Biological_STJ_Host_nutrients</t>
  </si>
  <si>
    <t>Cellulosic_Biological_STJ_Hydrogen</t>
  </si>
  <si>
    <t>Cellulosic_Biological_STJ_Lime</t>
  </si>
  <si>
    <t>Cellulosic_Biological_STJ_Sulfuric_acid</t>
  </si>
  <si>
    <t>Cellulosic_Biological_STJ_Water</t>
  </si>
  <si>
    <t>Cellulosic_Catalytic_STJ_Ammonia</t>
  </si>
  <si>
    <t>Cellulosic_Catalytic_STJ_Catalysts</t>
  </si>
  <si>
    <t>Cellulosic_Catalytic_STJ_Corn_oil</t>
  </si>
  <si>
    <t>Cellulosic_Catalytic_STJ_Corn_steep_liquor</t>
  </si>
  <si>
    <t>Cellulosic_Catalytic_STJ_Corn_stover</t>
  </si>
  <si>
    <t>Cellulosic_Catalytic_STJ_Electricity_co_produced</t>
  </si>
  <si>
    <t>Cellulosic_Catalytic_STJ_Glucose</t>
  </si>
  <si>
    <t>Cellulosic_Catalytic_STJ_HCl</t>
  </si>
  <si>
    <t>Cellulosic_Catalytic_STJ_Host_nutrients</t>
  </si>
  <si>
    <t>Cellulosic_Catalytic_STJ_Hydrogen</t>
  </si>
  <si>
    <t>Cellulosic_Catalytic_STJ_Lime</t>
  </si>
  <si>
    <t>Cellulosic_Catalytic_STJ_Water</t>
  </si>
  <si>
    <t>Cellulosic_ETJ_Allocation</t>
  </si>
  <si>
    <t>Cellulosic_ETJ_Ammonia</t>
  </si>
  <si>
    <t>Cellulosic_ETJ_Catalysts</t>
  </si>
  <si>
    <t>Cellulosic_ETJ_Corn_steep_liquor</t>
  </si>
  <si>
    <t>Cellulosic_ETJ_DAP</t>
  </si>
  <si>
    <t>Cellulosic_ETJ_Electricity_co_produced</t>
  </si>
  <si>
    <t>Cellulosic_ETJ_Feed</t>
  </si>
  <si>
    <t>Cellulosic_ETJ_Glucose</t>
  </si>
  <si>
    <t>Cellulosic_ETJ_Host_nutrients</t>
  </si>
  <si>
    <t>Cellulosic_ETJ_Hydrogen</t>
  </si>
  <si>
    <t>Cellulosic_ETJ_Lime</t>
  </si>
  <si>
    <t>Cellulosic_ETJ_Sulfuric_acid</t>
  </si>
  <si>
    <t>Cellulosic_ETJ_Urea</t>
  </si>
  <si>
    <t>Cellulosic_ETJ_Water</t>
  </si>
  <si>
    <t>Corn_ETJ_Allocation</t>
  </si>
  <si>
    <t>Corn_ETJ_Alpha_amylase</t>
  </si>
  <si>
    <t>Corn_ETJ_Catalysts</t>
  </si>
  <si>
    <t>Corn_ETJ_Corn</t>
  </si>
  <si>
    <t>Corn_ETJ_DDGS_displaced</t>
  </si>
  <si>
    <t>Corn_ETJ_Electricity</t>
  </si>
  <si>
    <t>Corn_ETJ_Gluco_amylase</t>
  </si>
  <si>
    <t>Corn_ETJ_Hydrogen</t>
  </si>
  <si>
    <t>Corn_ETJ_Lime</t>
  </si>
  <si>
    <t>Corn_ETJ_Natural_gas</t>
  </si>
  <si>
    <t>Corn_ETJ_Sulfuric_acid</t>
  </si>
  <si>
    <t>Corn_ETJ_Urea</t>
  </si>
  <si>
    <t>Corn_ETJ_Water</t>
  </si>
  <si>
    <t>Corn_ETJ_Yeast</t>
  </si>
  <si>
    <t>Corn_Farming_CaCO3</t>
  </si>
  <si>
    <t>Corn_Farming_Coal</t>
  </si>
  <si>
    <t>Corn_Farming_Herbicides</t>
  </si>
  <si>
    <t>Corn_Farming_Insecticide</t>
  </si>
  <si>
    <t>Corn_Farming_K2O</t>
  </si>
  <si>
    <t>Corn_Farming_Nitrogen_fertilizer</t>
  </si>
  <si>
    <t>Corn_Farming_P2O5</t>
  </si>
  <si>
    <t>Corn_Farming_Residual_oil</t>
  </si>
  <si>
    <t>CornOil_Extraction_Coal</t>
  </si>
  <si>
    <t>CornOil_Extraction_Diesel</t>
  </si>
  <si>
    <t>CornOil_Extraction_Electricity</t>
  </si>
  <si>
    <t>CornOil_Extraction_Forest_residue</t>
  </si>
  <si>
    <t>CornOil_Extraction_Gasoline</t>
  </si>
  <si>
    <t>CornOil_Extraction_LPG</t>
  </si>
  <si>
    <t>CornOil_Extraction_Natural_gas</t>
  </si>
  <si>
    <t>CornOil_Extraction_RNG</t>
  </si>
  <si>
    <t>CornOil_HEFA_Corn_oil</t>
  </si>
  <si>
    <t>CornOil_HEFA_Electricity</t>
  </si>
  <si>
    <t>CornOil_HEFA_Hydrogen</t>
  </si>
  <si>
    <t>CornOil_HEFA_Natural_gas</t>
  </si>
  <si>
    <t>CornStover_Farming_Coal</t>
  </si>
  <si>
    <t>CornStover_Farming_Diesel</t>
  </si>
  <si>
    <t>CornStover_Farming_Electricity</t>
  </si>
  <si>
    <t>CornStover_Farming_Gasoline</t>
  </si>
  <si>
    <t>CornStover_Farming_HDPE</t>
  </si>
  <si>
    <t>CornStover_Farming_Herbicides</t>
  </si>
  <si>
    <t>CornStover_Farming_Insecticide</t>
  </si>
  <si>
    <t>CornStover_Farming_K2O</t>
  </si>
  <si>
    <t>CornStover_Farming_LPG</t>
  </si>
  <si>
    <t>CornStover_Farming_Natural_gas</t>
  </si>
  <si>
    <t>CornStover_Farming_Nitrogen_fertilizer</t>
  </si>
  <si>
    <t>CornStover_Farming_P2O5</t>
  </si>
  <si>
    <t>CornStover_Farming_Residual_oil</t>
  </si>
  <si>
    <t>CornStover_Fermentation_Alpha_amylase</t>
  </si>
  <si>
    <t>CornStover_Fermentation_Ammonia</t>
  </si>
  <si>
    <t>CornStover_Fermentation_CaO</t>
  </si>
  <si>
    <t>CornStover_Fermentation_Cellulase</t>
  </si>
  <si>
    <t>CornStover_Fermentation_Coal</t>
  </si>
  <si>
    <t>CornStover_Fermentation_Corn_steep_liquor</t>
  </si>
  <si>
    <t>CornStover_Fermentation_Corn_stover</t>
  </si>
  <si>
    <t>CornStover_Fermentation_DAP</t>
  </si>
  <si>
    <t>CornStover_Fermentation_Diesel</t>
  </si>
  <si>
    <t>CornStover_Fermentation_Electricity</t>
  </si>
  <si>
    <t>CornStover_Fermentation_Gasoline</t>
  </si>
  <si>
    <t>CornStover_Fermentation_Gluco_amylase</t>
  </si>
  <si>
    <t>CornStover_Fermentation_Glucose</t>
  </si>
  <si>
    <t>CornStover_Fermentation_LPG</t>
  </si>
  <si>
    <t>CornStover_Fermentation_NaOH</t>
  </si>
  <si>
    <t>CornStover_Fermentation_Natural_gas</t>
  </si>
  <si>
    <t>CornStover_Fermentation_Residual_oil</t>
  </si>
  <si>
    <t>CornStover_Fermentation_RNG</t>
  </si>
  <si>
    <t>CornStover_Fermentation_Sulfuric_acid</t>
  </si>
  <si>
    <t>CornStover_Fermentation_Urea</t>
  </si>
  <si>
    <t>CornStover_Fermentation_Yeast</t>
  </si>
  <si>
    <t>Distributed_ETJ_Allocation</t>
  </si>
  <si>
    <t>Ethanol_ETJ_distributed_Catalysts</t>
  </si>
  <si>
    <t>Ethanol_ETJ_distributed_Electricity</t>
  </si>
  <si>
    <t>Ethanol_ETJ_distributed_Ethanol</t>
  </si>
  <si>
    <t>Ethanol_ETJ_distributed_Hydrogen</t>
  </si>
  <si>
    <t>Ethanol_ETJ_distributed_Natural_gas</t>
  </si>
  <si>
    <t>Ethanol_ETJ_distributed_Water</t>
  </si>
  <si>
    <t>ForestResidue_Collection_Coal</t>
  </si>
  <si>
    <t>ForestResidue_Collection_Diesel</t>
  </si>
  <si>
    <t>ForestResidue_Collection_Electricity</t>
  </si>
  <si>
    <t>ForestResidue_Collection_Gasoline</t>
  </si>
  <si>
    <t>ForestResidue_Collection_LPG</t>
  </si>
  <si>
    <t>ForestResidue_Collection_Natural_gas</t>
  </si>
  <si>
    <t>ForestResidue_Collection_Residual_oil</t>
  </si>
  <si>
    <t>ForestResidue_Fermentation_Alpha_amylase</t>
  </si>
  <si>
    <t>ForestResidue_Fermentation_Ammonia</t>
  </si>
  <si>
    <t>ForestResidue_Fermentation_CaO</t>
  </si>
  <si>
    <t>ForestResidue_Fermentation_Cellulase</t>
  </si>
  <si>
    <t>ForestResidue_Fermentation_Coal</t>
  </si>
  <si>
    <t>ForestResidue_Fermentation_Corn_steep_liquor</t>
  </si>
  <si>
    <t>ForestResidue_Fermentation_DAP</t>
  </si>
  <si>
    <t>ForestResidue_Fermentation_Diesel</t>
  </si>
  <si>
    <t>ForestResidue_Fermentation_Electricity</t>
  </si>
  <si>
    <t>ForestResidue_Fermentation_Forest_residue</t>
  </si>
  <si>
    <t>ForestResidue_Fermentation_Gasoline</t>
  </si>
  <si>
    <t>ForestResidue_Fermentation_Gluco_amylase</t>
  </si>
  <si>
    <t>ForestResidue_Fermentation_Glucose</t>
  </si>
  <si>
    <t>ForestResidue_Fermentation_LPG</t>
  </si>
  <si>
    <t>ForestResidue_Fermentation_NaOH</t>
  </si>
  <si>
    <t>ForestResidue_Fermentation_Natural_gas</t>
  </si>
  <si>
    <t>ForestResidue_Fermentation_Residual_oil</t>
  </si>
  <si>
    <t>ForestResidue_Fermentation_RNG</t>
  </si>
  <si>
    <t>ForestResidue_Fermentation_Sulfuric_acid</t>
  </si>
  <si>
    <t>ForestResidue_Fermentation_Urea</t>
  </si>
  <si>
    <t>ForestResidue_Fermentation_Yeast</t>
  </si>
  <si>
    <t>GWP_of_GHG_Ref</t>
  </si>
  <si>
    <t>HEFA_Allocation</t>
  </si>
  <si>
    <t>Jatropha_Extraction_Coal</t>
  </si>
  <si>
    <t>Jatropha_Extraction_Diesel</t>
  </si>
  <si>
    <t>Jatropha_Extraction_Electricity</t>
  </si>
  <si>
    <t>Jatropha_Extraction_Forest_residue</t>
  </si>
  <si>
    <t>Jatropha_Extraction_Gasoline</t>
  </si>
  <si>
    <t>Jatropha_Extraction_Landfill_gas</t>
  </si>
  <si>
    <t>Jatropha_Extraction_LPG</t>
  </si>
  <si>
    <t>Jatropha_Extraction_N_hexane</t>
  </si>
  <si>
    <t>Jatropha_Extraction_Natural_gas</t>
  </si>
  <si>
    <t>Jatropha_Extraction_Residual_oil</t>
  </si>
  <si>
    <t>Jatropha_Farming_CaCO3</t>
  </si>
  <si>
    <t>Jatropha_Farming_Coal</t>
  </si>
  <si>
    <t>Jatropha_Farming_Diesel</t>
  </si>
  <si>
    <t>Jatropha_Farming_Electricity</t>
  </si>
  <si>
    <t>Jatropha_Farming_Gasoline</t>
  </si>
  <si>
    <t>Jatropha_Farming_Herbicides</t>
  </si>
  <si>
    <t>Jatropha_Farming_Insecticide</t>
  </si>
  <si>
    <t>Jatropha_Farming_K2O</t>
  </si>
  <si>
    <t>Jatropha_Farming_LPG</t>
  </si>
  <si>
    <t>Jatropha_Farming_Natural_gas</t>
  </si>
  <si>
    <t>Jatropha_Farming_Nitrogen_fertilizer</t>
  </si>
  <si>
    <t>Jatropha_Farming_P2O5</t>
  </si>
  <si>
    <t>Jatropha_Farming_Residual_oil</t>
  </si>
  <si>
    <t>Jatropha_HEFA_Electricity</t>
  </si>
  <si>
    <t>Jatropha_HEFA_Hydrogen</t>
  </si>
  <si>
    <t>Jatropha_HEFA_Natural_gas</t>
  </si>
  <si>
    <t>Jatropha_Oil_Extraction_Allocation</t>
  </si>
  <si>
    <t>Miscanthus_Farming_CaCO3</t>
  </si>
  <si>
    <t>Miscanthus_Farming_Coal</t>
  </si>
  <si>
    <t>Miscanthus_Farming_Diesel</t>
  </si>
  <si>
    <t>Miscanthus_Farming_Electricity</t>
  </si>
  <si>
    <t>Miscanthus_Farming_Gasoline</t>
  </si>
  <si>
    <t>Miscanthus_Farming_HDPE</t>
  </si>
  <si>
    <t>Miscanthus_Farming_Herbicides</t>
  </si>
  <si>
    <t>Miscanthus_Farming_Insecticide</t>
  </si>
  <si>
    <t>Miscanthus_Farming_K2O</t>
  </si>
  <si>
    <t>Miscanthus_Farming_LPG</t>
  </si>
  <si>
    <t>Miscanthus_Farming_Natural_gas</t>
  </si>
  <si>
    <t>Miscanthus_Farming_Nitrogen_fertilizer</t>
  </si>
  <si>
    <t>Miscanthus_Farming_P2O5</t>
  </si>
  <si>
    <t>Miscanthus_Farming_Residual_oil</t>
  </si>
  <si>
    <t>Miscanthus_Fermentation_Alpha_amylase</t>
  </si>
  <si>
    <t>Miscanthus_Fermentation_Ammonia</t>
  </si>
  <si>
    <t>Miscanthus_Fermentation_CaO</t>
  </si>
  <si>
    <t>Miscanthus_Fermentation_Cellulase</t>
  </si>
  <si>
    <t>Miscanthus_Fermentation_Coal</t>
  </si>
  <si>
    <t>Miscanthus_Fermentation_Corn_steep_liquor</t>
  </si>
  <si>
    <t>Miscanthus_Fermentation_DAP</t>
  </si>
  <si>
    <t>Miscanthus_Fermentation_Diesel</t>
  </si>
  <si>
    <t>Miscanthus_Fermentation_Electricity</t>
  </si>
  <si>
    <t>Miscanthus_Fermentation_Gasoline</t>
  </si>
  <si>
    <t>Miscanthus_Fermentation_Gluco_amylase</t>
  </si>
  <si>
    <t>Miscanthus_Fermentation_Glucose</t>
  </si>
  <si>
    <t>Miscanthus_Fermentation_LPG</t>
  </si>
  <si>
    <t>Miscanthus_Fermentation_Miscanthus</t>
  </si>
  <si>
    <t>Miscanthus_Fermentation_NaOH</t>
  </si>
  <si>
    <t>Miscanthus_Fermentation_Natural_gas</t>
  </si>
  <si>
    <t>Miscanthus_Fermentation_Residual_oil</t>
  </si>
  <si>
    <t>Miscanthus_Fermentation_RNG</t>
  </si>
  <si>
    <t>Miscanthus_Fermentation_Sulfuric_acid</t>
  </si>
  <si>
    <t>Miscanthus_Fermentation_Urea</t>
  </si>
  <si>
    <t>Miscanthus_Fermentation_Yeast</t>
  </si>
  <si>
    <t>Palm_CH4_Selector</t>
  </si>
  <si>
    <t>Palm_Extraction_CH4_POME</t>
  </si>
  <si>
    <t>Palm_Extraction_Coal</t>
  </si>
  <si>
    <t>Palm_Extraction_Diesel</t>
  </si>
  <si>
    <t>Palm_Extraction_Electricity</t>
  </si>
  <si>
    <t>Palm_Extraction_Forest_residue</t>
  </si>
  <si>
    <t>Palm_Extraction_Gasoline</t>
  </si>
  <si>
    <t>Palm_Extraction_Landfill_gas</t>
  </si>
  <si>
    <t>Palm_Extraction_LPG</t>
  </si>
  <si>
    <t>Palm_Extraction_N_hexane</t>
  </si>
  <si>
    <t>Palm_Extraction_Natural_gas</t>
  </si>
  <si>
    <t>Palm_Extraction_Residual_oil</t>
  </si>
  <si>
    <t>Palm_Farming_CaCO3</t>
  </si>
  <si>
    <t>Palm_Farming_Coal</t>
  </si>
  <si>
    <t>Palm_Farming_Diesel</t>
  </si>
  <si>
    <t>Palm_Farming_Electricity</t>
  </si>
  <si>
    <t>Palm_Farming_Gasoline</t>
  </si>
  <si>
    <t>Palm_Farming_Herbicides</t>
  </si>
  <si>
    <t>Palm_Farming_Insecticide</t>
  </si>
  <si>
    <t>Palm_Farming_K2O</t>
  </si>
  <si>
    <t>Palm_Farming_LPG</t>
  </si>
  <si>
    <t>Palm_Farming_Natural_gas</t>
  </si>
  <si>
    <t>Palm_Farming_Nitrogen_fertilizer</t>
  </si>
  <si>
    <t>Palm_Farming_P2O5</t>
  </si>
  <si>
    <t>Palm_Farming_Residual_oil</t>
  </si>
  <si>
    <t>Palm_HEFA_Electricity</t>
  </si>
  <si>
    <t>Palm_HEFA_Hydrogen</t>
  </si>
  <si>
    <t>Palm_HEFA_Natural_gas</t>
  </si>
  <si>
    <t>Palm_Oil_Extraction_Allocation</t>
  </si>
  <si>
    <t>Poplar_Farming_CaCO3</t>
  </si>
  <si>
    <t>Poplar_Farming_Coal</t>
  </si>
  <si>
    <t>Poplar_Farming_Diesel</t>
  </si>
  <si>
    <t>Poplar_Farming_Electricity</t>
  </si>
  <si>
    <t>Poplar_Farming_Gasoline</t>
  </si>
  <si>
    <t>Poplar_Farming_Herbicides</t>
  </si>
  <si>
    <t>Poplar_Farming_Insecticide</t>
  </si>
  <si>
    <t>Poplar_Farming_K2O</t>
  </si>
  <si>
    <t>Poplar_Farming_LPG</t>
  </si>
  <si>
    <t>Poplar_Farming_Natural_gas</t>
  </si>
  <si>
    <t>Poplar_Farming_Nitrogen_fertilizer</t>
  </si>
  <si>
    <t>Poplar_Farming_P2O5</t>
  </si>
  <si>
    <t>Poplar_Farming_Residual_oil</t>
  </si>
  <si>
    <t>Sorghum_LUC_Selector</t>
  </si>
  <si>
    <t>Soybean_Extraction_Coal</t>
  </si>
  <si>
    <t>Soybean_Extraction_Diesel</t>
  </si>
  <si>
    <t>Soybean_Extraction_Electricity</t>
  </si>
  <si>
    <t>Soybean_Extraction_Forest_residue</t>
  </si>
  <si>
    <t>Soybean_Extraction_Gasoline</t>
  </si>
  <si>
    <t>Soybean_Extraction_Landfill_gas</t>
  </si>
  <si>
    <t>Soybean_Extraction_LPG</t>
  </si>
  <si>
    <t>Soybean_Extraction_N_hexane</t>
  </si>
  <si>
    <t>Soybean_Extraction_Natural_gas</t>
  </si>
  <si>
    <t>Soybean_Extraction_Residual_oil</t>
  </si>
  <si>
    <t>Soybean_Farming_CaCO3</t>
  </si>
  <si>
    <t>Soybean_Farming_Coal</t>
  </si>
  <si>
    <t>Soybean_Farming_Diesel</t>
  </si>
  <si>
    <t>Soybean_Farming_Electricity</t>
  </si>
  <si>
    <t>Soybean_Farming_Gasoline</t>
  </si>
  <si>
    <t>Soybean_Farming_Herbicides</t>
  </si>
  <si>
    <t>Soybean_Farming_Insecticide</t>
  </si>
  <si>
    <t>Soybean_Farming_K2O</t>
  </si>
  <si>
    <t>Soybean_Farming_LPG</t>
  </si>
  <si>
    <t>Soybean_Farming_Natural_gas</t>
  </si>
  <si>
    <t>Soybean_Farming_Nitrogen_fertilizer</t>
  </si>
  <si>
    <t>Soybean_Farming_P2O5</t>
  </si>
  <si>
    <t>Soybean_Farming_Residual_oil</t>
  </si>
  <si>
    <t>Soybean_HEFA_Electricity</t>
  </si>
  <si>
    <t>Soybean_HEFA_H2</t>
  </si>
  <si>
    <t>Soybean_HEFA_Natural_gas</t>
  </si>
  <si>
    <t>Soybean_Oil_Extraction_Allocation</t>
  </si>
  <si>
    <t>Switchgrass_Farming_CaCO3</t>
  </si>
  <si>
    <t>Switchgrass_Farming_Coal</t>
  </si>
  <si>
    <t>Switchgrass_Farming_Diesel</t>
  </si>
  <si>
    <t>Switchgrass_Farming_Electricity</t>
  </si>
  <si>
    <t>Switchgrass_Farming_Gasoline</t>
  </si>
  <si>
    <t>Switchgrass_Farming_HDPE</t>
  </si>
  <si>
    <t>Switchgrass_Farming_Herbicides</t>
  </si>
  <si>
    <t>Switchgrass_Farming_Insecticide</t>
  </si>
  <si>
    <t>Switchgrass_Farming_K2O</t>
  </si>
  <si>
    <t>Switchgrass_Farming_LPG</t>
  </si>
  <si>
    <t>Switchgrass_Farming_Natural_gas</t>
  </si>
  <si>
    <t>Switchgrass_Farming_Nitrogen_fertilizer</t>
  </si>
  <si>
    <t>Switchgrass_Farming_P2O5</t>
  </si>
  <si>
    <t>Switchgrass_Farming_Residual_oil</t>
  </si>
  <si>
    <t>Switchgrass_Fermentation_Alpha_amylase</t>
  </si>
  <si>
    <t>Switchgrass_Fermentation_Ammonia</t>
  </si>
  <si>
    <t>Switchgrass_Fermentation_CaO</t>
  </si>
  <si>
    <t>Switchgrass_Fermentation_Cellulase</t>
  </si>
  <si>
    <t>Switchgrass_Fermentation_Coal</t>
  </si>
  <si>
    <t>Switchgrass_Fermentation_Corn_steep_liquor</t>
  </si>
  <si>
    <t>Switchgrass_Fermentation_DAP</t>
  </si>
  <si>
    <t>Switchgrass_Fermentation_Diesel</t>
  </si>
  <si>
    <t>Switchgrass_Fermentation_Electricity</t>
  </si>
  <si>
    <t>Switchgrass_Fermentation_Gasoline</t>
  </si>
  <si>
    <t>Switchgrass_Fermentation_Gluco_amylase</t>
  </si>
  <si>
    <t>Switchgrass_Fermentation_Glucose</t>
  </si>
  <si>
    <t>Switchgrass_Fermentation_LPG</t>
  </si>
  <si>
    <t>Switchgrass_Fermentation_NaOH</t>
  </si>
  <si>
    <t>Switchgrass_Fermentation_Natural_gas</t>
  </si>
  <si>
    <t>Switchgrass_Fermentation_Residual_oil</t>
  </si>
  <si>
    <t>Switchgrass_Fermentation_RNG</t>
  </si>
  <si>
    <t>Switchgrass_Fermentation_Sulfuric_acid</t>
  </si>
  <si>
    <t>Switchgrass_Fermentation_Switchgrass</t>
  </si>
  <si>
    <t>Switchgrass_Fermentation_Urea</t>
  </si>
  <si>
    <t>Switchgrass_Fermentation_Yeast</t>
  </si>
  <si>
    <t>Willow_Farming_CaCO3</t>
  </si>
  <si>
    <t>Willow_Farming_Coal</t>
  </si>
  <si>
    <t>Willow_Farming_Diesel</t>
  </si>
  <si>
    <t>Willow_Farming_Electricity</t>
  </si>
  <si>
    <t>Willow_Farming_Forest_residue</t>
  </si>
  <si>
    <t>Willow_Farming_Gasoline</t>
  </si>
  <si>
    <t>Willow_Farming_Herbicides</t>
  </si>
  <si>
    <t>Willow_Farming_Insecticide</t>
  </si>
  <si>
    <t>Willow_Farming_K2O</t>
  </si>
  <si>
    <t>Willow_Farming_LPG</t>
  </si>
  <si>
    <t>Willow_Farming_Natural_gas</t>
  </si>
  <si>
    <t>Willow_Farming_Nitrogen_fertilizer</t>
  </si>
  <si>
    <t>Willow_Farming_P2O5</t>
  </si>
  <si>
    <t>Willow_Farming_Residual_oil</t>
  </si>
  <si>
    <t>Metric Lookup</t>
  </si>
  <si>
    <t>Pathway Column</t>
  </si>
  <si>
    <t>Eucalyptus FT</t>
  </si>
  <si>
    <t>MSW FT</t>
  </si>
  <si>
    <t>Tallow HEFA</t>
  </si>
  <si>
    <t>PFAD HEFA</t>
  </si>
  <si>
    <t>UCO HEFA</t>
  </si>
  <si>
    <t>Sugarcane SIP</t>
  </si>
  <si>
    <t>Sugarbeet SIP</t>
  </si>
  <si>
    <t>Sugarcane ATJ</t>
  </si>
  <si>
    <t>Agricultural residue ATJ</t>
  </si>
  <si>
    <t>Forest residue ATJ</t>
  </si>
  <si>
    <t>Corn grain ATJ</t>
  </si>
  <si>
    <t>Switchgrass ATJ</t>
  </si>
  <si>
    <t>Miscanthus ATJ</t>
  </si>
  <si>
    <t>Molasses ATJ</t>
  </si>
  <si>
    <t>GHGS</t>
  </si>
  <si>
    <t>ILUC</t>
  </si>
  <si>
    <t>Tallow</t>
  </si>
  <si>
    <t>UCO</t>
  </si>
  <si>
    <t>PFAD</t>
  </si>
  <si>
    <t>Molasses</t>
  </si>
  <si>
    <t>MSW</t>
  </si>
  <si>
    <t>Metric Units</t>
  </si>
  <si>
    <t>ICAO/GREET Selector</t>
  </si>
  <si>
    <t>Eucalyptus</t>
  </si>
  <si>
    <t>CTBE</t>
  </si>
  <si>
    <t>i-BuOH ATJ</t>
  </si>
  <si>
    <t>Forest Residue ATJ</t>
  </si>
  <si>
    <t>Agricultural Residue ATJ</t>
  </si>
  <si>
    <t>Corn Grain ATJ</t>
  </si>
  <si>
    <t>Rendering</t>
  </si>
  <si>
    <t>Animal waste</t>
  </si>
  <si>
    <t>Yellow grease / UCO</t>
  </si>
  <si>
    <t>lb animal waste</t>
  </si>
  <si>
    <t>lb oil</t>
  </si>
  <si>
    <t>gal ethanol</t>
  </si>
  <si>
    <t>kg SAF</t>
  </si>
  <si>
    <t>ANL/MIT</t>
  </si>
  <si>
    <t>ton dry crop</t>
  </si>
  <si>
    <t>ton dry residue</t>
  </si>
  <si>
    <t>Fuel gas (ATR)</t>
  </si>
  <si>
    <t>This will be merged in the left table in GREET 2023</t>
  </si>
  <si>
    <t>MSW (ICAO)</t>
  </si>
  <si>
    <t>Lime (CaO)</t>
  </si>
  <si>
    <t>kg dry crop</t>
  </si>
  <si>
    <t>Selector</t>
  </si>
  <si>
    <t>Selection Table</t>
  </si>
  <si>
    <t>Selection</t>
  </si>
  <si>
    <t>Calculated Value</t>
  </si>
  <si>
    <t>Default Displayed Value</t>
  </si>
  <si>
    <t>Default Calculated Value</t>
  </si>
  <si>
    <t>QA Check</t>
  </si>
  <si>
    <t>Dev Notes</t>
  </si>
  <si>
    <t>Dashboard Value</t>
  </si>
  <si>
    <t>Co-located facilities</t>
  </si>
  <si>
    <t>MIT/ANL</t>
  </si>
  <si>
    <t>Non-biogenic carbon (NBC)</t>
  </si>
  <si>
    <t>Electricity from Indonesia</t>
  </si>
  <si>
    <t>USDA (2021 data)</t>
  </si>
  <si>
    <t>Neupane et al. (2022); Dangol et al. (2015)</t>
  </si>
  <si>
    <t>Alam &amp; Dwivedi (2019)</t>
  </si>
  <si>
    <t>Standard is dry mill with corn oil extraction</t>
  </si>
  <si>
    <t>Must use Indonesia electricity LCI</t>
  </si>
  <si>
    <t>Not available in GREET1; copied from CORSIA supp. doc</t>
  </si>
  <si>
    <t>GREET units are expressed as yield, not feed usage</t>
  </si>
  <si>
    <t>User range must be 0 - 100%</t>
  </si>
  <si>
    <t>CORSIA supporting document</t>
  </si>
  <si>
    <t>Should say Lime (CaO) instead of CaCO3 according to CORSIA document</t>
  </si>
  <si>
    <t>Based on JRC yield (CORSIA supporting document)</t>
  </si>
  <si>
    <t>Notes for user</t>
  </si>
  <si>
    <t>Do Not Send</t>
  </si>
  <si>
    <t>NBC content</t>
  </si>
  <si>
    <t>EtOH!J204</t>
  </si>
  <si>
    <t>EtOH!K204</t>
  </si>
  <si>
    <t>EtOH!L204</t>
  </si>
  <si>
    <t>EtOH!M204</t>
  </si>
  <si>
    <t>HEFA_feed_usage</t>
  </si>
  <si>
    <t>Corn_oil_HEFA_Residual_oil</t>
  </si>
  <si>
    <t>Cellulosic_Catalytic_STJ_SulfuricAcid</t>
  </si>
  <si>
    <t>Switchgrass_FT_efficiency</t>
  </si>
  <si>
    <t>Miscanthus_FT_efficiency</t>
  </si>
  <si>
    <t>Poplar_FT_efficiency</t>
  </si>
  <si>
    <t>Willow_FT_efficiency</t>
  </si>
  <si>
    <t>Corn_stover_FT_efficiency</t>
  </si>
  <si>
    <t>Forest_residue_FT_efficiency</t>
  </si>
  <si>
    <t>Cellulosic_ETJ_AlphaAmylase</t>
  </si>
  <si>
    <t>Cellulosic_ETJ_GlucoAmylase</t>
  </si>
  <si>
    <t>Cellulosic_ETJ_Yeast</t>
  </si>
  <si>
    <t>Cellulosic_ETJ_Diesel</t>
  </si>
  <si>
    <t>Cellulosic_ETJ_Natural_gas</t>
  </si>
  <si>
    <t>Cellulosic_ETJ_Electricity</t>
  </si>
  <si>
    <t>PFAD_HEFA_Natural_gas</t>
  </si>
  <si>
    <t>PFAD_HEFA_Electricity</t>
  </si>
  <si>
    <t>PFAD_HEFA_Hydrogen</t>
  </si>
  <si>
    <t>Eucalyptus_Nitrogen_fertilizer</t>
  </si>
  <si>
    <t>Eucalyptus_P2O5</t>
  </si>
  <si>
    <t>Eucalyptus_K2O</t>
  </si>
  <si>
    <t>Eucalyptus_CaCO3</t>
  </si>
  <si>
    <t>Eucalyptus_Herbicides</t>
  </si>
  <si>
    <t>Eucalyptus_Insecticide</t>
  </si>
  <si>
    <t>Eucalyptus_HDPE</t>
  </si>
  <si>
    <t>Eucalyptus_Residual_oil</t>
  </si>
  <si>
    <t>Eucalyptus_Diesel</t>
  </si>
  <si>
    <t>Eucalyptus_Gasoline</t>
  </si>
  <si>
    <t>Eucalyptus_Natural_gas</t>
  </si>
  <si>
    <t>Eucalyptus_Coal</t>
  </si>
  <si>
    <t>Eucalyptus_LPG</t>
  </si>
  <si>
    <t>Eucalyptus_Electricity</t>
  </si>
  <si>
    <t>Eucalyptus_efficiency</t>
  </si>
  <si>
    <t>MSW_FT_Non_biogenic_carbon_NBC</t>
  </si>
  <si>
    <t>MSW_FT_FT_efficiency</t>
  </si>
  <si>
    <t>Sugarcane_Nitrogen_fertilizer</t>
  </si>
  <si>
    <t>Sugarcane_P2O5</t>
  </si>
  <si>
    <t>Sugarcane_K2O</t>
  </si>
  <si>
    <t>Sugarcane_CaCO3</t>
  </si>
  <si>
    <t>Sugarcane_Herbicides</t>
  </si>
  <si>
    <t>Sugarcane_Insecticide</t>
  </si>
  <si>
    <t>Sugarcane_Residual_oil</t>
  </si>
  <si>
    <t>Sugarcane_Diesel</t>
  </si>
  <si>
    <t>Sugarcane_Gasoline</t>
  </si>
  <si>
    <t>Sugarcane_Natural_gas</t>
  </si>
  <si>
    <t>Sugarcane_Coal</t>
  </si>
  <si>
    <t>Sugarcane_LPG</t>
  </si>
  <si>
    <t>Sugarcane_Electricity</t>
  </si>
  <si>
    <t>Sugarcane_ETJ_Sugarcane</t>
  </si>
  <si>
    <t>Sugarcane_ETJ_Alpha_amylase</t>
  </si>
  <si>
    <t>Sugarcane_ETJ_Gluco_amylase</t>
  </si>
  <si>
    <t>Sugarcane_ETJ_Yeast</t>
  </si>
  <si>
    <t>Sugarcane_ETJ_Glucose</t>
  </si>
  <si>
    <t>Sugarcane_ETJ_Sulfuric_acid</t>
  </si>
  <si>
    <t>Sugarcane_ETJ_Ammonia</t>
  </si>
  <si>
    <t>Sugarcane_ETJ_Corn_steep_liquor</t>
  </si>
  <si>
    <t>Sugarcane_ETJ_DAP</t>
  </si>
  <si>
    <t>Sugarcane_ETJ_Quicklime_CaO</t>
  </si>
  <si>
    <t>Sugarcane_ETJ_Urea</t>
  </si>
  <si>
    <t>Sugarcane_ETJ_Hydrogen</t>
  </si>
  <si>
    <t>Sugarcane_ETJ_Natural_gas</t>
  </si>
  <si>
    <t>Sugarcane_ETJ_Electricity</t>
  </si>
  <si>
    <t>Sugarcane_SIP_Sugarcane</t>
  </si>
  <si>
    <t>Sugarcane_SIP_Hydrogen</t>
  </si>
  <si>
    <t>Sugarbeet_Nitrogen_fertilizer</t>
  </si>
  <si>
    <t>Sugarbeet_P2O5</t>
  </si>
  <si>
    <t>Sugarbeet_K2O</t>
  </si>
  <si>
    <t>Sugarbeet_Lime_CaO</t>
  </si>
  <si>
    <t>Sugarbeet_Herbicides</t>
  </si>
  <si>
    <t>Sugarbeet_Insecticide</t>
  </si>
  <si>
    <t>Sugarbeet_Residual_oil</t>
  </si>
  <si>
    <t>Sugarbeet_Diesel</t>
  </si>
  <si>
    <t>Sugarbeet_Gasoline</t>
  </si>
  <si>
    <t>Sugarbeet_Natural_gas</t>
  </si>
  <si>
    <t>Sugarbeet_Coal</t>
  </si>
  <si>
    <t>Sugarbeet_LPG</t>
  </si>
  <si>
    <t>Sugarbeet_Electricity</t>
  </si>
  <si>
    <t>Sugarbeet_SIP_Sugarbeet</t>
  </si>
  <si>
    <t>Sugarbeet_SIP_Alpha_amylase</t>
  </si>
  <si>
    <t>Sugarbeet_SIP_Gluco_amylase</t>
  </si>
  <si>
    <t>Sugarbeet_SIP_Cellulase</t>
  </si>
  <si>
    <t>Sugarbeet_SIP_Yeast</t>
  </si>
  <si>
    <t>Sugarbeet_SIP_Sulfuric_acid</t>
  </si>
  <si>
    <t>Sugarbeet_SIP_Pet_coke</t>
  </si>
  <si>
    <t>Sugarbeet_SIP_Electricity</t>
  </si>
  <si>
    <t>Sugarbeet_SIP_Hydrogen</t>
  </si>
  <si>
    <t>Sugarcane_i_BuOH_ATJ_Sugarcane</t>
  </si>
  <si>
    <t>Sugarcane_i_BuOH_ATJ_Quicklime_CaO</t>
  </si>
  <si>
    <t>Sugarcane_i_BuOH_ATJ_Hydrogen</t>
  </si>
  <si>
    <t>Sugarcane_i_BuOH_ATJ_Natural_gas</t>
  </si>
  <si>
    <t>Corn_stover_i_BuOH_ATJ_Corn_stover</t>
  </si>
  <si>
    <t>Corn_stover_i_BuOH_ATJ_Cellulase</t>
  </si>
  <si>
    <t>Corn_stover_i_BuOH_ATJ_Yeast</t>
  </si>
  <si>
    <t>Corn_stover_i_BuOH_ATJ_Sulfuric_acid</t>
  </si>
  <si>
    <t>Corn_stover_i_BuOH_ATJ_Ammonia</t>
  </si>
  <si>
    <t>Corn_stover_i_BuOH_ATJ_Corn_steep_liquor</t>
  </si>
  <si>
    <t>Corn_stover_i_BuOH_ATJ_DAP</t>
  </si>
  <si>
    <t>Corn_stover_i_BuOH_ATJ_Natural_gas</t>
  </si>
  <si>
    <t>Corn_stover_i_BuOH_ATJ_Hydrogen</t>
  </si>
  <si>
    <t>Forest_residue_i_BuOH_ATJ_Forest_residue</t>
  </si>
  <si>
    <t>Forest_residue_i_BuOH_ATJ_Cellulase</t>
  </si>
  <si>
    <t>Forest_residue_i_BuOH_ATJ_Yeast</t>
  </si>
  <si>
    <t>Forest_residue_i_BuOH_ATJ_Sulfuric_acid</t>
  </si>
  <si>
    <t>Forest_residue_i_BuOH_ATJ_Ammonia</t>
  </si>
  <si>
    <t>Forest_residue_i_BuOH_ATJ_Corn_steep_liquor</t>
  </si>
  <si>
    <t>Forest_residue_i_BuOH_ATJ_DAP</t>
  </si>
  <si>
    <t>Forest_residue_i_BuOH_ATJ_Natural_gas</t>
  </si>
  <si>
    <t>Forest_residue_i_BuOH_ATJ_Hydrogen</t>
  </si>
  <si>
    <t>Corn_i_BuOH_ATJ_Corn</t>
  </si>
  <si>
    <t>Corn_i_BuOH_ATJ_Alpha_amylase</t>
  </si>
  <si>
    <t>Corn_i_BuOH_ATJ_Gluco_amylase</t>
  </si>
  <si>
    <t>Corn_i_BuOH_ATJ_Yeast</t>
  </si>
  <si>
    <t>Corn_i_BuOH_ATJ_Sulfuric_acid</t>
  </si>
  <si>
    <t>Corn_i_BuOH_ATJ_Ammonia</t>
  </si>
  <si>
    <t>Corn_i_BuOH_ATJ_NaOH</t>
  </si>
  <si>
    <t>Corn_i_BuOH_ATJ_Quicklime_CaO</t>
  </si>
  <si>
    <t>Corn_i_BuOH_ATJ_Natural_gas</t>
  </si>
  <si>
    <t>Corn_i_BuOH_ATJ_Electricity</t>
  </si>
  <si>
    <t>Corn_i_BuOH_ATJ_Hydrogen</t>
  </si>
  <si>
    <t>Switchgrass_i_BuOH_ATJ_Switchgrass</t>
  </si>
  <si>
    <t>Switchgrass_i_BuOH_ATJ_Cellulase</t>
  </si>
  <si>
    <t>Switchgrass_i_BuOH_ATJ_Yeast</t>
  </si>
  <si>
    <t>Switchgrass_i_BuOH_ATJ_Sulfuric_acid</t>
  </si>
  <si>
    <t>Switchgrass_i_BuOH_ATJ_Ammonia</t>
  </si>
  <si>
    <t>Switchgrass_i_BuOH_ATJ_Hydrogen</t>
  </si>
  <si>
    <t>Switchgrass_i_BuOH_ATJ_Natural_gas</t>
  </si>
  <si>
    <t>Miscanthus_i_BuOH_ATJ_Miscanthus</t>
  </si>
  <si>
    <t>Miscanthus_i_BuOH_ATJ_Cellulase</t>
  </si>
  <si>
    <t>Miscanthus_i_BuOH_ATJ_Yeast</t>
  </si>
  <si>
    <t>Miscanthus_i_BuOH_ATJ_Sulfuric_acid</t>
  </si>
  <si>
    <t>Miscanthus_i_BuOH_ATJ_Ammonia</t>
  </si>
  <si>
    <t>Miscanthus_i_BuOH_ATJ_Hydrogen</t>
  </si>
  <si>
    <t>Miscanthus_i_BuOH_ATJ_Natural_gas</t>
  </si>
  <si>
    <t>Miscanthus_i_BuOH_ATJ_Electricity</t>
  </si>
  <si>
    <t>Tallow_Residual_oil</t>
  </si>
  <si>
    <t>Tallow_Diesel</t>
  </si>
  <si>
    <t>Tallow_Gasoline</t>
  </si>
  <si>
    <t>Tallow_Natural_gas</t>
  </si>
  <si>
    <t>Tallow_Coal</t>
  </si>
  <si>
    <t>Tallow_LPG</t>
  </si>
  <si>
    <t>Tallow_Electricity</t>
  </si>
  <si>
    <t>Tallow_N_hexane</t>
  </si>
  <si>
    <t>Tallow_Methanol</t>
  </si>
  <si>
    <t>Tallow_Hydrogen</t>
  </si>
  <si>
    <t>Tallow_HEFA_Natural_gas</t>
  </si>
  <si>
    <t>Tallow_HEFA_Electricity</t>
  </si>
  <si>
    <t>Tallow_HEFA_Hydrogen</t>
  </si>
  <si>
    <t>UCO_Residual_oil</t>
  </si>
  <si>
    <t>UCO_Diesel</t>
  </si>
  <si>
    <t>UCO_Gasoline</t>
  </si>
  <si>
    <t>UCO_Natural_gas</t>
  </si>
  <si>
    <t>UCO_Coal</t>
  </si>
  <si>
    <t>UCO_LPG</t>
  </si>
  <si>
    <t>UCO_Electricity</t>
  </si>
  <si>
    <t>UCO_N_hexane</t>
  </si>
  <si>
    <t>UCO_Methanol</t>
  </si>
  <si>
    <t>UCO_Hydrogen</t>
  </si>
  <si>
    <t>UCO_HEFA_Natural_gas</t>
  </si>
  <si>
    <t>UCO_HEFA_Electricity</t>
  </si>
  <si>
    <t>UCO_HEFA_Hydrogen</t>
  </si>
  <si>
    <t>Switchgrass_EtOH_Fermentation_Allocation_Selector</t>
  </si>
  <si>
    <t>Miscanthus_EtOH_Fermentation_Allocation_Selector</t>
  </si>
  <si>
    <t>Corn_stover_EtOH_Fermentation_Allocation_Selector</t>
  </si>
  <si>
    <t>Forest_residue_EtOH_Fermentation_Allocation_Selector</t>
  </si>
  <si>
    <t>Sugarcane_i_BuOH_ATJ_Allocation_Factor</t>
  </si>
  <si>
    <t>Corn_stover_i_BuOH_ATJ_Allocation_Factor</t>
  </si>
  <si>
    <t>Forest_residue_i_BuOH_ATJ_Allocation_Factor</t>
  </si>
  <si>
    <t>Corn_i_BuOH_ATJ_Allocation_Factor</t>
  </si>
  <si>
    <t>Corn_stover_i_BuOH_Fermentation_Natural_gas</t>
  </si>
  <si>
    <t>Forest_residue_i_BuOH_Fermentation_Natural_gas</t>
  </si>
  <si>
    <t>Corn_i_BuOH_Fermentation_Natural_gas</t>
  </si>
  <si>
    <t>Corn_stover_EtOH_Fermentation_Allocation</t>
  </si>
  <si>
    <t>Soybean_Oil_Extraction_Energy_Allocation</t>
  </si>
  <si>
    <t>Palm_Oil_Extraction_Energy_Allocation</t>
  </si>
  <si>
    <t>Canola_Oil_Extraction_Energy_Allocation</t>
  </si>
  <si>
    <t>Jatropha_Oil_Extraction_Energy_Allocation</t>
  </si>
  <si>
    <t>Camelina_Oil_Extraction_Energy_Allocation</t>
  </si>
  <si>
    <t>Soybean_Oil_Extraction_Mass_Allocation</t>
  </si>
  <si>
    <t>Palm_Oil_Extraction_Mass_Allocation</t>
  </si>
  <si>
    <t>Canola_Oil_Extraction_Mass_Allocation</t>
  </si>
  <si>
    <t>Camelina_Oil_Extraction_Mass_Allocation</t>
  </si>
  <si>
    <t>Carinata_Oil_extraction_Mass_Allocation</t>
  </si>
  <si>
    <t>Soybean_Oil_HEFA_Energy_Allocation</t>
  </si>
  <si>
    <t>Palm_Oil_HEFA_Energy_Allocation</t>
  </si>
  <si>
    <t>Canola_Oil_HEFA_Energy_Allocation</t>
  </si>
  <si>
    <t>Jatropha_Oil_HEFA_Energy_Allocation</t>
  </si>
  <si>
    <t>Camelina_Oil_HEFA_Energy_Allocation</t>
  </si>
  <si>
    <t>Carinata_Oil_HEFA_Energy_Allocation</t>
  </si>
  <si>
    <t>Corn_ETJ_Allocation_Factor</t>
  </si>
  <si>
    <t>Cellulosic_ETJ_Allocation_Factor</t>
  </si>
  <si>
    <t>Ethanol_ETJ_distributed_Allocation_Factor</t>
  </si>
  <si>
    <t>Sugarcane_ETJ_Allocation_Factor</t>
  </si>
  <si>
    <t>Sugarcane_SIP_Allocation_Factor</t>
  </si>
  <si>
    <t>Sugarbeet_SIP_Allocation_Factor</t>
  </si>
  <si>
    <t>Open/closed CH4 selector</t>
  </si>
  <si>
    <t>Sodium carbonate</t>
  </si>
  <si>
    <t>Hydrochloric acid</t>
  </si>
  <si>
    <t>Formaldehyde</t>
  </si>
  <si>
    <t>Pet coke</t>
  </si>
  <si>
    <t>Natural gas (fermentation)</t>
  </si>
  <si>
    <t>Natural gas (ATJ conversion)</t>
  </si>
  <si>
    <t>Electricity (fermentation)</t>
  </si>
  <si>
    <t>Electricity (ATJ conversion)</t>
  </si>
  <si>
    <t>MJ ethanol</t>
  </si>
  <si>
    <t>Need to write allocation factor itself instead of selector</t>
  </si>
  <si>
    <t>Do not display</t>
  </si>
  <si>
    <t>Energy Allocation</t>
  </si>
  <si>
    <t>Allocation Selector</t>
  </si>
  <si>
    <t>Not available; copied from corn stover - ICAO - MIT</t>
  </si>
  <si>
    <t>Combine energy use from fermentation and ETJ</t>
  </si>
  <si>
    <t>Copied from CORSIA supp. doc FT yield</t>
  </si>
  <si>
    <t>Sugarcane_ETJ_Allocation</t>
  </si>
  <si>
    <t>Sugarcane_ETJ_Electricity_Allocation</t>
  </si>
  <si>
    <t>Cellulosic_ETJ_Electricity_Allocation</t>
  </si>
  <si>
    <t>Corn_ETJ_DDGS_Allocation</t>
  </si>
  <si>
    <t>STJ Selector</t>
  </si>
  <si>
    <t>Statista (2023) data from 2022</t>
  </si>
  <si>
    <t>Plantations International (2022)</t>
  </si>
  <si>
    <t>Default value from CORSIA</t>
  </si>
  <si>
    <t>Default value from GREET</t>
  </si>
  <si>
    <t>Dry mill w/ corn oil extraction</t>
  </si>
  <si>
    <t>Erroneous units in CORSIA</t>
  </si>
  <si>
    <t>CORSIA reports 0.91 MJ H2/MJ SAF</t>
  </si>
  <si>
    <t>NBC Content</t>
  </si>
  <si>
    <t>T_D_Soybean_Barge_Share</t>
  </si>
  <si>
    <t>T_D_Soybean_Rail_Share</t>
  </si>
  <si>
    <t>T_D_Soybean_Heavy_heavy_truck_Share</t>
  </si>
  <si>
    <t>T_D_Soybean_Medium_heavy_truck_Share</t>
  </si>
  <si>
    <t>T_D_HEFA_SAF_Barge_Share</t>
  </si>
  <si>
    <t>T_D_HEFA_SAF_Pipeline_Share</t>
  </si>
  <si>
    <t>T_D_HEFA_SAF_Rail_Share</t>
  </si>
  <si>
    <t>T_D_HEFA_SAF_Heavy_heavy_truck_Share</t>
  </si>
  <si>
    <t>T_D_HEFA_SAF_Heavy_heavy_truck_dist_Share</t>
  </si>
  <si>
    <t>T_D_Palm_oil_Rail_Share</t>
  </si>
  <si>
    <t>T_D_Palm_oil_Heavy_heavy_truck_Share</t>
  </si>
  <si>
    <t>T_D_Palm_oil_Medium_heavy_truck_Share</t>
  </si>
  <si>
    <t>T_D_Palm_oil_Ocean_tanker_Share</t>
  </si>
  <si>
    <t>T_D_Canola_Barge_Share</t>
  </si>
  <si>
    <t>T_D_Canola_Rail_Share</t>
  </si>
  <si>
    <t>T_D_Canola_Heavy_heavy_truck_Share</t>
  </si>
  <si>
    <t>T_D_Canola_Medium_heavy_truck_Share</t>
  </si>
  <si>
    <t>T_D_Canola_oil_Barge_Share</t>
  </si>
  <si>
    <t>T_D_Canola_oil_Pipeline_Share</t>
  </si>
  <si>
    <t>T_D_Canola_oil_Rail_Share</t>
  </si>
  <si>
    <t>T_D_Canola_oil_Heavy_heavy_truck_Share</t>
  </si>
  <si>
    <t>T_D_Jatropha_Barge_Share</t>
  </si>
  <si>
    <t>T_D_Jatropha_Rail_Share</t>
  </si>
  <si>
    <t>T_D_Jatropha_Heavy_heavy_truck_Share</t>
  </si>
  <si>
    <t>T_D_Jatropha_Medium_heavy_truck_Share</t>
  </si>
  <si>
    <t>T_D_Jatropha_oil_Barge_Share</t>
  </si>
  <si>
    <t>T_D_Jatropha_oil_Pipeline_Share</t>
  </si>
  <si>
    <t>T_D_Jatropha_oil_Rail_Share</t>
  </si>
  <si>
    <t>T_D_Jatropha_oil_Heavy_heavy_truck_Share</t>
  </si>
  <si>
    <t>T_D_Camelina_Barge_Share</t>
  </si>
  <si>
    <t>T_D_Camelina_Rail_Share</t>
  </si>
  <si>
    <t>T_D_Camelina_Heavy_heavy_truck_Share</t>
  </si>
  <si>
    <t>T_D_Camelina_Medium_heavy_truck_Share</t>
  </si>
  <si>
    <t>T_D_Camelina_oil_Barge_Share</t>
  </si>
  <si>
    <t>T_D_Camelina_oil_Pipeline_Share</t>
  </si>
  <si>
    <t>T_D_Camelina_oil_Rail_Share</t>
  </si>
  <si>
    <t>T_D_Camelina_oil_Heavy_heavy_truck_Share</t>
  </si>
  <si>
    <t>T_D_Carinata_Barge_Share</t>
  </si>
  <si>
    <t>T_D_Carinata_Rail_Share</t>
  </si>
  <si>
    <t>T_D_Carinata_Heavy_heavy_truck_Share</t>
  </si>
  <si>
    <t>T_D_Carinata_Medium_heavy_truck_Share</t>
  </si>
  <si>
    <t>T_D_Carinata_oil_Barge_Share</t>
  </si>
  <si>
    <t>T_D_Carinata_oil_Pipeline_Share</t>
  </si>
  <si>
    <t>T_D_Carinata_oil_Rail_Share</t>
  </si>
  <si>
    <t>T_D_Carinata_oil_Heavy_heavy_truck_Share</t>
  </si>
  <si>
    <t>T_D_Corn_oil_Barge_Share</t>
  </si>
  <si>
    <t>T_D_Corn_oil_Pipeline_Share</t>
  </si>
  <si>
    <t>T_D_Corn_oil_Rail_Share</t>
  </si>
  <si>
    <t>T_D_Corn_oil_Heavy_heavy_truck_Share</t>
  </si>
  <si>
    <t>T_D_Forest_residue_Heavy_heavy_truck_Share</t>
  </si>
  <si>
    <t>T_D_FT_SAF_Barge_Share</t>
  </si>
  <si>
    <t>T_D_FT_SAF_Pipeline_Share</t>
  </si>
  <si>
    <t>T_D_FT_SAF_Rail_Share</t>
  </si>
  <si>
    <t>T_D_FT_SAF_Heavy_heavy_truck_Share</t>
  </si>
  <si>
    <t>T_D_Willow_Poplar_Heavy_heavy_truck_Share</t>
  </si>
  <si>
    <t>T_D_Switchgrass_Heavy_heavy_truck_Share</t>
  </si>
  <si>
    <t>T_D_Miscanthus_Heavy_heavy_truck_Share</t>
  </si>
  <si>
    <t>T_D_Corn_stover_Heavy_heavy_truck_Share</t>
  </si>
  <si>
    <t>T_D_Corn_Barge_Share</t>
  </si>
  <si>
    <t>T_D_Corn_Rail_Share</t>
  </si>
  <si>
    <t>T_D_Corn_Medium_heavy_truck_Share</t>
  </si>
  <si>
    <t>T_D_Corn_Heavy_heavy_truck_Share</t>
  </si>
  <si>
    <t>T_D_ETJ_SAF_Barge_Share</t>
  </si>
  <si>
    <t>T_D_ETJ_SAF_Pipeline_Share</t>
  </si>
  <si>
    <t>T_D_ETJ_SAF_Rail_Share</t>
  </si>
  <si>
    <t>T_D_ETJ_SAF_Heavy_heavy_truck_Share</t>
  </si>
  <si>
    <t>T_D_Ethanol_Barge_Share</t>
  </si>
  <si>
    <t>T_D_Ethanol_Pipeline_Share</t>
  </si>
  <si>
    <t>T_D_Ethanol_Rail_Share</t>
  </si>
  <si>
    <t>T_D_Ethanol_Heavy_heavy_truck_Share</t>
  </si>
  <si>
    <t>T_D_Ethanol_Heavy_heavy_truck_dist_Share</t>
  </si>
  <si>
    <t>T_D_Animal_waste_Heavy_heavy_truck_Share</t>
  </si>
  <si>
    <t>T_D_Animal_waste_Rail_Share</t>
  </si>
  <si>
    <t>T_D_Yellow_grease_Rail_Share</t>
  </si>
  <si>
    <t>T_D_Yellow_grease_Heavy_heavy_truck_15T_Share</t>
  </si>
  <si>
    <t>T_D_Yellow_grease_Heavy_heavy_truck_20T_Share</t>
  </si>
  <si>
    <t>T_D_Eucalyptus_Heavy_heavy_truck_Share</t>
  </si>
  <si>
    <t>T_D_Sugarcane_Heavy_heavy_truck_Share</t>
  </si>
  <si>
    <t>T_D_Sugarbeet_Heavy_heavy_truck_Share</t>
  </si>
  <si>
    <t>T_D_PFAD_Ocean_tanker_Share</t>
  </si>
  <si>
    <t>T_D_PFAD_Heavy_heavy_truck_Share</t>
  </si>
  <si>
    <t>T_D_PFAD_Medium_heavy_truck_Share</t>
  </si>
  <si>
    <t>T_D_Soybean_Barge_Distance</t>
  </si>
  <si>
    <t>T_D_Soybean_Rail_Distance</t>
  </si>
  <si>
    <t>T_D_Soybean_Heavy_heavy_truck_Distance</t>
  </si>
  <si>
    <t>T_D_Soybean_Medium_heavy_truck_Distance</t>
  </si>
  <si>
    <t>T_D_HEFA_SAF_Barge_Distance</t>
  </si>
  <si>
    <t>T_D_HEFA_SAF_Pipeline_Distance</t>
  </si>
  <si>
    <t>T_D_HEFA_SAF_Rail_Distance</t>
  </si>
  <si>
    <t>T_D_HEFA_SAF_Heavy_heavy_truck_Distance</t>
  </si>
  <si>
    <t>T_D_HEFA_SAF_Heavy_heavy_truck_dist_Distance</t>
  </si>
  <si>
    <t>T_D_Palm_oil_Rail_Distance</t>
  </si>
  <si>
    <t>T_D_Palm_oil_Heavy_heavy_truck_Distance</t>
  </si>
  <si>
    <t>T_D_Palm_oil_Medium_heavy_truck_Distance</t>
  </si>
  <si>
    <t>T_D_Palm_oil_Ocean_tanker_Distance</t>
  </si>
  <si>
    <t>T_D_Canola_Barge_Distance</t>
  </si>
  <si>
    <t>T_D_Canola_Rail_Distance</t>
  </si>
  <si>
    <t>T_D_Canola_Heavy_heavy_truck_Distance</t>
  </si>
  <si>
    <t>T_D_Canola_Medium_heavy_truck_Distance</t>
  </si>
  <si>
    <t>T_D_Canola_oil_Barge_Distance</t>
  </si>
  <si>
    <t>T_D_Canola_oil_Pipeline_Distance</t>
  </si>
  <si>
    <t>T_D_Canola_oil_Rail_Distance</t>
  </si>
  <si>
    <t>T_D_Canola_oil_Heavy_heavy_truck_Distance</t>
  </si>
  <si>
    <t>T_D_Jatropha_Barge_Distance</t>
  </si>
  <si>
    <t>T_D_Jatropha_Rail_Distance</t>
  </si>
  <si>
    <t>T_D_Jatropha_Heavy_heavy_truck_Distance</t>
  </si>
  <si>
    <t>T_D_Jatropha_Medium_heavy_truck_Distance</t>
  </si>
  <si>
    <t>T_D_Jatropha_oil_Barge_Distance</t>
  </si>
  <si>
    <t>T_D_Jatropha_oil_Pipeline_Distance</t>
  </si>
  <si>
    <t>T_D_Jatropha_oil_Rail_Distance</t>
  </si>
  <si>
    <t>T_D_Jatropha_oil_Heavy_heavy_truck_Distance</t>
  </si>
  <si>
    <t>T_D_Camelina_Barge_Distance</t>
  </si>
  <si>
    <t>T_D_Camelina_Rail_Distance</t>
  </si>
  <si>
    <t>T_D_Camelina_Heavy_heavy_truck_Distance</t>
  </si>
  <si>
    <t>T_D_Camelina_Medium_heavy_truck_Distance</t>
  </si>
  <si>
    <t>T_D_Camelina_oil_Barge_Distance</t>
  </si>
  <si>
    <t>T_D_Camelina_oil_Pipeline_Distance</t>
  </si>
  <si>
    <t>T_D_Camelina_oil_Rail_Distance</t>
  </si>
  <si>
    <t>T_D_Camelina_oil_Heavy_heavy_truck_Distance</t>
  </si>
  <si>
    <t>T_D_Carinata_Barge_Distance</t>
  </si>
  <si>
    <t>T_D_Carinata_Rail_Distance</t>
  </si>
  <si>
    <t>T_D_Carinata_Heavy_heavy_truck_Distance</t>
  </si>
  <si>
    <t>T_D_Carinata_Medium_heavy_truck_Distance</t>
  </si>
  <si>
    <t>T_D_Carinata_oil_Barge_Distance</t>
  </si>
  <si>
    <t>T_D_Carinata_oil_Pipeline_Distance</t>
  </si>
  <si>
    <t>T_D_Carinata_oil_Rail_Distance</t>
  </si>
  <si>
    <t>T_D_Carinata_oil_Heavy_heavy_truck_Distance</t>
  </si>
  <si>
    <t>T_D_Corn_oil_Barge_Distance</t>
  </si>
  <si>
    <t>T_D_Corn_oil_Pipeline_Distance</t>
  </si>
  <si>
    <t>T_D_Corn_oil_Rail_Distance</t>
  </si>
  <si>
    <t>T_D_Corn_oil_Heavy_heavy_truck_Distance</t>
  </si>
  <si>
    <t>T_D_Forest_residue_Heavy_heavy_truck_Distance</t>
  </si>
  <si>
    <t>T_D_FT_SAF_Barge_Distance</t>
  </si>
  <si>
    <t>T_D_FT_SAF_Pipeline_Distance</t>
  </si>
  <si>
    <t>T_D_FT_SAF_Rail_Distance</t>
  </si>
  <si>
    <t>T_D_FT_SAF_Heavy_heavy_truck_Distance</t>
  </si>
  <si>
    <t>T_D_Willow_Poplar_Heavy_heavy_truck_Distance</t>
  </si>
  <si>
    <t>T_D_Switchgrass_Heavy_heavy_truck_Distance</t>
  </si>
  <si>
    <t>T_D_Miscanthus_Heavy_heavy_truck_Distance</t>
  </si>
  <si>
    <t>T_D_Corn_stover_Heavy_heavy_truck_Distance</t>
  </si>
  <si>
    <t>T_D_Corn_Barge_Distance</t>
  </si>
  <si>
    <t>T_D_Corn_Rail_Distance</t>
  </si>
  <si>
    <t>T_D_Corn_Medium_heavy_truck_Distance</t>
  </si>
  <si>
    <t>T_D_Corn_Heavy_heavy_truck_Distance</t>
  </si>
  <si>
    <t>T_D_ETJ_SAF_Barge_Distance</t>
  </si>
  <si>
    <t>T_D_ETJ_SAF_Pipeline_Distance</t>
  </si>
  <si>
    <t>T_D_ETJ_SAF_Rail_Distance</t>
  </si>
  <si>
    <t>T_D_ETJ_SAF_Heavy_heavy_truck_Distance</t>
  </si>
  <si>
    <t>T_D_Ethanol_Barge_Distance</t>
  </si>
  <si>
    <t>T_D_Ethanol_Pipeline_Distance</t>
  </si>
  <si>
    <t>T_D_Ethanol_Rail_Distance</t>
  </si>
  <si>
    <t>T_D_Ethanol_Heavy_heavy_truck_Distance</t>
  </si>
  <si>
    <t>T_D_Ethanol_Heavy_heavy_truck_dist_Distance</t>
  </si>
  <si>
    <t>T_D_Animal_waste_Heavy_heavy_truck_Distance</t>
  </si>
  <si>
    <t>T_D_Animal_waste_Rail_Distance</t>
  </si>
  <si>
    <t>T_D_Yellow_grease_Rail_Distance</t>
  </si>
  <si>
    <t>T_D_Yellow_grease_Heavy_heavy_truck_15T_Distance</t>
  </si>
  <si>
    <t>T_D_Yellow_grease_Heavy_heavy_truck_20T_Distance</t>
  </si>
  <si>
    <t>T_D_Eucalyptus_Heavy_heavy_truck_Distance</t>
  </si>
  <si>
    <t>T_D_Sugarcane_Heavy_heavy_truck_Distance</t>
  </si>
  <si>
    <t>T_D_Sugarbeet_Heavy_heavy_truck_Distance</t>
  </si>
  <si>
    <t>T_D_PFAD_Ocean_tanker_Distance</t>
  </si>
  <si>
    <t>T_D_PFAD_Heavy_heavy_truck_Distance</t>
  </si>
  <si>
    <t>T_D_PFAD_Medium_heavy_truck_Distance</t>
  </si>
  <si>
    <t>DisplayResults</t>
  </si>
  <si>
    <t>SAF_Soy_HEFA_LandChange_Option</t>
  </si>
  <si>
    <t>SAF_Miscanthus_FT_LandChange_Option</t>
  </si>
  <si>
    <t>SAF_Switchgrass_FT_LandChange_Option</t>
  </si>
  <si>
    <t>SAF_Poplar_FT_LandChange_Option</t>
  </si>
  <si>
    <t>SAF_Corn_ETJ_LandChange_Option</t>
  </si>
  <si>
    <t>SAF_Miscanthus_ETJ_LandChange_Option</t>
  </si>
  <si>
    <t>SAF_Switchgrass_ETJ_LandChange_Option</t>
  </si>
  <si>
    <t>SAF_Corn_ATJ_LandChange_Option</t>
  </si>
  <si>
    <t>SAF_Miscanthus_ATJ_LandChange_Option</t>
  </si>
  <si>
    <t>SAF_Switchgrass_ATJ_LandChange_Option</t>
  </si>
  <si>
    <t>Disable GREET1 ILUC selectors</t>
  </si>
  <si>
    <t>Value must range from 0% to 100%</t>
  </si>
  <si>
    <t>GREET_ICAO_Selector</t>
  </si>
  <si>
    <t>MIT (GREET)</t>
  </si>
  <si>
    <t>JRC (E3)</t>
  </si>
  <si>
    <t xml:space="preserve">Default is from ICAO-MIT option because the information is unavailable. </t>
  </si>
  <si>
    <t>JRC (GREET)</t>
  </si>
  <si>
    <t xml:space="preserve">Used the GREET default value as the CORSIA supporting document does not present the yield information. </t>
  </si>
  <si>
    <t>T_D_Yellow_grease_Heavy_heavy_truck_23T_Share</t>
  </si>
  <si>
    <t>T_D_Yellow_grease_Heavy_heavy_truck_23T_Distance</t>
  </si>
  <si>
    <t>Detailed information was obtained from MIT</t>
  </si>
  <si>
    <t>ANL (GREET)</t>
  </si>
  <si>
    <t>Allocation factor</t>
  </si>
  <si>
    <t>%</t>
  </si>
  <si>
    <t>Feedstock input to the jet fuel production process</t>
  </si>
  <si>
    <t>Canola/Rapeseed</t>
  </si>
  <si>
    <t>mmbtu distillate</t>
  </si>
  <si>
    <t>US (GREET)</t>
  </si>
  <si>
    <t>Allocation to soy oil (mass allocation)</t>
  </si>
  <si>
    <t>Allocation to the main distillate products (energy allocation)</t>
  </si>
  <si>
    <t>Allocation to canola/rapeseed oil (energy allocation)</t>
  </si>
  <si>
    <t>Allocation to main distillate fuels (energy allocation)</t>
  </si>
  <si>
    <t>Allocation to soy oil (energy allocation)</t>
  </si>
  <si>
    <t>Allocation to palm oil (energy allocation)</t>
  </si>
  <si>
    <t>Allocation to camelina oil (energy allocation)</t>
  </si>
  <si>
    <t xml:space="preserve">Closed pond </t>
  </si>
  <si>
    <t xml:space="preserve">Open pond </t>
  </si>
  <si>
    <t>Allocation to palm oil (mass allocation)</t>
  </si>
  <si>
    <t>US/Canada (GREET)</t>
  </si>
  <si>
    <t>Carinata_Oil_extraction_Energy_Allocation</t>
  </si>
  <si>
    <t>Allocation to carinata oil (energy allocation)</t>
  </si>
  <si>
    <t>Allocation to carinata oil (mass allocation)</t>
  </si>
  <si>
    <t>Allocation to jatropha oil (energy allocation); there's co-produced electricity from husk and shell</t>
  </si>
  <si>
    <t>Allocation to jatropha oil (energy allocation)</t>
  </si>
  <si>
    <t>Scenario 1</t>
  </si>
  <si>
    <t>Scenario 2</t>
  </si>
  <si>
    <t>Scenario 3</t>
  </si>
  <si>
    <t>Natural gas (ATJ)</t>
  </si>
  <si>
    <t>Energy allocation (there's co-produced electricity)</t>
  </si>
  <si>
    <t>Forest_residue_i_BuOH_ATJ_NaOH</t>
  </si>
  <si>
    <t>Forest_residue_i_BuOH_ATJ_Quicklime_CaCO3</t>
  </si>
  <si>
    <t>Farming data from GREET</t>
  </si>
  <si>
    <t>Molasses_Allocation_Factor</t>
  </si>
  <si>
    <t>Molasses_i_BuOH_ATJ_Molasses</t>
  </si>
  <si>
    <t>Molasses_i_BuOH_ATJ_Lime_CaO</t>
  </si>
  <si>
    <t>Molasses_i_BuOH_ATJ_Sulfuric_acid</t>
  </si>
  <si>
    <t>Molasses_i_BuOH_ATJ_Urea</t>
  </si>
  <si>
    <t>Molasses_i_BuOH_ATJ_Yeast</t>
  </si>
  <si>
    <t>Molasses_i_BuOH_ATJ_NaOH</t>
  </si>
  <si>
    <t>Molasses_i_BuOH_ATJ_Magnesium_sulfate</t>
  </si>
  <si>
    <t>Molasses_i_BuOH_ATJ_Chlorine</t>
  </si>
  <si>
    <t>Molasses_i_BuOH_ATJ_Zinc</t>
  </si>
  <si>
    <t>Molasses_i_BuOH_ATJ_Hydrogen</t>
  </si>
  <si>
    <t>Molasses_i_BuOH_ATJ_Allocation_Factor</t>
  </si>
  <si>
    <t>Zinc</t>
  </si>
  <si>
    <t>Allocation Factor</t>
  </si>
  <si>
    <t>Magnesium_sulfate</t>
  </si>
  <si>
    <t>Chlorine</t>
  </si>
  <si>
    <t>Allocation to molasses (from ICAO supporting document)</t>
  </si>
  <si>
    <t>Sugarcane farming</t>
  </si>
  <si>
    <t>Sugarcane_ETJ_NaOH</t>
  </si>
  <si>
    <t>Sugarcane_Biodiesel</t>
  </si>
  <si>
    <t>Biodiesel</t>
  </si>
  <si>
    <t>Corn_ETJ_Ammonia</t>
  </si>
  <si>
    <t>Ethanol production</t>
  </si>
  <si>
    <t>Co-produced DDGS</t>
  </si>
  <si>
    <t>Integrated</t>
  </si>
  <si>
    <t>Consensus</t>
  </si>
  <si>
    <t>Corn stover collection</t>
  </si>
  <si>
    <t>Cellulosic_ETJ_NaOH</t>
  </si>
  <si>
    <t>Feedstock selector</t>
  </si>
  <si>
    <t>Sugarbeet_SIP_Formaldehyde</t>
  </si>
  <si>
    <t>Sugarbeet_SIP_HCl</t>
  </si>
  <si>
    <t>Sugarbeet_SIP_Sodium_carbonate</t>
  </si>
  <si>
    <t>Sugarcane_SIP_Lime_CaO</t>
  </si>
  <si>
    <t>Co-produced electricity</t>
  </si>
  <si>
    <t>CornStover_Fermentation_Biomass</t>
  </si>
  <si>
    <t>ForestResidue_Fermentation_Biomass</t>
  </si>
  <si>
    <t>Biomass</t>
  </si>
  <si>
    <t>Miscanthus_Fermentation_Biomass</t>
  </si>
  <si>
    <t>Switchgrass_Fermentation_Biomass</t>
  </si>
  <si>
    <t>Waste gases</t>
  </si>
  <si>
    <t>Nutrients</t>
  </si>
  <si>
    <t>WasteGases_Fermentation_Integrated_Allocation_Factor</t>
  </si>
  <si>
    <t>WasteGases_Fermentation_Integrated_Natural_gas</t>
  </si>
  <si>
    <t>WasteGases_Fermentation_Integrated_Electricity</t>
  </si>
  <si>
    <t>WasteGases_Fermentation_Integrated_Nutrients</t>
  </si>
  <si>
    <t>WasteGases_ETJ_Integrated_Allocation_Factor</t>
  </si>
  <si>
    <t>WasteGases_ETJ_Integrated_Ethanol</t>
  </si>
  <si>
    <t>WasteGases_ETJ_Integrated_Natural_gas</t>
  </si>
  <si>
    <t>WasteGases_ETJ_Integrated_Electricity</t>
  </si>
  <si>
    <t>WasteGases_ETJ_Integrated_Hydrogen</t>
  </si>
  <si>
    <t>WasteGases_Fermentation_Standalone_Allocation_Factor</t>
  </si>
  <si>
    <t>WasteGases_Fermentation_Standalone_Natural_gas</t>
  </si>
  <si>
    <t>WasteGases_Fermentation_Standalone_Electricity</t>
  </si>
  <si>
    <t>WasteGases_Fermentation_Standalone_Nutrients</t>
  </si>
  <si>
    <t>WasteGases_ETJ_Standalone_Allocation_Factor</t>
  </si>
  <si>
    <t>WasteGases_ETJ_Standalone_Ethanol</t>
  </si>
  <si>
    <t>WasteGases_ETJ_Standalone_Natural_gas</t>
  </si>
  <si>
    <t>WasteGases_ETJ_Standalone_Electricity</t>
  </si>
  <si>
    <t>WasteGases_ETJ_Standalone_Hydrogen</t>
  </si>
  <si>
    <t>Used surrogate due to proprietary information</t>
  </si>
  <si>
    <t>T_D_MSW_Heavy_heavy_truck_Share</t>
  </si>
  <si>
    <t>T_D_MSW_Heavy_heavy_truck_Distance</t>
  </si>
  <si>
    <t>mmbtu farnesene</t>
  </si>
  <si>
    <t>T_D_Sugarcane_Ethanol_Ocean_Share</t>
  </si>
  <si>
    <t>T_D_Sugarcane_Ethanol_Ocean_Distance</t>
  </si>
  <si>
    <t>T_D_Sugarcane_Ethanol_Heavy_Truck_Distance</t>
  </si>
  <si>
    <t>T_D_Sugarcane_Brazil_Heavy_Truck_Share</t>
  </si>
  <si>
    <t>T_D_Sugarcane_Brazil_Heavy_Truck_Distance</t>
  </si>
  <si>
    <t>Reset Feedstock</t>
  </si>
  <si>
    <t>Share (%)</t>
  </si>
  <si>
    <t>Distance (mi)</t>
  </si>
  <si>
    <t>Refreshing Defaults</t>
  </si>
  <si>
    <t>Input Type</t>
  </si>
  <si>
    <t>Input Category</t>
  </si>
  <si>
    <t>SAF Production</t>
  </si>
  <si>
    <t>Carbon capture and sequestration (CCS) of corn ethanol CO2</t>
  </si>
  <si>
    <t>Selections</t>
  </si>
  <si>
    <t>Default Value</t>
  </si>
  <si>
    <t>GREET1 Location</t>
  </si>
  <si>
    <t>Process Heat Source</t>
  </si>
  <si>
    <t>H2 Source</t>
  </si>
  <si>
    <t>Corn CCS</t>
  </si>
  <si>
    <t>1 -- without CCS,  2-- with CCS</t>
  </si>
  <si>
    <t>Conditional to Show</t>
  </si>
  <si>
    <t>Percentage</t>
  </si>
  <si>
    <t>Stored LCIFarm Inputs</t>
  </si>
  <si>
    <t>Stored LCIFarm Values</t>
  </si>
  <si>
    <t>Stored LCIJet Inputs</t>
  </si>
  <si>
    <t>Stored LCIJet Values</t>
  </si>
  <si>
    <t>Stored Transport_S Values</t>
  </si>
  <si>
    <t>Stored Transport_D Values</t>
  </si>
  <si>
    <t>Stored Selection Inputs</t>
  </si>
  <si>
    <t>Stored Selection Values</t>
  </si>
  <si>
    <t>Stored Transport Inputs</t>
  </si>
  <si>
    <t>RESETTING DASHBOARD</t>
  </si>
  <si>
    <t>User Defined Mix - SAF Production</t>
  </si>
  <si>
    <t>Feedstock Production (Farming)</t>
  </si>
  <si>
    <t>Source of diesel for agricultural machinery</t>
  </si>
  <si>
    <t>Nitrogen Fertilizer Management</t>
  </si>
  <si>
    <t>Tillage</t>
  </si>
  <si>
    <t>dry ton/acre</t>
  </si>
  <si>
    <t>Manure</t>
  </si>
  <si>
    <t>Upper Bound</t>
  </si>
  <si>
    <t>Lower Bound</t>
  </si>
  <si>
    <t>Conditional</t>
  </si>
  <si>
    <t>Sugarcane_Gypsum</t>
  </si>
  <si>
    <t>Gypsum</t>
  </si>
  <si>
    <t>Ag tractor electriciy use</t>
  </si>
  <si>
    <t>Tractor Diesel Type</t>
  </si>
  <si>
    <t>Relative efficiency between eletric and diesel vehicle</t>
  </si>
  <si>
    <t>gal/acre</t>
  </si>
  <si>
    <t>lb/acre</t>
  </si>
  <si>
    <t>Corn Farming</t>
  </si>
  <si>
    <t>Corn Ethanol Production</t>
  </si>
  <si>
    <t>Corn_Farming_Electricity_Source_Option</t>
  </si>
  <si>
    <t>Corn_EtOH_Electricity_Source_Option</t>
  </si>
  <si>
    <t>Corn_EtOH_Heat_Source_Option</t>
  </si>
  <si>
    <t>SAF_Electricity_Source_Option</t>
  </si>
  <si>
    <t>SAF_Heat_Source_Option</t>
  </si>
  <si>
    <t>SAF_H2_Source_Option</t>
  </si>
  <si>
    <t>Corn_Ethanol_CCS</t>
  </si>
  <si>
    <t>Corn_Ethanol_CCS_Fermentation_CO2</t>
  </si>
  <si>
    <t>Corn_Ethanol_CCS_Electricity</t>
  </si>
  <si>
    <t>Corn_Ethanol_CCS_CaptureRate</t>
  </si>
  <si>
    <t>Corn_Farming_Electricity_UserDefined_Oil</t>
  </si>
  <si>
    <t>User Defined Mix - Corn Farming</t>
  </si>
  <si>
    <t>Corn_Farming_Electricity_UserDefined_NG</t>
  </si>
  <si>
    <t>Corn_Farming_Electricity_UserDefined_Coal</t>
  </si>
  <si>
    <t>Corn_Farming_Electricity_UserDefined_Biomass</t>
  </si>
  <si>
    <t>Corn_Farming_Electricity_UserDefined_Nuclear</t>
  </si>
  <si>
    <t>Corn_Farming_Electricity_UserDefined_Hydroelectric</t>
  </si>
  <si>
    <t>Corn_Farming_Electricity_UserDefined_Geothermal</t>
  </si>
  <si>
    <t>Corn_Farming_Electricity_UserDefined_Wind</t>
  </si>
  <si>
    <t>Corn_Farming_Electricity_UserDefined_SolarPV</t>
  </si>
  <si>
    <t>Corn_Farming_Electricity_UserDefined_Others</t>
  </si>
  <si>
    <t>Corn_Ethanol_Electricity_UserDefined_Oil</t>
  </si>
  <si>
    <t>Corn_Ethanol_Electricity_UserDefined_NG</t>
  </si>
  <si>
    <t>Corn_Ethanol_Electricity_UserDefined_Coal</t>
  </si>
  <si>
    <t>Corn_Ethanol_Electricity_UserDefined_Biomass</t>
  </si>
  <si>
    <t>Corn_Ethanol_Electricity_UserDefined_Nuclear</t>
  </si>
  <si>
    <t>Corn_Ethanol_Electricity_UserDefined_Hydroelectric</t>
  </si>
  <si>
    <t>Corn_Ethanol_Electricity_UserDefined_Geothermal</t>
  </si>
  <si>
    <t>Corn_Ethanol_Electricity_UserDefined_Wind</t>
  </si>
  <si>
    <t>Corn_Ethanol_Electricity_UserDefined_SolarPV</t>
  </si>
  <si>
    <t>Corn_Ethanol_Electricity_UserDefined_Others</t>
  </si>
  <si>
    <t>SAF_Electricity_UserDefined_Oil</t>
  </si>
  <si>
    <t>SAF_Electricity_UserDefined_NG</t>
  </si>
  <si>
    <t>SAF_Electricity_UserDefined_Coal</t>
  </si>
  <si>
    <t>SAF_Electricity_UserDefined_Biomass</t>
  </si>
  <si>
    <t>SAF_Electricity_UserDefined_Nuclear</t>
  </si>
  <si>
    <t>SAF_Electricity_UserDefined_Hydroelectric</t>
  </si>
  <si>
    <t>SAF_Electricity_UserDefined_Geothermal</t>
  </si>
  <si>
    <t>SAF_Electricity_UserDefined_Wind</t>
  </si>
  <si>
    <t>SAF_Electricity_UserDefined_SolarPV</t>
  </si>
  <si>
    <t>SAF_Electricity_UserDefined_Others</t>
  </si>
  <si>
    <t>Sugarcane_Farming_Electricity_Source_Option</t>
  </si>
  <si>
    <t>Sugarcane Farming</t>
  </si>
  <si>
    <t>Sugarcane_EtOH_Electricity_Source_Option</t>
  </si>
  <si>
    <t>Sugarcane Ethanol Production</t>
  </si>
  <si>
    <t>Sugarcane_EtOH_Heat_Source_Option</t>
  </si>
  <si>
    <t>Sugarcane_Farming_Electricity_UserDefined_Oil</t>
  </si>
  <si>
    <t>User Defined Mix - Sugarcane Farming</t>
  </si>
  <si>
    <t>Sugarcane_Farming_Electricity_UserDefined_NG</t>
  </si>
  <si>
    <t>Sugarcane_Farming_Electricity_UserDefined_Coal</t>
  </si>
  <si>
    <t>Sugarcane_Farming_Electricity_UserDefined_Biomass</t>
  </si>
  <si>
    <t>Sugarcane_Farming_Electricity_UserDefined_Nuclear</t>
  </si>
  <si>
    <t>Sugarcane_Farming_Electricity_UserDefined_Hydroelectric</t>
  </si>
  <si>
    <t>Sugarcane_Farming_Electricity_UserDefined_Geothermal</t>
  </si>
  <si>
    <t>Sugarcane_Farming_Electricity_UserDefined_Wind</t>
  </si>
  <si>
    <t>Sugarcane_Farming_Electricity_UserDefined_SolarPV</t>
  </si>
  <si>
    <t>Sugarcane_Farming_Electricity_UserDefined_Others</t>
  </si>
  <si>
    <t>Sugarcane_Ethanol_Electricity_UserDefined_Oil</t>
  </si>
  <si>
    <t>User Defined Mix - Sugarcane Ethanol Production</t>
  </si>
  <si>
    <t>Sugarcane_Ethanol_Electricity_UserDefined_NG</t>
  </si>
  <si>
    <t>Sugarcane_Ethanol_Electricity_UserDefined_Coal</t>
  </si>
  <si>
    <t>Sugarcane_Ethanol_Electricity_UserDefined_Biomass</t>
  </si>
  <si>
    <t>Sugarcane_Ethanol_Electricity_UserDefined_Nuclear</t>
  </si>
  <si>
    <t>Sugarcane_Ethanol_Electricity_UserDefined_Hydroelectric</t>
  </si>
  <si>
    <t>Sugarcane_Ethanol_Electricity_UserDefined_Geothermal</t>
  </si>
  <si>
    <t>Sugarcane_Ethanol_Electricity_UserDefined_Wind</t>
  </si>
  <si>
    <t>Sugarcane_Ethanol_Electricity_UserDefined_SolarPV</t>
  </si>
  <si>
    <t>Sugarcane_Ethanol_Electricity_UserDefined_Others</t>
  </si>
  <si>
    <t>Display on Dashboard</t>
  </si>
  <si>
    <t>Send to GREET1</t>
  </si>
  <si>
    <t>Diesel - Conventional Tillage</t>
  </si>
  <si>
    <t>Diesel - Reduced Tillage</t>
  </si>
  <si>
    <t>Diesel - No Tillage</t>
  </si>
  <si>
    <t>kWh/acre</t>
  </si>
  <si>
    <t>Ag tractor electriciy use - Conventional Tillage</t>
  </si>
  <si>
    <t>Ag tractor electriciy use - Reduced Tillage</t>
  </si>
  <si>
    <t>Ag tractor electriciy use - No Tillage</t>
  </si>
  <si>
    <t>Soybean, Corn</t>
  </si>
  <si>
    <t>Show Data Source2</t>
  </si>
  <si>
    <t>Corn, Sugarcane, Soybean, Canola/Rapeseed</t>
  </si>
  <si>
    <t>N_Management_Corn</t>
  </si>
  <si>
    <t>Rye_CC_Farming_Energy</t>
  </si>
  <si>
    <t>Rye_CC_Herbicide</t>
  </si>
  <si>
    <t>Rye_CC_Yield</t>
  </si>
  <si>
    <t>Manure_application_rate</t>
  </si>
  <si>
    <t>Manure_application_energy</t>
  </si>
  <si>
    <t>Manure_transportation_distance_mile</t>
  </si>
  <si>
    <t>Manure_transportation_energy_ton_mile</t>
  </si>
  <si>
    <t xml:space="preserve">Motor type </t>
  </si>
  <si>
    <t>Blend type</t>
  </si>
  <si>
    <t>Ag tractor electriciy use - Average Tillage</t>
  </si>
  <si>
    <t>Diesel - Average Tillage</t>
  </si>
  <si>
    <t>Conventional_Ammonia_Share</t>
  </si>
  <si>
    <t>N_Reduction_Rate_Under_4R</t>
  </si>
  <si>
    <t>Green_Ammonia_Share</t>
  </si>
  <si>
    <t>Ammonia for N fertilizer production, Green ammonia share</t>
  </si>
  <si>
    <t>Swine_manure_share</t>
  </si>
  <si>
    <t>Dairy_manure_share</t>
  </si>
  <si>
    <t>Beef_manure_share</t>
  </si>
  <si>
    <t>Chicken_manure_share</t>
  </si>
  <si>
    <t>Previous Pathway:</t>
  </si>
  <si>
    <t>Disable diesel when electric motor is in use</t>
  </si>
  <si>
    <t>Corn dry mill w/o extraction - Standalone Facilities</t>
  </si>
  <si>
    <t>Corn dry mill w/ extraction - Standalone Facilities</t>
  </si>
  <si>
    <t>Standalone Facilities</t>
  </si>
  <si>
    <t>Corn wet mill - Standalone Facilities</t>
  </si>
  <si>
    <t>Soybean, Canola/Rapeseed</t>
  </si>
  <si>
    <t>Oil_Farming_Electricity_Source_Option</t>
  </si>
  <si>
    <t>Oil_Farming_Electricity_UserDefined_Oil</t>
  </si>
  <si>
    <t>Oil_Farming_Electricity_UserDefined_NG</t>
  </si>
  <si>
    <t>Oil_Farming_Electricity_UserDefined_Coal</t>
  </si>
  <si>
    <t>Oil_Farming_Electricity_UserDefined_Biomass</t>
  </si>
  <si>
    <t>Oil_Farming_Electricity_UserDefined_Nuclear</t>
  </si>
  <si>
    <t>Oil_Farming_Electricity_UserDefined_Hydroelectric</t>
  </si>
  <si>
    <t>Oil_Farming_Electricity_UserDefined_Geothermal</t>
  </si>
  <si>
    <t>Oil_Farming_Electricity_UserDefined_Wind</t>
  </si>
  <si>
    <t>Oil_Farming_Electricity_UserDefined_SolarPV</t>
  </si>
  <si>
    <t>Oil_Farming_Electricity_UserDefined_Others</t>
  </si>
  <si>
    <t>Standalone facilities</t>
  </si>
  <si>
    <t>MJ of total liquid fuel</t>
  </si>
  <si>
    <t>SOC</t>
  </si>
  <si>
    <t>1--Conventional, 2--Green</t>
  </si>
  <si>
    <t>1--Diesel motor, 2--Electric motor</t>
  </si>
  <si>
    <t>1--Conventional Diesel/BD, 2--Conventional Diesel/RD</t>
  </si>
  <si>
    <t>1--BAU, 2--4R, 3--EEF</t>
  </si>
  <si>
    <t>1--Conventional tillage, 2--Reduced tillage, 3--No tillage, 4-- Average Tillage</t>
  </si>
  <si>
    <t>1--No cover crop, 2--Rye cover crop</t>
  </si>
  <si>
    <t>1--No manure, 2--Manure</t>
  </si>
  <si>
    <t>g9</t>
  </si>
  <si>
    <t>g10</t>
  </si>
  <si>
    <t>g11</t>
  </si>
  <si>
    <t>g12</t>
  </si>
  <si>
    <t>g13</t>
  </si>
  <si>
    <t>g14</t>
  </si>
  <si>
    <t>Show SOC?</t>
  </si>
  <si>
    <t>Rice Methane</t>
  </si>
  <si>
    <t>Total</t>
  </si>
  <si>
    <t>Livestock</t>
  </si>
  <si>
    <t>ILUC GHG</t>
  </si>
  <si>
    <t>Other Crops</t>
  </si>
  <si>
    <t>D-LCA</t>
  </si>
  <si>
    <t>Selected Indirect Effects</t>
  </si>
  <si>
    <t>Value (gCO2e/MJ)</t>
  </si>
  <si>
    <t>Indirect Effect</t>
  </si>
  <si>
    <t>I-Effects</t>
  </si>
  <si>
    <t>Total LCA Results</t>
  </si>
  <si>
    <t>Soybean, Canola/Rapeseed, Corn, Sugarcane</t>
  </si>
  <si>
    <t>ETJ_Standalone_Ethanol</t>
  </si>
  <si>
    <t>ETJ_Standalone_NG</t>
  </si>
  <si>
    <t>ETJ_Standalone_Electricity</t>
  </si>
  <si>
    <t>ETJ_Standalone_Hydrogen</t>
  </si>
  <si>
    <t>lb tallow</t>
  </si>
  <si>
    <t>Used cooking oil (UCO)</t>
  </si>
  <si>
    <t xml:space="preserve">CCS for corn ethanol facilities </t>
  </si>
  <si>
    <t>Algae_Corn_Oil_HEFA_Energy_Allocation</t>
  </si>
  <si>
    <t>Tallow_HEFA_Energy_Allocation</t>
  </si>
  <si>
    <t>UCO_HEFA_Energy_Allocation</t>
  </si>
  <si>
    <t>Rye Cover Crop</t>
  </si>
  <si>
    <t>Life Cycle Stage</t>
  </si>
  <si>
    <t>g CO2e</t>
  </si>
  <si>
    <t>1--Default reduction, 2--User specified reduction</t>
  </si>
  <si>
    <t>Ethanol_Certified_RNG_CI</t>
  </si>
  <si>
    <t>SAF_Certified_RNG_CI</t>
  </si>
  <si>
    <t>User Defined Mix - Oil Crop Farming</t>
  </si>
  <si>
    <t>Corn_Fermentation_Corn</t>
  </si>
  <si>
    <t>Ethanol yield</t>
  </si>
  <si>
    <t>gal ethanol/bu corn</t>
  </si>
  <si>
    <t>Corn_Fermentation_Natural_gas</t>
  </si>
  <si>
    <t>Corn_Fermentation_Coal</t>
  </si>
  <si>
    <t>Corn_Fermentation_LPG</t>
  </si>
  <si>
    <t>Liquefied petroleum gas</t>
  </si>
  <si>
    <t>Corn_Fermentation_Electricity</t>
  </si>
  <si>
    <t>Corn_Fermentation_Alpha_amylase</t>
  </si>
  <si>
    <t xml:space="preserve">Alpha Amylase </t>
  </si>
  <si>
    <t>Corn_Fermentation_Gluco_amylase</t>
  </si>
  <si>
    <t xml:space="preserve">Gluco Amylase </t>
  </si>
  <si>
    <t>Corn_Fermentation_Cellulase</t>
  </si>
  <si>
    <t xml:space="preserve">Cellulase </t>
  </si>
  <si>
    <t>Corn_Fermentation_Yeast</t>
  </si>
  <si>
    <t xml:space="preserve">Yeast </t>
  </si>
  <si>
    <t>Corn_Fermentation_Sulfuric_acid</t>
  </si>
  <si>
    <t>Sulfuric acid (H2SO4)</t>
  </si>
  <si>
    <t>Corn_Fermentation_Ammonia</t>
  </si>
  <si>
    <t>Ammonia (NH3)</t>
  </si>
  <si>
    <t>Corn_Fermentation_Corn_steep_liquor</t>
  </si>
  <si>
    <t xml:space="preserve">Corn steep liquor </t>
  </si>
  <si>
    <t>Corn_Fermentation_DAP</t>
  </si>
  <si>
    <t xml:space="preserve">DAP </t>
  </si>
  <si>
    <t>Corn_Fermentation_NaOH</t>
  </si>
  <si>
    <t xml:space="preserve">NaOH </t>
  </si>
  <si>
    <t>Corn_Fermentation_CaO</t>
  </si>
  <si>
    <t xml:space="preserve">CaO </t>
  </si>
  <si>
    <t>the rest of em</t>
  </si>
  <si>
    <t>Corn Oil Extraction</t>
  </si>
  <si>
    <t>Soy Oil Extraction</t>
  </si>
  <si>
    <t>Canola Oil Extraction</t>
  </si>
  <si>
    <t>Grid Electricity</t>
  </si>
  <si>
    <t>Share_NG_Heat_Corn_Ethanol</t>
  </si>
  <si>
    <t>Share_RNG_LFG_Heat_Corn_Ethanol</t>
  </si>
  <si>
    <t>Share_RNG_Animal_Heat_Corn_Ethanol</t>
  </si>
  <si>
    <t>Share_RNG_Sludge_Heat_Corn_Ethanol</t>
  </si>
  <si>
    <t>Share_RNG_Food_Heat_Corn_Ethanol</t>
  </si>
  <si>
    <t>Share_NG_Heat_SAF</t>
  </si>
  <si>
    <t>Share_RNG_LFG_Heat_SAF</t>
  </si>
  <si>
    <t>Share_RNG_Animal_Heat_SAF</t>
  </si>
  <si>
    <t>Share_RNG_Sludge_Heat_SAF</t>
  </si>
  <si>
    <t>Share_RNG_Food_Heat_SAF</t>
  </si>
  <si>
    <t>Share_NG_H2_SAF</t>
  </si>
  <si>
    <t>Share_RNG_LFG_H2_SAF</t>
  </si>
  <si>
    <t>Share_RNG_Animal_H2_SAF</t>
  </si>
  <si>
    <t>Share_RNG_Sludge_H2_SAF</t>
  </si>
  <si>
    <t>Share_RNG_Food_H2_SAF</t>
  </si>
  <si>
    <t>SAF (from SAF facility to Terminal)</t>
  </si>
  <si>
    <t>SAF (from Terminal to End Use)</t>
  </si>
  <si>
    <t>1--AKGD, 2--AKMS, 3--AZNM, 4--CAMX, 5--ERCT, 6--FRCC, 7--HIMS, 8--HIOA, 9--MROE, 10--MROW, 11--NEWE, 12--NWPP, 13--NYCW, 14--NYLI, 15--NYUP, 16--PRMS, 17--RFCE, 18--RFCM, 19--RFCW, 20--RMPA, 21--SPNO, 22--SPSO, 23--SRMV, 24--SRMW, 25--SRSO, 26--SRTV, 27--SRTV, 28--User-defined mix</t>
  </si>
  <si>
    <t>1--Fossil NG SMR, 2--Certified H2, 3--Mixed H2</t>
  </si>
  <si>
    <t>1--Brazil Mix, 2--User-defined mix</t>
  </si>
  <si>
    <t>1--North American NG, 2--RNG (landfill gas), 3--RNG (animal waste), 4--RNG (wastewater sludge), 5--RNG (food waste), 6--NG/RNG Mix, 7--Certified RNG</t>
  </si>
  <si>
    <t>Ethanol Production</t>
  </si>
  <si>
    <t>Corn consumption</t>
  </si>
  <si>
    <t>Grid electricity (selected eGRID region)</t>
  </si>
  <si>
    <t>Renewable Electricity Credit (REC)</t>
  </si>
  <si>
    <t>Onsite behind-the-meter electricity</t>
  </si>
  <si>
    <t>Amount of CO2 captured and stored</t>
  </si>
  <si>
    <t>User Defined Mix - Ethanol Production</t>
  </si>
  <si>
    <t>SAF (from Terminal to Airport)</t>
  </si>
  <si>
    <t>SAF production</t>
  </si>
  <si>
    <t>Corn ethanol yield</t>
  </si>
  <si>
    <t>Renewable diesel production</t>
  </si>
  <si>
    <t>Denatured ethanol</t>
  </si>
  <si>
    <t>Share_Certified_RNG_Corn_Ethanol</t>
  </si>
  <si>
    <t>Share_Certified_RNG_SAF</t>
  </si>
  <si>
    <t>Feedstock: Ethanol consumption</t>
  </si>
  <si>
    <t>Parameter</t>
  </si>
  <si>
    <t>User Defined Mix - Corn Farming, Oil</t>
  </si>
  <si>
    <t>User Defined Mix - Corn Farming, Natural Gas</t>
  </si>
  <si>
    <t>User Defined Mix - Corn Farming, Coal</t>
  </si>
  <si>
    <t>User Defined Mix - Corn Farming, Biomass</t>
  </si>
  <si>
    <t>User Defined Mix - Corn Farming, Nuclear</t>
  </si>
  <si>
    <t>User Defined Mix - Corn Farming, Hydroelectric</t>
  </si>
  <si>
    <t>User Defined Mix - Corn Farming, Geothermal</t>
  </si>
  <si>
    <t>User Defined Mix - Corn Farming, Wind</t>
  </si>
  <si>
    <t>User Defined Mix - Corn Farming, Solar PV</t>
  </si>
  <si>
    <t>User Defined Mix - Corn Farming, Others</t>
  </si>
  <si>
    <t>User Defined Mix - Ethanol Production, Oil</t>
  </si>
  <si>
    <t>User Defined Mix - Ethanol Production, Natural Gas</t>
  </si>
  <si>
    <t>User Defined Mix - Ethanol Production, Coal</t>
  </si>
  <si>
    <t>User Defined Mix - Ethanol Production, Biomass</t>
  </si>
  <si>
    <t>User Defined Mix - Ethanol Production, Nuclear</t>
  </si>
  <si>
    <t>User Defined Mix - Ethanol Production, Hydroelectric</t>
  </si>
  <si>
    <t>User Defined Mix - Ethanol Production, Geothermal</t>
  </si>
  <si>
    <t>User Defined Mix - Ethanol Production, Wind</t>
  </si>
  <si>
    <t>User Defined Mix - Ethanol Production, Solar PV</t>
  </si>
  <si>
    <t>User Defined Mix - Ethanol Production, Others</t>
  </si>
  <si>
    <t>Ethanol Production, Share for Process Heat: Fossil NG</t>
  </si>
  <si>
    <t>Ethanol Production, Share for Process Heat: RNG (Landfill gas)</t>
  </si>
  <si>
    <t>Ethanol Production, Share for Process Heat: RNG (Animal waste)</t>
  </si>
  <si>
    <t>Ethanol Production, Share for Process Heat: RNG (Wastewater sludge)</t>
  </si>
  <si>
    <t>Ethanol Production, Share for Process Heat: RNG (Food waste)</t>
  </si>
  <si>
    <t>Ethanol Production, Share for Process Heat: Certified RNG</t>
  </si>
  <si>
    <t>Ethanol Production, Certified RNG CI (gCO2e/MJ RNG)</t>
  </si>
  <si>
    <t xml:space="preserve">Carbon capture and sequestration (CCS) of corn ethanol CO2, CCS for corn ethanol facilities </t>
  </si>
  <si>
    <t>Carbon capture and sequestration (CCS) of corn ethanol CO2, Fermentation CO2 (kg/gal EtOH)</t>
  </si>
  <si>
    <t>Carbon capture and sequestration (CCS) of corn ethanol CO2, Electricity requirement for CCS (kWh/ton CO2)</t>
  </si>
  <si>
    <t>Carbon capture and sequestration (CCS) of corn ethanol CO2, CO2 capture rate</t>
  </si>
  <si>
    <t>User Defined Mix - SAF Production, Oil</t>
  </si>
  <si>
    <t>User Defined Mix - SAF Production, Natural Gas</t>
  </si>
  <si>
    <t>User Defined Mix - SAF Production, Coal</t>
  </si>
  <si>
    <t>User Defined Mix - SAF Production, Biomass</t>
  </si>
  <si>
    <t>User Defined Mix - SAF Production, Nuclear</t>
  </si>
  <si>
    <t>User Defined Mix - SAF Production, Hydroelectric</t>
  </si>
  <si>
    <t>User Defined Mix - SAF Production, Geothermal</t>
  </si>
  <si>
    <t>User Defined Mix - SAF Production, Wind</t>
  </si>
  <si>
    <t>User Defined Mix - SAF Production, Solar PV</t>
  </si>
  <si>
    <t>User Defined Mix - SAF Production, Others</t>
  </si>
  <si>
    <t>SAF Production, Share for Process Heat: Fossil NG</t>
  </si>
  <si>
    <t>SAF Production, Share for Process Heat: RNG (Landfill gas)</t>
  </si>
  <si>
    <t>SAF Production, Share for Process Heat: RNG (Animal waste)</t>
  </si>
  <si>
    <t>SAF Production, Share for Process Heat: RNG (Wastewater sludge)</t>
  </si>
  <si>
    <t>SAF Production, Share for Process Heat: RNG (Food waste)</t>
  </si>
  <si>
    <t>SAF Production, Share for Process Heat: Certified RNG</t>
  </si>
  <si>
    <t>SAF Production, Certified RNG CI (gCO2e/MJ RNG)</t>
  </si>
  <si>
    <t>SAF Production, H2 Source</t>
  </si>
  <si>
    <t>SAF Production, Share for H2 Production: Fossil NG</t>
  </si>
  <si>
    <t>SAF Production, Share for H2 Production: RNG (Landfill gas)</t>
  </si>
  <si>
    <t>SAF Production, Share for H2 Production: RNG (Animal waste)</t>
  </si>
  <si>
    <t>SAF Production, Share for H2 Production: RNG (Wastewater sludge)</t>
  </si>
  <si>
    <t>SAF Production, Share for H2 Production: RNG (Food waste)</t>
  </si>
  <si>
    <t>SAF Production, Share for H2 Production: Certified H2</t>
  </si>
  <si>
    <t>SAF Production, Certified H2 CI (kgCO2e/kg H2)</t>
  </si>
  <si>
    <t>Feedstock Production (Farming), Ammonia for N fertilizer production</t>
  </si>
  <si>
    <t>Feedstock Production (Farming), Type of motor for ag machinery</t>
  </si>
  <si>
    <t>Feedstock Production (Farming), Blend for diesel ag machinery</t>
  </si>
  <si>
    <t>Source of diesel for agricultural machinery, Conventional Diesel - Volumetric Share</t>
  </si>
  <si>
    <t>Source of diesel for agricultural machinery, Biodiesel - Volumetric Share</t>
  </si>
  <si>
    <t>Source of diesel for agricultural machinery, Renewable Diesel</t>
  </si>
  <si>
    <t>User Defined Mix - Sugarcane Farming, Oil</t>
  </si>
  <si>
    <t>User Defined Mix - Sugarcane Farming, Natural Gas</t>
  </si>
  <si>
    <t>User Defined Mix - Sugarcane Farming, Coal</t>
  </si>
  <si>
    <t>User Defined Mix - Sugarcane Farming, Biomass</t>
  </si>
  <si>
    <t>User Defined Mix - Sugarcane Farming, Nuclear</t>
  </si>
  <si>
    <t>User Defined Mix - Sugarcane Farming, Hydroelectric</t>
  </si>
  <si>
    <t>User Defined Mix - Sugarcane Farming, Geothermal</t>
  </si>
  <si>
    <t>User Defined Mix - Sugarcane Farming, Wind</t>
  </si>
  <si>
    <t>User Defined Mix - Sugarcane Farming, Solar PV</t>
  </si>
  <si>
    <t>User Defined Mix - Sugarcane Farming, Others</t>
  </si>
  <si>
    <t>User Defined Mix - Sugarcane Ethanol Production, Oil</t>
  </si>
  <si>
    <t>User Defined Mix - Sugarcane Ethanol Production, Natural Gas</t>
  </si>
  <si>
    <t>User Defined Mix - Sugarcane Ethanol Production, Coal</t>
  </si>
  <si>
    <t>User Defined Mix - Sugarcane Ethanol Production, Biomass</t>
  </si>
  <si>
    <t>User Defined Mix - Sugarcane Ethanol Production, Nuclear</t>
  </si>
  <si>
    <t>User Defined Mix - Sugarcane Ethanol Production, Hydroelectric</t>
  </si>
  <si>
    <t>User Defined Mix - Sugarcane Ethanol Production, Geothermal</t>
  </si>
  <si>
    <t>User Defined Mix - Sugarcane Ethanol Production, Wind</t>
  </si>
  <si>
    <t>User Defined Mix - Sugarcane Ethanol Production, Solar PV</t>
  </si>
  <si>
    <t>User Defined Mix - Sugarcane Ethanol Production, Others</t>
  </si>
  <si>
    <t>Sugarcane Ethanol Production, Process Heat Source</t>
  </si>
  <si>
    <t>Sugarcane Ethanol Production, Certified RNG CI (gCO2e/MJ RNG)</t>
  </si>
  <si>
    <t>Nitrogen Fertilizer Management, Management Style</t>
  </si>
  <si>
    <t>Nitrogen Fertilizer Management, Deduction Rate</t>
  </si>
  <si>
    <t>Nitrogen Fertilizer Management, Expected fertilizer reduction</t>
  </si>
  <si>
    <t>Tillage, Tillage option</t>
  </si>
  <si>
    <t>Rye Cover Crop, Cover crop</t>
  </si>
  <si>
    <t>Rye Cover Crop, Farming Energy (kWh/acre)</t>
  </si>
  <si>
    <t>Rye Cover Crop, Farming Energy (gal/acre)</t>
  </si>
  <si>
    <t>Rye Cover Crop, Herbicide Application Rate (lb/acre)</t>
  </si>
  <si>
    <t>Rye Cover Crop, Yield (dry ton/acre)</t>
  </si>
  <si>
    <t>Manure, Manure Selection</t>
  </si>
  <si>
    <t>Manure, Swine Manure Share</t>
  </si>
  <si>
    <t>Manure, Dairy Cow Manure Share</t>
  </si>
  <si>
    <t>Manure, Beef Cattle Manure Share</t>
  </si>
  <si>
    <t>Manure, Chicken Manure Share</t>
  </si>
  <si>
    <t>Manure, Manure Application Amount (ton manure/acre)</t>
  </si>
  <si>
    <t>Manure, Manure application energy (gal/acre)</t>
  </si>
  <si>
    <t>Manure, Manure application energy (kWh/acre)</t>
  </si>
  <si>
    <t>Manure, Manure Transport Distance (mi)</t>
  </si>
  <si>
    <t>Manure, Manure Transport Energy (gal/ton manure/mi)</t>
  </si>
  <si>
    <t>Manure, Manure Transport Energy (kWh/ton manure/mi)</t>
  </si>
  <si>
    <t>User Defined Mix - Oil Crop Farming, Oil</t>
  </si>
  <si>
    <t>User Defined Mix - Oil Crop Farming, Natural Gas</t>
  </si>
  <si>
    <t>User Defined Mix - Oil Crop Farming, Coal</t>
  </si>
  <si>
    <t>User Defined Mix - Oil Crop Farming, Biomass</t>
  </si>
  <si>
    <t>User Defined Mix - Oil Crop Farming, Nuclear</t>
  </si>
  <si>
    <t>User Defined Mix - Oil Crop Farming, Hydroelectric</t>
  </si>
  <si>
    <t>User Defined Mix - Oil Crop Farming, Geothermal</t>
  </si>
  <si>
    <t>User Defined Mix - Oil Crop Farming, Wind</t>
  </si>
  <si>
    <t>User Defined Mix - Oil Crop Farming, Solar PV</t>
  </si>
  <si>
    <t>User Defined Mix - Oil Crop Farming, Others</t>
  </si>
  <si>
    <t>Specify the source in the selection table below.</t>
  </si>
  <si>
    <t>F16</t>
  </si>
  <si>
    <t>F17</t>
  </si>
  <si>
    <t>F18</t>
  </si>
  <si>
    <t>T_D_HEFA_SAF_Truck_Distance</t>
  </si>
  <si>
    <t>T_D_HEFA_SAF_Barge_Dist_Share</t>
  </si>
  <si>
    <t>T_D_HEFA_SAF_Barge_Dist_Distance</t>
  </si>
  <si>
    <t>T_D_HEFA_SAF_Pipeline_Dist_Share</t>
  </si>
  <si>
    <t>T_D_HEFA_SAF_Pipeline_Dist_Distance</t>
  </si>
  <si>
    <t>T_D_HEFA_SAF_Rail_Dist_Share</t>
  </si>
  <si>
    <t>T_D_HEFA_SAF_Rail_Dist_Distance</t>
  </si>
  <si>
    <t>T_D_HEFA_SAF_Truck_Dist_Share</t>
  </si>
  <si>
    <t>T_D_HEFA_SAF_Truck_Dist_Distance</t>
  </si>
  <si>
    <t>T_D_ETJ_SAF_Truckl_Share</t>
  </si>
  <si>
    <t>T_D_ETJ_SAF_Truck_Distance</t>
  </si>
  <si>
    <t>T_D_ETJ_SAF_Barge_Dist_Share</t>
  </si>
  <si>
    <t>T_D_ETJ_SAF_Barge_Dist_Distance</t>
  </si>
  <si>
    <t>T_D_ETJ_SAF_Pipeline_Dist_Share</t>
  </si>
  <si>
    <t>T_D_ETJ_SAF_Pipeline_Dist_Distance</t>
  </si>
  <si>
    <t>T_D_ETJ_SAF_Rail_Dist_Share</t>
  </si>
  <si>
    <t>T_D_ETJ_SAF_Rail_Dist_Distance</t>
  </si>
  <si>
    <t>T_D_ETJ_SAF_Truck_Dist_Share</t>
  </si>
  <si>
    <t>T_D_ETJ_SAF_Truck_Dist_Distance</t>
  </si>
  <si>
    <t>million gallons</t>
  </si>
  <si>
    <t>mmBtu</t>
  </si>
  <si>
    <t>Total NG/RNG consumption</t>
  </si>
  <si>
    <t xml:space="preserve">   Lower heating value of SAF</t>
  </si>
  <si>
    <t xml:space="preserve">   Lower heating value of renewable diesel</t>
  </si>
  <si>
    <t>Renewable gasoline production</t>
  </si>
  <si>
    <t xml:space="preserve">   Lower heating value of renewable gasoline</t>
  </si>
  <si>
    <t>Renewable naphtha production</t>
  </si>
  <si>
    <t xml:space="preserve">   Lower heating value of renewable naphtha</t>
  </si>
  <si>
    <t xml:space="preserve">Total fuel production </t>
  </si>
  <si>
    <t>Total hydrogen consumption</t>
  </si>
  <si>
    <t>Feedstock: canola oil consumption</t>
  </si>
  <si>
    <t>Feedstock: tallow consumption</t>
  </si>
  <si>
    <t>Feedstock: UCO consumption</t>
  </si>
  <si>
    <t>Heat values used for the user inputs</t>
  </si>
  <si>
    <t>SAF</t>
  </si>
  <si>
    <t>RD</t>
  </si>
  <si>
    <t>Naphtha</t>
  </si>
  <si>
    <t>Before adjustment (gCO2e/MJ)</t>
  </si>
  <si>
    <t>million lbs</t>
  </si>
  <si>
    <t>SAF Production, NG/RNG Source</t>
  </si>
  <si>
    <r>
      <t>Total LCA Results (g CO</t>
    </r>
    <r>
      <rPr>
        <b/>
        <vertAlign val="subscript"/>
        <sz val="14"/>
        <color theme="1"/>
        <rFont val="Arial"/>
        <family val="2"/>
      </rPr>
      <t>2</t>
    </r>
    <r>
      <rPr>
        <b/>
        <sz val="14"/>
        <color theme="1"/>
        <rFont val="Arial"/>
        <family val="2"/>
      </rPr>
      <t>e/MJ)</t>
    </r>
  </si>
  <si>
    <r>
      <t>Value (g CO</t>
    </r>
    <r>
      <rPr>
        <b/>
        <vertAlign val="subscript"/>
        <sz val="11"/>
        <rFont val="Arial"/>
        <family val="2"/>
      </rPr>
      <t>2</t>
    </r>
    <r>
      <rPr>
        <b/>
        <sz val="11"/>
        <rFont val="Arial"/>
        <family val="2"/>
      </rPr>
      <t>e/MJ)</t>
    </r>
  </si>
  <si>
    <t>40BSAF-GREET 2024</t>
  </si>
  <si>
    <t>Ethanol Production, NG/RNG Source</t>
  </si>
  <si>
    <t>Select a 40B Pathway:</t>
  </si>
  <si>
    <t>Table of values to send w/o user input</t>
  </si>
  <si>
    <t>g CO2e/MJ</t>
  </si>
  <si>
    <t>30</t>
  </si>
  <si>
    <t>119776.621494208</t>
  </si>
  <si>
    <t>122887</t>
  </si>
  <si>
    <t>0</t>
  </si>
  <si>
    <t>113309</t>
  </si>
  <si>
    <t>SAF_Canola_HEFA_LandChange_Option</t>
  </si>
  <si>
    <t>SAF_Sugarcane_ETJ_LandChange_Option</t>
  </si>
  <si>
    <t>Adjust the background datasets based on the fuel production.</t>
  </si>
  <si>
    <t>Corn_0.000106914706069454_Ethanol_ETJ_distributed_Catalysts</t>
  </si>
  <si>
    <t>1--AKGD, 2--AKMS, 3--AZNM, 4--CAMX, 5--ERCT, 6--FRCC, 7--HIMS, 8--HIOA, 9--MROE, 10--MROW, 11--NEWE, 12--NWPP, 13--NYCW, 14--NYLI, 15--NYUP, 16--PRMS, 17--RFCE, 18--RFCM, 19--RFCW, 20--RMPA, 21--SPNO, 22--SPSO, 23--SRMV, 24--SRMW, 25--SRSO, 26--SRTV, 27--SRTV</t>
  </si>
  <si>
    <t>1--Fossil NG SMR, 2--H2 from RNG (landfill gas), 3--Certified H2, 4--Mixed H2</t>
  </si>
  <si>
    <t>1--North American NG, 2--RNG (landfill gas), 3--Certified RNG , 4 --NG/RNG Mix</t>
  </si>
  <si>
    <t>1--North American NG, 2--RNG (landfill gas), 3--Certified RNG, 4--NG/RNG Mix</t>
  </si>
  <si>
    <t>1--North American NG, 2--RNG (landfill gas), 3--NG/RNG Mix, 4--Certified RNG</t>
  </si>
  <si>
    <t>T_D_Soybean Oil_Barge_Share</t>
  </si>
  <si>
    <t>T_D_Soybean Oil_Barge_Distance</t>
  </si>
  <si>
    <t>Soybean Oil</t>
  </si>
  <si>
    <t>T_D_Soybean Oil_Pipeline_Share</t>
  </si>
  <si>
    <t>T_D_Soybean Oil_Pipeline_Distance</t>
  </si>
  <si>
    <t>T_D_Soybean Oil_Rail_Share</t>
  </si>
  <si>
    <t>T_D_Soybean Oil_Rail_Distance</t>
  </si>
  <si>
    <t>T_D_Soybean Oil_Heavy_heavy_truck_Share</t>
  </si>
  <si>
    <t>T_D_Soybean Oil_Heavy_heavy_truck_Distance</t>
  </si>
  <si>
    <t>Feedstock: Soybean Oil consumption</t>
  </si>
  <si>
    <t>Distillers Corn Oil</t>
  </si>
  <si>
    <t>Feedstock: Distillers Corn Oil consumption</t>
  </si>
  <si>
    <t>SAF_H2_Transportation_NG_SMR_LiquidTruck_Distance</t>
  </si>
  <si>
    <t>SAF_H2_Transportation_NG_SMR_LiquidTruck_Share</t>
  </si>
  <si>
    <t>SAF_H2_Transportation_NG_SMR_Pipeline_Distance</t>
  </si>
  <si>
    <t>SAF_H2_Transportation_NG_SMR_Pipeline_Share</t>
  </si>
  <si>
    <t>SAF_H2_Transportation_NG_SMR_TubeTrailer_Distance</t>
  </si>
  <si>
    <t>SAF_H2_Transportation_NG_SMR_TubeTrailer_Share</t>
  </si>
  <si>
    <t>SAF_H2_Transportation_RNG_SMR_LiquidTruck_Distance</t>
  </si>
  <si>
    <t>SAF_H2_Transportation_RNG_SMR_LiquidTruck_Share</t>
  </si>
  <si>
    <t>SAF_H2_Transportation_RNG_SMR_Pipeline_Distance</t>
  </si>
  <si>
    <t>SAF_H2_Transportation_RNG_SMR_Pipeline_Share</t>
  </si>
  <si>
    <t>SAF_H2_Transportation_RNG_SMR_TubeTrailer_Distance</t>
  </si>
  <si>
    <t>SAF_H2_Transportation_RNG_SMR_TubeTrailer_Share</t>
  </si>
  <si>
    <t>H2 (to SAF facility)</t>
  </si>
  <si>
    <t>NG Share</t>
  </si>
  <si>
    <t>RNG Share</t>
  </si>
  <si>
    <t>Total NG/RNG Consumption</t>
  </si>
  <si>
    <t>Total H2 Consumption</t>
  </si>
  <si>
    <t>Certified 45V H2 Share</t>
  </si>
  <si>
    <t>NG SMR H2 Share</t>
  </si>
  <si>
    <t>Total NG/RNG Ethanol</t>
  </si>
  <si>
    <t>RNG Share Ethanol</t>
  </si>
  <si>
    <t>NG Share Ethanol</t>
  </si>
  <si>
    <t>Hardcode selector to mixed</t>
  </si>
  <si>
    <t>Total LFG-derived RNG consumption</t>
  </si>
  <si>
    <t>Offsite, Fossil NG-derived H2 consumption</t>
  </si>
  <si>
    <t>SAF: Barge</t>
  </si>
  <si>
    <t>SAF: Rail</t>
  </si>
  <si>
    <t>SAF: Heavy-Duty Truck (Tanker)</t>
  </si>
  <si>
    <t>SAF: Medium-Heavy-Duty Truck</t>
  </si>
  <si>
    <t>SAF: Pipeline</t>
  </si>
  <si>
    <t>SAF: Barge (from SAF facility to Terminal)</t>
  </si>
  <si>
    <t>SAF: Pipeline (from SAF facility to Terminal)</t>
  </si>
  <si>
    <t>SAF: Rail (from SAF facility to Terminal)</t>
  </si>
  <si>
    <t>SAF: Heavy-Duty Truck (Tanker) (from SAF facility to Terminal)</t>
  </si>
  <si>
    <t>SAF: Heavy-Duty Truck (Tanker) (from Terminal to End Use)</t>
  </si>
  <si>
    <t>SAF: Heavy-Duty Truck (Tanker) (from Terminal to Airport)</t>
  </si>
  <si>
    <t>SAF: Heavy-Duty Truck (Tanker) (15T)</t>
  </si>
  <si>
    <t>SAF: Heavy-Duty Truck (Tanker) (20T)</t>
  </si>
  <si>
    <t>SAF: Heavy-Duty Truck (Tanker) (23T)</t>
  </si>
  <si>
    <t>SAF: Ocean tanker</t>
  </si>
  <si>
    <t>SAF: Refuse truck</t>
  </si>
  <si>
    <t>Toal fossil NG consumption</t>
  </si>
  <si>
    <t>Sugarcane consumption</t>
  </si>
  <si>
    <t>million metric tons (wet)</t>
  </si>
  <si>
    <t>Co-produced electricity from bagasse/straw combustion</t>
  </si>
  <si>
    <t>EtOH_SugarCaneEtOH_Mill_Yield</t>
  </si>
  <si>
    <t>million kWh</t>
  </si>
  <si>
    <t>Sample Input</t>
  </si>
  <si>
    <t>User Selection</t>
  </si>
  <si>
    <t>User Input</t>
  </si>
  <si>
    <t>All other cells are not designed to be manipulated by the user.</t>
  </si>
  <si>
    <t>ATJ-ethanol</t>
  </si>
  <si>
    <t>Total fossil NG consumption</t>
  </si>
  <si>
    <t>PLEASE ENABLE MACROS IN THE PROPERTIES WINDOW OF THE 40BSAF-GREET 2024 FILE.</t>
  </si>
  <si>
    <t>kg CO2e/kg H2</t>
  </si>
  <si>
    <t>1--AKGD, 2--AKMS, 3--AZNM, 4--CAMX, 5--ERCT, 6--FRCC, 7--HIMS, 8--HIOA, 9--MROE, 10--MROW, 11--NEWE, 12--NWPP, 13--NYCW, 14--NYLI, 15--NYUP, 16--PRMS, 17--RFCE, 18--RFCM, 19--RFCW, 20--RMPA, 21--SPNO, 22--SPSO, 23--SRMV, 24--SRMW, 25--SRSO, 26--SRTV, 27--SRVC</t>
  </si>
  <si>
    <t>% Reduction From Baseline</t>
  </si>
  <si>
    <t>Baseline CI</t>
  </si>
  <si>
    <t>T_D_Sugarcane_Brazil_Barge_Share</t>
  </si>
  <si>
    <t>T_D_Sugarcane_Brazil_Barge_Distance</t>
  </si>
  <si>
    <t>T_D_Sugarcane_Brazil_Rail_Share</t>
  </si>
  <si>
    <t>T_D_Sugarcane_Brazil_Rail_Distance</t>
  </si>
  <si>
    <t>T_D_Sugarcane_Ethanol_Barge_Share</t>
  </si>
  <si>
    <t>T_D_Sugarcane_Ethanol_Pipeline_Share</t>
  </si>
  <si>
    <t>T_D_Sugarcane_Ethanol_Rail_Share</t>
  </si>
  <si>
    <t>T_D_Sugarcane_Ethanol_Heavy_Truck_Share</t>
  </si>
  <si>
    <t>T_D_Sugarcane_Ethanol_Barge_Distance</t>
  </si>
  <si>
    <t>T_D_Sugarcane_Ethanol_Pipeline_Distance</t>
  </si>
  <si>
    <t>T_D_Sugarcane_Ethanol_Rail_Distance</t>
  </si>
  <si>
    <t>Total coal consumption</t>
  </si>
  <si>
    <t>Grid electricity consumption (Brazilian mix)</t>
  </si>
  <si>
    <t>Total residual oil consumption</t>
  </si>
  <si>
    <t>Sugracane_Fermentation_CoProduced_Electricity</t>
  </si>
  <si>
    <t>Ethanol From Ethanol Facility to Port (Brazil): Barge</t>
  </si>
  <si>
    <t>Ethanol From Ethanol Facility to Port (Brazil): Pipeline</t>
  </si>
  <si>
    <t>Ethanol From Ethanol Facility to Port (Brazil): Rail</t>
  </si>
  <si>
    <t>Ethanol From Ethanol Facility to Port (Brazil): Heavy-Duty Truck (Tanker)</t>
  </si>
  <si>
    <t>Ethanol From Port to SAF Facility (US): Barge</t>
  </si>
  <si>
    <t>Ethanol From Port to SAF Facility (US): Pipeline</t>
  </si>
  <si>
    <t>Ethanol From Port to SAF Facility (US): Rail</t>
  </si>
  <si>
    <t>Ethanol From Port to SAF Facility (US): Heavy-Duty Truck (Tanker)</t>
  </si>
  <si>
    <t>SAF From SAF facility to Terminal: Barge</t>
  </si>
  <si>
    <t>SAF From SAF facility to Terminal: Pipeline</t>
  </si>
  <si>
    <t>SAF From SAF facility to Terminal: Rail</t>
  </si>
  <si>
    <t xml:space="preserve">SAF From SAF facility to Terminal: Heavy-Duty Truck (Tanker) </t>
  </si>
  <si>
    <t>SAF From Terminal to Airport: Barge</t>
  </si>
  <si>
    <t>SAF From Terminal to Airport: Pipeline</t>
  </si>
  <si>
    <t>SAF From Terminal to Airport: Rail</t>
  </si>
  <si>
    <t>SAF From Terminal to Airport: Heavy-Duty Truck (Tanker)</t>
  </si>
  <si>
    <t>SAF - From SAF facility to Terminal: Barge</t>
  </si>
  <si>
    <t>SAF - From SAF facility to Terminal: Pipeline</t>
  </si>
  <si>
    <t>SAF - From SAF facility to Terminal: Rail</t>
  </si>
  <si>
    <t xml:space="preserve">SAF - From SAF facility to Terminal: Heavy-Duty Truck (Tanker) </t>
  </si>
  <si>
    <t>SAF - From Terminal to Airport: Barge</t>
  </si>
  <si>
    <t>SAF - From Terminal to Airport: Pipeline</t>
  </si>
  <si>
    <t>SAF - From Terminal to Airport: Rail</t>
  </si>
  <si>
    <t>SAF - From Terminal to Airport: Heavy-Duty Truck (Tanker)</t>
  </si>
  <si>
    <t>Ethanol - From Ethanol facility to SAF Facility: Barge</t>
  </si>
  <si>
    <t>Ethanol - From Ethanol facility to SAF Facility: Pipeline</t>
  </si>
  <si>
    <t>Ethanol - From Ethanol facility to SAF Facility: Rail</t>
  </si>
  <si>
    <t xml:space="preserve">Ethanol - From Ethanol facility to SAF Facility: Heavy-Duty Truck (Tanker) </t>
  </si>
  <si>
    <t>Fossil NG SMR H2 - From H2 facility to SAF facility: Pipeline</t>
  </si>
  <si>
    <t>Fossil NG SMR H2 - From H2 facility to SAF facility: Tube Trailer</t>
  </si>
  <si>
    <t>Fossil NG SMR H2 - From H2 facility to SAF facility: Liquid Truck</t>
  </si>
  <si>
    <t>RNG SMR H2 - From H2 facility to SAF facility: Heavy-Duty Truck (Tanker)</t>
  </si>
  <si>
    <t>RNG SMR H2 - From H2 facility to SAF facility: Pipeline</t>
  </si>
  <si>
    <t>RNG SMR H2 - From H2 facility to SAF facility: Tube Trailer</t>
  </si>
  <si>
    <t>Sugracane_Fermentation_Coal</t>
  </si>
  <si>
    <t>Sugracane_Fermentation_Residual_oil</t>
  </si>
  <si>
    <t>Sugracane_Fermentation_Electricity</t>
  </si>
  <si>
    <t>Sugracane_Fermentation_Natural_gas</t>
  </si>
  <si>
    <t>Default Parameters</t>
  </si>
  <si>
    <t>Renewable diesel production Set from a default value of 30 to a value of 0.</t>
  </si>
  <si>
    <t>Renewable gasoline production Set from a default value of 0 to a value of 0.</t>
  </si>
  <si>
    <t>Renewable naphtha production Set from a default value of 0 to a value of 0.</t>
  </si>
  <si>
    <t>Grid electricity (selected eGRID region) Set from a default value of 19.0492670485498 to a value of 0.</t>
  </si>
  <si>
    <t>Renewable Electricity Credit (REC) Set from a default value of 0 to a value of 0.</t>
  </si>
  <si>
    <t>Onsite behind-the-meter electricity Set from a default value of 0 to a value of 0.</t>
  </si>
  <si>
    <t>Toal fossil NG consumption Set from a default value of 123.58926254473 to a value of 0.</t>
  </si>
  <si>
    <t>Total LFG-derived RNG consumption Set from a default value of 0 to a value of 0.</t>
  </si>
  <si>
    <t>Offsite, Fossil NG-derived H2 consumption Set from a default value of 6391.601018501 to a value of 0.</t>
  </si>
  <si>
    <t>SAF - From SAF facility to Terminal: Barge Set to a transport distance of 0.</t>
  </si>
  <si>
    <t>SAF - From SAF facility to Terminal: Pipeline Set to a transport share value of 100%.</t>
  </si>
  <si>
    <t>SAF - From SAF facility to Terminal: Pipeline Set to a transport distance of 0.</t>
  </si>
  <si>
    <t>SAF - From SAF facility to Terminal: Rail Set to a transport share value of 100%.</t>
  </si>
  <si>
    <t>SAF - From SAF facility to Terminal: Rail Set to a transport distance of 0.</t>
  </si>
  <si>
    <t>SAF - From SAF facility to Terminal: Heavy-Duty Truck (Tanker)  Set to a transport share value of 100%.</t>
  </si>
  <si>
    <t>SAF - From SAF facility to Terminal: Heavy-Duty Truck (Tanker)  Set to a transport distance of 0.</t>
  </si>
  <si>
    <t>Fossil NG SMR H2 - From H2 facility to SAF facility: Pipeline Set to a transport share value of 100%.</t>
  </si>
  <si>
    <t>Fossil NG SMR H2 - From H2 facility to SAF facility: Pipeline Set to a transport distance of 0.</t>
  </si>
  <si>
    <t>Fossil NG SMR H2 - From H2 facility to SAF facility: Tube Trailer Set to a transport share value of 100%.</t>
  </si>
  <si>
    <t>Fossil NG SMR H2 - From H2 facility to SAF facility: Tube Trailer Set to a transport distance of 0.</t>
  </si>
  <si>
    <t>Fossil NG SMR H2 - From H2 facility to SAF facility: Liquid Truck Set to a transport share value of 100%.</t>
  </si>
  <si>
    <t>Fossil NG SMR H2 - From H2 facility to SAF facility: Liquid Truck Set to a transport distance of 0.</t>
  </si>
  <si>
    <t>Canola HEFA</t>
  </si>
  <si>
    <t>T_D_Sugarcane_Brazil_Pipeline_Share</t>
  </si>
  <si>
    <t>T_D_Sugarcane_Brazil_Pipeline_Distance</t>
  </si>
  <si>
    <t>SAF - From SAF facility to Terminal: Barge Set to a transport share value of 100%.</t>
  </si>
  <si>
    <t>Corn ATJ-ethanol</t>
  </si>
  <si>
    <t>Amount of CO2 captured and stored Set from a default value of 0 to a value of 0.</t>
  </si>
  <si>
    <t>Total fossil NG consumption Set from a default value of 2238.60422405877 to a value of 0.</t>
  </si>
  <si>
    <t>Total coal consumption Set from a default value of 9.41982029745242 to a value of 0.</t>
  </si>
  <si>
    <t>Renewable diesel production Set from a default value of 3.07494923896517 to a value of 0.</t>
  </si>
  <si>
    <t>Grid electricity (selected eGRID region) Set from a default value of 110.743142231161 to a value of 0.</t>
  </si>
  <si>
    <t>Toal fossil NG consumption Set from a default value of 755.742574257426 to a value of 0.</t>
  </si>
  <si>
    <t>Offsite, Fossil NG-derived H2 consumption Set from a default value of 2658.12905428474 to a value of 0.</t>
  </si>
  <si>
    <t>User Defined Mix - SAF Production, Biomass Set to a transport distance of 0.</t>
  </si>
  <si>
    <t>User Defined Mix - SAF Production, Nuclear Set to a transport share value of 100%.</t>
  </si>
  <si>
    <t>User Defined Mix - SAF Production, Nuclear Set to a transport distance of 0.</t>
  </si>
  <si>
    <t>User Defined Mix - SAF Production, Hydroelectric Set to a transport share value of 100%.</t>
  </si>
  <si>
    <t>User Defined Mix - SAF Production, Hydroelectric Set to a transport distance of 0.</t>
  </si>
  <si>
    <t>User Defined Mix - SAF Production, Geothermal Set to a transport share value of 100%.</t>
  </si>
  <si>
    <t>User Defined Mix - SAF Production, Geothermal Set to a transport distance of 0.</t>
  </si>
  <si>
    <t>Ethanol - From Ethanol facility to SAF Facility: Barge Set to a transport share value of 100%.</t>
  </si>
  <si>
    <t>Ethanol - From Ethanol facility to SAF Facility: Barge Set to a transport distance of 0.</t>
  </si>
  <si>
    <t>Ethanol - From Ethanol facility to SAF Facility: Pipeline Set to a transport share value of 100%.</t>
  </si>
  <si>
    <t>Ethanol - From Ethanol facility to SAF Facility: Pipeline Set to a transport distance of 0.</t>
  </si>
  <si>
    <t>Ethanol - From Ethanol facility to SAF Facility: Rail Set to a transport share value of 100%.</t>
  </si>
  <si>
    <t>Ethanol - From Ethanol facility to SAF Facility: Rail Set to a transport distance of 0.</t>
  </si>
  <si>
    <t>Ethanol - From Ethanol facility to SAF Facility: Heavy-Duty Truck (Tanker)  Set to a transport share value of 100%.</t>
  </si>
  <si>
    <t>Ethanol - From Ethanol facility to SAF Facility: Heavy-Duty Truck (Tanker)  Set to a transport distance of 0.</t>
  </si>
  <si>
    <t>Soybean HEFA</t>
  </si>
  <si>
    <t>Sugarcane ATJ-ethanol</t>
  </si>
  <si>
    <t>Total fossil NG consumption Set from a default value of 0 to a value of 0.</t>
  </si>
  <si>
    <t>Grid electricity consumption (Brazilian mix) Set from a default value of 4.9412285992516 to a value of 0.</t>
  </si>
  <si>
    <t>Total residual oil consumption Set from a default value of 9.37925785070866 to a value of 0.</t>
  </si>
  <si>
    <t>Total coal consumption Set from a default value of 0 to a value of 0.</t>
  </si>
  <si>
    <t>Co-produced electricity from bagasse/straw combustion Set from a default value of 165.430534549042 to a value of 0.</t>
  </si>
  <si>
    <t>Ethanol From Ethanol Facility to Port (Brazil): Barge Set to a transport share value of 100%.</t>
  </si>
  <si>
    <t>Ethanol From Ethanol Facility to Port (Brazil): Barge Set to a transport distance of 0.</t>
  </si>
  <si>
    <t>Ethanol From Ethanol Facility to Port (Brazil): Pipeline Set to a transport share value of 100%.</t>
  </si>
  <si>
    <t>Ethanol From Ethanol Facility to Port (Brazil): Pipeline Set to a transport distance of 0.</t>
  </si>
  <si>
    <t>Ethanol From Ethanol Facility to Port (Brazil): Rail Set to a transport share value of 100%.</t>
  </si>
  <si>
    <t>Ethanol From Ethanol Facility to Port (Brazil): Rail Set to a transport distance of 0.</t>
  </si>
  <si>
    <t>Ethanol From Ethanol Facility to Port (Brazil): Heavy-Duty Truck (Tanker) Set to a transport share value of 100%.</t>
  </si>
  <si>
    <t>Ethanol From Ethanol Facility to Port (Brazil): Heavy-Duty Truck (Tanker) Set to a transport distance of 0.</t>
  </si>
  <si>
    <t>Ethanol From Brazil to US: Ocean Taker Set to a transport share value of 100%.</t>
  </si>
  <si>
    <t>Ethanol From Brazil to US: Ocean Taker Set to a transport distance of 0.</t>
  </si>
  <si>
    <t>Ethanol From Port to SAF Facility (US): Barge Set to a transport share value of 100%.</t>
  </si>
  <si>
    <t>Ethanol From Port to SAF Facility (US): Barge Set to a transport distance of 0.</t>
  </si>
  <si>
    <t>Ethanol From Port to SAF Facility (US): Pipeline Set to a transport share value of 100%.</t>
  </si>
  <si>
    <t>Ethanol From Port to SAF Facility (US): Pipeline Set to a transport distance of 0.</t>
  </si>
  <si>
    <t>Ethanol From Port to SAF Facility (US): Rail Set to a transport share value of 100%.</t>
  </si>
  <si>
    <t>Ethanol From Port to SAF Facility (US): Rail Set to a transport distance of 0.</t>
  </si>
  <si>
    <t>Ethanol From Port to SAF Facility (US): Heavy-Duty Truck (Tanker) Set to a transport share value of 100%.</t>
  </si>
  <si>
    <t>Ethanol From Port to SAF Facility (US): Heavy-Duty Truck (Tanker) Set to a transport distance of 0.</t>
  </si>
  <si>
    <t>SAF From SAF facility to Terminal: Barge Set to a transport share value of 100%.</t>
  </si>
  <si>
    <t>SAF From SAF facility to Terminal: Barge Set to a transport distance of 0.</t>
  </si>
  <si>
    <t>SAF From SAF facility to Terminal: Pipeline Set to a transport share value of 100%.</t>
  </si>
  <si>
    <t>SAF From SAF facility to Terminal: Pipeline Set to a transport distance of 0.</t>
  </si>
  <si>
    <t>SAF From SAF facility to Terminal: Rail Set to a transport share value of 100%.</t>
  </si>
  <si>
    <t>SAF From SAF facility to Terminal: Rail Set to a transport distance of 0.</t>
  </si>
  <si>
    <t>SAF From SAF facility to Terminal: Heavy-Duty Truck (Tanker)  Set to a transport share value of 100%.</t>
  </si>
  <si>
    <t>SAF From SAF facility to Terminal: Heavy-Duty Truck (Tanker)  Set to a transport distance of 0.</t>
  </si>
  <si>
    <t xml:space="preserve"> Set to a transport share value of 100%.</t>
  </si>
  <si>
    <t>bu soybean/acre</t>
  </si>
  <si>
    <t>scf/acre</t>
  </si>
  <si>
    <t>btu/acre</t>
  </si>
  <si>
    <t>lb/lb oil</t>
  </si>
  <si>
    <t>gal/lb oil</t>
  </si>
  <si>
    <t>scf/lb oil</t>
  </si>
  <si>
    <t>btu/lb oil</t>
  </si>
  <si>
    <t>kWh/lb oil</t>
  </si>
  <si>
    <t>ton/acre</t>
  </si>
  <si>
    <t>/lb oil</t>
  </si>
  <si>
    <t>g/lb oil</t>
  </si>
  <si>
    <t>lb/mmbtu total fuel</t>
  </si>
  <si>
    <t>scf/mmbtu total fuel</t>
  </si>
  <si>
    <t>kWh/mmbtu total fuel</t>
  </si>
  <si>
    <t>lb/mmbtu distillate</t>
  </si>
  <si>
    <t>scf/mmbtu distillate</t>
  </si>
  <si>
    <t>kWh/mmbtu distillate</t>
  </si>
  <si>
    <t>ton/mmbtu total fuel</t>
  </si>
  <si>
    <t>bu corn/acre</t>
  </si>
  <si>
    <t>g/mmbtu total fuel</t>
  </si>
  <si>
    <t>gal/mmbtu total fuel</t>
  </si>
  <si>
    <t>/</t>
  </si>
  <si>
    <t>kg/MJ of total liquid fuel</t>
  </si>
  <si>
    <t>gal/MJ of total liquid fuel</t>
  </si>
  <si>
    <t>/mmbtu total fuel</t>
  </si>
  <si>
    <t>lb/gal ethanol</t>
  </si>
  <si>
    <t>gal/gal ethanol</t>
  </si>
  <si>
    <t>scf/gal ethanol</t>
  </si>
  <si>
    <t>btu/gal ethanol</t>
  </si>
  <si>
    <t>kWh/gal ethanol</t>
  </si>
  <si>
    <t>lb/mmbtu farnesene</t>
  </si>
  <si>
    <t>gal/lb animal waste</t>
  </si>
  <si>
    <t>scf/lb animal waste</t>
  </si>
  <si>
    <t>btu/lb animal waste</t>
  </si>
  <si>
    <t>kWh/lb animal waste</t>
  </si>
  <si>
    <t>gal/lb tallow</t>
  </si>
  <si>
    <t>scf/lb tallow</t>
  </si>
  <si>
    <t>btu/lb tallow</t>
  </si>
  <si>
    <t>kWh/lb tallow</t>
  </si>
  <si>
    <t>btu/mmbtu total fuel</t>
  </si>
  <si>
    <t>bu corn/mmbtu total fuel</t>
  </si>
  <si>
    <t>kg/mmbtu total fuel</t>
  </si>
  <si>
    <t>scf/</t>
  </si>
  <si>
    <t>btu/</t>
  </si>
  <si>
    <t>gal/</t>
  </si>
  <si>
    <t>kWh/</t>
  </si>
  <si>
    <t>g/</t>
  </si>
  <si>
    <t>million bushels</t>
  </si>
  <si>
    <t>thousand mmBtu</t>
  </si>
  <si>
    <t>metric tons</t>
  </si>
  <si>
    <t>Ethanol From Brazil to US: Ocean Tanker</t>
  </si>
  <si>
    <t>Corn Farming, Grid Electricity Source (eGRID by default)</t>
  </si>
  <si>
    <t>Ethanol Production, Grid Electricity Source (eGRID by default)</t>
  </si>
  <si>
    <t>SAF Production, Grid Electricity Source (eGRID by default)</t>
  </si>
  <si>
    <t>Sugarcane Farming, Grid Electricity Source (eGRID by default)</t>
  </si>
  <si>
    <t>Sugarcane Ethanol Production, Grid Electricity Source (eGRID by default)</t>
  </si>
  <si>
    <t>Farming, Grid Electricity Source (eGRID by default)</t>
  </si>
  <si>
    <t>Grid Electricity Source (eGRID by default)</t>
  </si>
  <si>
    <t>SAF Production, Grid Electricity Source (eGRID by default) Set from a default mix of US Mix to eGRID region #1.</t>
  </si>
  <si>
    <t>SAF Production, Grid Electricity Source (eGRID by default) Set from a default mix of US Mix to eGRID region #2.</t>
  </si>
  <si>
    <t>SAF Production, Grid Electricity Source (eGRID by default) Set from a default mix of US Mix to eGRID region #3.</t>
  </si>
  <si>
    <t>SAF Production, Grid Electricity Source (eGRID by default) Set from a default mix of US Mix to eGRID region #4.</t>
  </si>
  <si>
    <t>SAF Production, Grid Electricity Source (eGRID by default) Set from a default mix of US Mix to eGRID region #5.</t>
  </si>
  <si>
    <t>SAF Production, Grid Electricity Source (eGRID by default) Set from a default mix of US Mix to eGRID region #6.</t>
  </si>
  <si>
    <t>SAF Production, Grid Electricity Source (eGRID by default) Set from a default mix of US Mix to eGRID region #7.</t>
  </si>
  <si>
    <t>SAF Production, Grid Electricity Source (eGRID by default) Set from a default mix of US Mix to eGRID region #8.</t>
  </si>
  <si>
    <t>SAF Production, Grid Electricity Source (eGRID by default) Set from a default mix of US Mix to eGRID region #9.</t>
  </si>
  <si>
    <t>SAF Production, Grid Electricity Source (eGRID by default) Set from a default mix of US Mix to eGRID region #10.</t>
  </si>
  <si>
    <t>SAF Production, Grid Electricity Source (eGRID by default) Set from a default mix of US Mix to eGRID region #11.</t>
  </si>
  <si>
    <t>SAF Production, Grid Electricity Source (eGRID by default) Set from a default mix of US Mix to eGRID region #12.</t>
  </si>
  <si>
    <t>SAF Production, Grid Electricity Source (eGRID by default) Set from a default mix of US Mix to eGRID region #13.</t>
  </si>
  <si>
    <t>SAF Production, Grid Electricity Source (eGRID by default) Set from a default mix of US Mix to eGRID region #14.</t>
  </si>
  <si>
    <t>SAF Production, Grid Electricity Source (eGRID by default) Set from a default mix of US Mix to eGRID region #15.</t>
  </si>
  <si>
    <t>SAF Production, Grid Electricity Source (eGRID by default) Set from a default mix of US Mix to eGRID region #16.</t>
  </si>
  <si>
    <t>SAF Production, Grid Electricity Source (eGRID by default) Set from a default mix of US Mix to eGRID region #17.</t>
  </si>
  <si>
    <t>SAF Production, Grid Electricity Source (eGRID by default) Set from a default mix of US Mix to eGRID region #18.</t>
  </si>
  <si>
    <t>SAF Production, Grid Electricity Source (eGRID by default) Set from a default mix of US Mix to eGRID region #19.</t>
  </si>
  <si>
    <t>SAF Production, Grid Electricity Source (eGRID by default) Set from a default mix of US Mix to eGRID region #20.</t>
  </si>
  <si>
    <t>SAF Production, Grid Electricity Source (eGRID by default) Set from a default mix of US Mix to eGRID region #21.</t>
  </si>
  <si>
    <t>SAF Production, Grid Electricity Source (eGRID by default) Set from a default mix of US Mix to eGRID region #22.</t>
  </si>
  <si>
    <t>SAF Production, Grid Electricity Source (eGRID by default) Set from a default mix of US Mix to eGRID region #23.</t>
  </si>
  <si>
    <t>SAF Production, Grid Electricity Source (eGRID by default) Set from a default mix of US Mix to eGRID region #24.</t>
  </si>
  <si>
    <t>SAF Production, Grid Electricity Source (eGRID by default) Set from a default mix of US Mix to eGRID region #25.</t>
  </si>
  <si>
    <t>SAF Production, Grid Electricity Source (eGRID by default) Set from a default mix of US Mix to eGRID region #26.</t>
  </si>
  <si>
    <t>SAF Production, Grid Electricity Source (eGRID by default) Set from a default mix of US Mix to eGRID region #27.</t>
  </si>
  <si>
    <t>Ethanol Production, Grid Electricity Source (eGRID by default) Set from a default mix of US Mix to eGRID region #1.</t>
  </si>
  <si>
    <t>Ethanol Production, Grid Electricity Source (eGRID by default) Set from a default mix of US Mix to eGRID region #2.</t>
  </si>
  <si>
    <t>Ethanol Production, Grid Electricity Source (eGRID by default) Set from a default mix of US Mix to eGRID region #3.</t>
  </si>
  <si>
    <t>Ethanol Production, Grid Electricity Source (eGRID by default) Set from a default mix of US Mix to eGRID region #4.</t>
  </si>
  <si>
    <t>Ethanol Production, Grid Electricity Source (eGRID by default) Set from a default mix of US Mix to eGRID region #5.</t>
  </si>
  <si>
    <t>Ethanol Production, Grid Electricity Source (eGRID by default) Set from a default mix of US Mix to eGRID region #6.</t>
  </si>
  <si>
    <t>Ethanol Production, Grid Electricity Source (eGRID by default) Set from a default mix of US Mix to eGRID region #7.</t>
  </si>
  <si>
    <t>Ethanol Production, Grid Electricity Source (eGRID by default) Set from a default mix of US Mix to eGRID region #8.</t>
  </si>
  <si>
    <t>Ethanol Production, Grid Electricity Source (eGRID by default) Set from a default mix of US Mix to eGRID region #9.</t>
  </si>
  <si>
    <t>Ethanol Production, Grid Electricity Source (eGRID by default) Set from a default mix of US Mix to eGRID region #10.</t>
  </si>
  <si>
    <t>Ethanol Production, Grid Electricity Source (eGRID by default) Set from a default mix of US Mix to eGRID region #11.</t>
  </si>
  <si>
    <t>Ethanol Production, Grid Electricity Source (eGRID by default) Set from a default mix of US Mix to eGRID region #12.</t>
  </si>
  <si>
    <t>Ethanol Production, Grid Electricity Source (eGRID by default) Set from a default mix of US Mix to eGRID region #13.</t>
  </si>
  <si>
    <t>Ethanol Production, Grid Electricity Source (eGRID by default) Set from a default mix of US Mix to eGRID region #14.</t>
  </si>
  <si>
    <t>Ethanol Production, Grid Electricity Source (eGRID by default) Set from a default mix of US Mix to eGRID region #15.</t>
  </si>
  <si>
    <t>Ethanol Production, Grid Electricity Source (eGRID by default) Set from a default mix of US Mix to eGRID region #16.</t>
  </si>
  <si>
    <t>Ethanol Production, Grid Electricity Source (eGRID by default) Set from a default mix of US Mix to eGRID region #17.</t>
  </si>
  <si>
    <t>Ethanol Production, Grid Electricity Source (eGRID by default) Set from a default mix of US Mix to eGRID region #18.</t>
  </si>
  <si>
    <t>Ethanol Production, Grid Electricity Source (eGRID by default) Set from a default mix of US Mix to eGRID region #19.</t>
  </si>
  <si>
    <t>Ethanol Production, Grid Electricity Source (eGRID by default) Set from a default mix of US Mix to eGRID region #20.</t>
  </si>
  <si>
    <t>Ethanol Production, Grid Electricity Source (eGRID by default) Set from a default mix of US Mix to eGRID region #21.</t>
  </si>
  <si>
    <t>Ethanol Production, Grid Electricity Source (eGRID by default) Set from a default mix of US Mix to eGRID region #22.</t>
  </si>
  <si>
    <t>Ethanol Production, Grid Electricity Source (eGRID by default) Set from a default mix of US Mix to eGRID region #23.</t>
  </si>
  <si>
    <t>Ethanol Production, Grid Electricity Source (eGRID by default) Set from a default mix of US Mix to eGRID region #24.</t>
  </si>
  <si>
    <t>Ethanol Production, Grid Electricity Source (eGRID by default) Set from a default mix of US Mix to eGRID region #25.</t>
  </si>
  <si>
    <t>Ethanol Production, Grid Electricity Source (eGRID by default) Set from a default mix of US Mix to eGRID region #26.</t>
  </si>
  <si>
    <t>Ethanol Production, Grid Electricity Source (eGRID by default) Set from a default mix of US Mix to eGRID region #27.</t>
  </si>
  <si>
    <t>User Defined Mix - SAF Production, Others Set from a default mix of US Mix to eGRID region #1.</t>
  </si>
  <si>
    <t>Set to 0 for 40B</t>
  </si>
  <si>
    <t>Cells in the G, H, and I columns represent numeric user inputs for parameters. Users should enter positive numerical values in these cells. They will turn yellow upon entry.</t>
  </si>
  <si>
    <t>Pink colored cells in columns E and F, such as cell E6, represent selections; please choose an option from the dropdown list.</t>
  </si>
  <si>
    <t>Distillers Corn Oil HEFA</t>
  </si>
  <si>
    <t>Corn ATJ-E (Integrated)</t>
  </si>
  <si>
    <t>Corn Stover ATJ-E (Integrated)</t>
  </si>
  <si>
    <t>Willow ATJ-E (Integrated)</t>
  </si>
  <si>
    <t>Poplar ATJ-E (Integrated)</t>
  </si>
  <si>
    <t>Switchgrass ATJ-E (Integrated)</t>
  </si>
  <si>
    <t>Miscanthus ATJ-E (Integrated)</t>
  </si>
  <si>
    <t>Forest Residue ATJ-E (Integrated)</t>
  </si>
  <si>
    <t>Corn Dry Mill w/ extraction ATJ-E (Standalone)</t>
  </si>
  <si>
    <t>Corn Dry Mill w/o extraction ATJ-E (Standalone)</t>
  </si>
  <si>
    <t>Corn Wet Mill ATJ-E (Standalone)</t>
  </si>
  <si>
    <t>Willow ATJ-E (Standalone)</t>
  </si>
  <si>
    <t>Poplar ATJ-E (Standalone)</t>
  </si>
  <si>
    <t>Switchgrass ATJ-E (Standalone)</t>
  </si>
  <si>
    <t>Miscanthus ATJ-E (Standalone)</t>
  </si>
  <si>
    <t>Corn Stover ATJ-E (Standalone)</t>
  </si>
  <si>
    <t>Forest Residue ATJ-E (Standalone)</t>
  </si>
  <si>
    <t>Solid Waste ATJ-E (Standalone)</t>
  </si>
  <si>
    <t>Sugarcane ATJ-E</t>
  </si>
  <si>
    <t>Waste gases ATJ-E (Integrated)</t>
  </si>
  <si>
    <t>Waste gases ATJ-E (Standalone)</t>
  </si>
  <si>
    <t>Sugarcane ATJ-E (Standalone)</t>
  </si>
  <si>
    <t>Corn US Mix ATJ-E (Standalone)</t>
  </si>
  <si>
    <t>******************************************************************************************************************************************************</t>
  </si>
  <si>
    <t>COPYRIGHT NOTIFICATION</t>
  </si>
  <si>
    <t>GREET®  SOFTWARE</t>
  </si>
  <si>
    <t>© COPYRIGHT 2017 UChicago Argonne, LLC                                                                                   ALL RIGHTS RESERVED</t>
  </si>
  <si>
    <t>THIS SOFTWARE DISCLOSES MATERIAL PROTECTED UNDER COPYRIGHT LAW, AND FURTHER DISSEMINATION IS PROHIBITED WITHOUT PRIOR WRITTEN CONSENT OF THE PATENT COUNSEL OF ARGONNE NATIONAL LABORATORY, EXCEPT AS NOTED IN THE “LICENSING TERMS AND CONDITIONS” NOTED BELOW.</t>
  </si>
  <si>
    <t>ARGONNE NATIONAL LABORATORY, WITH A FACILITY IN THE STATE OF ILLINOIS, IS OWNED BY THE UNITED STATES GOVERNMENT, AND OPERATED BY UCHICAGO ARGONNE, LLC UNDER PROVISION OF A CONTRACT WITH THE DEPARTMENT OF ENERGY.</t>
  </si>
  <si>
    <t>GOVERNMENT LICENSE</t>
  </si>
  <si>
    <t>NOTICE:   This data was produced by UChicago Argonne, LLC under Contract No. DE-AC02-06CH11357 with the Department of Energy. During the period of commercialization or such other time period specified by DOE, the Government is granted for itself and others acting on its behalf a paid-up, nonexclusive, irrevocable worldwide license in such copyrighted data to reproduce, prepare derivative works and perform publicly and display publicly, by or on behalf of the Government. Subsequent to that period the Government is granted for itself and others acting on its behalf a paid-up, nonexclusive, irrevocable worldwide license in such copyrighted data to reproduce, distribute copies to the public, prepare derivative works, perform publicly and display publicly, and to permit others to do so. The specific term of the license can be identified by inquiry made to UChicago Argonne, LLC or DOE.</t>
  </si>
  <si>
    <t>END-USER LICENSING TERMS AND CONDITIONS</t>
  </si>
  <si>
    <t>Redistribution and use of the GREET software is permitted provided that the following conditions are met:</t>
  </si>
  <si>
    <t>1. Redistributions of the GREET software must retain the above copyright notice, this list of conditions and the following disclaimer.  Modification or reverse compilation of the source code is not permitted.</t>
  </si>
  <si>
    <t>2. Neither the names of UChicago Argonne, LLC or the Department of Energy nor the names of its contributors may be used to endorse or promote products derived from this software without prior written permission.</t>
  </si>
  <si>
    <t>3. The software redistribution, if any, must include the following acknowledgment: "This product includes software produced by UChicago Argonne, LLC under Contract No. DE-AC02-06CH11357 with the Department of Energy.”</t>
  </si>
  <si>
    <t xml:space="preserve">4. Any published results should indicate that the GREET software was developed by Argonne National Laboratory.  If you publish results generated using GREET you should identify the GREET software version number.  If you publish results generated using input data other than the input data supplied with the GREET software you must indicate that these results relied upon changed input data. </t>
  </si>
  <si>
    <t>*****************************************************************************************************************************************************</t>
  </si>
  <si>
    <t>DISCLAIMER</t>
  </si>
  <si>
    <t>THIS SOFTWARE AND MANUAL ARE SUPPLIED "AS IS" WITHOUT WARRANTY OF ANY KIND.</t>
  </si>
  <si>
    <t xml:space="preserve">Neither the United States Government, nor the United States Department of Energy, nor UChicago Argonne, LLC , nor any of their employees, makes any warranty, express or implied, or assumes any legal liability or responsibility for the accuracy, completeness, or usefulness of any information, data, apparatus, product, or process disclosed, or represents that its use would not infringe privately owned rights. </t>
  </si>
  <si>
    <t xml:space="preserve">Note: Notwithstanding the disclaimer above, and without providing any warranty, or assuming any legal liability, this version of GREET can be used to determine “lifecycle greenhouse gas emissions” as necessary to calculate the credit for the production of clean hydrogen as described in 26 U.S.C. §45V. </t>
  </si>
  <si>
    <t>First Conversion (from GTAP to GREET default) for the SAF conversion rate: Fixed; precalculated</t>
  </si>
  <si>
    <t>Second conversion (from GREET default to user values) for the SAF conversion rate</t>
  </si>
  <si>
    <t>GREET default (MJ/MJ for ethanol, lb/mmBtu for HEFA) for the SAF conversion rate</t>
  </si>
  <si>
    <t>User values (MJ/MJ for ethanol, lb/mmBtu for HEFA) for the SAF conversion rate</t>
  </si>
  <si>
    <t>Ethanol yield adjustment (from user values to GREET default)</t>
  </si>
  <si>
    <t>45V Modeled H2 - From H2 facility to SAF facility: Pipeline</t>
  </si>
  <si>
    <t>45V Modeled H2 - From H2 facility to SAF facility: Tube Trailer</t>
  </si>
  <si>
    <t>45V Modeled H2 - From H2 facility to SAF facility: Liquid Truck</t>
  </si>
  <si>
    <t>Offsite, 45V Modeled H2 consumption Set from a default value of 0 to a value of 0.</t>
  </si>
  <si>
    <t>Offsite, 45V Modeled H2 CI Set from a default value of 3 to a value of 0.</t>
  </si>
  <si>
    <t>45V Modeled H2 - From H2 facility to SAF facility: Pipeline Set to a transport share value of 100%.</t>
  </si>
  <si>
    <t>45V Modeled H2 - From H2 facility to SAF facility: Pipeline Set to a transport distance of 0.</t>
  </si>
  <si>
    <t>45V Modeled H2 - From H2 facility to SAF facility: Tube Trailer Set to a transport share value of 100%.</t>
  </si>
  <si>
    <t>45V Modeled H2 - From H2 facility to SAF facility: Tube Trailer Set to a transport distance of 0.</t>
  </si>
  <si>
    <t>45V Modeled H2 - From H2 facility to SAF facility: Liquid Truck Set to a transport share value of 100%.</t>
  </si>
  <si>
    <t>45V Modeled H2 - From H2 facility to SAF facility: Liquid Truck Set to a transport distance of 0.</t>
  </si>
  <si>
    <t>Offsite, 45V Modeled H2 consumption</t>
  </si>
  <si>
    <t>Offsite, 45V Modeled H2 CI</t>
  </si>
  <si>
    <t>SAF_H2_Transportation_45VModeled_Pipeline_Share</t>
  </si>
  <si>
    <t>SAF_H2_Transportation_45VModeled_Pipeline_Distance</t>
  </si>
  <si>
    <t>SAF_H2_Transportation_45VModeled_TubeTrailer_Share</t>
  </si>
  <si>
    <t>SAF_H2_Transportation_45VModeled_TubeTrailer_Distance</t>
  </si>
  <si>
    <t>SAF_H2_Transportation_45VModeled_LiquidTruck_Share</t>
  </si>
  <si>
    <t>SAF_H2_Transportation_45VModeled_LiquidTruck_Distance</t>
  </si>
  <si>
    <t>Share_45VModeled_H2_SAF</t>
  </si>
  <si>
    <t>SAF_45VModeled_H2_CI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</si>
</sst>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164" formatCode="_(&quot;$&quot;* #,##0.00_);_(&quot;$&quot;* \(#,##0.00\);_(&quot;$&quot;* &quot;-&quot;??_);_(@_)"/>
    <numFmt numFmtId="165" formatCode="_(* #,##0.00_);_(* \(#,##0.00\);_(* &quot;-&quot;??_);_(@_)"/>
    <numFmt numFmtId="166" formatCode="#,##0.0000"/>
    <numFmt numFmtId="167" formatCode="0.000"/>
    <numFmt numFmtId="168" formatCode="_(* #,##0_);_(* \(#,##0\);_(* &quot;-&quot;??_);_(@_)"/>
    <numFmt numFmtId="169" formatCode="0.0%"/>
    <numFmt numFmtId="170" formatCode="_(* #,##0.0_);_(* \(#,##0.0\);_(* &quot;-&quot;??_);_(@_)"/>
    <numFmt numFmtId="171" formatCode="_(* #,##0.000000_);_(* \(#,##0.000000\);_(* &quot;-&quot;??_);_(@_)"/>
    <numFmt numFmtId="172" formatCode="0.0"/>
    <numFmt numFmtId="173" formatCode="#,##0.0"/>
    <numFmt numFmtId="174" formatCode="#,##0.000000"/>
    <numFmt numFmtId="175" formatCode="_ [$€-2]\ * #,##0.00_ ;_ [$€-2]\ * \-#,##0.00_ ;_ [$€-2]\ * &quot;-&quot;??_ "/>
    <numFmt numFmtId="176" formatCode="_(* #,##0.0000_);_(* \(#,##0.0000\);_(* &quot;-&quot;??_);_(@_)"/>
    <numFmt numFmtId="177" formatCode="_(* #,##0.00000_);_(* \(#,##0.00000\);_(* &quot;-&quot;??_);_(@_)"/>
    <numFmt numFmtId="178" formatCode="_(* #,##0.000_);_(* \(#,##0.000\);_(* &quot;-&quot;??_);_(@_)"/>
    <numFmt numFmtId="179" formatCode="#,##0.000"/>
    <numFmt numFmtId="180" formatCode="0.00000000%"/>
    <numFmt numFmtId="181" formatCode="0.0000000000"/>
    <numFmt numFmtId="182" formatCode="_(* #,##0.0000000_);_(* \(#,##0.0000000\);_(* &quot;-&quot;??_);_(@_)"/>
  </numFmts>
  <fonts count="58" x14ac:knownFonts="1">
    <font>
      <sz val="11"/>
      <color theme="1"/>
      <name val="Calibri"/>
      <family val="2"/>
      <scheme val="minor"/>
    </font>
    <font>
      <b/>
      <sz val="18"/>
      <color theme="0"/>
      <name val="Arial"/>
      <family val="2"/>
    </font>
    <font>
      <sz val="11"/>
      <color theme="0"/>
      <name val="Arial"/>
      <family val="2"/>
    </font>
    <font>
      <sz val="11"/>
      <color theme="1"/>
      <name val="Arial"/>
      <family val="2"/>
    </font>
    <font>
      <b/>
      <sz val="11"/>
      <color theme="0"/>
      <name val="Arial"/>
      <family val="2"/>
    </font>
    <font>
      <b/>
      <sz val="12"/>
      <color theme="1"/>
      <name val="Arial"/>
      <family val="2"/>
    </font>
    <font>
      <sz val="12"/>
      <color theme="1"/>
      <name val="Arial"/>
      <family val="2"/>
    </font>
    <font>
      <b/>
      <sz val="11"/>
      <color theme="1"/>
      <name val="Arial"/>
      <family val="2"/>
    </font>
    <font>
      <b/>
      <sz val="11"/>
      <color rgb="FF000000"/>
      <name val="Arial"/>
      <family val="2"/>
    </font>
    <font>
      <b/>
      <sz val="11"/>
      <name val="Arial"/>
      <family val="2"/>
    </font>
    <font>
      <b/>
      <sz val="11"/>
      <color theme="0"/>
      <name val="Calibri"/>
      <family val="2"/>
      <scheme val="minor"/>
    </font>
    <font>
      <b/>
      <sz val="11"/>
      <color theme="1"/>
      <name val="Calibri"/>
      <family val="2"/>
      <scheme val="minor"/>
    </font>
    <font>
      <sz val="11"/>
      <name val="Calibri"/>
      <family val="2"/>
      <scheme val="minor"/>
    </font>
    <font>
      <sz val="8"/>
      <name val="Calibri"/>
      <family val="2"/>
      <scheme val="minor"/>
    </font>
    <font>
      <sz val="11"/>
      <color rgb="FF000000"/>
      <name val="Arial"/>
      <family val="2"/>
    </font>
    <font>
      <sz val="11"/>
      <color theme="1"/>
      <name val="Calibri"/>
      <family val="2"/>
      <scheme val="minor"/>
    </font>
    <font>
      <b/>
      <sz val="11"/>
      <name val="Calibri"/>
      <family val="2"/>
      <scheme val="minor"/>
    </font>
    <font>
      <sz val="11"/>
      <color rgb="FF9C0006"/>
      <name val="Calibri"/>
      <family val="2"/>
      <scheme val="minor"/>
    </font>
    <font>
      <b/>
      <sz val="10"/>
      <name val="Arial"/>
      <family val="2"/>
    </font>
    <font>
      <sz val="11"/>
      <color rgb="FF006100"/>
      <name val="Calibri"/>
      <family val="2"/>
      <scheme val="minor"/>
    </font>
    <font>
      <sz val="11"/>
      <color rgb="FF3F3F76"/>
      <name val="Calibri"/>
      <family val="2"/>
      <scheme val="minor"/>
    </font>
    <font>
      <sz val="11"/>
      <color rgb="FF9C5700"/>
      <name val="Calibri"/>
      <family val="2"/>
      <scheme val="minor"/>
    </font>
    <font>
      <b/>
      <sz val="11"/>
      <color rgb="FF006100"/>
      <name val="Calibri"/>
      <family val="2"/>
      <scheme val="minor"/>
    </font>
    <font>
      <sz val="10"/>
      <name val="Arial"/>
      <family val="2"/>
    </font>
    <font>
      <u/>
      <sz val="11"/>
      <color theme="10"/>
      <name val="Calibri"/>
      <family val="2"/>
      <scheme val="minor"/>
    </font>
    <font>
      <sz val="10"/>
      <color theme="1"/>
      <name val="Arial"/>
      <family val="2"/>
    </font>
    <font>
      <b/>
      <sz val="10"/>
      <color theme="1"/>
      <name val="Arial"/>
      <family val="2"/>
    </font>
    <font>
      <b/>
      <sz val="16"/>
      <color theme="1"/>
      <name val="Arial"/>
      <family val="2"/>
    </font>
    <font>
      <b/>
      <sz val="18"/>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sz val="10"/>
      <name val="Verdana"/>
      <family val="2"/>
    </font>
    <font>
      <u/>
      <sz val="7.5"/>
      <color indexed="12"/>
      <name val="Arial"/>
      <family val="2"/>
    </font>
    <font>
      <sz val="11"/>
      <color theme="2" tint="-0.249977111117893"/>
      <name val="Calibri"/>
      <family val="2"/>
      <scheme val="minor"/>
    </font>
    <font>
      <sz val="9"/>
      <color indexed="81"/>
      <name val="Tahoma"/>
      <family val="2"/>
    </font>
    <font>
      <sz val="11"/>
      <color theme="1"/>
      <name val="Aptos"/>
      <family val="2"/>
    </font>
    <font>
      <b/>
      <vertAlign val="subscript"/>
      <sz val="11"/>
      <name val="Arial"/>
      <family val="2"/>
    </font>
    <font>
      <b/>
      <sz val="14"/>
      <color theme="1"/>
      <name val="Arial"/>
      <family val="2"/>
    </font>
    <font>
      <b/>
      <vertAlign val="subscript"/>
      <sz val="14"/>
      <color theme="1"/>
      <name val="Arial"/>
      <family val="2"/>
    </font>
    <font>
      <sz val="11"/>
      <color theme="4" tint="0.79998168889431442"/>
      <name val="Arial"/>
      <family val="2"/>
    </font>
    <font>
      <b/>
      <sz val="9"/>
      <color indexed="81"/>
      <name val="Tahoma"/>
      <family val="2"/>
    </font>
    <font>
      <sz val="13"/>
      <color theme="1"/>
      <name val="Calibri"/>
      <family val="2"/>
      <scheme val="minor"/>
    </font>
    <font>
      <b/>
      <sz val="12"/>
      <name val="Arial"/>
      <family val="2"/>
    </font>
  </fonts>
  <fills count="64">
    <fill>
      <patternFill patternType="none"/>
    </fill>
    <fill>
      <patternFill patternType="gray125"/>
    </fill>
    <fill>
      <patternFill patternType="solid">
        <fgColor theme="4"/>
        <bgColor indexed="64"/>
      </patternFill>
    </fill>
    <fill>
      <patternFill patternType="solid">
        <fgColor theme="4" tint="-0.49998474074526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rgb="FFE2EFDA"/>
        <bgColor indexed="64"/>
      </patternFill>
    </fill>
    <fill>
      <patternFill patternType="solid">
        <fgColor theme="9" tint="0.59999389629810485"/>
        <bgColor theme="4"/>
      </patternFill>
    </fill>
    <fill>
      <patternFill patternType="solid">
        <fgColor theme="5" tint="0.79998168889431442"/>
        <bgColor indexed="64"/>
      </patternFill>
    </fill>
    <fill>
      <patternFill patternType="solid">
        <fgColor theme="9" tint="0.79998168889431442"/>
        <bgColor theme="4"/>
      </patternFill>
    </fill>
    <fill>
      <patternFill patternType="solid">
        <fgColor rgb="FFFFC7CE"/>
      </patternFill>
    </fill>
    <fill>
      <patternFill patternType="solid">
        <fgColor theme="9"/>
        <bgColor indexed="64"/>
      </patternFill>
    </fill>
    <fill>
      <patternFill patternType="solid">
        <fgColor rgb="FFC6EFCE"/>
      </patternFill>
    </fill>
    <fill>
      <patternFill patternType="solid">
        <fgColor rgb="FFFFCC99"/>
      </patternFill>
    </fill>
    <fill>
      <patternFill patternType="solid">
        <fgColor theme="0" tint="-0.14999847407452621"/>
        <bgColor indexed="64"/>
      </patternFill>
    </fill>
    <fill>
      <patternFill patternType="solid">
        <fgColor rgb="FFFFEB9C"/>
      </patternFill>
    </fill>
    <fill>
      <patternFill patternType="solid">
        <fgColor theme="8" tint="0.59999389629810485"/>
        <bgColor indexed="64"/>
      </patternFill>
    </fill>
    <fill>
      <patternFill patternType="solid">
        <fgColor rgb="FFA5A5A5"/>
      </patternFill>
    </fill>
    <fill>
      <patternFill patternType="solid">
        <fgColor indexed="13"/>
        <bgColor indexed="9"/>
      </patternFill>
    </fill>
    <fill>
      <patternFill patternType="solid">
        <fgColor indexed="13"/>
        <bgColor indexed="64"/>
      </patternFill>
    </fill>
    <fill>
      <patternFill patternType="solid">
        <fgColor theme="5"/>
        <bgColor indexed="64"/>
      </patternFill>
    </fill>
    <fill>
      <patternFill patternType="solid">
        <fgColor theme="5"/>
        <bgColor indexed="9"/>
      </patternFill>
    </fill>
    <fill>
      <patternFill patternType="solid">
        <fgColor theme="5" tint="0.59999389629810485"/>
        <bgColor indexed="64"/>
      </patternFill>
    </fill>
    <fill>
      <patternFill patternType="solid">
        <fgColor theme="6" tint="0.5999938962981048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9999"/>
        <bgColor indexed="64"/>
      </patternFill>
    </fill>
    <fill>
      <patternFill patternType="solid">
        <fgColor rgb="FFFF8585"/>
        <bgColor indexed="64"/>
      </patternFill>
    </fill>
    <fill>
      <patternFill patternType="solid">
        <fgColor theme="7"/>
        <bgColor indexed="64"/>
      </patternFill>
    </fill>
    <fill>
      <patternFill patternType="solid">
        <fgColor rgb="FFDDEBF7"/>
        <bgColor indexed="64"/>
      </patternFill>
    </fill>
    <fill>
      <patternFill patternType="solid">
        <fgColor theme="8" tint="0.59999389629810485"/>
        <bgColor theme="4" tint="0.79998168889431442"/>
      </patternFill>
    </fill>
    <fill>
      <patternFill patternType="solid">
        <fgColor theme="0"/>
        <bgColor theme="4" tint="0.79998168889431442"/>
      </patternFill>
    </fill>
    <fill>
      <patternFill patternType="solid">
        <fgColor theme="0"/>
        <bgColor indexed="64"/>
      </patternFill>
    </fill>
    <fill>
      <patternFill patternType="solid">
        <fgColor theme="5" tint="0.59999389629810485"/>
        <bgColor theme="4"/>
      </patternFill>
    </fill>
    <fill>
      <patternFill patternType="solid">
        <fgColor theme="5" tint="0.39997558519241921"/>
        <bgColor theme="4"/>
      </patternFill>
    </fill>
    <fill>
      <patternFill patternType="solid">
        <fgColor theme="2" tint="-9.9978637043366805E-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9" tint="0.59999389629810485"/>
        <bgColor indexed="64"/>
      </patternFill>
    </fill>
  </fills>
  <borders count="59">
    <border>
      <left/>
      <right/>
      <top/>
      <bottom/>
      <diagonal/>
    </border>
    <border>
      <left style="medium">
        <color indexed="64"/>
      </left>
      <right/>
      <top/>
      <bottom/>
      <diagonal/>
    </border>
    <border>
      <left/>
      <right style="medium">
        <color indexed="64"/>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auto="1"/>
      </right>
      <top/>
      <bottom style="thin">
        <color indexed="64"/>
      </bottom>
      <diagonal/>
    </border>
    <border>
      <left style="thin">
        <color indexed="64"/>
      </left>
      <right style="thin">
        <color indexed="64"/>
      </right>
      <top style="thin">
        <color theme="4" tint="0.39997558519241921"/>
      </top>
      <bottom style="thin">
        <color theme="4" tint="0.39997558519241921"/>
      </bottom>
      <diagonal/>
    </border>
    <border>
      <left style="thin">
        <color indexed="64"/>
      </left>
      <right style="thin">
        <color auto="1"/>
      </right>
      <top style="thin">
        <color theme="4" tint="0.39997558519241921"/>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auto="1"/>
      </left>
      <right/>
      <top/>
      <bottom/>
      <diagonal/>
    </border>
    <border>
      <left/>
      <right style="thin">
        <color auto="1"/>
      </right>
      <top/>
      <bottom/>
      <diagonal/>
    </border>
    <border>
      <left style="thin">
        <color theme="4" tint="0.39997558519241921"/>
      </left>
      <right/>
      <top style="thin">
        <color theme="4" tint="0.39997558519241921"/>
      </top>
      <bottom/>
      <diagonal/>
    </border>
    <border>
      <left style="thin">
        <color rgb="FF7F7F7F"/>
      </left>
      <right style="thin">
        <color rgb="FF7F7F7F"/>
      </right>
      <top style="thin">
        <color rgb="FF7F7F7F"/>
      </top>
      <bottom style="thin">
        <color rgb="FF7F7F7F"/>
      </bottom>
      <diagonal/>
    </border>
    <border>
      <left/>
      <right/>
      <top style="thin">
        <color indexed="64"/>
      </top>
      <bottom style="thin">
        <color theme="4" tint="0.39997558519241921"/>
      </bottom>
      <diagonal/>
    </border>
    <border>
      <left/>
      <right/>
      <top/>
      <bottom style="double">
        <color auto="1"/>
      </bottom>
      <diagonal/>
    </border>
    <border>
      <left style="thin">
        <color indexed="64"/>
      </left>
      <right style="thin">
        <color indexed="64"/>
      </right>
      <top style="thin">
        <color theme="4" tint="0.39997558519241921"/>
      </top>
      <bottom/>
      <diagonal/>
    </border>
    <border>
      <left/>
      <right/>
      <top style="thin">
        <color indexed="64"/>
      </top>
      <bottom/>
      <diagonal/>
    </border>
    <border>
      <left style="double">
        <color rgb="FF3F3F3F"/>
      </left>
      <right style="double">
        <color rgb="FF3F3F3F"/>
      </right>
      <top style="double">
        <color rgb="FF3F3F3F"/>
      </top>
      <bottom style="double">
        <color rgb="FF3F3F3F"/>
      </bottom>
      <diagonal/>
    </border>
    <border>
      <left/>
      <right/>
      <top style="thin">
        <color theme="4" tint="0.39997558519241921"/>
      </top>
      <bottom style="thin">
        <color rgb="FF7F7F7F"/>
      </bottom>
      <diagonal/>
    </border>
    <border>
      <left/>
      <right/>
      <top style="thin">
        <color rgb="FF7F7F7F"/>
      </top>
      <bottom/>
      <diagonal/>
    </border>
    <border>
      <left style="hair">
        <color indexed="64"/>
      </left>
      <right style="hair">
        <color indexed="64"/>
      </right>
      <top style="hair">
        <color indexed="64"/>
      </top>
      <bottom style="hair">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rgb="FF7F7F7F"/>
      </left>
      <right/>
      <top style="thin">
        <color rgb="FF7F7F7F"/>
      </top>
      <bottom style="thin">
        <color rgb="FF7F7F7F"/>
      </bottom>
      <diagonal/>
    </border>
    <border>
      <left style="thin">
        <color rgb="FF7F7F7F"/>
      </left>
      <right style="thin">
        <color rgb="FF7F7F7F"/>
      </right>
      <top style="thin">
        <color rgb="FF7F7F7F"/>
      </top>
      <bottom/>
      <diagonal/>
    </border>
    <border>
      <left/>
      <right/>
      <top style="thin">
        <color rgb="FF7F7F7F"/>
      </top>
      <bottom style="thin">
        <color rgb="FF7F7F7F"/>
      </bottom>
      <diagonal/>
    </border>
    <border>
      <left/>
      <right/>
      <top/>
      <bottom style="thin">
        <color indexed="64"/>
      </bottom>
      <diagonal/>
    </border>
    <border>
      <left/>
      <right/>
      <top style="medium">
        <color indexed="64"/>
      </top>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17">
    <xf numFmtId="0" fontId="0" fillId="0" borderId="0"/>
    <xf numFmtId="0" fontId="15" fillId="0" borderId="0"/>
    <xf numFmtId="0" fontId="17" fillId="14" borderId="0" applyNumberFormat="0" applyBorder="0" applyAlignment="0" applyProtection="0"/>
    <xf numFmtId="165" fontId="15" fillId="0" borderId="0" applyFont="0" applyFill="0" applyBorder="0" applyAlignment="0" applyProtection="0"/>
    <xf numFmtId="9" fontId="15" fillId="0" borderId="0" applyFont="0" applyFill="0" applyBorder="0" applyAlignment="0" applyProtection="0"/>
    <xf numFmtId="0" fontId="19" fillId="16" borderId="0" applyNumberFormat="0" applyBorder="0" applyAlignment="0" applyProtection="0"/>
    <xf numFmtId="0" fontId="20" fillId="17" borderId="28" applyNumberFormat="0" applyAlignment="0" applyProtection="0"/>
    <xf numFmtId="0" fontId="21" fillId="19" borderId="0" applyNumberFormat="0" applyBorder="0" applyAlignment="0" applyProtection="0"/>
    <xf numFmtId="0" fontId="10" fillId="21" borderId="33" applyNumberFormat="0" applyAlignment="0" applyProtection="0"/>
    <xf numFmtId="3" fontId="23" fillId="0" borderId="0" applyFont="0" applyFill="0" applyBorder="0" applyAlignment="0" applyProtection="0"/>
    <xf numFmtId="9" fontId="23" fillId="0" borderId="0" applyFont="0" applyFill="0" applyBorder="0" applyAlignment="0" applyProtection="0"/>
    <xf numFmtId="0" fontId="23" fillId="0" borderId="36"/>
    <xf numFmtId="175" fontId="29" fillId="29" borderId="0" applyNumberFormat="0" applyBorder="0" applyAlignment="0" applyProtection="0"/>
    <xf numFmtId="175" fontId="29" fillId="30" borderId="0" applyNumberFormat="0" applyBorder="0" applyAlignment="0" applyProtection="0"/>
    <xf numFmtId="175" fontId="29" fillId="31" borderId="0" applyNumberFormat="0" applyBorder="0" applyAlignment="0" applyProtection="0"/>
    <xf numFmtId="175" fontId="29" fillId="32" borderId="0" applyNumberFormat="0" applyBorder="0" applyAlignment="0" applyProtection="0"/>
    <xf numFmtId="175" fontId="29" fillId="33" borderId="0" applyNumberFormat="0" applyBorder="0" applyAlignment="0" applyProtection="0"/>
    <xf numFmtId="175" fontId="29" fillId="34" borderId="0" applyNumberFormat="0" applyBorder="0" applyAlignment="0" applyProtection="0"/>
    <xf numFmtId="175" fontId="29" fillId="35" borderId="0" applyNumberFormat="0" applyBorder="0" applyAlignment="0" applyProtection="0"/>
    <xf numFmtId="175" fontId="29" fillId="36" borderId="0" applyNumberFormat="0" applyBorder="0" applyAlignment="0" applyProtection="0"/>
    <xf numFmtId="175" fontId="29" fillId="37" borderId="0" applyNumberFormat="0" applyBorder="0" applyAlignment="0" applyProtection="0"/>
    <xf numFmtId="175" fontId="29" fillId="32" borderId="0" applyNumberFormat="0" applyBorder="0" applyAlignment="0" applyProtection="0"/>
    <xf numFmtId="175" fontId="29" fillId="35" borderId="0" applyNumberFormat="0" applyBorder="0" applyAlignment="0" applyProtection="0"/>
    <xf numFmtId="175" fontId="29" fillId="38" borderId="0" applyNumberFormat="0" applyBorder="0" applyAlignment="0" applyProtection="0"/>
    <xf numFmtId="175" fontId="30" fillId="39" borderId="0" applyNumberFormat="0" applyBorder="0" applyAlignment="0" applyProtection="0"/>
    <xf numFmtId="175" fontId="30" fillId="36" borderId="0" applyNumberFormat="0" applyBorder="0" applyAlignment="0" applyProtection="0"/>
    <xf numFmtId="175" fontId="30" fillId="37" borderId="0" applyNumberFormat="0" applyBorder="0" applyAlignment="0" applyProtection="0"/>
    <xf numFmtId="175" fontId="30" fillId="40" borderId="0" applyNumberFormat="0" applyBorder="0" applyAlignment="0" applyProtection="0"/>
    <xf numFmtId="175" fontId="30" fillId="41" borderId="0" applyNumberFormat="0" applyBorder="0" applyAlignment="0" applyProtection="0"/>
    <xf numFmtId="175" fontId="30" fillId="42" borderId="0" applyNumberFormat="0" applyBorder="0" applyAlignment="0" applyProtection="0"/>
    <xf numFmtId="175" fontId="30" fillId="43" borderId="0" applyNumberFormat="0" applyBorder="0" applyAlignment="0" applyProtection="0"/>
    <xf numFmtId="175" fontId="30" fillId="44" borderId="0" applyNumberFormat="0" applyBorder="0" applyAlignment="0" applyProtection="0"/>
    <xf numFmtId="175" fontId="30" fillId="45" borderId="0" applyNumberFormat="0" applyBorder="0" applyAlignment="0" applyProtection="0"/>
    <xf numFmtId="175" fontId="30" fillId="40" borderId="0" applyNumberFormat="0" applyBorder="0" applyAlignment="0" applyProtection="0"/>
    <xf numFmtId="175" fontId="30" fillId="41" borderId="0" applyNumberFormat="0" applyBorder="0" applyAlignment="0" applyProtection="0"/>
    <xf numFmtId="175" fontId="30" fillId="46" borderId="0" applyNumberFormat="0" applyBorder="0" applyAlignment="0" applyProtection="0"/>
    <xf numFmtId="175" fontId="31" fillId="30" borderId="0" applyNumberFormat="0" applyBorder="0" applyAlignment="0" applyProtection="0"/>
    <xf numFmtId="175" fontId="32" fillId="47" borderId="37" applyNumberFormat="0" applyAlignment="0" applyProtection="0"/>
    <xf numFmtId="175" fontId="33" fillId="48" borderId="38" applyNumberFormat="0" applyAlignment="0" applyProtection="0"/>
    <xf numFmtId="3" fontId="23" fillId="0" borderId="0" applyFont="0" applyFill="0" applyBorder="0" applyAlignment="0" applyProtection="0"/>
    <xf numFmtId="164" fontId="23" fillId="0" borderId="0" applyFont="0" applyFill="0" applyBorder="0" applyAlignment="0" applyProtection="0"/>
    <xf numFmtId="175" fontId="34" fillId="0" borderId="0" applyNumberFormat="0" applyFill="0" applyBorder="0" applyAlignment="0" applyProtection="0"/>
    <xf numFmtId="175" fontId="35" fillId="31" borderId="0" applyNumberFormat="0" applyBorder="0" applyAlignment="0" applyProtection="0"/>
    <xf numFmtId="175" fontId="36" fillId="0" borderId="39" applyNumberFormat="0" applyFill="0" applyAlignment="0" applyProtection="0"/>
    <xf numFmtId="175" fontId="37" fillId="0" borderId="40" applyNumberFormat="0" applyFill="0" applyAlignment="0" applyProtection="0"/>
    <xf numFmtId="175" fontId="38" fillId="0" borderId="41" applyNumberFormat="0" applyFill="0" applyAlignment="0" applyProtection="0"/>
    <xf numFmtId="175" fontId="38" fillId="0" borderId="0" applyNumberFormat="0" applyFill="0" applyBorder="0" applyAlignment="0" applyProtection="0"/>
    <xf numFmtId="175" fontId="39" fillId="34" borderId="37" applyNumberFormat="0" applyAlignment="0" applyProtection="0"/>
    <xf numFmtId="175" fontId="40" fillId="0" borderId="42" applyNumberFormat="0" applyFill="0" applyAlignment="0" applyProtection="0"/>
    <xf numFmtId="175" fontId="41" fillId="49" borderId="0" applyNumberFormat="0" applyBorder="0" applyAlignment="0" applyProtection="0"/>
    <xf numFmtId="175" fontId="23" fillId="50" borderId="43" applyNumberFormat="0" applyFont="0" applyAlignment="0" applyProtection="0"/>
    <xf numFmtId="175" fontId="42" fillId="47" borderId="44" applyNumberFormat="0" applyAlignment="0" applyProtection="0"/>
    <xf numFmtId="175" fontId="43" fillId="0" borderId="0" applyNumberFormat="0" applyFill="0" applyBorder="0" applyAlignment="0" applyProtection="0"/>
    <xf numFmtId="175" fontId="44" fillId="0" borderId="45" applyNumberFormat="0" applyFill="0" applyAlignment="0" applyProtection="0"/>
    <xf numFmtId="175" fontId="45" fillId="0" borderId="0" applyNumberFormat="0" applyFill="0" applyBorder="0" applyAlignment="0" applyProtection="0"/>
    <xf numFmtId="3" fontId="23" fillId="0" borderId="0" applyFont="0" applyFill="0" applyBorder="0" applyAlignment="0" applyProtection="0"/>
    <xf numFmtId="0" fontId="46" fillId="0" borderId="0"/>
    <xf numFmtId="9" fontId="46" fillId="0" borderId="0" applyFont="0" applyFill="0" applyBorder="0" applyAlignment="0" applyProtection="0"/>
    <xf numFmtId="165" fontId="46" fillId="0" borderId="0" applyFont="0" applyFill="0" applyBorder="0" applyAlignment="0" applyProtection="0"/>
    <xf numFmtId="0" fontId="15" fillId="0" borderId="0"/>
    <xf numFmtId="0" fontId="15" fillId="0" borderId="0"/>
    <xf numFmtId="0" fontId="15" fillId="0" borderId="0"/>
    <xf numFmtId="3" fontId="23" fillId="0" borderId="0" applyFont="0" applyFill="0" applyBorder="0" applyAlignment="0" applyProtection="0"/>
    <xf numFmtId="175" fontId="23" fillId="50" borderId="43" applyNumberFormat="0" applyFont="0" applyAlignment="0" applyProtection="0"/>
    <xf numFmtId="175" fontId="44" fillId="0" borderId="45" applyNumberFormat="0" applyFill="0" applyAlignment="0" applyProtection="0"/>
    <xf numFmtId="175" fontId="39" fillId="34" borderId="37" applyNumberFormat="0" applyAlignment="0" applyProtection="0"/>
    <xf numFmtId="175" fontId="32" fillId="47" borderId="37" applyNumberFormat="0" applyAlignment="0" applyProtection="0"/>
    <xf numFmtId="3" fontId="23" fillId="0" borderId="0" applyFont="0" applyFill="0" applyBorder="0" applyAlignment="0" applyProtection="0"/>
    <xf numFmtId="175" fontId="32" fillId="47" borderId="37" applyNumberFormat="0" applyAlignment="0" applyProtection="0"/>
    <xf numFmtId="3" fontId="23" fillId="0" borderId="0" applyFont="0" applyFill="0" applyBorder="0" applyAlignment="0" applyProtection="0"/>
    <xf numFmtId="3" fontId="23" fillId="0" borderId="0" applyFont="0" applyFill="0" applyBorder="0" applyAlignment="0" applyProtection="0"/>
    <xf numFmtId="175" fontId="39" fillId="34" borderId="37" applyNumberFormat="0" applyAlignment="0" applyProtection="0"/>
    <xf numFmtId="175" fontId="23" fillId="50" borderId="43" applyNumberFormat="0" applyFont="0" applyAlignment="0" applyProtection="0"/>
    <xf numFmtId="175" fontId="39" fillId="34" borderId="37" applyNumberFormat="0" applyAlignment="0" applyProtection="0"/>
    <xf numFmtId="175" fontId="42" fillId="47" borderId="44" applyNumberFormat="0" applyAlignment="0" applyProtection="0"/>
    <xf numFmtId="175" fontId="23" fillId="50" borderId="43" applyNumberFormat="0" applyFont="0" applyAlignment="0" applyProtection="0"/>
    <xf numFmtId="175" fontId="42" fillId="47" borderId="44" applyNumberFormat="0" applyAlignment="0" applyProtection="0"/>
    <xf numFmtId="175" fontId="44" fillId="0" borderId="45" applyNumberFormat="0" applyFill="0" applyAlignment="0" applyProtection="0"/>
    <xf numFmtId="175" fontId="39" fillId="34" borderId="37" applyNumberFormat="0" applyAlignment="0" applyProtection="0"/>
    <xf numFmtId="175" fontId="44" fillId="0" borderId="45" applyNumberFormat="0" applyFill="0" applyAlignment="0" applyProtection="0"/>
    <xf numFmtId="175" fontId="32" fillId="47" borderId="37" applyNumberFormat="0" applyAlignment="0" applyProtection="0"/>
    <xf numFmtId="175" fontId="42" fillId="47" borderId="44" applyNumberFormat="0" applyAlignment="0" applyProtection="0"/>
    <xf numFmtId="175" fontId="32" fillId="47" borderId="37" applyNumberFormat="0" applyAlignment="0" applyProtection="0"/>
    <xf numFmtId="3" fontId="23" fillId="0" borderId="0" applyFont="0" applyFill="0" applyBorder="0" applyAlignment="0" applyProtection="0"/>
    <xf numFmtId="175" fontId="47" fillId="0" borderId="0" applyNumberFormat="0" applyFill="0" applyBorder="0" applyAlignment="0" applyProtection="0">
      <alignment vertical="top"/>
      <protection locked="0"/>
    </xf>
    <xf numFmtId="0" fontId="15" fillId="0" borderId="0"/>
    <xf numFmtId="0" fontId="15" fillId="0" borderId="0"/>
    <xf numFmtId="175" fontId="32" fillId="47" borderId="37" applyNumberFormat="0" applyAlignment="0" applyProtection="0"/>
    <xf numFmtId="175" fontId="39" fillId="34" borderId="37" applyNumberFormat="0" applyAlignment="0" applyProtection="0"/>
    <xf numFmtId="175" fontId="40" fillId="0" borderId="42" applyNumberFormat="0" applyFill="0" applyAlignment="0" applyProtection="0"/>
    <xf numFmtId="175" fontId="23" fillId="50" borderId="43" applyNumberFormat="0" applyFont="0" applyAlignment="0" applyProtection="0"/>
    <xf numFmtId="175" fontId="42" fillId="47" borderId="44" applyNumberFormat="0" applyAlignment="0" applyProtection="0"/>
    <xf numFmtId="175" fontId="44" fillId="0" borderId="45" applyNumberFormat="0" applyFill="0" applyAlignment="0" applyProtection="0"/>
    <xf numFmtId="175" fontId="39" fillId="34" borderId="37" applyNumberFormat="0" applyAlignment="0" applyProtection="0"/>
    <xf numFmtId="175" fontId="32" fillId="47" borderId="37" applyNumberFormat="0" applyAlignment="0" applyProtection="0"/>
    <xf numFmtId="175" fontId="32" fillId="47" borderId="37" applyNumberFormat="0" applyAlignment="0" applyProtection="0"/>
    <xf numFmtId="175" fontId="39" fillId="34" borderId="37" applyNumberFormat="0" applyAlignment="0" applyProtection="0"/>
    <xf numFmtId="175" fontId="23" fillId="50" borderId="43" applyNumberFormat="0" applyFont="0" applyAlignment="0" applyProtection="0"/>
    <xf numFmtId="175" fontId="39" fillId="34" borderId="37" applyNumberFormat="0" applyAlignment="0" applyProtection="0"/>
    <xf numFmtId="175" fontId="42" fillId="47" borderId="44" applyNumberFormat="0" applyAlignment="0" applyProtection="0"/>
    <xf numFmtId="175" fontId="23" fillId="50" borderId="43" applyNumberFormat="0" applyFont="0" applyAlignment="0" applyProtection="0"/>
    <xf numFmtId="175" fontId="42" fillId="47" borderId="44" applyNumberFormat="0" applyAlignment="0" applyProtection="0"/>
    <xf numFmtId="175" fontId="44" fillId="0" borderId="45" applyNumberFormat="0" applyFill="0" applyAlignment="0" applyProtection="0"/>
    <xf numFmtId="175" fontId="44" fillId="0" borderId="45" applyNumberFormat="0" applyFill="0" applyAlignment="0" applyProtection="0"/>
    <xf numFmtId="175" fontId="32" fillId="47" borderId="37" applyNumberFormat="0" applyAlignment="0" applyProtection="0"/>
    <xf numFmtId="0" fontId="15" fillId="0" borderId="0"/>
    <xf numFmtId="9" fontId="23" fillId="0" borderId="0" applyFont="0" applyFill="0" applyBorder="0" applyAlignment="0" applyProtection="0"/>
    <xf numFmtId="165" fontId="15" fillId="0" borderId="0" applyFont="0" applyFill="0" applyBorder="0" applyAlignment="0" applyProtection="0"/>
    <xf numFmtId="9" fontId="15" fillId="0" borderId="0" applyFont="0" applyFill="0" applyBorder="0" applyAlignment="0" applyProtection="0"/>
    <xf numFmtId="165" fontId="15" fillId="0" borderId="0" applyFont="0" applyFill="0" applyBorder="0" applyAlignment="0" applyProtection="0"/>
    <xf numFmtId="0" fontId="24" fillId="0" borderId="0" applyNumberForma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0" fontId="23" fillId="0" borderId="36"/>
    <xf numFmtId="0" fontId="56" fillId="0" borderId="0"/>
  </cellStyleXfs>
  <cellXfs count="477">
    <xf numFmtId="0" fontId="0" fillId="0" borderId="0" xfId="0"/>
    <xf numFmtId="0" fontId="0" fillId="0" borderId="1" xfId="0" applyBorder="1"/>
    <xf numFmtId="0" fontId="0" fillId="0" borderId="2" xfId="0" applyBorder="1"/>
    <xf numFmtId="0" fontId="0" fillId="0" borderId="6" xfId="0" applyBorder="1"/>
    <xf numFmtId="0" fontId="0" fillId="0" borderId="7" xfId="0" applyBorder="1"/>
    <xf numFmtId="0" fontId="0" fillId="0" borderId="8" xfId="0" applyBorder="1"/>
    <xf numFmtId="0" fontId="0" fillId="0" borderId="9" xfId="0" applyBorder="1"/>
    <xf numFmtId="0" fontId="10" fillId="9" borderId="10" xfId="0" applyFont="1" applyFill="1" applyBorder="1"/>
    <xf numFmtId="0" fontId="10" fillId="9" borderId="3" xfId="0" applyFont="1" applyFill="1" applyBorder="1"/>
    <xf numFmtId="0" fontId="10" fillId="9" borderId="4" xfId="0" applyFont="1" applyFill="1" applyBorder="1"/>
    <xf numFmtId="0" fontId="0" fillId="0" borderId="0" xfId="0" quotePrefix="1" applyAlignment="1">
      <alignment horizontal="left"/>
    </xf>
    <xf numFmtId="0" fontId="10" fillId="9" borderId="0" xfId="0" applyFont="1" applyFill="1"/>
    <xf numFmtId="0" fontId="11" fillId="0" borderId="0" xfId="0" applyFont="1"/>
    <xf numFmtId="9" fontId="0" fillId="7" borderId="0" xfId="0" applyNumberFormat="1" applyFill="1"/>
    <xf numFmtId="0" fontId="12" fillId="0" borderId="0" xfId="0" applyFont="1"/>
    <xf numFmtId="11" fontId="12" fillId="0" borderId="0" xfId="0" applyNumberFormat="1" applyFont="1"/>
    <xf numFmtId="166" fontId="12" fillId="0" borderId="0" xfId="0" applyNumberFormat="1" applyFont="1"/>
    <xf numFmtId="0" fontId="0" fillId="0" borderId="0" xfId="0" applyAlignment="1">
      <alignment wrapText="1"/>
    </xf>
    <xf numFmtId="0" fontId="0" fillId="8" borderId="3" xfId="0" applyFill="1" applyBorder="1"/>
    <xf numFmtId="0" fontId="16" fillId="11" borderId="3" xfId="0" applyFont="1" applyFill="1" applyBorder="1"/>
    <xf numFmtId="0" fontId="16" fillId="11" borderId="0" xfId="0" applyFont="1" applyFill="1"/>
    <xf numFmtId="0" fontId="0" fillId="5" borderId="0" xfId="0" applyFill="1"/>
    <xf numFmtId="0" fontId="12" fillId="12" borderId="0" xfId="0" applyFont="1" applyFill="1"/>
    <xf numFmtId="0" fontId="12" fillId="5" borderId="0" xfId="0" applyFont="1" applyFill="1"/>
    <xf numFmtId="0" fontId="16" fillId="13" borderId="0" xfId="0" applyFont="1" applyFill="1"/>
    <xf numFmtId="0" fontId="16" fillId="13" borderId="3" xfId="0" applyFont="1" applyFill="1" applyBorder="1"/>
    <xf numFmtId="0" fontId="16" fillId="5" borderId="10" xfId="0" applyFont="1" applyFill="1" applyBorder="1"/>
    <xf numFmtId="0" fontId="16" fillId="5" borderId="3" xfId="0" applyFont="1" applyFill="1" applyBorder="1"/>
    <xf numFmtId="0" fontId="16" fillId="5" borderId="0" xfId="0" applyFont="1" applyFill="1" applyAlignment="1">
      <alignment wrapText="1"/>
    </xf>
    <xf numFmtId="166" fontId="0" fillId="0" borderId="0" xfId="0" applyNumberFormat="1"/>
    <xf numFmtId="0" fontId="0" fillId="0" borderId="16" xfId="0" applyBorder="1"/>
    <xf numFmtId="0" fontId="11" fillId="0" borderId="3" xfId="0" applyFont="1" applyBorder="1"/>
    <xf numFmtId="0" fontId="16" fillId="0" borderId="3" xfId="0" applyFont="1" applyBorder="1"/>
    <xf numFmtId="167" fontId="18" fillId="0" borderId="24" xfId="0" applyNumberFormat="1" applyFont="1" applyBorder="1" applyAlignment="1">
      <alignment wrapText="1"/>
    </xf>
    <xf numFmtId="2" fontId="12" fillId="0" borderId="17" xfId="0" applyNumberFormat="1" applyFont="1" applyBorder="1"/>
    <xf numFmtId="2" fontId="12" fillId="0" borderId="17" xfId="0" applyNumberFormat="1" applyFont="1" applyBorder="1" applyAlignment="1">
      <alignment horizontal="center"/>
    </xf>
    <xf numFmtId="2" fontId="12" fillId="0" borderId="25" xfId="0" applyNumberFormat="1" applyFont="1" applyBorder="1"/>
    <xf numFmtId="2" fontId="12" fillId="0" borderId="0" xfId="0" applyNumberFormat="1" applyFont="1"/>
    <xf numFmtId="2" fontId="12" fillId="0" borderId="26" xfId="0" applyNumberFormat="1" applyFont="1" applyBorder="1"/>
    <xf numFmtId="2" fontId="12" fillId="0" borderId="18" xfId="0" applyNumberFormat="1" applyFont="1" applyBorder="1"/>
    <xf numFmtId="2" fontId="12" fillId="0" borderId="18" xfId="0" applyNumberFormat="1" applyFont="1" applyBorder="1" applyAlignment="1">
      <alignment horizontal="center"/>
    </xf>
    <xf numFmtId="2" fontId="12" fillId="0" borderId="19" xfId="0" applyNumberFormat="1" applyFont="1" applyBorder="1"/>
    <xf numFmtId="0" fontId="0" fillId="8" borderId="10" xfId="0" applyFill="1" applyBorder="1"/>
    <xf numFmtId="0" fontId="19" fillId="16" borderId="0" xfId="5"/>
    <xf numFmtId="168" fontId="19" fillId="16" borderId="0" xfId="5" applyNumberFormat="1"/>
    <xf numFmtId="169" fontId="19" fillId="16" borderId="0" xfId="5" applyNumberFormat="1"/>
    <xf numFmtId="170" fontId="19" fillId="16" borderId="0" xfId="5" applyNumberFormat="1"/>
    <xf numFmtId="165" fontId="19" fillId="16" borderId="0" xfId="5" applyNumberFormat="1"/>
    <xf numFmtId="0" fontId="12" fillId="0" borderId="28" xfId="6" applyFont="1" applyFill="1"/>
    <xf numFmtId="2" fontId="0" fillId="0" borderId="0" xfId="0" applyNumberFormat="1"/>
    <xf numFmtId="0" fontId="0" fillId="0" borderId="0" xfId="0" applyAlignment="1">
      <alignment horizontal="left"/>
    </xf>
    <xf numFmtId="9" fontId="0" fillId="0" borderId="0" xfId="0" applyNumberFormat="1"/>
    <xf numFmtId="2" fontId="12" fillId="8" borderId="20" xfId="0" applyNumberFormat="1" applyFont="1" applyFill="1" applyBorder="1"/>
    <xf numFmtId="2" fontId="12" fillId="8" borderId="21" xfId="0" applyNumberFormat="1" applyFont="1" applyFill="1" applyBorder="1"/>
    <xf numFmtId="2" fontId="2" fillId="2" borderId="0" xfId="0" applyNumberFormat="1" applyFont="1" applyFill="1" applyAlignment="1">
      <alignment horizontal="centerContinuous"/>
    </xf>
    <xf numFmtId="2" fontId="3" fillId="0" borderId="0" xfId="0" applyNumberFormat="1" applyFont="1"/>
    <xf numFmtId="2" fontId="4" fillId="3" borderId="0" xfId="0" applyNumberFormat="1" applyFont="1" applyFill="1"/>
    <xf numFmtId="2" fontId="2" fillId="3" borderId="0" xfId="0" applyNumberFormat="1" applyFont="1" applyFill="1"/>
    <xf numFmtId="2" fontId="6" fillId="0" borderId="0" xfId="0" applyNumberFormat="1" applyFont="1" applyAlignment="1">
      <alignment vertical="center"/>
    </xf>
    <xf numFmtId="2" fontId="5" fillId="5" borderId="0" xfId="0" applyNumberFormat="1" applyFont="1" applyFill="1" applyAlignment="1">
      <alignment horizontal="centerContinuous" vertical="center"/>
    </xf>
    <xf numFmtId="2" fontId="6" fillId="5" borderId="0" xfId="0" applyNumberFormat="1" applyFont="1" applyFill="1" applyAlignment="1">
      <alignment horizontal="centerContinuous" vertical="center"/>
    </xf>
    <xf numFmtId="2" fontId="3" fillId="0" borderId="0" xfId="0" applyNumberFormat="1" applyFont="1" applyAlignment="1">
      <alignment vertical="center"/>
    </xf>
    <xf numFmtId="2" fontId="7" fillId="0" borderId="0" xfId="0" applyNumberFormat="1" applyFont="1"/>
    <xf numFmtId="2" fontId="3" fillId="4" borderId="0" xfId="0" applyNumberFormat="1" applyFont="1" applyFill="1"/>
    <xf numFmtId="2" fontId="0" fillId="0" borderId="0" xfId="0" applyNumberFormat="1" applyAlignment="1">
      <alignment wrapText="1"/>
    </xf>
    <xf numFmtId="2" fontId="7" fillId="6" borderId="0" xfId="0" applyNumberFormat="1" applyFont="1" applyFill="1"/>
    <xf numFmtId="2" fontId="3" fillId="6" borderId="0" xfId="0" applyNumberFormat="1" applyFont="1" applyFill="1"/>
    <xf numFmtId="2" fontId="3" fillId="6" borderId="0" xfId="0" applyNumberFormat="1" applyFont="1" applyFill="1" applyAlignment="1">
      <alignment horizontal="center"/>
    </xf>
    <xf numFmtId="2" fontId="7" fillId="4" borderId="0" xfId="0" applyNumberFormat="1" applyFont="1" applyFill="1"/>
    <xf numFmtId="2" fontId="9" fillId="0" borderId="0" xfId="0" applyNumberFormat="1" applyFont="1"/>
    <xf numFmtId="0" fontId="0" fillId="18" borderId="0" xfId="0" applyFill="1"/>
    <xf numFmtId="0" fontId="16" fillId="0" borderId="30" xfId="0" applyFont="1" applyBorder="1"/>
    <xf numFmtId="0" fontId="16" fillId="0" borderId="30" xfId="0" quotePrefix="1" applyFont="1" applyBorder="1" applyAlignment="1">
      <alignment horizontal="left"/>
    </xf>
    <xf numFmtId="0" fontId="22" fillId="16" borderId="30" xfId="5" applyFont="1" applyBorder="1"/>
    <xf numFmtId="0" fontId="22" fillId="16" borderId="30" xfId="5" quotePrefix="1" applyFont="1" applyBorder="1" applyAlignment="1">
      <alignment horizontal="left"/>
    </xf>
    <xf numFmtId="9" fontId="16" fillId="0" borderId="30" xfId="0" quotePrefix="1" applyNumberFormat="1" applyFont="1" applyBorder="1" applyAlignment="1">
      <alignment horizontal="left"/>
    </xf>
    <xf numFmtId="9" fontId="0" fillId="18" borderId="0" xfId="0" applyNumberFormat="1" applyFill="1"/>
    <xf numFmtId="0" fontId="0" fillId="2" borderId="17" xfId="0" applyFill="1" applyBorder="1"/>
    <xf numFmtId="0" fontId="0" fillId="15" borderId="16" xfId="0" applyFill="1" applyBorder="1" applyAlignment="1">
      <alignment horizontal="center"/>
    </xf>
    <xf numFmtId="167" fontId="18" fillId="2" borderId="24" xfId="0" applyNumberFormat="1" applyFont="1" applyFill="1" applyBorder="1" applyAlignment="1">
      <alignment wrapText="1"/>
    </xf>
    <xf numFmtId="167" fontId="18" fillId="2" borderId="22" xfId="0" applyNumberFormat="1" applyFont="1" applyFill="1" applyBorder="1" applyAlignment="1">
      <alignment wrapText="1"/>
    </xf>
    <xf numFmtId="167" fontId="18" fillId="2" borderId="23" xfId="0" applyNumberFormat="1" applyFont="1" applyFill="1" applyBorder="1" applyAlignment="1">
      <alignment wrapText="1"/>
    </xf>
    <xf numFmtId="0" fontId="12" fillId="0" borderId="0" xfId="0" applyFont="1" applyAlignment="1">
      <alignment horizontal="left"/>
    </xf>
    <xf numFmtId="167" fontId="18" fillId="2" borderId="17" xfId="0" applyNumberFormat="1" applyFont="1" applyFill="1" applyBorder="1" applyAlignment="1">
      <alignment wrapText="1"/>
    </xf>
    <xf numFmtId="2" fontId="16" fillId="0" borderId="0" xfId="0" applyNumberFormat="1" applyFont="1"/>
    <xf numFmtId="2" fontId="12" fillId="0" borderId="3" xfId="0" applyNumberFormat="1" applyFont="1" applyBorder="1"/>
    <xf numFmtId="2" fontId="12" fillId="0" borderId="22" xfId="0" applyNumberFormat="1" applyFont="1" applyBorder="1"/>
    <xf numFmtId="2" fontId="12" fillId="0" borderId="29" xfId="0" applyNumberFormat="1" applyFont="1" applyBorder="1"/>
    <xf numFmtId="2" fontId="16" fillId="0" borderId="26" xfId="0" applyNumberFormat="1" applyFont="1" applyBorder="1"/>
    <xf numFmtId="2" fontId="12" fillId="0" borderId="11" xfId="0" applyNumberFormat="1" applyFont="1" applyBorder="1"/>
    <xf numFmtId="2" fontId="12" fillId="8" borderId="31" xfId="0" applyNumberFormat="1" applyFont="1" applyFill="1" applyBorder="1"/>
    <xf numFmtId="2" fontId="5" fillId="6" borderId="0" xfId="0" applyNumberFormat="1" applyFont="1" applyFill="1"/>
    <xf numFmtId="0" fontId="0" fillId="0" borderId="0" xfId="0" quotePrefix="1"/>
    <xf numFmtId="9" fontId="0" fillId="5" borderId="0" xfId="0" applyNumberFormat="1" applyFill="1"/>
    <xf numFmtId="0" fontId="16" fillId="5" borderId="0" xfId="0" applyFont="1" applyFill="1"/>
    <xf numFmtId="172" fontId="0" fillId="0" borderId="0" xfId="0" applyNumberFormat="1"/>
    <xf numFmtId="167" fontId="18" fillId="2" borderId="0" xfId="0" applyNumberFormat="1" applyFont="1" applyFill="1" applyAlignment="1">
      <alignment wrapText="1"/>
    </xf>
    <xf numFmtId="9" fontId="0" fillId="5" borderId="0" xfId="4" applyFont="1" applyFill="1"/>
    <xf numFmtId="2" fontId="0" fillId="5" borderId="0" xfId="0" applyNumberFormat="1" applyFill="1"/>
    <xf numFmtId="0" fontId="0" fillId="0" borderId="24" xfId="0" applyBorder="1"/>
    <xf numFmtId="3" fontId="23" fillId="0" borderId="24" xfId="9" applyFont="1" applyFill="1" applyBorder="1" applyAlignment="1"/>
    <xf numFmtId="3" fontId="23" fillId="22" borderId="22" xfId="9" applyFont="1" applyFill="1" applyBorder="1" applyAlignment="1"/>
    <xf numFmtId="173" fontId="23" fillId="22" borderId="22" xfId="9" applyNumberFormat="1" applyFont="1" applyFill="1" applyBorder="1" applyAlignment="1"/>
    <xf numFmtId="169" fontId="23" fillId="23" borderId="22" xfId="10" applyNumberFormat="1" applyFont="1" applyFill="1" applyBorder="1" applyAlignment="1"/>
    <xf numFmtId="3" fontId="23" fillId="23" borderId="22" xfId="9" applyFont="1" applyFill="1" applyBorder="1" applyAlignment="1"/>
    <xf numFmtId="174" fontId="23" fillId="0" borderId="22" xfId="9" applyNumberFormat="1" applyFont="1" applyFill="1" applyBorder="1" applyAlignment="1"/>
    <xf numFmtId="167" fontId="23" fillId="0" borderId="23" xfId="9" applyNumberFormat="1" applyFont="1" applyFill="1" applyBorder="1" applyAlignment="1"/>
    <xf numFmtId="3" fontId="0" fillId="0" borderId="0" xfId="0" applyNumberFormat="1"/>
    <xf numFmtId="10" fontId="0" fillId="0" borderId="0" xfId="0" applyNumberFormat="1"/>
    <xf numFmtId="174" fontId="23" fillId="24" borderId="22" xfId="9" applyNumberFormat="1" applyFont="1" applyFill="1" applyBorder="1" applyAlignment="1"/>
    <xf numFmtId="167" fontId="23" fillId="24" borderId="23" xfId="9" applyNumberFormat="1" applyFont="1" applyFill="1" applyBorder="1" applyAlignment="1"/>
    <xf numFmtId="0" fontId="0" fillId="24" borderId="24" xfId="0" applyFill="1" applyBorder="1"/>
    <xf numFmtId="3" fontId="23" fillId="24" borderId="24" xfId="9" applyFont="1" applyFill="1" applyBorder="1" applyAlignment="1"/>
    <xf numFmtId="3" fontId="23" fillId="25" borderId="22" xfId="9" applyFont="1" applyFill="1" applyBorder="1" applyAlignment="1"/>
    <xf numFmtId="173" fontId="23" fillId="25" borderId="22" xfId="9" applyNumberFormat="1" applyFont="1" applyFill="1" applyBorder="1" applyAlignment="1"/>
    <xf numFmtId="169" fontId="23" fillId="24" borderId="22" xfId="10" applyNumberFormat="1" applyFont="1" applyFill="1" applyBorder="1" applyAlignment="1"/>
    <xf numFmtId="3" fontId="23" fillId="24" borderId="22" xfId="9" applyFont="1" applyFill="1" applyBorder="1" applyAlignment="1"/>
    <xf numFmtId="9" fontId="0" fillId="20" borderId="0" xfId="0" applyNumberFormat="1" applyFill="1"/>
    <xf numFmtId="0" fontId="0" fillId="26" borderId="0" xfId="0" applyFill="1"/>
    <xf numFmtId="0" fontId="19" fillId="26" borderId="0" xfId="5" applyFill="1"/>
    <xf numFmtId="9" fontId="0" fillId="26" borderId="0" xfId="0" applyNumberFormat="1" applyFill="1"/>
    <xf numFmtId="9" fontId="0" fillId="27" borderId="0" xfId="0" applyNumberFormat="1" applyFill="1"/>
    <xf numFmtId="0" fontId="0" fillId="15" borderId="0" xfId="0" applyFill="1"/>
    <xf numFmtId="0" fontId="19" fillId="0" borderId="0" xfId="5" applyFill="1"/>
    <xf numFmtId="0" fontId="12" fillId="8" borderId="3" xfId="1" applyFont="1" applyFill="1" applyBorder="1"/>
    <xf numFmtId="0" fontId="10" fillId="9" borderId="5" xfId="0" applyFont="1" applyFill="1" applyBorder="1"/>
    <xf numFmtId="2" fontId="28" fillId="5" borderId="0" xfId="0" applyNumberFormat="1" applyFont="1" applyFill="1" applyAlignment="1">
      <alignment horizontal="centerContinuous" vertical="center"/>
    </xf>
    <xf numFmtId="2" fontId="28" fillId="4" borderId="0" xfId="0" quotePrefix="1" applyNumberFormat="1" applyFont="1" applyFill="1" applyAlignment="1">
      <alignment horizontal="center" vertical="center"/>
    </xf>
    <xf numFmtId="0" fontId="19" fillId="28" borderId="0" xfId="5" applyFill="1"/>
    <xf numFmtId="0" fontId="19" fillId="15" borderId="0" xfId="5" applyFill="1"/>
    <xf numFmtId="9" fontId="0" fillId="15" borderId="0" xfId="0" applyNumberFormat="1" applyFill="1"/>
    <xf numFmtId="9" fontId="10" fillId="15" borderId="33" xfId="8" applyNumberFormat="1" applyFill="1"/>
    <xf numFmtId="9" fontId="16" fillId="15" borderId="33" xfId="8" applyNumberFormat="1" applyFont="1" applyFill="1"/>
    <xf numFmtId="9" fontId="19" fillId="15" borderId="0" xfId="4" applyFont="1" applyFill="1"/>
    <xf numFmtId="3" fontId="0" fillId="15" borderId="32" xfId="0" applyNumberFormat="1" applyFill="1" applyBorder="1"/>
    <xf numFmtId="3" fontId="0" fillId="15" borderId="0" xfId="0" applyNumberFormat="1" applyFill="1"/>
    <xf numFmtId="179" fontId="0" fillId="15" borderId="22" xfId="0" applyNumberFormat="1" applyFill="1" applyBorder="1"/>
    <xf numFmtId="179" fontId="0" fillId="15" borderId="0" xfId="0" applyNumberFormat="1" applyFill="1"/>
    <xf numFmtId="4" fontId="0" fillId="15" borderId="0" xfId="0" applyNumberFormat="1" applyFill="1"/>
    <xf numFmtId="4" fontId="23" fillId="15" borderId="0" xfId="9" applyNumberFormat="1" applyFont="1" applyFill="1" applyBorder="1" applyAlignment="1"/>
    <xf numFmtId="4" fontId="23" fillId="15" borderId="49" xfId="9" applyNumberFormat="1" applyFont="1" applyFill="1" applyBorder="1" applyAlignment="1"/>
    <xf numFmtId="179" fontId="0" fillId="15" borderId="32" xfId="0" applyNumberFormat="1" applyFill="1" applyBorder="1"/>
    <xf numFmtId="179" fontId="0" fillId="15" borderId="49" xfId="0" applyNumberFormat="1" applyFill="1" applyBorder="1"/>
    <xf numFmtId="2" fontId="12" fillId="0" borderId="32" xfId="0" applyNumberFormat="1" applyFont="1" applyBorder="1"/>
    <xf numFmtId="2" fontId="23" fillId="0" borderId="0" xfId="9" applyNumberFormat="1" applyFont="1" applyFill="1" applyBorder="1" applyAlignment="1"/>
    <xf numFmtId="2" fontId="23" fillId="0" borderId="49" xfId="9" applyNumberFormat="1" applyFont="1" applyFill="1" applyBorder="1" applyAlignment="1"/>
    <xf numFmtId="2" fontId="12" fillId="0" borderId="49" xfId="0" applyNumberFormat="1" applyFont="1" applyBorder="1"/>
    <xf numFmtId="9" fontId="12" fillId="0" borderId="3" xfId="4" applyFont="1" applyFill="1" applyBorder="1"/>
    <xf numFmtId="9" fontId="12" fillId="0" borderId="11" xfId="4" applyFont="1" applyFill="1" applyBorder="1"/>
    <xf numFmtId="0" fontId="0" fillId="7" borderId="0" xfId="0" applyFill="1"/>
    <xf numFmtId="168" fontId="0" fillId="0" borderId="0" xfId="39" applyNumberFormat="1" applyFont="1"/>
    <xf numFmtId="169" fontId="0" fillId="0" borderId="0" xfId="10" applyNumberFormat="1" applyFont="1"/>
    <xf numFmtId="170" fontId="0" fillId="0" borderId="0" xfId="39" applyNumberFormat="1" applyFont="1"/>
    <xf numFmtId="3" fontId="0" fillId="0" borderId="0" xfId="39" applyFont="1"/>
    <xf numFmtId="170" fontId="0" fillId="7" borderId="0" xfId="39" applyNumberFormat="1" applyFont="1" applyFill="1"/>
    <xf numFmtId="168" fontId="11" fillId="0" borderId="0" xfId="39" applyNumberFormat="1" applyFont="1"/>
    <xf numFmtId="169" fontId="11" fillId="0" borderId="0" xfId="10" applyNumberFormat="1" applyFont="1"/>
    <xf numFmtId="170" fontId="11" fillId="0" borderId="0" xfId="39" applyNumberFormat="1" applyFont="1"/>
    <xf numFmtId="3" fontId="11" fillId="0" borderId="0" xfId="39" applyFont="1"/>
    <xf numFmtId="0" fontId="48" fillId="0" borderId="0" xfId="0" applyFont="1" applyAlignment="1">
      <alignment horizontal="right"/>
    </xf>
    <xf numFmtId="0" fontId="12" fillId="0" borderId="3" xfId="1" applyFont="1" applyBorder="1"/>
    <xf numFmtId="0" fontId="12" fillId="0" borderId="51" xfId="6" applyFont="1" applyFill="1" applyBorder="1"/>
    <xf numFmtId="0" fontId="12" fillId="0" borderId="52" xfId="6" applyFont="1" applyFill="1" applyBorder="1"/>
    <xf numFmtId="180" fontId="12" fillId="0" borderId="11" xfId="4" applyNumberFormat="1" applyFont="1" applyFill="1" applyBorder="1"/>
    <xf numFmtId="2" fontId="0" fillId="5" borderId="0" xfId="0" applyNumberFormat="1" applyFill="1" applyAlignment="1">
      <alignment wrapText="1"/>
    </xf>
    <xf numFmtId="0" fontId="0" fillId="53" borderId="0" xfId="0" applyFill="1"/>
    <xf numFmtId="2" fontId="3" fillId="54" borderId="0" xfId="0" applyNumberFormat="1" applyFont="1" applyFill="1"/>
    <xf numFmtId="0" fontId="0" fillId="8" borderId="4" xfId="0" applyFill="1" applyBorder="1"/>
    <xf numFmtId="0" fontId="0" fillId="0" borderId="3" xfId="0" applyBorder="1"/>
    <xf numFmtId="0" fontId="0" fillId="0" borderId="4" xfId="0" applyBorder="1"/>
    <xf numFmtId="0" fontId="0" fillId="8" borderId="4" xfId="105" applyFont="1" applyFill="1" applyBorder="1"/>
    <xf numFmtId="0" fontId="0" fillId="8" borderId="4" xfId="105" applyFont="1" applyFill="1" applyBorder="1" applyAlignment="1">
      <alignment vertical="center"/>
    </xf>
    <xf numFmtId="0" fontId="0" fillId="8" borderId="0" xfId="105" applyFont="1" applyFill="1"/>
    <xf numFmtId="0" fontId="0" fillId="0" borderId="0" xfId="105" applyFont="1"/>
    <xf numFmtId="0" fontId="0" fillId="8" borderId="0" xfId="0" applyFill="1"/>
    <xf numFmtId="2" fontId="3" fillId="51" borderId="0" xfId="0" applyNumberFormat="1" applyFont="1" applyFill="1" applyAlignment="1">
      <alignment horizontal="center"/>
    </xf>
    <xf numFmtId="0" fontId="0" fillId="0" borderId="26" xfId="0" applyBorder="1"/>
    <xf numFmtId="0" fontId="20" fillId="0" borderId="28" xfId="6" applyFill="1"/>
    <xf numFmtId="0" fontId="12" fillId="0" borderId="3" xfId="0" applyFont="1" applyBorder="1"/>
    <xf numFmtId="0" fontId="12" fillId="0" borderId="11" xfId="6" applyFont="1" applyFill="1" applyBorder="1"/>
    <xf numFmtId="0" fontId="12" fillId="0" borderId="11" xfId="6" applyFont="1" applyFill="1" applyBorder="1" applyAlignment="1">
      <alignment horizontal="left"/>
    </xf>
    <xf numFmtId="0" fontId="12" fillId="0" borderId="47" xfId="6" applyNumberFormat="1" applyFont="1" applyFill="1" applyBorder="1" applyAlignment="1">
      <alignment horizontal="left"/>
    </xf>
    <xf numFmtId="0" fontId="12" fillId="0" borderId="11" xfId="6" applyNumberFormat="1" applyFont="1" applyFill="1" applyBorder="1" applyAlignment="1">
      <alignment horizontal="left"/>
    </xf>
    <xf numFmtId="0" fontId="12" fillId="0" borderId="11" xfId="0" applyFont="1" applyBorder="1" applyAlignment="1">
      <alignment horizontal="left"/>
    </xf>
    <xf numFmtId="0" fontId="12" fillId="0" borderId="47" xfId="6" applyFont="1" applyFill="1" applyBorder="1"/>
    <xf numFmtId="9" fontId="12" fillId="0" borderId="22" xfId="4" applyFont="1" applyFill="1" applyBorder="1"/>
    <xf numFmtId="9" fontId="12" fillId="0" borderId="0" xfId="4" applyFont="1" applyFill="1"/>
    <xf numFmtId="167" fontId="18" fillId="0" borderId="22" xfId="0" applyNumberFormat="1" applyFont="1" applyBorder="1" applyAlignment="1">
      <alignment wrapText="1"/>
    </xf>
    <xf numFmtId="167" fontId="18" fillId="0" borderId="23" xfId="0" applyNumberFormat="1" applyFont="1" applyBorder="1" applyAlignment="1">
      <alignment wrapText="1"/>
    </xf>
    <xf numFmtId="0" fontId="50" fillId="0" borderId="0" xfId="0" applyFont="1"/>
    <xf numFmtId="0" fontId="12" fillId="0" borderId="10" xfId="0" applyFont="1" applyBorder="1"/>
    <xf numFmtId="167" fontId="18" fillId="0" borderId="32" xfId="0" applyNumberFormat="1" applyFont="1" applyBorder="1" applyAlignment="1">
      <alignment wrapText="1"/>
    </xf>
    <xf numFmtId="0" fontId="12" fillId="0" borderId="27" xfId="0" applyFont="1" applyBorder="1"/>
    <xf numFmtId="0" fontId="12" fillId="0" borderId="11" xfId="0" applyFont="1" applyBorder="1"/>
    <xf numFmtId="0" fontId="12" fillId="0" borderId="3" xfId="0" applyFont="1" applyBorder="1" applyAlignment="1">
      <alignment horizontal="left"/>
    </xf>
    <xf numFmtId="0" fontId="12" fillId="0" borderId="10" xfId="7" applyFont="1" applyFill="1" applyBorder="1"/>
    <xf numFmtId="0" fontId="12" fillId="0" borderId="3" xfId="7" applyFont="1" applyFill="1" applyBorder="1"/>
    <xf numFmtId="9" fontId="12" fillId="0" borderId="3" xfId="7" applyNumberFormat="1" applyFont="1" applyFill="1" applyBorder="1"/>
    <xf numFmtId="3" fontId="12" fillId="0" borderId="3" xfId="7" applyNumberFormat="1" applyFont="1" applyFill="1" applyBorder="1"/>
    <xf numFmtId="9" fontId="0" fillId="0" borderId="0" xfId="4" applyFont="1" applyFill="1"/>
    <xf numFmtId="0" fontId="12" fillId="0" borderId="10" xfId="6" applyFont="1" applyFill="1" applyBorder="1"/>
    <xf numFmtId="0" fontId="12" fillId="0" borderId="3" xfId="6" applyFont="1" applyFill="1" applyBorder="1"/>
    <xf numFmtId="0" fontId="12" fillId="0" borderId="3" xfId="6" applyFont="1" applyFill="1" applyBorder="1" applyAlignment="1">
      <alignment horizontal="left"/>
    </xf>
    <xf numFmtId="0" fontId="12" fillId="0" borderId="3" xfId="6" applyNumberFormat="1" applyFont="1" applyFill="1" applyBorder="1" applyAlignment="1">
      <alignment horizontal="left"/>
    </xf>
    <xf numFmtId="0" fontId="12" fillId="0" borderId="27" xfId="6" applyFont="1" applyFill="1" applyBorder="1"/>
    <xf numFmtId="2" fontId="2" fillId="3" borderId="0" xfId="0" applyNumberFormat="1" applyFont="1" applyFill="1" applyAlignment="1">
      <alignment horizontal="right"/>
    </xf>
    <xf numFmtId="2" fontId="0" fillId="5" borderId="0" xfId="0" applyNumberFormat="1" applyFill="1" applyAlignment="1">
      <alignment horizontal="right" wrapText="1"/>
    </xf>
    <xf numFmtId="0" fontId="14" fillId="10" borderId="0" xfId="0" applyFont="1" applyFill="1" applyAlignment="1">
      <alignment horizontal="right"/>
    </xf>
    <xf numFmtId="0" fontId="14" fillId="10" borderId="8" xfId="0" applyFont="1" applyFill="1" applyBorder="1" applyAlignment="1">
      <alignment horizontal="right"/>
    </xf>
    <xf numFmtId="0" fontId="14" fillId="10" borderId="2" xfId="0" applyFont="1" applyFill="1" applyBorder="1" applyAlignment="1">
      <alignment horizontal="right"/>
    </xf>
    <xf numFmtId="0" fontId="14" fillId="10" borderId="6" xfId="0" applyFont="1" applyFill="1" applyBorder="1" applyAlignment="1">
      <alignment horizontal="right"/>
    </xf>
    <xf numFmtId="0" fontId="0" fillId="0" borderId="0" xfId="0" applyAlignment="1">
      <alignment horizontal="right"/>
    </xf>
    <xf numFmtId="2" fontId="3" fillId="0" borderId="0" xfId="0" applyNumberFormat="1" applyFont="1" applyAlignment="1">
      <alignment horizontal="right"/>
    </xf>
    <xf numFmtId="0" fontId="14" fillId="10" borderId="0" xfId="0" applyFont="1" applyFill="1"/>
    <xf numFmtId="2" fontId="3" fillId="6" borderId="0" xfId="0" applyNumberFormat="1" applyFont="1" applyFill="1" applyAlignment="1">
      <alignment horizontal="right"/>
    </xf>
    <xf numFmtId="2" fontId="16" fillId="55" borderId="54" xfId="0" applyNumberFormat="1" applyFont="1" applyFill="1" applyBorder="1"/>
    <xf numFmtId="2" fontId="16" fillId="55" borderId="16" xfId="0" applyNumberFormat="1" applyFont="1" applyFill="1" applyBorder="1"/>
    <xf numFmtId="2" fontId="12" fillId="56" borderId="18" xfId="0" applyNumberFormat="1" applyFont="1" applyFill="1" applyBorder="1" applyAlignment="1">
      <alignment horizontal="right"/>
    </xf>
    <xf numFmtId="0" fontId="12" fillId="56" borderId="18" xfId="0" applyFont="1" applyFill="1" applyBorder="1" applyAlignment="1">
      <alignment horizontal="right"/>
    </xf>
    <xf numFmtId="2" fontId="9" fillId="20" borderId="23" xfId="0" applyNumberFormat="1" applyFont="1" applyFill="1" applyBorder="1"/>
    <xf numFmtId="2" fontId="9" fillId="20" borderId="16" xfId="0" applyNumberFormat="1" applyFont="1" applyFill="1" applyBorder="1"/>
    <xf numFmtId="0" fontId="26" fillId="0" borderId="53" xfId="115" applyFont="1" applyBorder="1" applyAlignment="1">
      <alignment wrapText="1"/>
    </xf>
    <xf numFmtId="167" fontId="18" fillId="8" borderId="24" xfId="0" applyNumberFormat="1" applyFont="1" applyFill="1" applyBorder="1"/>
    <xf numFmtId="167" fontId="18" fillId="0" borderId="22" xfId="0" applyNumberFormat="1" applyFont="1" applyBorder="1"/>
    <xf numFmtId="167" fontId="18" fillId="15" borderId="29" xfId="0" applyNumberFormat="1" applyFont="1" applyFill="1" applyBorder="1"/>
    <xf numFmtId="4" fontId="0" fillId="0" borderId="0" xfId="0" applyNumberFormat="1"/>
    <xf numFmtId="0" fontId="8" fillId="10" borderId="0" xfId="0" applyFont="1" applyFill="1"/>
    <xf numFmtId="0" fontId="8" fillId="10" borderId="12" xfId="0" applyFont="1" applyFill="1" applyBorder="1"/>
    <xf numFmtId="0" fontId="14" fillId="10" borderId="9" xfId="0" applyFont="1" applyFill="1" applyBorder="1"/>
    <xf numFmtId="0" fontId="0" fillId="0" borderId="0" xfId="0" pivotButton="1"/>
    <xf numFmtId="0" fontId="14" fillId="10" borderId="7" xfId="0" applyFont="1" applyFill="1" applyBorder="1"/>
    <xf numFmtId="0" fontId="14" fillId="10" borderId="1" xfId="0" applyFont="1" applyFill="1" applyBorder="1"/>
    <xf numFmtId="0" fontId="11" fillId="0" borderId="0" xfId="0" applyFont="1" applyAlignment="1">
      <alignment wrapText="1"/>
    </xf>
    <xf numFmtId="0" fontId="0" fillId="0" borderId="10" xfId="0" applyBorder="1"/>
    <xf numFmtId="2" fontId="7" fillId="6" borderId="0" xfId="0" applyNumberFormat="1" applyFont="1" applyFill="1" applyAlignment="1">
      <alignment horizontal="centerContinuous"/>
    </xf>
    <xf numFmtId="2" fontId="3" fillId="6" borderId="0" xfId="0" applyNumberFormat="1" applyFont="1" applyFill="1" applyAlignment="1">
      <alignment horizontal="centerContinuous"/>
    </xf>
    <xf numFmtId="2" fontId="52" fillId="6" borderId="0" xfId="0" applyNumberFormat="1" applyFont="1" applyFill="1" applyAlignment="1">
      <alignment horizontal="centerContinuous"/>
    </xf>
    <xf numFmtId="0" fontId="0" fillId="53" borderId="3" xfId="0" applyFill="1" applyBorder="1"/>
    <xf numFmtId="0" fontId="25" fillId="53" borderId="4" xfId="105" applyFont="1" applyFill="1" applyBorder="1"/>
    <xf numFmtId="0" fontId="0" fillId="53" borderId="4" xfId="0" applyFill="1" applyBorder="1"/>
    <xf numFmtId="0" fontId="12" fillId="53" borderId="0" xfId="0" applyFont="1" applyFill="1"/>
    <xf numFmtId="0" fontId="12" fillId="53" borderId="3" xfId="0" applyFont="1" applyFill="1" applyBorder="1"/>
    <xf numFmtId="0" fontId="0" fillId="0" borderId="3" xfId="0" applyBorder="1" applyAlignment="1">
      <alignment horizontal="left"/>
    </xf>
    <xf numFmtId="4" fontId="0" fillId="53" borderId="0" xfId="0" applyNumberFormat="1" applyFill="1"/>
    <xf numFmtId="2" fontId="3" fillId="0" borderId="0" xfId="0" applyNumberFormat="1" applyFont="1" applyAlignment="1">
      <alignment wrapText="1"/>
    </xf>
    <xf numFmtId="2" fontId="7" fillId="0" borderId="0" xfId="0" applyNumberFormat="1" applyFont="1" applyAlignment="1">
      <alignment wrapText="1"/>
    </xf>
    <xf numFmtId="0" fontId="0" fillId="0" borderId="0" xfId="0" applyAlignment="1">
      <alignment horizontal="right" wrapText="1"/>
    </xf>
    <xf numFmtId="2" fontId="3" fillId="6" borderId="0" xfId="0" applyNumberFormat="1" applyFont="1" applyFill="1" applyAlignment="1">
      <alignment wrapText="1"/>
    </xf>
    <xf numFmtId="2" fontId="3" fillId="4" borderId="0" xfId="0" applyNumberFormat="1" applyFont="1" applyFill="1" applyAlignment="1">
      <alignment wrapText="1"/>
    </xf>
    <xf numFmtId="3" fontId="0" fillId="0" borderId="18" xfId="0" applyNumberFormat="1" applyBorder="1"/>
    <xf numFmtId="173" fontId="0" fillId="0" borderId="18" xfId="0" applyNumberFormat="1" applyBorder="1"/>
    <xf numFmtId="3" fontId="0" fillId="0" borderId="19" xfId="0" applyNumberFormat="1" applyBorder="1"/>
    <xf numFmtId="3" fontId="12" fillId="53" borderId="3" xfId="0" applyNumberFormat="1" applyFont="1" applyFill="1" applyBorder="1"/>
    <xf numFmtId="3" fontId="0" fillId="53" borderId="0" xfId="0" applyNumberFormat="1" applyFill="1"/>
    <xf numFmtId="0" fontId="8" fillId="10" borderId="14" xfId="0" applyFont="1" applyFill="1" applyBorder="1" applyAlignment="1">
      <alignment horizontal="right"/>
    </xf>
    <xf numFmtId="0" fontId="8" fillId="10" borderId="13" xfId="0" applyFont="1" applyFill="1" applyBorder="1" applyAlignment="1">
      <alignment horizontal="right"/>
    </xf>
    <xf numFmtId="168" fontId="0" fillId="53" borderId="0" xfId="0" applyNumberFormat="1" applyFill="1"/>
    <xf numFmtId="0" fontId="11" fillId="53" borderId="0" xfId="0" applyFont="1" applyFill="1" applyAlignment="1">
      <alignment wrapText="1"/>
    </xf>
    <xf numFmtId="172" fontId="25" fillId="0" borderId="53" xfId="115" applyNumberFormat="1" applyFont="1" applyBorder="1"/>
    <xf numFmtId="172" fontId="0" fillId="53" borderId="0" xfId="0" applyNumberFormat="1" applyFill="1"/>
    <xf numFmtId="2" fontId="54" fillId="6" borderId="0" xfId="0" applyNumberFormat="1" applyFont="1" applyFill="1"/>
    <xf numFmtId="0" fontId="12" fillId="0" borderId="11" xfId="1" applyFont="1" applyBorder="1"/>
    <xf numFmtId="181" fontId="12" fillId="0" borderId="3" xfId="1" applyNumberFormat="1" applyFont="1" applyBorder="1"/>
    <xf numFmtId="0" fontId="12" fillId="0" borderId="16" xfId="1" applyFont="1" applyBorder="1"/>
    <xf numFmtId="0" fontId="12" fillId="0" borderId="0" xfId="1" applyFont="1"/>
    <xf numFmtId="0" fontId="25" fillId="0" borderId="0" xfId="105" applyFont="1"/>
    <xf numFmtId="181" fontId="12" fillId="0" borderId="0" xfId="1" applyNumberFormat="1" applyFont="1"/>
    <xf numFmtId="181" fontId="12" fillId="0" borderId="11" xfId="1" applyNumberFormat="1" applyFont="1" applyBorder="1"/>
    <xf numFmtId="4" fontId="12" fillId="0" borderId="0" xfId="1" applyNumberFormat="1" applyFont="1"/>
    <xf numFmtId="9" fontId="12" fillId="0" borderId="16" xfId="1" applyNumberFormat="1" applyFont="1" applyBorder="1"/>
    <xf numFmtId="2" fontId="12" fillId="0" borderId="22" xfId="1" applyNumberFormat="1" applyFont="1" applyBorder="1"/>
    <xf numFmtId="2" fontId="12" fillId="0" borderId="32" xfId="1" applyNumberFormat="1" applyFont="1" applyBorder="1"/>
    <xf numFmtId="0" fontId="12" fillId="12" borderId="3" xfId="1" applyFont="1" applyFill="1" applyBorder="1"/>
    <xf numFmtId="0" fontId="12" fillId="12" borderId="11" xfId="1" applyFont="1" applyFill="1" applyBorder="1"/>
    <xf numFmtId="0" fontId="12" fillId="12" borderId="0" xfId="1" applyFont="1" applyFill="1"/>
    <xf numFmtId="0" fontId="16" fillId="58" borderId="5" xfId="0" applyFont="1" applyFill="1" applyBorder="1"/>
    <xf numFmtId="0" fontId="12" fillId="5" borderId="3" xfId="0" applyFont="1" applyFill="1" applyBorder="1"/>
    <xf numFmtId="0" fontId="12" fillId="5" borderId="0" xfId="2" applyFont="1" applyFill="1"/>
    <xf numFmtId="0" fontId="12" fillId="5" borderId="11" xfId="6" applyNumberFormat="1" applyFont="1" applyFill="1" applyBorder="1" applyAlignment="1">
      <alignment horizontal="left"/>
    </xf>
    <xf numFmtId="0" fontId="12" fillId="5" borderId="34" xfId="6" applyNumberFormat="1" applyFont="1" applyFill="1" applyBorder="1" applyAlignment="1">
      <alignment horizontal="left"/>
    </xf>
    <xf numFmtId="0" fontId="12" fillId="5" borderId="35" xfId="6" applyNumberFormat="1" applyFont="1" applyFill="1" applyBorder="1" applyAlignment="1">
      <alignment horizontal="left"/>
    </xf>
    <xf numFmtId="0" fontId="12" fillId="5" borderId="0" xfId="0" applyFont="1" applyFill="1" applyAlignment="1">
      <alignment horizontal="left"/>
    </xf>
    <xf numFmtId="0" fontId="12" fillId="5" borderId="11" xfId="0" applyFont="1" applyFill="1" applyBorder="1" applyAlignment="1">
      <alignment horizontal="left"/>
    </xf>
    <xf numFmtId="0" fontId="12" fillId="5" borderId="28" xfId="6" applyFont="1" applyFill="1"/>
    <xf numFmtId="165" fontId="12" fillId="5" borderId="0" xfId="3" applyFont="1" applyFill="1"/>
    <xf numFmtId="168" fontId="12" fillId="5" borderId="0" xfId="3" applyNumberFormat="1" applyFont="1" applyFill="1"/>
    <xf numFmtId="0" fontId="12" fillId="5" borderId="3" xfId="5" applyFont="1" applyFill="1" applyBorder="1"/>
    <xf numFmtId="0" fontId="12" fillId="5" borderId="11" xfId="5" applyFont="1" applyFill="1" applyBorder="1"/>
    <xf numFmtId="0" fontId="12" fillId="5" borderId="0" xfId="5" applyFont="1" applyFill="1"/>
    <xf numFmtId="9" fontId="12" fillId="5" borderId="0" xfId="0" applyNumberFormat="1" applyFont="1" applyFill="1"/>
    <xf numFmtId="3" fontId="12" fillId="5" borderId="0" xfId="0" applyNumberFormat="1" applyFont="1" applyFill="1"/>
    <xf numFmtId="168" fontId="12" fillId="5" borderId="3" xfId="5" applyNumberFormat="1" applyFont="1" applyFill="1" applyBorder="1"/>
    <xf numFmtId="0" fontId="16" fillId="59" borderId="10" xfId="0" applyFont="1" applyFill="1" applyBorder="1"/>
    <xf numFmtId="0" fontId="16" fillId="59" borderId="3" xfId="0" applyFont="1" applyFill="1" applyBorder="1"/>
    <xf numFmtId="0" fontId="12" fillId="5" borderId="11" xfId="0" applyFont="1" applyFill="1" applyBorder="1"/>
    <xf numFmtId="0" fontId="12" fillId="5" borderId="3" xfId="1" applyFont="1" applyFill="1" applyBorder="1"/>
    <xf numFmtId="0" fontId="12" fillId="5" borderId="11" xfId="1" applyFont="1" applyFill="1" applyBorder="1"/>
    <xf numFmtId="0" fontId="12" fillId="5" borderId="10" xfId="0" applyFont="1" applyFill="1" applyBorder="1"/>
    <xf numFmtId="0" fontId="12" fillId="5" borderId="27" xfId="0" applyFont="1" applyFill="1" applyBorder="1"/>
    <xf numFmtId="0" fontId="12" fillId="5" borderId="3" xfId="0" applyFont="1" applyFill="1" applyBorder="1" applyAlignment="1">
      <alignment horizontal="left"/>
    </xf>
    <xf numFmtId="0" fontId="12" fillId="12" borderId="10" xfId="0" applyFont="1" applyFill="1" applyBorder="1"/>
    <xf numFmtId="0" fontId="12" fillId="12" borderId="27" xfId="0" applyFont="1" applyFill="1" applyBorder="1"/>
    <xf numFmtId="165" fontId="12" fillId="12" borderId="3" xfId="0" applyNumberFormat="1" applyFont="1" applyFill="1" applyBorder="1" applyAlignment="1">
      <alignment horizontal="left"/>
    </xf>
    <xf numFmtId="0" fontId="12" fillId="12" borderId="3" xfId="0" applyFont="1" applyFill="1" applyBorder="1" applyAlignment="1">
      <alignment horizontal="left"/>
    </xf>
    <xf numFmtId="0" fontId="12" fillId="12" borderId="5" xfId="0" applyFont="1" applyFill="1" applyBorder="1" applyAlignment="1">
      <alignment horizontal="left"/>
    </xf>
    <xf numFmtId="0" fontId="12" fillId="12" borderId="11" xfId="0" applyFont="1" applyFill="1" applyBorder="1" applyAlignment="1">
      <alignment horizontal="left"/>
    </xf>
    <xf numFmtId="0" fontId="12" fillId="12" borderId="3" xfId="0" applyFont="1" applyFill="1" applyBorder="1"/>
    <xf numFmtId="0" fontId="12" fillId="12" borderId="11" xfId="0" applyFont="1" applyFill="1" applyBorder="1"/>
    <xf numFmtId="0" fontId="12" fillId="12" borderId="0" xfId="0" applyFont="1" applyFill="1" applyAlignment="1">
      <alignment horizontal="left"/>
    </xf>
    <xf numFmtId="0" fontId="0" fillId="60" borderId="0" xfId="0" applyFill="1"/>
    <xf numFmtId="0" fontId="15" fillId="0" borderId="0" xfId="105"/>
    <xf numFmtId="0" fontId="15" fillId="0" borderId="0" xfId="105" applyAlignment="1">
      <alignment vertical="center"/>
    </xf>
    <xf numFmtId="0" fontId="12" fillId="61" borderId="27" xfId="0" applyFont="1" applyFill="1" applyBorder="1"/>
    <xf numFmtId="0" fontId="12" fillId="61" borderId="11" xfId="0" applyFont="1" applyFill="1" applyBorder="1"/>
    <xf numFmtId="0" fontId="12" fillId="61" borderId="11" xfId="0" applyFont="1" applyFill="1" applyBorder="1" applyAlignment="1">
      <alignment horizontal="left"/>
    </xf>
    <xf numFmtId="0" fontId="12" fillId="61" borderId="11" xfId="5" applyFont="1" applyFill="1" applyBorder="1"/>
    <xf numFmtId="0" fontId="12" fillId="61" borderId="0" xfId="0" applyFont="1" applyFill="1"/>
    <xf numFmtId="0" fontId="12" fillId="61" borderId="10" xfId="0" applyFont="1" applyFill="1" applyBorder="1"/>
    <xf numFmtId="0" fontId="12" fillId="61" borderId="0" xfId="0" applyFont="1" applyFill="1" applyAlignment="1">
      <alignment horizontal="left"/>
    </xf>
    <xf numFmtId="0" fontId="12" fillId="61" borderId="3" xfId="0" applyFont="1" applyFill="1" applyBorder="1"/>
    <xf numFmtId="0" fontId="12" fillId="61" borderId="3" xfId="0" applyFont="1" applyFill="1" applyBorder="1" applyAlignment="1">
      <alignment horizontal="left"/>
    </xf>
    <xf numFmtId="0" fontId="12" fillId="61" borderId="28" xfId="6" applyFont="1" applyFill="1"/>
    <xf numFmtId="165" fontId="12" fillId="61" borderId="3" xfId="0" applyNumberFormat="1" applyFont="1" applyFill="1" applyBorder="1" applyAlignment="1">
      <alignment horizontal="left"/>
    </xf>
    <xf numFmtId="0" fontId="12" fillId="61" borderId="5" xfId="0" applyFont="1" applyFill="1" applyBorder="1" applyAlignment="1">
      <alignment horizontal="left"/>
    </xf>
    <xf numFmtId="11" fontId="12" fillId="61" borderId="11" xfId="5" applyNumberFormat="1" applyFont="1" applyFill="1" applyBorder="1"/>
    <xf numFmtId="0" fontId="12" fillId="61" borderId="11" xfId="6" applyNumberFormat="1" applyFont="1" applyFill="1" applyBorder="1" applyAlignment="1">
      <alignment horizontal="left"/>
    </xf>
    <xf numFmtId="0" fontId="12" fillId="53" borderId="10" xfId="6" applyFont="1" applyFill="1" applyBorder="1"/>
    <xf numFmtId="0" fontId="12" fillId="53" borderId="0" xfId="0" applyFont="1" applyFill="1" applyAlignment="1">
      <alignment vertical="center"/>
    </xf>
    <xf numFmtId="9" fontId="12" fillId="53" borderId="3" xfId="4" applyFont="1" applyFill="1" applyBorder="1"/>
    <xf numFmtId="9" fontId="12" fillId="53" borderId="11" xfId="4" applyFont="1" applyFill="1" applyBorder="1"/>
    <xf numFmtId="3" fontId="12" fillId="53" borderId="11" xfId="0" applyNumberFormat="1" applyFont="1" applyFill="1" applyBorder="1"/>
    <xf numFmtId="181" fontId="12" fillId="53" borderId="0" xfId="0" applyNumberFormat="1" applyFont="1" applyFill="1"/>
    <xf numFmtId="0" fontId="12" fillId="8" borderId="3" xfId="0" applyFont="1" applyFill="1" applyBorder="1"/>
    <xf numFmtId="2" fontId="12" fillId="5" borderId="11" xfId="5" applyNumberFormat="1" applyFont="1" applyFill="1" applyBorder="1"/>
    <xf numFmtId="4" fontId="12" fillId="5" borderId="11" xfId="5" applyNumberFormat="1" applyFont="1" applyFill="1" applyBorder="1"/>
    <xf numFmtId="2" fontId="3" fillId="5" borderId="0" xfId="0" applyNumberFormat="1" applyFont="1" applyFill="1"/>
    <xf numFmtId="2" fontId="3" fillId="5" borderId="0" xfId="0" applyNumberFormat="1" applyFont="1" applyFill="1" applyAlignment="1">
      <alignment vertical="center"/>
    </xf>
    <xf numFmtId="2" fontId="3" fillId="5" borderId="0" xfId="0" applyNumberFormat="1" applyFont="1" applyFill="1" applyAlignment="1">
      <alignment wrapText="1"/>
    </xf>
    <xf numFmtId="2" fontId="3" fillId="5" borderId="0" xfId="0" applyNumberFormat="1" applyFont="1" applyFill="1" applyAlignment="1">
      <alignment horizontal="right"/>
    </xf>
    <xf numFmtId="2" fontId="7" fillId="5" borderId="0" xfId="0" applyNumberFormat="1" applyFont="1" applyFill="1"/>
    <xf numFmtId="9" fontId="3" fillId="5" borderId="0" xfId="4" applyFont="1" applyFill="1"/>
    <xf numFmtId="0" fontId="16" fillId="0" borderId="0" xfId="0" applyFont="1"/>
    <xf numFmtId="0" fontId="16" fillId="0" borderId="10" xfId="0" applyFont="1" applyBorder="1"/>
    <xf numFmtId="165" fontId="12" fillId="0" borderId="28" xfId="3" applyFont="1" applyFill="1" applyBorder="1"/>
    <xf numFmtId="165" fontId="12" fillId="0" borderId="28" xfId="6" applyNumberFormat="1" applyFont="1" applyFill="1"/>
    <xf numFmtId="0" fontId="12" fillId="0" borderId="46" xfId="6" applyFont="1" applyFill="1" applyBorder="1"/>
    <xf numFmtId="165" fontId="12" fillId="0" borderId="0" xfId="0" applyNumberFormat="1" applyFont="1"/>
    <xf numFmtId="165" fontId="12" fillId="0" borderId="0" xfId="3" applyFont="1" applyFill="1"/>
    <xf numFmtId="0" fontId="12" fillId="0" borderId="0" xfId="2" applyFont="1" applyFill="1"/>
    <xf numFmtId="0" fontId="12" fillId="0" borderId="0" xfId="0" quotePrefix="1" applyFont="1"/>
    <xf numFmtId="165" fontId="12" fillId="0" borderId="0" xfId="0" quotePrefix="1" applyNumberFormat="1" applyFont="1"/>
    <xf numFmtId="4" fontId="12" fillId="0" borderId="0" xfId="3" applyNumberFormat="1" applyFont="1" applyFill="1"/>
    <xf numFmtId="168" fontId="12" fillId="0" borderId="0" xfId="3" applyNumberFormat="1" applyFont="1" applyFill="1"/>
    <xf numFmtId="4" fontId="12" fillId="0" borderId="28" xfId="6" applyNumberFormat="1" applyFont="1" applyFill="1"/>
    <xf numFmtId="182" fontId="12" fillId="0" borderId="0" xfId="3" applyNumberFormat="1" applyFont="1" applyFill="1"/>
    <xf numFmtId="0" fontId="12" fillId="0" borderId="0" xfId="0" applyFont="1" applyAlignment="1">
      <alignment horizontal="right"/>
    </xf>
    <xf numFmtId="168" fontId="12" fillId="0" borderId="0" xfId="0" applyNumberFormat="1" applyFont="1"/>
    <xf numFmtId="11" fontId="12" fillId="0" borderId="0" xfId="3" applyNumberFormat="1" applyFont="1" applyFill="1"/>
    <xf numFmtId="0" fontId="12" fillId="0" borderId="0" xfId="7" applyFont="1" applyFill="1"/>
    <xf numFmtId="165" fontId="12" fillId="0" borderId="0" xfId="7" applyNumberFormat="1" applyFont="1" applyFill="1"/>
    <xf numFmtId="2" fontId="12" fillId="0" borderId="0" xfId="7" applyNumberFormat="1" applyFont="1" applyFill="1"/>
    <xf numFmtId="178" fontId="12" fillId="0" borderId="0" xfId="3" applyNumberFormat="1" applyFont="1" applyFill="1"/>
    <xf numFmtId="11" fontId="12" fillId="0" borderId="0" xfId="7" applyNumberFormat="1" applyFont="1" applyFill="1"/>
    <xf numFmtId="166" fontId="12" fillId="0" borderId="0" xfId="7" applyNumberFormat="1" applyFont="1" applyFill="1"/>
    <xf numFmtId="166" fontId="12" fillId="0" borderId="0" xfId="3" applyNumberFormat="1" applyFont="1" applyFill="1"/>
    <xf numFmtId="2" fontId="12" fillId="0" borderId="0" xfId="3" applyNumberFormat="1" applyFont="1" applyFill="1"/>
    <xf numFmtId="9" fontId="12" fillId="0" borderId="28" xfId="6" applyNumberFormat="1" applyFont="1" applyFill="1"/>
    <xf numFmtId="0" fontId="12" fillId="0" borderId="0" xfId="3" applyNumberFormat="1" applyFont="1" applyFill="1"/>
    <xf numFmtId="165" fontId="12" fillId="0" borderId="0" xfId="2" applyNumberFormat="1" applyFont="1" applyFill="1"/>
    <xf numFmtId="171" fontId="12" fillId="0" borderId="0" xfId="2" applyNumberFormat="1" applyFont="1" applyFill="1"/>
    <xf numFmtId="176" fontId="12" fillId="0" borderId="0" xfId="2" applyNumberFormat="1" applyFont="1" applyFill="1"/>
    <xf numFmtId="0" fontId="12" fillId="0" borderId="0" xfId="2" quotePrefix="1" applyFont="1" applyFill="1"/>
    <xf numFmtId="171" fontId="12" fillId="0" borderId="0" xfId="3" applyNumberFormat="1" applyFont="1" applyFill="1"/>
    <xf numFmtId="176" fontId="12" fillId="0" borderId="0" xfId="3" applyNumberFormat="1" applyFont="1" applyFill="1"/>
    <xf numFmtId="177" fontId="12" fillId="0" borderId="0" xfId="3" applyNumberFormat="1" applyFont="1" applyFill="1"/>
    <xf numFmtId="0" fontId="12" fillId="0" borderId="28" xfId="6" applyNumberFormat="1" applyFont="1" applyFill="1" applyAlignment="1">
      <alignment horizontal="left"/>
    </xf>
    <xf numFmtId="165" fontId="12" fillId="0" borderId="0" xfId="3" applyFont="1" applyFill="1" applyBorder="1"/>
    <xf numFmtId="0" fontId="12" fillId="0" borderId="34" xfId="6" applyFont="1" applyFill="1" applyBorder="1"/>
    <xf numFmtId="0" fontId="12" fillId="0" borderId="34" xfId="6" applyFont="1" applyFill="1" applyBorder="1" applyAlignment="1">
      <alignment horizontal="left"/>
    </xf>
    <xf numFmtId="0" fontId="12" fillId="0" borderId="34" xfId="6" applyNumberFormat="1" applyFont="1" applyFill="1" applyBorder="1" applyAlignment="1">
      <alignment horizontal="left"/>
    </xf>
    <xf numFmtId="0" fontId="12" fillId="0" borderId="28" xfId="6" applyNumberFormat="1" applyFont="1" applyFill="1"/>
    <xf numFmtId="0" fontId="12" fillId="0" borderId="48" xfId="6" applyFont="1" applyFill="1" applyBorder="1"/>
    <xf numFmtId="0" fontId="12" fillId="0" borderId="35" xfId="6" applyFont="1" applyFill="1" applyBorder="1"/>
    <xf numFmtId="0" fontId="12" fillId="0" borderId="48" xfId="6" applyFont="1" applyFill="1" applyBorder="1" applyAlignment="1">
      <alignment horizontal="left"/>
    </xf>
    <xf numFmtId="0" fontId="12" fillId="0" borderId="48" xfId="6" applyNumberFormat="1" applyFont="1" applyFill="1" applyBorder="1" applyAlignment="1">
      <alignment horizontal="left"/>
    </xf>
    <xf numFmtId="0" fontId="12" fillId="0" borderId="35" xfId="6" applyFont="1" applyFill="1" applyBorder="1" applyAlignment="1">
      <alignment horizontal="left"/>
    </xf>
    <xf numFmtId="0" fontId="12" fillId="0" borderId="35" xfId="6" applyNumberFormat="1" applyFont="1" applyFill="1" applyBorder="1" applyAlignment="1">
      <alignment horizontal="left"/>
    </xf>
    <xf numFmtId="0" fontId="12" fillId="0" borderId="0" xfId="7" applyNumberFormat="1" applyFont="1" applyFill="1"/>
    <xf numFmtId="4" fontId="12" fillId="0" borderId="0" xfId="0" applyNumberFormat="1" applyFont="1" applyAlignment="1">
      <alignment horizontal="right"/>
    </xf>
    <xf numFmtId="4" fontId="12" fillId="0" borderId="0" xfId="3" applyNumberFormat="1" applyFont="1" applyFill="1" applyBorder="1"/>
    <xf numFmtId="3" fontId="12" fillId="0" borderId="0" xfId="3" applyNumberFormat="1" applyFont="1" applyFill="1"/>
    <xf numFmtId="0" fontId="12" fillId="0" borderId="0" xfId="7" applyNumberFormat="1" applyFont="1" applyFill="1" applyBorder="1"/>
    <xf numFmtId="2" fontId="12" fillId="0" borderId="0" xfId="3" applyNumberFormat="1" applyFont="1" applyFill="1" applyBorder="1"/>
    <xf numFmtId="9" fontId="12" fillId="0" borderId="3" xfId="0" applyNumberFormat="1" applyFont="1" applyBorder="1"/>
    <xf numFmtId="3" fontId="12" fillId="0" borderId="3" xfId="0" applyNumberFormat="1" applyFont="1" applyBorder="1"/>
    <xf numFmtId="1" fontId="0" fillId="0" borderId="0" xfId="0" applyNumberFormat="1"/>
    <xf numFmtId="9" fontId="12" fillId="0" borderId="0" xfId="0" applyNumberFormat="1" applyFont="1"/>
    <xf numFmtId="3" fontId="12" fillId="0" borderId="0" xfId="0" applyNumberFormat="1" applyFont="1"/>
    <xf numFmtId="1" fontId="12" fillId="0" borderId="3" xfId="0" applyNumberFormat="1" applyFont="1" applyBorder="1"/>
    <xf numFmtId="1" fontId="12" fillId="0" borderId="11" xfId="0" applyNumberFormat="1" applyFont="1" applyBorder="1"/>
    <xf numFmtId="0" fontId="12" fillId="53" borderId="11" xfId="0" applyFont="1" applyFill="1" applyBorder="1"/>
    <xf numFmtId="0" fontId="12" fillId="15" borderId="47" xfId="6" applyNumberFormat="1" applyFont="1" applyFill="1" applyBorder="1" applyAlignment="1">
      <alignment horizontal="left"/>
    </xf>
    <xf numFmtId="0" fontId="12" fillId="15" borderId="0" xfId="0" applyFont="1" applyFill="1"/>
    <xf numFmtId="165" fontId="12" fillId="15" borderId="0" xfId="0" applyNumberFormat="1" applyFont="1" applyFill="1"/>
    <xf numFmtId="0" fontId="12" fillId="15" borderId="48" xfId="6" applyFont="1" applyFill="1" applyBorder="1"/>
    <xf numFmtId="0" fontId="12" fillId="15" borderId="48" xfId="6" applyFont="1" applyFill="1" applyBorder="1" applyAlignment="1">
      <alignment horizontal="left"/>
    </xf>
    <xf numFmtId="0" fontId="12" fillId="15" borderId="48" xfId="6" applyNumberFormat="1" applyFont="1" applyFill="1" applyBorder="1" applyAlignment="1">
      <alignment horizontal="left"/>
    </xf>
    <xf numFmtId="2" fontId="12" fillId="15" borderId="0" xfId="0" applyNumberFormat="1" applyFont="1" applyFill="1"/>
    <xf numFmtId="4" fontId="12" fillId="15" borderId="0" xfId="3" applyNumberFormat="1" applyFont="1" applyFill="1" applyBorder="1"/>
    <xf numFmtId="4" fontId="12" fillId="15" borderId="0" xfId="3" applyNumberFormat="1" applyFont="1" applyFill="1"/>
    <xf numFmtId="0" fontId="12" fillId="15" borderId="35" xfId="6" applyFont="1" applyFill="1" applyBorder="1"/>
    <xf numFmtId="0" fontId="12" fillId="15" borderId="35" xfId="6" applyFont="1" applyFill="1" applyBorder="1" applyAlignment="1">
      <alignment horizontal="left"/>
    </xf>
    <xf numFmtId="0" fontId="12" fillId="15" borderId="35" xfId="6" applyNumberFormat="1" applyFont="1" applyFill="1" applyBorder="1" applyAlignment="1">
      <alignment horizontal="left"/>
    </xf>
    <xf numFmtId="2" fontId="12" fillId="0" borderId="28" xfId="6" applyNumberFormat="1" applyFont="1" applyFill="1"/>
    <xf numFmtId="2" fontId="7" fillId="5" borderId="0" xfId="0" applyNumberFormat="1" applyFont="1" applyFill="1" applyAlignment="1">
      <alignment wrapText="1"/>
    </xf>
    <xf numFmtId="2" fontId="5" fillId="62" borderId="0" xfId="0" applyNumberFormat="1" applyFont="1" applyFill="1" applyAlignment="1">
      <alignment horizontal="center" vertical="center"/>
    </xf>
    <xf numFmtId="172" fontId="16" fillId="55" borderId="55" xfId="0" applyNumberFormat="1" applyFont="1" applyFill="1" applyBorder="1"/>
    <xf numFmtId="172" fontId="12" fillId="56" borderId="26" xfId="0" applyNumberFormat="1" applyFont="1" applyFill="1" applyBorder="1"/>
    <xf numFmtId="172" fontId="12" fillId="57" borderId="26" xfId="0" applyNumberFormat="1" applyFont="1" applyFill="1" applyBorder="1"/>
    <xf numFmtId="2" fontId="12" fillId="7" borderId="0" xfId="3" applyNumberFormat="1" applyFont="1" applyFill="1" applyBorder="1"/>
    <xf numFmtId="4" fontId="12" fillId="7" borderId="0" xfId="3" applyNumberFormat="1" applyFont="1" applyFill="1" applyBorder="1"/>
    <xf numFmtId="169" fontId="16" fillId="55" borderId="23" xfId="4" applyNumberFormat="1" applyFont="1" applyFill="1" applyBorder="1"/>
    <xf numFmtId="0" fontId="12" fillId="15" borderId="10" xfId="0" applyFont="1" applyFill="1" applyBorder="1"/>
    <xf numFmtId="0" fontId="12" fillId="15" borderId="3" xfId="0" applyFont="1" applyFill="1" applyBorder="1"/>
    <xf numFmtId="0" fontId="12" fillId="15" borderId="3" xfId="0" applyFont="1" applyFill="1" applyBorder="1" applyAlignment="1">
      <alignment horizontal="left"/>
    </xf>
    <xf numFmtId="9" fontId="12" fillId="15" borderId="3" xfId="4" applyFont="1" applyFill="1" applyBorder="1"/>
    <xf numFmtId="1" fontId="12" fillId="15" borderId="3" xfId="0" applyNumberFormat="1" applyFont="1" applyFill="1" applyBorder="1"/>
    <xf numFmtId="0" fontId="12" fillId="15" borderId="0" xfId="7" applyNumberFormat="1" applyFont="1" applyFill="1" applyBorder="1"/>
    <xf numFmtId="2" fontId="12" fillId="15" borderId="0" xfId="3" applyNumberFormat="1" applyFont="1" applyFill="1" applyBorder="1"/>
    <xf numFmtId="4" fontId="12" fillId="0" borderId="11" xfId="5" applyNumberFormat="1" applyFont="1" applyFill="1" applyBorder="1"/>
    <xf numFmtId="4" fontId="12" fillId="24" borderId="0" xfId="3" applyNumberFormat="1" applyFont="1" applyFill="1" applyBorder="1"/>
    <xf numFmtId="0" fontId="0" fillId="24" borderId="0" xfId="0" applyFill="1"/>
    <xf numFmtId="4" fontId="12" fillId="24" borderId="0" xfId="3" applyNumberFormat="1" applyFont="1" applyFill="1"/>
    <xf numFmtId="9" fontId="12" fillId="24" borderId="3" xfId="0" applyNumberFormat="1" applyFont="1" applyFill="1" applyBorder="1"/>
    <xf numFmtId="3" fontId="12" fillId="24" borderId="3" xfId="0" applyNumberFormat="1" applyFont="1" applyFill="1" applyBorder="1"/>
    <xf numFmtId="173" fontId="14" fillId="10" borderId="50" xfId="0" applyNumberFormat="1" applyFont="1" applyFill="1" applyBorder="1"/>
    <xf numFmtId="173" fontId="14" fillId="10" borderId="15" xfId="0" applyNumberFormat="1" applyFont="1" applyFill="1" applyBorder="1"/>
    <xf numFmtId="9" fontId="14" fillId="10" borderId="50" xfId="0" applyNumberFormat="1" applyFont="1" applyFill="1" applyBorder="1"/>
    <xf numFmtId="9" fontId="14" fillId="10" borderId="15" xfId="0" applyNumberFormat="1" applyFont="1" applyFill="1" applyBorder="1"/>
    <xf numFmtId="0" fontId="23" fillId="0" borderId="0" xfId="116" applyFont="1"/>
    <xf numFmtId="0" fontId="56" fillId="0" borderId="0" xfId="116"/>
    <xf numFmtId="0" fontId="57" fillId="0" borderId="0" xfId="116" applyFont="1" applyAlignment="1">
      <alignment horizontal="center"/>
    </xf>
    <xf numFmtId="0" fontId="23" fillId="0" borderId="0" xfId="116" applyFont="1" applyAlignment="1">
      <alignment wrapText="1"/>
    </xf>
    <xf numFmtId="0" fontId="23" fillId="0" borderId="0" xfId="116" applyFont="1" applyAlignment="1">
      <alignment horizontal="center"/>
    </xf>
    <xf numFmtId="0" fontId="56" fillId="0" borderId="0" xfId="116" applyAlignment="1">
      <alignment wrapText="1"/>
    </xf>
    <xf numFmtId="0" fontId="9" fillId="0" borderId="0" xfId="116" applyFont="1" applyAlignment="1">
      <alignment horizontal="center" wrapText="1"/>
    </xf>
    <xf numFmtId="0" fontId="56" fillId="0" borderId="0" xfId="116" applyAlignment="1">
      <alignment vertical="center" wrapText="1"/>
    </xf>
    <xf numFmtId="0" fontId="18" fillId="0" borderId="0" xfId="116" applyFont="1" applyAlignment="1">
      <alignment horizontal="center" wrapText="1"/>
    </xf>
    <xf numFmtId="0" fontId="9" fillId="0" borderId="0" xfId="116" applyFont="1" applyAlignment="1">
      <alignment horizontal="center"/>
    </xf>
    <xf numFmtId="0" fontId="15" fillId="0" borderId="0" xfId="116" applyFont="1" applyAlignment="1">
      <alignment vertical="center" wrapText="1"/>
    </xf>
    <xf numFmtId="0" fontId="11" fillId="0" borderId="0" xfId="0" applyFont="1" applyAlignment="1">
      <alignment vertical="top" wrapText="1"/>
    </xf>
    <xf numFmtId="172" fontId="16" fillId="55" borderId="23" xfId="0" applyNumberFormat="1" applyFont="1" applyFill="1" applyBorder="1"/>
    <xf numFmtId="172" fontId="14" fillId="10" borderId="15" xfId="0" applyNumberFormat="1" applyFont="1" applyFill="1" applyBorder="1"/>
    <xf numFmtId="0" fontId="14" fillId="10" borderId="12" xfId="0" applyFont="1" applyFill="1" applyBorder="1"/>
    <xf numFmtId="0" fontId="14" fillId="10" borderId="14" xfId="0" applyFont="1" applyFill="1" applyBorder="1" applyAlignment="1">
      <alignment horizontal="right"/>
    </xf>
    <xf numFmtId="1" fontId="14" fillId="52" borderId="13" xfId="0" applyNumberFormat="1" applyFont="1" applyFill="1" applyBorder="1"/>
    <xf numFmtId="9" fontId="14" fillId="10" borderId="0" xfId="0" applyNumberFormat="1" applyFont="1" applyFill="1"/>
    <xf numFmtId="173" fontId="14" fillId="10" borderId="0" xfId="0" applyNumberFormat="1" applyFont="1" applyFill="1"/>
    <xf numFmtId="1" fontId="14" fillId="10" borderId="8" xfId="0" applyNumberFormat="1" applyFont="1" applyFill="1" applyBorder="1"/>
    <xf numFmtId="1" fontId="14" fillId="10" borderId="2" xfId="0" applyNumberFormat="1" applyFont="1" applyFill="1" applyBorder="1"/>
    <xf numFmtId="1" fontId="14" fillId="10" borderId="6" xfId="0" applyNumberFormat="1" applyFont="1" applyFill="1" applyBorder="1"/>
    <xf numFmtId="3" fontId="14" fillId="10" borderId="0" xfId="0" applyNumberFormat="1" applyFont="1" applyFill="1"/>
    <xf numFmtId="172" fontId="14" fillId="10" borderId="50" xfId="0" applyNumberFormat="1" applyFont="1" applyFill="1" applyBorder="1"/>
    <xf numFmtId="172" fontId="14" fillId="10" borderId="0" xfId="0" applyNumberFormat="1" applyFont="1" applyFill="1"/>
    <xf numFmtId="2" fontId="3" fillId="6" borderId="56" xfId="0" applyNumberFormat="1" applyFont="1" applyFill="1" applyBorder="1" applyAlignment="1">
      <alignment horizontal="left" vertical="top" wrapText="1"/>
    </xf>
    <xf numFmtId="2" fontId="3" fillId="6" borderId="58" xfId="0" applyNumberFormat="1" applyFont="1" applyFill="1" applyBorder="1" applyAlignment="1">
      <alignment horizontal="left" vertical="top" wrapText="1"/>
    </xf>
    <xf numFmtId="2" fontId="1" fillId="2" borderId="0" xfId="0" applyNumberFormat="1" applyFont="1" applyFill="1" applyAlignment="1">
      <alignment horizontal="center"/>
    </xf>
    <xf numFmtId="2" fontId="27" fillId="6" borderId="0" xfId="0" applyNumberFormat="1" applyFont="1" applyFill="1" applyAlignment="1">
      <alignment horizontal="center" vertical="center"/>
    </xf>
    <xf numFmtId="2" fontId="7" fillId="63" borderId="56" xfId="0" applyNumberFormat="1" applyFont="1" applyFill="1" applyBorder="1" applyAlignment="1">
      <alignment horizontal="left" vertical="top" wrapText="1"/>
    </xf>
    <xf numFmtId="2" fontId="7" fillId="63" borderId="57" xfId="0" applyNumberFormat="1" applyFont="1" applyFill="1" applyBorder="1" applyAlignment="1">
      <alignment horizontal="left" vertical="top" wrapText="1"/>
    </xf>
    <xf numFmtId="2" fontId="7" fillId="63" borderId="58" xfId="0" applyNumberFormat="1" applyFont="1" applyFill="1" applyBorder="1" applyAlignment="1">
      <alignment horizontal="left" vertical="top" wrapText="1"/>
    </xf>
    <xf numFmtId="2" fontId="3" fillId="7" borderId="56" xfId="0" applyNumberFormat="1" applyFont="1" applyFill="1" applyBorder="1" applyAlignment="1">
      <alignment horizontal="left" vertical="top" wrapText="1"/>
    </xf>
    <xf numFmtId="2" fontId="3" fillId="7" borderId="57" xfId="0" applyNumberFormat="1" applyFont="1" applyFill="1" applyBorder="1" applyAlignment="1">
      <alignment horizontal="left" vertical="top" wrapText="1"/>
    </xf>
    <xf numFmtId="2" fontId="3" fillId="7" borderId="58" xfId="0" applyNumberFormat="1" applyFont="1" applyFill="1" applyBorder="1" applyAlignment="1">
      <alignment horizontal="left" vertical="top" wrapText="1"/>
    </xf>
    <xf numFmtId="2" fontId="3" fillId="51" borderId="56" xfId="0" applyNumberFormat="1" applyFont="1" applyFill="1" applyBorder="1" applyAlignment="1">
      <alignment horizontal="left" vertical="center" wrapText="1"/>
    </xf>
    <xf numFmtId="2" fontId="3" fillId="51" borderId="57" xfId="0" applyNumberFormat="1" applyFont="1" applyFill="1" applyBorder="1" applyAlignment="1">
      <alignment horizontal="left" vertical="center" wrapText="1"/>
    </xf>
    <xf numFmtId="2" fontId="3" fillId="51" borderId="58" xfId="0" applyNumberFormat="1" applyFont="1" applyFill="1" applyBorder="1" applyAlignment="1">
      <alignment horizontal="left" vertical="center" wrapText="1"/>
    </xf>
  </cellXfs>
  <cellStyles count="117">
    <cellStyle name="20% - Accent1 2" xfId="12" xr:uid="{BC9CB72C-D79A-4747-A0A7-9AAC1BEB5BCE}"/>
    <cellStyle name="20% - Accent2 2" xfId="13" xr:uid="{D9C5214C-15C4-49EE-9D3E-EFC6F11790A4}"/>
    <cellStyle name="20% - Accent3 2" xfId="14" xr:uid="{A66ABF9D-EF69-492D-B339-0407BF5C0EA3}"/>
    <cellStyle name="20% - Accent4 2" xfId="15" xr:uid="{A3E585E9-9B49-4931-BD4F-0D8A6F0C5E80}"/>
    <cellStyle name="20% - Accent5 2" xfId="16" xr:uid="{D86AF14D-D758-43FF-A1A3-B147C0A124D1}"/>
    <cellStyle name="20% - Accent6 2" xfId="17" xr:uid="{F923635A-1EA6-44D2-9FB4-2C61E1140DD7}"/>
    <cellStyle name="40% - Accent1 2" xfId="18" xr:uid="{F3BF5404-B621-4FB3-A389-CE6AEFE4D508}"/>
    <cellStyle name="40% - Accent2 2" xfId="19" xr:uid="{E46CDAEB-7244-406E-A2BC-84A71C5C8BF4}"/>
    <cellStyle name="40% - Accent3 2" xfId="20" xr:uid="{68964162-8531-45EC-89F4-BB9A3A1FABEB}"/>
    <cellStyle name="40% - Accent4 2" xfId="21" xr:uid="{29C7DAE4-C9E5-44DE-8179-6B66F57525B5}"/>
    <cellStyle name="40% - Accent5 2" xfId="22" xr:uid="{6732686B-5A12-464A-8F56-AE927C41B199}"/>
    <cellStyle name="40% - Accent6 2" xfId="23" xr:uid="{C23F6052-6C66-4581-BA11-81399A96647A}"/>
    <cellStyle name="60% - Accent1 2" xfId="24" xr:uid="{BBA54E5A-0C32-43F7-A90B-F8CDBFB39560}"/>
    <cellStyle name="60% - Accent2 2" xfId="25" xr:uid="{FF29E96F-A705-4434-95A7-AA2389F42ECC}"/>
    <cellStyle name="60% - Accent3 2" xfId="26" xr:uid="{7A07794A-4295-4922-9589-E7B481DEF2A4}"/>
    <cellStyle name="60% - Accent4 2" xfId="27" xr:uid="{BC9847F5-D8BD-44EC-B7D2-63CAF43CAA13}"/>
    <cellStyle name="60% - Accent5 2" xfId="28" xr:uid="{0C938101-5579-43E8-9495-F0453968E31A}"/>
    <cellStyle name="60% - Accent6 2" xfId="29" xr:uid="{FE16278C-B4BB-493E-A183-5E427F3EAFBF}"/>
    <cellStyle name="Accent1 2" xfId="30" xr:uid="{8459A8BB-5B4C-4EA7-BB1C-35A2B00BF9CE}"/>
    <cellStyle name="Accent2 2" xfId="31" xr:uid="{B7305222-3BB5-49CD-BFEF-037D6B88F078}"/>
    <cellStyle name="Accent3 2" xfId="32" xr:uid="{37C8C2BC-F7B5-442D-A61D-C9A1599F634C}"/>
    <cellStyle name="Accent4 2" xfId="33" xr:uid="{C7A9BA9F-9EA5-4753-A381-B59824D2AB02}"/>
    <cellStyle name="Accent5 2" xfId="34" xr:uid="{285F7AC0-11B3-469D-BD2B-FE1F5367F732}"/>
    <cellStyle name="Accent6 2" xfId="35" xr:uid="{43491DC8-AE0F-4266-AE52-FDB3B6145422}"/>
    <cellStyle name="Bad" xfId="2" builtinId="27"/>
    <cellStyle name="Bad 2" xfId="36" xr:uid="{6FDF3FB5-CDE4-49E2-ADAF-776A3ECBD1B9}"/>
    <cellStyle name="Calculation 2" xfId="37" xr:uid="{FEE46179-491C-4264-8F5F-3FEC95F7A334}"/>
    <cellStyle name="Calculation 2 2" xfId="87" xr:uid="{9E5C6FC2-91C1-4069-9809-DECAD6084C9C}"/>
    <cellStyle name="Calculation 3" xfId="68" xr:uid="{4290C06D-CB3A-4EB1-AFA1-8243953DA5BA}"/>
    <cellStyle name="Calculation 3 2" xfId="95" xr:uid="{6D74D731-325C-4DC6-8785-882CD626C5C0}"/>
    <cellStyle name="Calculation 4" xfId="80" xr:uid="{F22F1FE0-3FA0-4D77-AFB8-0A60866FABD8}"/>
    <cellStyle name="Calculation 4 2" xfId="104" xr:uid="{25DCD0A1-1360-41EA-8939-004794BF7E26}"/>
    <cellStyle name="Calculation 5" xfId="66" xr:uid="{FC8A0A3E-59B2-4AA8-BE63-1493CD3540EC}"/>
    <cellStyle name="Calculation 5 2" xfId="94" xr:uid="{B530C339-8D23-4292-AB08-A49FD8DB1C5B}"/>
    <cellStyle name="Calculation 6" xfId="82" xr:uid="{2D18A4BA-5E8F-4382-814A-CEC4C646DD0A}"/>
    <cellStyle name="Check Cell" xfId="8" builtinId="23"/>
    <cellStyle name="Check Cell 2" xfId="38" xr:uid="{93B05F5E-CE06-4797-BBAB-D94A63582A8D}"/>
    <cellStyle name="Comma" xfId="3" builtinId="3"/>
    <cellStyle name="Comma [0] 2" xfId="9" xr:uid="{B474585C-A6AF-4560-A033-E858E7C830E7}"/>
    <cellStyle name="Comma [0] 3" xfId="55" xr:uid="{7F20D6B5-C2EF-4F8E-A807-0C43A2C069C5}"/>
    <cellStyle name="Comma 10" xfId="114" xr:uid="{4A02F505-77B9-4115-A089-0A2457FEE314}"/>
    <cellStyle name="Comma 11" xfId="112" xr:uid="{8A966165-2D68-4613-89BE-632C332FE5F9}"/>
    <cellStyle name="Comma 12" xfId="111" xr:uid="{A91B9F1C-B9BA-4F83-A939-0ACC7DE34B29}"/>
    <cellStyle name="Comma 13" xfId="113" xr:uid="{0DE3F2EB-39F7-469A-9FBA-BC1CC8E7ED53}"/>
    <cellStyle name="Comma 2" xfId="39" xr:uid="{D7C83EB2-943D-41FF-9A05-938BAFEE8AD7}"/>
    <cellStyle name="Comma 3" xfId="70" xr:uid="{07774080-0494-4963-B6B8-D0AC0012C16C}"/>
    <cellStyle name="Comma 3 11" xfId="58" xr:uid="{66E3D13A-F7B4-4C95-898E-EE5C07054D4A}"/>
    <cellStyle name="Comma 4" xfId="69" xr:uid="{0D3B868C-5192-49D0-B883-0ABA8823D43F}"/>
    <cellStyle name="Comma 5" xfId="62" xr:uid="{C349BA04-CAC6-431B-A62D-8BDFDEF8FECB}"/>
    <cellStyle name="Comma 6" xfId="67" xr:uid="{A27B0F19-BC8A-4847-B70D-22BEA15AFF46}"/>
    <cellStyle name="Comma 7" xfId="83" xr:uid="{7E8D5780-4CB7-43FA-A390-55B1152C364B}"/>
    <cellStyle name="Comma 8" xfId="107" xr:uid="{2B789E5A-EBD2-4563-9897-D0D8377C4283}"/>
    <cellStyle name="Comma 9" xfId="109" xr:uid="{A44ED2FD-0D87-49FB-9BAA-49CBDD3D9657}"/>
    <cellStyle name="Currency 2" xfId="40" xr:uid="{165AB778-BD2F-4D2A-AD5B-46B4C52D4FE1}"/>
    <cellStyle name="Explanatory Text 2" xfId="41" xr:uid="{664349A5-C255-482F-B2C0-68B47DED88BD}"/>
    <cellStyle name="Good" xfId="5" builtinId="26"/>
    <cellStyle name="Good 2" xfId="42" xr:uid="{7551BCAA-36A5-45DF-9E97-5419685FC9A1}"/>
    <cellStyle name="Heading 1 2" xfId="43" xr:uid="{9A6FADEA-BF22-4363-AD2E-5F8526A8A527}"/>
    <cellStyle name="Heading 2 2" xfId="44" xr:uid="{C0B8A48F-B18B-4A69-8A24-B81491F64D73}"/>
    <cellStyle name="Heading 3 2" xfId="45" xr:uid="{28DA75FB-4779-4CB5-BF05-2B6B3E2759D1}"/>
    <cellStyle name="Heading 4 2" xfId="46" xr:uid="{B3A9C447-0CD7-4505-AD11-ED38C811247E}"/>
    <cellStyle name="Hyperlink 2" xfId="84" xr:uid="{A86A0C33-0C6A-493E-9733-2F3736B334F2}"/>
    <cellStyle name="Hyperlink 3" xfId="110" xr:uid="{AC39412A-41D0-456C-B213-3F651A51B710}"/>
    <cellStyle name="Input" xfId="6" builtinId="20"/>
    <cellStyle name="Input 2" xfId="47" xr:uid="{F8AFEB4E-379A-4105-86E2-FFC0FA4DEEF4}"/>
    <cellStyle name="Input 2 2" xfId="88" xr:uid="{DDE014D5-E80D-4CA4-A16C-12BC1E5CB0FD}"/>
    <cellStyle name="Input 3" xfId="73" xr:uid="{8699A85D-A933-41DD-B5A4-C1E529DD49BC}"/>
    <cellStyle name="Input 3 2" xfId="98" xr:uid="{2BD5E260-664F-40A2-9428-EBEC9BA8646F}"/>
    <cellStyle name="Input 4" xfId="65" xr:uid="{38D18293-1413-4BC2-9F17-A51B6B88ACA0}"/>
    <cellStyle name="Input 4 2" xfId="93" xr:uid="{B1C60A2A-146C-4C8F-8113-DBC3EB588F5B}"/>
    <cellStyle name="Input 5" xfId="71" xr:uid="{C5760EDF-E626-4A45-9656-E3EE20B5C4A0}"/>
    <cellStyle name="Input 5 2" xfId="96" xr:uid="{BD424B28-7932-4CBF-AAD3-AB1605F41552}"/>
    <cellStyle name="Input 6" xfId="78" xr:uid="{363C6D85-36EF-430C-B6C0-2FCBD9705D0C}"/>
    <cellStyle name="Linked Cell 2" xfId="48" xr:uid="{E6C78D42-E9FB-4016-A637-671B78F9F1B9}"/>
    <cellStyle name="Linked Cell 2 2" xfId="89" xr:uid="{A8D56075-A152-46D4-A6DA-51903D1ADB5D}"/>
    <cellStyle name="Neutral" xfId="7" builtinId="28"/>
    <cellStyle name="Neutral 2" xfId="49" xr:uid="{295E097F-76CB-4695-8D8E-4D379C18257F}"/>
    <cellStyle name="Normal" xfId="0" builtinId="0"/>
    <cellStyle name="Normal 102" xfId="59" xr:uid="{3DFF29B4-A120-43D6-A4C3-5A424BED96B6}"/>
    <cellStyle name="Normal 104" xfId="60" xr:uid="{CFA2B1BD-1E42-4FF6-BADE-8284EEBBCB12}"/>
    <cellStyle name="Normal 106" xfId="105" xr:uid="{F9FC7586-098B-450B-B84D-7171C35540B3}"/>
    <cellStyle name="Normal 19" xfId="56" xr:uid="{5179D9C5-7FA7-42A8-88C6-A529C8AF736E}"/>
    <cellStyle name="Normal 19 2" xfId="115" xr:uid="{1172A694-E4B6-45C6-A845-86F9F1F9CAB8}"/>
    <cellStyle name="Normal 2" xfId="1" xr:uid="{9B98A07A-9348-4C94-9AC1-231925EAEE99}"/>
    <cellStyle name="Normal 3" xfId="11" xr:uid="{5A9FD815-F498-4A54-AE9A-1A0C62A0D66D}"/>
    <cellStyle name="Normal 3 2" xfId="85" xr:uid="{3BF853B2-5CBE-4B45-92CF-490FD9944C86}"/>
    <cellStyle name="Normal 4" xfId="61" xr:uid="{26780066-30CD-457C-8188-8EB412BBF969}"/>
    <cellStyle name="Normal 5" xfId="86" xr:uid="{31316FF8-4F04-47A7-AAD1-C3E57CE06782}"/>
    <cellStyle name="Normal 6" xfId="116" xr:uid="{958816A8-13AE-45C3-B49F-735E80002E11}"/>
    <cellStyle name="Note 2" xfId="50" xr:uid="{7FCA9C0F-B745-40EB-85C3-FC181601D22B}"/>
    <cellStyle name="Note 2 2" xfId="90" xr:uid="{4E9206B9-0B81-401B-808E-9CD381D3BCF9}"/>
    <cellStyle name="Note 3" xfId="75" xr:uid="{86AB9D3F-9B8E-4673-B006-41C8B7EADF91}"/>
    <cellStyle name="Note 3 2" xfId="100" xr:uid="{FDF3FD3F-A6D8-488A-9BFD-6C5F4023F293}"/>
    <cellStyle name="Note 4" xfId="72" xr:uid="{A5414DA1-0B5E-4FF6-9947-606E0FF908C3}"/>
    <cellStyle name="Note 4 2" xfId="97" xr:uid="{F67DD315-B2F0-4A28-B1E8-54F985525349}"/>
    <cellStyle name="Note 5" xfId="63" xr:uid="{38CBF0BA-4395-447A-93ED-3399E1483D8F}"/>
    <cellStyle name="Output 2" xfId="51" xr:uid="{E1AD1505-3069-4A60-B8EF-C741D39F3B17}"/>
    <cellStyle name="Output 2 2" xfId="91" xr:uid="{37D6EE78-37F4-4202-A8FB-AE685A47E2C3}"/>
    <cellStyle name="Output 3" xfId="76" xr:uid="{56A27653-393C-4D2F-A14B-A5A9B0C222D2}"/>
    <cellStyle name="Output 3 2" xfId="101" xr:uid="{FCB961DB-A0F8-4FA1-AC74-9FD4C6CCEB82}"/>
    <cellStyle name="Output 4" xfId="74" xr:uid="{C3F6A075-E767-4BB1-835A-E03E44D434A2}"/>
    <cellStyle name="Output 4 2" xfId="99" xr:uid="{90518EFD-5F43-411E-8364-80D452B348AD}"/>
    <cellStyle name="Output 5" xfId="81" xr:uid="{C1037C06-F0C2-4C30-B6E7-794D9137D941}"/>
    <cellStyle name="Percent" xfId="4" builtinId="5"/>
    <cellStyle name="Percent 2" xfId="10" xr:uid="{4B019B96-5EBA-4E98-80E9-41D87CC40366}"/>
    <cellStyle name="Percent 2 2" xfId="106" xr:uid="{C14A1634-F75B-4FE0-9845-7C2D127D07E9}"/>
    <cellStyle name="Percent 3" xfId="108" xr:uid="{59968F94-C661-4723-A680-ED98E4D8646C}"/>
    <cellStyle name="Percent 3 3" xfId="57" xr:uid="{8EB7B6D1-981A-4272-8CCA-D479E9D138CB}"/>
    <cellStyle name="Title 2" xfId="52" xr:uid="{2F373F59-5975-4CE9-A5FD-8ED1E356165E}"/>
    <cellStyle name="Total 2" xfId="53" xr:uid="{7B8C3A33-C984-4125-BA4A-A0739218D0A4}"/>
    <cellStyle name="Total 2 2" xfId="92" xr:uid="{7EB1B388-E3AC-40E1-96DC-B5FD799B6ED1}"/>
    <cellStyle name="Total 3" xfId="77" xr:uid="{5E1831D0-25E9-48A3-ABAC-318DFD1A846D}"/>
    <cellStyle name="Total 3 2" xfId="102" xr:uid="{F45B8C87-7ECD-43E5-97E8-CA6D87E80B30}"/>
    <cellStyle name="Total 4" xfId="79" xr:uid="{D64730CE-6282-46B4-9B6B-373629B73B8C}"/>
    <cellStyle name="Total 4 2" xfId="103" xr:uid="{016F4C26-F6A6-4C9F-91F5-BF9E98B38805}"/>
    <cellStyle name="Total 5" xfId="64" xr:uid="{17EDEF04-E964-4D8B-8214-1A0387D5CBE5}"/>
    <cellStyle name="Warning Text 2" xfId="54" xr:uid="{E240516C-4318-4AB6-A479-DA1BE980760D}"/>
  </cellStyles>
  <dxfs count="1623">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0"/>
        <color theme="1"/>
        <name val="Arial"/>
        <family val="2"/>
        <scheme val="none"/>
      </font>
      <numFmt numFmtId="172" formatCode="0.0"/>
      <border diagonalUp="0" diagonalDown="0">
        <left style="thin">
          <color indexed="64"/>
        </left>
        <right style="medium">
          <color indexed="64"/>
        </right>
        <top style="thin">
          <color indexed="64"/>
        </top>
        <bottom style="thin">
          <color indexed="64"/>
        </bottom>
        <vertical/>
        <horizontal/>
      </border>
    </dxf>
    <dxf>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auto="1"/>
        <name val="Arial"/>
        <family val="2"/>
        <scheme val="none"/>
      </font>
      <numFmt numFmtId="167" formatCode="0.000"/>
      <fill>
        <patternFill patternType="solid">
          <fgColor indexed="64"/>
          <bgColor theme="9"/>
        </patternFill>
      </fill>
      <alignment horizontal="general" vertical="bottom" textRotation="0" wrapText="0" indent="0" justifyLastLine="0" shrinkToFit="0" readingOrder="0"/>
      <border diagonalUp="0" diagonalDown="0">
        <left/>
        <right/>
        <top style="thin">
          <color indexed="64"/>
        </top>
        <bottom style="thin">
          <color theme="4" tint="0.39997558519241921"/>
        </bottom>
        <vertical/>
        <horizontal/>
      </border>
    </dxf>
    <dxf>
      <font>
        <b val="0"/>
        <i val="0"/>
        <strike val="0"/>
        <condense val="0"/>
        <extend val="0"/>
        <outline val="0"/>
        <shadow val="0"/>
        <u val="none"/>
        <vertAlign val="baseline"/>
        <sz val="11"/>
        <color auto="1"/>
        <name val="Calibri"/>
        <family val="2"/>
        <scheme val="minor"/>
      </font>
      <numFmt numFmtId="2" formatCode="0.00"/>
      <fill>
        <patternFill patternType="solid">
          <fgColor theme="4" tint="0.79998168889431442"/>
          <bgColor theme="4" tint="0.79998168889431442"/>
        </patternFill>
      </fill>
      <border diagonalUp="0" diagonalDown="0">
        <left style="thin">
          <color indexed="64"/>
        </left>
        <right style="thin">
          <color indexed="64"/>
        </right>
        <top style="thin">
          <color theme="4" tint="0.39997558519241921"/>
        </top>
        <bottom/>
        <vertical/>
        <horizontal/>
      </border>
    </dxf>
    <dxf>
      <numFmt numFmtId="0" formatCode="General"/>
    </dxf>
    <dxf>
      <font>
        <b val="0"/>
        <i val="0"/>
        <strike val="0"/>
        <condense val="0"/>
        <extend val="0"/>
        <outline val="0"/>
        <shadow val="0"/>
        <u val="none"/>
        <vertAlign val="baseline"/>
        <sz val="11"/>
        <color auto="1"/>
        <name val="Calibri"/>
        <family val="2"/>
        <scheme val="minor"/>
      </font>
      <numFmt numFmtId="2" formatCode="0.00"/>
      <fill>
        <patternFill patternType="solid">
          <fgColor theme="4" tint="0.79998168889431442"/>
          <bgColor theme="4" tint="0.79998168889431442"/>
        </patternFill>
      </fill>
      <border diagonalUp="0" diagonalDown="0">
        <left style="thin">
          <color indexed="64"/>
        </left>
        <right style="thin">
          <color indexed="64"/>
        </right>
        <top style="thin">
          <color theme="4" tint="0.39997558519241921"/>
        </top>
        <bottom style="thin">
          <color theme="4" tint="0.39997558519241921"/>
        </bottom>
        <vertical/>
        <horizontal/>
      </border>
    </dxf>
    <dxf>
      <numFmt numFmtId="183" formatCode=";;;"/>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border diagonalUp="0" diagonalDown="0">
        <left style="thin">
          <color auto="1"/>
        </left>
        <right/>
        <top/>
        <bottom/>
      </border>
    </dxf>
    <dxf>
      <font>
        <strike val="0"/>
        <outline val="0"/>
        <shadow val="0"/>
        <u val="none"/>
        <vertAlign val="baseline"/>
        <color auto="1"/>
      </font>
      <numFmt numFmtId="2" formatCode="0.00"/>
      <fill>
        <patternFill patternType="none">
          <fgColor indexed="64"/>
          <bgColor auto="1"/>
        </patternFill>
      </fill>
      <border diagonalUp="0" diagonalDown="0">
        <left/>
        <right style="thin">
          <color auto="1"/>
        </right>
        <top/>
        <bottom/>
      </border>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border diagonalUp="0" diagonalDown="0">
        <left style="thin">
          <color auto="1"/>
        </left>
        <right/>
        <top/>
        <bottom/>
      </border>
    </dxf>
    <dxf>
      <font>
        <strike val="0"/>
        <outline val="0"/>
        <shadow val="0"/>
        <u val="none"/>
        <vertAlign val="baseline"/>
        <color auto="1"/>
      </font>
      <numFmt numFmtId="2" formatCode="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bottom/>
      </border>
    </dxf>
    <dxf>
      <font>
        <strike val="0"/>
        <outline val="0"/>
        <shadow val="0"/>
        <u val="none"/>
        <vertAlign val="baseline"/>
        <color auto="1"/>
      </font>
      <numFmt numFmtId="2" formatCode="0.00"/>
      <fill>
        <patternFill patternType="none">
          <fgColor indexed="64"/>
          <bgColor auto="1"/>
        </patternFill>
      </fill>
      <border diagonalUp="0" diagonalDown="0">
        <left style="thin">
          <color indexed="64"/>
        </left>
        <right style="thin">
          <color indexed="64"/>
        </right>
        <top/>
        <bottom/>
      </border>
    </dxf>
    <dxf>
      <font>
        <strike val="0"/>
        <outline val="0"/>
        <shadow val="0"/>
        <u val="none"/>
        <vertAlign val="baseline"/>
        <color auto="1"/>
      </font>
      <numFmt numFmtId="2" formatCode="0.00"/>
      <fill>
        <patternFill patternType="none">
          <fgColor indexed="64"/>
          <bgColor auto="1"/>
        </patternFill>
      </fill>
    </dxf>
    <dxf>
      <font>
        <strike val="0"/>
        <outline val="0"/>
        <shadow val="0"/>
        <u val="none"/>
        <vertAlign val="baseline"/>
        <color auto="1"/>
      </font>
      <numFmt numFmtId="2" formatCode="0.00"/>
      <fill>
        <patternFill patternType="none">
          <fgColor indexed="64"/>
          <bgColor auto="1"/>
        </patternFill>
      </fill>
    </dxf>
    <dxf>
      <font>
        <b/>
        <i val="0"/>
        <strike val="0"/>
        <condense val="0"/>
        <extend val="0"/>
        <outline val="0"/>
        <shadow val="0"/>
        <u val="none"/>
        <vertAlign val="baseline"/>
        <sz val="10"/>
        <color auto="1"/>
        <name val="Arial"/>
        <family val="2"/>
        <scheme val="none"/>
      </font>
      <numFmt numFmtId="167" formatCode="0.000"/>
      <fill>
        <patternFill patternType="solid">
          <fgColor indexed="6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1"/>
        <color auto="1"/>
        <name val="Calibri"/>
        <family val="2"/>
        <scheme val="minor"/>
      </font>
      <numFmt numFmtId="165" formatCode="_(* #,##0.00_);_(* \(#,##0.00\);_(* &quot;-&quot;??_);_(@_)"/>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auto="1"/>
        <name val="Calibri"/>
        <family val="2"/>
        <scheme val="minor"/>
      </font>
      <numFmt numFmtId="165" formatCode="_(* #,##0.00_);_(* \(#,##0.00\);_(* &quot;-&quot;??_);_(@_)"/>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1"/>
        <color auto="1"/>
        <name val="Calibri"/>
        <family val="2"/>
        <scheme val="minor"/>
      </font>
      <numFmt numFmtId="2"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1"/>
        <color auto="1"/>
        <name val="Calibri"/>
        <family val="2"/>
        <scheme val="minor"/>
      </font>
      <numFmt numFmtId="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165" formatCode="_(* #,##0.00_);_(* \(#,##0.00\);_(* &quot;-&quot;??_);_(@_)"/>
      <fill>
        <patternFill patternType="none">
          <fgColor indexed="64"/>
          <bgColor indexed="65"/>
        </patternFill>
      </fill>
    </dxf>
    <dxf>
      <font>
        <b val="0"/>
        <i val="0"/>
        <strike val="0"/>
        <condense val="0"/>
        <extend val="0"/>
        <outline val="0"/>
        <shadow val="0"/>
        <u val="none"/>
        <vertAlign val="baseline"/>
        <sz val="11"/>
        <color auto="1"/>
        <name val="Calibri"/>
        <family val="2"/>
        <scheme val="minor"/>
      </font>
      <numFmt numFmtId="165" formatCode="_(* #,##0.00_);_(* \(#,##0.00\);_(* &quot;-&quot;??_);_(@_)"/>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bottom" textRotation="0" wrapText="0" indent="0" justifyLastLine="0" shrinkToFit="0" readingOrder="0"/>
      <border diagonalUp="0" diagonalDown="0" outline="0">
        <left style="thin">
          <color rgb="FF7F7F7F"/>
        </left>
        <right style="thin">
          <color rgb="FF7F7F7F"/>
        </right>
        <top style="thin">
          <color rgb="FF7F7F7F"/>
        </top>
        <bottom/>
      </border>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bottom" textRotation="0" wrapText="0" indent="0" justifyLastLine="0" shrinkToFit="0" readingOrder="0"/>
      <border diagonalUp="0" diagonalDown="0" outline="0">
        <left/>
        <right/>
        <top style="thin">
          <color rgb="FF7F7F7F"/>
        </top>
        <bottom style="thin">
          <color rgb="FF7F7F7F"/>
        </bottom>
      </border>
    </dxf>
    <dxf>
      <font>
        <strike val="0"/>
        <outline val="0"/>
        <shadow val="0"/>
        <u val="none"/>
        <vertAlign val="baseline"/>
        <sz val="11"/>
        <color auto="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rgb="FF7F7F7F"/>
        </top>
        <bottom style="thin">
          <color rgb="FF7F7F7F"/>
        </bottom>
      </border>
    </dxf>
    <dxf>
      <font>
        <strike val="0"/>
        <outline val="0"/>
        <shadow val="0"/>
        <u val="none"/>
        <vertAlign val="baseline"/>
        <sz val="11"/>
        <color auto="1"/>
        <name val="Calibri"/>
        <family val="2"/>
        <scheme val="minor"/>
      </font>
      <fill>
        <patternFill patternType="none">
          <fgColor indexed="64"/>
          <bgColor auto="1"/>
        </patternFill>
      </fill>
      <border diagonalUp="0" diagonalDown="0" outline="0">
        <left/>
        <right/>
        <top style="thin">
          <color rgb="FF7F7F7F"/>
        </top>
        <bottom style="thin">
          <color rgb="FF7F7F7F"/>
        </bottom>
      </border>
    </dxf>
    <dxf>
      <font>
        <strike val="0"/>
        <outline val="0"/>
        <shadow val="0"/>
        <u val="none"/>
        <vertAlign val="baseline"/>
        <sz val="11"/>
        <color auto="1"/>
        <name val="Calibri"/>
        <family val="2"/>
        <scheme val="minor"/>
      </font>
      <fill>
        <patternFill patternType="none">
          <fgColor indexed="64"/>
          <bgColor auto="1"/>
        </patternFill>
      </fill>
      <border diagonalUp="0" diagonalDown="0" outline="0">
        <left/>
        <right/>
        <top style="thin">
          <color rgb="FF7F7F7F"/>
        </top>
        <bottom style="thin">
          <color rgb="FF7F7F7F"/>
        </bottom>
      </border>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1"/>
        <color auto="1"/>
        <name val="Calibri"/>
        <family val="2"/>
        <scheme val="minor"/>
      </font>
      <fill>
        <patternFill patternType="none">
          <fgColor indexed="64"/>
          <bgColor theme="9" tint="0.79998168889431442"/>
        </patternFill>
      </fill>
    </dxf>
    <dxf>
      <font>
        <strike val="0"/>
        <outline val="0"/>
        <shadow val="0"/>
        <u val="none"/>
        <vertAlign val="baseline"/>
        <sz val="11"/>
        <color auto="1"/>
        <name val="Calibri"/>
        <family val="2"/>
        <scheme val="minor"/>
      </font>
      <fill>
        <patternFill patternType="solid">
          <fgColor indexed="64"/>
          <bgColor theme="9"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theme="9"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5"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auto="1"/>
        <name val="Calibri"/>
        <family val="2"/>
        <scheme val="minor"/>
      </font>
      <fill>
        <patternFill patternType="solid">
          <fgColor indexed="64"/>
          <bgColor theme="5" tint="0.79998168889431442"/>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5" tint="0.79998168889431442"/>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9" tint="0.79998168889431442"/>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9" tint="0.79998168889431442"/>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5" tint="0.79998168889431442"/>
        </patternFill>
      </fill>
      <border diagonalUp="0" diagonalDown="0" outline="0">
        <left style="thin">
          <color theme="4" tint="0.39997558519241921"/>
        </left>
        <right/>
        <top style="thin">
          <color theme="4" tint="0.39997558519241921"/>
        </top>
        <bottom/>
      </border>
    </dxf>
    <dxf>
      <border outline="0">
        <left style="thin">
          <color theme="4" tint="0.39997558519241921"/>
        </left>
      </border>
    </dxf>
    <dxf>
      <font>
        <strike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theme="4"/>
          <bgColor theme="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83" formatCode=";;;"/>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right style="thin">
          <color rgb="FF7F7F7F"/>
        </right>
        <top style="thin">
          <color rgb="FF7F7F7F"/>
        </top>
        <bottom style="thin">
          <color rgb="FF7F7F7F"/>
        </bottom>
      </border>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numFmt numFmtId="181" formatCode="0.0000000000"/>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right/>
        <top style="thin">
          <color theme="4" tint="0.39997558519241921"/>
        </top>
        <bottom/>
      </border>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5"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5" tint="0.79998168889431442"/>
        </patternFill>
      </fill>
      <alignment horizontal="general" vertical="bottom"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5" tint="0.79998168889431442"/>
        </patternFill>
      </fill>
      <alignment horizontal="general" vertical="bottom"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5" tint="0.79998168889431442"/>
        </patternFill>
      </fill>
      <alignment horizontal="general" vertical="bottom"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5" tint="0.79998168889431442"/>
        </patternFill>
      </fill>
      <alignment horizontal="general" vertical="bottom"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5" tint="0.79998168889431442"/>
        </patternFill>
      </fill>
      <alignment horizontal="general" vertical="bottom"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style="thin">
          <color rgb="FF7F7F7F"/>
        </left>
        <right/>
        <top style="thin">
          <color rgb="FF7F7F7F"/>
        </top>
        <bottom style="thin">
          <color rgb="FF7F7F7F"/>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border diagonalUp="0" diagonalDown="0" outline="0">
        <left/>
        <right/>
        <top style="thin">
          <color theme="4" tint="0.39997558519241921"/>
        </top>
        <bottom style="thin">
          <color theme="4" tint="0.39997558519241921"/>
        </bottom>
      </border>
    </dxf>
    <dxf>
      <font>
        <b val="0"/>
      </font>
      <numFmt numFmtId="0" formatCode="General"/>
      <fill>
        <patternFill patternType="none">
          <fgColor indexed="64"/>
          <bgColor auto="1"/>
        </patternFill>
      </fill>
    </dxf>
    <dxf>
      <border outline="0">
        <top style="thin">
          <color theme="4" tint="0.39997558519241921"/>
        </top>
      </border>
    </dxf>
    <dxf>
      <font>
        <b val="0"/>
      </font>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fill>
        <patternFill patternType="none">
          <fgColor indexed="64"/>
          <bgColor auto="1"/>
        </patternFill>
      </fill>
    </dxf>
    <dxf>
      <numFmt numFmtId="0" formatCode="General"/>
      <fill>
        <patternFill patternType="none">
          <fgColor indexed="64"/>
          <bgColor auto="1"/>
        </patternFill>
      </fill>
    </dxf>
    <dxf>
      <font>
        <b/>
        <sz val="10"/>
        <color auto="1"/>
        <name val="Arial"/>
        <family val="2"/>
        <scheme val="none"/>
      </font>
      <numFmt numFmtId="167" formatCode="0.000"/>
      <fill>
        <patternFill patternType="none">
          <fgColor indexed="64"/>
          <bgColor auto="1"/>
        </patternFill>
      </fill>
      <alignment horizontal="general" vertical="bottom" textRotation="0" wrapText="1"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1"/>
        <color auto="1"/>
        <name val="Calibri"/>
        <family val="2"/>
        <scheme val="minor"/>
      </font>
      <numFmt numFmtId="0" formatCode="General"/>
      <fill>
        <patternFill patternType="none">
          <fgColor indexed="64"/>
          <bgColor auto="1"/>
        </patternFill>
      </fill>
    </dxf>
    <dxf>
      <numFmt numFmtId="3" formatCode="#,##0"/>
      <fill>
        <patternFill patternType="none">
          <fgColor indexed="64"/>
          <bgColor auto="1"/>
        </patternFill>
      </fill>
    </dxf>
    <dxf>
      <font>
        <strike val="0"/>
        <outline val="0"/>
        <shadow val="0"/>
        <u val="none"/>
        <vertAlign val="baseline"/>
        <sz val="11"/>
        <color auto="1"/>
        <name val="Calibri"/>
        <family val="2"/>
        <scheme val="minor"/>
      </font>
      <numFmt numFmtId="3" formatCode="#,##0"/>
      <fill>
        <patternFill patternType="none">
          <fgColor indexed="64"/>
          <bgColor auto="1"/>
        </patternFill>
      </fill>
      <border diagonalUp="0" diagonalDown="0" outline="0">
        <left/>
        <right/>
        <top style="thin">
          <color theme="4" tint="0.39997558519241921"/>
        </top>
        <bottom style="thin">
          <color theme="4" tint="0.39997558519241921"/>
        </bottom>
      </border>
    </dxf>
    <dxf>
      <font>
        <strike val="0"/>
        <outline val="0"/>
        <shadow val="0"/>
        <u val="none"/>
        <vertAlign val="baseline"/>
        <sz val="11"/>
        <color auto="1"/>
        <name val="Calibri"/>
        <family val="2"/>
        <scheme val="minor"/>
      </font>
      <numFmt numFmtId="13" formatCode="0%"/>
      <fill>
        <patternFill patternType="none">
          <fgColor indexed="64"/>
          <bgColor auto="1"/>
        </patternFill>
      </fill>
      <border diagonalUp="0" diagonalDown="0" outline="0">
        <left/>
        <right/>
        <top style="thin">
          <color theme="4" tint="0.39997558519241921"/>
        </top>
        <bottom style="thin">
          <color theme="4" tint="0.39997558519241921"/>
        </bottom>
      </border>
    </dxf>
    <dxf>
      <font>
        <strike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4" tint="0.39997558519241921"/>
        </top>
        <bottom style="thin">
          <color theme="4" tint="0.39997558519241921"/>
        </bottom>
      </border>
    </dxf>
    <dxf>
      <font>
        <strike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4" tint="0.39997558519241921"/>
        </top>
        <bottom style="thin">
          <color theme="4" tint="0.39997558519241921"/>
        </bottom>
      </border>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strike val="0"/>
        <outline val="0"/>
        <shadow val="0"/>
        <u val="none"/>
        <vertAlign val="baseline"/>
        <sz val="11"/>
        <color auto="1"/>
        <name val="Calibri"/>
        <family val="2"/>
        <scheme val="minor"/>
      </font>
      <numFmt numFmtId="0" formatCode="General"/>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style="thin">
          <color theme="4" tint="0.39997558519241921"/>
        </bottom>
      </border>
    </dxf>
    <dxf>
      <font>
        <color auto="1"/>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style="thin">
          <color theme="4" tint="0.39997558519241921"/>
        </bottom>
      </border>
    </dxf>
    <dxf>
      <font>
        <color auto="1"/>
      </font>
      <fill>
        <patternFill patternType="none">
          <fgColor indexed="64"/>
          <bgColor auto="1"/>
        </patternFill>
      </fill>
      <border diagonalUp="0" diagonalDown="0" outline="0">
        <left/>
        <right/>
        <top style="thin">
          <color theme="4" tint="0.39997558519241921"/>
        </top>
        <bottom style="thin">
          <color theme="4" tint="0.39997558519241921"/>
        </bottom>
      </border>
    </dxf>
    <dxf>
      <font>
        <color auto="1"/>
      </font>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auto="1"/>
        <name val="Arial"/>
        <family val="2"/>
        <scheme val="none"/>
      </font>
      <numFmt numFmtId="172" formatCode="0.0"/>
      <fill>
        <patternFill patternType="solid">
          <fgColor theme="4" tint="0.79998168889431442"/>
          <bgColor theme="4" tint="0.79998168889431442"/>
        </patternFill>
      </fill>
      <border diagonalUp="0" diagonalDown="0" outline="0">
        <left/>
        <right style="thin">
          <color indexed="64"/>
        </right>
        <top/>
        <bottom/>
      </border>
    </dxf>
    <dxf>
      <font>
        <b val="0"/>
        <i val="0"/>
        <strike val="0"/>
        <condense val="0"/>
        <extend val="0"/>
        <outline val="0"/>
        <shadow val="0"/>
        <u val="none"/>
        <vertAlign val="baseline"/>
        <sz val="11"/>
        <color theme="1"/>
        <name val="Arial"/>
        <family val="2"/>
        <scheme val="none"/>
      </font>
      <numFmt numFmtId="2" formatCode="0.00"/>
      <fill>
        <patternFill patternType="solid">
          <fgColor indexed="64"/>
          <bgColor rgb="FFDDEBF7"/>
        </patternFill>
      </fill>
    </dxf>
    <dxf>
      <font>
        <b val="0"/>
        <i val="0"/>
        <strike val="0"/>
        <condense val="0"/>
        <extend val="0"/>
        <outline val="0"/>
        <shadow val="0"/>
        <u val="none"/>
        <vertAlign val="baseline"/>
        <sz val="11"/>
        <color auto="1"/>
        <name val="Calibri"/>
        <family val="2"/>
        <scheme val="minor"/>
      </font>
      <numFmt numFmtId="2" formatCode="0.00"/>
      <fill>
        <patternFill patternType="solid">
          <fgColor theme="4" tint="0.79998168889431442"/>
          <bgColor theme="4" tint="0.79998168889431442"/>
        </patternFill>
      </fill>
      <border diagonalUp="0" diagonalDown="0" outline="0">
        <left style="thin">
          <color indexed="64"/>
        </left>
        <right/>
        <top/>
        <bottom/>
      </border>
    </dxf>
    <dxf>
      <border>
        <top style="thin">
          <color theme="4" tint="0.39997558519241921"/>
        </top>
      </border>
    </dxf>
    <dxf>
      <font>
        <b val="0"/>
        <i val="0"/>
        <strike val="0"/>
        <condense val="0"/>
        <extend val="0"/>
        <outline val="0"/>
        <shadow val="0"/>
        <u val="none"/>
        <vertAlign val="baseline"/>
        <sz val="11"/>
        <color theme="1"/>
        <name val="Arial"/>
        <family val="2"/>
        <scheme val="none"/>
      </font>
      <numFmt numFmtId="2" formatCode="0.00"/>
      <fill>
        <patternFill patternType="solid">
          <fgColor indexed="64"/>
          <bgColor rgb="FFDDEBF7"/>
        </patternFill>
      </fill>
    </dxf>
    <dxf>
      <border>
        <bottom style="thin">
          <color indexed="64"/>
        </bottom>
      </border>
    </dxf>
    <dxf>
      <font>
        <b/>
        <i val="0"/>
        <strike val="0"/>
        <condense val="0"/>
        <extend val="0"/>
        <outline val="0"/>
        <shadow val="0"/>
        <u val="none"/>
        <vertAlign val="baseline"/>
        <sz val="11"/>
        <color auto="1"/>
        <name val="Arial"/>
        <family val="2"/>
        <scheme val="none"/>
      </font>
      <numFmt numFmtId="2" formatCode="0.00"/>
      <fill>
        <patternFill patternType="solid">
          <fgColor indexed="64"/>
          <bgColor theme="4" tint="0.79998168889431442"/>
        </patternFill>
      </fill>
      <border diagonalUp="0" diagonalDown="0" outline="0">
        <left/>
        <right/>
        <top/>
        <bottom/>
      </border>
    </dxf>
    <dxf>
      <numFmt numFmtId="183" formatCode=";;;"/>
    </dxf>
    <dxf>
      <numFmt numFmtId="183" formatCode=";;;"/>
    </dxf>
    <dxf>
      <numFmt numFmtId="183" formatCode=";;;"/>
    </dxf>
    <dxf>
      <numFmt numFmtId="183" formatCode=";;;"/>
    </dxf>
    <dxf>
      <numFmt numFmtId="183" formatCode=";;;"/>
    </dxf>
    <dxf>
      <numFmt numFmtId="183" formatCode=";;;"/>
    </dxf>
    <dxf>
      <numFmt numFmtId="183" formatCode=";;;"/>
    </dxf>
    <dxf>
      <numFmt numFmtId="183" formatCode=";;;"/>
    </dxf>
    <dxf>
      <numFmt numFmtId="183" formatCode=";;;"/>
    </dxf>
    <dxf>
      <numFmt numFmtId="183" formatCode=";;;"/>
    </dxf>
    <dxf>
      <numFmt numFmtId="183" formatCode=";;;"/>
    </dxf>
    <dxf>
      <numFmt numFmtId="183" formatCode=";;;"/>
    </dxf>
    <dxf>
      <numFmt numFmtId="183" formatCode=";;;"/>
    </dxf>
    <dxf>
      <numFmt numFmtId="183" formatCode=";;;"/>
    </dxf>
    <dxf>
      <font>
        <b/>
        <color theme="1"/>
      </font>
      <border>
        <bottom style="thin">
          <color theme="4"/>
        </bottom>
        <vertical/>
        <horizontal/>
      </border>
    </dxf>
    <dxf>
      <font>
        <sz val="9"/>
        <color theme="1"/>
        <name val="Arial"/>
        <scheme val="none"/>
      </font>
      <border>
        <left style="thin">
          <color theme="4"/>
        </left>
        <right style="thin">
          <color theme="4"/>
        </right>
        <top style="thin">
          <color theme="4"/>
        </top>
        <bottom style="thin">
          <color theme="4"/>
        </bottom>
        <vertical/>
        <horizontal/>
      </border>
    </dxf>
    <dxf>
      <font>
        <sz val="9"/>
      </font>
    </dxf>
    <dxf>
      <font>
        <b/>
        <i val="0"/>
      </font>
      <fill>
        <patternFill>
          <bgColor rgb="FFD7D7D7"/>
        </patternFill>
      </fill>
    </dxf>
    <dxf>
      <font>
        <b val="0"/>
        <i val="0"/>
      </font>
      <fill>
        <patternFill patternType="none">
          <bgColor indexed="65"/>
        </patternFill>
      </fill>
    </dxf>
  </dxfs>
  <tableStyles count="3" defaultTableStyle="TableStyleMedium2" defaultPivotStyle="PivotStyleLight16">
    <tableStyle name="MySqlDefault" pivot="0" table="0" count="2" xr9:uid="{C0D28F2B-1F82-4BA0-9FB0-E2526EC1F8D4}">
      <tableStyleElement type="wholeTable" dxfId="1622"/>
      <tableStyleElement type="headerRow" dxfId="1621"/>
    </tableStyle>
    <tableStyle name="Slicer Style 1" pivot="0" table="0" count="1" xr9:uid="{275B7986-2F93-4504-8179-C2BBE122E3E5}">
      <tableStyleElement type="wholeTable" dxfId="1620"/>
    </tableStyle>
    <tableStyle name="SlicerStyleLight1 2" pivot="0" table="0" count="2" xr9:uid="{CD4EC140-974F-4848-8DF2-9EAE55D9D325}">
      <tableStyleElement type="wholeTable" dxfId="1619"/>
      <tableStyleElement type="headerRow" dxfId="1618"/>
    </tableStyle>
  </tableStyles>
  <colors>
    <mruColors>
      <color rgb="FFFF9999"/>
      <color rgb="FFCC0000"/>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openxmlformats.org/officeDocument/2006/relationships/sharedStrings" Target="sharedStrings.xml"/><Relationship Id="rId3" Type="http://schemas.openxmlformats.org/officeDocument/2006/relationships/worksheet" Target="worksheets/sheet3.xml"/><Relationship Id="rId21"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2.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5.xml"/><Relationship Id="rId28" Type="http://schemas.microsoft.com/office/2017/10/relationships/person" Target="persons/person.xml"/><Relationship Id="rId10" Type="http://schemas.openxmlformats.org/officeDocument/2006/relationships/worksheet" Target="worksheets/sheet10.xml"/><Relationship Id="rId19" Type="http://schemas.microsoft.com/office/2007/relationships/slicerCache" Target="slicerCaches/slicerCache1.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4.xml"/><Relationship Id="rId27" Type="http://schemas.openxmlformats.org/officeDocument/2006/relationships/sheetMetadata" Target="metadata.xml"/><Relationship Id="rId30"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v> Upstream</c:v>
          </c:tx>
          <c:spPr>
            <a:solidFill>
              <a:schemeClr val="accent6"/>
            </a:solidFill>
            <a:ln>
              <a:noFill/>
            </a:ln>
            <a:effectLst/>
          </c:spPr>
          <c:invertIfNegative val="0"/>
          <c:cat>
            <c:strLit>
              <c:ptCount val="6"/>
              <c:pt idx="0">
                <c:v>1 Farming</c:v>
              </c:pt>
              <c:pt idx="1">
                <c:v>2 Extraction</c:v>
              </c:pt>
              <c:pt idx="2">
                <c:v>3 Production</c:v>
              </c:pt>
              <c:pt idx="3">
                <c:v>4 Transportation</c:v>
              </c:pt>
              <c:pt idx="4">
                <c:v>5 Combustion</c:v>
              </c:pt>
              <c:pt idx="5">
                <c:v>6 LUC</c:v>
              </c:pt>
            </c:strLit>
          </c:cat>
          <c:val>
            <c:numLit>
              <c:formatCode>General</c:formatCode>
              <c:ptCount val="6"/>
              <c:pt idx="0">
                <c:v>1.7289830382334097</c:v>
              </c:pt>
              <c:pt idx="1">
                <c:v>0.98856010491104296</c:v>
              </c:pt>
              <c:pt idx="2">
                <c:v>11.895024704701418</c:v>
              </c:pt>
              <c:pt idx="3">
                <c:v>0</c:v>
              </c:pt>
              <c:pt idx="4">
                <c:v>0</c:v>
              </c:pt>
              <c:pt idx="5">
                <c:v>0</c:v>
              </c:pt>
            </c:numLit>
          </c:val>
          <c:extLst>
            <c:ext xmlns:c16="http://schemas.microsoft.com/office/drawing/2014/chart" uri="{C3380CC4-5D6E-409C-BE32-E72D297353CC}">
              <c16:uniqueId val="{00000000-8C6C-4EFA-BF35-9D3F96A5216C}"/>
            </c:ext>
          </c:extLst>
        </c:ser>
        <c:ser>
          <c:idx val="1"/>
          <c:order val="1"/>
          <c:tx>
            <c:v> Onsite</c:v>
          </c:tx>
          <c:spPr>
            <a:solidFill>
              <a:schemeClr val="accent5"/>
            </a:solidFill>
            <a:ln>
              <a:noFill/>
            </a:ln>
            <a:effectLst/>
          </c:spPr>
          <c:invertIfNegative val="0"/>
          <c:cat>
            <c:strLit>
              <c:ptCount val="6"/>
              <c:pt idx="0">
                <c:v>1 Farming</c:v>
              </c:pt>
              <c:pt idx="1">
                <c:v>2 Extraction</c:v>
              </c:pt>
              <c:pt idx="2">
                <c:v>3 Production</c:v>
              </c:pt>
              <c:pt idx="3">
                <c:v>4 Transportation</c:v>
              </c:pt>
              <c:pt idx="4">
                <c:v>5 Combustion</c:v>
              </c:pt>
              <c:pt idx="5">
                <c:v>6 LUC</c:v>
              </c:pt>
            </c:strLit>
          </c:cat>
          <c:val>
            <c:numLit>
              <c:formatCode>General</c:formatCode>
              <c:ptCount val="6"/>
              <c:pt idx="0">
                <c:v>6.5937543380448993</c:v>
              </c:pt>
              <c:pt idx="1">
                <c:v>2.3667224112580851</c:v>
              </c:pt>
              <c:pt idx="2">
                <c:v>8.1511444411311018</c:v>
              </c:pt>
              <c:pt idx="3">
                <c:v>0</c:v>
              </c:pt>
              <c:pt idx="4">
                <c:v>0</c:v>
              </c:pt>
              <c:pt idx="5">
                <c:v>0</c:v>
              </c:pt>
            </c:numLit>
          </c:val>
          <c:extLst>
            <c:ext xmlns:c16="http://schemas.microsoft.com/office/drawing/2014/chart" uri="{C3380CC4-5D6E-409C-BE32-E72D297353CC}">
              <c16:uniqueId val="{00000001-8C6C-4EFA-BF35-9D3F96A5216C}"/>
            </c:ext>
          </c:extLst>
        </c:ser>
        <c:ser>
          <c:idx val="2"/>
          <c:order val="2"/>
          <c:tx>
            <c:v> LUC</c:v>
          </c:tx>
          <c:spPr>
            <a:solidFill>
              <a:schemeClr val="accent4"/>
            </a:solidFill>
            <a:ln>
              <a:noFill/>
            </a:ln>
            <a:effectLst/>
          </c:spPr>
          <c:invertIfNegative val="0"/>
          <c:cat>
            <c:strLit>
              <c:ptCount val="6"/>
              <c:pt idx="0">
                <c:v>1 Farming</c:v>
              </c:pt>
              <c:pt idx="1">
                <c:v>2 Extraction</c:v>
              </c:pt>
              <c:pt idx="2">
                <c:v>3 Production</c:v>
              </c:pt>
              <c:pt idx="3">
                <c:v>4 Transportation</c:v>
              </c:pt>
              <c:pt idx="4">
                <c:v>5 Combustion</c:v>
              </c:pt>
              <c:pt idx="5">
                <c:v>6 LUC</c:v>
              </c:pt>
            </c:strLit>
          </c:cat>
          <c:val>
            <c:numLit>
              <c:formatCode>General</c:formatCode>
              <c:ptCount val="6"/>
              <c:pt idx="0">
                <c:v>0</c:v>
              </c:pt>
              <c:pt idx="1">
                <c:v>0</c:v>
              </c:pt>
              <c:pt idx="2">
                <c:v>0</c:v>
              </c:pt>
              <c:pt idx="3">
                <c:v>0</c:v>
              </c:pt>
              <c:pt idx="4">
                <c:v>0</c:v>
              </c:pt>
              <c:pt idx="5">
                <c:v>9.2673639708469668</c:v>
              </c:pt>
            </c:numLit>
          </c:val>
          <c:extLst>
            <c:ext xmlns:c16="http://schemas.microsoft.com/office/drawing/2014/chart" uri="{C3380CC4-5D6E-409C-BE32-E72D297353CC}">
              <c16:uniqueId val="{00000002-8C6C-4EFA-BF35-9D3F96A5216C}"/>
            </c:ext>
          </c:extLst>
        </c:ser>
        <c:ser>
          <c:idx val="3"/>
          <c:order val="3"/>
          <c:tx>
            <c:v> Transportation</c:v>
          </c:tx>
          <c:spPr>
            <a:solidFill>
              <a:schemeClr val="accent6">
                <a:lumMod val="60000"/>
              </a:schemeClr>
            </a:solidFill>
            <a:ln>
              <a:noFill/>
            </a:ln>
            <a:effectLst/>
          </c:spPr>
          <c:invertIfNegative val="0"/>
          <c:cat>
            <c:strLit>
              <c:ptCount val="6"/>
              <c:pt idx="0">
                <c:v>1 Farming</c:v>
              </c:pt>
              <c:pt idx="1">
                <c:v>2 Extraction</c:v>
              </c:pt>
              <c:pt idx="2">
                <c:v>3 Production</c:v>
              </c:pt>
              <c:pt idx="3">
                <c:v>4 Transportation</c:v>
              </c:pt>
              <c:pt idx="4">
                <c:v>5 Combustion</c:v>
              </c:pt>
              <c:pt idx="5">
                <c:v>6 LUC</c:v>
              </c:pt>
            </c:strLit>
          </c:cat>
          <c:val>
            <c:numLit>
              <c:formatCode>General</c:formatCode>
              <c:ptCount val="6"/>
              <c:pt idx="0">
                <c:v>0</c:v>
              </c:pt>
              <c:pt idx="1">
                <c:v>0</c:v>
              </c:pt>
              <c:pt idx="2">
                <c:v>0</c:v>
              </c:pt>
              <c:pt idx="3">
                <c:v>1.2516620225760224</c:v>
              </c:pt>
              <c:pt idx="4">
                <c:v>0</c:v>
              </c:pt>
              <c:pt idx="5">
                <c:v>0</c:v>
              </c:pt>
            </c:numLit>
          </c:val>
          <c:extLst>
            <c:ext xmlns:c16="http://schemas.microsoft.com/office/drawing/2014/chart" uri="{C3380CC4-5D6E-409C-BE32-E72D297353CC}">
              <c16:uniqueId val="{00000003-8C6C-4EFA-BF35-9D3F96A5216C}"/>
            </c:ext>
          </c:extLst>
        </c:ser>
        <c:ser>
          <c:idx val="4"/>
          <c:order val="4"/>
          <c:tx>
            <c:v> Combustion</c:v>
          </c:tx>
          <c:spPr>
            <a:solidFill>
              <a:schemeClr val="accent5">
                <a:lumMod val="60000"/>
              </a:schemeClr>
            </a:solidFill>
            <a:ln>
              <a:noFill/>
            </a:ln>
            <a:effectLst/>
          </c:spPr>
          <c:invertIfNegative val="0"/>
          <c:cat>
            <c:strLit>
              <c:ptCount val="6"/>
              <c:pt idx="0">
                <c:v>1 Farming</c:v>
              </c:pt>
              <c:pt idx="1">
                <c:v>2 Extraction</c:v>
              </c:pt>
              <c:pt idx="2">
                <c:v>3 Production</c:v>
              </c:pt>
              <c:pt idx="3">
                <c:v>4 Transportation</c:v>
              </c:pt>
              <c:pt idx="4">
                <c:v>5 Combustion</c:v>
              </c:pt>
              <c:pt idx="5">
                <c:v>6 LUC</c:v>
              </c:pt>
            </c:strLit>
          </c:cat>
          <c:val>
            <c:numLit>
              <c:formatCode>General</c:formatCode>
              <c:ptCount val="6"/>
              <c:pt idx="0">
                <c:v>0</c:v>
              </c:pt>
              <c:pt idx="1">
                <c:v>0</c:v>
              </c:pt>
              <c:pt idx="2">
                <c:v>0</c:v>
              </c:pt>
              <c:pt idx="3">
                <c:v>0</c:v>
              </c:pt>
              <c:pt idx="4">
                <c:v>4.4758056093247484E-2</c:v>
              </c:pt>
              <c:pt idx="5">
                <c:v>0</c:v>
              </c:pt>
            </c:numLit>
          </c:val>
          <c:extLst>
            <c:ext xmlns:c16="http://schemas.microsoft.com/office/drawing/2014/chart" uri="{C3380CC4-5D6E-409C-BE32-E72D297353CC}">
              <c16:uniqueId val="{00000004-8C6C-4EFA-BF35-9D3F96A5216C}"/>
            </c:ext>
          </c:extLst>
        </c:ser>
        <c:ser>
          <c:idx val="5"/>
          <c:order val="5"/>
          <c:tx>
            <c:v> Total</c:v>
          </c:tx>
          <c:spPr>
            <a:solidFill>
              <a:schemeClr val="accent4">
                <a:lumMod val="60000"/>
              </a:schemeClr>
            </a:solidFill>
            <a:ln w="25400">
              <a:noFill/>
            </a:ln>
            <a:effectLst/>
          </c:spPr>
          <c:invertIfNegative val="0"/>
          <c:cat>
            <c:strLit>
              <c:ptCount val="6"/>
              <c:pt idx="0">
                <c:v>1 Farming</c:v>
              </c:pt>
              <c:pt idx="1">
                <c:v>2 Extraction</c:v>
              </c:pt>
              <c:pt idx="2">
                <c:v>3 Production</c:v>
              </c:pt>
              <c:pt idx="3">
                <c:v>4 Transportation</c:v>
              </c:pt>
              <c:pt idx="4">
                <c:v>5 Combustion</c:v>
              </c:pt>
              <c:pt idx="5">
                <c:v>6 LUC</c:v>
              </c:pt>
            </c:strLit>
          </c:cat>
          <c:val>
            <c:numLit>
              <c:formatCode>General</c:formatCode>
              <c:ptCount val="6"/>
              <c:pt idx="0">
                <c:v>8.3227373762783081</c:v>
              </c:pt>
              <c:pt idx="1">
                <c:v>3.3552825161691282</c:v>
              </c:pt>
              <c:pt idx="2">
                <c:v>20.046169145832522</c:v>
              </c:pt>
              <c:pt idx="3">
                <c:v>1.2516620225760224</c:v>
              </c:pt>
              <c:pt idx="4">
                <c:v>4.4758056093247484E-2</c:v>
              </c:pt>
              <c:pt idx="5">
                <c:v>9.2673639708469668</c:v>
              </c:pt>
            </c:numLit>
          </c:val>
          <c:extLst>
            <c:ext xmlns:c16="http://schemas.microsoft.com/office/drawing/2014/chart" uri="{C3380CC4-5D6E-409C-BE32-E72D297353CC}">
              <c16:uniqueId val="{00000005-8C6C-4EFA-BF35-9D3F96A5216C}"/>
            </c:ext>
          </c:extLst>
        </c:ser>
        <c:dLbls>
          <c:showLegendKey val="0"/>
          <c:showVal val="0"/>
          <c:showCatName val="0"/>
          <c:showSerName val="0"/>
          <c:showPercent val="0"/>
          <c:showBubbleSize val="0"/>
        </c:dLbls>
        <c:gapWidth val="50"/>
        <c:overlap val="100"/>
        <c:axId val="181140431"/>
        <c:axId val="181152911"/>
      </c:barChart>
      <c:catAx>
        <c:axId val="181140431"/>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81152911"/>
        <c:crosses val="autoZero"/>
        <c:auto val="1"/>
        <c:lblAlgn val="ctr"/>
        <c:lblOffset val="100"/>
        <c:noMultiLvlLbl val="0"/>
      </c:catAx>
      <c:valAx>
        <c:axId val="181152911"/>
        <c:scaling>
          <c:orientation val="minMax"/>
        </c:scaling>
        <c:delete val="0"/>
        <c:axPos val="l"/>
        <c:majorGridlines>
          <c:spPr>
            <a:ln w="9525" cap="flat" cmpd="sng" algn="ctr">
              <a:solidFill>
                <a:schemeClr val="tx1">
                  <a:lumMod val="15000"/>
                  <a:lumOff val="85000"/>
                </a:schemeClr>
              </a:solidFill>
              <a:round/>
            </a:ln>
            <a:effectLst/>
          </c:spPr>
        </c:majorGridlines>
        <c:title>
          <c:tx>
            <c:strRef>
              <c:f>"MJ/MJ"</c:f>
              <c:strCache>
                <c:ptCount val="1"/>
                <c:pt idx="0">
                  <c:v>MJ/MJ</c:v>
                </c:pt>
              </c:strCache>
            </c:strRef>
          </c:tx>
          <c:overlay val="0"/>
          <c:spPr>
            <a:noFill/>
            <a:ln>
              <a:noFill/>
            </a:ln>
            <a:effectLst/>
          </c:spPr>
          <c:txPr>
            <a:bodyPr rot="-5400000" spcFirstLastPara="1" vertOverflow="ellipsis" vert="horz" wrap="square" anchor="ctr" anchorCtr="1"/>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811404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8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6"/>
          </a:solidFill>
          <a:ln w="19050">
            <a:solidFill>
              <a:schemeClr val="lt1"/>
            </a:solidFill>
          </a:ln>
          <a:effectLst/>
        </c:spPr>
      </c:pivotFmt>
      <c:pivotFmt>
        <c:idx val="7"/>
        <c:spPr>
          <a:solidFill>
            <a:schemeClr val="accent6"/>
          </a:solidFill>
          <a:ln w="19050">
            <a:solidFill>
              <a:schemeClr val="lt1"/>
            </a:solidFill>
          </a:ln>
          <a:effectLst/>
        </c:spPr>
      </c:pivotFmt>
      <c:pivotFmt>
        <c:idx val="8"/>
        <c:spPr>
          <a:solidFill>
            <a:schemeClr val="accent6"/>
          </a:solidFill>
          <a:ln w="19050">
            <a:solidFill>
              <a:schemeClr val="lt1"/>
            </a:solidFill>
          </a:ln>
          <a:effectLst/>
        </c:spPr>
      </c:pivotFmt>
      <c:pivotFmt>
        <c:idx val="9"/>
        <c:spPr>
          <a:solidFill>
            <a:schemeClr val="accent6"/>
          </a:solidFill>
          <a:ln w="19050">
            <a:solidFill>
              <a:schemeClr val="lt1"/>
            </a:solidFill>
          </a:ln>
          <a:effectLst/>
        </c:spPr>
      </c:pivotFmt>
      <c:pivotFmt>
        <c:idx val="10"/>
        <c:spPr>
          <a:solidFill>
            <a:schemeClr val="accent6"/>
          </a:solidFill>
          <a:ln w="19050">
            <a:solidFill>
              <a:schemeClr val="lt1"/>
            </a:solidFill>
          </a:ln>
          <a:effectLst/>
        </c:spPr>
      </c:pivotFmt>
      <c:pivotFmt>
        <c:idx val="11"/>
        <c:spPr>
          <a:solidFill>
            <a:schemeClr val="accent6"/>
          </a:solidFill>
          <a:ln w="19050">
            <a:solidFill>
              <a:schemeClr val="lt1"/>
            </a:solidFill>
          </a:ln>
          <a:effectLst/>
        </c:spPr>
      </c:pivotFmt>
      <c:pivotFmt>
        <c:idx val="12"/>
        <c:spPr>
          <a:solidFill>
            <a:schemeClr val="accent6"/>
          </a:solidFill>
          <a:ln w="19050">
            <a:solidFill>
              <a:schemeClr val="lt1"/>
            </a:solidFill>
          </a:ln>
          <a:effectLst/>
        </c:spPr>
      </c:pivotFmt>
      <c:pivotFmt>
        <c:idx val="13"/>
        <c:spPr>
          <a:solidFill>
            <a:schemeClr val="accent6"/>
          </a:solidFill>
          <a:ln w="19050">
            <a:solidFill>
              <a:schemeClr val="lt1"/>
            </a:solidFill>
          </a:ln>
          <a:effectLst/>
        </c:spPr>
      </c:pivotFmt>
      <c:pivotFmt>
        <c:idx val="14"/>
        <c:spPr>
          <a:solidFill>
            <a:schemeClr val="accent6"/>
          </a:solidFill>
          <a:ln w="19050">
            <a:solidFill>
              <a:schemeClr val="lt1"/>
            </a:solidFill>
          </a:ln>
          <a:effectLst/>
        </c:spPr>
      </c:pivotFmt>
      <c:pivotFmt>
        <c:idx val="15"/>
        <c:spPr>
          <a:solidFill>
            <a:schemeClr val="accent6"/>
          </a:solidFill>
          <a:ln w="19050">
            <a:solidFill>
              <a:schemeClr val="lt1"/>
            </a:solidFill>
          </a:ln>
          <a:effectLst/>
        </c:spPr>
      </c:pivotFmt>
      <c:pivotFmt>
        <c:idx val="16"/>
        <c:spPr>
          <a:solidFill>
            <a:schemeClr val="accent6"/>
          </a:solidFill>
          <a:ln w="19050">
            <a:solidFill>
              <a:schemeClr val="lt1"/>
            </a:solidFill>
          </a:ln>
          <a:effectLst/>
        </c:spPr>
      </c:pivotFmt>
      <c:pivotFmt>
        <c:idx val="17"/>
        <c:spPr>
          <a:solidFill>
            <a:schemeClr val="accent6"/>
          </a:solidFill>
          <a:ln w="19050">
            <a:solidFill>
              <a:schemeClr val="lt1"/>
            </a:solidFill>
          </a:ln>
          <a:effectLst/>
        </c:spPr>
      </c:pivotFmt>
      <c:pivotFmt>
        <c:idx val="18"/>
        <c:spPr>
          <a:solidFill>
            <a:schemeClr val="accent6"/>
          </a:solidFill>
          <a:ln w="19050">
            <a:solidFill>
              <a:schemeClr val="lt1"/>
            </a:solidFill>
          </a:ln>
          <a:effectLst/>
        </c:spPr>
      </c:pivotFmt>
      <c:pivotFmt>
        <c:idx val="19"/>
        <c:spPr>
          <a:solidFill>
            <a:schemeClr val="accent6"/>
          </a:solidFill>
          <a:ln w="19050">
            <a:solidFill>
              <a:schemeClr val="lt1"/>
            </a:solidFill>
          </a:ln>
          <a:effectLst/>
        </c:spPr>
      </c:pivotFmt>
      <c:pivotFmt>
        <c:idx val="20"/>
        <c:spPr>
          <a:solidFill>
            <a:schemeClr val="accent6"/>
          </a:solidFill>
          <a:ln w="19050">
            <a:solidFill>
              <a:schemeClr val="lt1"/>
            </a:solidFill>
          </a:ln>
          <a:effectLst/>
        </c:spPr>
      </c:pivotFmt>
      <c:pivotFmt>
        <c:idx val="21"/>
        <c:spPr>
          <a:solidFill>
            <a:schemeClr val="accent6"/>
          </a:solidFill>
          <a:ln w="19050">
            <a:solidFill>
              <a:schemeClr val="lt1"/>
            </a:solidFill>
          </a:ln>
          <a:effectLst/>
        </c:spPr>
      </c:pivotFmt>
      <c:pivotFmt>
        <c:idx val="22"/>
        <c:spPr>
          <a:solidFill>
            <a:schemeClr val="accent6"/>
          </a:solidFill>
          <a:ln w="19050">
            <a:solidFill>
              <a:schemeClr val="lt1"/>
            </a:solidFill>
          </a:ln>
          <a:effectLst/>
        </c:spPr>
      </c:pivotFmt>
      <c:pivotFmt>
        <c:idx val="23"/>
        <c:spPr>
          <a:solidFill>
            <a:schemeClr val="accent6"/>
          </a:solidFill>
          <a:ln w="19050">
            <a:solidFill>
              <a:schemeClr val="lt1"/>
            </a:solidFill>
          </a:ln>
          <a:effectLst/>
        </c:spPr>
      </c:pivotFmt>
      <c:pivotFmt>
        <c:idx val="24"/>
        <c:spPr>
          <a:solidFill>
            <a:schemeClr val="accent6"/>
          </a:solidFill>
          <a:ln w="19050">
            <a:solidFill>
              <a:schemeClr val="lt1"/>
            </a:solidFill>
          </a:ln>
          <a:effectLst/>
        </c:spPr>
      </c:pivotFmt>
      <c:pivotFmt>
        <c:idx val="25"/>
        <c:spPr>
          <a:solidFill>
            <a:schemeClr val="accent6"/>
          </a:solidFill>
          <a:ln w="19050">
            <a:solidFill>
              <a:schemeClr val="lt1"/>
            </a:solidFill>
          </a:ln>
          <a:effectLst/>
        </c:spPr>
      </c:pivotFmt>
      <c:pivotFmt>
        <c:idx val="26"/>
        <c:spPr>
          <a:solidFill>
            <a:schemeClr val="accent6"/>
          </a:solidFill>
          <a:ln w="19050">
            <a:solidFill>
              <a:schemeClr val="lt1"/>
            </a:solidFill>
          </a:ln>
          <a:effectLst/>
        </c:spPr>
      </c:pivotFmt>
      <c:pivotFmt>
        <c:idx val="27"/>
        <c:spPr>
          <a:solidFill>
            <a:schemeClr val="accent6"/>
          </a:solidFill>
          <a:ln w="19050">
            <a:solidFill>
              <a:schemeClr val="lt1"/>
            </a:solidFill>
          </a:ln>
          <a:effectLst/>
        </c:spPr>
      </c:pivotFmt>
      <c:pivotFmt>
        <c:idx val="28"/>
        <c:spPr>
          <a:solidFill>
            <a:schemeClr val="accent6"/>
          </a:solidFill>
          <a:ln w="19050">
            <a:solidFill>
              <a:schemeClr val="lt1"/>
            </a:solidFill>
          </a:ln>
          <a:effectLst/>
        </c:spPr>
      </c:pivotFmt>
      <c:pivotFmt>
        <c:idx val="29"/>
        <c:spPr>
          <a:solidFill>
            <a:schemeClr val="accent6"/>
          </a:solidFill>
          <a:ln w="19050">
            <a:solidFill>
              <a:schemeClr val="lt1"/>
            </a:solidFill>
          </a:ln>
          <a:effectLst/>
        </c:spPr>
      </c:pivotFmt>
      <c:pivotFmt>
        <c:idx val="30"/>
        <c:spPr>
          <a:solidFill>
            <a:schemeClr val="accent6"/>
          </a:solidFill>
          <a:ln w="19050">
            <a:solidFill>
              <a:schemeClr val="lt1"/>
            </a:solidFill>
          </a:ln>
          <a:effectLst/>
        </c:spPr>
      </c:pivotFmt>
      <c:pivotFmt>
        <c:idx val="31"/>
        <c:spPr>
          <a:solidFill>
            <a:schemeClr val="accent6"/>
          </a:solidFill>
          <a:ln w="19050">
            <a:solidFill>
              <a:schemeClr val="lt1"/>
            </a:solidFill>
          </a:ln>
          <a:effectLst/>
        </c:spPr>
      </c:pivotFmt>
      <c:pivotFmt>
        <c:idx val="32"/>
        <c:spPr>
          <a:solidFill>
            <a:schemeClr val="accent6"/>
          </a:solidFill>
          <a:ln w="19050">
            <a:solidFill>
              <a:schemeClr val="lt1"/>
            </a:solidFill>
          </a:ln>
          <a:effectLst/>
        </c:spPr>
      </c:pivotFmt>
    </c:pivotFmts>
    <c:plotArea>
      <c:layout>
        <c:manualLayout>
          <c:layoutTarget val="inner"/>
          <c:xMode val="edge"/>
          <c:yMode val="edge"/>
          <c:x val="0.24393164727241465"/>
          <c:y val="9.759081671211331E-2"/>
          <c:w val="0.42222019935369348"/>
          <c:h val="0.85265479947302303"/>
        </c:manualLayout>
      </c:layout>
      <c:pieChart>
        <c:varyColors val="1"/>
        <c:ser>
          <c:idx val="0"/>
          <c:order val="0"/>
          <c:tx>
            <c:v>Total</c:v>
          </c:tx>
          <c:dPt>
            <c:idx val="0"/>
            <c:bubble3D val="0"/>
            <c:spPr>
              <a:solidFill>
                <a:schemeClr val="accent6"/>
              </a:solidFill>
              <a:ln w="19050">
                <a:solidFill>
                  <a:schemeClr val="lt1"/>
                </a:solidFill>
              </a:ln>
              <a:effectLst/>
            </c:spPr>
            <c:extLst>
              <c:ext xmlns:c16="http://schemas.microsoft.com/office/drawing/2014/chart" uri="{C3380CC4-5D6E-409C-BE32-E72D297353CC}">
                <c16:uniqueId val="{00000001-8F2B-4F34-A931-B1CA9839EC89}"/>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8F2B-4F34-A931-B1CA9839EC89}"/>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8F2B-4F34-A931-B1CA9839EC89}"/>
              </c:ext>
            </c:extLst>
          </c:dPt>
          <c:dPt>
            <c:idx val="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7-8F2B-4F34-A931-B1CA9839EC89}"/>
              </c:ext>
            </c:extLst>
          </c:dPt>
          <c:dPt>
            <c:idx val="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9-8F2B-4F34-A931-B1CA9839EC89}"/>
              </c:ext>
            </c:extLst>
          </c:dPt>
          <c:dPt>
            <c:idx val="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B-8F2B-4F34-A931-B1CA9839EC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6"/>
              <c:pt idx="0">
                <c:v>1 Farming</c:v>
              </c:pt>
              <c:pt idx="1">
                <c:v>2 Extraction</c:v>
              </c:pt>
              <c:pt idx="2">
                <c:v>3 Production</c:v>
              </c:pt>
              <c:pt idx="3">
                <c:v>4 Transportation</c:v>
              </c:pt>
              <c:pt idx="4">
                <c:v>6 LUC</c:v>
              </c:pt>
              <c:pt idx="5">
                <c:v>5 Combustion</c:v>
              </c:pt>
            </c:strLit>
          </c:cat>
          <c:val>
            <c:numLit>
              <c:formatCode>General</c:formatCode>
              <c:ptCount val="6"/>
              <c:pt idx="0">
                <c:v>8.3227373762783081</c:v>
              </c:pt>
              <c:pt idx="1">
                <c:v>3.3552825161691282</c:v>
              </c:pt>
              <c:pt idx="2">
                <c:v>20.046169145832522</c:v>
              </c:pt>
              <c:pt idx="3">
                <c:v>1.2516620225760224</c:v>
              </c:pt>
              <c:pt idx="4">
                <c:v>9.2673639708469668</c:v>
              </c:pt>
              <c:pt idx="5">
                <c:v>4.4758056093247484E-2</c:v>
              </c:pt>
            </c:numLit>
          </c:val>
          <c:extLst>
            <c:ext xmlns:c16="http://schemas.microsoft.com/office/drawing/2014/chart" uri="{C3380CC4-5D6E-409C-BE32-E72D297353CC}">
              <c16:uniqueId val="{0000000C-8F2B-4F34-A931-B1CA9839EC89}"/>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527876125543548"/>
          <c:y val="5.5555555555555552E-2"/>
          <c:w val="0.86020790515923695"/>
          <c:h val="0.7058068877753918"/>
        </c:manualLayout>
      </c:layout>
      <c:barChart>
        <c:barDir val="col"/>
        <c:grouping val="stacked"/>
        <c:varyColors val="0"/>
        <c:ser>
          <c:idx val="1"/>
          <c:order val="0"/>
          <c:tx>
            <c:strRef>
              <c:f>Dashboard!$Q$25</c:f>
              <c:strCache>
                <c:ptCount val="1"/>
                <c:pt idx="0">
                  <c:v>Feedstock</c:v>
                </c:pt>
              </c:strCache>
            </c:strRef>
          </c:tx>
          <c:spPr>
            <a:solidFill>
              <a:schemeClr val="accent2"/>
            </a:solidFill>
            <a:ln>
              <a:noFill/>
            </a:ln>
            <a:effectLst/>
          </c:spPr>
          <c:invertIfNegative val="0"/>
          <c:val>
            <c:numRef>
              <c:f>Dashboard!$R$25</c:f>
              <c:numCache>
                <c:formatCode>0.0</c:formatCode>
                <c:ptCount val="1"/>
                <c:pt idx="0">
                  <c:v>0</c:v>
                </c:pt>
              </c:numCache>
            </c:numRef>
          </c:val>
          <c:extLst>
            <c:ext xmlns:c16="http://schemas.microsoft.com/office/drawing/2014/chart" uri="{C3380CC4-5D6E-409C-BE32-E72D297353CC}">
              <c16:uniqueId val="{000000A5-4077-4C1B-A2F7-76738D2B1678}"/>
            </c:ext>
          </c:extLst>
        </c:ser>
        <c:ser>
          <c:idx val="3"/>
          <c:order val="1"/>
          <c:tx>
            <c:strRef>
              <c:f>Dashboard!$Q$26</c:f>
              <c:strCache>
                <c:ptCount val="1"/>
                <c:pt idx="0">
                  <c:v>Fuel</c:v>
                </c:pt>
              </c:strCache>
            </c:strRef>
          </c:tx>
          <c:invertIfNegative val="0"/>
          <c:dPt>
            <c:idx val="0"/>
            <c:invertIfNegative val="0"/>
            <c:bubble3D val="0"/>
            <c:spPr>
              <a:solidFill>
                <a:schemeClr val="accent4"/>
              </a:solidFill>
              <a:ln>
                <a:noFill/>
              </a:ln>
              <a:effectLst/>
            </c:spPr>
            <c:extLst>
              <c:ext xmlns:c16="http://schemas.microsoft.com/office/drawing/2014/chart" uri="{C3380CC4-5D6E-409C-BE32-E72D297353CC}">
                <c16:uniqueId val="{00000001-C0FD-4E33-88E8-BA3166449E90}"/>
              </c:ext>
            </c:extLst>
          </c:dPt>
          <c:val>
            <c:numRef>
              <c:f>Dashboard!$R$26</c:f>
              <c:numCache>
                <c:formatCode>0.0</c:formatCode>
                <c:ptCount val="1"/>
                <c:pt idx="0">
                  <c:v>0</c:v>
                </c:pt>
              </c:numCache>
            </c:numRef>
          </c:val>
          <c:extLst>
            <c:ext xmlns:c16="http://schemas.microsoft.com/office/drawing/2014/chart" uri="{C3380CC4-5D6E-409C-BE32-E72D297353CC}">
              <c16:uniqueId val="{000000A9-4077-4C1B-A2F7-76738D2B1678}"/>
            </c:ext>
          </c:extLst>
        </c:ser>
        <c:ser>
          <c:idx val="4"/>
          <c:order val="2"/>
          <c:tx>
            <c:strRef>
              <c:f>Dashboard!$Q$27</c:f>
              <c:strCache>
                <c:ptCount val="1"/>
                <c:pt idx="0">
                  <c:v>Combustion</c:v>
                </c:pt>
              </c:strCache>
            </c:strRef>
          </c:tx>
          <c:spPr>
            <a:solidFill>
              <a:schemeClr val="accent5"/>
            </a:solidFill>
            <a:ln>
              <a:noFill/>
            </a:ln>
            <a:effectLst/>
          </c:spPr>
          <c:invertIfNegative val="0"/>
          <c:val>
            <c:numRef>
              <c:f>Dashboard!$R$27</c:f>
              <c:numCache>
                <c:formatCode>0.0</c:formatCode>
                <c:ptCount val="1"/>
                <c:pt idx="0">
                  <c:v>0</c:v>
                </c:pt>
              </c:numCache>
            </c:numRef>
          </c:val>
          <c:extLst>
            <c:ext xmlns:c16="http://schemas.microsoft.com/office/drawing/2014/chart" uri="{C3380CC4-5D6E-409C-BE32-E72D297353CC}">
              <c16:uniqueId val="{000000AB-4077-4C1B-A2F7-76738D2B1678}"/>
            </c:ext>
          </c:extLst>
        </c:ser>
        <c:ser>
          <c:idx val="6"/>
          <c:order val="3"/>
          <c:tx>
            <c:strRef>
              <c:f>Dashboard!$Q$29</c:f>
              <c:strCache>
                <c:ptCount val="1"/>
                <c:pt idx="0">
                  <c:v>ILUC</c:v>
                </c:pt>
              </c:strCache>
            </c:strRef>
          </c:tx>
          <c:spPr>
            <a:solidFill>
              <a:schemeClr val="accent1">
                <a:lumMod val="60000"/>
              </a:schemeClr>
            </a:solidFill>
            <a:ln>
              <a:noFill/>
            </a:ln>
            <a:effectLst/>
          </c:spPr>
          <c:invertIfNegative val="0"/>
          <c:val>
            <c:numRef>
              <c:f>Dashboard!$R$29</c:f>
              <c:numCache>
                <c:formatCode>0.0</c:formatCode>
                <c:ptCount val="1"/>
                <c:pt idx="0">
                  <c:v>0</c:v>
                </c:pt>
              </c:numCache>
            </c:numRef>
          </c:val>
          <c:extLst>
            <c:ext xmlns:c16="http://schemas.microsoft.com/office/drawing/2014/chart" uri="{C3380CC4-5D6E-409C-BE32-E72D297353CC}">
              <c16:uniqueId val="{000000AD-4077-4C1B-A2F7-76738D2B1678}"/>
            </c:ext>
          </c:extLst>
        </c:ser>
        <c:ser>
          <c:idx val="7"/>
          <c:order val="4"/>
          <c:tx>
            <c:strRef>
              <c:f>Dashboard!$Q$30</c:f>
              <c:strCache>
                <c:ptCount val="1"/>
                <c:pt idx="0">
                  <c:v>Other Crops</c:v>
                </c:pt>
              </c:strCache>
            </c:strRef>
          </c:tx>
          <c:spPr>
            <a:solidFill>
              <a:schemeClr val="accent2">
                <a:lumMod val="60000"/>
              </a:schemeClr>
            </a:solidFill>
            <a:effectLst/>
          </c:spPr>
          <c:invertIfNegative val="0"/>
          <c:val>
            <c:numRef>
              <c:f>Dashboard!$R$30</c:f>
              <c:numCache>
                <c:formatCode>0.0</c:formatCode>
                <c:ptCount val="1"/>
                <c:pt idx="0">
                  <c:v>0</c:v>
                </c:pt>
              </c:numCache>
            </c:numRef>
          </c:val>
          <c:extLst>
            <c:ext xmlns:c16="http://schemas.microsoft.com/office/drawing/2014/chart" uri="{C3380CC4-5D6E-409C-BE32-E72D297353CC}">
              <c16:uniqueId val="{000000AF-4077-4C1B-A2F7-76738D2B1678}"/>
            </c:ext>
          </c:extLst>
        </c:ser>
        <c:ser>
          <c:idx val="8"/>
          <c:order val="5"/>
          <c:tx>
            <c:strRef>
              <c:f>Dashboard!$Q$31</c:f>
              <c:strCache>
                <c:ptCount val="1"/>
                <c:pt idx="0">
                  <c:v>Livestock</c:v>
                </c:pt>
              </c:strCache>
            </c:strRef>
          </c:tx>
          <c:spPr>
            <a:solidFill>
              <a:schemeClr val="accent3">
                <a:lumMod val="60000"/>
              </a:schemeClr>
            </a:solidFill>
            <a:effectLst/>
          </c:spPr>
          <c:invertIfNegative val="0"/>
          <c:val>
            <c:numRef>
              <c:f>Dashboard!$R$31</c:f>
              <c:numCache>
                <c:formatCode>0.0</c:formatCode>
                <c:ptCount val="1"/>
                <c:pt idx="0">
                  <c:v>0</c:v>
                </c:pt>
              </c:numCache>
            </c:numRef>
          </c:val>
          <c:extLst>
            <c:ext xmlns:c16="http://schemas.microsoft.com/office/drawing/2014/chart" uri="{C3380CC4-5D6E-409C-BE32-E72D297353CC}">
              <c16:uniqueId val="{000000B1-4077-4C1B-A2F7-76738D2B1678}"/>
            </c:ext>
          </c:extLst>
        </c:ser>
        <c:ser>
          <c:idx val="9"/>
          <c:order val="6"/>
          <c:tx>
            <c:strRef>
              <c:f>Dashboard!$Q$32</c:f>
              <c:strCache>
                <c:ptCount val="1"/>
                <c:pt idx="0">
                  <c:v>Rice Methane</c:v>
                </c:pt>
              </c:strCache>
            </c:strRef>
          </c:tx>
          <c:spPr>
            <a:solidFill>
              <a:schemeClr val="accent4">
                <a:lumMod val="60000"/>
              </a:schemeClr>
            </a:solidFill>
            <a:effectLst/>
          </c:spPr>
          <c:invertIfNegative val="0"/>
          <c:val>
            <c:numRef>
              <c:f>Dashboard!$R$32</c:f>
              <c:numCache>
                <c:formatCode>0.0</c:formatCode>
                <c:ptCount val="1"/>
                <c:pt idx="0">
                  <c:v>0</c:v>
                </c:pt>
              </c:numCache>
            </c:numRef>
          </c:val>
          <c:extLst>
            <c:ext xmlns:c16="http://schemas.microsoft.com/office/drawing/2014/chart" uri="{C3380CC4-5D6E-409C-BE32-E72D297353CC}">
              <c16:uniqueId val="{000000B3-4077-4C1B-A2F7-76738D2B1678}"/>
            </c:ext>
          </c:extLst>
        </c:ser>
        <c:dLbls>
          <c:showLegendKey val="0"/>
          <c:showVal val="0"/>
          <c:showCatName val="0"/>
          <c:showSerName val="0"/>
          <c:showPercent val="0"/>
          <c:showBubbleSize val="0"/>
        </c:dLbls>
        <c:gapWidth val="150"/>
        <c:overlap val="100"/>
        <c:axId val="155341232"/>
        <c:axId val="712146608"/>
      </c:barChart>
      <c:scatterChart>
        <c:scatterStyle val="lineMarker"/>
        <c:varyColors val="0"/>
        <c:ser>
          <c:idx val="10"/>
          <c:order val="7"/>
          <c:tx>
            <c:strRef>
              <c:f>Dashboard!$Q$33</c:f>
              <c:strCache>
                <c:ptCount val="1"/>
                <c:pt idx="0">
                  <c:v>Total LCA Results</c:v>
                </c:pt>
              </c:strCache>
            </c:strRef>
          </c:tx>
          <c:spPr>
            <a:ln w="19050">
              <a:noFill/>
            </a:ln>
            <a:effectLst/>
          </c:spPr>
          <c:dLbls>
            <c:dLbl>
              <c:idx val="0"/>
              <c:spPr>
                <a:solidFill>
                  <a:schemeClr val="bg1"/>
                </a:solidFill>
                <a:ln>
                  <a:solidFill>
                    <a:schemeClr val="tx1">
                      <a:lumMod val="15000"/>
                      <a:lumOff val="85000"/>
                    </a:schemeClr>
                  </a:solidFill>
                </a:ln>
                <a:effectLst/>
              </c:spPr>
              <c:txPr>
                <a:bodyPr/>
                <a:lstStyle/>
                <a:p>
                  <a:pPr>
                    <a:defRPr/>
                  </a:pPr>
                  <a:endParaRPr lang="en-US"/>
                </a:p>
              </c:txPr>
              <c:dLblPos val="ct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B6-4077-4C1B-A2F7-76738D2B1678}"/>
                </c:ext>
              </c:extLst>
            </c:dLbl>
            <c:spPr>
              <a:noFill/>
              <a:ln>
                <a:noFill/>
              </a:ln>
              <a:effectLst/>
            </c:spPr>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yVal>
            <c:numRef>
              <c:f>Dashboard!$R$33</c:f>
              <c:numCache>
                <c:formatCode>0.0</c:formatCode>
                <c:ptCount val="1"/>
                <c:pt idx="0">
                  <c:v>0</c:v>
                </c:pt>
              </c:numCache>
            </c:numRef>
          </c:yVal>
          <c:smooth val="0"/>
          <c:extLst>
            <c:ext xmlns:c16="http://schemas.microsoft.com/office/drawing/2014/chart" uri="{C3380CC4-5D6E-409C-BE32-E72D297353CC}">
              <c16:uniqueId val="{000000B5-4077-4C1B-A2F7-76738D2B1678}"/>
            </c:ext>
          </c:extLst>
        </c:ser>
        <c:dLbls>
          <c:showLegendKey val="0"/>
          <c:showVal val="0"/>
          <c:showCatName val="0"/>
          <c:showSerName val="0"/>
          <c:showPercent val="0"/>
          <c:showBubbleSize val="0"/>
        </c:dLbls>
        <c:axId val="155341232"/>
        <c:axId val="712146608"/>
      </c:scatterChart>
      <c:catAx>
        <c:axId val="155341232"/>
        <c:scaling>
          <c:orientation val="minMax"/>
        </c:scaling>
        <c:delete val="1"/>
        <c:axPos val="b"/>
        <c:numFmt formatCode="General" sourceLinked="1"/>
        <c:majorTickMark val="none"/>
        <c:minorTickMark val="none"/>
        <c:tickLblPos val="nextTo"/>
        <c:crossAx val="712146608"/>
        <c:crosses val="autoZero"/>
        <c:auto val="1"/>
        <c:lblAlgn val="ctr"/>
        <c:lblOffset val="100"/>
        <c:noMultiLvlLbl val="0"/>
      </c:catAx>
      <c:valAx>
        <c:axId val="7121466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vert="horz"/>
          <a:lstStyle/>
          <a:p>
            <a:pPr>
              <a:defRPr sz="900"/>
            </a:pPr>
            <a:endParaRPr lang="en-US"/>
          </a:p>
        </c:txPr>
        <c:crossAx val="155341232"/>
        <c:crosses val="autoZero"/>
        <c:crossBetween val="between"/>
      </c:valAx>
    </c:plotArea>
    <c:legend>
      <c:legendPos val="b"/>
      <c:legendEntry>
        <c:idx val="7"/>
        <c:delete val="1"/>
      </c:legendEntry>
      <c:layout>
        <c:manualLayout>
          <c:xMode val="edge"/>
          <c:yMode val="edge"/>
          <c:x val="4.44441315103771E-2"/>
          <c:y val="0.84722102918953313"/>
          <c:w val="0.9142490657065192"/>
          <c:h val="0.12247594050743657"/>
        </c:manualLayout>
      </c:layout>
      <c:overlay val="0"/>
      <c:spPr>
        <a:noFill/>
        <a:ln>
          <a:noFill/>
        </a:ln>
        <a:effectLst/>
      </c:spPr>
      <c:txPr>
        <a:bodyPr rot="0" vert="horz"/>
        <a:lstStyle/>
        <a:p>
          <a:pPr>
            <a:defRPr sz="900"/>
          </a:pPr>
          <a:endParaRPr lang="en-US"/>
        </a:p>
      </c:txPr>
    </c:legend>
    <c:plotVisOnly val="1"/>
    <c:dispBlanksAs val="gap"/>
    <c:showDLblsOverMax val="0"/>
  </c:chart>
  <c:spPr>
    <a:ln>
      <a:noFill/>
    </a:ln>
  </c:spPr>
  <c:txPr>
    <a:bodyPr/>
    <a:lstStyle/>
    <a:p>
      <a:pPr>
        <a:defRPr sz="8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15</xdr:col>
      <xdr:colOff>1836420</xdr:colOff>
      <xdr:row>10</xdr:row>
      <xdr:rowOff>0</xdr:rowOff>
    </xdr:from>
    <xdr:to>
      <xdr:col>20</xdr:col>
      <xdr:colOff>680357</xdr:colOff>
      <xdr:row>10</xdr:row>
      <xdr:rowOff>0</xdr:rowOff>
    </xdr:to>
    <xdr:graphicFrame macro="">
      <xdr:nvGraphicFramePr>
        <xdr:cNvPr id="2" name="Bar Chart">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1832610</xdr:colOff>
      <xdr:row>10</xdr:row>
      <xdr:rowOff>0</xdr:rowOff>
    </xdr:from>
    <xdr:to>
      <xdr:col>20</xdr:col>
      <xdr:colOff>674914</xdr:colOff>
      <xdr:row>10</xdr:row>
      <xdr:rowOff>0</xdr:rowOff>
    </xdr:to>
    <xdr:graphicFrame macro="">
      <xdr:nvGraphicFramePr>
        <xdr:cNvPr id="3" name="Pie Chart">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77162</xdr:colOff>
      <xdr:row>29</xdr:row>
      <xdr:rowOff>55146</xdr:rowOff>
    </xdr:from>
    <xdr:to>
      <xdr:col>4</xdr:col>
      <xdr:colOff>2331879</xdr:colOff>
      <xdr:row>35</xdr:row>
      <xdr:rowOff>157664</xdr:rowOff>
    </xdr:to>
    <mc:AlternateContent xmlns:mc="http://schemas.openxmlformats.org/markup-compatibility/2006" xmlns:a14="http://schemas.microsoft.com/office/drawing/2010/main">
      <mc:Choice Requires="a14">
        <xdr:graphicFrame macro="">
          <xdr:nvGraphicFramePr>
            <xdr:cNvPr id="5" name="Conversion" hidden="1">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Conversion"/>
            </a:graphicData>
          </a:graphic>
        </xdr:graphicFrame>
      </mc:Choice>
      <mc:Fallback xmlns="">
        <xdr:sp macro="" textlink="">
          <xdr:nvSpPr>
            <xdr:cNvPr id="0" name=""/>
            <xdr:cNvSpPr>
              <a:spLocks noTextEdit="1"/>
            </xdr:cNvSpPr>
          </xdr:nvSpPr>
          <xdr:spPr>
            <a:xfrm>
              <a:off x="77162" y="5488537"/>
              <a:ext cx="2526919" cy="12610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77161</xdr:colOff>
      <xdr:row>15</xdr:row>
      <xdr:rowOff>125426</xdr:rowOff>
    </xdr:from>
    <xdr:to>
      <xdr:col>4</xdr:col>
      <xdr:colOff>2352929</xdr:colOff>
      <xdr:row>28</xdr:row>
      <xdr:rowOff>105298</xdr:rowOff>
    </xdr:to>
    <mc:AlternateContent xmlns:mc="http://schemas.openxmlformats.org/markup-compatibility/2006" xmlns:a14="http://schemas.microsoft.com/office/drawing/2010/main">
      <mc:Choice Requires="a14">
        <xdr:graphicFrame macro="">
          <xdr:nvGraphicFramePr>
            <xdr:cNvPr id="7" name="Feedstock" hidden="1">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Feedstock"/>
            </a:graphicData>
          </a:graphic>
        </xdr:graphicFrame>
      </mc:Choice>
      <mc:Fallback xmlns="">
        <xdr:sp macro="" textlink="">
          <xdr:nvSpPr>
            <xdr:cNvPr id="0" name=""/>
            <xdr:cNvSpPr>
              <a:spLocks noTextEdit="1"/>
            </xdr:cNvSpPr>
          </xdr:nvSpPr>
          <xdr:spPr>
            <a:xfrm>
              <a:off x="77161" y="2883535"/>
              <a:ext cx="2547969" cy="25301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67795</xdr:colOff>
      <xdr:row>4</xdr:row>
      <xdr:rowOff>7620</xdr:rowOff>
    </xdr:from>
    <xdr:to>
      <xdr:col>8</xdr:col>
      <xdr:colOff>8404</xdr:colOff>
      <xdr:row>6</xdr:row>
      <xdr:rowOff>15240</xdr:rowOff>
    </xdr:to>
    <xdr:sp macro="[0]!UpdateDatabutton" textlink="">
      <xdr:nvSpPr>
        <xdr:cNvPr id="9" name="Rectangle: Rounded Corners 8">
          <a:extLst>
            <a:ext uri="{FF2B5EF4-FFF2-40B4-BE49-F238E27FC236}">
              <a16:creationId xmlns:a16="http://schemas.microsoft.com/office/drawing/2014/main" id="{00000000-0008-0000-0100-000009000000}"/>
            </a:ext>
          </a:extLst>
        </xdr:cNvPr>
        <xdr:cNvSpPr/>
      </xdr:nvSpPr>
      <xdr:spPr>
        <a:xfrm>
          <a:off x="5345766" y="646355"/>
          <a:ext cx="2697256" cy="399826"/>
        </a:xfrm>
        <a:prstGeom prst="roundRect">
          <a:avLst>
            <a:gd name="adj" fmla="val 18908"/>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US" sz="1400"/>
            <a:t>Generate</a:t>
          </a:r>
          <a:r>
            <a:rPr lang="en-US" sz="1400" baseline="0"/>
            <a:t> LCA Results</a:t>
          </a:r>
        </a:p>
        <a:p>
          <a:pPr algn="ctr"/>
          <a:endParaRPr lang="en-US" sz="1400" baseline="0"/>
        </a:p>
        <a:p>
          <a:pPr algn="ctr"/>
          <a:endParaRPr lang="en-US" sz="1400"/>
        </a:p>
      </xdr:txBody>
    </xdr:sp>
    <xdr:clientData/>
  </xdr:twoCellAnchor>
  <xdr:twoCellAnchor>
    <xdr:from>
      <xdr:col>15</xdr:col>
      <xdr:colOff>11548</xdr:colOff>
      <xdr:row>6</xdr:row>
      <xdr:rowOff>6296</xdr:rowOff>
    </xdr:from>
    <xdr:to>
      <xdr:col>21</xdr:col>
      <xdr:colOff>104775</xdr:colOff>
      <xdr:row>20</xdr:row>
      <xdr:rowOff>164327</xdr:rowOff>
    </xdr:to>
    <xdr:sp macro="" textlink="">
      <xdr:nvSpPr>
        <xdr:cNvPr id="17" name="Rectangle 16">
          <a:extLst>
            <a:ext uri="{FF2B5EF4-FFF2-40B4-BE49-F238E27FC236}">
              <a16:creationId xmlns:a16="http://schemas.microsoft.com/office/drawing/2014/main" id="{00000000-0008-0000-0100-000011000000}"/>
            </a:ext>
          </a:extLst>
        </xdr:cNvPr>
        <xdr:cNvSpPr/>
      </xdr:nvSpPr>
      <xdr:spPr>
        <a:xfrm>
          <a:off x="7107673" y="1044521"/>
          <a:ext cx="4179452" cy="282503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lstStyle/>
        <a:p>
          <a:pPr algn="ctr"/>
          <a:r>
            <a:rPr lang="en-US" sz="1600" b="1">
              <a:solidFill>
                <a:sysClr val="windowText" lastClr="000000"/>
              </a:solidFill>
              <a:latin typeface="Arial" panose="020B0604020202020204" pitchFamily="34" charset="0"/>
              <a:cs typeface="Arial" panose="020B0604020202020204" pitchFamily="34" charset="0"/>
            </a:rPr>
            <a:t>To generate and view results, please select a SAF pathway in the dropdown list at cell E6, enter a value for input and output parameters at the facility level per period of operation, select an input option from the dropdown lists in pink, edit transportation details, and click "Generate LCA Results".</a:t>
          </a:r>
        </a:p>
      </xdr:txBody>
    </xdr:sp>
    <xdr:clientData/>
  </xdr:twoCellAnchor>
  <xdr:twoCellAnchor editAs="oneCell">
    <xdr:from>
      <xdr:col>0</xdr:col>
      <xdr:colOff>88368</xdr:colOff>
      <xdr:row>10</xdr:row>
      <xdr:rowOff>144555</xdr:rowOff>
    </xdr:from>
    <xdr:to>
      <xdr:col>4</xdr:col>
      <xdr:colOff>2347966</xdr:colOff>
      <xdr:row>15</xdr:row>
      <xdr:rowOff>66115</xdr:rowOff>
    </xdr:to>
    <mc:AlternateContent xmlns:mc="http://schemas.openxmlformats.org/markup-compatibility/2006" xmlns:a14="http://schemas.microsoft.com/office/drawing/2010/main">
      <mc:Choice Requires="a14">
        <xdr:graphicFrame macro="">
          <xdr:nvGraphicFramePr>
            <xdr:cNvPr id="11" name="Data Source 1" hidden="1">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microsoft.com/office/drawing/2010/slicer">
              <sle:slicer xmlns:sle="http://schemas.microsoft.com/office/drawing/2010/slicer" name="Data Source 1"/>
            </a:graphicData>
          </a:graphic>
        </xdr:graphicFrame>
      </mc:Choice>
      <mc:Fallback xmlns="">
        <xdr:sp macro="" textlink="">
          <xdr:nvSpPr>
            <xdr:cNvPr id="0" name=""/>
            <xdr:cNvSpPr>
              <a:spLocks noTextEdit="1"/>
            </xdr:cNvSpPr>
          </xdr:nvSpPr>
          <xdr:spPr>
            <a:xfrm>
              <a:off x="88368" y="1746996"/>
              <a:ext cx="2606168" cy="8740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7767</xdr:colOff>
      <xdr:row>36</xdr:row>
      <xdr:rowOff>37230</xdr:rowOff>
    </xdr:from>
    <xdr:to>
      <xdr:col>17</xdr:col>
      <xdr:colOff>1045845</xdr:colOff>
      <xdr:row>37</xdr:row>
      <xdr:rowOff>175260</xdr:rowOff>
    </xdr:to>
    <xdr:sp macro="[0]!ResetButton" textlink="">
      <xdr:nvSpPr>
        <xdr:cNvPr id="8" name="Rectangle: Rounded Corners 7">
          <a:extLst>
            <a:ext uri="{FF2B5EF4-FFF2-40B4-BE49-F238E27FC236}">
              <a16:creationId xmlns:a16="http://schemas.microsoft.com/office/drawing/2014/main" id="{00000000-0008-0000-0100-000008000000}"/>
            </a:ext>
          </a:extLst>
        </xdr:cNvPr>
        <xdr:cNvSpPr/>
      </xdr:nvSpPr>
      <xdr:spPr>
        <a:xfrm>
          <a:off x="9427992" y="6857130"/>
          <a:ext cx="2181078" cy="34758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ctr"/>
          <a:r>
            <a:rPr lang="en-US" sz="1400"/>
            <a:t>Reset Parameters</a:t>
          </a:r>
        </a:p>
      </xdr:txBody>
    </xdr:sp>
    <xdr:clientData/>
  </xdr:twoCellAnchor>
  <xdr:twoCellAnchor editAs="oneCell">
    <xdr:from>
      <xdr:col>0</xdr:col>
      <xdr:colOff>75481</xdr:colOff>
      <xdr:row>36</xdr:row>
      <xdr:rowOff>25998</xdr:rowOff>
    </xdr:from>
    <xdr:to>
      <xdr:col>4</xdr:col>
      <xdr:colOff>2309545</xdr:colOff>
      <xdr:row>41</xdr:row>
      <xdr:rowOff>129541</xdr:rowOff>
    </xdr:to>
    <mc:AlternateContent xmlns:mc="http://schemas.openxmlformats.org/markup-compatibility/2006" xmlns:a14="http://schemas.microsoft.com/office/drawing/2010/main">
      <mc:Choice Requires="a14">
        <xdr:graphicFrame macro="">
          <xdr:nvGraphicFramePr>
            <xdr:cNvPr id="10" name="Data Set" hidden="1">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microsoft.com/office/drawing/2010/slicer">
              <sle:slicer xmlns:sle="http://schemas.microsoft.com/office/drawing/2010/slicer" name="Data Set"/>
            </a:graphicData>
          </a:graphic>
        </xdr:graphicFrame>
      </mc:Choice>
      <mc:Fallback xmlns="">
        <xdr:sp macro="" textlink="">
          <xdr:nvSpPr>
            <xdr:cNvPr id="0" name=""/>
            <xdr:cNvSpPr>
              <a:spLocks noTextEdit="1"/>
            </xdr:cNvSpPr>
          </xdr:nvSpPr>
          <xdr:spPr>
            <a:xfrm>
              <a:off x="75481" y="6659880"/>
              <a:ext cx="2567747" cy="1073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67637</xdr:colOff>
      <xdr:row>41</xdr:row>
      <xdr:rowOff>180414</xdr:rowOff>
    </xdr:from>
    <xdr:to>
      <xdr:col>4</xdr:col>
      <xdr:colOff>2302118</xdr:colOff>
      <xdr:row>49</xdr:row>
      <xdr:rowOff>85837</xdr:rowOff>
    </xdr:to>
    <mc:AlternateContent xmlns:mc="http://schemas.openxmlformats.org/markup-compatibility/2006" xmlns:a14="http://schemas.microsoft.com/office/drawing/2010/main">
      <mc:Choice Requires="a14">
        <xdr:graphicFrame macro="">
          <xdr:nvGraphicFramePr>
            <xdr:cNvPr id="12" name="Technology" hidden="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microsoft.com/office/drawing/2010/slicer">
              <sle:slicer xmlns:sle="http://schemas.microsoft.com/office/drawing/2010/slicer" name="Technology"/>
            </a:graphicData>
          </a:graphic>
        </xdr:graphicFrame>
      </mc:Choice>
      <mc:Fallback xmlns="">
        <xdr:sp macro="" textlink="">
          <xdr:nvSpPr>
            <xdr:cNvPr id="0" name=""/>
            <xdr:cNvSpPr>
              <a:spLocks noTextEdit="1"/>
            </xdr:cNvSpPr>
          </xdr:nvSpPr>
          <xdr:spPr>
            <a:xfrm>
              <a:off x="67637" y="7957784"/>
              <a:ext cx="2497158" cy="14167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19051</xdr:colOff>
      <xdr:row>5</xdr:row>
      <xdr:rowOff>185530</xdr:rowOff>
    </xdr:from>
    <xdr:to>
      <xdr:col>21</xdr:col>
      <xdr:colOff>104776</xdr:colOff>
      <xdr:row>20</xdr:row>
      <xdr:rowOff>180647</xdr:rowOff>
    </xdr:to>
    <xdr:graphicFrame macro="">
      <xdr:nvGraphicFramePr>
        <xdr:cNvPr id="4" name="ResultsGraph" hidden="1">
          <a:extLst>
            <a:ext uri="{FF2B5EF4-FFF2-40B4-BE49-F238E27FC236}">
              <a16:creationId xmlns:a16="http://schemas.microsoft.com/office/drawing/2014/main" id="{750AA5CB-C6A2-31EE-A6DD-EB16EB4032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tom sykora" id="{B69A5DC2-3538-4C2A-B142-076F6CB58BA4}" userId="1e7bc7968ee04b52" providerId="Windows Live"/>
  <person displayName="Lee, Uisung" id="{1CA759FD-D082-4F74-9643-097213ED50E2}" userId="S::ulee@anl.gov::84fe3a32-4a90-4a2c-812b-7491f8202b67" providerId="AD"/>
  <person displayName="Tom Sykora" id="{AB0421DE-D0CE-4510-A8EB-05A7236CD15B}" userId="S::tsykora@anl.gov::1aa824c8-757a-4149-9970-df737f8f288e" providerId="AD"/>
  <person displayName="Sykora, Tom" id="{C6A0A2A8-478C-4E14-B7A1-5FADF5426C40}" userId="S::TSYKORA@depaul.edu::2ede4a6d-cb0d-4eff-b493-d6d5ec21c583" providerId="AD"/>
  <person displayName="Chen, Peter Hua" id="{705E04B7-8635-4650-B3EB-40CBF44633A2}" userId="S::peter.chen@anl.gov::95d8dc02-8795-4428-898e-1aafc8ba52b4"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m sykora" refreshedDate="45373.502312731478" createdVersion="8" refreshedVersion="8" minRefreshableVersion="3" recordCount="118" xr:uid="{9C50B929-1055-49D4-8C03-AA32376EE89C}">
  <cacheSource type="worksheet">
    <worksheetSource name="Pathways_Table"/>
  </cacheSource>
  <cacheFields count="9">
    <cacheField name="Feedstock" numFmtId="0">
      <sharedItems containsBlank="1" count="37">
        <s v="Soybean"/>
        <s v="Palm"/>
        <s v="Canola/Rapeseed"/>
        <s v="Jatropha"/>
        <s v="Camelina"/>
        <s v="Carinata"/>
        <s v="Corn oil"/>
        <s v="Forest residue"/>
        <s v="Willow"/>
        <s v="Poplar"/>
        <s v="Switchgrass"/>
        <s v="Miscanthus"/>
        <s v="Corn stover"/>
        <s v="Corn"/>
        <s v="Solid waste"/>
        <s v="Tallow"/>
        <s v="UCO"/>
        <s v="PFAD"/>
        <s v="Eucalyptus"/>
        <s v="MSW"/>
        <s v="Sugarcane"/>
        <s v="Sugarbeet"/>
        <s v="Molasses"/>
        <s v="Waste gases"/>
        <m u="1"/>
        <s v="Ethanol" u="1"/>
        <s v="Canola" u="1"/>
        <s v="Crude oil" u="1"/>
        <s v="Algae" u="1"/>
        <s v="Pyrolysis oil" u="1"/>
        <s v="Wheat straw" u="1"/>
        <s v="Carnita" u="1"/>
        <s v="Natural gas" u="1"/>
        <s v="Landfill gas" u="1"/>
        <s v="Coal" u="1"/>
        <s v="MSW (20% NBC)" u="1"/>
        <s v="Flared gas" u="1"/>
      </sharedItems>
    </cacheField>
    <cacheField name="Conversion" numFmtId="0">
      <sharedItems containsBlank="1" count="12">
        <s v="HEFA"/>
        <s v="FT"/>
        <s v="ATJ-ethanol"/>
        <s v="Biological STJ"/>
        <s v="Catalytic STJ"/>
        <s v="SIP"/>
        <s v="i-BuOH ATJ"/>
        <s v="ETJ" u="1"/>
        <m u="1"/>
        <s v="Petroleum refining" u="1"/>
        <s v="Catalytic upgrading" u="1"/>
        <s v="STJ" u="1"/>
      </sharedItems>
    </cacheField>
    <cacheField name="Data Source" numFmtId="0">
      <sharedItems containsMixedTypes="1" containsNumber="1" containsInteger="1" minValue="1" maxValue="1" count="3">
        <s v="GREET"/>
        <s v="ICAO"/>
        <n v="1" u="1"/>
      </sharedItems>
    </cacheField>
    <cacheField name="Data Set" numFmtId="0">
      <sharedItems containsBlank="1" count="26">
        <s v="GREET"/>
        <s v="US (GREET)"/>
        <s v="BioGrace (EU)"/>
        <s v="LatAm"/>
        <s v="JRC"/>
        <s v="GHGenius (Canada)"/>
        <s v="ANL"/>
        <s v="US/Canada (GREET)"/>
        <s v="ANL (GREET)"/>
        <s v="MIT (GREET)"/>
        <s v="JRC (GREET)"/>
        <s v="JRC (E3)"/>
        <s v="MIT"/>
        <s v="Consensus"/>
        <s v="CTBE"/>
        <m u="1"/>
        <s v="ANL/MIT" u="1"/>
        <s v="Co-located - Consensus" u="1"/>
        <s v="Separate - Consensus" u="1"/>
        <s v="ANL/MIT (EU)" u="1"/>
        <s v="ANL/UT" u="1"/>
        <s v="Closed pond - ANL" u="1"/>
        <s v="Open pond - ANL" u="1"/>
        <s v="MIT/ANL" u="1"/>
        <s v="ANL/MIT (US)" u="1"/>
        <s v="ICAO" u="1"/>
      </sharedItems>
    </cacheField>
    <cacheField name="Technology" numFmtId="0">
      <sharedItems containsBlank="1" count="43">
        <s v="(blank)"/>
        <s v="Closed pond"/>
        <s v="Open pond"/>
        <s v="Co-located facilities"/>
        <s v="Standalone Facilities"/>
        <s v="Corn dry mill w/o extraction - Standalone Facilities"/>
        <s v="Corn dry mill w/ extraction - Standalone Facilities"/>
        <s v="Corn wet mill - Standalone Facilities"/>
        <s v="Closed pond "/>
        <s v="Open pond "/>
        <s v="Integrated"/>
        <s v="Standalone"/>
        <s v="Scenario 1"/>
        <s v="Scenario 2"/>
        <s v="Scenario 3"/>
        <m u="1"/>
        <s v="Corn" u="1"/>
        <s v="Corn dry mill w/o extraction" u="1"/>
        <s v="Corn dry mill w/ extraction" u="1"/>
        <s v="Corn wet mill" u="1"/>
        <s v="Willow" u="1"/>
        <s v="Poplar" u="1"/>
        <s v="Switchgrass" u="1"/>
        <s v="Miscanthus" u="1"/>
        <s v="Corn stover" u="1"/>
        <s v="Forest residue" u="1"/>
        <s v="Solid waste" u="1"/>
        <s v="LatAm" u="1"/>
        <s v="ANL/UT" u="1"/>
        <s v="Separate - Consensus" u="1"/>
        <s v="Co-located - Consensus" u="1"/>
        <s v="Open pond - ANL" u="1"/>
        <s v="CTBE" u="1"/>
        <s v="ANL/MIT (EU)" u="1"/>
        <s v="GHGenius (Canada)" u="1"/>
        <s v="ANL" u="1"/>
        <s v="ANL/MIT (US)" u="1"/>
        <s v="ANL/MIT" u="1"/>
        <s v="Closed pond - ANL" u="1"/>
        <s v="BioGrace (EU)" u="1"/>
        <s v="MIT/ANL" u="1"/>
        <s v="JRC" u="1"/>
        <s v="MIT" u="1"/>
      </sharedItems>
    </cacheField>
    <cacheField name="PathID" numFmtId="0">
      <sharedItems containsSemiMixedTypes="0" containsString="0" containsNumber="1" containsInteger="1" minValue="1" maxValue="118"/>
    </cacheField>
    <cacheField name="Pathway Name" numFmtId="0">
      <sharedItems/>
    </cacheField>
    <cacheField name="Pathway Column" numFmtId="0">
      <sharedItems containsSemiMixedTypes="0" containsString="0" containsNumber="1" containsInteger="1" minValue="4" maxValue="58"/>
    </cacheField>
    <cacheField name="Column1" numFmtId="0">
      <sharedItems containsSemiMixedTypes="0" containsString="0" containsNumber="1" containsInteger="1" minValue="1" maxValue="55"/>
    </cacheField>
  </cacheFields>
  <extLst>
    <ext xmlns:x14="http://schemas.microsoft.com/office/spreadsheetml/2009/9/main" uri="{725AE2AE-9491-48be-B2B4-4EB974FC3084}">
      <x14:pivotCacheDefinition pivotCacheId="6371752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ykora, Tom" refreshedDate="45502.368451273149" createdVersion="8" refreshedVersion="8" minRefreshableVersion="3" recordCount="6" xr:uid="{D34FCCE4-8839-43C9-8600-BBC5A3481D3B}">
  <cacheSource type="worksheet">
    <worksheetSource name="ResultsPivotTable"/>
  </cacheSource>
  <cacheFields count="5">
    <cacheField name="LC Stage" numFmtId="0">
      <sharedItems/>
    </cacheField>
    <cacheField name="Pathway" numFmtId="0">
      <sharedItems/>
    </cacheField>
    <cacheField name="Metric" numFmtId="2">
      <sharedItems containsBlank="1" count="5">
        <s v="GHGs"/>
        <s v="CH4" u="1"/>
        <s v="N2O" u="1"/>
        <s v="CO2" u="1"/>
        <m u="1"/>
      </sharedItems>
    </cacheField>
    <cacheField name="Value" numFmtId="0">
      <sharedItems containsMixedTypes="1" containsNumber="1" minValue="4.0598063786682376E-2" maxValue="17.401853081912847"/>
    </cacheField>
    <cacheField name="Metric Lookup" numFmtId="2">
      <sharedItems/>
    </cacheField>
  </cacheFields>
  <extLst>
    <ext xmlns:x14="http://schemas.microsoft.com/office/spreadsheetml/2009/9/main" uri="{725AE2AE-9491-48be-B2B4-4EB974FC3084}">
      <x14:pivotCacheDefinition pivotCacheId="198693001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8">
  <r>
    <x v="0"/>
    <x v="0"/>
    <x v="0"/>
    <x v="0"/>
    <x v="0"/>
    <n v="1"/>
    <s v="Soy Oil HEFA"/>
    <n v="12"/>
    <n v="9"/>
  </r>
  <r>
    <x v="1"/>
    <x v="0"/>
    <x v="0"/>
    <x v="0"/>
    <x v="1"/>
    <n v="2"/>
    <s v="Palm Oil HEFA"/>
    <n v="13"/>
    <n v="10"/>
  </r>
  <r>
    <x v="1"/>
    <x v="0"/>
    <x v="0"/>
    <x v="0"/>
    <x v="2"/>
    <n v="3"/>
    <s v="Palm Oil HEFA"/>
    <n v="13"/>
    <n v="10"/>
  </r>
  <r>
    <x v="2"/>
    <x v="0"/>
    <x v="0"/>
    <x v="0"/>
    <x v="0"/>
    <n v="4"/>
    <s v="Canola Oil HEFA"/>
    <n v="14"/>
    <n v="11"/>
  </r>
  <r>
    <x v="3"/>
    <x v="0"/>
    <x v="0"/>
    <x v="0"/>
    <x v="0"/>
    <n v="5"/>
    <s v="Jatropha Oil HEFA"/>
    <n v="15"/>
    <n v="12"/>
  </r>
  <r>
    <x v="4"/>
    <x v="0"/>
    <x v="0"/>
    <x v="0"/>
    <x v="0"/>
    <n v="6"/>
    <s v="Camelina Oil HEFA"/>
    <n v="16"/>
    <n v="13"/>
  </r>
  <r>
    <x v="5"/>
    <x v="0"/>
    <x v="0"/>
    <x v="0"/>
    <x v="0"/>
    <n v="7"/>
    <s v="Carinata Oil HEFA"/>
    <n v="18"/>
    <n v="15"/>
  </r>
  <r>
    <x v="6"/>
    <x v="0"/>
    <x v="0"/>
    <x v="0"/>
    <x v="0"/>
    <n v="8"/>
    <s v="Corn Oil HEFA"/>
    <n v="17"/>
    <n v="14"/>
  </r>
  <r>
    <x v="7"/>
    <x v="1"/>
    <x v="0"/>
    <x v="0"/>
    <x v="0"/>
    <n v="9"/>
    <s v="Forest Residue FT"/>
    <n v="9"/>
    <n v="6"/>
  </r>
  <r>
    <x v="8"/>
    <x v="1"/>
    <x v="0"/>
    <x v="0"/>
    <x v="0"/>
    <n v="10"/>
    <s v="Willow FT"/>
    <n v="4"/>
    <n v="1"/>
  </r>
  <r>
    <x v="9"/>
    <x v="1"/>
    <x v="0"/>
    <x v="0"/>
    <x v="0"/>
    <n v="11"/>
    <s v="Poplar FT"/>
    <n v="5"/>
    <n v="2"/>
  </r>
  <r>
    <x v="10"/>
    <x v="1"/>
    <x v="0"/>
    <x v="0"/>
    <x v="0"/>
    <n v="12"/>
    <s v="Switchgrass FT"/>
    <n v="6"/>
    <n v="3"/>
  </r>
  <r>
    <x v="11"/>
    <x v="1"/>
    <x v="0"/>
    <x v="0"/>
    <x v="0"/>
    <n v="13"/>
    <s v="Miscanthus FT"/>
    <n v="7"/>
    <n v="4"/>
  </r>
  <r>
    <x v="12"/>
    <x v="1"/>
    <x v="0"/>
    <x v="0"/>
    <x v="0"/>
    <n v="14"/>
    <s v="Corn Stover FT"/>
    <n v="8"/>
    <n v="5"/>
  </r>
  <r>
    <x v="13"/>
    <x v="2"/>
    <x v="0"/>
    <x v="0"/>
    <x v="3"/>
    <n v="15"/>
    <s v="Corn ETJ (Integrated)"/>
    <n v="22"/>
    <n v="19"/>
  </r>
  <r>
    <x v="12"/>
    <x v="2"/>
    <x v="0"/>
    <x v="0"/>
    <x v="3"/>
    <n v="16"/>
    <s v="Corn Stover ETJ (Integrated)"/>
    <n v="27"/>
    <n v="24"/>
  </r>
  <r>
    <x v="8"/>
    <x v="2"/>
    <x v="0"/>
    <x v="0"/>
    <x v="3"/>
    <n v="17"/>
    <s v="Willow ETJ (Integrated)"/>
    <n v="23"/>
    <n v="20"/>
  </r>
  <r>
    <x v="9"/>
    <x v="2"/>
    <x v="0"/>
    <x v="0"/>
    <x v="3"/>
    <n v="18"/>
    <s v="Poplar ETJ (Integrated)"/>
    <n v="24"/>
    <n v="21"/>
  </r>
  <r>
    <x v="10"/>
    <x v="2"/>
    <x v="0"/>
    <x v="0"/>
    <x v="3"/>
    <n v="19"/>
    <s v="Switchgrass ETJ (Integrated)"/>
    <n v="25"/>
    <n v="22"/>
  </r>
  <r>
    <x v="11"/>
    <x v="2"/>
    <x v="0"/>
    <x v="0"/>
    <x v="3"/>
    <n v="20"/>
    <s v="Miscanthus ETJ (Integrated)"/>
    <n v="26"/>
    <n v="23"/>
  </r>
  <r>
    <x v="7"/>
    <x v="2"/>
    <x v="0"/>
    <x v="0"/>
    <x v="3"/>
    <n v="21"/>
    <s v="Forest Residue ETJ (Integrated)"/>
    <n v="28"/>
    <n v="25"/>
  </r>
  <r>
    <x v="13"/>
    <x v="2"/>
    <x v="0"/>
    <x v="0"/>
    <x v="4"/>
    <n v="22"/>
    <s v="Corn Dry Mill w/ extraction ETJ (Standalone)"/>
    <n v="31"/>
    <n v="28"/>
  </r>
  <r>
    <x v="13"/>
    <x v="2"/>
    <x v="0"/>
    <x v="0"/>
    <x v="5"/>
    <n v="23"/>
    <s v="Corn Dry Mill w/o extraction ETJ (Standalone)"/>
    <n v="30"/>
    <n v="27"/>
  </r>
  <r>
    <x v="13"/>
    <x v="2"/>
    <x v="0"/>
    <x v="0"/>
    <x v="6"/>
    <n v="24"/>
    <s v="Corn Dry Mill w/ extraction ETJ (Standalone)"/>
    <n v="31"/>
    <n v="28"/>
  </r>
  <r>
    <x v="13"/>
    <x v="2"/>
    <x v="0"/>
    <x v="0"/>
    <x v="7"/>
    <n v="25"/>
    <s v="Corn Wet Mill ETJ (Standalone)"/>
    <n v="32"/>
    <n v="29"/>
  </r>
  <r>
    <x v="8"/>
    <x v="2"/>
    <x v="0"/>
    <x v="0"/>
    <x v="4"/>
    <n v="26"/>
    <s v="Willow ETJ (Standalone)"/>
    <n v="33"/>
    <n v="30"/>
  </r>
  <r>
    <x v="9"/>
    <x v="2"/>
    <x v="0"/>
    <x v="0"/>
    <x v="4"/>
    <n v="27"/>
    <s v="Poplar ETJ (Standalone)"/>
    <n v="34"/>
    <n v="31"/>
  </r>
  <r>
    <x v="10"/>
    <x v="2"/>
    <x v="0"/>
    <x v="0"/>
    <x v="4"/>
    <n v="28"/>
    <s v="Switchgrass ETJ (Standalone)"/>
    <n v="35"/>
    <n v="32"/>
  </r>
  <r>
    <x v="11"/>
    <x v="2"/>
    <x v="0"/>
    <x v="0"/>
    <x v="4"/>
    <n v="29"/>
    <s v="Miscanthus ETJ (Standalone)"/>
    <n v="36"/>
    <n v="33"/>
  </r>
  <r>
    <x v="12"/>
    <x v="2"/>
    <x v="0"/>
    <x v="0"/>
    <x v="4"/>
    <n v="30"/>
    <s v="Corn Stover ETJ (Standalone)"/>
    <n v="37"/>
    <n v="34"/>
  </r>
  <r>
    <x v="7"/>
    <x v="2"/>
    <x v="0"/>
    <x v="0"/>
    <x v="4"/>
    <n v="31"/>
    <s v="Forest Residue ETJ (Standalone)"/>
    <n v="38"/>
    <n v="35"/>
  </r>
  <r>
    <x v="14"/>
    <x v="2"/>
    <x v="0"/>
    <x v="0"/>
    <x v="4"/>
    <n v="32"/>
    <s v="Solid Waste ETJ (Standalone)"/>
    <n v="39"/>
    <n v="36"/>
  </r>
  <r>
    <x v="12"/>
    <x v="3"/>
    <x v="0"/>
    <x v="0"/>
    <x v="0"/>
    <n v="33"/>
    <s v="Corn Stover STJ (Biological)"/>
    <n v="45"/>
    <n v="42"/>
  </r>
  <r>
    <x v="12"/>
    <x v="4"/>
    <x v="0"/>
    <x v="0"/>
    <x v="0"/>
    <n v="34"/>
    <s v="Corn Stover STJ (Biological)"/>
    <n v="45"/>
    <n v="42"/>
  </r>
  <r>
    <x v="8"/>
    <x v="3"/>
    <x v="0"/>
    <x v="0"/>
    <x v="0"/>
    <n v="35"/>
    <s v="Willow STJ (Biological)"/>
    <n v="41"/>
    <n v="38"/>
  </r>
  <r>
    <x v="8"/>
    <x v="4"/>
    <x v="0"/>
    <x v="0"/>
    <x v="0"/>
    <n v="36"/>
    <s v="Willow STJ (Biological)"/>
    <n v="41"/>
    <n v="38"/>
  </r>
  <r>
    <x v="9"/>
    <x v="3"/>
    <x v="0"/>
    <x v="0"/>
    <x v="0"/>
    <n v="37"/>
    <s v="Poplar STJ (Biological)"/>
    <n v="42"/>
    <n v="39"/>
  </r>
  <r>
    <x v="9"/>
    <x v="4"/>
    <x v="0"/>
    <x v="0"/>
    <x v="0"/>
    <n v="38"/>
    <s v="Poplar STJ (Biological)"/>
    <n v="42"/>
    <n v="39"/>
  </r>
  <r>
    <x v="10"/>
    <x v="3"/>
    <x v="0"/>
    <x v="0"/>
    <x v="0"/>
    <n v="39"/>
    <s v="Switchgrass STJ (Biological)"/>
    <n v="43"/>
    <n v="40"/>
  </r>
  <r>
    <x v="10"/>
    <x v="4"/>
    <x v="0"/>
    <x v="0"/>
    <x v="0"/>
    <n v="40"/>
    <s v="Switchgrass STJ (Biological)"/>
    <n v="43"/>
    <n v="40"/>
  </r>
  <r>
    <x v="11"/>
    <x v="3"/>
    <x v="0"/>
    <x v="0"/>
    <x v="0"/>
    <n v="41"/>
    <s v="Miscanthus STJ (Biological)"/>
    <n v="44"/>
    <n v="41"/>
  </r>
  <r>
    <x v="11"/>
    <x v="4"/>
    <x v="0"/>
    <x v="0"/>
    <x v="0"/>
    <n v="42"/>
    <s v="Miscanthus STJ (Biological)"/>
    <n v="44"/>
    <n v="41"/>
  </r>
  <r>
    <x v="7"/>
    <x v="3"/>
    <x v="0"/>
    <x v="0"/>
    <x v="0"/>
    <n v="43"/>
    <s v="Forest Residue STJ (Biological)"/>
    <n v="46"/>
    <n v="43"/>
  </r>
  <r>
    <x v="7"/>
    <x v="4"/>
    <x v="0"/>
    <x v="0"/>
    <x v="0"/>
    <n v="44"/>
    <s v="Forest Residue STJ (Biological)"/>
    <n v="46"/>
    <n v="43"/>
  </r>
  <r>
    <x v="0"/>
    <x v="0"/>
    <x v="1"/>
    <x v="1"/>
    <x v="0"/>
    <n v="45"/>
    <s v="Soy Oil HEFA"/>
    <n v="12"/>
    <n v="9"/>
  </r>
  <r>
    <x v="0"/>
    <x v="0"/>
    <x v="1"/>
    <x v="2"/>
    <x v="0"/>
    <n v="46"/>
    <s v="Soy Oil HEFA"/>
    <n v="12"/>
    <n v="9"/>
  </r>
  <r>
    <x v="0"/>
    <x v="0"/>
    <x v="1"/>
    <x v="3"/>
    <x v="0"/>
    <n v="47"/>
    <s v="Soy Oil HEFA"/>
    <n v="12"/>
    <n v="9"/>
  </r>
  <r>
    <x v="0"/>
    <x v="0"/>
    <x v="1"/>
    <x v="4"/>
    <x v="0"/>
    <n v="48"/>
    <s v="Soy Oil HEFA"/>
    <n v="12"/>
    <n v="9"/>
  </r>
  <r>
    <x v="2"/>
    <x v="0"/>
    <x v="1"/>
    <x v="1"/>
    <x v="0"/>
    <n v="49"/>
    <s v="Canola Oil HEFA"/>
    <n v="14"/>
    <n v="11"/>
  </r>
  <r>
    <x v="2"/>
    <x v="0"/>
    <x v="1"/>
    <x v="2"/>
    <x v="0"/>
    <n v="50"/>
    <s v="Canola Oil HEFA"/>
    <n v="14"/>
    <n v="11"/>
  </r>
  <r>
    <x v="2"/>
    <x v="0"/>
    <x v="1"/>
    <x v="5"/>
    <x v="0"/>
    <n v="51"/>
    <s v="Canola Oil HEFA"/>
    <n v="14"/>
    <n v="11"/>
  </r>
  <r>
    <x v="2"/>
    <x v="0"/>
    <x v="1"/>
    <x v="4"/>
    <x v="0"/>
    <n v="52"/>
    <s v="Canola Oil HEFA"/>
    <n v="14"/>
    <n v="11"/>
  </r>
  <r>
    <x v="4"/>
    <x v="0"/>
    <x v="1"/>
    <x v="1"/>
    <x v="0"/>
    <n v="53"/>
    <s v="Camelina Oil HEFA"/>
    <n v="16"/>
    <n v="13"/>
  </r>
  <r>
    <x v="4"/>
    <x v="0"/>
    <x v="1"/>
    <x v="5"/>
    <x v="0"/>
    <n v="54"/>
    <s v="Camelina Oil HEFA"/>
    <n v="16"/>
    <n v="13"/>
  </r>
  <r>
    <x v="4"/>
    <x v="0"/>
    <x v="1"/>
    <x v="4"/>
    <x v="0"/>
    <n v="55"/>
    <s v="Camelina Oil HEFA"/>
    <n v="16"/>
    <n v="13"/>
  </r>
  <r>
    <x v="1"/>
    <x v="0"/>
    <x v="1"/>
    <x v="6"/>
    <x v="8"/>
    <n v="56"/>
    <s v="Palm Oil HEFA"/>
    <n v="13"/>
    <n v="10"/>
  </r>
  <r>
    <x v="1"/>
    <x v="0"/>
    <x v="1"/>
    <x v="6"/>
    <x v="9"/>
    <n v="57"/>
    <s v="Palm Oil HEFA"/>
    <n v="13"/>
    <n v="10"/>
  </r>
  <r>
    <x v="5"/>
    <x v="0"/>
    <x v="1"/>
    <x v="7"/>
    <x v="0"/>
    <n v="58"/>
    <s v="Carinata Oil HEFA"/>
    <n v="18"/>
    <n v="15"/>
  </r>
  <r>
    <x v="6"/>
    <x v="0"/>
    <x v="1"/>
    <x v="8"/>
    <x v="0"/>
    <n v="59"/>
    <s v="Corn Oil HEFA"/>
    <n v="17"/>
    <n v="14"/>
  </r>
  <r>
    <x v="10"/>
    <x v="1"/>
    <x v="1"/>
    <x v="9"/>
    <x v="0"/>
    <n v="60"/>
    <s v="Switchgrass FT"/>
    <n v="6"/>
    <n v="3"/>
  </r>
  <r>
    <x v="10"/>
    <x v="1"/>
    <x v="1"/>
    <x v="10"/>
    <x v="0"/>
    <n v="61"/>
    <s v="Switchgrass FT"/>
    <n v="6"/>
    <n v="3"/>
  </r>
  <r>
    <x v="10"/>
    <x v="1"/>
    <x v="1"/>
    <x v="11"/>
    <x v="0"/>
    <n v="62"/>
    <s v="Switchgrass FT"/>
    <n v="6"/>
    <n v="3"/>
  </r>
  <r>
    <x v="11"/>
    <x v="1"/>
    <x v="1"/>
    <x v="9"/>
    <x v="0"/>
    <n v="63"/>
    <s v="Miscanthus FT"/>
    <n v="7"/>
    <n v="4"/>
  </r>
  <r>
    <x v="11"/>
    <x v="1"/>
    <x v="1"/>
    <x v="10"/>
    <x v="0"/>
    <n v="64"/>
    <s v="Miscanthus FT"/>
    <n v="7"/>
    <n v="4"/>
  </r>
  <r>
    <x v="9"/>
    <x v="1"/>
    <x v="1"/>
    <x v="9"/>
    <x v="0"/>
    <n v="65"/>
    <s v="Poplar FT"/>
    <n v="5"/>
    <n v="2"/>
  </r>
  <r>
    <x v="9"/>
    <x v="1"/>
    <x v="1"/>
    <x v="10"/>
    <x v="0"/>
    <n v="66"/>
    <s v="Poplar FT"/>
    <n v="5"/>
    <n v="2"/>
  </r>
  <r>
    <x v="9"/>
    <x v="1"/>
    <x v="1"/>
    <x v="11"/>
    <x v="0"/>
    <n v="67"/>
    <s v="Poplar FT"/>
    <n v="5"/>
    <n v="2"/>
  </r>
  <r>
    <x v="8"/>
    <x v="1"/>
    <x v="1"/>
    <x v="9"/>
    <x v="0"/>
    <n v="68"/>
    <s v="Willow FT"/>
    <n v="4"/>
    <n v="1"/>
  </r>
  <r>
    <x v="8"/>
    <x v="1"/>
    <x v="1"/>
    <x v="10"/>
    <x v="0"/>
    <n v="69"/>
    <s v="Willow FT"/>
    <n v="4"/>
    <n v="1"/>
  </r>
  <r>
    <x v="12"/>
    <x v="1"/>
    <x v="1"/>
    <x v="9"/>
    <x v="0"/>
    <n v="70"/>
    <s v="Corn Stover FT"/>
    <n v="8"/>
    <n v="5"/>
  </r>
  <r>
    <x v="12"/>
    <x v="1"/>
    <x v="1"/>
    <x v="11"/>
    <x v="0"/>
    <n v="71"/>
    <s v="Corn Stover FT"/>
    <n v="8"/>
    <n v="5"/>
  </r>
  <r>
    <x v="7"/>
    <x v="1"/>
    <x v="1"/>
    <x v="9"/>
    <x v="0"/>
    <n v="72"/>
    <s v="Forest Residue FT"/>
    <n v="9"/>
    <n v="6"/>
  </r>
  <r>
    <x v="7"/>
    <x v="1"/>
    <x v="1"/>
    <x v="11"/>
    <x v="0"/>
    <n v="73"/>
    <s v="Forest Residue FT"/>
    <n v="9"/>
    <n v="6"/>
  </r>
  <r>
    <x v="13"/>
    <x v="2"/>
    <x v="1"/>
    <x v="12"/>
    <x v="0"/>
    <n v="74"/>
    <s v="Corn ETJ (Integrated)"/>
    <n v="22"/>
    <n v="19"/>
  </r>
  <r>
    <x v="12"/>
    <x v="2"/>
    <x v="1"/>
    <x v="13"/>
    <x v="10"/>
    <n v="75"/>
    <s v="Corn Stover ETJ (Integrated)"/>
    <n v="27"/>
    <n v="24"/>
  </r>
  <r>
    <x v="12"/>
    <x v="2"/>
    <x v="1"/>
    <x v="13"/>
    <x v="11"/>
    <n v="76"/>
    <s v="Corn Stover ETJ (Standalone)"/>
    <n v="37"/>
    <n v="34"/>
  </r>
  <r>
    <x v="7"/>
    <x v="2"/>
    <x v="1"/>
    <x v="13"/>
    <x v="10"/>
    <n v="77"/>
    <s v="Forest Residue ETJ (Integrated)"/>
    <n v="28"/>
    <n v="25"/>
  </r>
  <r>
    <x v="7"/>
    <x v="2"/>
    <x v="1"/>
    <x v="13"/>
    <x v="11"/>
    <n v="78"/>
    <s v="Forest Residue ETJ (Standalone)"/>
    <n v="38"/>
    <n v="35"/>
  </r>
  <r>
    <x v="11"/>
    <x v="2"/>
    <x v="1"/>
    <x v="13"/>
    <x v="10"/>
    <n v="79"/>
    <s v="Miscanthus ETJ (Integrated)"/>
    <n v="26"/>
    <n v="23"/>
  </r>
  <r>
    <x v="11"/>
    <x v="2"/>
    <x v="1"/>
    <x v="13"/>
    <x v="11"/>
    <n v="80"/>
    <s v="Miscanthus ETJ (Standalone)"/>
    <n v="36"/>
    <n v="33"/>
  </r>
  <r>
    <x v="10"/>
    <x v="2"/>
    <x v="1"/>
    <x v="13"/>
    <x v="10"/>
    <n v="81"/>
    <s v="Switchgrass ETJ (Integrated)"/>
    <n v="25"/>
    <n v="22"/>
  </r>
  <r>
    <x v="10"/>
    <x v="2"/>
    <x v="1"/>
    <x v="13"/>
    <x v="11"/>
    <n v="82"/>
    <s v="Switchgrass ETJ (Standalone)"/>
    <n v="35"/>
    <n v="32"/>
  </r>
  <r>
    <x v="15"/>
    <x v="0"/>
    <x v="1"/>
    <x v="9"/>
    <x v="0"/>
    <n v="83"/>
    <s v="Tallow HEFA"/>
    <n v="19"/>
    <n v="16"/>
  </r>
  <r>
    <x v="16"/>
    <x v="0"/>
    <x v="1"/>
    <x v="9"/>
    <x v="0"/>
    <n v="84"/>
    <s v="UCO HEFA"/>
    <n v="21"/>
    <n v="18"/>
  </r>
  <r>
    <x v="17"/>
    <x v="0"/>
    <x v="1"/>
    <x v="8"/>
    <x v="0"/>
    <n v="85"/>
    <s v="PFAD HEFA"/>
    <n v="20"/>
    <n v="17"/>
  </r>
  <r>
    <x v="18"/>
    <x v="1"/>
    <x v="1"/>
    <x v="9"/>
    <x v="0"/>
    <n v="86"/>
    <s v="Eucalyptus FT"/>
    <n v="10"/>
    <n v="7"/>
  </r>
  <r>
    <x v="18"/>
    <x v="1"/>
    <x v="1"/>
    <x v="11"/>
    <x v="0"/>
    <n v="87"/>
    <s v="Eucalyptus FT"/>
    <n v="10"/>
    <n v="7"/>
  </r>
  <r>
    <x v="19"/>
    <x v="1"/>
    <x v="1"/>
    <x v="9"/>
    <x v="0"/>
    <n v="88"/>
    <s v="MSW FT"/>
    <n v="11"/>
    <n v="8"/>
  </r>
  <r>
    <x v="20"/>
    <x v="2"/>
    <x v="1"/>
    <x v="12"/>
    <x v="0"/>
    <n v="89"/>
    <s v="Sugarcane ETJ"/>
    <n v="40"/>
    <n v="37"/>
  </r>
  <r>
    <x v="20"/>
    <x v="2"/>
    <x v="1"/>
    <x v="4"/>
    <x v="0"/>
    <n v="90"/>
    <s v="Sugarcane ETJ"/>
    <n v="40"/>
    <n v="37"/>
  </r>
  <r>
    <x v="20"/>
    <x v="2"/>
    <x v="1"/>
    <x v="14"/>
    <x v="0"/>
    <n v="91"/>
    <s v="Sugarcane ETJ"/>
    <n v="40"/>
    <n v="37"/>
  </r>
  <r>
    <x v="20"/>
    <x v="5"/>
    <x v="1"/>
    <x v="12"/>
    <x v="0"/>
    <n v="92"/>
    <s v="Sugarcane SIP"/>
    <n v="47"/>
    <n v="44"/>
  </r>
  <r>
    <x v="20"/>
    <x v="5"/>
    <x v="1"/>
    <x v="4"/>
    <x v="0"/>
    <n v="93"/>
    <s v="Sugarcane SIP"/>
    <n v="47"/>
    <n v="44"/>
  </r>
  <r>
    <x v="21"/>
    <x v="5"/>
    <x v="1"/>
    <x v="12"/>
    <x v="0"/>
    <n v="94"/>
    <s v="Sugarbeet SIP"/>
    <n v="48"/>
    <n v="45"/>
  </r>
  <r>
    <x v="20"/>
    <x v="6"/>
    <x v="1"/>
    <x v="12"/>
    <x v="0"/>
    <n v="95"/>
    <s v="Sugarcane ATJ"/>
    <n v="49"/>
    <n v="46"/>
  </r>
  <r>
    <x v="20"/>
    <x v="6"/>
    <x v="1"/>
    <x v="4"/>
    <x v="0"/>
    <n v="96"/>
    <s v="Sugarcane ATJ"/>
    <n v="49"/>
    <n v="46"/>
  </r>
  <r>
    <x v="20"/>
    <x v="6"/>
    <x v="1"/>
    <x v="14"/>
    <x v="0"/>
    <n v="97"/>
    <s v="Sugarcane ATJ"/>
    <n v="49"/>
    <n v="46"/>
  </r>
  <r>
    <x v="12"/>
    <x v="6"/>
    <x v="1"/>
    <x v="12"/>
    <x v="0"/>
    <n v="98"/>
    <s v="Agricultural Residue ATJ"/>
    <n v="50"/>
    <n v="47"/>
  </r>
  <r>
    <x v="12"/>
    <x v="6"/>
    <x v="1"/>
    <x v="4"/>
    <x v="0"/>
    <n v="99"/>
    <s v="Agricultural Residue ATJ"/>
    <n v="50"/>
    <n v="47"/>
  </r>
  <r>
    <x v="7"/>
    <x v="6"/>
    <x v="1"/>
    <x v="12"/>
    <x v="0"/>
    <n v="100"/>
    <s v="Forest Residue ATJ"/>
    <n v="51"/>
    <n v="48"/>
  </r>
  <r>
    <x v="7"/>
    <x v="6"/>
    <x v="1"/>
    <x v="4"/>
    <x v="0"/>
    <n v="101"/>
    <s v="Forest Residue ATJ"/>
    <n v="51"/>
    <n v="48"/>
  </r>
  <r>
    <x v="13"/>
    <x v="6"/>
    <x v="1"/>
    <x v="12"/>
    <x v="0"/>
    <n v="102"/>
    <s v="Corn Grain ATJ"/>
    <n v="52"/>
    <n v="49"/>
  </r>
  <r>
    <x v="10"/>
    <x v="6"/>
    <x v="1"/>
    <x v="12"/>
    <x v="0"/>
    <n v="103"/>
    <s v="Switchgrass ATJ"/>
    <n v="53"/>
    <n v="50"/>
  </r>
  <r>
    <x v="11"/>
    <x v="6"/>
    <x v="1"/>
    <x v="9"/>
    <x v="0"/>
    <n v="104"/>
    <s v="Miscanthus ATJ"/>
    <n v="54"/>
    <n v="51"/>
  </r>
  <r>
    <x v="15"/>
    <x v="0"/>
    <x v="0"/>
    <x v="0"/>
    <x v="0"/>
    <n v="105"/>
    <s v="Tallow HEFA"/>
    <n v="19"/>
    <n v="16"/>
  </r>
  <r>
    <x v="16"/>
    <x v="0"/>
    <x v="0"/>
    <x v="0"/>
    <x v="0"/>
    <n v="106"/>
    <s v="UCO HEFA"/>
    <n v="21"/>
    <n v="18"/>
  </r>
  <r>
    <x v="17"/>
    <x v="0"/>
    <x v="0"/>
    <x v="0"/>
    <x v="0"/>
    <n v="107"/>
    <s v="PFAD HEFA"/>
    <n v="20"/>
    <n v="17"/>
  </r>
  <r>
    <x v="15"/>
    <x v="0"/>
    <x v="1"/>
    <x v="11"/>
    <x v="0"/>
    <n v="108"/>
    <s v="Tallow HEFA"/>
    <n v="19"/>
    <n v="16"/>
  </r>
  <r>
    <x v="16"/>
    <x v="0"/>
    <x v="1"/>
    <x v="11"/>
    <x v="0"/>
    <n v="109"/>
    <s v="UCO HEFA"/>
    <n v="21"/>
    <n v="18"/>
  </r>
  <r>
    <x v="3"/>
    <x v="0"/>
    <x v="1"/>
    <x v="1"/>
    <x v="12"/>
    <n v="110"/>
    <s v="Jatropha Oil HEFA"/>
    <n v="15"/>
    <n v="12"/>
  </r>
  <r>
    <x v="3"/>
    <x v="0"/>
    <x v="1"/>
    <x v="1"/>
    <x v="13"/>
    <n v="111"/>
    <s v="Jatropha Oil HEFA"/>
    <n v="15"/>
    <n v="12"/>
  </r>
  <r>
    <x v="3"/>
    <x v="0"/>
    <x v="1"/>
    <x v="1"/>
    <x v="14"/>
    <n v="112"/>
    <s v="Jatropha Oil HEFA"/>
    <n v="15"/>
    <n v="12"/>
  </r>
  <r>
    <x v="13"/>
    <x v="6"/>
    <x v="1"/>
    <x v="4"/>
    <x v="0"/>
    <n v="113"/>
    <s v="Corn Grain ATJ"/>
    <n v="52"/>
    <n v="49"/>
  </r>
  <r>
    <x v="22"/>
    <x v="6"/>
    <x v="1"/>
    <x v="9"/>
    <x v="0"/>
    <n v="114"/>
    <s v="Molasses ATJ"/>
    <n v="55"/>
    <n v="52"/>
  </r>
  <r>
    <x v="13"/>
    <x v="2"/>
    <x v="1"/>
    <x v="4"/>
    <x v="0"/>
    <n v="115"/>
    <s v="Corn ETJ (Integrated)"/>
    <n v="22"/>
    <n v="19"/>
  </r>
  <r>
    <x v="23"/>
    <x v="2"/>
    <x v="1"/>
    <x v="13"/>
    <x v="10"/>
    <n v="116"/>
    <s v="Waste gases ETJ (Integrated)"/>
    <n v="56"/>
    <n v="53"/>
  </r>
  <r>
    <x v="23"/>
    <x v="2"/>
    <x v="1"/>
    <x v="13"/>
    <x v="11"/>
    <n v="117"/>
    <s v="Waste gases ETJ (Standalone)"/>
    <n v="57"/>
    <n v="54"/>
  </r>
  <r>
    <x v="20"/>
    <x v="2"/>
    <x v="0"/>
    <x v="0"/>
    <x v="0"/>
    <n v="118"/>
    <s v="Sugarcane ETJ (Standalone)"/>
    <n v="58"/>
    <n v="5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s v="Feedstock"/>
    <s v="UCO HEFA"/>
    <x v="0"/>
    <n v="6.449934927210669"/>
    <s v="GHGs"/>
  </r>
  <r>
    <s v="Fuel"/>
    <s v="UCO HEFA"/>
    <x v="0"/>
    <n v="10.911320090915497"/>
    <s v="GHGs"/>
  </r>
  <r>
    <s v="Combustion"/>
    <s v="UCO HEFA"/>
    <x v="0"/>
    <n v="4.0598063786682376E-2"/>
    <s v="GHGs"/>
  </r>
  <r>
    <s v="D-LCA"/>
    <s v="UCO HEFA"/>
    <x v="0"/>
    <n v="17.401853081912847"/>
    <s v="GHGs"/>
  </r>
  <r>
    <s v="I-Effects"/>
    <s v="UCO HEFA"/>
    <x v="0"/>
    <s v=""/>
    <s v="GHGs"/>
  </r>
  <r>
    <s v="Total LCA Results"/>
    <s v="UCO HEFA"/>
    <x v="0"/>
    <n v="17.401853081912847"/>
    <s v="GHG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3B0404-C897-42A7-BED8-0738D4449BBD}" name="PivotTable_Input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 firstHeaderRow="0" firstDataRow="0" firstDataCol="0" rowPageCount="3" colPageCount="1"/>
  <pivotFields count="9">
    <pivotField name="Feedstock" axis="axisPage" showAll="0">
      <items count="38">
        <item x="7"/>
        <item x="8"/>
        <item x="9"/>
        <item x="10"/>
        <item x="11"/>
        <item x="12"/>
        <item x="0"/>
        <item x="1"/>
        <item m="1" x="26"/>
        <item x="3"/>
        <item x="4"/>
        <item m="1" x="28"/>
        <item x="13"/>
        <item m="1" x="31"/>
        <item m="1" x="25"/>
        <item m="1" x="27"/>
        <item m="1" x="29"/>
        <item x="5"/>
        <item m="1" x="32"/>
        <item m="1" x="36"/>
        <item m="1" x="33"/>
        <item m="1" x="34"/>
        <item x="6"/>
        <item x="17"/>
        <item x="18"/>
        <item m="1" x="30"/>
        <item m="1" x="35"/>
        <item x="20"/>
        <item x="21"/>
        <item x="22"/>
        <item x="15"/>
        <item x="16"/>
        <item x="19"/>
        <item x="2"/>
        <item x="23"/>
        <item m="1" x="24"/>
        <item x="14"/>
        <item t="default"/>
      </items>
    </pivotField>
    <pivotField name="Conversion" axis="axisPage" multipleItemSelectionAllowed="1" showAll="0">
      <items count="13">
        <item h="1" x="1"/>
        <item h="1" m="1" x="7"/>
        <item x="0"/>
        <item h="1" m="1" x="11"/>
        <item h="1" m="1" x="9"/>
        <item h="1" m="1" x="10"/>
        <item h="1" x="3"/>
        <item h="1" x="4"/>
        <item h="1" x="5"/>
        <item h="1" x="6"/>
        <item h="1" m="1" x="8"/>
        <item h="1" x="2"/>
        <item t="default"/>
      </items>
    </pivotField>
    <pivotField name="Data Source" axis="axisPage" multipleItemSelectionAllowed="1" showAll="0">
      <items count="4">
        <item x="0"/>
        <item h="1" m="1" x="2"/>
        <item h="1" x="1"/>
        <item t="default"/>
      </items>
    </pivotField>
    <pivotField multipleItemSelectionAllowed="1" showAll="0"/>
    <pivotField multipleItemSelectionAllowed="1" showAll="0"/>
    <pivotField showAll="0"/>
    <pivotField showAll="0"/>
    <pivotField showAll="0"/>
    <pivotField showAll="0"/>
  </pivotFields>
  <pageFields count="3">
    <pageField fld="0" item="33" hier="-1"/>
    <pageField fld="1"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61E7555-9BE0-4492-B65A-FB8E1612B284}" name="Pivot_Graph"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3" firstHeaderRow="0" firstDataRow="0" firstDataCol="0" rowPageCount="1" colPageCount="1"/>
  <pivotFields count="5">
    <pivotField showAll="0"/>
    <pivotField showAll="0"/>
    <pivotField axis="axisPage" showAll="0">
      <items count="6">
        <item m="1" x="1"/>
        <item m="1" x="2"/>
        <item m="1" x="3"/>
        <item x="0"/>
        <item m="1" x="4"/>
        <item t="default"/>
      </items>
    </pivotField>
    <pivotField showAll="0"/>
    <pivotField showAll="0"/>
  </pivotFields>
  <pageFields count="1">
    <pageField fld="2" item="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D7B3594-A9F6-4B73-8FCB-F4176F6CEB0E}" name="PivotTable_Input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7" firstHeaderRow="0" firstDataRow="0" firstDataCol="0" rowPageCount="5" colPageCount="1"/>
  <pivotFields count="9">
    <pivotField name="Feedstock" axis="axisPage" showAll="0">
      <items count="38">
        <item x="7"/>
        <item x="8"/>
        <item x="9"/>
        <item x="10"/>
        <item x="11"/>
        <item x="12"/>
        <item x="0"/>
        <item x="1"/>
        <item m="1" x="26"/>
        <item x="3"/>
        <item x="4"/>
        <item m="1" x="28"/>
        <item x="13"/>
        <item m="1" x="31"/>
        <item m="1" x="25"/>
        <item m="1" x="27"/>
        <item m="1" x="29"/>
        <item x="5"/>
        <item m="1" x="32"/>
        <item m="1" x="36"/>
        <item m="1" x="33"/>
        <item m="1" x="34"/>
        <item x="6"/>
        <item x="17"/>
        <item x="18"/>
        <item m="1" x="30"/>
        <item m="1" x="35"/>
        <item x="20"/>
        <item x="21"/>
        <item x="22"/>
        <item x="15"/>
        <item x="16"/>
        <item x="19"/>
        <item x="2"/>
        <item x="23"/>
        <item m="1" x="24"/>
        <item x="14"/>
        <item t="default"/>
      </items>
    </pivotField>
    <pivotField axis="axisPage" multipleItemSelectionAllowed="1" showAll="0">
      <items count="13">
        <item h="1" x="1"/>
        <item h="1" m="1" x="7"/>
        <item x="0"/>
        <item h="1" m="1" x="11"/>
        <item h="1" m="1" x="9"/>
        <item h="1" m="1" x="10"/>
        <item h="1" x="3"/>
        <item h="1" x="4"/>
        <item h="1" x="5"/>
        <item h="1" x="6"/>
        <item h="1" m="1" x="8"/>
        <item h="1" x="2"/>
        <item t="default"/>
      </items>
    </pivotField>
    <pivotField axis="axisPage" multipleItemSelectionAllowed="1" showAll="0">
      <items count="4">
        <item x="0"/>
        <item h="1" m="1" x="2"/>
        <item h="1" x="1"/>
        <item t="default"/>
      </items>
    </pivotField>
    <pivotField axis="axisPage" multipleItemSelectionAllowed="1" showAll="0">
      <items count="27">
        <item h="1" x="6"/>
        <item h="1" m="1" x="19"/>
        <item h="1" m="1" x="24"/>
        <item h="1" m="1" x="20"/>
        <item h="1" x="2"/>
        <item h="1" m="1" x="21"/>
        <item h="1" m="1" x="17"/>
        <item h="1" x="5"/>
        <item x="0"/>
        <item h="1" x="4"/>
        <item h="1" x="3"/>
        <item h="1" x="12"/>
        <item h="1" m="1" x="22"/>
        <item h="1" m="1" x="18"/>
        <item h="1" x="14"/>
        <item h="1" m="1" x="16"/>
        <item h="1" m="1" x="25"/>
        <item h="1" m="1" x="23"/>
        <item h="1" x="9"/>
        <item h="1" x="11"/>
        <item h="1" x="10"/>
        <item h="1" x="8"/>
        <item h="1" x="1"/>
        <item h="1" x="7"/>
        <item h="1" x="13"/>
        <item h="1" m="1" x="15"/>
        <item t="default"/>
      </items>
    </pivotField>
    <pivotField axis="axisPage" multipleItemSelectionAllowed="1" showAll="0">
      <items count="44">
        <item x="0"/>
        <item h="1" x="1"/>
        <item h="1" m="1" x="16"/>
        <item h="1" m="1" x="18"/>
        <item h="1" m="1" x="17"/>
        <item h="1" m="1" x="24"/>
        <item h="1" m="1" x="19"/>
        <item h="1" m="1" x="25"/>
        <item h="1" m="1" x="23"/>
        <item h="1" x="2"/>
        <item h="1" m="1" x="21"/>
        <item h="1" m="1" x="26"/>
        <item h="1" x="11"/>
        <item h="1" m="1" x="22"/>
        <item h="1" m="1" x="20"/>
        <item h="1" x="3"/>
        <item h="1" m="1" x="35"/>
        <item h="1" m="1" x="39"/>
        <item h="1" m="1" x="27"/>
        <item h="1" m="1" x="41"/>
        <item h="1" m="1" x="34"/>
        <item h="1" m="1" x="38"/>
        <item h="1" m="1" x="31"/>
        <item h="1" m="1" x="28"/>
        <item h="1" m="1" x="36"/>
        <item h="1" m="1" x="33"/>
        <item h="1" m="1" x="42"/>
        <item h="1" m="1" x="30"/>
        <item h="1" m="1" x="29"/>
        <item h="1" m="1" x="40"/>
        <item h="1" m="1" x="37"/>
        <item h="1" m="1" x="32"/>
        <item h="1" x="8"/>
        <item h="1" x="9"/>
        <item h="1" x="12"/>
        <item h="1" x="13"/>
        <item h="1" x="14"/>
        <item h="1" x="10"/>
        <item h="1" m="1" x="15"/>
        <item h="1" x="4"/>
        <item h="1" x="5"/>
        <item h="1" x="6"/>
        <item h="1" x="7"/>
        <item t="default"/>
      </items>
    </pivotField>
    <pivotField showAll="0"/>
    <pivotField showAll="0"/>
    <pivotField showAll="0"/>
    <pivotField showAll="0"/>
  </pivotFields>
  <pageFields count="5">
    <pageField fld="0" item="33" hier="-1"/>
    <pageField fld="1" hier="-1"/>
    <pageField fld="2" hier="-1"/>
    <pageField fld="3" hier="-1"/>
    <pageField fld="4"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version" xr10:uid="{09DB1EA1-DD7B-48CE-854E-792B5A53D1CD}" sourceName="Conversion">
  <pivotTables>
    <pivotTable tabId="8" name="PivotTable_Inputs"/>
    <pivotTable tabId="8" name="PivotTable_Input2"/>
  </pivotTables>
  <data>
    <tabular pivotCacheId="63717521" showMissing="0">
      <items count="12">
        <i x="0" s="1"/>
        <i x="2" nd="1"/>
        <i x="3" nd="1"/>
        <i x="4" nd="1"/>
        <i x="1" nd="1"/>
        <i x="6" nd="1"/>
        <i x="5" nd="1"/>
        <i x="10" nd="1"/>
        <i x="7" nd="1"/>
        <i x="9" nd="1"/>
        <i x="11" nd="1"/>
        <i x="8"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edstock" xr10:uid="{0A4D076D-2887-4FD1-BDCA-DD4D131DDB2C}" sourceName="Feedstock">
  <pivotTables>
    <pivotTable tabId="8" name="PivotTable_Inputs"/>
    <pivotTable tabId="8" name="PivotTable_Input2"/>
  </pivotTables>
  <data>
    <tabular pivotCacheId="63717521" showMissing="0" crossFilter="none">
      <items count="37">
        <i x="4"/>
        <i x="2" s="1"/>
        <i x="5"/>
        <i x="13"/>
        <i x="6"/>
        <i x="12"/>
        <i x="18"/>
        <i x="7"/>
        <i x="3"/>
        <i x="11"/>
        <i x="22"/>
        <i x="19"/>
        <i x="1"/>
        <i x="17"/>
        <i x="9"/>
        <i x="14"/>
        <i x="0"/>
        <i x="21"/>
        <i x="20"/>
        <i x="10"/>
        <i x="15"/>
        <i x="16"/>
        <i x="23"/>
        <i x="8"/>
        <i x="28"/>
        <i x="26"/>
        <i x="31"/>
        <i x="34"/>
        <i x="27"/>
        <i x="25"/>
        <i x="36"/>
        <i x="33"/>
        <i x="35"/>
        <i x="32"/>
        <i x="29"/>
        <i x="30"/>
        <i x="24"/>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Source" xr10:uid="{31129515-AE6D-47DA-AAB8-43AD35F3B11B}" sourceName="Data Source">
  <pivotTables>
    <pivotTable tabId="8" name="PivotTable_Inputs"/>
    <pivotTable tabId="8" name="PivotTable_Input2"/>
  </pivotTables>
  <data>
    <tabular pivotCacheId="63717521" showMissing="0">
      <items count="3">
        <i x="0" s="1"/>
        <i x="1"/>
        <i x="2"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Set" xr10:uid="{12F57EA7-CECE-4914-96F2-454A1CCFD602}" sourceName="Data Set">
  <pivotTables>
    <pivotTable tabId="8" name="PivotTable_Input2"/>
  </pivotTables>
  <data>
    <tabular pivotCacheId="63717521">
      <items count="26">
        <i x="0" s="1"/>
        <i x="6" nd="1"/>
        <i x="8" nd="1"/>
        <i x="16" nd="1"/>
        <i x="19" nd="1"/>
        <i x="24" nd="1"/>
        <i x="20" nd="1"/>
        <i x="2" nd="1"/>
        <i x="21" nd="1"/>
        <i x="17" nd="1"/>
        <i x="13" nd="1"/>
        <i x="14" nd="1"/>
        <i x="5" nd="1"/>
        <i x="25" nd="1"/>
        <i x="4" nd="1"/>
        <i x="11" nd="1"/>
        <i x="10" nd="1"/>
        <i x="3" nd="1"/>
        <i x="12" nd="1"/>
        <i x="9" nd="1"/>
        <i x="23" nd="1"/>
        <i x="22" nd="1"/>
        <i x="18" nd="1"/>
        <i x="1" nd="1"/>
        <i x="7" nd="1"/>
        <i x="15"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chnology" xr10:uid="{F85F0413-97A0-48E4-ABE0-B96A7DA1A783}" sourceName="Technology">
  <pivotTables>
    <pivotTable tabId="8" name="PivotTable_Input2"/>
  </pivotTables>
  <data>
    <tabular pivotCacheId="63717521">
      <items count="43">
        <i x="0" s="1"/>
        <i x="35" nd="1"/>
        <i x="37" nd="1"/>
        <i x="33" nd="1"/>
        <i x="36" nd="1"/>
        <i x="28" nd="1"/>
        <i x="39" nd="1"/>
        <i x="1" nd="1"/>
        <i x="8" nd="1"/>
        <i x="38" nd="1"/>
        <i x="30" nd="1"/>
        <i x="3" nd="1"/>
        <i x="16" nd="1"/>
        <i x="18" nd="1"/>
        <i x="6" nd="1"/>
        <i x="17" nd="1"/>
        <i x="5" nd="1"/>
        <i x="24" nd="1"/>
        <i x="19" nd="1"/>
        <i x="7" nd="1"/>
        <i x="32" nd="1"/>
        <i x="25" nd="1"/>
        <i x="34" nd="1"/>
        <i x="10" nd="1"/>
        <i x="41" nd="1"/>
        <i x="27" nd="1"/>
        <i x="23" nd="1"/>
        <i x="42" nd="1"/>
        <i x="40" nd="1"/>
        <i x="2" nd="1"/>
        <i x="9" nd="1"/>
        <i x="31" nd="1"/>
        <i x="21" nd="1"/>
        <i x="12" nd="1"/>
        <i x="13" nd="1"/>
        <i x="14" nd="1"/>
        <i x="29" nd="1"/>
        <i x="26" nd="1"/>
        <i x="11" nd="1"/>
        <i x="4" nd="1"/>
        <i x="22" nd="1"/>
        <i x="20" nd="1"/>
        <i x="15"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version" xr10:uid="{172A52E5-D116-4497-839A-CAA988DC47AB}" cache="Slicer_Conversion" caption="Choose One Conversion" rowHeight="241300"/>
  <slicer name="Feedstock" xr10:uid="{0E90E97F-3D03-4E20-903F-4128B60EFE68}" cache="Slicer_Feedstock" caption="Choose One Feedstock" startItem="10" columnCount="2" rowHeight="241300"/>
  <slicer name="Data Source 1" xr10:uid="{EA1E2229-CA2D-443E-9B75-B660E658EF89}" cache="Slicer_Data_Source" caption="Choose One Data Source" startItem="2" rowHeight="241300"/>
  <slicer name="Data Set" xr10:uid="{08B78FE4-878F-4104-B605-D09514E445DB}" cache="Slicer_Data_Set" caption="Choose One Data Set" rowHeight="241300"/>
  <slicer name="Technology" xr10:uid="{B1ACB809-BCC2-4CAF-AE15-C1B594B11277}" cache="Slicer_Technology" caption="Pathway Options" rowHeight="2743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83EA8B-76D7-4856-BB19-96343A32AAAA}" name="DashResultsTable" displayName="DashResultsTable" ref="Q23:R34" headerRowDxfId="1603" totalsRowDxfId="1601" headerRowBorderDxfId="1602" totalsRowBorderDxfId="1600">
  <tableColumns count="2">
    <tableColumn id="1" xr3:uid="{E45E183D-B915-4491-A521-AD8E08F2A2C0}" name="Life Cycle Stage" dataDxfId="1599" totalsRowDxfId="1598"/>
    <tableColumn id="4" xr3:uid="{236C316B-BF7A-4A80-A163-B60437FC5F20}" name="Value (g CO2e/MJ)" dataDxfId="1597"/>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D327F9F-BFC8-43DC-A363-16CE1A1ED288}" name="Transport_Table" displayName="Transport_Table" ref="A1:U882" totalsRowShown="0" headerRowDxfId="1569" dataDxfId="1568">
  <autoFilter ref="A1:U882" xr:uid="{BD327F9F-BFC8-43DC-A363-16CE1A1ED288}"/>
  <tableColumns count="21">
    <tableColumn id="1" xr3:uid="{5C82DB84-99F6-4438-B622-56275E1725C2}" name="Feedstock" dataDxfId="1567" dataCellStyle="Input"/>
    <tableColumn id="2" xr3:uid="{5C5F8354-4F3F-4A8D-B5E0-0EA6DCC81E4D}" name="Conversion" dataDxfId="1566" dataCellStyle="Input"/>
    <tableColumn id="3" xr3:uid="{8CA8B2D8-2D86-4705-AA08-E70DFB869E77}" name="Data Source" dataDxfId="1565" dataCellStyle="Input"/>
    <tableColumn id="20" xr3:uid="{201C8D50-F7BF-4FE7-83AA-5DCD9CC7919B}" name="Data Set" dataDxfId="1564" dataCellStyle="Input"/>
    <tableColumn id="21" xr3:uid="{202A7825-ED07-4029-82CF-F6FB641A346A}" name="Technology" dataDxfId="1563" dataCellStyle="Input"/>
    <tableColumn id="5" xr3:uid="{5874AE85-2249-4C36-A709-EC880ABF0AE2}" name="Show Feedstock" dataDxfId="1562">
      <calculatedColumnFormula>OR(Transport_Table[[#This Row],[Feedstock]]="All",Transport_Table[[#This Row],[Feedstock]]=SelectedFeedstock)</calculatedColumnFormula>
    </tableColumn>
    <tableColumn id="6" xr3:uid="{5F013658-74F4-43AA-B553-AE6A2302AEB2}" name="Show Conversion" dataDxfId="1561">
      <calculatedColumnFormula>OR(Transport_Table[[#This Row],[Conversion]]="All",Transport_Table[[#This Row],[Conversion]]=SelectedConversion)</calculatedColumnFormula>
    </tableColumn>
    <tableColumn id="7" xr3:uid="{0BA9580E-BD92-41DF-BBA4-A72F8A1C1F7F}" name="Show Option" dataDxfId="1560">
      <calculatedColumnFormula>OR(Transport_Table[[#This Row],[Data Set]]="All",Transport_Table[[#This Row],[Data Set]]=SelectedDataSet)</calculatedColumnFormula>
    </tableColumn>
    <tableColumn id="22" xr3:uid="{C78EF478-55DF-402A-85C1-1D799F7BE92B}" name="Show Technology" dataDxfId="1559">
      <calculatedColumnFormula>OR(Transport_Table[[#This Row],[Technology]]="All",Transport_Table[[#This Row],[Technology]]=SelectedTechnology)</calculatedColumnFormula>
    </tableColumn>
    <tableColumn id="8" xr3:uid="{CF7198C9-50D0-4687-BF15-D57C8D2F569B}" name="Show Data Source" dataDxfId="1558">
      <calculatedColumnFormula>OR(Transport_Table[[#This Row],[Data Source]]="All",Transport_Table[[#This Row],[Data Source]]=SelectedDataSource)</calculatedColumnFormula>
    </tableColumn>
    <tableColumn id="24" xr3:uid="{9F8F162D-5DD7-431A-BC69-08D2DF69CC1B}" name="Hide Column" dataDxfId="1557"/>
    <tableColumn id="9" xr3:uid="{61C2B298-EE83-41A3-A450-48E75B2A054D}" name="IsVisible" dataDxfId="1556">
      <calculatedColumnFormula>AND(Transport_Table[[#This Row],[Show Feedstock]:[Show Data Source]],NOT(Transport_Table[[#This Row],[Hide Column]]))</calculatedColumnFormula>
    </tableColumn>
    <tableColumn id="10" xr3:uid="{A4193B1A-2BD8-4C11-9B4E-75028248B15F}" name="Process Name" dataDxfId="1555"/>
    <tableColumn id="17" xr3:uid="{5005CD5C-8C74-49D9-B3CB-53EF686C1C73}" name="GREET1 Name Range, Share" dataDxfId="1554"/>
    <tableColumn id="18" xr3:uid="{83C2C5A6-2F38-46A0-9346-034978A49037}" name="GREET1 Name Range, Distance" dataDxfId="1553"/>
    <tableColumn id="34" xr3:uid="{659916D5-5A6E-42A1-9DD5-017D0F6105DD}" name="Item" dataDxfId="1552"/>
    <tableColumn id="33" xr3:uid="{4F3E875A-CD7C-4DD0-9E7F-9AAA79861AAD}" name="Transportation Type" dataDxfId="1551"/>
    <tableColumn id="28" xr3:uid="{67D05997-F6E1-420F-8098-650978125C11}" name="Default Share" dataDxfId="1550" dataCellStyle="Percent"/>
    <tableColumn id="29" xr3:uid="{A4DE1472-8A7D-43A9-BE50-9EA0EEA9A5D6}" name="Default Distance" dataDxfId="1549"/>
    <tableColumn id="4" xr3:uid="{2A815A03-9F1C-41E9-819F-8E2486640965}" name="Notes" dataDxfId="1548"/>
    <tableColumn id="32" xr3:uid="{920A024D-DBBF-4B38-98AA-00016CCAA516}" name="Notes for user" dataDxfId="154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46D6283-41DF-4CD8-8E00-8D8B3E805D95}" name="Pathways_Table" displayName="Pathways_Table" ref="A1:I119" totalsRowShown="0" headerRowDxfId="1519" dataDxfId="1518">
  <autoFilter ref="A1:I119" xr:uid="{246D6283-41DF-4CD8-8E00-8D8B3E805D95}"/>
  <tableColumns count="9">
    <tableColumn id="1" xr3:uid="{B8D9299F-9E0B-45EC-A8B3-942ED2C6F9CE}" name="Feedstock" dataDxfId="1517"/>
    <tableColumn id="2" xr3:uid="{F6FECC57-FF91-4816-A8D6-0E780A5C4391}" name="Conversion" dataDxfId="1516"/>
    <tableColumn id="3" xr3:uid="{564E3845-9FFF-4F95-BB86-EC368E90AFA4}" name="Data Source" dataDxfId="1515"/>
    <tableColumn id="4" xr3:uid="{05549EEB-A80F-4AC5-AA7F-9B85242637A2}" name="Data Set" dataDxfId="1514"/>
    <tableColumn id="7" xr3:uid="{073D3202-76FB-42F9-B594-3746BB1E91A4}" name="Technology" dataDxfId="1513"/>
    <tableColumn id="6" xr3:uid="{BC8D6004-22C1-4A21-9551-7B0CDCCF2B93}" name="PathID" dataDxfId="1512">
      <calculatedColumnFormula>ROW(Pathways_Table[[#This Row],[PathID]])-1</calculatedColumnFormula>
    </tableColumn>
    <tableColumn id="5" xr3:uid="{0A835C04-916B-44B9-950D-41FD536E8BE1}" name="Pathway Name" dataDxfId="1511"/>
    <tableColumn id="8" xr3:uid="{E865080E-33E6-4CF8-91F6-C46DC650E46F}" name="Pathway Column" dataDxfId="1510">
      <calculatedColumnFormula>MATCH(Pathways_Table[[#This Row],[Pathway Name]],'Results'!$1:$1,0)</calculatedColumnFormula>
    </tableColumn>
    <tableColumn id="10" xr3:uid="{D59F2D56-C64C-4E32-BCAC-504CACE28875}" name="Column1" dataDxfId="1509">
      <calculatedColumnFormula>MATCH(Pathways_Table[[#This Row],[Pathway Name]],Results[[#Headers],[Willow FT]:[Sugarcane ATJ-E (Standalone)]],0)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4646371-6C40-44EB-AFFA-1D09D2B0CBD6}" name="SelectionsTable" displayName="SelectionsTable" ref="A1:X123" totalsRowShown="0" headerRowDxfId="1499" dataDxfId="1497" headerRowBorderDxfId="1498" tableBorderDxfId="1496">
  <autoFilter ref="A1:X123" xr:uid="{34646371-6C40-44EB-AFFA-1D09D2B0CBD6}"/>
  <tableColumns count="24">
    <tableColumn id="15" xr3:uid="{A0FC4EFF-A489-4F8F-BE79-29151D1C4E31}" name="ID" dataDxfId="1495">
      <calculatedColumnFormula>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calculatedColumnFormula>
    </tableColumn>
    <tableColumn id="1" xr3:uid="{7CA56B1A-5A37-46D9-8C0A-1EF79DF7EE1A}" name="Feedstock" dataDxfId="1494" dataCellStyle="Normal 2"/>
    <tableColumn id="2" xr3:uid="{4FAD2371-54FB-4D86-9F92-A9EE6004A7E8}" name="Conversion" dataDxfId="1493" dataCellStyle="Normal 2"/>
    <tableColumn id="3" xr3:uid="{D42CEFF6-3D77-4497-ABEA-905978763E67}" name="Data Set" dataDxfId="1492" dataCellStyle="Normal 2"/>
    <tableColumn id="4" xr3:uid="{282C3237-5902-4350-B8F4-E60CA7DB4317}" name="Data Source" dataDxfId="1491" dataCellStyle="Input"/>
    <tableColumn id="5" xr3:uid="{E61066D5-0D82-47C4-90FB-5FA4B38011D5}" name="Technology" dataDxfId="1490" dataCellStyle="Input"/>
    <tableColumn id="6" xr3:uid="{BBFEB4C2-C4EA-4D24-BEE1-1B65EEA3EA6D}" name="Show Feedstock" dataDxfId="1489" dataCellStyle="Normal 2">
      <calculatedColumnFormula array="1">OR(NOT(ISERROR(MATCH(TRIM(_xlfn.TEXTSPLIT(SelectionsTable[[#This Row],[Feedstock]],",")),SelectedFeedstock,0))),AND(SelectedFeedstock&lt;&gt;"(Multiple Items)",SelectedFeedstock&lt;&gt;"(All)",SelectionsTable[[#This Row],[Feedstock]]="All"))</calculatedColumnFormula>
    </tableColumn>
    <tableColumn id="7" xr3:uid="{7B76798B-D3B1-4444-8227-61DEEDEEF03B}" name="Show Conversion" dataDxfId="1488" dataCellStyle="Normal 2">
      <calculatedColumnFormula>OR(SelectionsTable[[#This Row],[Conversion]]=SelectedConversion,AND(SelectedConversion&lt;&gt;"(Multiple Items)",SelectedConversion&lt;&gt;"(All)",SelectionsTable[[#This Row],[Conversion]]="All"))</calculatedColumnFormula>
    </tableColumn>
    <tableColumn id="8" xr3:uid="{2D445979-BBF5-4184-9BF0-EB791756CC02}" name="Show Data Set" dataDxfId="1487" dataCellStyle="Normal 2">
      <calculatedColumnFormula>OR(SelectionsTable[[#This Row],[Data Set]]=SelectedDataSet,AND(SelectedDataSet&lt;&gt;"(Multiple Items)",SelectedDataSet&lt;&gt;"(All)",SelectionsTable[[#This Row],[Data Set]]="All"))</calculatedColumnFormula>
    </tableColumn>
    <tableColumn id="9" xr3:uid="{0EDC1E7A-FE84-40F6-823F-A300AA7F3965}" name="Show Technology" dataDxfId="1486" dataCellStyle="Normal 2">
      <calculatedColumnFormula>OR(SelectionsTable[[#This Row],[Technology]]=SelectedTechnology,AND(SelectedTechnology&lt;&gt;"(Multiple Items)",SelectedTechnology&lt;&gt;"(All)",SelectionsTable[[#This Row],[Technology]]="All"))</calculatedColumnFormula>
    </tableColumn>
    <tableColumn id="10" xr3:uid="{B1D2A45A-8A56-4FA7-8BB9-FA1013DF902E}" name="Show Data Source" dataDxfId="1485" dataCellStyle="Normal 2">
      <calculatedColumnFormula>OR(SelectionsTable[[#This Row],[Data Source]]=SelectedDataSource,AND(SelectedDataSource&lt;&gt;"(Multiple Items)",SelectedDataSource&lt;&gt;"(All)",SelectionsTable[[#This Row],[Data Source]]="All"))</calculatedColumnFormula>
    </tableColumn>
    <tableColumn id="17" xr3:uid="{10E61AA2-FD84-49CE-8270-4463ACE23E9A}" name="Conditional to Show" dataDxfId="1484" dataCellStyle="Normal 2"/>
    <tableColumn id="12" xr3:uid="{F477373A-39A2-4A7E-B706-3ED86D2F74EB}" name="Send to GREET1" dataDxfId="1483" dataCellStyle="Normal 2">
      <calculatedColumnFormula>SelectionsTable[[#This Row],[GREET1 Location]]&lt;&gt;""</calculatedColumnFormula>
    </tableColumn>
    <tableColumn id="24" xr3:uid="{5442BD9B-0756-4726-994D-B6051554A787}" name="Display on Dashboard" dataDxfId="1482" dataCellStyle="Normal 2">
      <calculatedColumnFormula>AND(SelectionsTable[[#This Row],[Show Feedstock]:[Conditional to Show]])</calculatedColumnFormula>
    </tableColumn>
    <tableColumn id="16" xr3:uid="{5033A0E6-B6E5-4863-8E5F-3CA045C0AF3C}" name="GREET1 Location" dataDxfId="1481" dataCellStyle="Normal 2"/>
    <tableColumn id="14" xr3:uid="{F215C4DA-DD8F-40E5-A304-2C71F37AB04C}" name="Input Category" dataDxfId="1480" dataCellStyle="Normal 2"/>
    <tableColumn id="18" xr3:uid="{B51D2F96-0683-4E8F-8929-28A16B0AF5F5}" name="Input Name" dataDxfId="1479" dataCellStyle="Normal 2"/>
    <tableColumn id="19" xr3:uid="{4EE868A0-B63F-4E1B-9417-F4528C6407B7}" name="Input Value" dataDxfId="1478" dataCellStyle="Normal 2">
      <calculatedColumnFormula array="1">IF(AND(NOT(RefreshDefaults),NOT(SelectionsResetting)),VALUE(IFERROR(INDEX(Selection_UD, MATCH(SelectionsTable[[#This Row],[ID]], Selection_ID, 0)),SelectionsTable[[#This Row],[Default Value]])),VALUE(SelectionsTable[[#This Row],[Default Value]]))</calculatedColumnFormula>
    </tableColumn>
    <tableColumn id="20" xr3:uid="{A056D4D8-8653-46D2-A72C-896A38656ABD}" name="Default Value" dataDxfId="1477" dataCellStyle="Normal 2"/>
    <tableColumn id="23" xr3:uid="{15DB5D27-37BA-4C97-A060-C9F7A3ED5539}" name="Calculated Value" dataDxfId="1476" dataCellStyle="Normal 2"/>
    <tableColumn id="21" xr3:uid="{5875858F-9C16-48EA-B95D-E3A64562B586}" name="Input Type" dataDxfId="1475" dataCellStyle="Input"/>
    <tableColumn id="22" xr3:uid="{700E53EF-4E67-4957-B3F1-7D1E9529A6F8}" name="Lower Bound" dataDxfId="1474"/>
    <tableColumn id="11" xr3:uid="{7573AAE5-3B5D-456D-A433-7A9D2467A040}" name="Upper Bound" dataDxfId="1473"/>
    <tableColumn id="13" xr3:uid="{F89EF08D-2157-4BBD-AAD8-6F1CBD789362}" name="Notes" dataDxfId="147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5BD1C46-036E-4FF2-B9A5-AA5A5B0AA7D1}" name="Table_AlwaysSend" displayName="Table_AlwaysSend" ref="E2:T234" totalsRowShown="0" headerRowDxfId="1408" dataDxfId="1407" tableBorderDxfId="1406">
  <autoFilter ref="E2:T234" xr:uid="{75BD1C46-036E-4FF2-B9A5-AA5A5B0AA7D1}"/>
  <tableColumns count="16">
    <tableColumn id="16" xr3:uid="{A9B1C038-9A07-4E9C-BC54-6660FA56B11E}" name="ID" dataDxfId="1405"/>
    <tableColumn id="1" xr3:uid="{D0545926-4992-4C40-A7EC-CFED7AF39C3D}" name="Feedstock" dataDxfId="1404"/>
    <tableColumn id="2" xr3:uid="{9983D7CB-0242-490E-B38B-ECE94F4C5E82}" name="Conversion" dataDxfId="1403"/>
    <tableColumn id="3" xr3:uid="{DAC65C43-FC6A-4740-99D7-3102131994E6}" name="Data Source" dataDxfId="1402"/>
    <tableColumn id="18" xr3:uid="{962A845F-B8BA-40EB-AFB3-45D7C47D9D35}" name="Data Set" dataDxfId="1401"/>
    <tableColumn id="19" xr3:uid="{57390324-4AA6-45CF-9677-313C91E64D42}" name="Technology" dataDxfId="1400"/>
    <tableColumn id="5" xr3:uid="{4A21C588-2FD9-4AAF-9A29-B0796E9F707D}" name="Show Feedstock" dataDxfId="1399"/>
    <tableColumn id="6" xr3:uid="{9F97009A-9BDC-4690-A243-55A5292B823B}" name="Show Conversion" dataDxfId="1398"/>
    <tableColumn id="7" xr3:uid="{7BDB4BAC-E4F0-45AF-8B89-24D8E19A6EA1}" name="Show Data Source" dataDxfId="1397"/>
    <tableColumn id="20" xr3:uid="{620635D5-53FE-4B34-B592-AC58E13B5592}" name="Show Technology" dataDxfId="1396"/>
    <tableColumn id="8" xr3:uid="{7C8D4819-2C95-4DC2-B149-238B5AA7B2A6}" name="Show Data Source2" dataDxfId="1395"/>
    <tableColumn id="17" xr3:uid="{46A998BF-BEF2-4507-8084-7C676A0F9B3F}" name="Conditional" dataDxfId="1394"/>
    <tableColumn id="9" xr3:uid="{D30ECEFD-37ED-4F90-9AA3-86AD1AA7B2A0}" name="Send?" dataDxfId="1393"/>
    <tableColumn id="13" xr3:uid="{2EF85722-F0B1-46CC-806F-655DD24D19B2}" name="GREET1 Name Range" dataDxfId="1392"/>
    <tableColumn id="14" xr3:uid="{73BC33CD-9205-4776-8F4C-5EF752A5C015}" name="Value to Send" dataDxfId="1391" dataCellStyle="Good"/>
    <tableColumn id="15" xr3:uid="{CE120E7E-2BF1-4775-91D9-8EE3D40253DB}" name="Notes" dataDxfId="139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42CD281-88C0-4FDF-9B46-873DED333DD6}" name="LCI_Table" displayName="LCI_Table" ref="A1:AC2832" totalsRowShown="0" headerRowDxfId="115" dataDxfId="114">
  <autoFilter ref="A1:AC2832" xr:uid="{842CD281-88C0-4FDF-9B46-873DED333DD6}"/>
  <tableColumns count="29">
    <tableColumn id="21" xr3:uid="{34E91D85-51C5-48FA-B8A8-6FB6ECCD8899}" name="LCI ID" dataDxfId="113"/>
    <tableColumn id="1" xr3:uid="{BC95B4D5-92EA-4204-8FCE-1C3E58A12490}" name="Feedstock" dataDxfId="112" dataCellStyle="Input"/>
    <tableColumn id="2" xr3:uid="{DA7D6F67-F375-48C5-8F71-FA86ACDF680C}" name="Conversion" dataDxfId="111" dataCellStyle="Input"/>
    <tableColumn id="3" xr3:uid="{6E78FECC-3E9B-4091-BEA5-70EBE2A5C4C3}" name="Data Source" dataDxfId="110" dataCellStyle="Input"/>
    <tableColumn id="27" xr3:uid="{C7FCC906-09F5-4051-8958-84EB17833A10}" name="Data Set" dataDxfId="109" dataCellStyle="Input"/>
    <tableColumn id="26" xr3:uid="{425E9EAB-93C5-4D4F-8E4B-A7BBF3408F2E}" name="Technology" dataDxfId="108" dataCellStyle="Input"/>
    <tableColumn id="5" xr3:uid="{CA28B166-1F40-449D-8A8B-D980FD78FD0C}" name="Show Feedstock" dataDxfId="107">
      <calculatedColumnFormula>OR(LCI_Table[[#This Row],[Feedstock]]="All",LCI_Table[[#This Row],[Feedstock]]=SelectedFeedstock)</calculatedColumnFormula>
    </tableColumn>
    <tableColumn id="6" xr3:uid="{01431B8F-5CC5-47AE-8885-67EFFCDAAAEA}" name="Show Conversion" dataDxfId="106">
      <calculatedColumnFormula>OR(LCI_Table[[#This Row],[Conversion]]="All",LCI_Table[[#This Row],[Conversion]]=SelectedConversion)</calculatedColumnFormula>
    </tableColumn>
    <tableColumn id="7" xr3:uid="{150999EB-B426-4416-A270-C60BEF963089}" name="Show Data Set" dataDxfId="105">
      <calculatedColumnFormula>OR(LCI_Table[[#This Row],[Data Set]]="all",LCI_Table[[#This Row],[Data Set]]=SelectedDataSet)</calculatedColumnFormula>
    </tableColumn>
    <tableColumn id="25" xr3:uid="{218E0855-9FC7-4C5E-B50E-BA3C63BE91DB}" name="Show Technology" dataDxfId="104">
      <calculatedColumnFormula>OR(LCI_Table[[#This Row],[Technology]]="All",LCI_Table[[#This Row],[Technology]]=SelectedTechnology)</calculatedColumnFormula>
    </tableColumn>
    <tableColumn id="8" xr3:uid="{10A655DE-9447-4F77-AC60-06058548102C}" name="Show Data Source" dataDxfId="103">
      <calculatedColumnFormula>OR(LCI_Table[[#This Row],[Data Source]]="All",LCI_Table[[#This Row],[Data Source]]=SelectedDataSource)</calculatedColumnFormula>
    </tableColumn>
    <tableColumn id="14" xr3:uid="{BFDDE7A1-9D49-43EC-8F3F-0AB745888748}" name="Conditional" dataDxfId="102"/>
    <tableColumn id="19" xr3:uid="{F35385B5-F7ED-4263-810C-99338F16B630}" name="Hide Row" dataDxfId="101"/>
    <tableColumn id="9" xr3:uid="{4BF4EFA2-186E-4365-AB6A-2D023CD0A43A}" name="IsVisible" dataDxfId="100"/>
    <tableColumn id="24" xr3:uid="{A462A26D-DE21-4CFC-9A7E-EB82C0514714}" name="Do Not Send" dataDxfId="99"/>
    <tableColumn id="10" xr3:uid="{7886B444-A9A4-4603-8C2B-E47E57E166E9}" name="Process Name" dataDxfId="98" totalsRowDxfId="97" dataCellStyle="Neutral"/>
    <tableColumn id="17" xr3:uid="{4583B761-80C0-419F-8E7A-067FE74B577F}" name="GREET1 Name Range" dataDxfId="96" totalsRowDxfId="95"/>
    <tableColumn id="22" xr3:uid="{E28E2C8D-674A-4697-9F52-FA70B0DF3FB3}" name="Input" dataDxfId="94" totalsRowDxfId="93"/>
    <tableColumn id="4" xr3:uid="{9008EAB1-947A-4AEF-BF52-C3C52567D7C1}" name="Dashboard Value" dataDxfId="92">
      <calculatedColumnFormula array="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calculatedColumnFormula>
    </tableColumn>
    <tableColumn id="23" xr3:uid="{43D52C52-F9B2-4A9B-A8AB-D2FAAC2E9D7B}" name="Display Unit" dataDxfId="91" totalsRowDxfId="90"/>
    <tableColumn id="28" xr3:uid="{58A2E0CD-61AE-4A8A-9EE5-AA23531F8085}" name="Calculated Value" dataDxfId="89" dataCellStyle="Comma"/>
    <tableColumn id="11" xr3:uid="{4BFAAF6E-EBDE-4166-AF8A-F54E780D064D}" name="Default Displayed Value" dataDxfId="88" totalsRowDxfId="87" dataCellStyle="Comma"/>
    <tableColumn id="29" xr3:uid="{4038EB69-5A22-48FF-B1BA-EF8EC0FFEF7F}" name="Default Calculated Value" dataDxfId="86" dataCellStyle="Comma"/>
    <tableColumn id="12" xr3:uid="{E495EF23-27BD-4B0C-9A58-01EC1F092C0A}" name="Unit" dataDxfId="85" totalsRowDxfId="84"/>
    <tableColumn id="13" xr3:uid="{C51FD386-9BF7-49D2-A14C-F78F45592691}" name="Functional Unit" dataDxfId="83" totalsRowDxfId="82"/>
    <tableColumn id="31" xr3:uid="{28E25185-3E7C-4F64-8A4E-D902F95AAF45}" name="Notes" dataDxfId="81" totalsRowDxfId="80"/>
    <tableColumn id="18" xr3:uid="{4D1ECA79-3E46-4ADE-90C1-0770A12B305F}" name="Notes for user" dataDxfId="79" totalsRowDxfId="78"/>
    <tableColumn id="32" xr3:uid="{B3DA756C-94A2-4498-A48D-7CEFA90AFE7F}" name="Dev Notes" dataDxfId="77" totalsRowDxfId="76"/>
    <tableColumn id="30" xr3:uid="{AD10E69E-3B1E-4268-857F-63F209919B67}" name="QA Check" dataDxfId="75" totalsRowDxfId="7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50D0337-48A7-4D1B-B337-7B757DBE0854}" name="Results" displayName="Results" ref="A1:BF110" totalsRowShown="0" headerRowDxfId="73" dataDxfId="72">
  <autoFilter ref="A1:BF110" xr:uid="{650D0337-48A7-4D1B-B337-7B757DBE0854}"/>
  <tableColumns count="58">
    <tableColumn id="41" xr3:uid="{5FD19BD4-ED14-447E-A0EC-2315F37AB82E}" name="LC Stage" dataDxfId="71"/>
    <tableColumn id="1" xr3:uid="{60497771-B231-431C-8C30-9F841E099C17}" name="Units" dataDxfId="70"/>
    <tableColumn id="2" xr3:uid="{CFBBEE7F-FBF0-4E36-819F-8FEFAF46465F}" name="Metric Units" dataDxfId="69"/>
    <tableColumn id="3" xr3:uid="{FA59866E-4761-4C09-A175-EA00FC1C1CD3}" name="Willow FT" dataDxfId="68"/>
    <tableColumn id="4" xr3:uid="{7E532323-D1D1-4AB8-8B32-47F8AA010108}" name="Poplar FT" dataDxfId="67"/>
    <tableColumn id="5" xr3:uid="{A69E4BD0-B427-4164-88BF-68C9668FB230}" name="Switchgrass FT" dataDxfId="66"/>
    <tableColumn id="6" xr3:uid="{FC948F30-054B-4FC2-8F09-B18281C62EB3}" name="Miscanthus FT" dataDxfId="65"/>
    <tableColumn id="7" xr3:uid="{B0A0DCEC-DB75-4147-907F-6625ABEBABF6}" name="Corn Stover FT" dataDxfId="64"/>
    <tableColumn id="8" xr3:uid="{7893043E-1E9A-4CE3-9C81-847E7E888BE4}" name="Forest Residue FT" dataDxfId="63"/>
    <tableColumn id="9" xr3:uid="{4C2F8774-195F-4CBA-A72C-65C47DFD0878}" name="Eucalyptus FT" dataDxfId="62"/>
    <tableColumn id="10" xr3:uid="{7825CF95-1B9C-4888-9CD3-B48D84DE140C}" name="MSW FT" dataDxfId="61"/>
    <tableColumn id="11" xr3:uid="{7FD172A2-85B1-4C00-9666-19199BC42548}" name="Soy Oil HEFA" dataDxfId="60"/>
    <tableColumn id="12" xr3:uid="{3C20238A-48E4-4FE4-AC33-265EAD844BBC}" name="Palm Oil HEFA" dataDxfId="59"/>
    <tableColumn id="13" xr3:uid="{F1053F83-4900-4BDA-90B6-7051858F2E6C}" name="Canola Oil HEFA" dataDxfId="58"/>
    <tableColumn id="14" xr3:uid="{7012E5D1-00DA-4AE7-9E72-DDD3F0DF4A9F}" name="Jatropha Oil HEFA" dataDxfId="57"/>
    <tableColumn id="15" xr3:uid="{7032C752-8A45-4616-A5CC-E35B9F254B12}" name="Camelina Oil HEFA" dataDxfId="56"/>
    <tableColumn id="16" xr3:uid="{6F19D94F-4086-41D5-A145-148E6E920E40}" name="Distillers Corn Oil HEFA" dataDxfId="55"/>
    <tableColumn id="17" xr3:uid="{464CC8EA-ACFF-46A3-B360-398C7E0CF7E3}" name="Carinata Oil HEFA" dataDxfId="54"/>
    <tableColumn id="18" xr3:uid="{0F1D3C65-EA74-4280-B57E-D290ADE422E6}" name="Tallow HEFA" dataDxfId="53"/>
    <tableColumn id="19" xr3:uid="{0DAD9F3E-EC89-40D3-9593-953E94D55810}" name="PFAD HEFA" dataDxfId="52"/>
    <tableColumn id="20" xr3:uid="{CE834804-632A-44FA-97FA-F038FBFCAA9E}" name="UCO HEFA" dataDxfId="51"/>
    <tableColumn id="21" xr3:uid="{8E8379DF-B10D-4DF3-9D5E-6DD7E5C7B202}" name="Corn ATJ-E (Integrated)" dataDxfId="50"/>
    <tableColumn id="22" xr3:uid="{41C1C544-B39C-47B9-BFFB-46A4D98A035E}" name="Willow ATJ-E (Integrated)" dataDxfId="49"/>
    <tableColumn id="23" xr3:uid="{49EC65A5-107B-4679-AE73-110E44C25174}" name="Poplar ATJ-E (Integrated)" dataDxfId="48"/>
    <tableColumn id="24" xr3:uid="{64A26487-8586-4ADF-B45C-396BC3531118}" name="Switchgrass ATJ-E (Integrated)" dataDxfId="47"/>
    <tableColumn id="25" xr3:uid="{086C1907-7643-4CD7-A081-BCC0261DA243}" name="Miscanthus ATJ-E (Integrated)" dataDxfId="46"/>
    <tableColumn id="26" xr3:uid="{467D2540-E4D6-4A58-BE56-C4397005AF5E}" name="Corn Stover ATJ-E (Integrated)" dataDxfId="45"/>
    <tableColumn id="27" xr3:uid="{A1FF3E24-20B0-4C23-A89B-FEBF6945F54E}" name="Forest Residue ATJ-E (Integrated)" dataDxfId="44"/>
    <tableColumn id="28" xr3:uid="{7B947E80-1279-4FAA-A307-82166B5E6FFE}" name="Corn US Mix ATJ-E (Standalone)" dataDxfId="43"/>
    <tableColumn id="29" xr3:uid="{756A060E-D263-462E-BCDB-D19A4BB6AE08}" name="Corn Dry Mill w/o extraction ATJ-E (Standalone)" dataDxfId="42"/>
    <tableColumn id="30" xr3:uid="{56216612-0866-48FD-A284-136C79E4F21F}" name="Corn Dry Mill w/ extraction ATJ-E (Standalone)" dataDxfId="41"/>
    <tableColumn id="31" xr3:uid="{60D7FC60-E514-4383-853B-4DD55DDFC134}" name="Corn Wet Mill ATJ-E (Standalone)" dataDxfId="40"/>
    <tableColumn id="32" xr3:uid="{C23896F8-1332-4F62-A2E5-11714912676D}" name="Willow ATJ-E (Standalone)" dataDxfId="39"/>
    <tableColumn id="33" xr3:uid="{88F61106-E454-412E-A3CB-EF4052F13DC1}" name="Poplar ATJ-E (Standalone)" dataDxfId="38"/>
    <tableColumn id="34" xr3:uid="{A2EDBBF1-5F4A-4B69-9BAD-3733DE155C2E}" name="Switchgrass ATJ-E (Standalone)" dataDxfId="37"/>
    <tableColumn id="35" xr3:uid="{54E68006-6CE0-4D0D-8184-8310CC0A249C}" name="Miscanthus ATJ-E (Standalone)" dataDxfId="36"/>
    <tableColumn id="36" xr3:uid="{0359BE25-AF2D-4310-AC9A-23F7D78057C3}" name="Corn Stover ATJ-E (Standalone)" dataDxfId="35"/>
    <tableColumn id="37" xr3:uid="{802CB0BE-863D-4623-AE07-B4DA6645C854}" name="Forest Residue ATJ-E (Standalone)" dataDxfId="34"/>
    <tableColumn id="38" xr3:uid="{8ADCFFBB-891B-41F0-B335-928CA7E201B3}" name="Solid Waste ATJ-E (Standalone)" dataDxfId="33"/>
    <tableColumn id="39" xr3:uid="{E250FB57-2FB3-46CA-A5DF-2CFDAC72BC97}" name="Sugarcane ATJ-E" dataDxfId="32"/>
    <tableColumn id="40" xr3:uid="{71793C1A-C806-4CF9-9921-15154511C634}" name="Willow STJ (Biological)" dataDxfId="31"/>
    <tableColumn id="42" xr3:uid="{55130619-2E00-4D68-A408-534B2343EE4C}" name="Poplar STJ (Biological)" dataDxfId="30"/>
    <tableColumn id="43" xr3:uid="{1A518857-EDC3-4189-86D9-D10B584819CD}" name="Switchgrass STJ (Biological)" dataDxfId="29"/>
    <tableColumn id="44" xr3:uid="{AF559D3F-791F-4D87-A11F-16D224676ABC}" name="Miscanthus STJ (Biological)" dataDxfId="28"/>
    <tableColumn id="45" xr3:uid="{4DDDA49C-ADF3-4C37-AD3A-E38D2488206C}" name="Corn Stover STJ (Biological)" dataDxfId="27"/>
    <tableColumn id="46" xr3:uid="{FDD74DFC-BB41-4015-BD5C-FC9835C04CEE}" name="Forest Residue STJ (Biological)" dataDxfId="26"/>
    <tableColumn id="47" xr3:uid="{E5E1A8CD-FFC4-4CC0-B200-7F23C7E8F8A0}" name="Sugarcane SIP" dataDxfId="25"/>
    <tableColumn id="48" xr3:uid="{9E8B7671-8E3F-4AB8-9F54-FD81BFCD875F}" name="Sugarbeet SIP" dataDxfId="24"/>
    <tableColumn id="49" xr3:uid="{0B2EDEBF-9631-4AB1-BDEE-EAF1F26C5D9B}" name="Sugarcane ATJ" dataDxfId="23"/>
    <tableColumn id="50" xr3:uid="{73EDFD29-D3FB-4717-B569-262992C72943}" name="Agricultural residue ATJ" dataDxfId="22"/>
    <tableColumn id="51" xr3:uid="{EC6506F7-35C6-4DB5-A0F0-4B352E2112BE}" name="Forest residue ATJ" dataDxfId="21"/>
    <tableColumn id="52" xr3:uid="{94C34E8B-E7B1-4F19-9DAD-A75EC0AA6EF7}" name="Corn grain ATJ" dataDxfId="20"/>
    <tableColumn id="53" xr3:uid="{F54EC2A3-2505-45ED-8B71-614377C63019}" name="Switchgrass ATJ" dataDxfId="19"/>
    <tableColumn id="54" xr3:uid="{A4641212-6B77-42C9-B370-95F86D6CEDB3}" name="Miscanthus ATJ" dataDxfId="18"/>
    <tableColumn id="55" xr3:uid="{6E53EEFC-2AE9-41D7-8216-6AB746D74FFD}" name="Molasses ATJ" dataDxfId="17"/>
    <tableColumn id="56" xr3:uid="{531AFF92-7D7F-45DD-AA3D-62E7A0068130}" name="Waste gases ATJ-E (Integrated)" dataDxfId="16"/>
    <tableColumn id="57" xr3:uid="{DA3F5814-11E8-4B84-9DD7-845042B8C716}" name="Waste gases ATJ-E (Standalone)" dataDxfId="15"/>
    <tableColumn id="58" xr3:uid="{2E126F6D-7388-446D-8E1A-A8CAEB49A35D}" name="Sugarcane ATJ-E (Standalone)" dataDxfId="1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F409574-F695-4344-BBE2-D63AFF775E7F}" name="ResultsPivotTable" displayName="ResultsPivotTable" ref="A20:E26" totalsRowShown="0">
  <autoFilter ref="A20:E26" xr:uid="{AF409574-F695-4344-BBE2-D63AFF775E7F}"/>
  <tableColumns count="5">
    <tableColumn id="4" xr3:uid="{B45E3EEE-CD7E-4118-BF56-09E1DE65AB59}" name="LC Stage"/>
    <tableColumn id="1" xr3:uid="{279C917C-87E5-4D05-A755-91A43D03CEA7}" name="Pathway">
      <calculatedColumnFormula>SelectedPathway</calculatedColumnFormula>
    </tableColumn>
    <tableColumn id="2" xr3:uid="{AD07DD74-78E9-43AA-AD38-006981B11E1D}" name="Metric" dataDxfId="12"/>
    <tableColumn id="3" xr3:uid="{5D5977EF-0B76-4899-803B-740F1332DC81}" name="Value" dataDxfId="11"/>
    <tableColumn id="5" xr3:uid="{1BC455E4-DA20-4EBD-B875-B1E6906E5528}" name="Metric Lookup" dataDxfId="1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E9921F8-3A7B-456D-903C-B6E4B6A6F2AD}" name="Table46" displayName="Table46" ref="A1:C21" totalsRowShown="0">
  <autoFilter ref="A1:C21" xr:uid="{6E9921F8-3A7B-456D-903C-B6E4B6A6F2AD}"/>
  <tableColumns count="3">
    <tableColumn id="1" xr3:uid="{DC5EF1AE-0D32-4D85-B3C2-0C5155FE1084}" name="Pathway" dataDxfId="9"/>
    <tableColumn id="2" xr3:uid="{A0D2AE8C-F827-4E79-B10D-FC40B9D07115}" name="Indirect Effect" dataDxfId="8"/>
    <tableColumn id="3" xr3:uid="{7664E342-588E-4023-85B1-4105BBC5E111}" name="Value (gCO2e/MJ)" dataDxfId="7" dataCellStyle="Normal 19 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BE7316-3634-45CD-B653-980FFD1DD008}" name="Unit_Table" displayName="Unit_Table" ref="A17:E197" totalsRowShown="0" headerRowDxfId="6" dataDxfId="5">
  <autoFilter ref="A17:E197" xr:uid="{D7BE7316-3634-45CD-B653-980FFD1DD008}"/>
  <tableColumns count="5">
    <tableColumn id="1" xr3:uid="{197FB5AC-3C38-4367-A1AF-D50FC211F26A}" name="Unit Type" dataDxfId="4"/>
    <tableColumn id="2" xr3:uid="{87A94671-40E3-4470-98B4-E9E8E4A2CB77}" name="Start Unit" dataDxfId="3"/>
    <tableColumn id="3" xr3:uid="{D6AD7533-233D-4C43-BF4D-4C2F9DDEECF2}" name="End Unit" dataDxfId="2"/>
    <tableColumn id="4" xr3:uid="{9BD19839-B9B0-4BF7-9261-2E6DD8A59826}" name="Conversion Factor" dataDxfId="1"/>
    <tableColumn id="5" xr3:uid="{625CA9DA-1255-4AA4-AC72-B6C2BAA68D8E}" name="Column1" dataDxfId="0">
      <calculatedColumnFormula>B18 &amp; "2" &amp; C18</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4-01-09T18:17:17.40" personId="{C6A0A2A8-478C-4E14-B7A1-5FADF5426C40}" id="{1C05DB7F-16B3-463D-9FB8-BD93621DBF34}">
    <text>Table handles the transportation data shown on the dashboard. Columns P-S are shown; column O/N are the GREET locations</text>
  </threadedComment>
  <threadedComment ref="J1" dT="2024-01-25T18:25:19.05" personId="{C6A0A2A8-478C-4E14-B7A1-5FADF5426C40}" id="{5595F56E-9833-422C-99C3-36C56208AF76}">
    <text>Columns A-E hold what options should be on the slicers for the item to show. F-L are logic to control whether it is shown. F-J all have to be true for it to be shown. Column K is a manual override; it is blank by default but you can put TRUE in it to always hide a row.</text>
  </threadedComment>
  <threadedComment ref="M1" dT="2024-01-25T18:25:27.02" personId="{C6A0A2A8-478C-4E14-B7A1-5FADF5426C40}" id="{476EF5E7-D393-4DA8-98FC-2837CA456A14}">
    <text>Name of process, shown on dashboard</text>
  </threadedComment>
  <threadedComment ref="N1" dT="2024-01-25T18:25:40.27" personId="{C6A0A2A8-478C-4E14-B7A1-5FADF5426C40}" id="{82F4B387-39DB-4327-B0A6-97E03336665E}">
    <text>Name range the share value from the dashboard gets sent to within GREET1</text>
  </threadedComment>
  <threadedComment ref="O1" dT="2024-01-25T18:25:51.41" personId="{C6A0A2A8-478C-4E14-B7A1-5FADF5426C40}" id="{73F5F8FD-F25C-46E8-B255-29397EC56CD3}">
    <text>Name range distance value from the dashboard gets sent to within GREET1</text>
  </threadedComment>
  <threadedComment ref="P1" dT="2024-01-25T19:21:51.83" personId="{C6A0A2A8-478C-4E14-B7A1-5FADF5426C40}" id="{E5D3478D-B9A3-4D34-B5F6-48A19FE90829}">
    <text>Name of item, shown on dashboard</text>
  </threadedComment>
  <threadedComment ref="Q1" dT="2024-01-25T19:21:59.86" personId="{C6A0A2A8-478C-4E14-B7A1-5FADF5426C40}" id="{357FD6F8-D33A-4B12-AE7C-3B005C572AA8}">
    <text>Type of transportation, shown on dashbaord</text>
  </threadedComment>
  <threadedComment ref="R1" dT="2024-01-25T19:22:27.06" personId="{C6A0A2A8-478C-4E14-B7A1-5FADF5426C40}" id="{0FDE8630-EA64-416A-BB50-9EBD89E90E17}">
    <text>The default share of the transportation type. This is the default shown on the dashboard when a pathway first loads.</text>
  </threadedComment>
  <threadedComment ref="T1" dT="2024-01-25T20:38:23.09" personId="{C6A0A2A8-478C-4E14-B7A1-5FADF5426C40}" id="{3CAB2DC5-5121-4AA5-BB33-1467FF03D292}">
    <text>Notes just for development; these will not be shown on the dashboard</text>
  </threadedComment>
  <threadedComment ref="U1" dT="2024-01-25T20:38:33.22" personId="{C6A0A2A8-478C-4E14-B7A1-5FADF5426C40}" id="{D97AF6FD-AEED-46D5-9AE1-C976B10816F4}">
    <text>Notes shown on the dashboard as comments on the cell</text>
  </threadedComment>
</ThreadedComments>
</file>

<file path=xl/threadedComments/threadedComment2.xml><?xml version="1.0" encoding="utf-8"?>
<ThreadedComments xmlns="http://schemas.microsoft.com/office/spreadsheetml/2018/threadedcomments" xmlns:x="http://schemas.openxmlformats.org/spreadsheetml/2006/main">
  <threadedComment ref="A1" dT="2024-01-09T17:49:36.36" personId="{C6A0A2A8-478C-4E14-B7A1-5FADF5426C40}" id="{0A2ED82D-24E8-43C4-BA66-8EC1C511DDE4}">
    <text>Holds the list of pathways. First 5 selectors correspond to the slicers on the dashboard. Pathway name is the name of the pathway in the results table.</text>
  </threadedComment>
  <threadedComment ref="H1" dT="2023-04-26T17:53:40.93" personId="{B69A5DC2-3538-4C2A-B142-076F6CB58BA4}" id="{3DC45A44-8FDE-4D65-813D-7CDE9419271D}">
    <text>Column in Results that pathway is found</text>
  </threadedComment>
  <threadedComment ref="A108" dT="2023-08-21T21:05:23.48" personId="{AB0421DE-D0CE-4510-A8EB-05A7236CD15B}" id="{BDE0D774-ADD0-4D05-ACB9-2FA092052E31}">
    <text>NO DATA YET! Don't run this yet until we get GREET1 data</text>
  </threadedComment>
</ThreadedComments>
</file>

<file path=xl/threadedComments/threadedComment3.xml><?xml version="1.0" encoding="utf-8"?>
<ThreadedComments xmlns="http://schemas.microsoft.com/office/spreadsheetml/2018/threadedcomments" xmlns:x="http://schemas.openxmlformats.org/spreadsheetml/2006/main">
  <threadedComment ref="B1" dT="2024-01-09T18:26:38.04" personId="{C6A0A2A8-478C-4E14-B7A1-5FADF5426C40}" id="{BF6F6E35-A523-48D5-A8B9-4112A65FD6AB}">
    <text>In dev, please do not touch</text>
  </threadedComment>
  <threadedComment ref="L1" dT="2024-01-12T16:22:36.95" personId="{C6A0A2A8-478C-4E14-B7A1-5FADF5426C40}" id="{ED7691AE-13E0-455B-8F8D-C314122DE29A}">
    <text>This column defaults to true. If a value should only be shown when another value is selected, please put the formula here. For example, options for corn CCS only show when corn CCS is enabled.
When the user enters values into the dashboard, the values are put into column Q. this should be the column you check for the user inputted value. Please put options that depend on another below it. I.E corn CCS is in row 8, the values that depend on it should be row 9 or below. This helps with formatting.</text>
  </threadedComment>
  <threadedComment ref="M1" dT="2024-01-26T17:42:14.53" personId="{C6A0A2A8-478C-4E14-B7A1-5FADF5426C40}" id="{F38D63DB-2D2F-4862-9C13-B86596B43798}">
    <text>Should this be sent to GREET1? By default true if the name range isnt blank.</text>
  </threadedComment>
  <threadedComment ref="N1" dT="2024-01-26T17:49:34.04" personId="{C6A0A2A8-478C-4E14-B7A1-5FADF5426C40}" id="{1C3B5204-DC01-4D76-B5DF-EB3B302B2880}">
    <text xml:space="preserve">Should this value be displayed on the dashboard? True if G-L is true
</text>
  </threadedComment>
  <threadedComment ref="O1" dT="2024-01-26T17:50:23.32" personId="{C6A0A2A8-478C-4E14-B7A1-5FADF5426C40}" id="{BDF06D88-A180-47CE-AA3F-8FCDC524F0A8}">
    <text>Name range to send to on greet1</text>
  </threadedComment>
  <threadedComment ref="P1" dT="2024-01-26T17:50:23.32" personId="{C6A0A2A8-478C-4E14-B7A1-5FADF5426C40}" id="{CEDF6F68-AEED-4D65-9E2D-C0733721BCC5}">
    <text>Name range to send to on greet1</text>
  </threadedComment>
  <threadedComment ref="R1" dT="2024-01-16T17:35:10.58" personId="{C6A0A2A8-478C-4E14-B7A1-5FADF5426C40}" id="{B8BB9722-F758-40C1-BB81-54F16D9B9024}">
    <text>Value from dashboard</text>
  </threadedComment>
  <threadedComment ref="S1" dT="2024-01-16T17:35:15.31" personId="{C6A0A2A8-478C-4E14-B7A1-5FADF5426C40}" id="{95CEA7CC-01E7-47E0-B690-291D2C4BD691}">
    <text>Value sent to dashboard</text>
  </threadedComment>
  <threadedComment ref="T1" dT="2024-01-16T17:35:28.84" personId="{C6A0A2A8-478C-4E14-B7A1-5FADF5426C40}" id="{510EECF6-33B4-498E-89ED-6D156D576A14}">
    <text>Value calculated from input value; this is the value sent to GREET</text>
  </threadedComment>
  <threadedComment ref="Z2" dT="2024-01-15T18:27:27.00" personId="{C6A0A2A8-478C-4E14-B7A1-5FADF5426C40}" id="{B8A501FC-4023-40D2-AC50-C5461FCB7F0D}">
    <text>When resetting the dashboard, this is used to force all the selections to go back to their default values, so that it refreshes correctly. Otherwise, conditional elements will persist</text>
  </threadedComment>
</ThreadedComments>
</file>

<file path=xl/threadedComments/threadedComment4.xml><?xml version="1.0" encoding="utf-8"?>
<ThreadedComments xmlns="http://schemas.microsoft.com/office/spreadsheetml/2018/threadedcomments" xmlns:x="http://schemas.openxmlformats.org/spreadsheetml/2006/main">
  <threadedComment ref="B1" dT="2024-02-28T21:35:18.72" personId="{AB0421DE-D0CE-4510-A8EB-05A7236CD15B}" id="{D7C1CE9A-2CF4-4302-A6DC-4ECD9F6D7DBA}">
    <text>Used for when I was getting the aggregated mitigation option results. Will require modification to work, keeping it in case we need before 40B release.</text>
  </threadedComment>
</ThreadedComments>
</file>

<file path=xl/threadedComments/threadedComment5.xml><?xml version="1.0" encoding="utf-8"?>
<ThreadedComments xmlns="http://schemas.microsoft.com/office/spreadsheetml/2018/threadedcomments" xmlns:x="http://schemas.openxmlformats.org/spreadsheetml/2006/main">
  <threadedComment ref="B1" dT="2024-02-28T21:35:33.54" personId="{AB0421DE-D0CE-4510-A8EB-05A7236CD15B}" id="{140DE845-2753-4CB7-BF55-E9F4DB98BB3A}">
    <text>Keeping this incase we need it prior to 40B.</text>
  </threadedComment>
  <threadedComment ref="S1" dT="2024-01-05T19:27:45.86" personId="{C6A0A2A8-478C-4E14-B7A1-5FADF5426C40}" id="{0F066BF7-CFE1-4633-9630-8F30974720D6}">
    <text>Pivot table grabbing the results for the selected pathway</text>
  </threadedComment>
</ThreadedComments>
</file>

<file path=xl/threadedComments/threadedComment6.xml><?xml version="1.0" encoding="utf-8"?>
<ThreadedComments xmlns="http://schemas.microsoft.com/office/spreadsheetml/2018/threadedcomments" xmlns:x="http://schemas.openxmlformats.org/spreadsheetml/2006/main">
  <threadedComment ref="A1" dT="2024-01-09T17:54:50.26" personId="{C6A0A2A8-478C-4E14-B7A1-5FADF5426C40}" id="{B7D81E73-9919-4072-A00E-FBAA169282FD}">
    <text>Values sent to greet; left column is value, right column is Name Range</text>
  </threadedComment>
  <threadedComment ref="E2" dT="2024-01-09T18:10:50.07" personId="{C6A0A2A8-478C-4E14-B7A1-5FADF5426C40}" id="{CBFD2BBA-8200-457C-B023-B4B9FE4B9203}">
    <text>This table holds values that are sent to greet1 without modification. They are still only sent if the pathway is correct (or is listed as "All"), but are not shown to the user</text>
  </threadedComment>
  <threadedComment ref="F2" dT="2024-01-25T21:49:49.93" personId="{C6A0A2A8-478C-4E14-B7A1-5FADF5426C40}" id="{67DED29E-A46B-48C6-AD8B-68B0DEC16681}">
    <text>F-J: The options that should be on the selectors for a row to be sent to GREET1</text>
  </threadedComment>
  <threadedComment ref="K2" dT="2024-01-25T21:50:02.98" personId="{C6A0A2A8-478C-4E14-B7A1-5FADF5426C40}" id="{D630D280-BC89-4501-AAEB-35829EE24B67}">
    <text>Logic to check if F-J match the options on the selectors</text>
  </threadedComment>
  <threadedComment ref="R2" dT="2024-01-25T22:04:48.41" personId="{C6A0A2A8-478C-4E14-B7A1-5FADF5426C40}" id="{C1734A8D-80D5-446F-A72E-BF5E3B195784}">
    <text>NR of cell within GREET1</text>
  </threadedComment>
  <threadedComment ref="S2" dT="2024-01-25T22:04:42.75" personId="{C6A0A2A8-478C-4E14-B7A1-5FADF5426C40}" id="{55AC5539-FDFD-4069-B1CE-C242EDCDBD46}">
    <text>Value sent to GREET1</text>
  </threadedComment>
  <threadedComment ref="T2" dT="2024-01-25T22:05:05.99" personId="{C6A0A2A8-478C-4E14-B7A1-5FADF5426C40}" id="{8385C70D-3FDA-4BE2-AC5B-9771ACDD4794}">
    <text>Notes, just for development use, not shown to user in any way</text>
  </threadedComment>
</ThreadedComments>
</file>

<file path=xl/threadedComments/threadedComment7.xml><?xml version="1.0" encoding="utf-8"?>
<ThreadedComments xmlns="http://schemas.microsoft.com/office/spreadsheetml/2018/threadedcomments" xmlns:x="http://schemas.openxmlformats.org/spreadsheetml/2006/main">
  <threadedComment ref="A1" dT="2024-01-09T18:12:54.54" personId="{C6A0A2A8-478C-4E14-B7A1-5FADF5426C40}" id="{67AE1E52-1E75-41B2-B59E-35C95F25C0B3}">
    <text>Table holds the Non-transport LCI shown to the user on the dashboard. Rows without a GREET1 name range are shown but not sent; usually used for calculations. Column R holds the value from the dashboard; Column T shows the value calculated from the dashboard value. The value from column T is what is sent to GREET1.  Column U is the default value to be displayed on the dashboard when the user loads in.</text>
  </threadedComment>
  <threadedComment ref="B1" dT="2024-01-25T22:05:29.22" personId="{C6A0A2A8-478C-4E14-B7A1-5FADF5426C40}" id="{CF19CFA5-00AB-4C5A-AB0D-73DA3B347AF8}">
    <text>B-F control what options need to be selected on the dashboard slicers for this item to appear</text>
  </threadedComment>
  <threadedComment ref="G1" dT="2024-01-25T22:05:49.09" personId="{C6A0A2A8-478C-4E14-B7A1-5FADF5426C40}" id="{817A4E5C-DD9B-4918-9BBD-35E1A7F55960}">
    <text>Logic to control if row is shown. Checks if B-F match the items shown on the dashboard slicers</text>
  </threadedComment>
  <threadedComment ref="L1" dT="2024-01-25T22:08:42.51" personId="{C6A0A2A8-478C-4E14-B7A1-5FADF5426C40}" id="{FBA7F1C6-D8EC-441B-BFBA-92181F0D6A05}">
    <text>Put in a custom equation here; if the equation is FALSE, the value wont be shown. If nothing is needed, just put =TRUE</text>
  </threadedComment>
  <threadedComment ref="M1" dT="2024-01-25T22:08:53.47" personId="{C6A0A2A8-478C-4E14-B7A1-5FADF5426C40}" id="{735C1261-7A03-4E43-A603-C83FD7526021}">
    <text xml:space="preserve">Manually hide a row by setting this to true
</text>
  </threadedComment>
  <threadedComment ref="N1" dT="2024-01-25T22:09:15.06" personId="{C6A0A2A8-478C-4E14-B7A1-5FADF5426C40}" id="{6BB1E185-298E-44CE-8979-CF8881F285AA}">
    <text>True if G-L is true and M is false. If this is true, item is showed on dashboard</text>
  </threadedComment>
  <threadedComment ref="O1" dT="2024-01-25T22:09:29.97" personId="{C6A0A2A8-478C-4E14-B7A1-5FADF5426C40}" id="{631B6D08-FEB4-438D-BAF4-CDC7C1333299}">
    <text xml:space="preserve">If greet NR is empty, value is not sent to GREET1 as theres nowhere to send it to </text>
  </threadedComment>
  <threadedComment ref="P1" dT="2024-01-25T22:16:11.09" personId="{C6A0A2A8-478C-4E14-B7A1-5FADF5426C40}" id="{64896DF5-87B5-40CE-9B40-5AF6293D80B8}">
    <text>Name of process; if process is jetfuel, shown in the jetfuel LCI section. Otherwise shown in the LCIFarming section</text>
  </threadedComment>
  <threadedComment ref="Q1" dT="2024-01-25T22:16:56.95" personId="{C6A0A2A8-478C-4E14-B7A1-5FADF5426C40}" id="{82EFB7CE-318F-4873-B820-B9C342C11B1F}">
    <text>NR the calculated value is sent to in GREET1</text>
  </threadedComment>
  <threadedComment ref="R1" dT="2024-01-25T22:17:03.36" personId="{C6A0A2A8-478C-4E14-B7A1-5FADF5426C40}" id="{1457FE28-F061-4F07-9DEF-B6E28F2A256A}">
    <text>Name of item, shown on the dashboard</text>
  </threadedComment>
  <threadedComment ref="S1" dT="2024-01-25T22:17:34.56" personId="{C6A0A2A8-478C-4E14-B7A1-5FADF5426C40}" id="{3BA04AE6-F444-4241-9A57-29AE8088D75D}">
    <text>This holds the value loaded from the dashboard. If the item is not on the dashboard, it holds the default displayed value in column V. Note that this has to pass through the Dashboard Data sheet first; If you are manually calculating with f9, you will need to calculate that sheet first, then this.</text>
  </threadedComment>
  <threadedComment ref="T1" dT="2024-01-25T22:17:43.23" personId="{C6A0A2A8-478C-4E14-B7A1-5FADF5426C40}" id="{C64924CA-221C-4DB5-ACCD-DAFA424B0276}">
    <text>Unit displayed on dashboard. This is a formula and should not be edited; edit Columns X and Y instead</text>
  </threadedComment>
  <threadedComment ref="U1" dT="2024-01-25T22:18:28.83" personId="{C6A0A2A8-478C-4E14-B7A1-5FADF5426C40}" id="{2DACE79D-8712-4121-A043-850F8970128C}">
    <text>Value actually sent to GREET1. The calculated value is derived from the dashboard value. The formula in this cell can be anything, and is depending on the actual LCI in that row. Note that if this ever evaluates to an error, sending an error value to GREET1 can lock the file, requiring it to be reset by closing and reopening without saving.</text>
  </threadedComment>
  <threadedComment ref="V1" dT="2024-01-25T22:18:42.67" personId="{C6A0A2A8-478C-4E14-B7A1-5FADF5426C40}" id="{9449296F-AFE0-4C30-BA27-50C18B163E3A}">
    <text>This is the default value first displayed on the dashboard when the LCI is first loaded up.</text>
  </threadedComment>
  <threadedComment ref="W1" dT="2024-01-25T22:19:03.12" personId="{C6A0A2A8-478C-4E14-B7A1-5FADF5426C40}" id="{B46C0E6B-DE14-4544-AE2D-EB41744F538C}">
    <text>This is what the calculated value should evaluate to when using the default dashboard value. This column is not used anywhere, and is just for QA</text>
  </threadedComment>
  <threadedComment ref="X1" dT="2024-01-25T22:19:33.17" personId="{C6A0A2A8-478C-4E14-B7A1-5FADF5426C40}" id="{842CF606-A950-4B49-B8CE-0989B2F1FB0E}">
    <text>The unit of the item displayed on the dashboard. This is the dashboard unit, not the calculated value's unit</text>
  </threadedComment>
  <threadedComment ref="Y1" dT="2024-01-25T22:19:41.38" personId="{C6A0A2A8-478C-4E14-B7A1-5FADF5426C40}" id="{7363F701-C7A8-47CC-8E57-052616F24E10}">
    <text>Functional unit of value displayed on dashboard.</text>
  </threadedComment>
  <threadedComment ref="Z1" dT="2024-01-25T22:20:38.11" personId="{C6A0A2A8-478C-4E14-B7A1-5FADF5426C40}" id="{7BFDE923-16A3-453C-96D1-55D18F6E710C}">
    <text>Formula to display notes properly, do not modify</text>
  </threadedComment>
  <threadedComment ref="AA1" dT="2024-01-25T22:20:05.57" personId="{C6A0A2A8-478C-4E14-B7A1-5FADF5426C40}" id="{05002FE2-05E2-43B9-AC68-4A2E06FCBC52}">
    <text>This column holds notes displayed to the user via comments on cells displayed on the dashboard. Anything here will be added as a comment to its relevant cell.</text>
  </threadedComment>
  <threadedComment ref="AB1" dT="2024-01-25T22:20:16.42" personId="{C6A0A2A8-478C-4E14-B7A1-5FADF5426C40}" id="{A4A837D3-6B69-4058-9CAD-88E78E45046E}">
    <text>Notes for development; these are not used but are here for our reference.</text>
  </threadedComment>
  <threadedComment ref="AC1" dT="2024-01-25T22:20:27.93" personId="{C6A0A2A8-478C-4E14-B7A1-5FADF5426C40}" id="{4FA6D84E-5711-4D29-A4CE-05A9463DF623}">
    <text>Used for QA, actual calculated value - default calculated value</text>
  </threadedComment>
  <threadedComment ref="M128" dT="2024-02-19T20:14:39.62" personId="{C6A0A2A8-478C-4E14-B7A1-5FADF5426C40}" id="{8D02E939-158F-4863-881D-E36F6BD32C27}">
    <text>Manually hidden</text>
  </threadedComment>
  <threadedComment ref="T1927" dT="2023-10-09T20:34:53.33" personId="{AB0421DE-D0CE-4510-A8EB-05A7236CD15B}" id="{D02277B4-BD8B-471B-A4C4-92CD49AEF28F}">
    <text xml:space="preserve">Custom Unit
</text>
  </threadedComment>
</ThreadedComments>
</file>

<file path=xl/threadedComments/threadedComment8.xml><?xml version="1.0" encoding="utf-8"?>
<ThreadedComments xmlns="http://schemas.microsoft.com/office/spreadsheetml/2018/threadedcomments" xmlns:x="http://schemas.openxmlformats.org/spreadsheetml/2006/main">
  <threadedComment ref="A1" dT="2024-01-09T18:17:33.63" personId="{C6A0A2A8-478C-4E14-B7A1-5FADF5426C40}" id="{D0D84396-2C9F-4BA1-B485-FAB701CE0E08}">
    <text>Only currently used for some calculations, will be removed when allocation factors are shown to the user</text>
  </threadedComment>
  <threadedComment ref="Q1" dT="2023-02-10T16:16:39.09" personId="{705E04B7-8635-4650-B3EB-40CBF44633A2}" id="{D1225989-BAD7-4C87-B0FF-306FF3447650}">
    <text>How do we change what value to send to GREET1 when switching between GREET and ICAO?</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4-01-09T18:19:14.50" personId="{C6A0A2A8-478C-4E14-B7A1-5FADF5426C40}" id="{B4660BB4-0AFA-4AB2-A46D-D3A44A3C45B6}">
    <text>Holds results table from GREET1. Headers in row 1 should match the pathway name shown in the pathways and processes tab.</text>
  </threadedComment>
</ThreadedComments>
</file>

<file path=xl/threadedComments/threadedComment10.xml><?xml version="1.0" encoding="utf-8"?>
<ThreadedComments xmlns="http://schemas.microsoft.com/office/spreadsheetml/2018/threadedcomments" xmlns:x="http://schemas.openxmlformats.org/spreadsheetml/2006/main">
  <threadedComment ref="A1" dT="2024-01-05T19:25:32.64" personId="{C6A0A2A8-478C-4E14-B7A1-5FADF5426C40}" id="{282F086E-A672-4680-85D9-601556223FB2}">
    <text>These two pivot tables at A1 and D1 are used to control which pathway is selected. Two pivot tables are needed so that the available options show up correctly</text>
  </threadedComment>
  <threadedComment ref="E1" dT="2024-02-01T19:31:19.79" personId="{C6A0A2A8-478C-4E14-B7A1-5FADF5426C40}" id="{84E098C5-7AFB-4D1E-B3AB-6068D6EE1556}">
    <text>Please do not move this table, it Is used in vba.</text>
  </threadedComment>
  <threadedComment ref="H1" dT="2024-01-05T19:28:42.11" personId="{C6A0A2A8-478C-4E14-B7A1-5FADF5426C40}" id="{10992046-BF21-4F9E-8136-5738FF3E1FAD}">
    <text>Previous feedstock</text>
  </threadedComment>
  <threadedComment ref="J1" dT="2024-01-05T19:26:05.53" personId="{C6A0A2A8-478C-4E14-B7A1-5FADF5426C40}" id="{77E9A658-4F4D-4B5A-8A1F-64E7DDE815A6}">
    <text>Name of the pathway selected</text>
  </threadedComment>
  <threadedComment ref="L1" dT="2024-02-01T19:31:19.79" personId="{C6A0A2A8-478C-4E14-B7A1-5FADF5426C40}" id="{A1AAC592-1212-4B48-A6C1-871A8A8E54B3}">
    <text>Please do not move this table, it Is used in vba.</text>
  </threadedComment>
  <threadedComment ref="P1" dT="2024-01-29T17:38:53.86" personId="{C6A0A2A8-478C-4E14-B7A1-5FADF5426C40}" id="{E90EE1D4-23BE-4AFC-AC61-432A1B2ED944}">
    <text>These columns from P to  X are used to store the values for data on the dashboard when changing a selection. Should not be directly modified. Controlled via VBA</text>
  </threadedComment>
  <threadedComment ref="H2" dT="2024-01-05T19:28:35.77" personId="{C6A0A2A8-478C-4E14-B7A1-5FADF5426C40}" id="{E65C839A-D7FD-4A94-941A-CE5683BE15D6}">
    <text>Used by some logic in the backend to make sure the worksheet updates correctly  only when the feedstock is changed; do not modify</text>
  </threadedComment>
  <threadedComment ref="J2" dT="2024-01-05T19:26:12.47" personId="{C6A0A2A8-478C-4E14-B7A1-5FADF5426C40}" id="{B402B4AA-3977-4129-9BC7-C8615ACE9D1A}">
    <text>Whether a valid pathway is selected</text>
  </threadedComment>
  <threadedComment ref="H3" dT="2024-01-29T17:37:52.60" personId="{C6A0A2A8-478C-4E14-B7A1-5FADF5426C40}" id="{DB4CB2DF-4C5D-4810-9704-4B65D3A5469C}">
    <text>In development, not used, please no touch</text>
  </threadedComment>
  <threadedComment ref="J3" dT="2024-01-05T19:29:43.89" personId="{C6A0A2A8-478C-4E14-B7A1-5FADF5426C40}" id="{8B4FA731-A04B-4F06-BDCE-EB8451F51357}">
    <text>Whether results have been calculated and need to be displayed</text>
  </threadedComment>
  <threadedComment ref="J4" dT="2024-01-05T19:29:55.28" personId="{C6A0A2A8-478C-4E14-B7A1-5FADF5426C40}" id="{E7603148-1C28-4B73-993F-A32B21A8B736}">
    <text>Whether the farming inputs should be displayed or just transport and jet fuel prod</text>
  </threadedComment>
  <threadedComment ref="H6" dT="2024-01-05T19:27:55.45" personId="{C6A0A2A8-478C-4E14-B7A1-5FADF5426C40}" id="{170AD9A5-CFDC-4BAD-BE0F-527D43ABB45E}">
    <text>Headers for the sections on the dashboard</text>
  </threadedComment>
  <threadedComment ref="A11" dT="2024-01-05T19:27:37.24" personId="{C6A0A2A8-478C-4E14-B7A1-5FADF5426C40}" id="{688BE802-A55B-4AC3-A0B1-2486349FA64D}">
    <text>Metric selected for graph</text>
  </threadedComment>
  <threadedComment ref="J12" dT="2024-01-29T17:36:23.11" personId="{C6A0A2A8-478C-4E14-B7A1-5FADF5426C40}" id="{C0476109-C3BB-4D9C-AD17-C56F35AB74C8}">
    <text>This value is used by some calculations and is hard coded. Not sure where to put this</text>
  </threadedComment>
  <threadedComment ref="G14" dT="2024-02-01T19:31:19.79" personId="{C6A0A2A8-478C-4E14-B7A1-5FADF5426C40}" id="{AD2F08B6-9F49-4A2C-8DF4-C56990B24B7B}">
    <text>Please do not move this table, it Is used in vba.</text>
  </threadedComment>
  <threadedComment ref="G15" dT="2024-02-01T19:31:19.79" personId="{C6A0A2A8-478C-4E14-B7A1-5FADF5426C40}" id="{9332DB11-35A1-4079-B4A9-9A7EEE88AFEA}">
    <text>Please do not move this table, it Is used in vba.</text>
  </threadedComment>
  <threadedComment ref="G16" dT="2024-02-01T19:31:19.79" personId="{C6A0A2A8-478C-4E14-B7A1-5FADF5426C40}" id="{5737F0B3-A8A9-4133-A723-E024F4D5C198}">
    <text>Please do not move this table, it Is used in vba.</text>
  </threadedComment>
  <threadedComment ref="G17" dT="2024-02-01T19:31:19.79" personId="{C6A0A2A8-478C-4E14-B7A1-5FADF5426C40}" id="{28D975DA-F532-4900-9338-BF8FBF00EDBF}">
    <text>Please do not move this table, it Is used in vba.</text>
  </threadedComment>
  <threadedComment ref="G18" dT="2024-02-01T19:31:19.79" personId="{C6A0A2A8-478C-4E14-B7A1-5FADF5426C40}" id="{07B1E52E-6BC0-4FBD-8B9B-5FE7F3DD2E6C}">
    <text>Please do not move this table, it Is used in vba.</text>
  </threadedComment>
  <threadedComment ref="G19" dT="2024-02-01T19:31:19.79" personId="{C6A0A2A8-478C-4E14-B7A1-5FADF5426C40}" id="{125C25D0-AEDA-4EF1-B7D9-63E0FBFCE8FD}">
    <text>Please do not move this table, it Is used in vba.</text>
  </threadedComment>
  <threadedComment ref="A20" dT="2024-01-05T19:27:45.86" personId="{C6A0A2A8-478C-4E14-B7A1-5FADF5426C40}" id="{86FAD84C-63C4-4995-BAF0-12E6BD36C9DB}">
    <text>Pivot table grabbing the results for the selected pathway</text>
  </threadedComment>
  <threadedComment ref="G20" dT="2024-02-01T19:31:19.79" personId="{C6A0A2A8-478C-4E14-B7A1-5FADF5426C40}" id="{E9A73096-BAC6-4B8F-B93F-37C445C423D1}">
    <text>Please do not move this table, it Is used in vba.</text>
  </threadedComment>
</ThreadedComments>
</file>

<file path=xl/threadedComments/threadedComment11.xml><?xml version="1.0" encoding="utf-8"?>
<ThreadedComments xmlns="http://schemas.microsoft.com/office/spreadsheetml/2018/threadedcomments" xmlns:x="http://schemas.openxmlformats.org/spreadsheetml/2006/main">
  <threadedComment ref="A1" dT="2024-01-29T17:41:08.47" personId="{C6A0A2A8-478C-4E14-B7A1-5FADF5426C40}" id="{F3878B9B-825B-4E7E-AA75-E679C3D24717}">
    <text>Copy of fuel specs from GREET1. Used in some LCI Calculations</text>
  </threadedComment>
  <threadedComment ref="P112" dT="2023-04-28T16:40:34.06" personId="{1CA759FD-D082-4F74-9643-097213ED50E2}" id="{382941F1-9EE0-4299-BF20-DFEBADDE4242}">
    <text>https://bioresources.cnr.ncsu.edu/wp-content/uploads/2016/06/BioRes_07_1_0217_Pirraglia_GSWD_Fuel_Eucalypt_Torrefied_Wood_Pellets_2007.pdf</text>
    <extLst>
      <x:ext xmlns:xltc2="http://schemas.microsoft.com/office/spreadsheetml/2020/threadedcomments2" uri="{F7C98A9C-CBB3-438F-8F68-D28B6AF4A901}">
        <xltc2:checksum>2541667064</xltc2:checksum>
        <xltc2:hyperlink startIndex="0" length="138" url="https://bioresources.cnr.ncsu.edu/wp-content/uploads/2016/06/BioRes_07_1_0217_Pirraglia_GSWD_Fuel_Eucalypt_Torrefied_Wood_Pellets_2007.pdf"/>
      </x:ext>
    </extLst>
  </threadedComment>
</ThreadedComments>
</file>

<file path=xl/threadedComments/threadedComment12.xml><?xml version="1.0" encoding="utf-8"?>
<ThreadedComments xmlns="http://schemas.microsoft.com/office/spreadsheetml/2018/threadedcomments" xmlns:x="http://schemas.openxmlformats.org/spreadsheetml/2006/main">
  <threadedComment ref="A2" dT="2024-02-01T19:31:19.79" personId="{C6A0A2A8-478C-4E14-B7A1-5FADF5426C40}" id="{AEB09B5D-D17B-49C5-ABE2-FAE7E487026D}">
    <text>Please do not move this table, it Is used in vba.</text>
  </threadedComment>
  <threadedComment ref="A3" dT="2024-02-01T19:31:19.79" personId="{C6A0A2A8-478C-4E14-B7A1-5FADF5426C40}" id="{D50C514A-0F90-48DA-8783-A39A64522E75}">
    <text>Please do not move this table, it Is used in vba.</text>
  </threadedComment>
  <threadedComment ref="A4" dT="2024-02-01T19:31:19.79" personId="{C6A0A2A8-478C-4E14-B7A1-5FADF5426C40}" id="{65B54002-5E8D-44F0-8C53-180E8EB7010D}">
    <text>Please do not move this table, it Is used in vba.</text>
  </threadedComment>
  <threadedComment ref="A5" dT="2024-02-01T19:31:19.79" personId="{C6A0A2A8-478C-4E14-B7A1-5FADF5426C40}" id="{805B5EA6-6FFE-4B16-A0EE-2E61D550B9BB}">
    <text>Please do not move this table, it Is used in vba.</text>
  </threadedComment>
  <threadedComment ref="A6" dT="2024-02-01T19:31:19.79" personId="{C6A0A2A8-478C-4E14-B7A1-5FADF5426C40}" id="{914CB63E-661D-4C81-94E8-2CB8C51DA8AC}">
    <text>Please do not move this table, it Is used in vba.</text>
  </threadedComment>
</ThreadedComments>
</file>

<file path=xl/threadedComments/threadedComment13.xml><?xml version="1.0" encoding="utf-8"?>
<ThreadedComments xmlns="http://schemas.microsoft.com/office/spreadsheetml/2018/threadedcomments" xmlns:x="http://schemas.openxmlformats.org/spreadsheetml/2006/main">
  <threadedComment ref="A1" dT="2024-01-09T19:02:31.62" personId="{C6A0A2A8-478C-4E14-B7A1-5FADF5426C40}" id="{9B4E6D6F-F182-43B3-B3E2-55DC2DF494D1}">
    <text>Used to control dashboard; this sheet holds the filtered tables for LCI, selections, transportation, that get shown on the dashboard. The rows here are the items that will be on the dashboard. This is used as an intermediary between the dashboard and the backend data sheets, both for showing and for calculating values to send to GREET1.</text>
  </threadedComment>
  <threadedComment ref="AJ3" dT="2024-02-23T15:12:47.63" personId="{C6A0A2A8-478C-4E14-B7A1-5FADF5426C40}" id="{58DA6A83-83EE-4866-B998-AA4F88A4F029}">
    <text>DISABLED FOR 40B</text>
  </threadedComment>
</ThreadedComments>
</file>

<file path=xl/threadedComments/threadedComment14.xml><?xml version="1.0" encoding="utf-8"?>
<ThreadedComments xmlns="http://schemas.microsoft.com/office/spreadsheetml/2018/threadedcomments" xmlns:x="http://schemas.openxmlformats.org/spreadsheetml/2006/main">
  <threadedComment ref="A1" dT="2024-01-09T19:02:47.76" personId="{C6A0A2A8-478C-4E14-B7A1-5FADF5426C40}" id="{F7DE051B-E0D3-4121-8A73-1793DB8DAD58}">
    <text>Used in some calculations. Manually ported from GREET</text>
  </threadedComment>
</ThreadedComment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microsoft.com/office/2007/relationships/slicer" Target="../slicers/slicer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3.vml"/><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2.bin"/><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5.xml"/><Relationship Id="rId1" Type="http://schemas.openxmlformats.org/officeDocument/2006/relationships/vmlDrawing" Target="../drawings/vmlDrawing7.vml"/><Relationship Id="rId4" Type="http://schemas.microsoft.com/office/2017/10/relationships/threadedComment" Target="../threadedComments/threadedComment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6.xml"/><Relationship Id="rId1" Type="http://schemas.openxmlformats.org/officeDocument/2006/relationships/vmlDrawing" Target="../drawings/vmlDrawing8.vml"/><Relationship Id="rId4" Type="http://schemas.microsoft.com/office/2017/10/relationships/threadedComment" Target="../threadedComments/threadedComment7.xml"/></Relationships>
</file>

<file path=xl/worksheets/_rels/sheet10.xml.rels><?xml version="1.0" encoding="UTF-8" standalone="yes"?>
<Relationships xmlns="http://schemas.openxmlformats.org/package/2006/relationships"><Relationship Id="rId3" Type="http://schemas.microsoft.com/office/2017/10/relationships/threadedComment" Target="../threadedComments/threadedComment8.xml"/><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10.vml"/><Relationship Id="rId1" Type="http://schemas.openxmlformats.org/officeDocument/2006/relationships/printerSettings" Target="../printerSettings/printerSettings3.bin"/><Relationship Id="rId5" Type="http://schemas.microsoft.com/office/2017/10/relationships/threadedComment" Target="../threadedComments/threadedComment9.xml"/><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8" Type="http://schemas.microsoft.com/office/2017/10/relationships/threadedComment" Target="../threadedComments/threadedComment10.xml"/><Relationship Id="rId3" Type="http://schemas.openxmlformats.org/officeDocument/2006/relationships/pivotTable" Target="../pivotTables/pivotTable3.xml"/><Relationship Id="rId7" Type="http://schemas.openxmlformats.org/officeDocument/2006/relationships/comments" Target="../comments1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8.xml"/><Relationship Id="rId5" Type="http://schemas.openxmlformats.org/officeDocument/2006/relationships/vmlDrawing" Target="../drawings/vmlDrawing11.vml"/><Relationship Id="rId4"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9.xml"/><Relationship Id="rId1" Type="http://schemas.openxmlformats.org/officeDocument/2006/relationships/vmlDrawing" Target="../drawings/vmlDrawing13.vml"/><Relationship Id="rId4" Type="http://schemas.microsoft.com/office/2017/10/relationships/threadedComment" Target="../threadedComments/threadedComment12.xml"/></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table" Target="../tables/table10.xml"/><Relationship Id="rId1" Type="http://schemas.openxmlformats.org/officeDocument/2006/relationships/vmlDrawing" Target="../drawings/vmlDrawing15.vml"/><Relationship Id="rId4" Type="http://schemas.microsoft.com/office/2017/10/relationships/threadedComment" Target="../threadedComments/threadedComment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CCC3D-5AE9-4E14-A1AF-173F23C6AADB}">
  <sheetPr codeName="Sheet22">
    <tabColor theme="1"/>
  </sheetPr>
  <dimension ref="B1:B53"/>
  <sheetViews>
    <sheetView topLeftCell="A60" workbookViewId="0">
      <selection activeCell="B21" sqref="B21"/>
    </sheetView>
  </sheetViews>
  <sheetFormatPr defaultColWidth="9.109375" defaultRowHeight="17.399999999999999" x14ac:dyDescent="0.35"/>
  <cols>
    <col min="1" max="1" width="9.109375" style="440"/>
    <col min="2" max="2" width="136" style="440" customWidth="1"/>
    <col min="3" max="16384" width="9.109375" style="440"/>
  </cols>
  <sheetData>
    <row r="1" spans="2:2" x14ac:dyDescent="0.35">
      <c r="B1" s="439" t="s">
        <v>2247</v>
      </c>
    </row>
    <row r="2" spans="2:2" x14ac:dyDescent="0.35">
      <c r="B2" s="441" t="s">
        <v>2248</v>
      </c>
    </row>
    <row r="3" spans="2:2" x14ac:dyDescent="0.35">
      <c r="B3" s="441"/>
    </row>
    <row r="4" spans="2:2" x14ac:dyDescent="0.35">
      <c r="B4" s="441" t="s">
        <v>2249</v>
      </c>
    </row>
    <row r="5" spans="2:2" x14ac:dyDescent="0.35">
      <c r="B5" s="441"/>
    </row>
    <row r="6" spans="2:2" x14ac:dyDescent="0.35">
      <c r="B6" s="441" t="s">
        <v>1882</v>
      </c>
    </row>
    <row r="7" spans="2:2" x14ac:dyDescent="0.35">
      <c r="B7" s="441"/>
    </row>
    <row r="8" spans="2:2" x14ac:dyDescent="0.35">
      <c r="B8" s="441"/>
    </row>
    <row r="9" spans="2:2" x14ac:dyDescent="0.35">
      <c r="B9" s="439" t="s">
        <v>2247</v>
      </c>
    </row>
    <row r="10" spans="2:2" x14ac:dyDescent="0.35">
      <c r="B10" s="442"/>
    </row>
    <row r="11" spans="2:2" x14ac:dyDescent="0.35">
      <c r="B11" s="440" t="s">
        <v>2250</v>
      </c>
    </row>
    <row r="12" spans="2:2" x14ac:dyDescent="0.35">
      <c r="B12" s="442"/>
    </row>
    <row r="13" spans="2:2" ht="40.799999999999997" x14ac:dyDescent="0.35">
      <c r="B13" s="442" t="s">
        <v>2251</v>
      </c>
    </row>
    <row r="14" spans="2:2" x14ac:dyDescent="0.35">
      <c r="B14" s="443"/>
    </row>
    <row r="15" spans="2:2" x14ac:dyDescent="0.35">
      <c r="B15" s="439" t="s">
        <v>2247</v>
      </c>
    </row>
    <row r="16" spans="2:2" x14ac:dyDescent="0.35">
      <c r="B16" s="442"/>
    </row>
    <row r="17" spans="2:2" ht="52.2" x14ac:dyDescent="0.35">
      <c r="B17" s="444" t="s">
        <v>2252</v>
      </c>
    </row>
    <row r="18" spans="2:2" x14ac:dyDescent="0.35">
      <c r="B18" s="442"/>
    </row>
    <row r="19" spans="2:2" x14ac:dyDescent="0.35">
      <c r="B19" s="442"/>
    </row>
    <row r="20" spans="2:2" x14ac:dyDescent="0.35">
      <c r="B20" s="439" t="s">
        <v>2247</v>
      </c>
    </row>
    <row r="21" spans="2:2" x14ac:dyDescent="0.35">
      <c r="B21" s="442"/>
    </row>
    <row r="22" spans="2:2" x14ac:dyDescent="0.35">
      <c r="B22" s="445" t="s">
        <v>2253</v>
      </c>
    </row>
    <row r="23" spans="2:2" x14ac:dyDescent="0.35">
      <c r="B23" s="442"/>
    </row>
    <row r="24" spans="2:2" x14ac:dyDescent="0.35">
      <c r="B24" s="439" t="s">
        <v>2247</v>
      </c>
    </row>
    <row r="25" spans="2:2" x14ac:dyDescent="0.35">
      <c r="B25" s="442"/>
    </row>
    <row r="26" spans="2:2" ht="139.19999999999999" x14ac:dyDescent="0.35">
      <c r="B26" s="446" t="s">
        <v>2254</v>
      </c>
    </row>
    <row r="27" spans="2:2" x14ac:dyDescent="0.35">
      <c r="B27" s="442"/>
    </row>
    <row r="28" spans="2:2" x14ac:dyDescent="0.35">
      <c r="B28" s="439" t="s">
        <v>2247</v>
      </c>
    </row>
    <row r="29" spans="2:2" x14ac:dyDescent="0.35">
      <c r="B29" s="442"/>
    </row>
    <row r="30" spans="2:2" x14ac:dyDescent="0.35">
      <c r="B30" s="447" t="s">
        <v>2255</v>
      </c>
    </row>
    <row r="31" spans="2:2" x14ac:dyDescent="0.35">
      <c r="B31" s="442"/>
    </row>
    <row r="32" spans="2:2" x14ac:dyDescent="0.35">
      <c r="B32" s="439" t="s">
        <v>2247</v>
      </c>
    </row>
    <row r="33" spans="2:2" x14ac:dyDescent="0.35">
      <c r="B33" s="442"/>
    </row>
    <row r="34" spans="2:2" x14ac:dyDescent="0.35">
      <c r="B34" s="439" t="s">
        <v>2256</v>
      </c>
    </row>
    <row r="35" spans="2:2" x14ac:dyDescent="0.35">
      <c r="B35" s="439"/>
    </row>
    <row r="36" spans="2:2" ht="27.6" x14ac:dyDescent="0.35">
      <c r="B36" s="442" t="s">
        <v>2257</v>
      </c>
    </row>
    <row r="37" spans="2:2" x14ac:dyDescent="0.35">
      <c r="B37" s="442"/>
    </row>
    <row r="38" spans="2:2" ht="27.6" x14ac:dyDescent="0.35">
      <c r="B38" s="442" t="s">
        <v>2258</v>
      </c>
    </row>
    <row r="39" spans="2:2" x14ac:dyDescent="0.35">
      <c r="B39" s="442"/>
    </row>
    <row r="40" spans="2:2" ht="27.6" x14ac:dyDescent="0.35">
      <c r="B40" s="442" t="s">
        <v>2259</v>
      </c>
    </row>
    <row r="41" spans="2:2" x14ac:dyDescent="0.35">
      <c r="B41" s="442"/>
    </row>
    <row r="42" spans="2:2" ht="40.799999999999997" x14ac:dyDescent="0.35">
      <c r="B42" s="442" t="s">
        <v>2260</v>
      </c>
    </row>
    <row r="43" spans="2:2" x14ac:dyDescent="0.35">
      <c r="B43" s="442"/>
    </row>
    <row r="44" spans="2:2" x14ac:dyDescent="0.35">
      <c r="B44" s="439" t="s">
        <v>2261</v>
      </c>
    </row>
    <row r="45" spans="2:2" x14ac:dyDescent="0.35">
      <c r="B45" s="439"/>
    </row>
    <row r="46" spans="2:2" x14ac:dyDescent="0.35">
      <c r="B46" s="448" t="s">
        <v>2262</v>
      </c>
    </row>
    <row r="47" spans="2:2" x14ac:dyDescent="0.35">
      <c r="B47" s="439"/>
    </row>
    <row r="48" spans="2:2" x14ac:dyDescent="0.35">
      <c r="B48" s="439" t="s">
        <v>2261</v>
      </c>
    </row>
    <row r="49" spans="2:2" x14ac:dyDescent="0.35">
      <c r="B49" s="439"/>
    </row>
    <row r="50" spans="2:2" x14ac:dyDescent="0.35">
      <c r="B50" s="439"/>
    </row>
    <row r="51" spans="2:2" x14ac:dyDescent="0.35">
      <c r="B51" s="442" t="s">
        <v>2263</v>
      </c>
    </row>
    <row r="52" spans="2:2" ht="40.799999999999997" x14ac:dyDescent="0.35">
      <c r="B52" s="442" t="s">
        <v>2264</v>
      </c>
    </row>
    <row r="53" spans="2:2" ht="28.8" x14ac:dyDescent="0.35">
      <c r="B53" s="449" t="s">
        <v>2265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61119-50F0-4735-8852-66F27406FB4F}">
  <sheetPr codeName="Dashboard">
    <tabColor theme="9" tint="0.59999389629810485"/>
    <pageSetUpPr autoPageBreaks="0"/>
  </sheetPr>
  <dimension ref="A1:Y1007"/>
  <sheetViews>
    <sheetView showGridLines="0" tabSelected="1" topLeftCell="D38" zoomScale="85" zoomScaleNormal="85" workbookViewId="0">
      <selection sqref="A1:S1"/>
    </sheetView>
  </sheetViews>
  <sheetFormatPr defaultColWidth="6.44140625" defaultRowHeight="14.4" x14ac:dyDescent="0.3"/>
  <cols>
    <col min="1" max="1" width="29.44140625" style="55" hidden="1" customWidth="1"/>
    <col min="2" max="3" width="1.5546875" style="55" hidden="1" customWidth="1"/>
    <col min="4" max="4" width="2.6640625" style="55" customWidth="1"/>
    <col min="5" max="5" width="67.6640625" style="55" customWidth="1"/>
    <col min="6" max="6" width="16.6640625" style="55" customWidth="1"/>
    <col min="7" max="7" width="18.6640625" style="55" customWidth="1"/>
    <col min="8" max="8" width="22.6640625" style="212" customWidth="1"/>
    <col min="9" max="9" width="15.6640625" style="55" customWidth="1"/>
    <col min="10" max="10" width="22.6640625" style="55" hidden="1" customWidth="1"/>
    <col min="11" max="11" width="5.6640625" style="55" hidden="1" customWidth="1"/>
    <col min="12" max="12" width="17.5546875" style="55" hidden="1" customWidth="1"/>
    <col min="13" max="14" width="7.5546875" style="55" hidden="1" customWidth="1"/>
    <col min="15" max="15" width="1.109375" style="55" customWidth="1"/>
    <col min="16" max="16" width="7.88671875" style="55" customWidth="1"/>
    <col min="17" max="17" width="24.6640625" style="55" customWidth="1"/>
    <col min="18" max="18" width="19.109375" style="55" customWidth="1"/>
    <col min="19" max="19" width="11.88671875" style="55" customWidth="1"/>
    <col min="20" max="20" width="12" style="55" hidden="1" customWidth="1"/>
    <col min="21" max="21" width="5" style="55" customWidth="1"/>
    <col min="22" max="22" width="1.6640625" style="55" customWidth="1"/>
    <col min="23" max="23" width="0.88671875" customWidth="1"/>
    <col min="24" max="24" width="41.109375" customWidth="1"/>
    <col min="25" max="25" width="20.6640625" customWidth="1"/>
    <col min="26" max="29" width="6.44140625" style="55" customWidth="1"/>
    <col min="30" max="16384" width="6.44140625" style="55"/>
  </cols>
  <sheetData>
    <row r="1" spans="1:25" ht="22.8" x14ac:dyDescent="0.4">
      <c r="A1" s="466" t="s">
        <v>1882</v>
      </c>
      <c r="B1" s="466"/>
      <c r="C1" s="466"/>
      <c r="D1" s="466"/>
      <c r="E1" s="466"/>
      <c r="F1" s="466"/>
      <c r="G1" s="466"/>
      <c r="H1" s="466"/>
      <c r="I1" s="466"/>
      <c r="J1" s="466"/>
      <c r="K1" s="466"/>
      <c r="L1" s="466"/>
      <c r="M1" s="466"/>
      <c r="N1" s="466"/>
      <c r="O1" s="466"/>
      <c r="P1" s="466"/>
      <c r="Q1" s="466"/>
      <c r="R1" s="466"/>
      <c r="S1" s="466"/>
      <c r="T1" s="54"/>
      <c r="U1" s="54"/>
      <c r="V1" s="54"/>
      <c r="W1" s="335"/>
      <c r="X1" s="335"/>
      <c r="Y1" s="335"/>
    </row>
    <row r="2" spans="1:25" ht="5.25" customHeight="1" x14ac:dyDescent="0.25">
      <c r="A2" s="56"/>
      <c r="B2" s="57"/>
      <c r="C2" s="57"/>
      <c r="D2" s="57"/>
      <c r="E2" s="57"/>
      <c r="F2" s="57"/>
      <c r="G2" s="57"/>
      <c r="H2" s="205"/>
      <c r="I2" s="57"/>
      <c r="J2" s="57"/>
      <c r="K2" s="57"/>
      <c r="L2" s="57"/>
      <c r="M2" s="57"/>
      <c r="N2" s="57"/>
      <c r="O2" s="57"/>
      <c r="P2" s="57"/>
      <c r="Q2" s="57"/>
      <c r="R2" s="57"/>
      <c r="S2" s="57"/>
      <c r="T2" s="57"/>
      <c r="U2" s="57"/>
      <c r="V2" s="57"/>
      <c r="W2" s="335"/>
      <c r="X2" s="335"/>
      <c r="Y2" s="335"/>
    </row>
    <row r="3" spans="1:25" s="61" customFormat="1" ht="19.5" customHeight="1" x14ac:dyDescent="0.25">
      <c r="A3" s="127" t="s">
        <v>0</v>
      </c>
      <c r="B3" s="58"/>
      <c r="C3" s="126" t="s">
        <v>1</v>
      </c>
      <c r="D3" s="59"/>
      <c r="E3" s="59"/>
      <c r="F3" s="59"/>
      <c r="G3" s="59"/>
      <c r="H3" s="59"/>
      <c r="I3" s="59"/>
      <c r="J3" s="59"/>
      <c r="K3" s="60"/>
      <c r="L3" s="60"/>
      <c r="M3" s="59"/>
      <c r="N3" s="59"/>
      <c r="O3" s="58"/>
      <c r="P3" s="467" t="str">
        <f>"Results: "&amp;Selected40B</f>
        <v>Results: Canola HEFA</v>
      </c>
      <c r="Q3" s="467"/>
      <c r="R3" s="467"/>
      <c r="S3" s="467"/>
      <c r="T3" s="467"/>
      <c r="U3" s="467"/>
      <c r="V3" s="467"/>
      <c r="W3" s="335"/>
      <c r="X3" s="335"/>
      <c r="Y3" s="336"/>
    </row>
    <row r="4" spans="1:25" ht="3" customHeight="1" x14ac:dyDescent="0.25">
      <c r="A4" s="62"/>
      <c r="B4" s="62"/>
      <c r="C4" s="62"/>
      <c r="D4" s="59"/>
      <c r="E4" s="59"/>
      <c r="F4" s="59"/>
      <c r="G4" s="59"/>
      <c r="H4" s="59"/>
      <c r="I4" s="59"/>
      <c r="J4" s="59"/>
      <c r="W4" s="335"/>
      <c r="X4" s="335"/>
      <c r="Y4" s="335"/>
    </row>
    <row r="5" spans="1:25" ht="15" customHeight="1" thickBot="1" x14ac:dyDescent="0.35">
      <c r="A5" s="63"/>
      <c r="B5" s="62"/>
      <c r="C5" s="49"/>
      <c r="D5" s="59"/>
      <c r="E5" s="415" t="s">
        <v>1884</v>
      </c>
      <c r="F5" s="59"/>
      <c r="G5" s="59"/>
      <c r="H5" s="59"/>
      <c r="I5" s="59"/>
      <c r="J5" s="59"/>
      <c r="K5" s="64"/>
      <c r="L5" s="64"/>
      <c r="M5" s="64"/>
      <c r="N5" s="49"/>
      <c r="P5" s="65"/>
      <c r="Q5" s="65"/>
      <c r="R5" s="65"/>
      <c r="S5" s="66"/>
      <c r="T5" s="67"/>
      <c r="U5" s="66"/>
      <c r="V5" s="66"/>
      <c r="W5" s="335"/>
      <c r="X5" s="335"/>
      <c r="Y5" s="335"/>
    </row>
    <row r="6" spans="1:25" ht="15.75" customHeight="1" x14ac:dyDescent="0.45">
      <c r="A6" s="63"/>
      <c r="B6" s="62"/>
      <c r="C6" s="98"/>
      <c r="D6" s="164"/>
      <c r="E6" s="175" t="s">
        <v>2047</v>
      </c>
      <c r="F6" s="59"/>
      <c r="G6" s="59"/>
      <c r="H6" s="206"/>
      <c r="I6" s="98"/>
      <c r="J6" s="164"/>
      <c r="K6" s="164"/>
      <c r="L6" s="64"/>
      <c r="M6" s="64"/>
      <c r="N6" s="49"/>
      <c r="P6" s="236" t="s">
        <v>1880</v>
      </c>
      <c r="Q6" s="234"/>
      <c r="R6" s="234"/>
      <c r="S6" s="234"/>
      <c r="T6" s="234"/>
      <c r="U6" s="234"/>
      <c r="V6" s="235"/>
      <c r="W6" s="335"/>
      <c r="X6" s="468" t="s">
        <v>1966</v>
      </c>
      <c r="Y6" s="414"/>
    </row>
    <row r="7" spans="1:25" ht="15" customHeight="1" thickBot="1" x14ac:dyDescent="0.35">
      <c r="A7" s="68"/>
      <c r="B7" s="62"/>
      <c r="C7"/>
      <c r="D7" s="213"/>
      <c r="E7" s="226" t="str">
        <f>Dash_LCIJetFuel_t</f>
        <v>SAF Production (per period of operation)</v>
      </c>
      <c r="F7" s="213"/>
      <c r="G7" s="213"/>
      <c r="H7" s="213"/>
      <c r="I7" s="213"/>
      <c r="J7" s="213"/>
      <c r="K7" s="213"/>
      <c r="L7" s="213"/>
      <c r="M7" s="213"/>
      <c r="N7"/>
      <c r="O7"/>
      <c r="P7" s="66"/>
      <c r="Q7" s="66"/>
      <c r="R7" s="66"/>
      <c r="S7" s="66"/>
      <c r="T7" s="65"/>
      <c r="U7" s="65" t="s">
        <v>199</v>
      </c>
      <c r="V7" s="66"/>
      <c r="W7" s="335"/>
      <c r="X7" s="469"/>
      <c r="Y7" s="414"/>
    </row>
    <row r="8" spans="1:25" ht="15" customHeight="1" thickBot="1" x14ac:dyDescent="0.35">
      <c r="A8" s="63"/>
      <c r="B8" s="62"/>
      <c r="C8"/>
      <c r="D8" s="213"/>
      <c r="E8" s="227" t="str" cm="1">
        <f t="array" ref="E8:H8">Dash_LCIJetFuel_h</f>
        <v>Parameter</v>
      </c>
      <c r="F8" s="255" t="str">
        <v>Sample Input</v>
      </c>
      <c r="G8" s="255" t="str">
        <v>User Input</v>
      </c>
      <c r="H8" s="254" t="str">
        <v>Unit</v>
      </c>
      <c r="I8" s="213"/>
      <c r="J8" s="213"/>
      <c r="K8" s="213"/>
      <c r="L8" s="213"/>
      <c r="M8" s="213"/>
      <c r="N8"/>
      <c r="O8"/>
      <c r="P8" s="66"/>
      <c r="Q8" s="66"/>
      <c r="R8" s="66"/>
      <c r="S8" s="66"/>
      <c r="T8" s="66"/>
      <c r="U8" s="66"/>
      <c r="V8" s="66"/>
      <c r="W8" s="335"/>
      <c r="X8" s="470"/>
      <c r="Y8" s="414"/>
    </row>
    <row r="9" spans="1:25" s="244" customFormat="1" ht="15" customHeight="1" thickBot="1" x14ac:dyDescent="0.35">
      <c r="B9" s="245"/>
      <c r="C9"/>
      <c r="D9" s="213"/>
      <c r="E9" s="230" t="str" cm="1">
        <f t="array" aca="1" ref="E9:E21" ca="1">Dash_LCIJetFuel_L</f>
        <v>SAF production</v>
      </c>
      <c r="F9" s="435">
        <v>30</v>
      </c>
      <c r="G9" s="462"/>
      <c r="H9" s="208" t="str" cm="1">
        <f t="array" aca="1" ref="H9:H21" ca="1">Dash_LCIJetFuel_R</f>
        <v>million gallons</v>
      </c>
      <c r="I9" s="213"/>
      <c r="J9" s="213"/>
      <c r="K9" s="213"/>
      <c r="L9" s="213"/>
      <c r="M9" s="213"/>
      <c r="N9"/>
      <c r="O9" s="246"/>
      <c r="P9" s="66"/>
      <c r="Q9" s="66"/>
      <c r="R9" s="66"/>
      <c r="S9" s="66"/>
      <c r="T9" s="247"/>
      <c r="U9" s="247"/>
      <c r="V9" s="247"/>
      <c r="W9" s="337"/>
      <c r="X9" s="414"/>
      <c r="Y9" s="414"/>
    </row>
    <row r="10" spans="1:25" s="244" customFormat="1" ht="15" customHeight="1" x14ac:dyDescent="0.3">
      <c r="B10" s="245"/>
      <c r="C10"/>
      <c r="D10" s="213"/>
      <c r="E10" s="231" t="str">
        <f ca="1"/>
        <v>Renewable diesel production</v>
      </c>
      <c r="F10" s="457">
        <v>30</v>
      </c>
      <c r="G10" s="463"/>
      <c r="H10" s="209" t="str">
        <f ca="1"/>
        <v>million gallons</v>
      </c>
      <c r="I10" s="213"/>
      <c r="J10" s="213"/>
      <c r="K10" s="213"/>
      <c r="L10" s="213"/>
      <c r="M10" s="213"/>
      <c r="N10"/>
      <c r="O10" s="17"/>
      <c r="P10" s="260" t="s">
        <v>1886</v>
      </c>
      <c r="Q10" s="66"/>
      <c r="R10" s="66"/>
      <c r="S10" s="66"/>
      <c r="T10" s="247"/>
      <c r="U10" s="247"/>
      <c r="V10" s="247"/>
      <c r="W10" s="337"/>
      <c r="X10" s="474" t="s">
        <v>2223</v>
      </c>
      <c r="Y10" s="414"/>
    </row>
    <row r="11" spans="1:25" s="244" customFormat="1" ht="15" customHeight="1" x14ac:dyDescent="0.3">
      <c r="A11" s="248"/>
      <c r="B11" s="245"/>
      <c r="C11"/>
      <c r="D11" s="213"/>
      <c r="E11" s="231" t="str">
        <f ca="1"/>
        <v>Renewable gasoline production</v>
      </c>
      <c r="F11" s="457">
        <v>0</v>
      </c>
      <c r="G11" s="463"/>
      <c r="H11" s="209" t="str">
        <f ca="1"/>
        <v>million gallons</v>
      </c>
      <c r="I11" s="213"/>
      <c r="J11" s="213"/>
      <c r="K11" s="213"/>
      <c r="L11" s="213"/>
      <c r="M11" s="213"/>
      <c r="N11"/>
      <c r="O11" s="17"/>
      <c r="P11" s="260" t="str">
        <f>IF(SelectedMetric&lt;&gt;"Total Energy","Total ","") &amp; "GHG" &amp; " Emissions (" &amp; DashboardUnit &amp; ")"</f>
        <v>Total GHG Emissions (g CO2e/MJ)</v>
      </c>
      <c r="Q11" s="66"/>
      <c r="R11" s="66"/>
      <c r="S11" s="66"/>
      <c r="T11" s="247"/>
      <c r="U11" s="247"/>
      <c r="V11" s="247"/>
      <c r="W11" s="337"/>
      <c r="X11" s="475"/>
      <c r="Y11" s="414"/>
    </row>
    <row r="12" spans="1:25" s="244" customFormat="1" ht="15" customHeight="1" x14ac:dyDescent="0.3">
      <c r="A12" s="248"/>
      <c r="B12" s="245"/>
      <c r="C12"/>
      <c r="D12" s="213"/>
      <c r="E12" s="231" t="str">
        <f ca="1"/>
        <v>Renewable naphtha production</v>
      </c>
      <c r="F12" s="457">
        <v>0</v>
      </c>
      <c r="G12" s="463"/>
      <c r="H12" s="209" t="str">
        <f ca="1"/>
        <v>million gallons</v>
      </c>
      <c r="I12" s="213"/>
      <c r="J12" s="213"/>
      <c r="K12" s="213"/>
      <c r="L12" s="213"/>
      <c r="M12" s="213"/>
      <c r="N12"/>
      <c r="O12" s="17"/>
      <c r="P12" s="66"/>
      <c r="Q12" s="66"/>
      <c r="R12" s="66"/>
      <c r="S12" s="66"/>
      <c r="T12" s="247"/>
      <c r="U12" s="247"/>
      <c r="V12" s="247"/>
      <c r="W12" s="337"/>
      <c r="X12" s="475"/>
      <c r="Y12" s="414"/>
    </row>
    <row r="13" spans="1:25" s="244" customFormat="1" ht="15" customHeight="1" thickBot="1" x14ac:dyDescent="0.35">
      <c r="A13" s="248"/>
      <c r="B13" s="245"/>
      <c r="C13"/>
      <c r="D13" s="213"/>
      <c r="E13" s="231" t="str">
        <f ca="1"/>
        <v>Feedstock: canola oil consumption</v>
      </c>
      <c r="F13" s="457">
        <v>443.75048093802241</v>
      </c>
      <c r="G13" s="463"/>
      <c r="H13" s="209" t="str">
        <f ca="1"/>
        <v>million lbs</v>
      </c>
      <c r="I13" s="213"/>
      <c r="J13" s="213"/>
      <c r="K13" s="213"/>
      <c r="L13" s="213"/>
      <c r="M13" s="213"/>
      <c r="N13"/>
      <c r="O13" s="17"/>
      <c r="P13" s="66"/>
      <c r="Q13" s="66"/>
      <c r="R13" s="66"/>
      <c r="S13" s="66"/>
      <c r="T13" s="247"/>
      <c r="U13" s="247"/>
      <c r="V13" s="247"/>
      <c r="W13" s="337"/>
      <c r="X13" s="476"/>
      <c r="Y13" s="414"/>
    </row>
    <row r="14" spans="1:25" ht="15" customHeight="1" thickBot="1" x14ac:dyDescent="0.35">
      <c r="A14" s="63"/>
      <c r="B14" s="62"/>
      <c r="C14"/>
      <c r="D14" s="213"/>
      <c r="E14" s="231" t="str">
        <f ca="1"/>
        <v>Grid electricity (selected eGRID region)</v>
      </c>
      <c r="F14" s="457">
        <v>19.049267048549822</v>
      </c>
      <c r="G14" s="463"/>
      <c r="H14" s="209" t="str">
        <f ca="1"/>
        <v>million kWh</v>
      </c>
      <c r="I14" s="213"/>
      <c r="J14" s="213"/>
      <c r="K14" s="213"/>
      <c r="L14" s="213"/>
      <c r="M14" s="213"/>
      <c r="N14"/>
      <c r="O14"/>
      <c r="P14" s="66"/>
      <c r="Q14" s="66"/>
      <c r="R14" s="66"/>
      <c r="S14" s="66"/>
      <c r="T14" s="66"/>
      <c r="U14" s="66"/>
      <c r="V14" s="66"/>
      <c r="W14" s="335"/>
      <c r="X14" s="335"/>
      <c r="Y14" s="414"/>
    </row>
    <row r="15" spans="1:25" ht="15" customHeight="1" x14ac:dyDescent="0.3">
      <c r="A15" s="63"/>
      <c r="B15" s="62"/>
      <c r="C15"/>
      <c r="D15" s="213"/>
      <c r="E15" s="231" t="str">
        <f ca="1"/>
        <v>Renewable Electricity Credit (REC)</v>
      </c>
      <c r="F15" s="457">
        <v>0</v>
      </c>
      <c r="G15" s="463"/>
      <c r="H15" s="209" t="str">
        <f ca="1"/>
        <v>million kWh</v>
      </c>
      <c r="I15" s="213"/>
      <c r="J15" s="213"/>
      <c r="K15" s="213"/>
      <c r="L15" s="213"/>
      <c r="M15" s="213"/>
      <c r="N15"/>
      <c r="O15"/>
      <c r="P15" s="66"/>
      <c r="Q15" s="66"/>
      <c r="R15" s="66"/>
      <c r="S15" s="66"/>
      <c r="T15" s="66"/>
      <c r="U15" s="66"/>
      <c r="V15" s="66"/>
      <c r="W15" s="335"/>
      <c r="X15" s="471" t="s">
        <v>2222</v>
      </c>
      <c r="Y15" s="414"/>
    </row>
    <row r="16" spans="1:25" ht="15" customHeight="1" x14ac:dyDescent="0.3">
      <c r="A16" s="63"/>
      <c r="B16" s="62"/>
      <c r="C16"/>
      <c r="D16" s="213"/>
      <c r="E16" s="231" t="str">
        <f ca="1"/>
        <v>Onsite behind-the-meter electricity</v>
      </c>
      <c r="F16" s="457">
        <v>0</v>
      </c>
      <c r="G16" s="463"/>
      <c r="H16" s="209" t="str">
        <f ca="1"/>
        <v>million kWh</v>
      </c>
      <c r="I16" s="213"/>
      <c r="J16" s="213"/>
      <c r="K16" s="213"/>
      <c r="L16" s="213"/>
      <c r="M16" s="213"/>
      <c r="N16"/>
      <c r="O16"/>
      <c r="P16" s="66"/>
      <c r="Q16" s="66"/>
      <c r="R16" s="66"/>
      <c r="S16" s="66"/>
      <c r="T16" s="66"/>
      <c r="U16" s="66"/>
      <c r="V16" s="66"/>
      <c r="W16" s="335"/>
      <c r="X16" s="472"/>
      <c r="Y16" s="335"/>
    </row>
    <row r="17" spans="1:25" ht="15" customHeight="1" x14ac:dyDescent="0.3">
      <c r="A17" s="63"/>
      <c r="B17" s="62"/>
      <c r="C17"/>
      <c r="D17" s="213"/>
      <c r="E17" s="231" t="str">
        <f ca="1"/>
        <v>Total fossil NG consumption</v>
      </c>
      <c r="F17" s="457">
        <v>123.58926254472973</v>
      </c>
      <c r="G17" s="463"/>
      <c r="H17" s="209" t="str">
        <f ca="1"/>
        <v>thousand mmBtu</v>
      </c>
      <c r="I17" s="213"/>
      <c r="J17" s="213"/>
      <c r="K17" s="213"/>
      <c r="L17" s="213"/>
      <c r="M17" s="213"/>
      <c r="N17"/>
      <c r="O17"/>
      <c r="P17" s="66"/>
      <c r="Q17" s="66"/>
      <c r="R17" s="66"/>
      <c r="S17" s="66"/>
      <c r="T17" s="66"/>
      <c r="U17" s="66"/>
      <c r="V17" s="66"/>
      <c r="W17" s="335"/>
      <c r="X17" s="472"/>
      <c r="Y17" s="335"/>
    </row>
    <row r="18" spans="1:25" ht="15" customHeight="1" thickBot="1" x14ac:dyDescent="0.35">
      <c r="A18" s="63"/>
      <c r="B18" s="62"/>
      <c r="C18"/>
      <c r="D18" s="213"/>
      <c r="E18" s="231" t="str">
        <f ca="1"/>
        <v>Total LFG-derived RNG consumption</v>
      </c>
      <c r="F18" s="457">
        <v>0</v>
      </c>
      <c r="G18" s="463"/>
      <c r="H18" s="209" t="str">
        <f ca="1"/>
        <v>thousand mmBtu</v>
      </c>
      <c r="I18" s="213"/>
      <c r="J18" s="213"/>
      <c r="K18" s="213"/>
      <c r="L18" s="213"/>
      <c r="M18" s="213"/>
      <c r="N18"/>
      <c r="O18"/>
      <c r="P18" s="66"/>
      <c r="Q18" s="66"/>
      <c r="R18" s="66"/>
      <c r="S18" s="66"/>
      <c r="T18" s="66"/>
      <c r="U18" s="66"/>
      <c r="V18" s="66"/>
      <c r="W18" s="335"/>
      <c r="X18" s="473"/>
      <c r="Y18" s="335"/>
    </row>
    <row r="19" spans="1:25" ht="15" customHeight="1" thickBot="1" x14ac:dyDescent="0.35">
      <c r="A19" s="63"/>
      <c r="B19" s="62"/>
      <c r="C19"/>
      <c r="D19" s="213"/>
      <c r="E19" s="231" t="str">
        <f ca="1"/>
        <v>Offsite, Fossil NG-derived H2 consumption</v>
      </c>
      <c r="F19" s="461">
        <v>6391.6010185010036</v>
      </c>
      <c r="G19" s="463"/>
      <c r="H19" s="209" t="str">
        <f ca="1"/>
        <v>metric tons</v>
      </c>
      <c r="I19" s="213"/>
      <c r="J19" s="213"/>
      <c r="K19" s="213"/>
      <c r="L19" s="213"/>
      <c r="M19" s="213"/>
      <c r="N19"/>
      <c r="O19"/>
      <c r="P19" s="66"/>
      <c r="Q19" s="66"/>
      <c r="R19" s="66"/>
      <c r="S19" s="66"/>
      <c r="T19" s="66"/>
      <c r="U19" s="66"/>
      <c r="V19" s="66"/>
      <c r="W19" s="335"/>
      <c r="X19" s="335"/>
      <c r="Y19" s="335"/>
    </row>
    <row r="20" spans="1:25" ht="15" customHeight="1" x14ac:dyDescent="0.3">
      <c r="A20" s="63"/>
      <c r="B20" s="62"/>
      <c r="C20"/>
      <c r="D20" s="213"/>
      <c r="E20" s="231" t="str">
        <f ca="1"/>
        <v>Offsite, 45V Modeled H2 consumption</v>
      </c>
      <c r="F20" s="457">
        <v>0</v>
      </c>
      <c r="G20" s="463"/>
      <c r="H20" s="209" t="str">
        <f ca="1"/>
        <v>metric tons</v>
      </c>
      <c r="I20" s="213"/>
      <c r="J20" s="213"/>
      <c r="K20" s="213"/>
      <c r="L20" s="213"/>
      <c r="M20" s="213"/>
      <c r="N20"/>
      <c r="O20"/>
      <c r="P20" s="66"/>
      <c r="Q20" s="66"/>
      <c r="R20" s="66"/>
      <c r="S20" s="66"/>
      <c r="T20" s="66"/>
      <c r="U20" s="66"/>
      <c r="V20" s="66"/>
      <c r="W20" s="335"/>
      <c r="X20" s="464" t="s">
        <v>1963</v>
      </c>
      <c r="Y20" s="335"/>
    </row>
    <row r="21" spans="1:25" ht="15" customHeight="1" thickBot="1" x14ac:dyDescent="0.35">
      <c r="A21" s="63"/>
      <c r="B21" s="62"/>
      <c r="C21"/>
      <c r="D21" s="213"/>
      <c r="E21" s="228" t="str">
        <f ca="1"/>
        <v>Offsite, 45V Modeled H2 CI</v>
      </c>
      <c r="F21" s="436">
        <v>3</v>
      </c>
      <c r="G21" s="452"/>
      <c r="H21" s="210" t="str">
        <f ca="1"/>
        <v>kg CO2e/kg H2</v>
      </c>
      <c r="I21" s="213"/>
      <c r="J21" s="213"/>
      <c r="K21" s="213"/>
      <c r="L21" s="213"/>
      <c r="M21" s="213"/>
      <c r="N21"/>
      <c r="O21" s="211"/>
      <c r="P21" s="214"/>
      <c r="Q21" s="214"/>
      <c r="R21" s="214"/>
      <c r="S21" s="214"/>
      <c r="T21" s="214"/>
      <c r="U21" s="214" t="s">
        <v>199</v>
      </c>
      <c r="V21" s="214"/>
      <c r="W21" s="338"/>
      <c r="X21" s="465"/>
      <c r="Y21" s="335"/>
    </row>
    <row r="22" spans="1:25" ht="15" customHeight="1" x14ac:dyDescent="0.3">
      <c r="A22" s="63"/>
      <c r="B22" s="62"/>
      <c r="C22"/>
      <c r="D22" s="213"/>
      <c r="E22" s="213"/>
      <c r="F22" s="213"/>
      <c r="G22" s="213"/>
      <c r="H22" s="207"/>
      <c r="I22" s="213"/>
      <c r="J22" s="213"/>
      <c r="K22" s="213"/>
      <c r="L22" s="213"/>
      <c r="M22" s="213"/>
      <c r="N22"/>
      <c r="O22"/>
      <c r="P22" s="166"/>
      <c r="Q22" s="66"/>
      <c r="R22" s="66"/>
      <c r="S22" s="66"/>
      <c r="T22" s="66"/>
      <c r="U22" s="66"/>
      <c r="V22" s="66"/>
      <c r="W22" s="335"/>
      <c r="X22" s="335"/>
      <c r="Y22" s="335"/>
    </row>
    <row r="23" spans="1:25" ht="15" customHeight="1" thickBot="1" x14ac:dyDescent="0.4">
      <c r="A23" s="63"/>
      <c r="B23" s="62"/>
      <c r="C23"/>
      <c r="D23" s="213"/>
      <c r="E23" s="226" t="str">
        <f>Dash_Selection_t</f>
        <v>Selections (per period of operation)</v>
      </c>
      <c r="F23" s="213"/>
      <c r="G23" s="213"/>
      <c r="H23" s="213"/>
      <c r="I23" s="213"/>
      <c r="J23" s="213"/>
      <c r="K23" s="213"/>
      <c r="L23" s="213"/>
      <c r="M23" s="213"/>
      <c r="N23"/>
      <c r="O23"/>
      <c r="P23" s="166"/>
      <c r="Q23" s="220" t="s">
        <v>1646</v>
      </c>
      <c r="R23" s="219" t="s">
        <v>1881</v>
      </c>
      <c r="S23" s="66"/>
      <c r="T23" s="66"/>
      <c r="U23" s="66"/>
      <c r="V23" s="66"/>
      <c r="W23" s="335"/>
      <c r="X23" s="339"/>
      <c r="Y23" s="335"/>
    </row>
    <row r="24" spans="1:25" ht="15" thickBot="1" x14ac:dyDescent="0.35">
      <c r="A24" s="63"/>
      <c r="B24" s="62"/>
      <c r="C24"/>
      <c r="D24" s="213"/>
      <c r="E24" s="227" t="str" cm="1">
        <f t="array" ref="E24:G24">Dash_Selection_h</f>
        <v>Parameter</v>
      </c>
      <c r="F24" s="255" t="str">
        <v>User Selection</v>
      </c>
      <c r="G24" s="254" t="str">
        <v>Input Type</v>
      </c>
      <c r="H24" s="213"/>
      <c r="I24" s="213"/>
      <c r="J24" s="213"/>
      <c r="K24" s="213"/>
      <c r="L24" s="213"/>
      <c r="M24" s="213"/>
      <c r="N24"/>
      <c r="O24"/>
      <c r="P24" s="166"/>
      <c r="Q24" s="215" t="s">
        <v>1628</v>
      </c>
      <c r="R24" s="416" t="str" cm="1">
        <f t="array" ref="R24">IF(DisplayResults=FALSE,"",_xlfn.XLOOKUP("GHGs"&amp;DashResultsTable[[#This Row],[Life Cycle Stage]],ResultsPivotTable[Metric]&amp;ResultsPivotTable[LC Stage],ResultsPivotTable[Value],"No data found"))</f>
        <v/>
      </c>
      <c r="S24" s="66"/>
      <c r="T24" s="66"/>
      <c r="U24" s="66"/>
      <c r="V24" s="66"/>
      <c r="W24" s="335"/>
      <c r="X24" s="339"/>
      <c r="Y24" s="335"/>
    </row>
    <row r="25" spans="1:25" ht="15" thickBot="1" x14ac:dyDescent="0.35">
      <c r="A25" s="63"/>
      <c r="B25" s="62"/>
      <c r="C25"/>
      <c r="D25" s="213"/>
      <c r="E25" s="453" t="str" cm="1">
        <f t="array" aca="1" ref="E25" ca="1">Dash_Selection_L</f>
        <v>SAF Production, Grid Electricity Source (eGRID by default)</v>
      </c>
      <c r="F25" s="455">
        <v>1</v>
      </c>
      <c r="G25" s="454" t="str" cm="1">
        <f t="array" aca="1" ref="G25" ca="1">Dash_Selection_R</f>
        <v>Selection</v>
      </c>
      <c r="H25" s="213"/>
      <c r="I25" s="213"/>
      <c r="J25" s="213"/>
      <c r="K25" s="213"/>
      <c r="L25" s="213"/>
      <c r="M25" s="213"/>
      <c r="N25"/>
      <c r="O25"/>
      <c r="P25" s="166"/>
      <c r="Q25" s="217" t="s">
        <v>17</v>
      </c>
      <c r="R25" s="417" t="str" cm="1">
        <f t="array" ref="R25">IF(DisplayResults=FALSE,"",_xlfn.XLOOKUP("GHGs"&amp;DashResultsTable[[#This Row],[Life Cycle Stage]],ResultsPivotTable[Metric]&amp;ResultsPivotTable[LC Stage],ResultsPivotTable[Value],"No data found"))</f>
        <v/>
      </c>
      <c r="S25" s="66"/>
      <c r="T25" s="66"/>
      <c r="U25" s="66"/>
      <c r="V25" s="66"/>
      <c r="W25" s="335"/>
      <c r="X25" s="339"/>
      <c r="Y25" s="335"/>
    </row>
    <row r="26" spans="1:25" ht="15" customHeight="1" x14ac:dyDescent="0.3">
      <c r="A26" s="63"/>
      <c r="B26" s="62"/>
      <c r="C26"/>
      <c r="D26" s="213"/>
      <c r="E26" s="213"/>
      <c r="F26" s="213"/>
      <c r="G26" s="207"/>
      <c r="H26" s="213"/>
      <c r="I26" s="213"/>
      <c r="J26" s="213"/>
      <c r="K26" s="213"/>
      <c r="L26" s="213"/>
      <c r="M26" s="213"/>
      <c r="N26"/>
      <c r="O26"/>
      <c r="P26" s="166"/>
      <c r="Q26" s="217" t="s">
        <v>209</v>
      </c>
      <c r="R26" s="417" t="str" cm="1">
        <f t="array" ref="R26">IF(DisplayResults=FALSE,"",_xlfn.XLOOKUP("GHGs"&amp;DashResultsTable[[#This Row],[Life Cycle Stage]],ResultsPivotTable[Metric]&amp;ResultsPivotTable[LC Stage],ResultsPivotTable[Value],"No data found"))</f>
        <v/>
      </c>
      <c r="S26" s="66"/>
      <c r="T26" s="66"/>
      <c r="U26" s="66"/>
      <c r="V26" s="66"/>
      <c r="W26" s="335"/>
      <c r="X26" s="335"/>
      <c r="Y26" s="335"/>
    </row>
    <row r="27" spans="1:25" ht="15" customHeight="1" thickBot="1" x14ac:dyDescent="0.35">
      <c r="A27" s="63"/>
      <c r="B27" s="62"/>
      <c r="C27"/>
      <c r="D27" s="213"/>
      <c r="E27" s="226" t="str">
        <f>Dash_Transport_t</f>
        <v>Transportation Data (per period of operation)</v>
      </c>
      <c r="F27" s="213"/>
      <c r="G27" s="213"/>
      <c r="H27" s="213"/>
      <c r="I27" s="213"/>
      <c r="J27" s="213"/>
      <c r="K27" s="213"/>
      <c r="L27" s="213"/>
      <c r="M27" s="213"/>
      <c r="N27"/>
      <c r="O27"/>
      <c r="P27" s="166"/>
      <c r="Q27" s="217" t="s">
        <v>446</v>
      </c>
      <c r="R27" s="417" t="str" cm="1">
        <f t="array" ref="R27">IF(DisplayResults=FALSE,"",_xlfn.XLOOKUP("GHGs"&amp;DashResultsTable[[#This Row],[Life Cycle Stage]],ResultsPivotTable[Metric]&amp;ResultsPivotTable[LC Stage],ResultsPivotTable[Value],"No data found"))</f>
        <v/>
      </c>
      <c r="S27" s="66"/>
      <c r="T27" s="66"/>
      <c r="U27" s="66"/>
      <c r="V27" s="66"/>
      <c r="W27" s="335"/>
      <c r="X27" s="335"/>
      <c r="Y27" s="335"/>
    </row>
    <row r="28" spans="1:25" ht="15" customHeight="1" thickBot="1" x14ac:dyDescent="0.35">
      <c r="A28" s="63"/>
      <c r="B28" s="62"/>
      <c r="C28"/>
      <c r="D28" s="213"/>
      <c r="E28" s="227" t="str" cm="1">
        <f t="array" ref="E28:I28">Dash_Transport_h</f>
        <v>Transportation Type</v>
      </c>
      <c r="F28" s="255" t="str">
        <v>Share (%)</v>
      </c>
      <c r="G28" s="255" t="str">
        <v>Distance (mi)</v>
      </c>
      <c r="H28" s="255" t="str">
        <v>Share (%)</v>
      </c>
      <c r="I28" s="254" t="str">
        <v>Distance (mi)</v>
      </c>
      <c r="J28" s="213"/>
      <c r="K28" s="213"/>
      <c r="L28" s="213"/>
      <c r="M28" s="213"/>
      <c r="N28"/>
      <c r="O28"/>
      <c r="P28" s="166"/>
      <c r="Q28" s="215" t="s">
        <v>1632</v>
      </c>
      <c r="R28" s="416" t="str" cm="1">
        <f t="array" ref="R28">IF(DisplayResults=FALSE,"",_xlfn.XLOOKUP("GHGs"&amp;DashResultsTable[[#This Row],[Life Cycle Stage]],ResultsPivotTable[Metric]&amp;ResultsPivotTable[LC Stage],ResultsPivotTable[Value],"No data found"))</f>
        <v/>
      </c>
      <c r="S28" s="66"/>
      <c r="T28" s="66"/>
      <c r="U28" s="66"/>
      <c r="V28" s="66"/>
      <c r="W28" s="335"/>
      <c r="X28" s="335"/>
      <c r="Y28" s="335"/>
    </row>
    <row r="29" spans="1:25" ht="15" customHeight="1" x14ac:dyDescent="0.3">
      <c r="A29" s="63"/>
      <c r="B29" s="62"/>
      <c r="C29"/>
      <c r="D29" s="213"/>
      <c r="E29" s="230" t="str" cm="1">
        <f t="array" ref="E29:E38">Dash_Transport_L</f>
        <v>SAF - From SAF facility to Terminal: Barge</v>
      </c>
      <c r="F29" s="437">
        <v>0.08</v>
      </c>
      <c r="G29" s="435">
        <v>520</v>
      </c>
      <c r="H29" s="437"/>
      <c r="I29" s="458"/>
      <c r="J29" s="213"/>
      <c r="K29" s="213"/>
      <c r="L29" s="213"/>
      <c r="M29" s="213"/>
      <c r="N29"/>
      <c r="O29"/>
      <c r="P29" s="166"/>
      <c r="Q29" s="218" t="s">
        <v>873</v>
      </c>
      <c r="R29" s="418" t="str">
        <f>IF(DisplayResults,'Pivot Tables'!H23,"")</f>
        <v/>
      </c>
      <c r="S29" s="66"/>
      <c r="T29" s="66"/>
      <c r="U29" s="66"/>
      <c r="V29" s="66"/>
      <c r="W29" s="335"/>
      <c r="X29" s="335"/>
      <c r="Y29" s="335"/>
    </row>
    <row r="30" spans="1:25" ht="15" customHeight="1" x14ac:dyDescent="0.3">
      <c r="A30" s="63"/>
      <c r="B30" s="62"/>
      <c r="C30"/>
      <c r="D30" s="213"/>
      <c r="E30" s="231" t="str">
        <v>SAF - From SAF facility to Terminal: Pipeline</v>
      </c>
      <c r="F30" s="456">
        <v>0</v>
      </c>
      <c r="G30" s="457">
        <v>0</v>
      </c>
      <c r="H30" s="456"/>
      <c r="I30" s="459"/>
      <c r="J30" s="213"/>
      <c r="K30" s="213"/>
      <c r="L30" s="213"/>
      <c r="M30" s="213"/>
      <c r="N30"/>
      <c r="O30"/>
      <c r="P30" s="166"/>
      <c r="Q30" s="218" t="s">
        <v>1627</v>
      </c>
      <c r="R30" s="418" t="str">
        <f>IF(DisplayResults,'Pivot Tables'!H24,"")</f>
        <v/>
      </c>
      <c r="S30" s="66"/>
      <c r="T30" s="66"/>
      <c r="U30" s="66"/>
      <c r="V30" s="66"/>
      <c r="W30" s="335"/>
      <c r="X30" s="335"/>
      <c r="Y30" s="335"/>
    </row>
    <row r="31" spans="1:25" x14ac:dyDescent="0.3">
      <c r="A31" s="63"/>
      <c r="B31" s="62"/>
      <c r="C31"/>
      <c r="D31" s="213"/>
      <c r="E31" s="231" t="str">
        <v>SAF - From SAF facility to Terminal: Rail</v>
      </c>
      <c r="F31" s="456">
        <v>0.28999999999999998</v>
      </c>
      <c r="G31" s="457">
        <v>800</v>
      </c>
      <c r="H31" s="456"/>
      <c r="I31" s="459"/>
      <c r="J31" s="213"/>
      <c r="K31" s="213"/>
      <c r="L31" s="213"/>
      <c r="M31" s="213"/>
      <c r="N31"/>
      <c r="O31"/>
      <c r="P31" s="166"/>
      <c r="Q31" s="218" t="s">
        <v>1625</v>
      </c>
      <c r="R31" s="418" t="str">
        <f>IF(DisplayResults,'Pivot Tables'!H25,"")</f>
        <v/>
      </c>
      <c r="S31" s="66"/>
      <c r="T31" s="66"/>
      <c r="U31" s="66"/>
      <c r="V31" s="66"/>
      <c r="W31" s="335"/>
      <c r="X31" s="335"/>
      <c r="Y31" s="335"/>
    </row>
    <row r="32" spans="1:25" x14ac:dyDescent="0.3">
      <c r="A32" s="63"/>
      <c r="B32" s="62"/>
      <c r="C32"/>
      <c r="D32" s="213"/>
      <c r="E32" s="231" t="str">
        <v xml:space="preserve">SAF - From SAF facility to Terminal: Heavy-Duty Truck (Tanker) </v>
      </c>
      <c r="F32" s="456">
        <v>0.63</v>
      </c>
      <c r="G32" s="457">
        <v>50</v>
      </c>
      <c r="H32" s="456"/>
      <c r="I32" s="459"/>
      <c r="J32" s="213"/>
      <c r="K32" s="213"/>
      <c r="L32" s="213"/>
      <c r="M32" s="213"/>
      <c r="N32"/>
      <c r="O32"/>
      <c r="P32" s="166"/>
      <c r="Q32" s="218" t="s">
        <v>1623</v>
      </c>
      <c r="R32" s="418" t="str">
        <f>IF(DisplayResults,'Pivot Tables'!H26,"")</f>
        <v/>
      </c>
      <c r="S32" s="166"/>
      <c r="T32" s="66"/>
      <c r="U32" s="66"/>
      <c r="V32" s="66"/>
      <c r="W32" s="335"/>
      <c r="X32" s="335"/>
      <c r="Y32" s="340"/>
    </row>
    <row r="33" spans="1:25" ht="15.6" x14ac:dyDescent="0.3">
      <c r="A33" s="63"/>
      <c r="C33"/>
      <c r="D33" s="213"/>
      <c r="E33" s="231" t="str">
        <v>Fossil NG SMR H2 - From H2 facility to SAF facility: Pipeline</v>
      </c>
      <c r="F33" s="456">
        <v>1</v>
      </c>
      <c r="G33" s="457">
        <v>150</v>
      </c>
      <c r="H33" s="456"/>
      <c r="I33" s="459"/>
      <c r="J33" s="213"/>
      <c r="K33" s="213"/>
      <c r="L33" s="213"/>
      <c r="M33" s="213"/>
      <c r="N33"/>
      <c r="O33"/>
      <c r="P33" s="166"/>
      <c r="Q33" s="216" t="s">
        <v>1633</v>
      </c>
      <c r="R33" s="451" t="str" cm="1">
        <f t="array" ref="R33">IF(DisplayResults=FALSE,"",_xlfn.XLOOKUP("GHGs"&amp;DashResultsTable[[#This Row],[Life Cycle Stage]],ResultsPivotTable[Metric]&amp;ResultsPivotTable[LC Stage],ResultsPivotTable[Value],"No data found"))</f>
        <v/>
      </c>
      <c r="S33" s="166"/>
      <c r="T33" s="166"/>
      <c r="U33" s="91"/>
      <c r="V33" s="66"/>
      <c r="W33" s="335"/>
      <c r="X33" s="335"/>
      <c r="Y33" s="340"/>
    </row>
    <row r="34" spans="1:25" ht="15.6" x14ac:dyDescent="0.3">
      <c r="A34" s="63"/>
      <c r="B34" s="62"/>
      <c r="C34"/>
      <c r="D34" s="213"/>
      <c r="E34" s="231" t="str">
        <v>Fossil NG SMR H2 - From H2 facility to SAF facility: Tube Trailer</v>
      </c>
      <c r="F34" s="456">
        <v>0</v>
      </c>
      <c r="G34" s="457">
        <v>0</v>
      </c>
      <c r="H34" s="456"/>
      <c r="I34" s="459"/>
      <c r="J34" s="213"/>
      <c r="K34" s="213"/>
      <c r="L34" s="213"/>
      <c r="M34" s="213"/>
      <c r="N34"/>
      <c r="O34"/>
      <c r="P34" s="166"/>
      <c r="Q34" s="216" t="s">
        <v>1969</v>
      </c>
      <c r="R34" s="421" t="str">
        <f>IFERROR((BaselineCI-R33)/BaselineCI,"")</f>
        <v/>
      </c>
      <c r="S34" s="166"/>
      <c r="T34" s="91"/>
      <c r="U34" s="91"/>
      <c r="V34" s="66"/>
      <c r="W34" s="335"/>
      <c r="X34" s="335"/>
      <c r="Y34" s="335"/>
    </row>
    <row r="35" spans="1:25" ht="15.75" customHeight="1" x14ac:dyDescent="0.3">
      <c r="A35" s="63"/>
      <c r="B35" s="62"/>
      <c r="C35"/>
      <c r="D35" s="213"/>
      <c r="E35" s="231" t="str">
        <v>Fossil NG SMR H2 - From H2 facility to SAF facility: Liquid Truck</v>
      </c>
      <c r="F35" s="456">
        <v>0</v>
      </c>
      <c r="G35" s="457">
        <v>0</v>
      </c>
      <c r="H35" s="456"/>
      <c r="I35" s="459"/>
      <c r="J35" s="213"/>
      <c r="K35" s="213"/>
      <c r="L35" s="213"/>
      <c r="M35" s="213"/>
      <c r="N35"/>
      <c r="O35"/>
      <c r="P35" s="166"/>
      <c r="Q35" s="166"/>
      <c r="R35" s="166"/>
      <c r="S35" s="166"/>
      <c r="T35" s="91"/>
      <c r="U35" s="91"/>
      <c r="V35" s="66"/>
      <c r="W35" s="335"/>
      <c r="X35" s="335"/>
      <c r="Y35" s="340"/>
    </row>
    <row r="36" spans="1:25" ht="15.6" x14ac:dyDescent="0.3">
      <c r="A36" s="63"/>
      <c r="B36" s="62"/>
      <c r="C36"/>
      <c r="D36" s="213"/>
      <c r="E36" s="231" t="str">
        <v>45V Modeled H2 - From H2 facility to SAF facility: Pipeline</v>
      </c>
      <c r="F36" s="456">
        <v>1</v>
      </c>
      <c r="G36" s="457">
        <v>150</v>
      </c>
      <c r="H36" s="456"/>
      <c r="I36" s="459"/>
      <c r="J36" s="213"/>
      <c r="K36" s="213"/>
      <c r="L36" s="213"/>
      <c r="M36" s="213"/>
      <c r="N36"/>
      <c r="O36"/>
      <c r="P36" s="166"/>
      <c r="Q36" s="166"/>
      <c r="R36" s="166"/>
      <c r="S36" s="166"/>
      <c r="T36" s="91"/>
      <c r="U36" s="91"/>
      <c r="V36" s="66"/>
      <c r="W36" s="335"/>
      <c r="X36" s="335"/>
      <c r="Y36" s="340"/>
    </row>
    <row r="37" spans="1:25" ht="15.6" x14ac:dyDescent="0.3">
      <c r="A37" s="63"/>
      <c r="B37" s="62"/>
      <c r="C37"/>
      <c r="D37" s="213"/>
      <c r="E37" s="231" t="str">
        <v>45V Modeled H2 - From H2 facility to SAF facility: Tube Trailer</v>
      </c>
      <c r="F37" s="456">
        <v>0</v>
      </c>
      <c r="G37" s="457">
        <v>0</v>
      </c>
      <c r="H37" s="456"/>
      <c r="I37" s="459"/>
      <c r="J37" s="213"/>
      <c r="K37" s="213"/>
      <c r="L37" s="213"/>
      <c r="M37" s="213"/>
      <c r="N37"/>
      <c r="O37"/>
      <c r="P37" s="166"/>
      <c r="Q37" s="166"/>
      <c r="R37" s="166"/>
      <c r="S37" s="166"/>
      <c r="T37" s="91"/>
      <c r="U37" s="91"/>
      <c r="V37" s="66"/>
      <c r="W37" s="335"/>
      <c r="X37" s="335"/>
      <c r="Y37" s="335"/>
    </row>
    <row r="38" spans="1:25" ht="15" thickBot="1" x14ac:dyDescent="0.35">
      <c r="A38" s="63"/>
      <c r="B38" s="62"/>
      <c r="C38"/>
      <c r="D38" s="213"/>
      <c r="E38" s="228" t="str">
        <v>45V Modeled H2 - From H2 facility to SAF facility: Liquid Truck</v>
      </c>
      <c r="F38" s="438">
        <v>0</v>
      </c>
      <c r="G38" s="436">
        <v>0</v>
      </c>
      <c r="H38" s="438"/>
      <c r="I38" s="460"/>
      <c r="J38" s="213"/>
      <c r="K38" s="213"/>
      <c r="L38" s="213"/>
      <c r="M38" s="213"/>
      <c r="N38"/>
      <c r="O38"/>
      <c r="P38" s="166"/>
      <c r="Q38" s="166"/>
      <c r="R38" s="166"/>
      <c r="S38" s="166"/>
      <c r="T38" s="65"/>
      <c r="U38" s="66"/>
      <c r="V38" s="66"/>
      <c r="W38" s="335"/>
      <c r="X38" s="335"/>
      <c r="Y38" s="335"/>
    </row>
    <row r="39" spans="1:25" x14ac:dyDescent="0.3">
      <c r="A39" s="63"/>
      <c r="B39" s="62"/>
      <c r="C39"/>
      <c r="D39" s="213"/>
      <c r="E39" s="213"/>
      <c r="F39" s="213"/>
      <c r="G39" s="213"/>
      <c r="H39" s="213"/>
      <c r="I39" s="213"/>
      <c r="J39" s="213"/>
      <c r="K39" s="213"/>
      <c r="L39" s="213"/>
      <c r="M39" s="213"/>
      <c r="N39"/>
      <c r="O39"/>
      <c r="P39" s="166"/>
      <c r="Q39" s="166"/>
      <c r="R39" s="166"/>
      <c r="S39" s="166"/>
      <c r="T39" s="66"/>
      <c r="U39" s="66"/>
      <c r="V39" s="66"/>
      <c r="W39" s="335"/>
      <c r="X39" s="335"/>
      <c r="Y39" s="335"/>
    </row>
    <row r="40" spans="1:25" x14ac:dyDescent="0.3">
      <c r="A40" s="63"/>
      <c r="B40" s="62"/>
      <c r="C40"/>
      <c r="D40"/>
      <c r="E40"/>
      <c r="F40"/>
      <c r="G40"/>
      <c r="H40"/>
      <c r="I40"/>
      <c r="J40"/>
      <c r="K40"/>
      <c r="L40"/>
      <c r="M40"/>
      <c r="N40"/>
      <c r="O40"/>
      <c r="P40" s="166"/>
      <c r="Q40" s="166"/>
      <c r="R40" s="166"/>
      <c r="S40" s="166"/>
      <c r="T40" s="65"/>
      <c r="U40" s="66"/>
      <c r="V40" s="66"/>
      <c r="W40" s="335"/>
      <c r="X40" s="335"/>
      <c r="Y40" s="335"/>
    </row>
    <row r="41" spans="1:25" x14ac:dyDescent="0.3">
      <c r="A41" s="63"/>
      <c r="B41" s="62"/>
      <c r="C41"/>
      <c r="D41"/>
      <c r="E41"/>
      <c r="F41"/>
      <c r="G41"/>
      <c r="H41"/>
      <c r="I41"/>
      <c r="J41"/>
      <c r="K41"/>
      <c r="L41"/>
      <c r="M41"/>
      <c r="N41"/>
      <c r="O41"/>
      <c r="P41" s="166"/>
      <c r="Q41" s="166"/>
      <c r="R41" s="166"/>
      <c r="S41" s="166"/>
      <c r="T41" s="66"/>
      <c r="U41" s="66"/>
      <c r="V41" s="66"/>
      <c r="W41" s="335"/>
      <c r="X41" s="335"/>
      <c r="Y41" s="335"/>
    </row>
    <row r="42" spans="1:25" x14ac:dyDescent="0.3">
      <c r="A42" s="63"/>
      <c r="B42" s="69"/>
      <c r="C42"/>
      <c r="D42"/>
      <c r="E42"/>
      <c r="F42"/>
      <c r="G42"/>
      <c r="H42"/>
      <c r="I42"/>
      <c r="J42"/>
      <c r="K42"/>
      <c r="L42"/>
      <c r="M42"/>
      <c r="N42"/>
      <c r="O42"/>
      <c r="P42" s="166"/>
      <c r="Q42" s="166"/>
      <c r="R42" s="166"/>
      <c r="S42" s="166"/>
      <c r="T42" s="66"/>
      <c r="U42" s="66"/>
      <c r="V42" s="66"/>
      <c r="W42" s="335"/>
      <c r="X42" s="335"/>
      <c r="Y42" s="335"/>
    </row>
    <row r="43" spans="1:25" x14ac:dyDescent="0.3">
      <c r="A43" s="63"/>
      <c r="B43" s="62"/>
      <c r="C43"/>
      <c r="D43"/>
      <c r="E43"/>
      <c r="F43"/>
      <c r="G43"/>
      <c r="H43"/>
      <c r="I43"/>
      <c r="J43"/>
      <c r="K43"/>
      <c r="L43"/>
      <c r="M43"/>
      <c r="N43"/>
      <c r="O43"/>
      <c r="P43" s="166"/>
      <c r="Q43" s="166"/>
      <c r="R43" s="166"/>
      <c r="S43" s="166"/>
      <c r="T43" s="66"/>
      <c r="U43" s="66"/>
      <c r="V43" s="66"/>
      <c r="W43" s="335"/>
      <c r="X43" s="335"/>
      <c r="Y43" s="335"/>
    </row>
    <row r="44" spans="1:25" x14ac:dyDescent="0.3">
      <c r="A44" s="63"/>
      <c r="B44" s="62"/>
      <c r="C44"/>
      <c r="D44"/>
      <c r="E44"/>
      <c r="F44"/>
      <c r="G44"/>
      <c r="H44"/>
      <c r="I44"/>
      <c r="J44"/>
      <c r="K44"/>
      <c r="L44"/>
      <c r="M44"/>
      <c r="N44"/>
      <c r="O44"/>
      <c r="P44" s="166"/>
      <c r="Q44" s="166"/>
      <c r="R44" s="166"/>
      <c r="S44" s="166"/>
      <c r="T44" s="66"/>
      <c r="U44" s="66"/>
      <c r="V44" s="66"/>
      <c r="W44" s="335"/>
      <c r="X44" s="335"/>
      <c r="Y44" s="335"/>
    </row>
    <row r="45" spans="1:25" x14ac:dyDescent="0.3">
      <c r="A45" s="63"/>
      <c r="C45"/>
      <c r="D45"/>
      <c r="E45"/>
      <c r="F45"/>
      <c r="G45"/>
      <c r="H45"/>
      <c r="I45"/>
      <c r="J45"/>
      <c r="K45"/>
      <c r="L45"/>
      <c r="M45"/>
      <c r="N45"/>
      <c r="O45"/>
      <c r="P45" s="166"/>
      <c r="Q45" s="166"/>
      <c r="R45" s="166"/>
      <c r="S45" s="166"/>
      <c r="T45" s="66"/>
      <c r="U45" s="66"/>
      <c r="V45" s="66"/>
      <c r="W45" s="335"/>
      <c r="X45" s="335"/>
      <c r="Y45" s="335"/>
    </row>
    <row r="46" spans="1:25" x14ac:dyDescent="0.3">
      <c r="A46" s="63"/>
      <c r="C46"/>
      <c r="D46"/>
      <c r="E46"/>
      <c r="F46"/>
      <c r="G46"/>
      <c r="H46"/>
      <c r="I46"/>
      <c r="J46"/>
      <c r="K46"/>
      <c r="L46"/>
      <c r="M46"/>
      <c r="N46"/>
      <c r="O46"/>
      <c r="P46" s="166"/>
      <c r="Q46" s="166"/>
      <c r="R46" s="166"/>
      <c r="S46" s="166"/>
      <c r="T46" s="66"/>
      <c r="U46" s="66"/>
      <c r="V46" s="66"/>
      <c r="W46" s="335"/>
      <c r="X46" s="335"/>
      <c r="Y46" s="335"/>
    </row>
    <row r="47" spans="1:25" x14ac:dyDescent="0.3">
      <c r="A47" s="63"/>
      <c r="C47"/>
      <c r="D47"/>
      <c r="E47"/>
      <c r="F47"/>
      <c r="G47"/>
      <c r="H47"/>
      <c r="I47"/>
      <c r="J47"/>
      <c r="K47"/>
      <c r="L47"/>
      <c r="M47"/>
      <c r="N47"/>
      <c r="O47"/>
      <c r="P47" s="166"/>
      <c r="Q47" s="166"/>
      <c r="R47" s="166"/>
      <c r="S47" s="166"/>
      <c r="T47" s="166"/>
      <c r="U47" s="166"/>
      <c r="V47" s="166"/>
      <c r="W47" s="335"/>
      <c r="X47" s="335"/>
      <c r="Y47" s="335"/>
    </row>
    <row r="48" spans="1:25" x14ac:dyDescent="0.3">
      <c r="A48" s="63"/>
      <c r="C48"/>
      <c r="D48"/>
      <c r="E48"/>
      <c r="F48"/>
      <c r="G48"/>
      <c r="H48"/>
      <c r="I48"/>
      <c r="J48"/>
      <c r="K48"/>
      <c r="L48"/>
      <c r="M48"/>
      <c r="N48"/>
      <c r="O48"/>
      <c r="P48" s="166"/>
      <c r="Q48" s="166"/>
      <c r="R48" s="166"/>
      <c r="S48" s="166"/>
      <c r="T48" s="166"/>
      <c r="U48" s="166"/>
      <c r="V48" s="166"/>
      <c r="W48" s="335"/>
      <c r="X48" s="335"/>
      <c r="Y48" s="335"/>
    </row>
    <row r="49" spans="1:25" ht="14.4" customHeight="1" x14ac:dyDescent="0.3">
      <c r="A49" s="63"/>
      <c r="C49"/>
      <c r="D49"/>
      <c r="E49"/>
      <c r="F49"/>
      <c r="G49"/>
      <c r="H49"/>
      <c r="I49"/>
      <c r="J49"/>
      <c r="K49"/>
      <c r="L49"/>
      <c r="M49"/>
      <c r="N49"/>
      <c r="O49"/>
      <c r="P49" s="166"/>
      <c r="Q49" s="166"/>
      <c r="R49" s="166"/>
      <c r="S49" s="166"/>
      <c r="T49" s="166"/>
      <c r="U49" s="166"/>
      <c r="V49" s="166"/>
      <c r="W49" s="335"/>
      <c r="X49" s="335"/>
      <c r="Y49" s="335"/>
    </row>
    <row r="50" spans="1:25" ht="14.4" customHeight="1" x14ac:dyDescent="0.3">
      <c r="A50" s="63"/>
      <c r="C50"/>
      <c r="D50"/>
      <c r="E50"/>
      <c r="F50"/>
      <c r="G50"/>
      <c r="H50"/>
      <c r="I50"/>
      <c r="J50"/>
      <c r="K50"/>
      <c r="L50"/>
      <c r="M50"/>
      <c r="N50"/>
      <c r="O50"/>
      <c r="P50" s="166"/>
      <c r="Q50" s="166"/>
      <c r="R50" s="166"/>
      <c r="S50" s="166"/>
      <c r="T50" s="166"/>
      <c r="U50" s="166"/>
      <c r="V50" s="166"/>
      <c r="W50" s="335"/>
      <c r="X50" s="335"/>
      <c r="Y50" s="335"/>
    </row>
    <row r="51" spans="1:25" x14ac:dyDescent="0.3">
      <c r="A51" s="63"/>
      <c r="C51"/>
      <c r="D51"/>
      <c r="E51"/>
      <c r="F51"/>
      <c r="G51"/>
      <c r="H51"/>
      <c r="I51"/>
      <c r="J51"/>
      <c r="K51"/>
      <c r="L51"/>
      <c r="M51"/>
      <c r="N51"/>
      <c r="O51"/>
      <c r="P51" s="166"/>
      <c r="Q51" s="166"/>
      <c r="R51" s="166"/>
      <c r="S51" s="166"/>
      <c r="T51" s="166"/>
      <c r="U51" s="166"/>
      <c r="V51" s="166"/>
      <c r="W51" s="335"/>
      <c r="X51" s="335"/>
      <c r="Y51" s="335"/>
    </row>
    <row r="52" spans="1:25" x14ac:dyDescent="0.3">
      <c r="A52" s="63"/>
      <c r="C52"/>
      <c r="D52"/>
      <c r="E52"/>
      <c r="F52"/>
      <c r="G52"/>
      <c r="H52"/>
      <c r="I52"/>
      <c r="J52"/>
      <c r="K52"/>
      <c r="L52"/>
      <c r="M52"/>
      <c r="N52"/>
      <c r="O52"/>
      <c r="P52" s="166"/>
      <c r="Q52" s="166"/>
      <c r="R52" s="166"/>
      <c r="S52" s="166"/>
      <c r="T52" s="166"/>
      <c r="U52" s="166"/>
      <c r="V52" s="166"/>
      <c r="W52" s="335"/>
      <c r="X52" s="335"/>
      <c r="Y52" s="335"/>
    </row>
    <row r="53" spans="1:25" x14ac:dyDescent="0.3">
      <c r="A53" s="63"/>
      <c r="C53"/>
      <c r="D53"/>
      <c r="E53"/>
      <c r="F53"/>
      <c r="G53"/>
      <c r="H53"/>
      <c r="I53"/>
      <c r="J53"/>
      <c r="K53"/>
      <c r="L53"/>
      <c r="M53"/>
      <c r="N53"/>
      <c r="O53"/>
      <c r="P53" s="166"/>
      <c r="Q53" s="166"/>
      <c r="R53" s="166"/>
      <c r="S53" s="166"/>
      <c r="T53" s="166"/>
      <c r="U53" s="166"/>
      <c r="V53" s="166"/>
      <c r="W53" s="335"/>
      <c r="X53" s="335"/>
      <c r="Y53" s="335"/>
    </row>
    <row r="54" spans="1:25" x14ac:dyDescent="0.3">
      <c r="C54"/>
      <c r="D54"/>
      <c r="E54"/>
      <c r="F54"/>
      <c r="G54"/>
      <c r="H54"/>
      <c r="I54"/>
      <c r="J54"/>
      <c r="K54"/>
      <c r="L54"/>
      <c r="M54"/>
      <c r="N54"/>
      <c r="P54" s="166"/>
      <c r="Q54" s="166"/>
      <c r="R54" s="166"/>
      <c r="S54" s="166"/>
      <c r="T54" s="166"/>
      <c r="U54" s="166"/>
      <c r="V54" s="166"/>
      <c r="W54" s="335"/>
      <c r="X54" s="335"/>
      <c r="Y54" s="335"/>
    </row>
    <row r="55" spans="1:25" x14ac:dyDescent="0.3">
      <c r="C55"/>
      <c r="D55"/>
      <c r="E55"/>
      <c r="F55"/>
      <c r="G55"/>
      <c r="H55"/>
      <c r="I55"/>
      <c r="J55"/>
      <c r="K55"/>
      <c r="L55"/>
      <c r="M55"/>
      <c r="N55"/>
      <c r="P55" s="166"/>
      <c r="Q55" s="166"/>
      <c r="R55" s="166"/>
      <c r="S55" s="166"/>
      <c r="T55" s="166"/>
      <c r="U55" s="166"/>
      <c r="V55" s="166"/>
      <c r="W55" s="335"/>
      <c r="X55" s="335"/>
      <c r="Y55" s="335"/>
    </row>
    <row r="56" spans="1:25" x14ac:dyDescent="0.3">
      <c r="C56"/>
      <c r="D56"/>
      <c r="E56"/>
      <c r="F56"/>
      <c r="G56"/>
      <c r="H56"/>
      <c r="I56"/>
      <c r="J56"/>
      <c r="K56"/>
      <c r="L56"/>
      <c r="M56"/>
      <c r="N56"/>
      <c r="P56" s="166"/>
      <c r="Q56" s="166"/>
      <c r="R56" s="166"/>
      <c r="S56" s="166"/>
      <c r="T56" s="166"/>
      <c r="U56" s="166"/>
      <c r="V56" s="166"/>
      <c r="W56" s="335"/>
      <c r="X56" s="335"/>
      <c r="Y56" s="335"/>
    </row>
    <row r="57" spans="1:25" x14ac:dyDescent="0.3">
      <c r="C57"/>
      <c r="D57"/>
      <c r="E57"/>
      <c r="F57"/>
      <c r="G57"/>
      <c r="H57"/>
      <c r="I57"/>
      <c r="J57"/>
      <c r="K57"/>
      <c r="L57"/>
      <c r="M57"/>
      <c r="N57"/>
    </row>
    <row r="58" spans="1:25" x14ac:dyDescent="0.3">
      <c r="C58"/>
      <c r="D58"/>
      <c r="E58"/>
      <c r="F58"/>
      <c r="G58"/>
      <c r="H58"/>
      <c r="I58"/>
      <c r="J58"/>
      <c r="K58"/>
      <c r="L58"/>
      <c r="M58"/>
      <c r="N58"/>
    </row>
    <row r="59" spans="1:25" x14ac:dyDescent="0.3">
      <c r="C59"/>
      <c r="D59"/>
      <c r="E59"/>
      <c r="F59"/>
      <c r="G59"/>
      <c r="H59"/>
      <c r="I59"/>
      <c r="J59"/>
      <c r="K59"/>
      <c r="L59"/>
      <c r="M59"/>
      <c r="N59"/>
    </row>
    <row r="60" spans="1:25" x14ac:dyDescent="0.3">
      <c r="C60"/>
      <c r="D60"/>
      <c r="E60"/>
      <c r="F60"/>
      <c r="G60"/>
      <c r="H60"/>
      <c r="I60"/>
      <c r="J60"/>
      <c r="K60"/>
      <c r="L60"/>
      <c r="M60"/>
      <c r="N60"/>
    </row>
    <row r="61" spans="1:25" x14ac:dyDescent="0.3">
      <c r="C61"/>
      <c r="D61"/>
      <c r="E61"/>
      <c r="F61"/>
      <c r="G61"/>
      <c r="H61"/>
      <c r="I61"/>
      <c r="J61"/>
      <c r="K61"/>
      <c r="L61"/>
      <c r="M61"/>
      <c r="N61"/>
    </row>
    <row r="62" spans="1:25" x14ac:dyDescent="0.3">
      <c r="C62"/>
      <c r="D62"/>
      <c r="E62"/>
      <c r="F62"/>
      <c r="G62"/>
      <c r="H62"/>
      <c r="I62"/>
      <c r="J62"/>
      <c r="K62"/>
      <c r="L62"/>
      <c r="M62"/>
      <c r="N62"/>
    </row>
    <row r="63" spans="1:25" x14ac:dyDescent="0.3">
      <c r="C63"/>
      <c r="D63"/>
      <c r="E63"/>
      <c r="F63"/>
      <c r="G63"/>
      <c r="H63"/>
      <c r="I63"/>
      <c r="J63"/>
      <c r="K63"/>
      <c r="L63"/>
      <c r="M63"/>
      <c r="N63"/>
    </row>
    <row r="64" spans="1:25" x14ac:dyDescent="0.3">
      <c r="C64"/>
      <c r="D64"/>
      <c r="E64"/>
      <c r="F64"/>
      <c r="G64"/>
      <c r="H64"/>
      <c r="I64"/>
      <c r="J64"/>
      <c r="K64"/>
      <c r="L64"/>
      <c r="M64"/>
      <c r="N64"/>
    </row>
    <row r="65" spans="3:14" x14ac:dyDescent="0.3">
      <c r="C65"/>
      <c r="D65"/>
      <c r="E65"/>
      <c r="F65"/>
      <c r="G65"/>
      <c r="H65"/>
      <c r="I65"/>
      <c r="J65"/>
      <c r="K65"/>
      <c r="L65"/>
      <c r="M65"/>
      <c r="N65"/>
    </row>
    <row r="66" spans="3:14" x14ac:dyDescent="0.3">
      <c r="C66"/>
      <c r="D66"/>
      <c r="E66"/>
      <c r="F66"/>
      <c r="G66"/>
      <c r="H66"/>
      <c r="I66"/>
      <c r="J66"/>
      <c r="K66"/>
      <c r="L66"/>
      <c r="M66"/>
      <c r="N66"/>
    </row>
    <row r="67" spans="3:14" x14ac:dyDescent="0.3">
      <c r="C67"/>
      <c r="D67"/>
      <c r="E67"/>
      <c r="F67"/>
      <c r="G67"/>
      <c r="H67"/>
      <c r="I67"/>
      <c r="J67"/>
      <c r="K67"/>
      <c r="L67"/>
      <c r="M67"/>
      <c r="N67"/>
    </row>
    <row r="68" spans="3:14" x14ac:dyDescent="0.3">
      <c r="C68"/>
      <c r="D68"/>
      <c r="E68"/>
      <c r="F68"/>
      <c r="G68"/>
      <c r="H68"/>
      <c r="I68"/>
      <c r="J68"/>
      <c r="K68"/>
      <c r="L68"/>
      <c r="M68"/>
      <c r="N68"/>
    </row>
    <row r="69" spans="3:14" x14ac:dyDescent="0.3">
      <c r="C69"/>
      <c r="D69"/>
      <c r="E69"/>
      <c r="F69"/>
      <c r="G69"/>
      <c r="H69"/>
      <c r="I69"/>
      <c r="J69"/>
      <c r="K69"/>
      <c r="L69"/>
      <c r="M69"/>
      <c r="N69"/>
    </row>
    <row r="70" spans="3:14" x14ac:dyDescent="0.3">
      <c r="C70"/>
      <c r="D70"/>
      <c r="E70"/>
      <c r="F70"/>
      <c r="G70"/>
      <c r="H70"/>
      <c r="I70"/>
      <c r="J70"/>
      <c r="K70"/>
      <c r="L70"/>
      <c r="M70"/>
      <c r="N70"/>
    </row>
    <row r="71" spans="3:14" x14ac:dyDescent="0.3">
      <c r="C71"/>
      <c r="D71"/>
      <c r="E71"/>
      <c r="F71"/>
      <c r="G71"/>
      <c r="H71"/>
      <c r="I71"/>
      <c r="J71"/>
      <c r="K71"/>
      <c r="L71"/>
      <c r="M71"/>
      <c r="N71"/>
    </row>
    <row r="72" spans="3:14" x14ac:dyDescent="0.3">
      <c r="C72"/>
      <c r="D72"/>
      <c r="E72"/>
      <c r="F72"/>
      <c r="G72"/>
      <c r="H72"/>
      <c r="I72"/>
      <c r="J72"/>
      <c r="K72"/>
      <c r="L72"/>
      <c r="M72"/>
      <c r="N72"/>
    </row>
    <row r="73" spans="3:14" x14ac:dyDescent="0.3">
      <c r="C73"/>
      <c r="D73"/>
      <c r="E73"/>
      <c r="F73"/>
      <c r="G73"/>
      <c r="H73"/>
      <c r="I73"/>
      <c r="J73"/>
      <c r="K73"/>
      <c r="L73"/>
      <c r="M73"/>
      <c r="N73"/>
    </row>
    <row r="74" spans="3:14" x14ac:dyDescent="0.3">
      <c r="C74"/>
      <c r="D74"/>
      <c r="E74"/>
      <c r="F74"/>
      <c r="G74"/>
      <c r="H74"/>
      <c r="I74"/>
      <c r="J74"/>
      <c r="K74"/>
      <c r="L74"/>
      <c r="M74"/>
      <c r="N74"/>
    </row>
    <row r="75" spans="3:14" x14ac:dyDescent="0.3">
      <c r="C75"/>
      <c r="D75"/>
      <c r="E75"/>
      <c r="F75"/>
      <c r="G75"/>
      <c r="H75"/>
      <c r="I75"/>
      <c r="J75"/>
      <c r="K75"/>
      <c r="L75"/>
      <c r="M75"/>
      <c r="N75"/>
    </row>
    <row r="76" spans="3:14" x14ac:dyDescent="0.3">
      <c r="C76"/>
      <c r="D76"/>
      <c r="E76"/>
      <c r="F76"/>
      <c r="G76"/>
      <c r="H76"/>
      <c r="I76"/>
      <c r="J76"/>
      <c r="K76"/>
      <c r="L76"/>
      <c r="M76"/>
      <c r="N76"/>
    </row>
    <row r="77" spans="3:14" x14ac:dyDescent="0.3">
      <c r="C77"/>
      <c r="D77"/>
      <c r="E77"/>
      <c r="F77"/>
      <c r="G77"/>
      <c r="H77"/>
      <c r="I77"/>
      <c r="J77"/>
      <c r="K77"/>
      <c r="L77"/>
      <c r="M77"/>
      <c r="N77"/>
    </row>
    <row r="78" spans="3:14" x14ac:dyDescent="0.3">
      <c r="C78"/>
      <c r="D78"/>
      <c r="E78"/>
      <c r="F78"/>
      <c r="G78"/>
      <c r="H78"/>
      <c r="I78"/>
      <c r="J78"/>
      <c r="K78"/>
      <c r="L78"/>
      <c r="M78"/>
      <c r="N78"/>
    </row>
    <row r="79" spans="3:14" x14ac:dyDescent="0.3">
      <c r="C79"/>
      <c r="D79"/>
      <c r="E79"/>
      <c r="F79"/>
      <c r="G79"/>
      <c r="H79"/>
      <c r="I79"/>
      <c r="J79"/>
      <c r="K79"/>
      <c r="L79"/>
      <c r="M79"/>
      <c r="N79"/>
    </row>
    <row r="80" spans="3:14" x14ac:dyDescent="0.3">
      <c r="C80"/>
      <c r="D80"/>
      <c r="E80"/>
      <c r="F80"/>
      <c r="G80"/>
      <c r="H80"/>
      <c r="I80"/>
      <c r="J80"/>
      <c r="K80"/>
      <c r="L80"/>
      <c r="M80"/>
      <c r="N80"/>
    </row>
    <row r="81" spans="3:14" x14ac:dyDescent="0.3">
      <c r="C81"/>
      <c r="D81"/>
      <c r="E81"/>
      <c r="F81"/>
      <c r="G81"/>
      <c r="H81"/>
      <c r="I81"/>
      <c r="J81"/>
      <c r="K81"/>
      <c r="L81"/>
      <c r="M81"/>
      <c r="N81"/>
    </row>
    <row r="82" spans="3:14" x14ac:dyDescent="0.3">
      <c r="C82"/>
      <c r="D82"/>
      <c r="E82"/>
      <c r="F82"/>
      <c r="G82"/>
      <c r="H82"/>
      <c r="I82"/>
      <c r="J82"/>
      <c r="K82"/>
      <c r="L82"/>
      <c r="M82"/>
      <c r="N82"/>
    </row>
    <row r="83" spans="3:14" x14ac:dyDescent="0.3">
      <c r="C83"/>
      <c r="D83"/>
      <c r="E83"/>
      <c r="F83"/>
      <c r="G83"/>
      <c r="H83"/>
      <c r="I83"/>
      <c r="J83"/>
      <c r="K83"/>
      <c r="L83"/>
      <c r="M83"/>
      <c r="N83"/>
    </row>
    <row r="84" spans="3:14" x14ac:dyDescent="0.3">
      <c r="C84"/>
      <c r="D84"/>
      <c r="E84"/>
      <c r="F84"/>
      <c r="G84"/>
      <c r="H84"/>
      <c r="I84"/>
      <c r="J84"/>
      <c r="K84"/>
      <c r="L84"/>
      <c r="M84"/>
      <c r="N84"/>
    </row>
    <row r="85" spans="3:14" x14ac:dyDescent="0.3">
      <c r="C85"/>
      <c r="D85"/>
      <c r="E85"/>
      <c r="F85"/>
      <c r="G85"/>
      <c r="H85"/>
      <c r="I85"/>
      <c r="J85"/>
      <c r="K85"/>
      <c r="L85"/>
      <c r="M85"/>
      <c r="N85"/>
    </row>
    <row r="86" spans="3:14" x14ac:dyDescent="0.3">
      <c r="C86"/>
      <c r="D86"/>
      <c r="E86"/>
      <c r="F86"/>
      <c r="G86"/>
      <c r="H86"/>
      <c r="I86"/>
      <c r="J86"/>
      <c r="K86"/>
      <c r="L86"/>
      <c r="M86"/>
      <c r="N86"/>
    </row>
    <row r="87" spans="3:14" x14ac:dyDescent="0.3">
      <c r="C87"/>
      <c r="D87"/>
      <c r="E87"/>
      <c r="F87"/>
      <c r="G87"/>
      <c r="H87"/>
      <c r="I87"/>
      <c r="J87"/>
      <c r="K87"/>
      <c r="L87"/>
      <c r="M87"/>
      <c r="N87"/>
    </row>
    <row r="88" spans="3:14" x14ac:dyDescent="0.3">
      <c r="C88"/>
      <c r="D88"/>
      <c r="E88"/>
      <c r="F88"/>
      <c r="G88"/>
      <c r="H88"/>
      <c r="I88"/>
      <c r="J88"/>
      <c r="K88"/>
      <c r="L88"/>
      <c r="M88"/>
      <c r="N88"/>
    </row>
    <row r="89" spans="3:14" x14ac:dyDescent="0.3">
      <c r="C89"/>
      <c r="D89"/>
      <c r="E89"/>
      <c r="F89"/>
      <c r="G89"/>
      <c r="H89"/>
      <c r="I89"/>
      <c r="J89"/>
      <c r="K89"/>
      <c r="L89"/>
      <c r="M89"/>
      <c r="N89"/>
    </row>
    <row r="90" spans="3:14" x14ac:dyDescent="0.3">
      <c r="C90"/>
      <c r="D90"/>
      <c r="E90"/>
      <c r="F90"/>
      <c r="G90"/>
      <c r="H90"/>
      <c r="I90"/>
      <c r="J90"/>
      <c r="K90"/>
      <c r="L90"/>
      <c r="M90"/>
      <c r="N90"/>
    </row>
    <row r="91" spans="3:14" x14ac:dyDescent="0.3">
      <c r="C91"/>
      <c r="D91"/>
      <c r="E91"/>
      <c r="F91"/>
      <c r="G91"/>
      <c r="H91"/>
      <c r="I91"/>
      <c r="J91"/>
      <c r="K91"/>
      <c r="L91"/>
      <c r="M91"/>
      <c r="N91"/>
    </row>
    <row r="92" spans="3:14" x14ac:dyDescent="0.3">
      <c r="C92"/>
      <c r="D92"/>
      <c r="E92"/>
      <c r="F92"/>
      <c r="G92"/>
      <c r="H92"/>
      <c r="I92"/>
      <c r="J92"/>
      <c r="K92"/>
      <c r="L92"/>
      <c r="M92"/>
      <c r="N92"/>
    </row>
    <row r="93" spans="3:14" x14ac:dyDescent="0.3">
      <c r="C93"/>
      <c r="D93"/>
      <c r="E93"/>
      <c r="F93"/>
      <c r="G93"/>
      <c r="H93"/>
      <c r="I93"/>
      <c r="J93"/>
      <c r="K93"/>
      <c r="L93"/>
      <c r="M93"/>
      <c r="N93"/>
    </row>
    <row r="94" spans="3:14" x14ac:dyDescent="0.3">
      <c r="C94"/>
      <c r="D94"/>
      <c r="E94"/>
      <c r="F94"/>
      <c r="G94"/>
      <c r="H94"/>
      <c r="I94"/>
      <c r="J94"/>
      <c r="K94"/>
      <c r="L94"/>
      <c r="M94"/>
      <c r="N94"/>
    </row>
    <row r="95" spans="3:14" x14ac:dyDescent="0.3">
      <c r="C95"/>
      <c r="D95"/>
      <c r="E95"/>
      <c r="F95"/>
      <c r="G95"/>
      <c r="H95"/>
      <c r="I95"/>
      <c r="J95"/>
      <c r="K95"/>
      <c r="L95"/>
      <c r="M95"/>
      <c r="N95"/>
    </row>
    <row r="96" spans="3:14" x14ac:dyDescent="0.3">
      <c r="C96"/>
      <c r="D96"/>
      <c r="E96"/>
      <c r="F96"/>
      <c r="G96"/>
      <c r="H96"/>
      <c r="I96"/>
      <c r="J96"/>
      <c r="K96"/>
      <c r="L96"/>
      <c r="M96"/>
      <c r="N96"/>
    </row>
    <row r="97" spans="3:14" x14ac:dyDescent="0.3">
      <c r="C97"/>
      <c r="D97"/>
      <c r="E97"/>
      <c r="F97"/>
      <c r="G97"/>
      <c r="H97"/>
      <c r="I97"/>
      <c r="J97"/>
      <c r="K97"/>
      <c r="L97"/>
      <c r="M97"/>
      <c r="N97"/>
    </row>
    <row r="98" spans="3:14" x14ac:dyDescent="0.3">
      <c r="C98"/>
      <c r="D98"/>
      <c r="E98"/>
      <c r="F98"/>
      <c r="G98"/>
      <c r="H98"/>
      <c r="I98"/>
      <c r="J98"/>
      <c r="K98"/>
      <c r="L98"/>
      <c r="M98"/>
      <c r="N98"/>
    </row>
    <row r="99" spans="3:14" x14ac:dyDescent="0.3">
      <c r="C99"/>
      <c r="D99"/>
      <c r="E99"/>
      <c r="F99"/>
      <c r="G99"/>
      <c r="H99"/>
      <c r="I99"/>
      <c r="J99"/>
      <c r="K99"/>
      <c r="L99"/>
      <c r="M99"/>
      <c r="N99"/>
    </row>
    <row r="100" spans="3:14" x14ac:dyDescent="0.3">
      <c r="C100"/>
      <c r="D100"/>
      <c r="E100"/>
      <c r="F100"/>
      <c r="G100"/>
      <c r="H100"/>
      <c r="I100"/>
      <c r="J100"/>
      <c r="K100"/>
      <c r="L100"/>
      <c r="M100"/>
      <c r="N100"/>
    </row>
    <row r="101" spans="3:14" x14ac:dyDescent="0.3">
      <c r="C101"/>
      <c r="D101"/>
      <c r="E101"/>
      <c r="F101"/>
      <c r="G101"/>
      <c r="H101"/>
      <c r="I101"/>
      <c r="J101"/>
      <c r="K101"/>
      <c r="L101"/>
      <c r="M101"/>
      <c r="N101"/>
    </row>
    <row r="102" spans="3:14" x14ac:dyDescent="0.3">
      <c r="C102"/>
      <c r="D102"/>
      <c r="E102"/>
      <c r="F102"/>
      <c r="G102"/>
      <c r="H102"/>
      <c r="I102"/>
      <c r="J102"/>
      <c r="K102"/>
      <c r="L102"/>
      <c r="M102"/>
      <c r="N102"/>
    </row>
    <row r="103" spans="3:14" x14ac:dyDescent="0.3">
      <c r="C103"/>
      <c r="D103"/>
      <c r="E103"/>
      <c r="F103"/>
      <c r="G103"/>
      <c r="H103"/>
      <c r="I103"/>
      <c r="J103"/>
      <c r="K103"/>
      <c r="L103"/>
      <c r="M103"/>
      <c r="N103"/>
    </row>
    <row r="104" spans="3:14" x14ac:dyDescent="0.3">
      <c r="C104"/>
      <c r="D104"/>
      <c r="E104"/>
      <c r="F104"/>
      <c r="G104"/>
      <c r="H104"/>
      <c r="I104"/>
      <c r="J104"/>
      <c r="K104"/>
      <c r="L104"/>
      <c r="M104"/>
      <c r="N104"/>
    </row>
    <row r="105" spans="3:14" x14ac:dyDescent="0.3">
      <c r="C105"/>
      <c r="D105"/>
      <c r="E105"/>
      <c r="F105"/>
      <c r="G105"/>
      <c r="H105"/>
      <c r="I105"/>
      <c r="J105"/>
      <c r="K105"/>
      <c r="L105"/>
      <c r="M105"/>
      <c r="N105"/>
    </row>
    <row r="106" spans="3:14" x14ac:dyDescent="0.3">
      <c r="C106"/>
      <c r="D106"/>
      <c r="E106"/>
      <c r="F106"/>
      <c r="G106"/>
      <c r="H106"/>
      <c r="I106"/>
      <c r="J106"/>
      <c r="K106"/>
      <c r="L106"/>
      <c r="M106"/>
      <c r="N106"/>
    </row>
    <row r="107" spans="3:14" x14ac:dyDescent="0.3">
      <c r="C107"/>
      <c r="D107"/>
      <c r="E107"/>
      <c r="F107"/>
      <c r="G107"/>
      <c r="H107"/>
      <c r="I107"/>
      <c r="J107"/>
      <c r="K107"/>
      <c r="L107"/>
      <c r="M107"/>
      <c r="N107"/>
    </row>
    <row r="108" spans="3:14" x14ac:dyDescent="0.3">
      <c r="C108"/>
      <c r="D108"/>
      <c r="E108"/>
      <c r="F108"/>
      <c r="G108"/>
      <c r="H108"/>
      <c r="I108"/>
      <c r="J108"/>
      <c r="K108"/>
      <c r="L108"/>
      <c r="M108"/>
      <c r="N108"/>
    </row>
    <row r="109" spans="3:14" x14ac:dyDescent="0.3">
      <c r="C109"/>
      <c r="D109"/>
      <c r="E109"/>
      <c r="F109"/>
      <c r="G109"/>
      <c r="H109"/>
      <c r="I109"/>
      <c r="J109"/>
      <c r="K109"/>
      <c r="L109"/>
      <c r="M109"/>
      <c r="N109"/>
    </row>
    <row r="110" spans="3:14" x14ac:dyDescent="0.3">
      <c r="C110"/>
      <c r="D110"/>
      <c r="E110"/>
      <c r="F110"/>
      <c r="G110"/>
      <c r="H110"/>
      <c r="I110"/>
      <c r="J110"/>
      <c r="K110"/>
      <c r="L110"/>
      <c r="M110"/>
      <c r="N110"/>
    </row>
    <row r="111" spans="3:14" x14ac:dyDescent="0.3">
      <c r="C111"/>
      <c r="D111"/>
      <c r="E111"/>
      <c r="F111"/>
      <c r="G111"/>
      <c r="H111"/>
      <c r="I111"/>
      <c r="J111"/>
      <c r="K111"/>
      <c r="L111"/>
      <c r="M111"/>
      <c r="N111"/>
    </row>
    <row r="112" spans="3:14" x14ac:dyDescent="0.3">
      <c r="C112"/>
      <c r="D112"/>
      <c r="E112"/>
      <c r="F112"/>
      <c r="G112"/>
      <c r="H112"/>
      <c r="I112"/>
      <c r="J112"/>
      <c r="K112"/>
      <c r="L112"/>
      <c r="M112"/>
      <c r="N112"/>
    </row>
    <row r="113" spans="3:14" x14ac:dyDescent="0.3">
      <c r="C113"/>
      <c r="D113"/>
      <c r="E113"/>
      <c r="F113"/>
      <c r="G113"/>
      <c r="H113"/>
      <c r="I113"/>
      <c r="J113"/>
      <c r="K113"/>
      <c r="L113"/>
      <c r="M113"/>
      <c r="N113"/>
    </row>
    <row r="114" spans="3:14" x14ac:dyDescent="0.3">
      <c r="C114"/>
      <c r="D114"/>
      <c r="E114"/>
      <c r="F114"/>
      <c r="G114"/>
      <c r="H114"/>
      <c r="I114"/>
      <c r="J114"/>
      <c r="K114"/>
      <c r="L114"/>
      <c r="M114"/>
      <c r="N114"/>
    </row>
    <row r="115" spans="3:14" x14ac:dyDescent="0.3">
      <c r="C115"/>
      <c r="D115"/>
      <c r="E115"/>
      <c r="F115"/>
      <c r="G115"/>
      <c r="H115"/>
      <c r="I115"/>
      <c r="J115"/>
      <c r="K115"/>
      <c r="L115"/>
      <c r="M115"/>
      <c r="N115"/>
    </row>
    <row r="116" spans="3:14" x14ac:dyDescent="0.3">
      <c r="C116"/>
      <c r="D116"/>
      <c r="E116"/>
      <c r="F116"/>
      <c r="G116"/>
      <c r="H116"/>
      <c r="I116"/>
      <c r="J116"/>
      <c r="K116"/>
      <c r="L116"/>
      <c r="M116"/>
      <c r="N116"/>
    </row>
    <row r="117" spans="3:14" x14ac:dyDescent="0.3">
      <c r="C117"/>
      <c r="D117"/>
      <c r="E117"/>
      <c r="F117"/>
      <c r="G117"/>
      <c r="H117"/>
      <c r="I117"/>
      <c r="J117"/>
      <c r="K117"/>
      <c r="L117"/>
      <c r="M117"/>
      <c r="N117"/>
    </row>
    <row r="118" spans="3:14" x14ac:dyDescent="0.3">
      <c r="C118"/>
      <c r="D118"/>
      <c r="E118"/>
      <c r="F118"/>
      <c r="G118"/>
      <c r="H118"/>
      <c r="I118"/>
      <c r="J118"/>
      <c r="K118"/>
      <c r="L118"/>
      <c r="M118"/>
      <c r="N118"/>
    </row>
    <row r="119" spans="3:14" x14ac:dyDescent="0.3">
      <c r="C119"/>
      <c r="D119"/>
      <c r="E119"/>
      <c r="F119"/>
      <c r="G119"/>
      <c r="H119"/>
      <c r="I119"/>
      <c r="J119"/>
      <c r="K119"/>
      <c r="L119"/>
      <c r="M119"/>
      <c r="N119"/>
    </row>
    <row r="120" spans="3:14" x14ac:dyDescent="0.3">
      <c r="C120"/>
      <c r="D120"/>
      <c r="E120"/>
      <c r="F120"/>
      <c r="G120"/>
      <c r="H120"/>
      <c r="I120"/>
      <c r="J120"/>
      <c r="K120"/>
      <c r="L120"/>
      <c r="M120"/>
      <c r="N120"/>
    </row>
    <row r="121" spans="3:14" x14ac:dyDescent="0.3">
      <c r="C121"/>
      <c r="D121"/>
      <c r="E121"/>
      <c r="F121"/>
      <c r="G121"/>
      <c r="H121"/>
      <c r="I121"/>
      <c r="J121"/>
      <c r="K121"/>
      <c r="L121"/>
      <c r="M121"/>
      <c r="N121"/>
    </row>
    <row r="122" spans="3:14" x14ac:dyDescent="0.3">
      <c r="C122"/>
      <c r="D122"/>
      <c r="E122"/>
      <c r="F122"/>
      <c r="G122"/>
      <c r="H122"/>
      <c r="I122"/>
      <c r="J122"/>
      <c r="K122"/>
      <c r="L122"/>
      <c r="M122"/>
      <c r="N122"/>
    </row>
    <row r="123" spans="3:14" x14ac:dyDescent="0.3">
      <c r="C123"/>
      <c r="D123"/>
      <c r="E123"/>
      <c r="F123"/>
      <c r="G123"/>
      <c r="H123"/>
      <c r="I123"/>
      <c r="J123"/>
      <c r="K123"/>
      <c r="L123"/>
      <c r="M123"/>
      <c r="N123"/>
    </row>
    <row r="124" spans="3:14" x14ac:dyDescent="0.3">
      <c r="C124"/>
      <c r="D124"/>
      <c r="E124"/>
      <c r="F124"/>
      <c r="G124"/>
      <c r="H124"/>
      <c r="I124"/>
      <c r="J124"/>
      <c r="K124"/>
      <c r="L124"/>
      <c r="M124"/>
      <c r="N124"/>
    </row>
    <row r="125" spans="3:14" x14ac:dyDescent="0.3">
      <c r="C125"/>
      <c r="D125"/>
      <c r="E125"/>
      <c r="F125"/>
      <c r="G125"/>
      <c r="H125"/>
      <c r="I125"/>
      <c r="J125"/>
      <c r="K125"/>
      <c r="L125"/>
      <c r="M125"/>
      <c r="N125"/>
    </row>
    <row r="126" spans="3:14" x14ac:dyDescent="0.3">
      <c r="C126"/>
      <c r="D126"/>
      <c r="E126"/>
      <c r="F126"/>
      <c r="G126"/>
      <c r="H126"/>
      <c r="I126"/>
      <c r="J126"/>
      <c r="K126"/>
      <c r="L126"/>
      <c r="M126"/>
      <c r="N126"/>
    </row>
    <row r="127" spans="3:14" x14ac:dyDescent="0.3">
      <c r="C127"/>
      <c r="D127"/>
      <c r="E127"/>
      <c r="F127"/>
      <c r="G127"/>
      <c r="H127"/>
      <c r="I127"/>
      <c r="J127"/>
      <c r="K127"/>
      <c r="L127"/>
      <c r="M127"/>
      <c r="N127"/>
    </row>
    <row r="128" spans="3:14" x14ac:dyDescent="0.3">
      <c r="C128"/>
      <c r="D128"/>
      <c r="E128"/>
      <c r="F128"/>
      <c r="G128"/>
      <c r="H128"/>
      <c r="I128"/>
      <c r="J128"/>
      <c r="K128"/>
      <c r="L128"/>
      <c r="M128"/>
      <c r="N128"/>
    </row>
    <row r="129" spans="3:14" x14ac:dyDescent="0.3">
      <c r="C129"/>
      <c r="D129"/>
      <c r="E129"/>
      <c r="F129"/>
      <c r="G129"/>
      <c r="H129"/>
      <c r="I129"/>
      <c r="J129"/>
      <c r="K129"/>
      <c r="L129"/>
      <c r="M129"/>
      <c r="N129"/>
    </row>
    <row r="130" spans="3:14" x14ac:dyDescent="0.3">
      <c r="C130"/>
      <c r="D130"/>
      <c r="E130"/>
      <c r="F130"/>
      <c r="G130"/>
      <c r="H130"/>
      <c r="I130"/>
      <c r="J130"/>
      <c r="K130"/>
      <c r="L130"/>
      <c r="M130"/>
      <c r="N130"/>
    </row>
    <row r="131" spans="3:14" x14ac:dyDescent="0.3">
      <c r="C131"/>
      <c r="D131"/>
      <c r="E131"/>
      <c r="F131"/>
      <c r="G131"/>
      <c r="H131"/>
      <c r="I131"/>
      <c r="J131"/>
      <c r="K131"/>
      <c r="L131"/>
      <c r="M131"/>
      <c r="N131"/>
    </row>
    <row r="132" spans="3:14" x14ac:dyDescent="0.3">
      <c r="C132"/>
      <c r="D132"/>
      <c r="E132"/>
      <c r="F132"/>
      <c r="G132"/>
      <c r="H132"/>
      <c r="I132"/>
      <c r="J132"/>
      <c r="K132"/>
      <c r="L132"/>
      <c r="M132"/>
      <c r="N132"/>
    </row>
    <row r="133" spans="3:14" x14ac:dyDescent="0.3">
      <c r="C133"/>
      <c r="D133"/>
      <c r="E133"/>
      <c r="F133"/>
      <c r="G133"/>
      <c r="H133"/>
      <c r="I133"/>
      <c r="J133"/>
      <c r="K133"/>
      <c r="L133"/>
      <c r="M133"/>
      <c r="N133"/>
    </row>
    <row r="134" spans="3:14" x14ac:dyDescent="0.3">
      <c r="C134"/>
      <c r="D134"/>
      <c r="E134"/>
      <c r="F134"/>
      <c r="G134"/>
      <c r="H134"/>
      <c r="I134"/>
      <c r="J134"/>
      <c r="K134"/>
      <c r="L134"/>
      <c r="M134"/>
      <c r="N134"/>
    </row>
    <row r="135" spans="3:14" x14ac:dyDescent="0.3">
      <c r="C135"/>
      <c r="D135"/>
      <c r="E135"/>
      <c r="F135"/>
      <c r="G135"/>
      <c r="H135"/>
      <c r="I135"/>
      <c r="J135"/>
      <c r="K135"/>
      <c r="L135"/>
      <c r="M135"/>
      <c r="N135"/>
    </row>
    <row r="136" spans="3:14" x14ac:dyDescent="0.3">
      <c r="C136"/>
      <c r="D136"/>
      <c r="E136"/>
      <c r="F136"/>
      <c r="G136"/>
      <c r="H136"/>
      <c r="I136"/>
      <c r="J136"/>
      <c r="K136"/>
      <c r="L136"/>
      <c r="M136"/>
      <c r="N136"/>
    </row>
    <row r="137" spans="3:14" x14ac:dyDescent="0.3">
      <c r="C137"/>
      <c r="D137"/>
      <c r="E137"/>
      <c r="F137"/>
      <c r="G137"/>
      <c r="H137"/>
      <c r="I137"/>
      <c r="J137"/>
      <c r="K137"/>
      <c r="L137"/>
      <c r="M137"/>
      <c r="N137"/>
    </row>
    <row r="138" spans="3:14" x14ac:dyDescent="0.3">
      <c r="C138"/>
      <c r="D138"/>
      <c r="E138"/>
      <c r="F138"/>
      <c r="G138"/>
      <c r="H138"/>
      <c r="I138"/>
      <c r="J138"/>
      <c r="K138"/>
      <c r="L138"/>
      <c r="M138"/>
      <c r="N138"/>
    </row>
    <row r="139" spans="3:14" x14ac:dyDescent="0.3">
      <c r="C139"/>
      <c r="D139"/>
      <c r="E139"/>
      <c r="F139"/>
      <c r="G139"/>
      <c r="H139"/>
      <c r="I139"/>
      <c r="J139"/>
      <c r="K139"/>
      <c r="L139"/>
      <c r="M139"/>
      <c r="N139"/>
    </row>
    <row r="140" spans="3:14" x14ac:dyDescent="0.3">
      <c r="C140"/>
      <c r="D140"/>
      <c r="E140"/>
      <c r="F140"/>
      <c r="G140"/>
      <c r="H140"/>
      <c r="I140"/>
      <c r="J140"/>
      <c r="K140"/>
      <c r="L140"/>
      <c r="M140"/>
      <c r="N140"/>
    </row>
    <row r="141" spans="3:14" x14ac:dyDescent="0.3">
      <c r="C141"/>
      <c r="D141"/>
      <c r="E141"/>
      <c r="F141"/>
      <c r="G141"/>
      <c r="H141"/>
      <c r="I141"/>
      <c r="J141"/>
      <c r="K141"/>
      <c r="L141"/>
      <c r="M141"/>
      <c r="N141"/>
    </row>
    <row r="142" spans="3:14" x14ac:dyDescent="0.3">
      <c r="C142"/>
      <c r="D142"/>
      <c r="E142"/>
      <c r="F142"/>
      <c r="G142"/>
      <c r="H142"/>
      <c r="I142"/>
      <c r="J142"/>
      <c r="K142"/>
      <c r="L142"/>
      <c r="M142"/>
      <c r="N142"/>
    </row>
    <row r="143" spans="3:14" x14ac:dyDescent="0.3">
      <c r="C143"/>
      <c r="D143"/>
      <c r="E143"/>
      <c r="F143"/>
      <c r="G143"/>
      <c r="H143"/>
      <c r="I143"/>
      <c r="J143"/>
      <c r="K143"/>
      <c r="L143"/>
      <c r="M143"/>
      <c r="N143"/>
    </row>
    <row r="144" spans="3:14" x14ac:dyDescent="0.3">
      <c r="C144"/>
      <c r="D144"/>
      <c r="E144"/>
      <c r="F144"/>
      <c r="G144"/>
      <c r="H144"/>
      <c r="I144"/>
      <c r="J144"/>
      <c r="K144"/>
      <c r="L144"/>
      <c r="M144"/>
      <c r="N144"/>
    </row>
    <row r="145" spans="3:14" x14ac:dyDescent="0.3">
      <c r="C145"/>
      <c r="D145"/>
      <c r="E145"/>
      <c r="F145"/>
      <c r="G145"/>
      <c r="H145"/>
      <c r="I145"/>
      <c r="J145"/>
      <c r="K145"/>
      <c r="L145"/>
      <c r="M145"/>
      <c r="N145"/>
    </row>
    <row r="146" spans="3:14" x14ac:dyDescent="0.3">
      <c r="C146"/>
      <c r="D146"/>
      <c r="E146"/>
      <c r="F146"/>
      <c r="G146"/>
      <c r="H146"/>
      <c r="I146"/>
      <c r="J146"/>
      <c r="K146"/>
      <c r="L146"/>
      <c r="M146"/>
      <c r="N146"/>
    </row>
    <row r="147" spans="3:14" x14ac:dyDescent="0.3">
      <c r="C147"/>
      <c r="D147"/>
      <c r="E147"/>
      <c r="F147"/>
      <c r="G147"/>
      <c r="H147"/>
      <c r="I147"/>
      <c r="J147"/>
      <c r="K147"/>
      <c r="L147"/>
      <c r="M147"/>
      <c r="N147"/>
    </row>
    <row r="148" spans="3:14" x14ac:dyDescent="0.3">
      <c r="C148"/>
      <c r="D148"/>
      <c r="E148"/>
      <c r="F148"/>
      <c r="G148"/>
      <c r="H148"/>
      <c r="I148"/>
      <c r="J148"/>
      <c r="K148"/>
      <c r="L148"/>
      <c r="M148"/>
      <c r="N148"/>
    </row>
    <row r="149" spans="3:14" x14ac:dyDescent="0.3">
      <c r="C149"/>
      <c r="D149"/>
      <c r="E149"/>
      <c r="F149"/>
      <c r="G149"/>
      <c r="H149"/>
      <c r="I149"/>
      <c r="J149"/>
      <c r="K149"/>
      <c r="L149"/>
      <c r="M149"/>
      <c r="N149"/>
    </row>
    <row r="150" spans="3:14" x14ac:dyDescent="0.3">
      <c r="C150"/>
      <c r="D150"/>
      <c r="E150"/>
      <c r="F150"/>
      <c r="G150"/>
      <c r="H150"/>
      <c r="I150"/>
      <c r="J150"/>
      <c r="K150"/>
      <c r="L150"/>
      <c r="M150"/>
      <c r="N150"/>
    </row>
    <row r="151" spans="3:14" x14ac:dyDescent="0.3">
      <c r="C151"/>
      <c r="D151"/>
      <c r="E151"/>
      <c r="F151"/>
      <c r="G151"/>
      <c r="H151"/>
      <c r="I151"/>
      <c r="J151"/>
      <c r="K151"/>
      <c r="L151"/>
      <c r="M151"/>
      <c r="N151"/>
    </row>
    <row r="152" spans="3:14" x14ac:dyDescent="0.3">
      <c r="C152"/>
      <c r="D152"/>
      <c r="E152"/>
      <c r="F152"/>
      <c r="G152"/>
      <c r="H152"/>
      <c r="I152"/>
      <c r="J152"/>
      <c r="K152"/>
      <c r="L152"/>
      <c r="M152"/>
      <c r="N152"/>
    </row>
    <row r="153" spans="3:14" x14ac:dyDescent="0.3">
      <c r="C153"/>
      <c r="D153"/>
      <c r="E153"/>
      <c r="F153"/>
      <c r="G153"/>
      <c r="H153"/>
      <c r="I153"/>
      <c r="J153"/>
      <c r="K153"/>
      <c r="L153"/>
      <c r="M153"/>
      <c r="N153"/>
    </row>
    <row r="154" spans="3:14" x14ac:dyDescent="0.3">
      <c r="C154"/>
      <c r="D154"/>
      <c r="E154"/>
      <c r="F154"/>
      <c r="G154"/>
      <c r="H154"/>
      <c r="I154"/>
      <c r="J154"/>
      <c r="K154"/>
      <c r="L154"/>
      <c r="M154"/>
      <c r="N154"/>
    </row>
    <row r="155" spans="3:14" x14ac:dyDescent="0.3">
      <c r="C155"/>
      <c r="D155"/>
      <c r="E155"/>
      <c r="F155"/>
      <c r="G155"/>
      <c r="H155"/>
      <c r="I155"/>
      <c r="J155"/>
      <c r="K155"/>
      <c r="L155"/>
      <c r="M155"/>
      <c r="N155"/>
    </row>
    <row r="156" spans="3:14" x14ac:dyDescent="0.3">
      <c r="C156"/>
      <c r="D156"/>
      <c r="E156"/>
      <c r="F156"/>
      <c r="G156"/>
      <c r="H156"/>
      <c r="I156"/>
      <c r="J156"/>
      <c r="K156"/>
      <c r="L156"/>
      <c r="M156"/>
      <c r="N156"/>
    </row>
    <row r="157" spans="3:14" x14ac:dyDescent="0.3">
      <c r="C157"/>
      <c r="D157"/>
      <c r="E157"/>
      <c r="F157"/>
      <c r="G157"/>
      <c r="H157"/>
      <c r="I157"/>
      <c r="J157"/>
      <c r="K157"/>
      <c r="L157"/>
      <c r="M157"/>
      <c r="N157"/>
    </row>
    <row r="158" spans="3:14" x14ac:dyDescent="0.3">
      <c r="C158"/>
      <c r="D158"/>
      <c r="E158"/>
      <c r="F158"/>
      <c r="G158"/>
      <c r="H158"/>
      <c r="I158"/>
      <c r="J158"/>
      <c r="K158"/>
      <c r="L158"/>
      <c r="M158"/>
      <c r="N158"/>
    </row>
    <row r="159" spans="3:14" x14ac:dyDescent="0.3">
      <c r="C159"/>
      <c r="D159"/>
      <c r="E159"/>
      <c r="F159"/>
      <c r="G159"/>
      <c r="H159"/>
      <c r="I159"/>
      <c r="J159"/>
      <c r="K159"/>
      <c r="L159"/>
      <c r="M159"/>
      <c r="N159"/>
    </row>
    <row r="160" spans="3:14" x14ac:dyDescent="0.3">
      <c r="C160"/>
      <c r="D160"/>
      <c r="E160"/>
      <c r="F160"/>
      <c r="G160"/>
      <c r="H160"/>
      <c r="I160"/>
      <c r="J160"/>
      <c r="K160"/>
      <c r="L160"/>
      <c r="M160"/>
      <c r="N160"/>
    </row>
    <row r="161" spans="3:14" x14ac:dyDescent="0.3">
      <c r="C161"/>
      <c r="D161"/>
      <c r="E161"/>
      <c r="F161"/>
      <c r="G161"/>
      <c r="H161"/>
      <c r="I161"/>
      <c r="J161"/>
      <c r="K161"/>
      <c r="L161"/>
      <c r="M161"/>
      <c r="N161"/>
    </row>
    <row r="162" spans="3:14" x14ac:dyDescent="0.3">
      <c r="C162"/>
      <c r="D162"/>
      <c r="E162"/>
      <c r="F162"/>
      <c r="G162"/>
      <c r="H162"/>
      <c r="I162"/>
      <c r="J162"/>
      <c r="K162"/>
      <c r="L162"/>
      <c r="M162"/>
      <c r="N162"/>
    </row>
    <row r="163" spans="3:14" x14ac:dyDescent="0.3">
      <c r="C163"/>
      <c r="D163"/>
      <c r="E163"/>
      <c r="F163"/>
      <c r="G163"/>
      <c r="H163"/>
      <c r="I163"/>
      <c r="J163"/>
      <c r="K163"/>
      <c r="L163"/>
      <c r="M163"/>
      <c r="N163"/>
    </row>
    <row r="164" spans="3:14" x14ac:dyDescent="0.3">
      <c r="C164"/>
      <c r="D164"/>
      <c r="E164"/>
      <c r="F164"/>
      <c r="G164"/>
      <c r="H164"/>
      <c r="I164"/>
      <c r="J164"/>
      <c r="K164"/>
      <c r="L164"/>
      <c r="M164"/>
      <c r="N164"/>
    </row>
    <row r="165" spans="3:14" x14ac:dyDescent="0.3">
      <c r="C165"/>
      <c r="D165"/>
      <c r="E165"/>
      <c r="F165"/>
      <c r="G165"/>
      <c r="H165"/>
      <c r="I165"/>
      <c r="J165"/>
      <c r="K165"/>
      <c r="L165"/>
      <c r="M165"/>
      <c r="N165"/>
    </row>
    <row r="166" spans="3:14" x14ac:dyDescent="0.3">
      <c r="C166"/>
      <c r="D166"/>
      <c r="E166"/>
      <c r="F166"/>
      <c r="G166"/>
      <c r="H166"/>
      <c r="I166"/>
      <c r="J166"/>
      <c r="K166"/>
      <c r="L166"/>
      <c r="M166"/>
      <c r="N166"/>
    </row>
    <row r="167" spans="3:14" x14ac:dyDescent="0.3">
      <c r="C167"/>
      <c r="D167"/>
      <c r="E167"/>
      <c r="F167"/>
      <c r="G167"/>
      <c r="H167"/>
      <c r="I167"/>
      <c r="J167"/>
      <c r="K167"/>
      <c r="L167"/>
      <c r="M167"/>
      <c r="N167"/>
    </row>
    <row r="168" spans="3:14" x14ac:dyDescent="0.3">
      <c r="C168"/>
      <c r="D168"/>
      <c r="E168"/>
      <c r="F168"/>
      <c r="G168"/>
      <c r="H168"/>
      <c r="I168"/>
      <c r="J168"/>
      <c r="K168"/>
      <c r="L168"/>
      <c r="M168"/>
      <c r="N168"/>
    </row>
    <row r="169" spans="3:14" x14ac:dyDescent="0.3">
      <c r="C169"/>
      <c r="D169"/>
      <c r="E169"/>
      <c r="F169"/>
      <c r="G169"/>
      <c r="H169"/>
      <c r="I169"/>
      <c r="J169"/>
      <c r="K169"/>
      <c r="L169"/>
      <c r="M169"/>
      <c r="N169"/>
    </row>
    <row r="170" spans="3:14" x14ac:dyDescent="0.3">
      <c r="C170"/>
      <c r="D170"/>
      <c r="E170"/>
      <c r="F170"/>
      <c r="G170"/>
      <c r="H170"/>
      <c r="I170"/>
      <c r="J170"/>
      <c r="K170"/>
      <c r="L170"/>
      <c r="M170"/>
      <c r="N170"/>
    </row>
    <row r="171" spans="3:14" x14ac:dyDescent="0.3">
      <c r="C171"/>
      <c r="D171"/>
      <c r="E171"/>
      <c r="F171"/>
      <c r="G171"/>
      <c r="H171"/>
      <c r="I171"/>
      <c r="J171"/>
      <c r="K171"/>
      <c r="L171"/>
      <c r="M171"/>
      <c r="N171"/>
    </row>
    <row r="172" spans="3:14" x14ac:dyDescent="0.3">
      <c r="C172"/>
      <c r="D172"/>
      <c r="E172"/>
      <c r="F172"/>
      <c r="G172"/>
      <c r="H172"/>
      <c r="I172"/>
      <c r="J172"/>
      <c r="K172"/>
      <c r="L172"/>
      <c r="M172"/>
      <c r="N172"/>
    </row>
    <row r="173" spans="3:14" x14ac:dyDescent="0.3">
      <c r="C173"/>
      <c r="D173"/>
      <c r="E173"/>
      <c r="F173"/>
      <c r="G173"/>
      <c r="H173"/>
      <c r="I173"/>
      <c r="J173"/>
      <c r="K173"/>
      <c r="L173"/>
      <c r="M173"/>
      <c r="N173"/>
    </row>
    <row r="174" spans="3:14" x14ac:dyDescent="0.3">
      <c r="C174"/>
      <c r="D174"/>
      <c r="E174"/>
      <c r="F174"/>
      <c r="G174"/>
      <c r="H174"/>
      <c r="I174"/>
      <c r="J174"/>
      <c r="K174"/>
      <c r="L174"/>
      <c r="M174"/>
      <c r="N174"/>
    </row>
    <row r="175" spans="3:14" x14ac:dyDescent="0.3">
      <c r="C175"/>
      <c r="D175"/>
      <c r="E175"/>
      <c r="F175"/>
      <c r="G175"/>
      <c r="H175"/>
      <c r="I175"/>
      <c r="J175"/>
      <c r="K175"/>
      <c r="L175"/>
      <c r="M175"/>
      <c r="N175"/>
    </row>
    <row r="176" spans="3:14" x14ac:dyDescent="0.3">
      <c r="C176"/>
      <c r="D176"/>
      <c r="E176"/>
      <c r="F176"/>
      <c r="G176"/>
      <c r="H176"/>
      <c r="I176"/>
      <c r="J176"/>
      <c r="K176"/>
      <c r="L176"/>
      <c r="M176"/>
      <c r="N176"/>
    </row>
    <row r="177" spans="3:14" x14ac:dyDescent="0.3">
      <c r="C177"/>
      <c r="D177"/>
      <c r="E177"/>
      <c r="F177"/>
      <c r="G177"/>
      <c r="H177"/>
      <c r="I177"/>
      <c r="J177"/>
      <c r="K177"/>
      <c r="L177"/>
      <c r="M177"/>
      <c r="N177"/>
    </row>
    <row r="178" spans="3:14" x14ac:dyDescent="0.3">
      <c r="C178"/>
      <c r="D178"/>
      <c r="E178"/>
      <c r="F178"/>
      <c r="G178"/>
      <c r="H178"/>
      <c r="I178"/>
      <c r="J178"/>
      <c r="K178"/>
      <c r="L178"/>
      <c r="M178"/>
      <c r="N178"/>
    </row>
    <row r="179" spans="3:14" x14ac:dyDescent="0.3">
      <c r="C179"/>
      <c r="D179"/>
      <c r="E179"/>
      <c r="F179"/>
      <c r="G179"/>
      <c r="H179"/>
      <c r="I179"/>
      <c r="J179"/>
      <c r="K179"/>
      <c r="L179"/>
      <c r="M179"/>
      <c r="N179"/>
    </row>
    <row r="180" spans="3:14" x14ac:dyDescent="0.3">
      <c r="C180"/>
      <c r="D180"/>
      <c r="E180"/>
      <c r="F180"/>
      <c r="G180"/>
      <c r="H180"/>
      <c r="I180"/>
      <c r="J180"/>
      <c r="K180"/>
      <c r="L180"/>
      <c r="M180"/>
      <c r="N180"/>
    </row>
    <row r="181" spans="3:14" x14ac:dyDescent="0.3">
      <c r="C181"/>
      <c r="D181"/>
      <c r="E181"/>
      <c r="F181"/>
      <c r="G181"/>
      <c r="H181"/>
      <c r="I181"/>
      <c r="J181"/>
      <c r="K181"/>
      <c r="L181"/>
      <c r="M181"/>
      <c r="N181"/>
    </row>
    <row r="182" spans="3:14" x14ac:dyDescent="0.3">
      <c r="C182"/>
      <c r="D182"/>
      <c r="E182"/>
      <c r="F182"/>
      <c r="G182"/>
      <c r="H182"/>
      <c r="I182"/>
      <c r="J182"/>
      <c r="K182"/>
      <c r="L182"/>
      <c r="M182"/>
      <c r="N182"/>
    </row>
    <row r="183" spans="3:14" x14ac:dyDescent="0.3">
      <c r="C183"/>
      <c r="D183"/>
      <c r="E183"/>
      <c r="F183"/>
      <c r="G183"/>
      <c r="H183"/>
      <c r="I183"/>
      <c r="J183"/>
      <c r="K183"/>
      <c r="L183"/>
      <c r="M183"/>
      <c r="N183"/>
    </row>
    <row r="184" spans="3:14" x14ac:dyDescent="0.3">
      <c r="C184"/>
      <c r="D184"/>
      <c r="E184"/>
      <c r="F184"/>
      <c r="G184"/>
      <c r="H184"/>
      <c r="I184"/>
      <c r="J184"/>
      <c r="K184"/>
      <c r="L184"/>
      <c r="M184"/>
      <c r="N184"/>
    </row>
    <row r="185" spans="3:14" x14ac:dyDescent="0.3">
      <c r="C185"/>
      <c r="D185"/>
      <c r="E185"/>
      <c r="F185"/>
      <c r="G185"/>
      <c r="H185"/>
      <c r="I185"/>
      <c r="J185"/>
      <c r="K185"/>
      <c r="L185"/>
      <c r="M185"/>
      <c r="N185"/>
    </row>
    <row r="186" spans="3:14" x14ac:dyDescent="0.3">
      <c r="C186"/>
      <c r="D186"/>
      <c r="E186"/>
      <c r="F186"/>
      <c r="G186"/>
      <c r="H186"/>
      <c r="I186"/>
      <c r="J186"/>
      <c r="K186"/>
      <c r="L186"/>
      <c r="M186"/>
      <c r="N186"/>
    </row>
    <row r="187" spans="3:14" x14ac:dyDescent="0.3">
      <c r="C187"/>
      <c r="D187"/>
      <c r="E187"/>
      <c r="F187"/>
      <c r="G187"/>
      <c r="H187"/>
      <c r="I187"/>
      <c r="J187"/>
      <c r="K187"/>
      <c r="L187"/>
      <c r="M187"/>
      <c r="N187"/>
    </row>
    <row r="188" spans="3:14" x14ac:dyDescent="0.3">
      <c r="C188"/>
      <c r="D188"/>
      <c r="E188"/>
      <c r="F188"/>
      <c r="G188"/>
      <c r="H188"/>
      <c r="I188"/>
      <c r="J188"/>
      <c r="K188"/>
      <c r="L188"/>
      <c r="M188"/>
      <c r="N188"/>
    </row>
    <row r="189" spans="3:14" x14ac:dyDescent="0.3">
      <c r="C189"/>
      <c r="D189"/>
      <c r="E189"/>
      <c r="F189"/>
      <c r="G189"/>
      <c r="H189"/>
      <c r="I189"/>
      <c r="J189"/>
      <c r="K189"/>
      <c r="L189"/>
      <c r="M189"/>
      <c r="N189"/>
    </row>
    <row r="190" spans="3:14" x14ac:dyDescent="0.3">
      <c r="C190"/>
      <c r="D190"/>
      <c r="E190"/>
      <c r="F190"/>
      <c r="G190"/>
      <c r="H190"/>
      <c r="I190"/>
      <c r="J190"/>
      <c r="K190"/>
      <c r="L190"/>
      <c r="M190"/>
      <c r="N190"/>
    </row>
    <row r="191" spans="3:14" x14ac:dyDescent="0.3">
      <c r="C191"/>
      <c r="D191"/>
      <c r="E191"/>
      <c r="F191"/>
      <c r="G191"/>
      <c r="H191"/>
      <c r="I191"/>
      <c r="J191"/>
      <c r="K191"/>
      <c r="L191"/>
      <c r="M191"/>
      <c r="N191"/>
    </row>
    <row r="192" spans="3:14" x14ac:dyDescent="0.3">
      <c r="C192"/>
      <c r="D192"/>
      <c r="E192"/>
      <c r="F192"/>
      <c r="G192"/>
      <c r="H192"/>
      <c r="I192"/>
      <c r="J192"/>
      <c r="K192"/>
      <c r="L192"/>
      <c r="M192"/>
      <c r="N192"/>
    </row>
    <row r="193" spans="3:14" x14ac:dyDescent="0.3">
      <c r="C193"/>
      <c r="D193"/>
      <c r="E193"/>
      <c r="F193"/>
      <c r="G193"/>
      <c r="H193"/>
      <c r="I193"/>
      <c r="J193"/>
      <c r="K193"/>
      <c r="L193"/>
      <c r="M193"/>
      <c r="N193"/>
    </row>
    <row r="194" spans="3:14" x14ac:dyDescent="0.3">
      <c r="C194"/>
      <c r="D194"/>
      <c r="E194"/>
      <c r="F194"/>
      <c r="G194"/>
      <c r="H194"/>
      <c r="I194"/>
      <c r="J194"/>
      <c r="K194"/>
      <c r="L194"/>
      <c r="M194"/>
      <c r="N194"/>
    </row>
    <row r="195" spans="3:14" x14ac:dyDescent="0.3">
      <c r="C195"/>
      <c r="D195"/>
      <c r="E195"/>
      <c r="F195"/>
      <c r="G195"/>
      <c r="H195"/>
      <c r="I195"/>
      <c r="J195"/>
      <c r="K195"/>
      <c r="L195"/>
      <c r="M195"/>
      <c r="N195"/>
    </row>
    <row r="196" spans="3:14" x14ac:dyDescent="0.3">
      <c r="C196"/>
      <c r="D196"/>
      <c r="E196"/>
      <c r="F196"/>
      <c r="G196"/>
      <c r="H196"/>
      <c r="I196"/>
      <c r="J196"/>
      <c r="K196"/>
      <c r="L196"/>
      <c r="M196"/>
      <c r="N196"/>
    </row>
    <row r="197" spans="3:14" x14ac:dyDescent="0.3">
      <c r="C197"/>
      <c r="D197"/>
      <c r="E197"/>
      <c r="F197"/>
      <c r="G197"/>
      <c r="H197"/>
      <c r="I197"/>
      <c r="J197"/>
      <c r="K197"/>
      <c r="L197"/>
      <c r="M197"/>
      <c r="N197"/>
    </row>
    <row r="198" spans="3:14" x14ac:dyDescent="0.3">
      <c r="C198"/>
      <c r="D198"/>
      <c r="E198"/>
      <c r="F198"/>
      <c r="G198"/>
      <c r="H198"/>
      <c r="I198"/>
      <c r="J198"/>
      <c r="K198"/>
      <c r="L198"/>
      <c r="M198"/>
      <c r="N198"/>
    </row>
    <row r="199" spans="3:14" x14ac:dyDescent="0.3">
      <c r="C199"/>
      <c r="D199"/>
      <c r="E199"/>
      <c r="F199"/>
      <c r="G199"/>
      <c r="H199"/>
      <c r="I199"/>
      <c r="J199"/>
      <c r="K199"/>
      <c r="L199"/>
      <c r="M199"/>
      <c r="N199"/>
    </row>
    <row r="200" spans="3:14" x14ac:dyDescent="0.3">
      <c r="C200"/>
      <c r="D200"/>
      <c r="E200"/>
      <c r="F200"/>
      <c r="G200"/>
      <c r="H200"/>
      <c r="I200"/>
      <c r="J200"/>
      <c r="K200"/>
      <c r="L200"/>
      <c r="M200"/>
      <c r="N200"/>
    </row>
    <row r="201" spans="3:14" x14ac:dyDescent="0.3">
      <c r="C201"/>
      <c r="D201"/>
      <c r="E201"/>
      <c r="F201"/>
      <c r="G201"/>
      <c r="H201"/>
      <c r="I201"/>
      <c r="J201"/>
      <c r="K201"/>
      <c r="L201"/>
      <c r="M201"/>
      <c r="N201"/>
    </row>
    <row r="202" spans="3:14" x14ac:dyDescent="0.3">
      <c r="C202"/>
      <c r="D202"/>
      <c r="E202"/>
      <c r="F202"/>
      <c r="G202"/>
      <c r="H202"/>
      <c r="I202"/>
      <c r="J202"/>
      <c r="K202"/>
      <c r="L202"/>
      <c r="M202"/>
      <c r="N202"/>
    </row>
    <row r="203" spans="3:14" x14ac:dyDescent="0.3">
      <c r="C203"/>
      <c r="D203"/>
      <c r="E203"/>
      <c r="F203"/>
      <c r="G203"/>
      <c r="H203"/>
      <c r="I203"/>
      <c r="J203"/>
      <c r="K203"/>
      <c r="L203"/>
      <c r="M203"/>
      <c r="N203"/>
    </row>
    <row r="204" spans="3:14" x14ac:dyDescent="0.3">
      <c r="C204"/>
      <c r="D204"/>
      <c r="E204"/>
      <c r="F204"/>
      <c r="G204"/>
      <c r="H204"/>
      <c r="I204"/>
      <c r="J204"/>
      <c r="K204"/>
      <c r="L204"/>
      <c r="M204"/>
      <c r="N204"/>
    </row>
    <row r="205" spans="3:14" x14ac:dyDescent="0.3">
      <c r="C205"/>
      <c r="D205"/>
      <c r="E205"/>
      <c r="F205"/>
      <c r="G205"/>
      <c r="H205"/>
      <c r="I205"/>
      <c r="J205"/>
      <c r="K205"/>
      <c r="L205"/>
      <c r="M205"/>
      <c r="N205"/>
    </row>
    <row r="206" spans="3:14" x14ac:dyDescent="0.3">
      <c r="C206"/>
      <c r="D206"/>
      <c r="E206"/>
      <c r="F206"/>
      <c r="G206"/>
      <c r="H206"/>
      <c r="I206"/>
      <c r="J206"/>
      <c r="K206"/>
      <c r="L206"/>
      <c r="M206"/>
      <c r="N206"/>
    </row>
    <row r="207" spans="3:14" x14ac:dyDescent="0.3">
      <c r="C207"/>
      <c r="D207"/>
      <c r="E207"/>
      <c r="F207"/>
      <c r="G207"/>
      <c r="H207"/>
      <c r="I207"/>
      <c r="J207"/>
      <c r="K207"/>
      <c r="L207"/>
      <c r="M207"/>
      <c r="N207"/>
    </row>
    <row r="208" spans="3:14" x14ac:dyDescent="0.3">
      <c r="C208"/>
      <c r="D208"/>
      <c r="E208"/>
      <c r="F208"/>
      <c r="G208"/>
      <c r="H208"/>
      <c r="I208"/>
      <c r="J208"/>
      <c r="K208"/>
      <c r="L208"/>
      <c r="M208"/>
      <c r="N208"/>
    </row>
    <row r="209" spans="3:14" x14ac:dyDescent="0.3">
      <c r="C209"/>
      <c r="D209"/>
      <c r="E209"/>
      <c r="F209"/>
      <c r="G209"/>
      <c r="H209"/>
      <c r="I209"/>
      <c r="J209"/>
      <c r="K209"/>
      <c r="L209"/>
      <c r="M209"/>
      <c r="N209"/>
    </row>
    <row r="210" spans="3:14" x14ac:dyDescent="0.3">
      <c r="C210"/>
      <c r="D210"/>
      <c r="E210"/>
      <c r="F210"/>
      <c r="G210"/>
      <c r="H210"/>
      <c r="I210"/>
      <c r="J210"/>
      <c r="K210"/>
      <c r="L210"/>
      <c r="M210"/>
      <c r="N210"/>
    </row>
    <row r="211" spans="3:14" x14ac:dyDescent="0.3">
      <c r="C211"/>
      <c r="D211"/>
      <c r="E211"/>
      <c r="F211"/>
      <c r="G211"/>
      <c r="H211"/>
      <c r="I211"/>
      <c r="J211"/>
      <c r="K211"/>
      <c r="L211"/>
      <c r="M211"/>
      <c r="N211"/>
    </row>
    <row r="212" spans="3:14" x14ac:dyDescent="0.3">
      <c r="C212"/>
      <c r="D212"/>
      <c r="E212"/>
      <c r="F212"/>
      <c r="G212"/>
      <c r="H212"/>
      <c r="I212"/>
      <c r="J212"/>
      <c r="K212"/>
      <c r="L212"/>
      <c r="M212"/>
      <c r="N212"/>
    </row>
    <row r="213" spans="3:14" x14ac:dyDescent="0.3">
      <c r="C213"/>
      <c r="D213"/>
      <c r="E213"/>
      <c r="F213"/>
      <c r="G213"/>
      <c r="H213"/>
      <c r="I213"/>
      <c r="J213"/>
      <c r="K213"/>
      <c r="L213"/>
      <c r="M213"/>
      <c r="N213"/>
    </row>
    <row r="214" spans="3:14" x14ac:dyDescent="0.3">
      <c r="C214"/>
      <c r="D214"/>
      <c r="E214"/>
      <c r="F214"/>
      <c r="G214"/>
      <c r="H214"/>
      <c r="I214"/>
      <c r="J214"/>
      <c r="K214"/>
      <c r="L214"/>
      <c r="M214"/>
      <c r="N214"/>
    </row>
    <row r="215" spans="3:14" x14ac:dyDescent="0.3">
      <c r="C215"/>
      <c r="D215"/>
      <c r="E215"/>
      <c r="F215"/>
      <c r="G215"/>
      <c r="H215"/>
      <c r="I215"/>
      <c r="J215"/>
      <c r="K215"/>
      <c r="L215"/>
      <c r="M215"/>
      <c r="N215"/>
    </row>
    <row r="216" spans="3:14" x14ac:dyDescent="0.3">
      <c r="C216"/>
      <c r="D216"/>
      <c r="E216"/>
      <c r="F216"/>
      <c r="G216"/>
      <c r="H216"/>
      <c r="I216"/>
      <c r="J216"/>
      <c r="K216"/>
      <c r="L216"/>
      <c r="M216"/>
      <c r="N216"/>
    </row>
    <row r="217" spans="3:14" x14ac:dyDescent="0.3">
      <c r="C217"/>
      <c r="D217"/>
      <c r="E217"/>
      <c r="F217"/>
      <c r="G217"/>
      <c r="H217"/>
      <c r="I217"/>
      <c r="J217"/>
      <c r="K217"/>
      <c r="L217"/>
      <c r="M217"/>
      <c r="N217"/>
    </row>
    <row r="218" spans="3:14" x14ac:dyDescent="0.3">
      <c r="C218"/>
      <c r="D218"/>
      <c r="E218"/>
      <c r="F218"/>
      <c r="G218"/>
      <c r="H218"/>
      <c r="I218"/>
      <c r="J218"/>
      <c r="K218"/>
      <c r="L218"/>
      <c r="M218"/>
      <c r="N218"/>
    </row>
    <row r="219" spans="3:14" x14ac:dyDescent="0.3">
      <c r="C219"/>
      <c r="D219"/>
      <c r="E219"/>
      <c r="F219"/>
      <c r="G219"/>
      <c r="H219"/>
      <c r="I219"/>
      <c r="J219"/>
      <c r="K219"/>
      <c r="L219"/>
      <c r="M219"/>
      <c r="N219"/>
    </row>
    <row r="220" spans="3:14" x14ac:dyDescent="0.3">
      <c r="C220"/>
      <c r="D220"/>
      <c r="E220"/>
      <c r="F220"/>
      <c r="G220"/>
      <c r="H220"/>
      <c r="I220"/>
      <c r="J220"/>
      <c r="K220"/>
      <c r="L220"/>
      <c r="M220"/>
      <c r="N220"/>
    </row>
    <row r="221" spans="3:14" x14ac:dyDescent="0.3">
      <c r="C221"/>
      <c r="D221"/>
      <c r="E221"/>
      <c r="F221"/>
      <c r="G221"/>
      <c r="H221"/>
      <c r="I221"/>
      <c r="J221"/>
      <c r="K221"/>
      <c r="L221"/>
      <c r="M221"/>
      <c r="N221"/>
    </row>
    <row r="222" spans="3:14" x14ac:dyDescent="0.3">
      <c r="C222"/>
      <c r="D222"/>
      <c r="E222"/>
      <c r="F222"/>
      <c r="G222"/>
      <c r="H222"/>
      <c r="I222"/>
      <c r="J222"/>
      <c r="K222"/>
      <c r="L222"/>
      <c r="M222"/>
      <c r="N222"/>
    </row>
    <row r="223" spans="3:14" x14ac:dyDescent="0.3">
      <c r="C223"/>
      <c r="D223"/>
      <c r="E223"/>
      <c r="F223"/>
      <c r="G223"/>
      <c r="H223"/>
      <c r="I223"/>
      <c r="J223"/>
      <c r="K223"/>
      <c r="L223"/>
      <c r="M223"/>
      <c r="N223"/>
    </row>
    <row r="224" spans="3:14" x14ac:dyDescent="0.3">
      <c r="C224"/>
      <c r="D224"/>
      <c r="E224"/>
      <c r="F224"/>
      <c r="G224"/>
      <c r="H224"/>
      <c r="I224"/>
      <c r="J224"/>
      <c r="K224"/>
      <c r="L224"/>
      <c r="M224"/>
      <c r="N224"/>
    </row>
    <row r="225" spans="3:14" x14ac:dyDescent="0.3">
      <c r="C225"/>
      <c r="D225"/>
      <c r="E225"/>
      <c r="F225"/>
      <c r="G225"/>
      <c r="H225"/>
      <c r="I225"/>
      <c r="J225"/>
      <c r="K225"/>
      <c r="L225"/>
      <c r="M225"/>
      <c r="N225"/>
    </row>
    <row r="226" spans="3:14" x14ac:dyDescent="0.3">
      <c r="C226"/>
      <c r="D226"/>
      <c r="E226"/>
      <c r="F226"/>
      <c r="G226"/>
      <c r="H226"/>
      <c r="I226"/>
      <c r="J226"/>
      <c r="K226"/>
      <c r="L226"/>
      <c r="M226"/>
      <c r="N226"/>
    </row>
    <row r="227" spans="3:14" x14ac:dyDescent="0.3">
      <c r="C227"/>
      <c r="D227"/>
      <c r="E227"/>
      <c r="F227"/>
      <c r="G227"/>
      <c r="H227"/>
      <c r="I227"/>
      <c r="J227"/>
      <c r="K227"/>
      <c r="L227"/>
      <c r="M227"/>
      <c r="N227"/>
    </row>
    <row r="228" spans="3:14" x14ac:dyDescent="0.3">
      <c r="C228"/>
      <c r="D228"/>
      <c r="E228"/>
      <c r="F228"/>
      <c r="G228"/>
      <c r="H228"/>
      <c r="I228"/>
      <c r="J228"/>
      <c r="K228"/>
      <c r="L228"/>
      <c r="M228"/>
      <c r="N228"/>
    </row>
    <row r="229" spans="3:14" x14ac:dyDescent="0.3">
      <c r="C229"/>
      <c r="D229"/>
      <c r="E229"/>
      <c r="F229"/>
      <c r="G229"/>
      <c r="H229"/>
      <c r="I229"/>
      <c r="J229"/>
      <c r="K229"/>
      <c r="L229"/>
      <c r="M229"/>
      <c r="N229"/>
    </row>
    <row r="230" spans="3:14" x14ac:dyDescent="0.3">
      <c r="C230"/>
      <c r="D230"/>
      <c r="E230"/>
      <c r="F230"/>
      <c r="G230"/>
      <c r="H230"/>
      <c r="I230"/>
      <c r="J230"/>
      <c r="K230"/>
      <c r="L230"/>
      <c r="M230"/>
      <c r="N230"/>
    </row>
    <row r="231" spans="3:14" x14ac:dyDescent="0.3">
      <c r="C231"/>
      <c r="D231"/>
      <c r="E231"/>
      <c r="F231"/>
      <c r="G231"/>
      <c r="H231"/>
      <c r="I231"/>
      <c r="J231"/>
      <c r="K231"/>
      <c r="L231"/>
      <c r="M231"/>
      <c r="N231"/>
    </row>
    <row r="232" spans="3:14" x14ac:dyDescent="0.3">
      <c r="C232"/>
      <c r="D232"/>
      <c r="E232"/>
      <c r="F232"/>
      <c r="G232"/>
      <c r="H232"/>
      <c r="I232"/>
      <c r="J232"/>
      <c r="K232"/>
      <c r="L232"/>
      <c r="M232"/>
      <c r="N232"/>
    </row>
    <row r="233" spans="3:14" x14ac:dyDescent="0.3">
      <c r="C233"/>
      <c r="D233"/>
      <c r="E233"/>
      <c r="F233"/>
      <c r="G233"/>
      <c r="H233"/>
      <c r="I233"/>
      <c r="J233"/>
      <c r="K233"/>
      <c r="L233"/>
      <c r="M233"/>
      <c r="N233"/>
    </row>
    <row r="234" spans="3:14" x14ac:dyDescent="0.3">
      <c r="C234"/>
      <c r="D234"/>
      <c r="E234"/>
      <c r="F234"/>
      <c r="G234"/>
      <c r="H234"/>
      <c r="I234"/>
      <c r="J234"/>
      <c r="K234"/>
      <c r="L234"/>
      <c r="M234"/>
      <c r="N234"/>
    </row>
    <row r="235" spans="3:14" x14ac:dyDescent="0.3">
      <c r="C235"/>
      <c r="D235"/>
      <c r="E235"/>
      <c r="F235"/>
      <c r="G235"/>
      <c r="H235"/>
      <c r="I235"/>
      <c r="J235"/>
      <c r="K235"/>
      <c r="L235"/>
      <c r="M235"/>
      <c r="N235"/>
    </row>
    <row r="236" spans="3:14" x14ac:dyDescent="0.3">
      <c r="C236"/>
      <c r="D236"/>
      <c r="E236"/>
      <c r="F236"/>
      <c r="G236"/>
      <c r="H236"/>
      <c r="I236"/>
      <c r="J236"/>
      <c r="K236"/>
      <c r="L236"/>
      <c r="M236"/>
      <c r="N236"/>
    </row>
    <row r="237" spans="3:14" x14ac:dyDescent="0.3">
      <c r="C237"/>
      <c r="D237"/>
      <c r="E237"/>
      <c r="F237"/>
      <c r="G237"/>
      <c r="H237"/>
      <c r="I237"/>
      <c r="J237"/>
      <c r="K237"/>
      <c r="L237"/>
      <c r="M237"/>
      <c r="N237"/>
    </row>
    <row r="238" spans="3:14" x14ac:dyDescent="0.3">
      <c r="C238"/>
      <c r="D238"/>
      <c r="E238"/>
      <c r="F238"/>
      <c r="G238"/>
      <c r="H238"/>
      <c r="I238"/>
      <c r="J238"/>
      <c r="K238"/>
      <c r="L238"/>
      <c r="M238"/>
      <c r="N238"/>
    </row>
    <row r="239" spans="3:14" x14ac:dyDescent="0.3">
      <c r="C239"/>
      <c r="D239"/>
      <c r="E239"/>
      <c r="F239"/>
      <c r="G239"/>
      <c r="H239"/>
      <c r="I239"/>
      <c r="J239"/>
      <c r="K239"/>
      <c r="L239"/>
      <c r="M239"/>
      <c r="N239"/>
    </row>
    <row r="240" spans="3:14" x14ac:dyDescent="0.3">
      <c r="C240"/>
      <c r="D240"/>
      <c r="E240"/>
      <c r="F240"/>
      <c r="G240"/>
      <c r="H240"/>
      <c r="I240"/>
      <c r="J240"/>
      <c r="K240"/>
      <c r="L240"/>
      <c r="M240"/>
      <c r="N240"/>
    </row>
    <row r="241" spans="3:14" x14ac:dyDescent="0.3">
      <c r="C241"/>
      <c r="D241"/>
      <c r="E241"/>
      <c r="F241"/>
      <c r="G241"/>
      <c r="H241"/>
      <c r="I241"/>
      <c r="J241"/>
      <c r="K241"/>
      <c r="L241"/>
      <c r="M241"/>
      <c r="N241"/>
    </row>
    <row r="242" spans="3:14" x14ac:dyDescent="0.3">
      <c r="C242"/>
      <c r="D242"/>
      <c r="E242"/>
      <c r="F242"/>
      <c r="G242"/>
      <c r="H242"/>
      <c r="I242"/>
      <c r="J242"/>
      <c r="K242"/>
      <c r="L242"/>
      <c r="M242"/>
      <c r="N242"/>
    </row>
    <row r="243" spans="3:14" x14ac:dyDescent="0.3">
      <c r="C243"/>
      <c r="D243"/>
      <c r="E243"/>
      <c r="F243"/>
      <c r="G243"/>
      <c r="H243"/>
      <c r="I243"/>
      <c r="J243"/>
      <c r="K243"/>
      <c r="L243"/>
      <c r="M243"/>
      <c r="N243"/>
    </row>
    <row r="244" spans="3:14" x14ac:dyDescent="0.3">
      <c r="C244"/>
      <c r="D244"/>
      <c r="E244"/>
      <c r="F244"/>
      <c r="G244"/>
      <c r="H244"/>
      <c r="I244"/>
      <c r="J244"/>
      <c r="K244"/>
      <c r="L244"/>
      <c r="M244"/>
      <c r="N244"/>
    </row>
    <row r="245" spans="3:14" x14ac:dyDescent="0.3">
      <c r="C245"/>
      <c r="D245"/>
      <c r="E245"/>
      <c r="F245"/>
      <c r="G245"/>
      <c r="H245"/>
      <c r="I245"/>
      <c r="J245"/>
      <c r="K245"/>
      <c r="L245"/>
      <c r="M245"/>
      <c r="N245"/>
    </row>
    <row r="246" spans="3:14" x14ac:dyDescent="0.3">
      <c r="C246"/>
      <c r="D246"/>
      <c r="E246"/>
      <c r="F246"/>
      <c r="G246"/>
      <c r="H246"/>
      <c r="I246"/>
      <c r="J246"/>
      <c r="K246"/>
      <c r="L246"/>
      <c r="M246"/>
      <c r="N246"/>
    </row>
    <row r="247" spans="3:14" x14ac:dyDescent="0.3">
      <c r="C247"/>
      <c r="D247"/>
      <c r="E247"/>
      <c r="F247"/>
      <c r="G247"/>
      <c r="H247"/>
      <c r="I247"/>
      <c r="J247"/>
      <c r="K247"/>
      <c r="L247"/>
      <c r="M247"/>
      <c r="N247"/>
    </row>
    <row r="248" spans="3:14" x14ac:dyDescent="0.3">
      <c r="C248"/>
      <c r="D248"/>
      <c r="E248"/>
      <c r="F248"/>
      <c r="G248"/>
      <c r="H248"/>
      <c r="I248"/>
      <c r="J248"/>
      <c r="K248"/>
      <c r="L248"/>
      <c r="M248"/>
      <c r="N248"/>
    </row>
    <row r="249" spans="3:14" x14ac:dyDescent="0.3">
      <c r="C249"/>
      <c r="D249"/>
      <c r="E249"/>
      <c r="F249"/>
      <c r="G249"/>
      <c r="H249"/>
      <c r="I249"/>
      <c r="J249"/>
      <c r="K249"/>
      <c r="L249"/>
      <c r="M249"/>
      <c r="N249"/>
    </row>
    <row r="250" spans="3:14" x14ac:dyDescent="0.3">
      <c r="C250"/>
      <c r="D250"/>
      <c r="E250"/>
      <c r="F250"/>
      <c r="G250"/>
      <c r="H250"/>
      <c r="I250"/>
      <c r="J250"/>
      <c r="K250"/>
      <c r="L250"/>
      <c r="M250"/>
      <c r="N250"/>
    </row>
    <row r="251" spans="3:14" x14ac:dyDescent="0.3">
      <c r="C251"/>
      <c r="D251"/>
      <c r="E251"/>
      <c r="F251"/>
      <c r="G251"/>
      <c r="H251"/>
      <c r="I251"/>
      <c r="J251"/>
      <c r="K251"/>
      <c r="L251"/>
      <c r="M251"/>
      <c r="N251"/>
    </row>
    <row r="252" spans="3:14" x14ac:dyDescent="0.3">
      <c r="C252"/>
      <c r="D252"/>
      <c r="E252"/>
      <c r="F252"/>
      <c r="G252"/>
      <c r="H252"/>
      <c r="I252"/>
      <c r="J252"/>
      <c r="K252"/>
      <c r="L252"/>
      <c r="M252"/>
      <c r="N252"/>
    </row>
    <row r="253" spans="3:14" x14ac:dyDescent="0.3">
      <c r="C253"/>
      <c r="D253"/>
      <c r="E253"/>
      <c r="F253"/>
      <c r="G253"/>
      <c r="H253"/>
      <c r="I253"/>
      <c r="J253"/>
      <c r="K253"/>
      <c r="L253"/>
      <c r="M253"/>
      <c r="N253"/>
    </row>
    <row r="254" spans="3:14" x14ac:dyDescent="0.3">
      <c r="C254"/>
      <c r="D254"/>
      <c r="E254"/>
      <c r="F254"/>
      <c r="G254"/>
      <c r="H254"/>
      <c r="I254"/>
      <c r="J254"/>
      <c r="K254"/>
      <c r="L254"/>
      <c r="M254"/>
      <c r="N254"/>
    </row>
    <row r="255" spans="3:14" x14ac:dyDescent="0.3">
      <c r="C255"/>
      <c r="D255"/>
      <c r="E255"/>
      <c r="F255"/>
      <c r="G255"/>
      <c r="H255"/>
      <c r="I255"/>
      <c r="J255"/>
      <c r="K255"/>
      <c r="L255"/>
      <c r="M255"/>
      <c r="N255"/>
    </row>
    <row r="256" spans="3:14" x14ac:dyDescent="0.3">
      <c r="C256"/>
      <c r="D256"/>
      <c r="E256"/>
      <c r="F256"/>
      <c r="G256"/>
      <c r="H256"/>
      <c r="I256"/>
      <c r="J256"/>
      <c r="K256"/>
      <c r="L256"/>
      <c r="M256"/>
      <c r="N256"/>
    </row>
    <row r="257" spans="3:14" x14ac:dyDescent="0.3">
      <c r="C257"/>
      <c r="D257"/>
      <c r="E257"/>
      <c r="F257"/>
      <c r="G257"/>
      <c r="H257"/>
      <c r="I257"/>
      <c r="J257"/>
      <c r="K257"/>
      <c r="L257"/>
      <c r="M257"/>
      <c r="N257"/>
    </row>
    <row r="258" spans="3:14" x14ac:dyDescent="0.3">
      <c r="C258"/>
      <c r="D258"/>
      <c r="E258"/>
      <c r="F258"/>
      <c r="G258"/>
      <c r="H258"/>
      <c r="I258"/>
      <c r="J258"/>
      <c r="K258"/>
      <c r="L258"/>
      <c r="M258"/>
      <c r="N258"/>
    </row>
    <row r="259" spans="3:14" x14ac:dyDescent="0.3">
      <c r="C259"/>
      <c r="D259"/>
      <c r="E259"/>
      <c r="F259"/>
      <c r="G259"/>
      <c r="H259"/>
      <c r="I259"/>
      <c r="J259"/>
      <c r="K259"/>
      <c r="L259"/>
      <c r="M259"/>
      <c r="N259"/>
    </row>
    <row r="260" spans="3:14" x14ac:dyDescent="0.3">
      <c r="C260"/>
      <c r="D260"/>
      <c r="E260"/>
      <c r="F260"/>
      <c r="G260"/>
      <c r="H260"/>
      <c r="I260"/>
      <c r="J260"/>
      <c r="K260"/>
      <c r="L260"/>
      <c r="M260"/>
      <c r="N260"/>
    </row>
    <row r="261" spans="3:14" x14ac:dyDescent="0.3">
      <c r="C261"/>
      <c r="D261"/>
      <c r="E261"/>
      <c r="F261"/>
      <c r="G261"/>
      <c r="H261"/>
      <c r="I261"/>
      <c r="J261"/>
      <c r="K261"/>
      <c r="L261"/>
      <c r="M261"/>
      <c r="N261"/>
    </row>
    <row r="262" spans="3:14" x14ac:dyDescent="0.3">
      <c r="C262"/>
      <c r="D262"/>
      <c r="E262"/>
      <c r="F262"/>
      <c r="G262"/>
      <c r="H262"/>
      <c r="I262"/>
      <c r="J262"/>
      <c r="K262"/>
      <c r="L262"/>
      <c r="M262"/>
      <c r="N262"/>
    </row>
    <row r="263" spans="3:14" x14ac:dyDescent="0.3">
      <c r="C263"/>
      <c r="D263"/>
      <c r="E263"/>
      <c r="F263"/>
      <c r="G263"/>
      <c r="H263"/>
      <c r="I263"/>
      <c r="J263"/>
      <c r="K263"/>
      <c r="L263"/>
      <c r="M263"/>
      <c r="N263"/>
    </row>
    <row r="264" spans="3:14" x14ac:dyDescent="0.3">
      <c r="C264"/>
      <c r="D264"/>
      <c r="E264"/>
      <c r="F264"/>
      <c r="G264"/>
      <c r="H264"/>
      <c r="I264"/>
      <c r="J264"/>
      <c r="K264"/>
      <c r="L264"/>
      <c r="M264"/>
      <c r="N264"/>
    </row>
    <row r="265" spans="3:14" x14ac:dyDescent="0.3">
      <c r="C265"/>
      <c r="D265"/>
      <c r="E265"/>
      <c r="F265"/>
      <c r="G265"/>
      <c r="H265"/>
      <c r="I265"/>
      <c r="J265"/>
      <c r="K265"/>
      <c r="L265"/>
      <c r="M265"/>
      <c r="N265"/>
    </row>
    <row r="266" spans="3:14" x14ac:dyDescent="0.3">
      <c r="C266"/>
      <c r="D266"/>
      <c r="E266"/>
      <c r="F266"/>
      <c r="G266"/>
      <c r="H266"/>
      <c r="I266"/>
      <c r="J266"/>
      <c r="K266"/>
      <c r="L266"/>
      <c r="M266"/>
      <c r="N266"/>
    </row>
    <row r="267" spans="3:14" x14ac:dyDescent="0.3">
      <c r="C267"/>
      <c r="D267"/>
      <c r="E267"/>
      <c r="F267"/>
      <c r="G267"/>
      <c r="H267"/>
      <c r="I267"/>
      <c r="J267"/>
      <c r="K267"/>
      <c r="L267"/>
      <c r="M267"/>
      <c r="N267"/>
    </row>
    <row r="268" spans="3:14" x14ac:dyDescent="0.3">
      <c r="C268"/>
      <c r="D268"/>
      <c r="E268"/>
      <c r="F268"/>
      <c r="G268"/>
      <c r="H268"/>
      <c r="I268"/>
      <c r="J268"/>
      <c r="K268"/>
      <c r="L268"/>
      <c r="M268"/>
      <c r="N268"/>
    </row>
    <row r="269" spans="3:14" x14ac:dyDescent="0.3">
      <c r="C269"/>
      <c r="D269"/>
      <c r="E269"/>
      <c r="F269"/>
      <c r="G269"/>
      <c r="H269"/>
      <c r="I269"/>
      <c r="J269"/>
      <c r="K269"/>
      <c r="L269"/>
      <c r="M269"/>
      <c r="N269"/>
    </row>
    <row r="270" spans="3:14" x14ac:dyDescent="0.3">
      <c r="C270"/>
      <c r="D270"/>
      <c r="E270"/>
      <c r="F270"/>
      <c r="G270"/>
      <c r="H270"/>
      <c r="I270"/>
      <c r="J270"/>
      <c r="K270"/>
      <c r="L270"/>
      <c r="M270"/>
      <c r="N270"/>
    </row>
    <row r="271" spans="3:14" x14ac:dyDescent="0.3">
      <c r="C271"/>
      <c r="D271"/>
      <c r="E271"/>
      <c r="F271"/>
      <c r="G271"/>
      <c r="H271"/>
      <c r="I271"/>
      <c r="J271"/>
      <c r="K271"/>
      <c r="L271"/>
      <c r="M271"/>
      <c r="N271"/>
    </row>
    <row r="272" spans="3:14" x14ac:dyDescent="0.3">
      <c r="C272"/>
      <c r="D272"/>
      <c r="E272"/>
      <c r="F272"/>
      <c r="G272"/>
      <c r="H272"/>
      <c r="I272"/>
      <c r="J272"/>
      <c r="K272"/>
      <c r="L272"/>
      <c r="M272"/>
      <c r="N272"/>
    </row>
    <row r="273" spans="3:14" x14ac:dyDescent="0.3">
      <c r="C273"/>
      <c r="D273"/>
      <c r="E273"/>
      <c r="F273"/>
      <c r="G273"/>
      <c r="H273"/>
      <c r="I273"/>
      <c r="J273"/>
      <c r="K273"/>
      <c r="L273"/>
      <c r="M273"/>
      <c r="N273"/>
    </row>
    <row r="274" spans="3:14" x14ac:dyDescent="0.3">
      <c r="C274"/>
      <c r="D274"/>
      <c r="E274"/>
      <c r="F274"/>
      <c r="G274"/>
      <c r="H274"/>
      <c r="I274"/>
      <c r="J274"/>
      <c r="K274"/>
      <c r="L274"/>
      <c r="M274"/>
      <c r="N274"/>
    </row>
    <row r="275" spans="3:14" x14ac:dyDescent="0.3">
      <c r="C275"/>
      <c r="D275"/>
      <c r="E275"/>
      <c r="F275"/>
      <c r="G275"/>
      <c r="H275"/>
      <c r="I275"/>
      <c r="J275"/>
      <c r="K275"/>
      <c r="L275"/>
      <c r="M275"/>
      <c r="N275"/>
    </row>
    <row r="276" spans="3:14" x14ac:dyDescent="0.3">
      <c r="C276"/>
      <c r="D276"/>
      <c r="E276"/>
      <c r="F276"/>
      <c r="G276"/>
      <c r="H276"/>
      <c r="I276"/>
      <c r="J276"/>
      <c r="K276"/>
      <c r="L276"/>
      <c r="M276"/>
      <c r="N276"/>
    </row>
    <row r="277" spans="3:14" x14ac:dyDescent="0.3">
      <c r="C277"/>
      <c r="D277"/>
      <c r="E277"/>
      <c r="F277"/>
      <c r="G277"/>
      <c r="H277"/>
      <c r="I277"/>
      <c r="J277"/>
      <c r="K277"/>
      <c r="L277"/>
      <c r="M277"/>
      <c r="N277"/>
    </row>
    <row r="278" spans="3:14" x14ac:dyDescent="0.3">
      <c r="C278"/>
      <c r="D278"/>
      <c r="E278"/>
      <c r="F278"/>
      <c r="G278"/>
      <c r="H278"/>
      <c r="I278"/>
      <c r="J278"/>
      <c r="K278"/>
      <c r="L278"/>
      <c r="M278"/>
      <c r="N278"/>
    </row>
    <row r="279" spans="3:14" x14ac:dyDescent="0.3">
      <c r="C279"/>
      <c r="D279"/>
      <c r="E279"/>
      <c r="F279"/>
      <c r="G279"/>
      <c r="H279"/>
      <c r="I279"/>
      <c r="J279"/>
      <c r="K279"/>
      <c r="L279"/>
      <c r="M279"/>
      <c r="N279"/>
    </row>
    <row r="280" spans="3:14" x14ac:dyDescent="0.3">
      <c r="C280"/>
      <c r="D280"/>
      <c r="E280"/>
      <c r="F280"/>
      <c r="G280"/>
      <c r="H280"/>
      <c r="I280"/>
      <c r="J280"/>
      <c r="K280"/>
      <c r="L280"/>
      <c r="M280"/>
      <c r="N280"/>
    </row>
    <row r="281" spans="3:14" x14ac:dyDescent="0.3">
      <c r="C281"/>
      <c r="D281"/>
      <c r="E281"/>
      <c r="F281"/>
      <c r="G281"/>
      <c r="H281"/>
      <c r="I281"/>
      <c r="J281"/>
      <c r="K281"/>
      <c r="L281"/>
      <c r="M281"/>
      <c r="N281"/>
    </row>
    <row r="282" spans="3:14" x14ac:dyDescent="0.3">
      <c r="C282"/>
      <c r="D282"/>
      <c r="E282"/>
      <c r="F282"/>
      <c r="G282"/>
      <c r="H282"/>
      <c r="I282"/>
      <c r="J282"/>
      <c r="K282"/>
      <c r="L282"/>
      <c r="M282"/>
      <c r="N282"/>
    </row>
    <row r="283" spans="3:14" x14ac:dyDescent="0.3">
      <c r="C283"/>
      <c r="D283"/>
      <c r="E283"/>
      <c r="F283"/>
      <c r="G283"/>
      <c r="H283"/>
      <c r="I283"/>
      <c r="J283"/>
      <c r="K283"/>
      <c r="L283"/>
      <c r="M283"/>
      <c r="N283"/>
    </row>
    <row r="284" spans="3:14" x14ac:dyDescent="0.3">
      <c r="C284"/>
      <c r="D284"/>
      <c r="E284"/>
      <c r="F284"/>
      <c r="G284"/>
      <c r="H284"/>
      <c r="I284"/>
      <c r="J284"/>
      <c r="K284"/>
      <c r="L284"/>
      <c r="M284"/>
      <c r="N284"/>
    </row>
    <row r="285" spans="3:14" x14ac:dyDescent="0.3">
      <c r="C285"/>
      <c r="D285"/>
      <c r="E285"/>
      <c r="F285"/>
      <c r="G285"/>
      <c r="H285"/>
      <c r="I285"/>
      <c r="J285"/>
      <c r="K285"/>
      <c r="L285"/>
      <c r="M285"/>
      <c r="N285"/>
    </row>
    <row r="286" spans="3:14" x14ac:dyDescent="0.3">
      <c r="C286"/>
      <c r="D286"/>
      <c r="E286"/>
      <c r="F286"/>
      <c r="G286"/>
      <c r="H286"/>
      <c r="I286"/>
      <c r="J286"/>
      <c r="K286"/>
      <c r="L286"/>
      <c r="M286"/>
      <c r="N286"/>
    </row>
    <row r="287" spans="3:14" x14ac:dyDescent="0.3">
      <c r="C287"/>
      <c r="D287"/>
      <c r="E287"/>
      <c r="F287"/>
      <c r="G287"/>
      <c r="H287"/>
      <c r="I287"/>
      <c r="J287"/>
      <c r="K287"/>
      <c r="L287"/>
      <c r="M287"/>
      <c r="N287"/>
    </row>
    <row r="288" spans="3:14" x14ac:dyDescent="0.3">
      <c r="C288"/>
      <c r="D288"/>
      <c r="E288"/>
      <c r="F288"/>
      <c r="G288"/>
      <c r="H288"/>
      <c r="I288"/>
      <c r="J288"/>
      <c r="K288"/>
      <c r="L288"/>
      <c r="M288"/>
      <c r="N288"/>
    </row>
    <row r="289" spans="3:14" x14ac:dyDescent="0.3">
      <c r="C289"/>
      <c r="D289"/>
      <c r="E289"/>
      <c r="F289"/>
      <c r="G289"/>
      <c r="H289"/>
      <c r="I289"/>
      <c r="J289"/>
      <c r="K289"/>
      <c r="L289"/>
      <c r="M289"/>
      <c r="N289"/>
    </row>
    <row r="290" spans="3:14" x14ac:dyDescent="0.3">
      <c r="C290"/>
      <c r="D290"/>
      <c r="E290"/>
      <c r="F290"/>
      <c r="G290"/>
      <c r="H290"/>
      <c r="I290"/>
      <c r="J290"/>
      <c r="K290"/>
      <c r="L290"/>
      <c r="M290"/>
      <c r="N290"/>
    </row>
    <row r="291" spans="3:14" x14ac:dyDescent="0.3">
      <c r="C291"/>
      <c r="D291"/>
      <c r="E291"/>
      <c r="F291"/>
      <c r="G291"/>
      <c r="H291"/>
      <c r="I291"/>
      <c r="J291"/>
      <c r="K291"/>
      <c r="L291"/>
      <c r="M291"/>
      <c r="N291"/>
    </row>
    <row r="292" spans="3:14" x14ac:dyDescent="0.3">
      <c r="C292"/>
      <c r="D292"/>
      <c r="E292"/>
      <c r="F292"/>
      <c r="G292"/>
      <c r="H292"/>
      <c r="I292"/>
      <c r="J292"/>
      <c r="K292"/>
      <c r="L292"/>
      <c r="M292"/>
      <c r="N292"/>
    </row>
    <row r="293" spans="3:14" x14ac:dyDescent="0.3">
      <c r="C293"/>
      <c r="D293"/>
      <c r="E293"/>
      <c r="F293"/>
      <c r="G293"/>
      <c r="H293"/>
      <c r="I293"/>
      <c r="J293"/>
      <c r="K293"/>
      <c r="L293"/>
      <c r="M293"/>
      <c r="N293"/>
    </row>
    <row r="294" spans="3:14" x14ac:dyDescent="0.3">
      <c r="C294"/>
      <c r="D294"/>
      <c r="E294"/>
      <c r="F294"/>
      <c r="G294"/>
      <c r="H294"/>
      <c r="I294"/>
      <c r="J294"/>
      <c r="K294"/>
      <c r="L294"/>
      <c r="M294"/>
      <c r="N294"/>
    </row>
    <row r="295" spans="3:14" x14ac:dyDescent="0.3">
      <c r="C295"/>
      <c r="D295"/>
      <c r="E295"/>
      <c r="F295"/>
      <c r="G295"/>
      <c r="H295"/>
      <c r="I295"/>
      <c r="J295"/>
      <c r="K295"/>
      <c r="L295"/>
      <c r="M295"/>
      <c r="N295"/>
    </row>
    <row r="296" spans="3:14" x14ac:dyDescent="0.3">
      <c r="C296"/>
      <c r="D296"/>
      <c r="E296"/>
      <c r="F296"/>
      <c r="G296"/>
      <c r="H296"/>
      <c r="I296"/>
      <c r="J296"/>
      <c r="K296"/>
      <c r="L296"/>
      <c r="M296"/>
      <c r="N296"/>
    </row>
    <row r="297" spans="3:14" x14ac:dyDescent="0.3">
      <c r="C297"/>
      <c r="D297"/>
      <c r="E297"/>
      <c r="F297"/>
      <c r="G297"/>
      <c r="H297"/>
      <c r="I297"/>
      <c r="J297"/>
      <c r="K297"/>
      <c r="L297"/>
      <c r="M297"/>
      <c r="N297"/>
    </row>
    <row r="298" spans="3:14" x14ac:dyDescent="0.3">
      <c r="C298"/>
      <c r="D298"/>
      <c r="E298"/>
      <c r="F298"/>
      <c r="G298"/>
      <c r="H298"/>
      <c r="I298"/>
      <c r="J298"/>
      <c r="K298"/>
      <c r="L298"/>
      <c r="M298"/>
      <c r="N298"/>
    </row>
    <row r="299" spans="3:14" x14ac:dyDescent="0.3">
      <c r="C299"/>
      <c r="D299"/>
      <c r="E299"/>
      <c r="F299"/>
      <c r="G299"/>
      <c r="H299"/>
      <c r="I299"/>
      <c r="J299"/>
      <c r="K299"/>
      <c r="L299"/>
      <c r="M299"/>
      <c r="N299"/>
    </row>
    <row r="300" spans="3:14" x14ac:dyDescent="0.3">
      <c r="C300"/>
      <c r="D300"/>
      <c r="E300"/>
      <c r="F300"/>
      <c r="G300"/>
      <c r="H300"/>
      <c r="I300"/>
      <c r="J300"/>
      <c r="K300"/>
      <c r="L300"/>
      <c r="M300"/>
      <c r="N300"/>
    </row>
    <row r="301" spans="3:14" x14ac:dyDescent="0.3">
      <c r="C301"/>
      <c r="D301"/>
      <c r="E301"/>
      <c r="F301"/>
      <c r="G301"/>
      <c r="H301"/>
      <c r="I301"/>
      <c r="J301"/>
      <c r="K301"/>
      <c r="L301"/>
      <c r="M301"/>
      <c r="N301"/>
    </row>
    <row r="302" spans="3:14" x14ac:dyDescent="0.3">
      <c r="C302"/>
      <c r="D302"/>
      <c r="E302"/>
      <c r="F302"/>
      <c r="G302"/>
      <c r="H302"/>
      <c r="I302"/>
      <c r="J302"/>
      <c r="K302"/>
      <c r="L302"/>
      <c r="M302"/>
      <c r="N302"/>
    </row>
    <row r="303" spans="3:14" x14ac:dyDescent="0.3">
      <c r="C303"/>
      <c r="D303"/>
      <c r="E303"/>
      <c r="F303"/>
      <c r="G303"/>
      <c r="H303"/>
      <c r="I303"/>
      <c r="J303"/>
      <c r="K303"/>
      <c r="L303"/>
      <c r="M303"/>
      <c r="N303"/>
    </row>
    <row r="304" spans="3:14" x14ac:dyDescent="0.3">
      <c r="C304"/>
      <c r="D304"/>
      <c r="E304"/>
      <c r="F304"/>
      <c r="G304"/>
      <c r="H304"/>
      <c r="I304"/>
      <c r="J304"/>
      <c r="K304"/>
      <c r="L304"/>
      <c r="M304"/>
      <c r="N304"/>
    </row>
    <row r="305" spans="3:14" x14ac:dyDescent="0.3">
      <c r="C305"/>
      <c r="D305"/>
      <c r="E305"/>
      <c r="F305"/>
      <c r="G305"/>
      <c r="H305"/>
      <c r="I305"/>
      <c r="J305"/>
      <c r="K305"/>
      <c r="L305"/>
      <c r="M305"/>
      <c r="N305"/>
    </row>
    <row r="306" spans="3:14" x14ac:dyDescent="0.3">
      <c r="C306"/>
      <c r="D306"/>
      <c r="E306"/>
      <c r="F306"/>
      <c r="G306"/>
      <c r="H306"/>
      <c r="I306"/>
      <c r="J306"/>
      <c r="K306"/>
      <c r="L306"/>
      <c r="M306"/>
      <c r="N306"/>
    </row>
    <row r="307" spans="3:14" x14ac:dyDescent="0.3">
      <c r="C307"/>
      <c r="D307"/>
      <c r="E307"/>
      <c r="F307"/>
      <c r="G307"/>
      <c r="H307"/>
      <c r="I307"/>
      <c r="J307"/>
      <c r="K307"/>
      <c r="L307"/>
      <c r="M307"/>
      <c r="N307"/>
    </row>
    <row r="308" spans="3:14" x14ac:dyDescent="0.3">
      <c r="C308"/>
      <c r="D308"/>
      <c r="E308"/>
      <c r="F308"/>
      <c r="G308"/>
      <c r="H308"/>
      <c r="I308"/>
      <c r="J308"/>
      <c r="K308"/>
      <c r="L308"/>
      <c r="M308"/>
      <c r="N308"/>
    </row>
    <row r="309" spans="3:14" x14ac:dyDescent="0.3">
      <c r="C309"/>
      <c r="D309"/>
      <c r="E309"/>
      <c r="F309"/>
      <c r="G309"/>
      <c r="H309"/>
      <c r="I309"/>
      <c r="J309"/>
      <c r="K309"/>
      <c r="L309"/>
      <c r="M309"/>
      <c r="N309"/>
    </row>
    <row r="310" spans="3:14" x14ac:dyDescent="0.3">
      <c r="C310"/>
      <c r="D310"/>
      <c r="E310"/>
      <c r="F310"/>
      <c r="G310"/>
      <c r="H310"/>
      <c r="I310"/>
      <c r="J310"/>
      <c r="K310"/>
      <c r="L310"/>
      <c r="M310"/>
      <c r="N310"/>
    </row>
    <row r="311" spans="3:14" x14ac:dyDescent="0.3">
      <c r="C311"/>
      <c r="D311"/>
      <c r="E311"/>
      <c r="F311"/>
      <c r="G311"/>
      <c r="H311"/>
      <c r="I311"/>
      <c r="J311"/>
      <c r="K311"/>
      <c r="L311"/>
      <c r="M311"/>
      <c r="N311"/>
    </row>
    <row r="312" spans="3:14" x14ac:dyDescent="0.3">
      <c r="C312"/>
      <c r="D312"/>
      <c r="E312"/>
      <c r="F312"/>
      <c r="G312"/>
      <c r="H312"/>
      <c r="I312"/>
      <c r="J312"/>
      <c r="K312"/>
      <c r="L312"/>
      <c r="M312"/>
      <c r="N312"/>
    </row>
    <row r="313" spans="3:14" x14ac:dyDescent="0.3">
      <c r="C313"/>
      <c r="D313"/>
      <c r="E313"/>
      <c r="F313"/>
      <c r="G313"/>
      <c r="H313"/>
      <c r="I313"/>
      <c r="J313"/>
      <c r="K313"/>
      <c r="L313"/>
      <c r="M313"/>
      <c r="N313"/>
    </row>
    <row r="314" spans="3:14" x14ac:dyDescent="0.3">
      <c r="C314"/>
      <c r="D314"/>
      <c r="E314"/>
      <c r="F314"/>
      <c r="G314"/>
      <c r="H314"/>
      <c r="I314"/>
      <c r="J314"/>
      <c r="K314"/>
      <c r="L314"/>
      <c r="M314"/>
      <c r="N314"/>
    </row>
    <row r="315" spans="3:14" x14ac:dyDescent="0.3">
      <c r="C315"/>
      <c r="D315"/>
      <c r="E315"/>
      <c r="F315"/>
      <c r="G315"/>
      <c r="H315"/>
      <c r="I315"/>
      <c r="J315"/>
      <c r="K315"/>
      <c r="L315"/>
      <c r="M315"/>
      <c r="N315"/>
    </row>
    <row r="316" spans="3:14" x14ac:dyDescent="0.3">
      <c r="C316"/>
      <c r="D316"/>
      <c r="E316"/>
      <c r="F316"/>
      <c r="G316"/>
      <c r="H316"/>
      <c r="I316"/>
      <c r="J316"/>
      <c r="K316"/>
      <c r="L316"/>
      <c r="M316"/>
      <c r="N316"/>
    </row>
    <row r="317" spans="3:14" x14ac:dyDescent="0.3">
      <c r="C317"/>
      <c r="D317"/>
      <c r="E317"/>
      <c r="F317"/>
      <c r="G317"/>
      <c r="H317"/>
      <c r="I317"/>
      <c r="J317"/>
      <c r="K317"/>
      <c r="L317"/>
      <c r="M317"/>
      <c r="N317"/>
    </row>
    <row r="318" spans="3:14" x14ac:dyDescent="0.3">
      <c r="C318"/>
      <c r="D318"/>
      <c r="E318"/>
      <c r="F318"/>
      <c r="G318"/>
      <c r="H318"/>
      <c r="I318"/>
      <c r="J318"/>
      <c r="K318"/>
      <c r="L318"/>
      <c r="M318"/>
      <c r="N318"/>
    </row>
    <row r="319" spans="3:14" x14ac:dyDescent="0.3">
      <c r="C319"/>
      <c r="D319"/>
      <c r="E319"/>
      <c r="F319"/>
      <c r="G319"/>
      <c r="H319"/>
      <c r="I319"/>
      <c r="J319"/>
      <c r="K319"/>
      <c r="L319"/>
      <c r="M319"/>
      <c r="N319"/>
    </row>
    <row r="320" spans="3:14" x14ac:dyDescent="0.3">
      <c r="C320"/>
      <c r="D320"/>
      <c r="E320"/>
      <c r="F320"/>
      <c r="G320"/>
      <c r="H320"/>
      <c r="I320"/>
      <c r="J320"/>
      <c r="K320"/>
      <c r="L320"/>
      <c r="M320"/>
      <c r="N320"/>
    </row>
    <row r="321" spans="3:14" x14ac:dyDescent="0.3">
      <c r="C321"/>
      <c r="D321"/>
      <c r="E321"/>
      <c r="F321"/>
      <c r="G321"/>
      <c r="H321"/>
      <c r="I321"/>
      <c r="J321"/>
      <c r="K321"/>
      <c r="L321"/>
      <c r="M321"/>
      <c r="N321"/>
    </row>
    <row r="322" spans="3:14" x14ac:dyDescent="0.3">
      <c r="C322"/>
      <c r="D322"/>
      <c r="E322"/>
      <c r="F322"/>
      <c r="G322"/>
      <c r="H322"/>
      <c r="I322"/>
      <c r="J322"/>
      <c r="K322"/>
      <c r="L322"/>
      <c r="M322"/>
      <c r="N322"/>
    </row>
    <row r="323" spans="3:14" x14ac:dyDescent="0.3">
      <c r="C323"/>
      <c r="D323"/>
      <c r="E323"/>
      <c r="F323"/>
      <c r="G323"/>
      <c r="H323"/>
      <c r="I323"/>
      <c r="J323"/>
      <c r="K323"/>
      <c r="L323"/>
      <c r="M323"/>
      <c r="N323"/>
    </row>
    <row r="324" spans="3:14" x14ac:dyDescent="0.3">
      <c r="C324"/>
      <c r="D324"/>
      <c r="E324"/>
      <c r="F324"/>
      <c r="G324"/>
      <c r="H324"/>
      <c r="I324"/>
      <c r="J324"/>
      <c r="K324"/>
      <c r="L324"/>
      <c r="M324"/>
      <c r="N324"/>
    </row>
    <row r="325" spans="3:14" x14ac:dyDescent="0.3">
      <c r="C325"/>
      <c r="D325"/>
      <c r="E325"/>
      <c r="F325"/>
      <c r="G325"/>
      <c r="H325"/>
      <c r="I325"/>
      <c r="J325"/>
      <c r="K325"/>
      <c r="L325"/>
      <c r="M325"/>
      <c r="N325"/>
    </row>
    <row r="326" spans="3:14" x14ac:dyDescent="0.3">
      <c r="C326"/>
      <c r="D326"/>
      <c r="E326"/>
      <c r="F326"/>
      <c r="G326"/>
      <c r="H326"/>
      <c r="I326"/>
      <c r="J326"/>
      <c r="K326"/>
      <c r="L326"/>
      <c r="M326"/>
      <c r="N326"/>
    </row>
    <row r="327" spans="3:14" x14ac:dyDescent="0.3">
      <c r="C327"/>
      <c r="D327"/>
      <c r="E327"/>
      <c r="F327"/>
      <c r="G327"/>
      <c r="H327"/>
      <c r="I327"/>
      <c r="J327"/>
      <c r="K327"/>
      <c r="L327"/>
      <c r="M327"/>
      <c r="N327"/>
    </row>
    <row r="328" spans="3:14" x14ac:dyDescent="0.3">
      <c r="C328"/>
      <c r="D328"/>
      <c r="E328"/>
      <c r="F328"/>
      <c r="G328"/>
      <c r="H328"/>
      <c r="I328"/>
      <c r="J328"/>
      <c r="K328"/>
      <c r="L328"/>
      <c r="M328"/>
      <c r="N328"/>
    </row>
    <row r="329" spans="3:14" x14ac:dyDescent="0.3">
      <c r="C329"/>
      <c r="D329"/>
      <c r="E329"/>
      <c r="F329"/>
      <c r="G329"/>
      <c r="H329"/>
      <c r="I329"/>
      <c r="J329"/>
      <c r="K329"/>
      <c r="L329"/>
      <c r="M329"/>
      <c r="N329"/>
    </row>
    <row r="330" spans="3:14" x14ac:dyDescent="0.3">
      <c r="C330"/>
      <c r="D330"/>
      <c r="E330"/>
      <c r="F330"/>
      <c r="G330"/>
      <c r="H330"/>
      <c r="I330"/>
      <c r="J330"/>
      <c r="K330"/>
      <c r="L330"/>
      <c r="M330"/>
      <c r="N330"/>
    </row>
    <row r="331" spans="3:14" x14ac:dyDescent="0.3">
      <c r="C331"/>
      <c r="D331"/>
      <c r="E331"/>
      <c r="F331"/>
      <c r="G331"/>
      <c r="H331"/>
      <c r="I331"/>
      <c r="J331"/>
      <c r="K331"/>
      <c r="L331"/>
      <c r="M331"/>
      <c r="N331"/>
    </row>
    <row r="332" spans="3:14" x14ac:dyDescent="0.3">
      <c r="C332"/>
      <c r="D332"/>
      <c r="E332"/>
      <c r="F332"/>
      <c r="G332"/>
      <c r="H332"/>
      <c r="I332"/>
      <c r="J332"/>
      <c r="K332"/>
      <c r="L332"/>
      <c r="M332"/>
      <c r="N332"/>
    </row>
    <row r="333" spans="3:14" x14ac:dyDescent="0.3">
      <c r="C333"/>
      <c r="D333"/>
      <c r="E333"/>
      <c r="F333"/>
      <c r="G333"/>
      <c r="H333"/>
      <c r="I333"/>
      <c r="J333"/>
      <c r="K333"/>
      <c r="L333"/>
      <c r="M333"/>
      <c r="N333"/>
    </row>
    <row r="334" spans="3:14" x14ac:dyDescent="0.3">
      <c r="C334"/>
      <c r="D334"/>
      <c r="E334"/>
      <c r="F334"/>
      <c r="G334"/>
      <c r="H334"/>
      <c r="I334"/>
      <c r="J334"/>
      <c r="K334"/>
      <c r="L334"/>
      <c r="M334"/>
      <c r="N334"/>
    </row>
    <row r="335" spans="3:14" x14ac:dyDescent="0.3">
      <c r="C335"/>
      <c r="D335"/>
      <c r="E335"/>
      <c r="F335"/>
      <c r="G335"/>
      <c r="H335"/>
      <c r="I335"/>
      <c r="J335"/>
      <c r="K335"/>
      <c r="L335"/>
      <c r="M335"/>
      <c r="N335"/>
    </row>
    <row r="336" spans="3:14" x14ac:dyDescent="0.3">
      <c r="C336"/>
      <c r="D336"/>
      <c r="E336"/>
      <c r="F336"/>
      <c r="G336"/>
      <c r="H336"/>
      <c r="I336"/>
      <c r="J336"/>
      <c r="K336"/>
      <c r="L336"/>
      <c r="M336"/>
      <c r="N336"/>
    </row>
    <row r="337" spans="3:14" x14ac:dyDescent="0.3">
      <c r="C337"/>
      <c r="D337"/>
      <c r="E337"/>
      <c r="F337"/>
      <c r="G337"/>
      <c r="H337"/>
      <c r="I337"/>
      <c r="J337"/>
      <c r="K337"/>
      <c r="L337"/>
      <c r="M337"/>
      <c r="N337"/>
    </row>
    <row r="338" spans="3:14" x14ac:dyDescent="0.3">
      <c r="C338"/>
      <c r="D338"/>
      <c r="E338"/>
      <c r="F338"/>
      <c r="G338"/>
      <c r="H338"/>
      <c r="I338"/>
      <c r="J338"/>
      <c r="K338"/>
      <c r="L338"/>
      <c r="M338"/>
      <c r="N338"/>
    </row>
    <row r="339" spans="3:14" x14ac:dyDescent="0.3">
      <c r="C339"/>
      <c r="D339"/>
      <c r="E339"/>
      <c r="F339"/>
      <c r="G339"/>
      <c r="H339"/>
      <c r="I339"/>
      <c r="J339"/>
      <c r="K339"/>
      <c r="L339"/>
      <c r="M339"/>
      <c r="N339"/>
    </row>
    <row r="340" spans="3:14" x14ac:dyDescent="0.3">
      <c r="C340"/>
      <c r="D340"/>
      <c r="E340"/>
      <c r="F340"/>
      <c r="G340"/>
      <c r="H340"/>
      <c r="I340"/>
      <c r="J340"/>
      <c r="K340"/>
      <c r="L340"/>
      <c r="M340"/>
      <c r="N340"/>
    </row>
    <row r="341" spans="3:14" x14ac:dyDescent="0.3">
      <c r="C341"/>
      <c r="D341"/>
      <c r="E341"/>
      <c r="F341"/>
      <c r="G341"/>
      <c r="H341"/>
      <c r="I341"/>
      <c r="J341"/>
      <c r="K341"/>
      <c r="L341"/>
      <c r="M341"/>
      <c r="N341"/>
    </row>
    <row r="342" spans="3:14" x14ac:dyDescent="0.3">
      <c r="C342"/>
      <c r="D342"/>
      <c r="E342"/>
      <c r="F342"/>
      <c r="G342"/>
      <c r="H342"/>
      <c r="I342"/>
      <c r="J342"/>
      <c r="K342"/>
      <c r="L342"/>
      <c r="M342"/>
      <c r="N342"/>
    </row>
    <row r="343" spans="3:14" x14ac:dyDescent="0.3">
      <c r="C343"/>
      <c r="D343"/>
      <c r="E343"/>
      <c r="F343"/>
      <c r="G343"/>
      <c r="H343"/>
      <c r="I343"/>
      <c r="J343"/>
      <c r="K343"/>
      <c r="L343"/>
      <c r="M343"/>
      <c r="N343"/>
    </row>
    <row r="344" spans="3:14" x14ac:dyDescent="0.3">
      <c r="C344"/>
      <c r="D344"/>
      <c r="E344"/>
      <c r="F344"/>
      <c r="G344"/>
      <c r="H344"/>
      <c r="I344"/>
      <c r="J344"/>
      <c r="K344"/>
      <c r="L344"/>
      <c r="M344"/>
      <c r="N344"/>
    </row>
    <row r="345" spans="3:14" x14ac:dyDescent="0.3">
      <c r="C345"/>
      <c r="D345"/>
      <c r="E345"/>
      <c r="F345"/>
      <c r="G345"/>
      <c r="H345"/>
      <c r="I345"/>
      <c r="J345"/>
      <c r="K345"/>
      <c r="L345"/>
      <c r="M345"/>
      <c r="N345"/>
    </row>
    <row r="346" spans="3:14" x14ac:dyDescent="0.3">
      <c r="C346"/>
      <c r="D346"/>
      <c r="E346"/>
      <c r="F346"/>
      <c r="G346"/>
      <c r="H346"/>
      <c r="I346"/>
      <c r="J346"/>
      <c r="K346"/>
      <c r="L346"/>
      <c r="M346"/>
      <c r="N346"/>
    </row>
    <row r="347" spans="3:14" x14ac:dyDescent="0.3">
      <c r="C347"/>
      <c r="D347"/>
      <c r="E347"/>
      <c r="F347"/>
      <c r="G347"/>
      <c r="H347"/>
      <c r="I347"/>
      <c r="J347"/>
      <c r="K347"/>
      <c r="L347"/>
      <c r="M347"/>
      <c r="N347"/>
    </row>
    <row r="348" spans="3:14" x14ac:dyDescent="0.3">
      <c r="C348"/>
      <c r="D348"/>
      <c r="E348"/>
      <c r="F348"/>
      <c r="G348"/>
      <c r="H348"/>
      <c r="I348"/>
      <c r="J348"/>
      <c r="K348"/>
      <c r="L348"/>
      <c r="M348"/>
      <c r="N348"/>
    </row>
    <row r="349" spans="3:14" x14ac:dyDescent="0.3">
      <c r="C349"/>
      <c r="D349"/>
      <c r="E349"/>
      <c r="F349"/>
      <c r="G349"/>
      <c r="H349"/>
      <c r="I349"/>
      <c r="J349"/>
      <c r="K349"/>
      <c r="L349"/>
      <c r="M349"/>
      <c r="N349"/>
    </row>
    <row r="350" spans="3:14" x14ac:dyDescent="0.3">
      <c r="C350"/>
      <c r="D350"/>
      <c r="E350"/>
      <c r="F350"/>
      <c r="G350"/>
      <c r="H350"/>
      <c r="I350"/>
      <c r="J350"/>
      <c r="K350"/>
      <c r="L350"/>
      <c r="M350"/>
      <c r="N350"/>
    </row>
    <row r="351" spans="3:14" x14ac:dyDescent="0.3">
      <c r="C351"/>
      <c r="D351"/>
      <c r="E351"/>
      <c r="F351"/>
      <c r="G351"/>
      <c r="H351"/>
      <c r="I351"/>
      <c r="J351"/>
      <c r="K351"/>
      <c r="L351"/>
      <c r="M351"/>
      <c r="N351"/>
    </row>
    <row r="352" spans="3:14" x14ac:dyDescent="0.3">
      <c r="C352"/>
      <c r="D352"/>
      <c r="E352"/>
      <c r="F352"/>
      <c r="G352"/>
      <c r="H352"/>
      <c r="I352"/>
      <c r="J352"/>
      <c r="K352"/>
      <c r="L352"/>
      <c r="M352"/>
      <c r="N352"/>
    </row>
    <row r="353" spans="3:14" x14ac:dyDescent="0.3">
      <c r="C353"/>
      <c r="D353"/>
      <c r="E353"/>
      <c r="F353"/>
      <c r="G353"/>
      <c r="H353"/>
      <c r="I353"/>
      <c r="J353"/>
      <c r="K353"/>
      <c r="L353"/>
      <c r="M353"/>
      <c r="N353"/>
    </row>
    <row r="354" spans="3:14" x14ac:dyDescent="0.3">
      <c r="C354"/>
      <c r="D354"/>
      <c r="E354"/>
      <c r="F354"/>
      <c r="G354"/>
      <c r="H354"/>
      <c r="I354"/>
      <c r="J354"/>
      <c r="K354"/>
      <c r="L354"/>
      <c r="M354"/>
      <c r="N354"/>
    </row>
    <row r="355" spans="3:14" x14ac:dyDescent="0.3">
      <c r="C355"/>
      <c r="D355"/>
      <c r="E355"/>
      <c r="F355"/>
      <c r="G355"/>
      <c r="H355"/>
      <c r="I355"/>
      <c r="J355"/>
      <c r="K355"/>
      <c r="L355"/>
      <c r="M355"/>
      <c r="N355"/>
    </row>
    <row r="356" spans="3:14" x14ac:dyDescent="0.3">
      <c r="C356"/>
      <c r="D356"/>
      <c r="E356"/>
      <c r="F356"/>
      <c r="G356"/>
      <c r="H356"/>
      <c r="I356"/>
      <c r="J356"/>
      <c r="K356"/>
      <c r="L356"/>
      <c r="M356"/>
      <c r="N356"/>
    </row>
    <row r="357" spans="3:14" x14ac:dyDescent="0.3">
      <c r="C357"/>
      <c r="D357"/>
      <c r="E357"/>
      <c r="F357"/>
      <c r="G357"/>
      <c r="H357"/>
      <c r="I357"/>
      <c r="J357"/>
      <c r="K357"/>
      <c r="L357"/>
      <c r="M357"/>
      <c r="N357"/>
    </row>
    <row r="358" spans="3:14" x14ac:dyDescent="0.3">
      <c r="C358"/>
      <c r="D358"/>
      <c r="E358"/>
      <c r="F358"/>
      <c r="G358"/>
      <c r="H358"/>
      <c r="I358"/>
      <c r="J358"/>
      <c r="K358"/>
      <c r="L358"/>
      <c r="M358"/>
      <c r="N358"/>
    </row>
    <row r="359" spans="3:14" x14ac:dyDescent="0.3">
      <c r="C359"/>
      <c r="D359"/>
      <c r="E359"/>
      <c r="F359"/>
      <c r="G359"/>
      <c r="H359"/>
      <c r="I359"/>
      <c r="J359"/>
      <c r="K359"/>
      <c r="L359"/>
      <c r="M359"/>
      <c r="N359"/>
    </row>
    <row r="360" spans="3:14" x14ac:dyDescent="0.3">
      <c r="C360"/>
      <c r="D360"/>
      <c r="E360"/>
      <c r="F360"/>
      <c r="G360"/>
      <c r="H360"/>
      <c r="I360"/>
      <c r="J360"/>
      <c r="K360"/>
      <c r="L360"/>
      <c r="M360"/>
      <c r="N360"/>
    </row>
    <row r="361" spans="3:14" x14ac:dyDescent="0.3">
      <c r="C361"/>
      <c r="D361"/>
      <c r="E361"/>
      <c r="F361"/>
      <c r="G361"/>
      <c r="H361"/>
      <c r="I361"/>
      <c r="J361"/>
      <c r="K361"/>
      <c r="L361"/>
      <c r="M361"/>
      <c r="N361"/>
    </row>
    <row r="362" spans="3:14" x14ac:dyDescent="0.3">
      <c r="C362"/>
      <c r="D362"/>
      <c r="E362"/>
      <c r="F362"/>
      <c r="G362"/>
      <c r="H362"/>
      <c r="I362"/>
      <c r="J362"/>
      <c r="K362"/>
      <c r="L362"/>
      <c r="M362"/>
      <c r="N362"/>
    </row>
    <row r="363" spans="3:14" x14ac:dyDescent="0.3">
      <c r="C363"/>
      <c r="D363"/>
      <c r="E363"/>
      <c r="F363"/>
      <c r="G363"/>
      <c r="H363"/>
      <c r="I363"/>
      <c r="J363"/>
      <c r="K363"/>
      <c r="L363"/>
      <c r="M363"/>
      <c r="N363"/>
    </row>
    <row r="364" spans="3:14" x14ac:dyDescent="0.3">
      <c r="C364"/>
      <c r="D364"/>
      <c r="E364"/>
      <c r="F364"/>
      <c r="G364"/>
      <c r="H364"/>
      <c r="I364"/>
      <c r="J364"/>
      <c r="K364"/>
      <c r="L364"/>
      <c r="M364"/>
      <c r="N364"/>
    </row>
    <row r="365" spans="3:14" x14ac:dyDescent="0.3">
      <c r="C365"/>
      <c r="D365"/>
      <c r="E365"/>
      <c r="F365"/>
      <c r="G365"/>
      <c r="H365"/>
      <c r="I365"/>
      <c r="J365"/>
      <c r="K365"/>
      <c r="L365"/>
      <c r="M365"/>
      <c r="N365"/>
    </row>
    <row r="366" spans="3:14" x14ac:dyDescent="0.3">
      <c r="C366"/>
      <c r="D366"/>
      <c r="E366"/>
      <c r="F366"/>
      <c r="G366"/>
      <c r="H366"/>
      <c r="I366"/>
      <c r="J366"/>
      <c r="K366"/>
      <c r="L366"/>
      <c r="M366"/>
      <c r="N366"/>
    </row>
    <row r="367" spans="3:14" x14ac:dyDescent="0.3">
      <c r="C367"/>
      <c r="D367"/>
      <c r="E367"/>
      <c r="F367"/>
      <c r="G367"/>
      <c r="H367"/>
      <c r="I367"/>
      <c r="J367"/>
      <c r="K367"/>
      <c r="L367"/>
      <c r="M367"/>
      <c r="N367"/>
    </row>
    <row r="368" spans="3:14" x14ac:dyDescent="0.3">
      <c r="C368"/>
      <c r="D368"/>
      <c r="E368"/>
      <c r="F368"/>
      <c r="G368"/>
      <c r="H368"/>
      <c r="I368"/>
      <c r="J368"/>
      <c r="K368"/>
      <c r="L368"/>
      <c r="M368"/>
      <c r="N368"/>
    </row>
    <row r="369" spans="3:14" x14ac:dyDescent="0.3">
      <c r="C369"/>
      <c r="D369"/>
      <c r="E369"/>
      <c r="F369"/>
      <c r="G369"/>
      <c r="H369"/>
      <c r="I369"/>
      <c r="J369"/>
      <c r="K369"/>
      <c r="L369"/>
      <c r="M369"/>
      <c r="N369"/>
    </row>
    <row r="370" spans="3:14" x14ac:dyDescent="0.3">
      <c r="C370"/>
      <c r="D370"/>
      <c r="E370"/>
      <c r="F370"/>
      <c r="G370"/>
      <c r="H370"/>
      <c r="I370"/>
      <c r="J370"/>
      <c r="K370"/>
      <c r="L370"/>
      <c r="M370"/>
      <c r="N370"/>
    </row>
    <row r="371" spans="3:14" x14ac:dyDescent="0.3">
      <c r="C371"/>
      <c r="D371"/>
      <c r="E371"/>
      <c r="F371"/>
      <c r="G371"/>
      <c r="H371"/>
      <c r="I371"/>
      <c r="J371"/>
      <c r="K371"/>
      <c r="L371"/>
      <c r="M371"/>
      <c r="N371"/>
    </row>
    <row r="372" spans="3:14" x14ac:dyDescent="0.3">
      <c r="C372"/>
      <c r="D372"/>
      <c r="E372"/>
      <c r="F372"/>
      <c r="G372"/>
      <c r="H372"/>
      <c r="I372"/>
      <c r="J372"/>
      <c r="K372"/>
      <c r="L372"/>
      <c r="M372"/>
      <c r="N372"/>
    </row>
    <row r="373" spans="3:14" x14ac:dyDescent="0.3">
      <c r="C373"/>
      <c r="D373"/>
      <c r="E373"/>
      <c r="F373"/>
      <c r="G373"/>
      <c r="H373"/>
      <c r="I373"/>
      <c r="J373"/>
      <c r="K373"/>
      <c r="L373"/>
      <c r="M373"/>
      <c r="N373"/>
    </row>
    <row r="374" spans="3:14" x14ac:dyDescent="0.3">
      <c r="C374"/>
      <c r="D374"/>
      <c r="E374"/>
      <c r="F374"/>
      <c r="G374"/>
      <c r="H374"/>
      <c r="I374"/>
      <c r="J374"/>
      <c r="K374"/>
      <c r="L374"/>
      <c r="M374"/>
      <c r="N374"/>
    </row>
    <row r="375" spans="3:14" x14ac:dyDescent="0.3">
      <c r="C375"/>
      <c r="D375"/>
      <c r="E375"/>
      <c r="F375"/>
      <c r="G375"/>
      <c r="H375"/>
      <c r="I375"/>
      <c r="J375"/>
      <c r="K375"/>
      <c r="L375"/>
      <c r="M375"/>
      <c r="N375"/>
    </row>
    <row r="376" spans="3:14" x14ac:dyDescent="0.3">
      <c r="C376"/>
      <c r="D376"/>
      <c r="E376"/>
      <c r="F376"/>
      <c r="G376"/>
      <c r="H376"/>
      <c r="I376"/>
      <c r="J376"/>
      <c r="K376"/>
      <c r="L376"/>
      <c r="M376"/>
      <c r="N376"/>
    </row>
    <row r="377" spans="3:14" x14ac:dyDescent="0.3">
      <c r="C377"/>
      <c r="D377"/>
      <c r="E377"/>
      <c r="F377"/>
      <c r="G377"/>
      <c r="H377"/>
      <c r="I377"/>
      <c r="J377"/>
      <c r="K377"/>
      <c r="L377"/>
      <c r="M377"/>
      <c r="N377"/>
    </row>
    <row r="378" spans="3:14" x14ac:dyDescent="0.3">
      <c r="C378"/>
      <c r="D378"/>
      <c r="E378"/>
      <c r="F378"/>
      <c r="G378"/>
      <c r="H378"/>
      <c r="I378"/>
      <c r="J378"/>
      <c r="K378"/>
      <c r="L378"/>
      <c r="M378"/>
      <c r="N378"/>
    </row>
    <row r="379" spans="3:14" x14ac:dyDescent="0.3">
      <c r="C379"/>
      <c r="D379"/>
      <c r="E379"/>
      <c r="F379"/>
      <c r="G379"/>
      <c r="H379"/>
      <c r="I379"/>
      <c r="J379"/>
      <c r="K379"/>
      <c r="L379"/>
      <c r="M379"/>
      <c r="N379"/>
    </row>
    <row r="380" spans="3:14" x14ac:dyDescent="0.3">
      <c r="C380"/>
      <c r="D380"/>
      <c r="E380"/>
      <c r="F380"/>
      <c r="G380"/>
      <c r="H380"/>
      <c r="I380"/>
      <c r="J380"/>
      <c r="K380"/>
      <c r="L380"/>
      <c r="M380"/>
      <c r="N380"/>
    </row>
    <row r="381" spans="3:14" x14ac:dyDescent="0.3">
      <c r="C381"/>
      <c r="D381"/>
      <c r="E381"/>
      <c r="F381"/>
      <c r="G381"/>
      <c r="H381"/>
      <c r="I381"/>
      <c r="J381"/>
      <c r="K381"/>
      <c r="L381"/>
      <c r="M381"/>
      <c r="N381"/>
    </row>
    <row r="382" spans="3:14" x14ac:dyDescent="0.3">
      <c r="C382"/>
      <c r="D382"/>
      <c r="E382"/>
      <c r="F382"/>
      <c r="G382"/>
      <c r="H382"/>
      <c r="I382"/>
      <c r="J382"/>
      <c r="K382"/>
      <c r="L382"/>
      <c r="M382"/>
      <c r="N382"/>
    </row>
    <row r="383" spans="3:14" x14ac:dyDescent="0.3">
      <c r="C383"/>
      <c r="D383"/>
      <c r="E383"/>
      <c r="F383"/>
      <c r="G383"/>
      <c r="H383"/>
      <c r="I383"/>
      <c r="J383"/>
      <c r="K383"/>
      <c r="L383"/>
      <c r="M383"/>
      <c r="N383"/>
    </row>
    <row r="384" spans="3:14" x14ac:dyDescent="0.3">
      <c r="C384"/>
      <c r="D384"/>
      <c r="E384"/>
      <c r="F384"/>
      <c r="G384"/>
      <c r="H384"/>
      <c r="I384"/>
      <c r="J384"/>
      <c r="K384"/>
      <c r="L384"/>
      <c r="M384"/>
      <c r="N384"/>
    </row>
    <row r="385" spans="3:14" x14ac:dyDescent="0.3">
      <c r="C385"/>
      <c r="D385"/>
      <c r="E385"/>
      <c r="F385"/>
      <c r="G385"/>
      <c r="H385"/>
      <c r="I385"/>
      <c r="J385"/>
      <c r="K385"/>
      <c r="L385"/>
      <c r="M385"/>
      <c r="N385"/>
    </row>
    <row r="386" spans="3:14" x14ac:dyDescent="0.3">
      <c r="C386"/>
      <c r="D386"/>
      <c r="E386"/>
      <c r="F386"/>
      <c r="G386"/>
      <c r="H386"/>
      <c r="I386"/>
      <c r="J386"/>
      <c r="K386"/>
      <c r="L386"/>
      <c r="M386"/>
      <c r="N386"/>
    </row>
    <row r="387" spans="3:14" x14ac:dyDescent="0.3">
      <c r="C387"/>
      <c r="D387"/>
      <c r="E387"/>
      <c r="F387"/>
      <c r="G387"/>
      <c r="H387"/>
      <c r="I387"/>
      <c r="J387"/>
      <c r="K387"/>
      <c r="L387"/>
      <c r="M387"/>
      <c r="N387"/>
    </row>
    <row r="388" spans="3:14" x14ac:dyDescent="0.3">
      <c r="C388"/>
      <c r="D388"/>
      <c r="E388"/>
      <c r="F388"/>
      <c r="G388"/>
      <c r="H388"/>
      <c r="I388"/>
      <c r="J388"/>
      <c r="K388"/>
      <c r="L388"/>
      <c r="M388"/>
      <c r="N388"/>
    </row>
    <row r="389" spans="3:14" x14ac:dyDescent="0.3">
      <c r="C389"/>
      <c r="D389"/>
      <c r="E389"/>
      <c r="F389"/>
      <c r="G389"/>
      <c r="H389"/>
      <c r="I389"/>
      <c r="J389"/>
      <c r="K389"/>
      <c r="L389"/>
      <c r="M389"/>
      <c r="N389"/>
    </row>
    <row r="390" spans="3:14" x14ac:dyDescent="0.3">
      <c r="C390"/>
      <c r="D390"/>
      <c r="E390"/>
      <c r="F390"/>
      <c r="G390"/>
      <c r="H390"/>
      <c r="I390"/>
      <c r="J390"/>
      <c r="K390"/>
      <c r="L390"/>
      <c r="M390"/>
      <c r="N390"/>
    </row>
    <row r="391" spans="3:14" x14ac:dyDescent="0.3">
      <c r="C391"/>
      <c r="D391"/>
      <c r="E391"/>
      <c r="F391"/>
      <c r="G391"/>
      <c r="H391"/>
      <c r="I391"/>
      <c r="J391"/>
      <c r="K391"/>
      <c r="L391"/>
      <c r="M391"/>
      <c r="N391"/>
    </row>
    <row r="392" spans="3:14" x14ac:dyDescent="0.3">
      <c r="C392"/>
      <c r="D392"/>
      <c r="E392"/>
      <c r="F392"/>
      <c r="G392"/>
      <c r="H392"/>
      <c r="I392"/>
      <c r="J392"/>
      <c r="K392"/>
      <c r="L392"/>
      <c r="M392"/>
      <c r="N392"/>
    </row>
    <row r="393" spans="3:14" x14ac:dyDescent="0.3">
      <c r="C393"/>
      <c r="D393"/>
      <c r="E393"/>
      <c r="F393"/>
      <c r="G393"/>
      <c r="H393"/>
      <c r="I393"/>
      <c r="J393"/>
      <c r="K393"/>
      <c r="L393"/>
      <c r="M393"/>
      <c r="N393"/>
    </row>
    <row r="394" spans="3:14" x14ac:dyDescent="0.3">
      <c r="C394"/>
      <c r="D394"/>
      <c r="E394"/>
      <c r="F394"/>
      <c r="G394"/>
      <c r="H394"/>
      <c r="I394"/>
      <c r="J394"/>
      <c r="K394"/>
      <c r="L394"/>
      <c r="M394"/>
      <c r="N394"/>
    </row>
    <row r="395" spans="3:14" x14ac:dyDescent="0.3">
      <c r="C395"/>
      <c r="D395"/>
      <c r="E395"/>
      <c r="F395"/>
      <c r="G395"/>
      <c r="H395"/>
      <c r="I395"/>
      <c r="J395"/>
      <c r="K395"/>
      <c r="L395"/>
      <c r="M395"/>
      <c r="N395"/>
    </row>
    <row r="396" spans="3:14" x14ac:dyDescent="0.3">
      <c r="C396"/>
      <c r="D396"/>
      <c r="E396"/>
      <c r="F396"/>
      <c r="G396"/>
      <c r="H396"/>
      <c r="I396"/>
      <c r="J396"/>
      <c r="K396"/>
      <c r="L396"/>
      <c r="M396"/>
      <c r="N396"/>
    </row>
    <row r="397" spans="3:14" x14ac:dyDescent="0.3">
      <c r="C397"/>
      <c r="D397"/>
      <c r="E397"/>
      <c r="F397"/>
      <c r="G397"/>
      <c r="H397"/>
      <c r="I397"/>
      <c r="J397"/>
      <c r="K397"/>
      <c r="L397"/>
      <c r="M397"/>
      <c r="N397"/>
    </row>
    <row r="398" spans="3:14" x14ac:dyDescent="0.3">
      <c r="C398"/>
      <c r="D398"/>
      <c r="E398"/>
      <c r="F398"/>
      <c r="G398"/>
      <c r="H398"/>
      <c r="I398"/>
      <c r="J398"/>
      <c r="K398"/>
      <c r="L398"/>
      <c r="M398"/>
      <c r="N398"/>
    </row>
    <row r="399" spans="3:14" x14ac:dyDescent="0.3">
      <c r="C399"/>
      <c r="D399"/>
      <c r="E399"/>
      <c r="F399"/>
      <c r="G399"/>
      <c r="H399"/>
      <c r="I399"/>
      <c r="J399"/>
      <c r="K399"/>
      <c r="L399"/>
      <c r="M399"/>
      <c r="N399"/>
    </row>
    <row r="400" spans="3:14" x14ac:dyDescent="0.3">
      <c r="C400"/>
      <c r="D400"/>
      <c r="E400"/>
      <c r="F400"/>
      <c r="G400"/>
      <c r="H400"/>
      <c r="I400"/>
      <c r="J400"/>
      <c r="K400"/>
      <c r="L400"/>
      <c r="M400"/>
      <c r="N400"/>
    </row>
    <row r="401" spans="3:14" x14ac:dyDescent="0.3">
      <c r="C401"/>
      <c r="D401"/>
      <c r="E401"/>
      <c r="F401"/>
      <c r="G401"/>
      <c r="H401"/>
      <c r="I401"/>
      <c r="J401"/>
      <c r="K401"/>
      <c r="L401"/>
      <c r="M401"/>
      <c r="N401"/>
    </row>
    <row r="402" spans="3:14" x14ac:dyDescent="0.3">
      <c r="C402"/>
      <c r="D402"/>
      <c r="E402"/>
      <c r="F402"/>
      <c r="G402"/>
      <c r="H402"/>
      <c r="I402"/>
      <c r="J402"/>
      <c r="K402"/>
      <c r="L402"/>
      <c r="M402"/>
      <c r="N402"/>
    </row>
    <row r="403" spans="3:14" x14ac:dyDescent="0.3">
      <c r="C403"/>
      <c r="D403"/>
      <c r="E403"/>
      <c r="F403"/>
      <c r="G403"/>
      <c r="H403"/>
      <c r="I403"/>
      <c r="J403"/>
      <c r="K403"/>
      <c r="L403"/>
      <c r="M403"/>
      <c r="N403"/>
    </row>
    <row r="404" spans="3:14" x14ac:dyDescent="0.3">
      <c r="C404"/>
      <c r="D404"/>
      <c r="E404"/>
      <c r="F404"/>
      <c r="G404"/>
      <c r="H404"/>
      <c r="I404"/>
      <c r="J404"/>
      <c r="K404"/>
      <c r="L404"/>
      <c r="M404"/>
      <c r="N404"/>
    </row>
    <row r="405" spans="3:14" x14ac:dyDescent="0.3">
      <c r="C405"/>
      <c r="D405"/>
      <c r="E405"/>
      <c r="F405"/>
      <c r="G405"/>
      <c r="H405"/>
      <c r="I405"/>
      <c r="J405"/>
      <c r="K405"/>
      <c r="L405"/>
      <c r="M405"/>
      <c r="N405"/>
    </row>
    <row r="406" spans="3:14" x14ac:dyDescent="0.3">
      <c r="C406"/>
      <c r="D406"/>
      <c r="E406"/>
      <c r="F406"/>
      <c r="G406"/>
      <c r="H406"/>
      <c r="I406"/>
      <c r="J406"/>
      <c r="K406"/>
      <c r="L406"/>
      <c r="M406"/>
      <c r="N406"/>
    </row>
    <row r="407" spans="3:14" x14ac:dyDescent="0.3">
      <c r="C407"/>
      <c r="D407"/>
      <c r="E407"/>
      <c r="F407"/>
      <c r="G407"/>
      <c r="H407"/>
      <c r="I407"/>
      <c r="J407"/>
      <c r="K407"/>
      <c r="L407"/>
      <c r="M407"/>
      <c r="N407"/>
    </row>
    <row r="408" spans="3:14" x14ac:dyDescent="0.3">
      <c r="C408"/>
      <c r="D408"/>
      <c r="E408"/>
      <c r="F408"/>
      <c r="G408"/>
      <c r="H408"/>
      <c r="I408"/>
      <c r="J408"/>
      <c r="K408"/>
      <c r="L408"/>
      <c r="M408"/>
      <c r="N408"/>
    </row>
    <row r="409" spans="3:14" x14ac:dyDescent="0.3">
      <c r="C409"/>
      <c r="D409"/>
      <c r="E409"/>
      <c r="F409"/>
      <c r="G409"/>
      <c r="H409"/>
      <c r="I409"/>
      <c r="J409"/>
      <c r="K409"/>
      <c r="L409"/>
      <c r="M409"/>
      <c r="N409"/>
    </row>
    <row r="410" spans="3:14" x14ac:dyDescent="0.3">
      <c r="C410"/>
      <c r="D410"/>
      <c r="E410"/>
      <c r="F410"/>
      <c r="G410"/>
      <c r="H410"/>
      <c r="I410"/>
      <c r="J410"/>
      <c r="K410"/>
      <c r="L410"/>
      <c r="M410"/>
      <c r="N410"/>
    </row>
    <row r="411" spans="3:14" x14ac:dyDescent="0.3">
      <c r="C411"/>
      <c r="D411"/>
      <c r="E411"/>
      <c r="F411"/>
      <c r="G411"/>
      <c r="H411"/>
      <c r="I411"/>
      <c r="J411"/>
      <c r="K411"/>
      <c r="L411"/>
      <c r="M411"/>
      <c r="N411"/>
    </row>
    <row r="412" spans="3:14" x14ac:dyDescent="0.3">
      <c r="C412"/>
      <c r="D412"/>
      <c r="E412"/>
      <c r="F412"/>
      <c r="G412"/>
      <c r="H412"/>
      <c r="I412"/>
      <c r="J412"/>
      <c r="K412"/>
      <c r="L412"/>
      <c r="M412"/>
      <c r="N412"/>
    </row>
    <row r="413" spans="3:14" x14ac:dyDescent="0.3">
      <c r="C413"/>
      <c r="D413"/>
      <c r="E413"/>
      <c r="F413"/>
      <c r="G413"/>
      <c r="H413"/>
      <c r="I413"/>
      <c r="J413"/>
      <c r="K413"/>
      <c r="L413"/>
      <c r="M413"/>
      <c r="N413"/>
    </row>
    <row r="414" spans="3:14" x14ac:dyDescent="0.3">
      <c r="C414"/>
      <c r="D414"/>
      <c r="E414"/>
      <c r="F414"/>
      <c r="G414"/>
      <c r="H414"/>
      <c r="I414"/>
      <c r="J414"/>
      <c r="K414"/>
      <c r="L414"/>
      <c r="M414"/>
      <c r="N414"/>
    </row>
    <row r="415" spans="3:14" x14ac:dyDescent="0.3">
      <c r="C415"/>
      <c r="D415"/>
      <c r="E415"/>
      <c r="F415"/>
      <c r="G415"/>
      <c r="H415"/>
      <c r="I415"/>
      <c r="J415"/>
      <c r="K415"/>
      <c r="L415"/>
      <c r="M415"/>
      <c r="N415"/>
    </row>
    <row r="416" spans="3:14" x14ac:dyDescent="0.3">
      <c r="C416"/>
      <c r="D416"/>
      <c r="E416"/>
      <c r="F416"/>
      <c r="G416"/>
      <c r="H416"/>
      <c r="I416"/>
      <c r="J416"/>
      <c r="K416"/>
      <c r="L416"/>
      <c r="M416"/>
      <c r="N416"/>
    </row>
    <row r="417" spans="3:14" x14ac:dyDescent="0.3">
      <c r="C417"/>
      <c r="D417"/>
      <c r="E417"/>
      <c r="F417"/>
      <c r="G417"/>
      <c r="H417"/>
      <c r="I417"/>
      <c r="J417"/>
      <c r="K417"/>
      <c r="L417"/>
      <c r="M417"/>
      <c r="N417"/>
    </row>
    <row r="418" spans="3:14" x14ac:dyDescent="0.3">
      <c r="C418"/>
      <c r="D418"/>
      <c r="E418"/>
      <c r="F418"/>
      <c r="G418"/>
      <c r="H418"/>
      <c r="I418"/>
      <c r="J418"/>
      <c r="K418"/>
      <c r="L418"/>
      <c r="M418"/>
      <c r="N418"/>
    </row>
    <row r="419" spans="3:14" x14ac:dyDescent="0.3">
      <c r="C419"/>
      <c r="D419"/>
      <c r="E419"/>
      <c r="F419"/>
      <c r="G419"/>
      <c r="H419"/>
      <c r="I419"/>
      <c r="J419"/>
      <c r="K419"/>
      <c r="L419"/>
      <c r="M419"/>
      <c r="N419"/>
    </row>
    <row r="420" spans="3:14" x14ac:dyDescent="0.3">
      <c r="C420"/>
      <c r="D420"/>
      <c r="E420"/>
      <c r="F420"/>
      <c r="G420"/>
      <c r="H420"/>
      <c r="I420"/>
      <c r="J420"/>
      <c r="K420"/>
      <c r="L420"/>
      <c r="M420"/>
      <c r="N420"/>
    </row>
    <row r="421" spans="3:14" x14ac:dyDescent="0.3">
      <c r="C421"/>
      <c r="D421"/>
      <c r="E421"/>
      <c r="F421"/>
      <c r="G421"/>
      <c r="H421"/>
      <c r="I421"/>
      <c r="J421"/>
      <c r="K421"/>
      <c r="L421"/>
      <c r="M421"/>
      <c r="N421"/>
    </row>
    <row r="422" spans="3:14" x14ac:dyDescent="0.3">
      <c r="C422"/>
      <c r="D422"/>
      <c r="E422"/>
      <c r="F422"/>
      <c r="G422"/>
      <c r="H422"/>
      <c r="I422"/>
      <c r="J422"/>
      <c r="K422"/>
      <c r="L422"/>
      <c r="M422"/>
      <c r="N422"/>
    </row>
    <row r="423" spans="3:14" x14ac:dyDescent="0.3">
      <c r="C423"/>
      <c r="D423"/>
      <c r="E423"/>
      <c r="F423"/>
      <c r="G423"/>
      <c r="H423"/>
      <c r="I423"/>
      <c r="J423"/>
      <c r="K423"/>
      <c r="L423"/>
      <c r="M423"/>
      <c r="N423"/>
    </row>
    <row r="424" spans="3:14" x14ac:dyDescent="0.3">
      <c r="C424"/>
      <c r="D424"/>
      <c r="E424"/>
      <c r="F424"/>
      <c r="G424"/>
      <c r="H424"/>
      <c r="I424"/>
      <c r="J424"/>
      <c r="K424"/>
      <c r="L424"/>
      <c r="M424"/>
      <c r="N424"/>
    </row>
    <row r="425" spans="3:14" x14ac:dyDescent="0.3">
      <c r="C425"/>
      <c r="D425"/>
      <c r="E425"/>
      <c r="F425"/>
      <c r="G425"/>
      <c r="H425"/>
      <c r="I425"/>
      <c r="J425"/>
      <c r="K425"/>
      <c r="L425"/>
      <c r="M425"/>
      <c r="N425"/>
    </row>
    <row r="426" spans="3:14" x14ac:dyDescent="0.3">
      <c r="C426"/>
      <c r="D426"/>
      <c r="E426"/>
      <c r="F426"/>
      <c r="G426"/>
      <c r="H426"/>
      <c r="I426"/>
      <c r="J426"/>
      <c r="K426"/>
      <c r="L426"/>
      <c r="M426"/>
      <c r="N426"/>
    </row>
    <row r="427" spans="3:14" x14ac:dyDescent="0.3">
      <c r="C427"/>
      <c r="D427"/>
      <c r="E427"/>
      <c r="F427"/>
      <c r="G427"/>
      <c r="H427"/>
      <c r="I427"/>
      <c r="J427"/>
      <c r="K427"/>
      <c r="L427"/>
      <c r="M427"/>
      <c r="N427"/>
    </row>
    <row r="428" spans="3:14" x14ac:dyDescent="0.3">
      <c r="C428"/>
      <c r="D428"/>
      <c r="E428"/>
      <c r="F428"/>
      <c r="G428"/>
      <c r="H428"/>
      <c r="I428"/>
      <c r="J428"/>
      <c r="K428"/>
      <c r="L428"/>
      <c r="M428"/>
      <c r="N428"/>
    </row>
    <row r="429" spans="3:14" x14ac:dyDescent="0.3">
      <c r="C429"/>
      <c r="D429"/>
      <c r="E429"/>
      <c r="F429"/>
      <c r="G429"/>
      <c r="H429"/>
      <c r="I429"/>
      <c r="J429"/>
      <c r="K429"/>
      <c r="L429"/>
      <c r="M429"/>
      <c r="N429"/>
    </row>
    <row r="430" spans="3:14" x14ac:dyDescent="0.3">
      <c r="C430"/>
      <c r="D430"/>
      <c r="E430"/>
      <c r="F430"/>
      <c r="G430"/>
      <c r="H430"/>
      <c r="I430"/>
      <c r="J430"/>
      <c r="K430"/>
      <c r="L430"/>
      <c r="M430"/>
      <c r="N430"/>
    </row>
    <row r="431" spans="3:14" x14ac:dyDescent="0.3">
      <c r="C431"/>
      <c r="D431"/>
      <c r="E431"/>
      <c r="F431"/>
      <c r="G431"/>
      <c r="H431"/>
      <c r="I431"/>
      <c r="J431"/>
      <c r="K431"/>
      <c r="L431"/>
      <c r="M431"/>
      <c r="N431"/>
    </row>
    <row r="432" spans="3:14" x14ac:dyDescent="0.3">
      <c r="C432"/>
      <c r="D432"/>
      <c r="E432"/>
      <c r="F432"/>
      <c r="G432"/>
      <c r="H432"/>
      <c r="I432"/>
      <c r="J432"/>
      <c r="K432"/>
      <c r="L432"/>
      <c r="M432"/>
      <c r="N432"/>
    </row>
    <row r="433" spans="3:14" x14ac:dyDescent="0.3">
      <c r="C433"/>
      <c r="D433"/>
      <c r="E433"/>
      <c r="F433"/>
      <c r="G433"/>
      <c r="H433"/>
      <c r="I433"/>
      <c r="J433"/>
      <c r="K433"/>
      <c r="L433"/>
      <c r="M433"/>
      <c r="N433"/>
    </row>
    <row r="434" spans="3:14" x14ac:dyDescent="0.3">
      <c r="C434"/>
      <c r="D434"/>
      <c r="E434"/>
      <c r="F434"/>
      <c r="G434"/>
      <c r="H434"/>
      <c r="I434"/>
      <c r="J434"/>
      <c r="K434"/>
      <c r="L434"/>
      <c r="M434"/>
      <c r="N434"/>
    </row>
    <row r="435" spans="3:14" x14ac:dyDescent="0.3">
      <c r="C435"/>
      <c r="D435"/>
      <c r="E435"/>
      <c r="F435"/>
      <c r="G435"/>
      <c r="H435"/>
      <c r="I435"/>
      <c r="J435"/>
      <c r="K435"/>
      <c r="L435"/>
      <c r="M435"/>
      <c r="N435"/>
    </row>
    <row r="436" spans="3:14" x14ac:dyDescent="0.3">
      <c r="C436"/>
      <c r="D436"/>
      <c r="E436"/>
      <c r="F436"/>
      <c r="G436"/>
      <c r="H436"/>
      <c r="I436"/>
      <c r="J436"/>
      <c r="K436"/>
      <c r="L436"/>
      <c r="M436"/>
      <c r="N436"/>
    </row>
    <row r="437" spans="3:14" x14ac:dyDescent="0.3">
      <c r="C437"/>
      <c r="D437"/>
      <c r="E437"/>
      <c r="F437"/>
      <c r="G437"/>
      <c r="H437"/>
      <c r="I437"/>
      <c r="J437"/>
      <c r="K437"/>
      <c r="L437"/>
      <c r="M437"/>
      <c r="N437"/>
    </row>
    <row r="438" spans="3:14" x14ac:dyDescent="0.3">
      <c r="C438"/>
      <c r="D438"/>
      <c r="E438"/>
      <c r="F438"/>
      <c r="G438"/>
      <c r="H438"/>
      <c r="I438"/>
      <c r="J438"/>
      <c r="K438"/>
      <c r="L438"/>
      <c r="M438"/>
      <c r="N438"/>
    </row>
    <row r="439" spans="3:14" x14ac:dyDescent="0.3">
      <c r="C439"/>
      <c r="D439"/>
      <c r="E439"/>
      <c r="F439"/>
      <c r="G439"/>
      <c r="H439"/>
      <c r="I439"/>
      <c r="J439"/>
      <c r="K439"/>
      <c r="L439"/>
      <c r="M439"/>
      <c r="N439"/>
    </row>
    <row r="440" spans="3:14" x14ac:dyDescent="0.3">
      <c r="C440"/>
      <c r="D440"/>
      <c r="E440"/>
      <c r="F440"/>
      <c r="G440"/>
      <c r="H440"/>
      <c r="I440"/>
      <c r="J440"/>
      <c r="K440"/>
      <c r="L440"/>
      <c r="M440"/>
      <c r="N440"/>
    </row>
    <row r="441" spans="3:14" x14ac:dyDescent="0.3">
      <c r="C441"/>
      <c r="D441"/>
      <c r="E441"/>
      <c r="F441"/>
      <c r="G441"/>
      <c r="H441"/>
      <c r="I441"/>
      <c r="J441"/>
      <c r="K441"/>
      <c r="L441"/>
      <c r="M441"/>
      <c r="N441"/>
    </row>
    <row r="442" spans="3:14" x14ac:dyDescent="0.3">
      <c r="C442"/>
      <c r="D442"/>
      <c r="E442"/>
      <c r="F442"/>
      <c r="G442"/>
      <c r="H442"/>
      <c r="I442"/>
      <c r="J442"/>
      <c r="K442"/>
      <c r="L442"/>
      <c r="M442"/>
      <c r="N442"/>
    </row>
    <row r="443" spans="3:14" x14ac:dyDescent="0.3">
      <c r="C443"/>
      <c r="D443"/>
      <c r="E443"/>
      <c r="F443"/>
      <c r="G443"/>
      <c r="H443"/>
      <c r="I443"/>
      <c r="J443"/>
      <c r="K443"/>
      <c r="L443"/>
      <c r="M443"/>
      <c r="N443"/>
    </row>
    <row r="444" spans="3:14" x14ac:dyDescent="0.3">
      <c r="C444"/>
      <c r="D444"/>
      <c r="E444"/>
      <c r="F444"/>
      <c r="G444"/>
      <c r="H444"/>
      <c r="I444"/>
      <c r="J444"/>
      <c r="K444"/>
      <c r="L444"/>
      <c r="M444"/>
      <c r="N444"/>
    </row>
    <row r="445" spans="3:14" x14ac:dyDescent="0.3">
      <c r="C445"/>
      <c r="D445"/>
      <c r="E445"/>
      <c r="F445"/>
      <c r="G445"/>
      <c r="H445"/>
      <c r="I445"/>
      <c r="J445"/>
      <c r="K445"/>
      <c r="L445"/>
      <c r="M445"/>
      <c r="N445"/>
    </row>
    <row r="446" spans="3:14" x14ac:dyDescent="0.3">
      <c r="C446"/>
      <c r="D446"/>
      <c r="E446"/>
      <c r="F446"/>
      <c r="G446"/>
      <c r="H446"/>
      <c r="I446"/>
      <c r="J446"/>
      <c r="K446"/>
      <c r="L446"/>
      <c r="M446"/>
      <c r="N446"/>
    </row>
    <row r="447" spans="3:14" x14ac:dyDescent="0.3">
      <c r="C447"/>
      <c r="D447"/>
      <c r="E447"/>
      <c r="F447"/>
      <c r="G447"/>
      <c r="H447"/>
      <c r="I447"/>
      <c r="J447"/>
      <c r="K447"/>
      <c r="L447"/>
      <c r="M447"/>
      <c r="N447"/>
    </row>
    <row r="448" spans="3:14" x14ac:dyDescent="0.3">
      <c r="C448"/>
      <c r="D448"/>
      <c r="E448"/>
      <c r="F448"/>
      <c r="G448"/>
      <c r="H448"/>
      <c r="I448"/>
      <c r="J448"/>
      <c r="K448"/>
      <c r="L448"/>
      <c r="M448"/>
      <c r="N448"/>
    </row>
    <row r="449" spans="3:14" x14ac:dyDescent="0.3">
      <c r="C449"/>
      <c r="D449"/>
      <c r="E449"/>
      <c r="F449"/>
      <c r="G449"/>
      <c r="H449"/>
      <c r="I449"/>
      <c r="J449"/>
      <c r="K449"/>
      <c r="L449"/>
      <c r="M449"/>
      <c r="N449"/>
    </row>
    <row r="450" spans="3:14" x14ac:dyDescent="0.3">
      <c r="C450"/>
      <c r="D450"/>
      <c r="E450"/>
      <c r="F450"/>
      <c r="G450"/>
      <c r="H450"/>
      <c r="I450"/>
      <c r="J450"/>
      <c r="K450"/>
      <c r="L450"/>
      <c r="M450"/>
      <c r="N450"/>
    </row>
    <row r="451" spans="3:14" x14ac:dyDescent="0.3">
      <c r="C451"/>
      <c r="D451"/>
      <c r="E451"/>
      <c r="F451"/>
      <c r="G451"/>
      <c r="H451"/>
      <c r="I451"/>
      <c r="J451"/>
      <c r="K451"/>
      <c r="L451"/>
      <c r="M451"/>
      <c r="N451"/>
    </row>
    <row r="452" spans="3:14" x14ac:dyDescent="0.3">
      <c r="C452"/>
      <c r="D452"/>
      <c r="E452"/>
      <c r="F452"/>
      <c r="G452"/>
      <c r="H452"/>
      <c r="I452"/>
      <c r="J452"/>
      <c r="K452"/>
      <c r="L452"/>
      <c r="M452"/>
      <c r="N452"/>
    </row>
    <row r="453" spans="3:14" x14ac:dyDescent="0.3">
      <c r="C453"/>
      <c r="D453"/>
      <c r="E453"/>
      <c r="F453"/>
      <c r="G453"/>
      <c r="H453"/>
      <c r="I453"/>
      <c r="J453"/>
      <c r="K453"/>
      <c r="L453"/>
      <c r="M453"/>
      <c r="N453"/>
    </row>
    <row r="454" spans="3:14" x14ac:dyDescent="0.3">
      <c r="C454"/>
      <c r="D454"/>
      <c r="E454"/>
      <c r="F454"/>
      <c r="G454"/>
      <c r="H454"/>
      <c r="I454"/>
      <c r="J454"/>
      <c r="K454"/>
      <c r="L454"/>
      <c r="M454"/>
      <c r="N454"/>
    </row>
    <row r="455" spans="3:14" x14ac:dyDescent="0.3">
      <c r="C455"/>
      <c r="D455"/>
      <c r="E455"/>
      <c r="F455"/>
      <c r="G455"/>
      <c r="H455"/>
      <c r="I455"/>
      <c r="J455"/>
      <c r="K455"/>
      <c r="L455"/>
      <c r="M455"/>
      <c r="N455"/>
    </row>
    <row r="456" spans="3:14" x14ac:dyDescent="0.3">
      <c r="C456"/>
      <c r="D456"/>
      <c r="E456"/>
      <c r="F456"/>
      <c r="G456"/>
      <c r="H456"/>
      <c r="I456"/>
      <c r="J456"/>
      <c r="K456"/>
      <c r="L456"/>
      <c r="M456"/>
      <c r="N456"/>
    </row>
    <row r="457" spans="3:14" x14ac:dyDescent="0.3">
      <c r="C457"/>
      <c r="D457"/>
      <c r="E457"/>
      <c r="F457"/>
      <c r="G457"/>
      <c r="H457"/>
      <c r="I457"/>
      <c r="J457"/>
      <c r="K457"/>
      <c r="L457"/>
      <c r="M457"/>
      <c r="N457"/>
    </row>
    <row r="458" spans="3:14" x14ac:dyDescent="0.3">
      <c r="C458"/>
      <c r="D458"/>
      <c r="E458"/>
      <c r="F458"/>
      <c r="G458"/>
      <c r="H458"/>
      <c r="I458"/>
      <c r="J458"/>
      <c r="K458"/>
      <c r="L458"/>
      <c r="M458"/>
      <c r="N458"/>
    </row>
    <row r="459" spans="3:14" x14ac:dyDescent="0.3">
      <c r="C459"/>
      <c r="D459"/>
      <c r="E459"/>
      <c r="F459"/>
      <c r="G459"/>
      <c r="H459"/>
      <c r="I459"/>
      <c r="J459"/>
      <c r="K459"/>
      <c r="L459"/>
      <c r="M459"/>
      <c r="N459"/>
    </row>
    <row r="460" spans="3:14" x14ac:dyDescent="0.3">
      <c r="C460"/>
      <c r="D460"/>
      <c r="E460"/>
      <c r="F460"/>
      <c r="G460"/>
      <c r="H460"/>
      <c r="I460"/>
      <c r="J460"/>
      <c r="K460"/>
      <c r="L460"/>
      <c r="M460"/>
      <c r="N460"/>
    </row>
    <row r="461" spans="3:14" x14ac:dyDescent="0.3">
      <c r="C461"/>
      <c r="D461"/>
      <c r="E461"/>
      <c r="F461"/>
      <c r="G461"/>
      <c r="H461"/>
      <c r="I461"/>
      <c r="J461"/>
      <c r="K461"/>
      <c r="L461"/>
      <c r="M461"/>
      <c r="N461"/>
    </row>
    <row r="462" spans="3:14" x14ac:dyDescent="0.3">
      <c r="C462"/>
      <c r="D462"/>
      <c r="E462"/>
      <c r="F462"/>
      <c r="G462"/>
      <c r="H462"/>
      <c r="I462"/>
      <c r="J462"/>
      <c r="K462"/>
      <c r="L462"/>
      <c r="M462"/>
      <c r="N462"/>
    </row>
    <row r="463" spans="3:14" x14ac:dyDescent="0.3">
      <c r="C463"/>
      <c r="D463"/>
      <c r="E463"/>
      <c r="F463"/>
      <c r="G463"/>
      <c r="H463"/>
      <c r="I463"/>
      <c r="J463"/>
      <c r="K463"/>
      <c r="L463"/>
      <c r="M463"/>
      <c r="N463"/>
    </row>
    <row r="464" spans="3:14" x14ac:dyDescent="0.3">
      <c r="C464"/>
      <c r="D464"/>
      <c r="E464"/>
      <c r="F464"/>
      <c r="G464"/>
      <c r="H464"/>
      <c r="I464"/>
      <c r="J464"/>
      <c r="K464"/>
      <c r="L464"/>
      <c r="M464"/>
      <c r="N464"/>
    </row>
    <row r="465" spans="3:14" x14ac:dyDescent="0.3">
      <c r="C465"/>
      <c r="D465"/>
      <c r="E465"/>
      <c r="F465"/>
      <c r="G465"/>
      <c r="H465"/>
      <c r="I465"/>
      <c r="J465"/>
      <c r="K465"/>
      <c r="L465"/>
      <c r="M465"/>
      <c r="N465"/>
    </row>
    <row r="466" spans="3:14" x14ac:dyDescent="0.3">
      <c r="C466"/>
      <c r="D466"/>
      <c r="E466"/>
      <c r="F466"/>
      <c r="G466"/>
      <c r="H466"/>
      <c r="I466"/>
      <c r="J466"/>
      <c r="K466"/>
      <c r="L466"/>
      <c r="M466"/>
      <c r="N466"/>
    </row>
    <row r="467" spans="3:14" x14ac:dyDescent="0.3">
      <c r="C467"/>
      <c r="D467"/>
      <c r="E467"/>
      <c r="F467"/>
      <c r="G467"/>
      <c r="H467"/>
      <c r="I467"/>
      <c r="J467"/>
      <c r="K467"/>
      <c r="L467"/>
      <c r="M467"/>
      <c r="N467"/>
    </row>
    <row r="468" spans="3:14" x14ac:dyDescent="0.3">
      <c r="C468"/>
      <c r="D468"/>
      <c r="E468"/>
      <c r="F468"/>
      <c r="G468"/>
      <c r="H468"/>
      <c r="I468"/>
      <c r="J468"/>
      <c r="K468"/>
      <c r="L468"/>
      <c r="M468"/>
      <c r="N468"/>
    </row>
    <row r="469" spans="3:14" x14ac:dyDescent="0.3">
      <c r="C469"/>
      <c r="D469"/>
      <c r="E469"/>
      <c r="F469"/>
      <c r="G469"/>
      <c r="H469"/>
      <c r="I469"/>
      <c r="J469"/>
      <c r="K469"/>
      <c r="L469"/>
      <c r="M469"/>
      <c r="N469"/>
    </row>
    <row r="470" spans="3:14" x14ac:dyDescent="0.3">
      <c r="C470"/>
      <c r="D470"/>
      <c r="E470"/>
      <c r="F470"/>
      <c r="G470"/>
      <c r="H470"/>
      <c r="I470"/>
      <c r="J470"/>
      <c r="K470"/>
      <c r="L470"/>
      <c r="M470"/>
      <c r="N470"/>
    </row>
    <row r="471" spans="3:14" x14ac:dyDescent="0.3">
      <c r="C471"/>
      <c r="D471"/>
      <c r="E471"/>
      <c r="F471"/>
      <c r="G471"/>
      <c r="H471"/>
      <c r="I471"/>
      <c r="J471"/>
      <c r="K471"/>
      <c r="L471"/>
      <c r="M471"/>
      <c r="N471"/>
    </row>
    <row r="472" spans="3:14" x14ac:dyDescent="0.3">
      <c r="C472"/>
      <c r="D472"/>
      <c r="E472"/>
      <c r="F472"/>
      <c r="G472"/>
      <c r="H472"/>
      <c r="I472"/>
      <c r="J472"/>
      <c r="K472"/>
      <c r="L472"/>
      <c r="M472"/>
      <c r="N472"/>
    </row>
    <row r="473" spans="3:14" x14ac:dyDescent="0.3">
      <c r="C473"/>
      <c r="D473"/>
      <c r="E473"/>
      <c r="F473"/>
      <c r="G473"/>
      <c r="H473"/>
      <c r="I473"/>
      <c r="J473"/>
      <c r="K473"/>
      <c r="L473"/>
      <c r="M473"/>
      <c r="N473"/>
    </row>
    <row r="474" spans="3:14" x14ac:dyDescent="0.3">
      <c r="C474"/>
      <c r="D474"/>
      <c r="E474"/>
      <c r="F474"/>
      <c r="G474"/>
      <c r="H474"/>
      <c r="I474"/>
      <c r="J474"/>
      <c r="K474"/>
      <c r="L474"/>
      <c r="M474"/>
      <c r="N474"/>
    </row>
    <row r="475" spans="3:14" x14ac:dyDescent="0.3">
      <c r="C475"/>
      <c r="D475"/>
      <c r="E475"/>
      <c r="F475"/>
      <c r="G475"/>
      <c r="H475"/>
      <c r="I475"/>
      <c r="J475"/>
      <c r="K475"/>
      <c r="L475"/>
      <c r="M475"/>
      <c r="N475"/>
    </row>
    <row r="476" spans="3:14" x14ac:dyDescent="0.3">
      <c r="C476"/>
      <c r="D476"/>
      <c r="E476"/>
      <c r="F476"/>
      <c r="G476"/>
      <c r="H476"/>
      <c r="I476"/>
      <c r="J476"/>
      <c r="K476"/>
      <c r="L476"/>
      <c r="M476"/>
      <c r="N476"/>
    </row>
    <row r="477" spans="3:14" x14ac:dyDescent="0.3">
      <c r="C477"/>
      <c r="D477"/>
      <c r="E477"/>
      <c r="F477"/>
      <c r="G477"/>
      <c r="H477"/>
      <c r="I477"/>
      <c r="J477"/>
      <c r="K477"/>
      <c r="L477"/>
      <c r="M477"/>
      <c r="N477"/>
    </row>
    <row r="478" spans="3:14" x14ac:dyDescent="0.3">
      <c r="C478"/>
      <c r="D478"/>
      <c r="E478"/>
      <c r="F478"/>
      <c r="G478"/>
      <c r="H478"/>
      <c r="I478"/>
      <c r="J478"/>
      <c r="K478"/>
      <c r="L478"/>
      <c r="M478"/>
      <c r="N478"/>
    </row>
    <row r="479" spans="3:14" x14ac:dyDescent="0.3">
      <c r="C479"/>
      <c r="D479"/>
      <c r="E479"/>
      <c r="F479"/>
      <c r="G479"/>
      <c r="H479"/>
      <c r="I479"/>
      <c r="J479"/>
      <c r="K479"/>
      <c r="L479"/>
      <c r="M479"/>
      <c r="N479"/>
    </row>
    <row r="480" spans="3:14" x14ac:dyDescent="0.3">
      <c r="C480"/>
      <c r="D480"/>
      <c r="E480"/>
      <c r="F480"/>
      <c r="G480"/>
      <c r="H480"/>
      <c r="I480"/>
      <c r="J480"/>
      <c r="K480"/>
      <c r="L480"/>
      <c r="M480"/>
      <c r="N480"/>
    </row>
    <row r="481" spans="3:14" x14ac:dyDescent="0.3">
      <c r="C481"/>
      <c r="D481"/>
      <c r="E481"/>
      <c r="F481"/>
      <c r="G481"/>
      <c r="H481"/>
      <c r="I481"/>
      <c r="J481"/>
      <c r="K481"/>
      <c r="L481"/>
      <c r="M481"/>
      <c r="N481"/>
    </row>
    <row r="482" spans="3:14" x14ac:dyDescent="0.3">
      <c r="C482"/>
      <c r="D482"/>
      <c r="E482"/>
      <c r="F482"/>
      <c r="G482"/>
      <c r="H482"/>
      <c r="I482"/>
      <c r="J482"/>
      <c r="K482"/>
      <c r="L482"/>
      <c r="M482"/>
      <c r="N482"/>
    </row>
    <row r="483" spans="3:14" x14ac:dyDescent="0.3">
      <c r="C483"/>
      <c r="D483"/>
      <c r="E483"/>
      <c r="F483"/>
      <c r="G483"/>
      <c r="H483"/>
      <c r="I483"/>
      <c r="J483"/>
      <c r="K483"/>
      <c r="L483"/>
      <c r="M483"/>
      <c r="N483"/>
    </row>
    <row r="484" spans="3:14" x14ac:dyDescent="0.3">
      <c r="C484"/>
      <c r="D484"/>
      <c r="E484"/>
      <c r="F484"/>
      <c r="G484"/>
      <c r="H484"/>
      <c r="I484"/>
      <c r="J484"/>
      <c r="K484"/>
      <c r="L484"/>
      <c r="M484"/>
      <c r="N484"/>
    </row>
    <row r="485" spans="3:14" x14ac:dyDescent="0.3">
      <c r="C485"/>
      <c r="D485"/>
      <c r="E485"/>
      <c r="F485"/>
      <c r="G485"/>
      <c r="H485"/>
      <c r="I485"/>
      <c r="J485"/>
      <c r="K485"/>
      <c r="L485"/>
      <c r="M485"/>
      <c r="N485"/>
    </row>
    <row r="486" spans="3:14" x14ac:dyDescent="0.3">
      <c r="C486"/>
      <c r="D486"/>
      <c r="E486"/>
      <c r="F486"/>
      <c r="G486"/>
      <c r="H486"/>
      <c r="I486"/>
      <c r="J486"/>
      <c r="K486"/>
      <c r="L486"/>
      <c r="M486"/>
      <c r="N486"/>
    </row>
    <row r="487" spans="3:14" x14ac:dyDescent="0.3">
      <c r="C487"/>
      <c r="D487"/>
      <c r="E487"/>
      <c r="F487"/>
      <c r="G487"/>
      <c r="H487"/>
      <c r="I487"/>
      <c r="J487"/>
      <c r="K487"/>
      <c r="L487"/>
      <c r="M487"/>
      <c r="N487"/>
    </row>
    <row r="488" spans="3:14" x14ac:dyDescent="0.3">
      <c r="C488"/>
      <c r="D488"/>
      <c r="E488"/>
      <c r="F488"/>
      <c r="G488"/>
      <c r="H488"/>
      <c r="I488"/>
      <c r="J488"/>
      <c r="K488"/>
      <c r="L488"/>
      <c r="M488"/>
      <c r="N488"/>
    </row>
    <row r="489" spans="3:14" x14ac:dyDescent="0.3">
      <c r="C489"/>
      <c r="D489"/>
      <c r="E489"/>
      <c r="F489"/>
      <c r="G489"/>
      <c r="H489"/>
      <c r="I489"/>
      <c r="J489"/>
      <c r="K489"/>
      <c r="L489"/>
      <c r="M489"/>
      <c r="N489"/>
    </row>
    <row r="490" spans="3:14" x14ac:dyDescent="0.3">
      <c r="C490"/>
      <c r="D490"/>
      <c r="E490"/>
      <c r="F490"/>
      <c r="G490"/>
      <c r="H490"/>
      <c r="I490"/>
      <c r="J490"/>
      <c r="K490"/>
      <c r="L490"/>
      <c r="M490"/>
      <c r="N490"/>
    </row>
    <row r="491" spans="3:14" x14ac:dyDescent="0.3">
      <c r="C491"/>
      <c r="D491"/>
      <c r="E491"/>
      <c r="F491"/>
      <c r="G491"/>
      <c r="H491"/>
      <c r="I491"/>
      <c r="J491"/>
      <c r="K491"/>
      <c r="L491"/>
      <c r="M491"/>
      <c r="N491"/>
    </row>
    <row r="492" spans="3:14" x14ac:dyDescent="0.3">
      <c r="C492"/>
      <c r="D492"/>
      <c r="E492"/>
      <c r="F492"/>
      <c r="G492"/>
      <c r="H492"/>
      <c r="I492"/>
      <c r="J492"/>
      <c r="K492"/>
      <c r="L492"/>
      <c r="M492"/>
      <c r="N492"/>
    </row>
    <row r="493" spans="3:14" x14ac:dyDescent="0.3">
      <c r="C493"/>
      <c r="D493"/>
      <c r="E493"/>
      <c r="F493"/>
      <c r="G493"/>
      <c r="H493"/>
      <c r="I493"/>
      <c r="J493"/>
      <c r="K493"/>
      <c r="L493"/>
      <c r="M493"/>
      <c r="N493"/>
    </row>
    <row r="494" spans="3:14" x14ac:dyDescent="0.3">
      <c r="C494"/>
      <c r="D494"/>
      <c r="E494"/>
      <c r="F494"/>
      <c r="G494"/>
      <c r="H494"/>
      <c r="I494"/>
      <c r="J494"/>
      <c r="K494"/>
      <c r="L494"/>
      <c r="M494"/>
      <c r="N494"/>
    </row>
    <row r="495" spans="3:14" x14ac:dyDescent="0.3">
      <c r="C495"/>
      <c r="D495"/>
      <c r="E495"/>
      <c r="F495"/>
      <c r="G495"/>
      <c r="H495"/>
      <c r="I495"/>
      <c r="J495"/>
      <c r="K495"/>
      <c r="L495"/>
      <c r="M495"/>
      <c r="N495"/>
    </row>
    <row r="496" spans="3:14" x14ac:dyDescent="0.3">
      <c r="C496"/>
      <c r="D496"/>
      <c r="E496"/>
      <c r="F496"/>
      <c r="G496"/>
      <c r="H496"/>
      <c r="I496"/>
      <c r="J496"/>
      <c r="K496"/>
      <c r="L496"/>
      <c r="M496"/>
      <c r="N496"/>
    </row>
    <row r="497" spans="3:14" x14ac:dyDescent="0.3">
      <c r="C497"/>
      <c r="D497"/>
      <c r="E497"/>
      <c r="F497"/>
      <c r="G497"/>
      <c r="H497"/>
      <c r="I497"/>
      <c r="J497"/>
      <c r="K497"/>
      <c r="L497"/>
      <c r="M497"/>
      <c r="N497"/>
    </row>
    <row r="498" spans="3:14" x14ac:dyDescent="0.3">
      <c r="C498"/>
      <c r="D498"/>
      <c r="E498"/>
      <c r="F498"/>
      <c r="G498"/>
      <c r="H498"/>
      <c r="I498"/>
      <c r="J498"/>
      <c r="K498"/>
      <c r="L498"/>
      <c r="M498"/>
      <c r="N498"/>
    </row>
    <row r="499" spans="3:14" x14ac:dyDescent="0.3">
      <c r="C499"/>
      <c r="D499"/>
      <c r="E499"/>
      <c r="F499"/>
      <c r="G499"/>
      <c r="H499"/>
      <c r="I499"/>
      <c r="J499"/>
      <c r="K499"/>
      <c r="L499"/>
      <c r="M499"/>
      <c r="N499"/>
    </row>
    <row r="500" spans="3:14" x14ac:dyDescent="0.3">
      <c r="C500"/>
      <c r="D500"/>
      <c r="E500"/>
      <c r="F500"/>
      <c r="G500"/>
      <c r="H500"/>
      <c r="I500"/>
      <c r="J500"/>
      <c r="K500"/>
      <c r="L500"/>
      <c r="M500"/>
      <c r="N500"/>
    </row>
    <row r="501" spans="3:14" x14ac:dyDescent="0.3">
      <c r="C501"/>
      <c r="D501"/>
      <c r="E501"/>
      <c r="F501"/>
      <c r="G501"/>
      <c r="H501"/>
      <c r="I501"/>
      <c r="J501"/>
      <c r="K501"/>
      <c r="L501"/>
      <c r="M501"/>
      <c r="N501"/>
    </row>
    <row r="502" spans="3:14" x14ac:dyDescent="0.3">
      <c r="C502"/>
      <c r="D502"/>
      <c r="E502"/>
      <c r="F502"/>
      <c r="G502"/>
      <c r="H502"/>
      <c r="I502"/>
      <c r="J502"/>
      <c r="K502"/>
      <c r="L502"/>
      <c r="M502"/>
      <c r="N502"/>
    </row>
    <row r="503" spans="3:14" x14ac:dyDescent="0.3">
      <c r="C503"/>
      <c r="D503"/>
      <c r="E503"/>
      <c r="F503"/>
      <c r="G503"/>
      <c r="H503"/>
      <c r="I503"/>
      <c r="J503"/>
      <c r="K503"/>
      <c r="L503"/>
      <c r="M503"/>
      <c r="N503"/>
    </row>
    <row r="504" spans="3:14" x14ac:dyDescent="0.3">
      <c r="C504"/>
      <c r="D504"/>
      <c r="E504"/>
      <c r="F504"/>
      <c r="G504"/>
      <c r="H504"/>
      <c r="I504"/>
      <c r="J504"/>
      <c r="K504"/>
      <c r="L504"/>
      <c r="M504"/>
      <c r="N504"/>
    </row>
    <row r="505" spans="3:14" x14ac:dyDescent="0.3">
      <c r="C505"/>
      <c r="D505"/>
      <c r="E505"/>
      <c r="F505"/>
      <c r="G505"/>
      <c r="H505"/>
      <c r="I505"/>
      <c r="J505"/>
      <c r="K505"/>
      <c r="L505"/>
      <c r="M505"/>
      <c r="N505"/>
    </row>
    <row r="506" spans="3:14" x14ac:dyDescent="0.3">
      <c r="C506"/>
      <c r="D506"/>
      <c r="E506"/>
      <c r="F506"/>
      <c r="G506"/>
      <c r="H506"/>
      <c r="I506"/>
      <c r="J506"/>
      <c r="K506"/>
      <c r="L506"/>
      <c r="M506"/>
      <c r="N506"/>
    </row>
    <row r="507" spans="3:14" x14ac:dyDescent="0.3">
      <c r="C507"/>
      <c r="D507"/>
      <c r="E507"/>
      <c r="F507"/>
      <c r="G507"/>
      <c r="H507"/>
      <c r="I507"/>
      <c r="J507"/>
      <c r="K507"/>
      <c r="L507"/>
      <c r="M507"/>
      <c r="N507"/>
    </row>
    <row r="508" spans="3:14" x14ac:dyDescent="0.3">
      <c r="C508"/>
      <c r="D508"/>
      <c r="E508"/>
      <c r="F508"/>
      <c r="G508"/>
      <c r="H508"/>
      <c r="I508"/>
      <c r="J508"/>
      <c r="K508"/>
      <c r="L508"/>
      <c r="M508"/>
      <c r="N508"/>
    </row>
    <row r="509" spans="3:14" x14ac:dyDescent="0.3">
      <c r="C509"/>
      <c r="D509"/>
      <c r="E509"/>
      <c r="F509"/>
      <c r="G509"/>
      <c r="H509"/>
      <c r="I509"/>
      <c r="J509"/>
      <c r="K509"/>
      <c r="L509"/>
      <c r="M509"/>
      <c r="N509"/>
    </row>
    <row r="510" spans="3:14" x14ac:dyDescent="0.3">
      <c r="C510"/>
      <c r="D510"/>
      <c r="E510"/>
      <c r="F510"/>
      <c r="G510"/>
      <c r="H510"/>
      <c r="I510"/>
      <c r="J510"/>
      <c r="K510"/>
      <c r="L510"/>
      <c r="M510"/>
      <c r="N510"/>
    </row>
    <row r="511" spans="3:14" x14ac:dyDescent="0.3">
      <c r="C511"/>
      <c r="D511"/>
      <c r="E511"/>
      <c r="F511"/>
      <c r="G511"/>
      <c r="H511"/>
      <c r="I511"/>
      <c r="J511"/>
      <c r="K511"/>
      <c r="L511"/>
      <c r="M511"/>
      <c r="N511"/>
    </row>
    <row r="512" spans="3:14" x14ac:dyDescent="0.3">
      <c r="C512"/>
      <c r="D512"/>
      <c r="E512"/>
      <c r="F512"/>
      <c r="G512"/>
      <c r="H512"/>
      <c r="I512"/>
      <c r="J512"/>
      <c r="K512"/>
      <c r="L512"/>
      <c r="M512"/>
      <c r="N512"/>
    </row>
    <row r="513" spans="3:14" x14ac:dyDescent="0.3">
      <c r="C513"/>
      <c r="D513"/>
      <c r="E513"/>
      <c r="F513"/>
      <c r="G513"/>
      <c r="H513"/>
      <c r="I513"/>
      <c r="J513"/>
      <c r="K513"/>
      <c r="L513"/>
      <c r="M513"/>
      <c r="N513"/>
    </row>
    <row r="514" spans="3:14" x14ac:dyDescent="0.3">
      <c r="C514"/>
      <c r="D514"/>
      <c r="E514"/>
      <c r="F514"/>
      <c r="G514"/>
      <c r="H514"/>
      <c r="I514"/>
      <c r="J514"/>
      <c r="K514"/>
      <c r="L514"/>
      <c r="M514"/>
      <c r="N514"/>
    </row>
    <row r="515" spans="3:14" x14ac:dyDescent="0.3">
      <c r="C515"/>
      <c r="D515"/>
      <c r="E515"/>
      <c r="F515"/>
      <c r="G515"/>
      <c r="H515"/>
      <c r="I515"/>
      <c r="J515"/>
      <c r="K515"/>
      <c r="L515"/>
      <c r="M515"/>
      <c r="N515"/>
    </row>
    <row r="516" spans="3:14" x14ac:dyDescent="0.3">
      <c r="C516"/>
      <c r="D516"/>
      <c r="E516"/>
      <c r="F516"/>
      <c r="G516"/>
      <c r="H516"/>
      <c r="I516"/>
      <c r="J516"/>
      <c r="K516"/>
      <c r="L516"/>
      <c r="M516"/>
      <c r="N516"/>
    </row>
    <row r="517" spans="3:14" x14ac:dyDescent="0.3">
      <c r="C517"/>
      <c r="D517"/>
      <c r="E517"/>
      <c r="F517"/>
      <c r="G517"/>
      <c r="H517"/>
      <c r="I517"/>
      <c r="J517"/>
      <c r="K517"/>
      <c r="L517"/>
      <c r="M517"/>
      <c r="N517"/>
    </row>
    <row r="518" spans="3:14" x14ac:dyDescent="0.3">
      <c r="C518"/>
      <c r="D518"/>
      <c r="E518"/>
      <c r="F518"/>
      <c r="G518"/>
      <c r="H518"/>
      <c r="I518"/>
      <c r="J518"/>
      <c r="K518"/>
      <c r="L518"/>
      <c r="M518"/>
      <c r="N518"/>
    </row>
    <row r="519" spans="3:14" x14ac:dyDescent="0.3">
      <c r="C519"/>
      <c r="D519"/>
      <c r="E519"/>
      <c r="F519"/>
      <c r="G519"/>
      <c r="H519"/>
      <c r="I519"/>
      <c r="J519"/>
      <c r="K519"/>
      <c r="L519"/>
      <c r="M519"/>
      <c r="N519"/>
    </row>
    <row r="520" spans="3:14" x14ac:dyDescent="0.3">
      <c r="C520"/>
      <c r="D520"/>
      <c r="E520"/>
      <c r="F520"/>
      <c r="G520"/>
      <c r="H520"/>
      <c r="I520"/>
      <c r="J520"/>
      <c r="K520"/>
      <c r="L520"/>
      <c r="M520"/>
      <c r="N520"/>
    </row>
    <row r="521" spans="3:14" x14ac:dyDescent="0.3">
      <c r="C521"/>
      <c r="D521"/>
      <c r="E521"/>
      <c r="F521"/>
      <c r="G521"/>
      <c r="H521"/>
      <c r="I521"/>
      <c r="J521"/>
      <c r="K521"/>
      <c r="L521"/>
      <c r="M521"/>
      <c r="N521"/>
    </row>
    <row r="522" spans="3:14" x14ac:dyDescent="0.3">
      <c r="C522"/>
      <c r="D522"/>
      <c r="E522"/>
      <c r="F522"/>
      <c r="G522"/>
      <c r="H522"/>
      <c r="I522"/>
      <c r="J522"/>
      <c r="K522"/>
      <c r="L522"/>
      <c r="M522"/>
      <c r="N522"/>
    </row>
    <row r="523" spans="3:14" x14ac:dyDescent="0.3">
      <c r="C523"/>
      <c r="D523"/>
      <c r="E523"/>
      <c r="F523"/>
      <c r="G523"/>
      <c r="H523"/>
      <c r="I523"/>
      <c r="J523"/>
      <c r="K523"/>
      <c r="L523"/>
      <c r="M523"/>
      <c r="N523"/>
    </row>
    <row r="524" spans="3:14" x14ac:dyDescent="0.3">
      <c r="C524"/>
      <c r="D524"/>
      <c r="E524"/>
      <c r="F524"/>
      <c r="G524"/>
      <c r="H524"/>
      <c r="I524"/>
      <c r="J524"/>
      <c r="K524"/>
      <c r="L524"/>
      <c r="M524"/>
      <c r="N524"/>
    </row>
    <row r="525" spans="3:14" x14ac:dyDescent="0.3">
      <c r="C525"/>
      <c r="D525"/>
      <c r="E525"/>
      <c r="F525"/>
      <c r="G525"/>
      <c r="H525"/>
      <c r="I525"/>
      <c r="J525"/>
      <c r="K525"/>
      <c r="L525"/>
      <c r="M525"/>
      <c r="N525"/>
    </row>
    <row r="526" spans="3:14" x14ac:dyDescent="0.3">
      <c r="C526"/>
      <c r="D526"/>
      <c r="E526"/>
      <c r="F526"/>
      <c r="G526"/>
      <c r="H526"/>
      <c r="I526"/>
      <c r="J526"/>
      <c r="K526"/>
      <c r="L526"/>
      <c r="M526"/>
      <c r="N526"/>
    </row>
    <row r="527" spans="3:14" x14ac:dyDescent="0.3">
      <c r="C527"/>
      <c r="D527"/>
      <c r="E527"/>
      <c r="F527"/>
      <c r="G527"/>
      <c r="H527"/>
      <c r="I527"/>
      <c r="J527"/>
      <c r="K527"/>
      <c r="L527"/>
      <c r="M527"/>
      <c r="N527"/>
    </row>
    <row r="528" spans="3:14" x14ac:dyDescent="0.3">
      <c r="C528"/>
      <c r="D528"/>
      <c r="E528"/>
      <c r="F528"/>
      <c r="G528"/>
      <c r="H528"/>
      <c r="I528"/>
      <c r="J528"/>
      <c r="K528"/>
      <c r="L528"/>
      <c r="M528"/>
      <c r="N528"/>
    </row>
    <row r="529" spans="3:14" x14ac:dyDescent="0.3">
      <c r="C529"/>
      <c r="D529"/>
      <c r="E529"/>
      <c r="F529"/>
      <c r="G529"/>
      <c r="H529"/>
      <c r="I529"/>
      <c r="J529"/>
      <c r="K529"/>
      <c r="L529"/>
      <c r="M529"/>
      <c r="N529"/>
    </row>
    <row r="530" spans="3:14" x14ac:dyDescent="0.3">
      <c r="C530"/>
      <c r="D530"/>
      <c r="E530"/>
      <c r="F530"/>
      <c r="G530"/>
      <c r="H530"/>
      <c r="I530"/>
      <c r="J530"/>
      <c r="K530"/>
      <c r="L530"/>
      <c r="M530"/>
      <c r="N530"/>
    </row>
    <row r="531" spans="3:14" x14ac:dyDescent="0.3">
      <c r="C531"/>
      <c r="D531"/>
      <c r="E531"/>
      <c r="F531"/>
      <c r="G531"/>
      <c r="H531"/>
      <c r="I531"/>
      <c r="J531"/>
      <c r="K531"/>
      <c r="L531"/>
      <c r="M531"/>
      <c r="N531"/>
    </row>
    <row r="532" spans="3:14" x14ac:dyDescent="0.3">
      <c r="C532"/>
      <c r="D532"/>
      <c r="E532"/>
      <c r="F532"/>
      <c r="G532"/>
      <c r="H532"/>
      <c r="I532"/>
      <c r="J532"/>
      <c r="K532"/>
      <c r="L532"/>
      <c r="M532"/>
      <c r="N532"/>
    </row>
    <row r="533" spans="3:14" x14ac:dyDescent="0.3">
      <c r="C533"/>
      <c r="D533"/>
      <c r="E533"/>
      <c r="F533"/>
      <c r="G533"/>
      <c r="H533"/>
      <c r="I533"/>
      <c r="J533"/>
      <c r="K533"/>
      <c r="L533"/>
      <c r="M533"/>
      <c r="N533"/>
    </row>
    <row r="534" spans="3:14" x14ac:dyDescent="0.3">
      <c r="C534"/>
      <c r="D534"/>
      <c r="E534"/>
      <c r="F534"/>
      <c r="G534"/>
      <c r="H534"/>
      <c r="I534"/>
      <c r="J534"/>
      <c r="K534"/>
      <c r="L534"/>
      <c r="M534"/>
      <c r="N534"/>
    </row>
    <row r="535" spans="3:14" x14ac:dyDescent="0.3">
      <c r="C535"/>
      <c r="D535"/>
      <c r="E535"/>
      <c r="F535"/>
      <c r="G535"/>
      <c r="H535"/>
      <c r="I535"/>
      <c r="J535"/>
      <c r="K535"/>
      <c r="L535"/>
      <c r="M535"/>
      <c r="N535"/>
    </row>
    <row r="536" spans="3:14" x14ac:dyDescent="0.3">
      <c r="C536"/>
      <c r="D536"/>
      <c r="E536"/>
      <c r="F536"/>
      <c r="G536"/>
      <c r="H536"/>
      <c r="I536"/>
      <c r="J536"/>
      <c r="K536"/>
      <c r="L536"/>
      <c r="M536"/>
      <c r="N536"/>
    </row>
    <row r="537" spans="3:14" x14ac:dyDescent="0.3">
      <c r="C537"/>
      <c r="D537"/>
      <c r="E537"/>
      <c r="F537"/>
      <c r="G537"/>
      <c r="H537"/>
      <c r="I537"/>
      <c r="J537"/>
      <c r="K537"/>
      <c r="L537"/>
      <c r="M537"/>
      <c r="N537"/>
    </row>
    <row r="538" spans="3:14" x14ac:dyDescent="0.3">
      <c r="C538"/>
      <c r="D538"/>
      <c r="E538"/>
      <c r="F538"/>
      <c r="G538"/>
      <c r="H538"/>
      <c r="I538"/>
      <c r="J538"/>
      <c r="K538"/>
      <c r="L538"/>
      <c r="M538"/>
      <c r="N538"/>
    </row>
    <row r="539" spans="3:14" x14ac:dyDescent="0.3">
      <c r="C539"/>
      <c r="D539"/>
      <c r="E539"/>
      <c r="F539"/>
      <c r="G539"/>
      <c r="H539"/>
      <c r="I539"/>
      <c r="J539"/>
      <c r="K539"/>
      <c r="L539"/>
      <c r="M539"/>
      <c r="N539"/>
    </row>
    <row r="540" spans="3:14" x14ac:dyDescent="0.3">
      <c r="C540"/>
      <c r="D540"/>
      <c r="E540"/>
      <c r="F540"/>
      <c r="G540"/>
      <c r="H540"/>
      <c r="I540"/>
      <c r="J540"/>
      <c r="K540"/>
      <c r="L540"/>
      <c r="M540"/>
      <c r="N540"/>
    </row>
    <row r="541" spans="3:14" x14ac:dyDescent="0.3">
      <c r="C541"/>
      <c r="D541"/>
      <c r="E541"/>
      <c r="F541"/>
      <c r="G541"/>
      <c r="H541"/>
      <c r="I541"/>
      <c r="J541"/>
      <c r="K541"/>
      <c r="L541"/>
      <c r="M541"/>
      <c r="N541"/>
    </row>
    <row r="542" spans="3:14" x14ac:dyDescent="0.3">
      <c r="C542"/>
      <c r="D542"/>
      <c r="E542"/>
      <c r="F542"/>
      <c r="G542"/>
      <c r="H542"/>
      <c r="I542"/>
      <c r="J542"/>
      <c r="K542"/>
      <c r="L542"/>
      <c r="M542"/>
      <c r="N542"/>
    </row>
    <row r="543" spans="3:14" x14ac:dyDescent="0.3">
      <c r="C543"/>
      <c r="D543"/>
      <c r="E543"/>
      <c r="F543"/>
      <c r="G543"/>
      <c r="H543"/>
      <c r="I543"/>
      <c r="J543"/>
      <c r="K543"/>
      <c r="L543"/>
      <c r="M543"/>
      <c r="N543"/>
    </row>
    <row r="544" spans="3:14" x14ac:dyDescent="0.3">
      <c r="C544"/>
      <c r="D544"/>
      <c r="E544"/>
      <c r="F544"/>
      <c r="G544"/>
      <c r="H544"/>
      <c r="I544"/>
      <c r="J544"/>
      <c r="K544"/>
      <c r="L544"/>
      <c r="M544"/>
      <c r="N544"/>
    </row>
    <row r="545" spans="3:14" x14ac:dyDescent="0.3">
      <c r="C545"/>
      <c r="D545"/>
      <c r="E545"/>
      <c r="F545"/>
      <c r="G545"/>
      <c r="H545"/>
      <c r="I545"/>
      <c r="J545"/>
      <c r="K545"/>
      <c r="L545"/>
      <c r="M545"/>
      <c r="N545"/>
    </row>
    <row r="546" spans="3:14" x14ac:dyDescent="0.3">
      <c r="C546"/>
      <c r="D546"/>
      <c r="E546"/>
      <c r="F546"/>
      <c r="G546"/>
      <c r="H546"/>
      <c r="I546"/>
      <c r="J546"/>
      <c r="K546"/>
      <c r="L546"/>
      <c r="M546"/>
      <c r="N546"/>
    </row>
    <row r="547" spans="3:14" x14ac:dyDescent="0.3">
      <c r="C547"/>
      <c r="D547"/>
      <c r="E547"/>
      <c r="F547"/>
      <c r="G547"/>
      <c r="H547"/>
      <c r="I547"/>
      <c r="J547"/>
      <c r="K547"/>
      <c r="L547"/>
      <c r="M547"/>
      <c r="N547"/>
    </row>
    <row r="548" spans="3:14" x14ac:dyDescent="0.3">
      <c r="C548"/>
      <c r="D548"/>
      <c r="E548"/>
      <c r="F548"/>
      <c r="G548"/>
      <c r="H548"/>
      <c r="I548"/>
      <c r="J548"/>
      <c r="K548"/>
      <c r="L548"/>
      <c r="M548"/>
      <c r="N548"/>
    </row>
    <row r="549" spans="3:14" x14ac:dyDescent="0.3">
      <c r="C549"/>
      <c r="D549"/>
      <c r="E549"/>
      <c r="F549"/>
      <c r="G549"/>
      <c r="H549"/>
      <c r="I549"/>
      <c r="J549"/>
      <c r="K549"/>
      <c r="L549"/>
      <c r="M549"/>
      <c r="N549"/>
    </row>
    <row r="550" spans="3:14" x14ac:dyDescent="0.3">
      <c r="C550"/>
      <c r="D550"/>
      <c r="E550"/>
      <c r="F550"/>
      <c r="G550"/>
      <c r="H550"/>
      <c r="I550"/>
      <c r="J550"/>
      <c r="K550"/>
      <c r="L550"/>
      <c r="M550"/>
      <c r="N550"/>
    </row>
    <row r="551" spans="3:14" x14ac:dyDescent="0.3">
      <c r="C551"/>
      <c r="D551"/>
      <c r="E551"/>
      <c r="F551"/>
      <c r="G551"/>
      <c r="H551"/>
      <c r="I551"/>
      <c r="J551"/>
      <c r="K551"/>
      <c r="L551"/>
      <c r="M551"/>
      <c r="N551"/>
    </row>
    <row r="552" spans="3:14" x14ac:dyDescent="0.3">
      <c r="C552"/>
      <c r="D552"/>
      <c r="E552"/>
      <c r="F552"/>
      <c r="G552"/>
      <c r="H552"/>
      <c r="I552"/>
      <c r="J552"/>
      <c r="K552"/>
      <c r="L552"/>
      <c r="M552"/>
      <c r="N552"/>
    </row>
    <row r="553" spans="3:14" x14ac:dyDescent="0.3">
      <c r="C553"/>
      <c r="D553"/>
      <c r="E553"/>
      <c r="F553"/>
      <c r="G553"/>
      <c r="H553"/>
      <c r="I553"/>
      <c r="J553"/>
      <c r="K553"/>
      <c r="L553"/>
      <c r="M553"/>
      <c r="N553"/>
    </row>
    <row r="554" spans="3:14" x14ac:dyDescent="0.3">
      <c r="C554"/>
      <c r="D554"/>
      <c r="E554"/>
      <c r="F554"/>
      <c r="G554"/>
      <c r="H554"/>
      <c r="I554"/>
      <c r="J554"/>
      <c r="K554"/>
      <c r="L554"/>
      <c r="M554"/>
      <c r="N554"/>
    </row>
    <row r="555" spans="3:14" x14ac:dyDescent="0.3">
      <c r="C555"/>
      <c r="D555"/>
      <c r="E555"/>
      <c r="F555"/>
      <c r="G555"/>
      <c r="H555"/>
      <c r="I555"/>
      <c r="J555"/>
      <c r="K555"/>
      <c r="L555"/>
      <c r="M555"/>
      <c r="N555"/>
    </row>
    <row r="556" spans="3:14" x14ac:dyDescent="0.3">
      <c r="C556"/>
      <c r="D556"/>
      <c r="E556"/>
      <c r="F556"/>
      <c r="G556"/>
      <c r="H556"/>
      <c r="I556"/>
      <c r="J556"/>
      <c r="K556"/>
      <c r="L556"/>
      <c r="M556"/>
      <c r="N556"/>
    </row>
    <row r="557" spans="3:14" x14ac:dyDescent="0.3">
      <c r="C557"/>
      <c r="D557"/>
      <c r="E557"/>
      <c r="F557"/>
      <c r="G557"/>
      <c r="H557"/>
      <c r="I557"/>
      <c r="J557"/>
      <c r="K557"/>
      <c r="L557"/>
      <c r="M557"/>
      <c r="N557"/>
    </row>
    <row r="558" spans="3:14" x14ac:dyDescent="0.3">
      <c r="C558"/>
      <c r="D558"/>
      <c r="E558"/>
      <c r="F558"/>
      <c r="G558"/>
      <c r="H558"/>
      <c r="I558"/>
      <c r="J558"/>
      <c r="K558"/>
      <c r="L558"/>
      <c r="M558"/>
      <c r="N558"/>
    </row>
    <row r="559" spans="3:14" x14ac:dyDescent="0.3">
      <c r="C559"/>
      <c r="D559"/>
      <c r="E559"/>
      <c r="F559"/>
      <c r="G559"/>
      <c r="H559"/>
      <c r="I559"/>
      <c r="J559"/>
      <c r="K559"/>
      <c r="L559"/>
      <c r="M559"/>
      <c r="N559"/>
    </row>
    <row r="560" spans="3:14" x14ac:dyDescent="0.3">
      <c r="C560"/>
      <c r="D560"/>
      <c r="E560"/>
      <c r="F560"/>
      <c r="G560"/>
      <c r="H560"/>
      <c r="I560"/>
      <c r="J560"/>
      <c r="K560"/>
      <c r="L560"/>
      <c r="M560"/>
      <c r="N560"/>
    </row>
    <row r="561" spans="3:14" x14ac:dyDescent="0.3">
      <c r="C561"/>
      <c r="D561"/>
      <c r="E561"/>
      <c r="F561"/>
      <c r="G561"/>
      <c r="H561"/>
      <c r="I561"/>
      <c r="J561"/>
      <c r="K561"/>
      <c r="L561"/>
      <c r="M561"/>
      <c r="N561"/>
    </row>
    <row r="562" spans="3:14" x14ac:dyDescent="0.3">
      <c r="C562"/>
      <c r="D562"/>
      <c r="E562"/>
      <c r="F562"/>
      <c r="G562"/>
      <c r="H562"/>
      <c r="I562"/>
      <c r="J562"/>
      <c r="K562"/>
      <c r="L562"/>
      <c r="M562"/>
      <c r="N562"/>
    </row>
    <row r="563" spans="3:14" x14ac:dyDescent="0.3">
      <c r="C563"/>
      <c r="D563"/>
      <c r="E563"/>
      <c r="F563"/>
      <c r="G563"/>
      <c r="H563"/>
      <c r="I563"/>
      <c r="J563"/>
      <c r="K563"/>
      <c r="L563"/>
      <c r="M563"/>
      <c r="N563"/>
    </row>
    <row r="564" spans="3:14" x14ac:dyDescent="0.3">
      <c r="C564"/>
      <c r="D564"/>
      <c r="E564"/>
      <c r="F564"/>
      <c r="G564"/>
      <c r="H564"/>
      <c r="I564"/>
      <c r="J564"/>
      <c r="K564"/>
      <c r="L564"/>
      <c r="M564"/>
      <c r="N564"/>
    </row>
    <row r="565" spans="3:14" x14ac:dyDescent="0.3">
      <c r="C565"/>
      <c r="D565"/>
      <c r="E565"/>
      <c r="F565"/>
      <c r="G565"/>
      <c r="H565"/>
      <c r="I565"/>
      <c r="J565"/>
      <c r="K565"/>
      <c r="L565"/>
      <c r="M565"/>
      <c r="N565"/>
    </row>
    <row r="566" spans="3:14" x14ac:dyDescent="0.3">
      <c r="C566"/>
      <c r="D566"/>
      <c r="E566"/>
      <c r="F566"/>
      <c r="G566"/>
      <c r="H566"/>
      <c r="I566"/>
      <c r="J566"/>
      <c r="K566"/>
      <c r="L566"/>
      <c r="M566"/>
      <c r="N566"/>
    </row>
    <row r="567" spans="3:14" x14ac:dyDescent="0.3">
      <c r="C567"/>
      <c r="D567"/>
      <c r="E567"/>
      <c r="F567"/>
      <c r="G567"/>
      <c r="H567"/>
      <c r="I567"/>
      <c r="J567"/>
      <c r="K567"/>
      <c r="L567"/>
      <c r="M567"/>
      <c r="N567"/>
    </row>
    <row r="568" spans="3:14" x14ac:dyDescent="0.3">
      <c r="C568"/>
      <c r="D568"/>
      <c r="E568"/>
      <c r="F568"/>
      <c r="G568"/>
      <c r="H568"/>
      <c r="I568"/>
      <c r="J568"/>
      <c r="K568"/>
      <c r="L568"/>
      <c r="M568"/>
      <c r="N568"/>
    </row>
    <row r="569" spans="3:14" x14ac:dyDescent="0.3">
      <c r="C569"/>
      <c r="D569"/>
      <c r="E569"/>
      <c r="F569"/>
      <c r="G569"/>
      <c r="H569"/>
      <c r="I569"/>
      <c r="J569"/>
      <c r="K569"/>
      <c r="L569"/>
      <c r="M569"/>
      <c r="N569"/>
    </row>
    <row r="570" spans="3:14" x14ac:dyDescent="0.3">
      <c r="C570"/>
      <c r="D570"/>
      <c r="E570"/>
      <c r="F570"/>
      <c r="G570"/>
      <c r="H570"/>
      <c r="I570"/>
      <c r="J570"/>
      <c r="K570"/>
      <c r="L570"/>
      <c r="M570"/>
      <c r="N570"/>
    </row>
    <row r="571" spans="3:14" x14ac:dyDescent="0.3">
      <c r="C571"/>
      <c r="D571"/>
      <c r="E571"/>
      <c r="F571"/>
      <c r="G571"/>
      <c r="H571"/>
      <c r="I571"/>
      <c r="J571"/>
      <c r="K571"/>
      <c r="L571"/>
      <c r="M571"/>
      <c r="N571"/>
    </row>
    <row r="572" spans="3:14" x14ac:dyDescent="0.3">
      <c r="C572"/>
      <c r="D572"/>
      <c r="E572"/>
      <c r="F572"/>
      <c r="G572"/>
      <c r="H572"/>
      <c r="I572"/>
      <c r="J572"/>
      <c r="K572"/>
      <c r="L572"/>
      <c r="M572"/>
      <c r="N572"/>
    </row>
    <row r="573" spans="3:14" x14ac:dyDescent="0.3">
      <c r="C573"/>
      <c r="D573"/>
      <c r="E573"/>
      <c r="F573"/>
      <c r="G573"/>
      <c r="H573"/>
      <c r="I573"/>
      <c r="J573"/>
      <c r="K573"/>
      <c r="L573"/>
      <c r="M573"/>
      <c r="N573"/>
    </row>
    <row r="574" spans="3:14" x14ac:dyDescent="0.3">
      <c r="C574"/>
      <c r="D574"/>
      <c r="E574"/>
      <c r="F574"/>
      <c r="G574"/>
      <c r="H574"/>
      <c r="I574"/>
      <c r="J574"/>
      <c r="K574"/>
      <c r="L574"/>
      <c r="M574"/>
      <c r="N574"/>
    </row>
    <row r="575" spans="3:14" x14ac:dyDescent="0.3">
      <c r="C575"/>
      <c r="D575"/>
      <c r="E575"/>
      <c r="F575"/>
      <c r="G575"/>
      <c r="H575"/>
      <c r="I575"/>
      <c r="J575"/>
      <c r="K575"/>
      <c r="L575"/>
      <c r="M575"/>
      <c r="N575"/>
    </row>
    <row r="576" spans="3:14" x14ac:dyDescent="0.3">
      <c r="C576"/>
      <c r="D576"/>
      <c r="E576"/>
      <c r="F576"/>
      <c r="G576"/>
      <c r="H576"/>
      <c r="I576"/>
      <c r="J576"/>
      <c r="K576"/>
      <c r="L576"/>
      <c r="M576"/>
      <c r="N576"/>
    </row>
    <row r="577" spans="3:14" x14ac:dyDescent="0.3">
      <c r="C577"/>
      <c r="D577"/>
      <c r="E577"/>
      <c r="F577"/>
      <c r="G577"/>
      <c r="H577"/>
      <c r="I577"/>
      <c r="J577"/>
      <c r="K577"/>
      <c r="L577"/>
      <c r="M577"/>
      <c r="N577"/>
    </row>
    <row r="578" spans="3:14" x14ac:dyDescent="0.3">
      <c r="C578"/>
      <c r="D578"/>
      <c r="E578"/>
      <c r="F578"/>
      <c r="G578"/>
      <c r="H578"/>
      <c r="I578"/>
      <c r="J578"/>
      <c r="K578"/>
      <c r="L578"/>
      <c r="M578"/>
      <c r="N578"/>
    </row>
    <row r="579" spans="3:14" x14ac:dyDescent="0.3">
      <c r="C579"/>
      <c r="D579"/>
      <c r="E579"/>
      <c r="F579"/>
      <c r="G579"/>
      <c r="H579"/>
      <c r="I579"/>
      <c r="J579"/>
      <c r="K579"/>
      <c r="L579"/>
      <c r="M579"/>
      <c r="N579"/>
    </row>
    <row r="580" spans="3:14" x14ac:dyDescent="0.3">
      <c r="C580"/>
      <c r="D580"/>
      <c r="E580"/>
      <c r="F580"/>
      <c r="G580"/>
      <c r="H580"/>
      <c r="I580"/>
      <c r="J580"/>
      <c r="K580"/>
      <c r="L580"/>
      <c r="M580"/>
      <c r="N580"/>
    </row>
    <row r="581" spans="3:14" x14ac:dyDescent="0.3">
      <c r="C581"/>
      <c r="D581"/>
      <c r="E581"/>
      <c r="F581"/>
      <c r="G581"/>
      <c r="H581"/>
      <c r="I581"/>
      <c r="J581"/>
      <c r="K581"/>
      <c r="L581"/>
      <c r="M581"/>
      <c r="N581"/>
    </row>
    <row r="582" spans="3:14" x14ac:dyDescent="0.3">
      <c r="C582"/>
      <c r="D582"/>
      <c r="E582"/>
      <c r="F582"/>
      <c r="G582"/>
      <c r="H582"/>
      <c r="I582"/>
      <c r="J582"/>
      <c r="K582"/>
      <c r="L582"/>
      <c r="M582"/>
      <c r="N582"/>
    </row>
    <row r="583" spans="3:14" x14ac:dyDescent="0.3">
      <c r="C583"/>
      <c r="D583"/>
      <c r="E583"/>
      <c r="F583"/>
      <c r="G583"/>
      <c r="H583"/>
      <c r="I583"/>
      <c r="J583"/>
      <c r="K583"/>
      <c r="L583"/>
      <c r="M583"/>
      <c r="N583"/>
    </row>
    <row r="584" spans="3:14" x14ac:dyDescent="0.3">
      <c r="C584"/>
      <c r="D584"/>
      <c r="E584"/>
      <c r="F584"/>
      <c r="G584"/>
      <c r="H584"/>
      <c r="I584"/>
      <c r="J584"/>
      <c r="K584"/>
      <c r="L584"/>
      <c r="M584"/>
      <c r="N584"/>
    </row>
    <row r="585" spans="3:14" x14ac:dyDescent="0.3">
      <c r="C585"/>
      <c r="D585"/>
      <c r="E585"/>
      <c r="F585"/>
      <c r="G585"/>
      <c r="H585"/>
      <c r="I585"/>
      <c r="J585"/>
      <c r="K585"/>
      <c r="L585"/>
      <c r="M585"/>
      <c r="N585"/>
    </row>
    <row r="586" spans="3:14" x14ac:dyDescent="0.3">
      <c r="C586"/>
      <c r="D586"/>
      <c r="E586"/>
      <c r="F586"/>
      <c r="G586"/>
      <c r="H586"/>
      <c r="I586"/>
      <c r="J586"/>
      <c r="K586"/>
      <c r="L586"/>
      <c r="M586"/>
      <c r="N586"/>
    </row>
    <row r="587" spans="3:14" x14ac:dyDescent="0.3">
      <c r="C587"/>
      <c r="D587"/>
      <c r="E587"/>
      <c r="F587"/>
      <c r="G587"/>
      <c r="H587"/>
      <c r="I587"/>
      <c r="J587"/>
      <c r="K587"/>
      <c r="L587"/>
      <c r="M587"/>
      <c r="N587"/>
    </row>
    <row r="588" spans="3:14" x14ac:dyDescent="0.3">
      <c r="C588"/>
      <c r="D588"/>
      <c r="E588"/>
      <c r="F588"/>
      <c r="G588"/>
      <c r="H588"/>
      <c r="I588"/>
      <c r="J588"/>
      <c r="K588"/>
      <c r="L588"/>
      <c r="M588"/>
      <c r="N588"/>
    </row>
    <row r="589" spans="3:14" x14ac:dyDescent="0.3">
      <c r="C589"/>
      <c r="D589"/>
      <c r="E589"/>
      <c r="F589"/>
      <c r="G589"/>
      <c r="H589"/>
      <c r="I589"/>
      <c r="J589"/>
      <c r="K589"/>
      <c r="L589"/>
      <c r="M589"/>
      <c r="N589"/>
    </row>
    <row r="590" spans="3:14" x14ac:dyDescent="0.3">
      <c r="C590"/>
      <c r="D590"/>
      <c r="E590"/>
      <c r="F590"/>
      <c r="G590"/>
      <c r="H590"/>
      <c r="I590"/>
      <c r="J590"/>
      <c r="K590"/>
      <c r="L590"/>
      <c r="M590"/>
      <c r="N590"/>
    </row>
    <row r="591" spans="3:14" x14ac:dyDescent="0.3">
      <c r="C591"/>
      <c r="D591"/>
      <c r="E591"/>
      <c r="F591"/>
      <c r="G591"/>
      <c r="H591"/>
      <c r="I591"/>
      <c r="J591"/>
      <c r="K591"/>
      <c r="L591"/>
      <c r="M591"/>
      <c r="N591"/>
    </row>
    <row r="592" spans="3:14" x14ac:dyDescent="0.3">
      <c r="C592"/>
      <c r="D592"/>
      <c r="E592"/>
      <c r="F592"/>
      <c r="G592"/>
      <c r="H592"/>
      <c r="I592"/>
      <c r="J592"/>
      <c r="K592"/>
      <c r="L592"/>
      <c r="M592"/>
      <c r="N592"/>
    </row>
    <row r="593" spans="3:14" x14ac:dyDescent="0.3">
      <c r="C593"/>
      <c r="D593"/>
      <c r="E593"/>
      <c r="F593"/>
      <c r="G593"/>
      <c r="H593"/>
      <c r="I593"/>
      <c r="J593"/>
      <c r="K593"/>
      <c r="L593"/>
      <c r="M593"/>
      <c r="N593"/>
    </row>
    <row r="594" spans="3:14" x14ac:dyDescent="0.3">
      <c r="C594"/>
      <c r="D594"/>
      <c r="E594"/>
      <c r="F594"/>
      <c r="G594"/>
      <c r="H594"/>
      <c r="I594"/>
      <c r="J594"/>
      <c r="K594"/>
      <c r="L594"/>
      <c r="M594"/>
      <c r="N594"/>
    </row>
    <row r="595" spans="3:14" x14ac:dyDescent="0.3">
      <c r="C595"/>
      <c r="D595"/>
      <c r="E595"/>
      <c r="F595"/>
      <c r="G595"/>
      <c r="H595"/>
      <c r="I595"/>
      <c r="J595"/>
      <c r="K595"/>
      <c r="L595"/>
      <c r="M595"/>
      <c r="N595"/>
    </row>
    <row r="596" spans="3:14" x14ac:dyDescent="0.3">
      <c r="C596"/>
      <c r="D596"/>
      <c r="E596"/>
      <c r="F596"/>
      <c r="G596"/>
      <c r="H596"/>
      <c r="I596"/>
      <c r="J596"/>
      <c r="K596"/>
      <c r="L596"/>
      <c r="M596"/>
      <c r="N596"/>
    </row>
    <row r="597" spans="3:14" x14ac:dyDescent="0.3">
      <c r="C597"/>
      <c r="D597"/>
      <c r="E597"/>
      <c r="F597"/>
      <c r="G597"/>
      <c r="H597"/>
      <c r="I597"/>
      <c r="J597"/>
      <c r="K597"/>
      <c r="L597"/>
      <c r="M597"/>
      <c r="N597"/>
    </row>
    <row r="598" spans="3:14" x14ac:dyDescent="0.3">
      <c r="C598"/>
      <c r="D598"/>
      <c r="E598"/>
      <c r="F598"/>
      <c r="G598"/>
      <c r="H598"/>
      <c r="I598"/>
      <c r="J598"/>
      <c r="K598"/>
      <c r="L598"/>
      <c r="M598"/>
      <c r="N598"/>
    </row>
    <row r="599" spans="3:14" x14ac:dyDescent="0.3">
      <c r="C599"/>
      <c r="D599"/>
      <c r="E599"/>
      <c r="F599"/>
      <c r="G599"/>
      <c r="H599"/>
      <c r="I599"/>
      <c r="J599"/>
      <c r="K599"/>
      <c r="L599"/>
      <c r="M599"/>
      <c r="N599"/>
    </row>
    <row r="600" spans="3:14" x14ac:dyDescent="0.3">
      <c r="C600"/>
      <c r="D600"/>
      <c r="E600"/>
      <c r="F600"/>
      <c r="G600"/>
      <c r="H600"/>
      <c r="I600"/>
      <c r="J600"/>
      <c r="K600"/>
      <c r="L600"/>
      <c r="M600"/>
      <c r="N600"/>
    </row>
    <row r="601" spans="3:14" x14ac:dyDescent="0.3">
      <c r="C601"/>
      <c r="D601"/>
      <c r="E601"/>
      <c r="F601"/>
      <c r="G601"/>
      <c r="H601"/>
      <c r="I601"/>
      <c r="J601"/>
      <c r="K601"/>
      <c r="L601"/>
      <c r="M601"/>
      <c r="N601"/>
    </row>
    <row r="602" spans="3:14" x14ac:dyDescent="0.3">
      <c r="C602"/>
      <c r="D602"/>
      <c r="E602"/>
      <c r="F602"/>
      <c r="G602"/>
      <c r="H602"/>
      <c r="I602"/>
      <c r="J602"/>
      <c r="K602"/>
      <c r="L602"/>
      <c r="M602"/>
      <c r="N602"/>
    </row>
    <row r="603" spans="3:14" x14ac:dyDescent="0.3">
      <c r="C603"/>
      <c r="D603"/>
      <c r="E603"/>
      <c r="F603"/>
      <c r="G603"/>
      <c r="H603"/>
      <c r="I603"/>
      <c r="J603"/>
      <c r="K603"/>
      <c r="L603"/>
      <c r="M603"/>
      <c r="N603"/>
    </row>
    <row r="604" spans="3:14" x14ac:dyDescent="0.3">
      <c r="C604"/>
      <c r="D604"/>
      <c r="E604"/>
      <c r="F604"/>
      <c r="G604"/>
      <c r="H604"/>
      <c r="I604"/>
      <c r="J604"/>
      <c r="K604"/>
      <c r="L604"/>
      <c r="M604"/>
      <c r="N604"/>
    </row>
    <row r="605" spans="3:14" x14ac:dyDescent="0.3">
      <c r="C605"/>
      <c r="D605"/>
      <c r="E605"/>
      <c r="F605"/>
      <c r="G605"/>
      <c r="H605"/>
      <c r="I605"/>
      <c r="J605"/>
      <c r="K605"/>
      <c r="L605"/>
      <c r="M605"/>
      <c r="N605"/>
    </row>
    <row r="606" spans="3:14" x14ac:dyDescent="0.3">
      <c r="C606"/>
      <c r="D606"/>
      <c r="E606"/>
      <c r="F606"/>
      <c r="G606"/>
      <c r="H606"/>
      <c r="I606"/>
      <c r="J606"/>
      <c r="K606"/>
      <c r="L606"/>
      <c r="M606"/>
      <c r="N606"/>
    </row>
    <row r="607" spans="3:14" x14ac:dyDescent="0.3">
      <c r="C607"/>
      <c r="D607"/>
      <c r="E607"/>
      <c r="F607"/>
      <c r="G607"/>
      <c r="H607"/>
      <c r="I607"/>
      <c r="J607"/>
      <c r="K607"/>
      <c r="L607"/>
      <c r="M607"/>
      <c r="N607"/>
    </row>
    <row r="608" spans="3:14" x14ac:dyDescent="0.3">
      <c r="C608"/>
      <c r="D608"/>
      <c r="E608"/>
      <c r="F608"/>
      <c r="G608"/>
      <c r="H608"/>
      <c r="I608"/>
      <c r="J608"/>
      <c r="K608"/>
      <c r="L608"/>
      <c r="M608"/>
      <c r="N608"/>
    </row>
    <row r="609" spans="3:14" x14ac:dyDescent="0.3">
      <c r="C609"/>
      <c r="D609"/>
      <c r="E609"/>
      <c r="F609"/>
      <c r="G609"/>
      <c r="H609"/>
      <c r="I609"/>
      <c r="J609"/>
      <c r="K609"/>
      <c r="L609"/>
      <c r="M609"/>
      <c r="N609"/>
    </row>
    <row r="610" spans="3:14" x14ac:dyDescent="0.3">
      <c r="C610"/>
      <c r="D610"/>
      <c r="E610"/>
      <c r="F610"/>
      <c r="G610"/>
      <c r="H610"/>
      <c r="I610"/>
      <c r="J610"/>
      <c r="K610"/>
      <c r="L610"/>
      <c r="M610"/>
      <c r="N610"/>
    </row>
    <row r="611" spans="3:14" x14ac:dyDescent="0.3">
      <c r="C611"/>
      <c r="D611"/>
      <c r="E611"/>
      <c r="F611"/>
      <c r="G611"/>
      <c r="H611"/>
      <c r="I611"/>
      <c r="J611"/>
      <c r="K611"/>
      <c r="L611"/>
      <c r="M611"/>
      <c r="N611"/>
    </row>
    <row r="612" spans="3:14" x14ac:dyDescent="0.3">
      <c r="C612"/>
      <c r="D612"/>
      <c r="E612"/>
      <c r="F612"/>
      <c r="G612"/>
      <c r="H612"/>
      <c r="I612"/>
      <c r="J612"/>
      <c r="K612"/>
      <c r="L612"/>
      <c r="M612"/>
      <c r="N612"/>
    </row>
    <row r="613" spans="3:14" x14ac:dyDescent="0.3">
      <c r="C613"/>
      <c r="D613"/>
      <c r="E613"/>
      <c r="F613"/>
      <c r="G613"/>
      <c r="H613"/>
      <c r="I613"/>
      <c r="J613"/>
      <c r="K613"/>
      <c r="L613"/>
      <c r="M613"/>
      <c r="N613"/>
    </row>
    <row r="614" spans="3:14" x14ac:dyDescent="0.3">
      <c r="C614"/>
      <c r="D614"/>
      <c r="E614"/>
      <c r="F614"/>
      <c r="G614"/>
      <c r="H614"/>
      <c r="I614"/>
      <c r="J614"/>
      <c r="K614"/>
      <c r="L614"/>
      <c r="M614"/>
      <c r="N614"/>
    </row>
    <row r="615" spans="3:14" x14ac:dyDescent="0.3">
      <c r="C615"/>
      <c r="D615"/>
      <c r="E615"/>
      <c r="F615"/>
      <c r="G615"/>
      <c r="H615"/>
      <c r="I615"/>
      <c r="J615"/>
      <c r="K615"/>
      <c r="L615"/>
      <c r="M615"/>
      <c r="N615"/>
    </row>
    <row r="616" spans="3:14" x14ac:dyDescent="0.3">
      <c r="C616"/>
      <c r="D616"/>
      <c r="E616"/>
      <c r="F616"/>
      <c r="G616"/>
      <c r="H616"/>
      <c r="I616"/>
      <c r="J616"/>
      <c r="K616"/>
      <c r="L616"/>
      <c r="M616"/>
      <c r="N616"/>
    </row>
    <row r="617" spans="3:14" x14ac:dyDescent="0.3">
      <c r="C617"/>
      <c r="D617"/>
      <c r="E617"/>
      <c r="F617"/>
      <c r="G617"/>
      <c r="H617"/>
      <c r="I617"/>
      <c r="J617"/>
      <c r="K617"/>
      <c r="L617"/>
      <c r="M617"/>
      <c r="N617"/>
    </row>
    <row r="618" spans="3:14" x14ac:dyDescent="0.3">
      <c r="C618"/>
      <c r="D618"/>
      <c r="E618"/>
      <c r="F618"/>
      <c r="G618"/>
      <c r="H618"/>
      <c r="I618"/>
      <c r="J618"/>
      <c r="K618"/>
      <c r="L618"/>
      <c r="M618"/>
      <c r="N618"/>
    </row>
    <row r="619" spans="3:14" x14ac:dyDescent="0.3">
      <c r="C619"/>
      <c r="D619"/>
      <c r="E619"/>
      <c r="F619"/>
      <c r="G619"/>
      <c r="H619"/>
      <c r="I619"/>
      <c r="J619"/>
      <c r="K619"/>
      <c r="L619"/>
      <c r="M619"/>
      <c r="N619"/>
    </row>
    <row r="620" spans="3:14" x14ac:dyDescent="0.3">
      <c r="C620"/>
      <c r="D620"/>
      <c r="E620"/>
      <c r="F620"/>
      <c r="G620"/>
      <c r="H620"/>
      <c r="I620"/>
      <c r="J620"/>
      <c r="K620"/>
      <c r="L620"/>
      <c r="M620"/>
      <c r="N620"/>
    </row>
    <row r="621" spans="3:14" x14ac:dyDescent="0.3">
      <c r="C621"/>
      <c r="D621"/>
      <c r="E621"/>
      <c r="F621"/>
      <c r="G621"/>
      <c r="H621"/>
      <c r="I621"/>
      <c r="J621"/>
      <c r="K621"/>
      <c r="L621"/>
      <c r="M621"/>
      <c r="N621"/>
    </row>
    <row r="622" spans="3:14" x14ac:dyDescent="0.3">
      <c r="C622"/>
      <c r="D622"/>
      <c r="E622"/>
      <c r="F622"/>
      <c r="G622"/>
      <c r="H622"/>
      <c r="I622"/>
      <c r="J622"/>
      <c r="K622"/>
      <c r="L622"/>
      <c r="M622"/>
      <c r="N622"/>
    </row>
    <row r="623" spans="3:14" x14ac:dyDescent="0.3">
      <c r="C623"/>
      <c r="D623"/>
      <c r="E623"/>
      <c r="F623"/>
      <c r="G623"/>
      <c r="H623"/>
      <c r="I623"/>
      <c r="J623"/>
      <c r="K623"/>
      <c r="L623"/>
      <c r="M623"/>
      <c r="N623"/>
    </row>
    <row r="624" spans="3:14" x14ac:dyDescent="0.3">
      <c r="C624"/>
      <c r="D624"/>
      <c r="E624"/>
      <c r="F624"/>
      <c r="G624"/>
      <c r="H624"/>
      <c r="I624"/>
      <c r="J624"/>
      <c r="K624"/>
      <c r="L624"/>
      <c r="M624"/>
      <c r="N624"/>
    </row>
    <row r="625" spans="3:14" x14ac:dyDescent="0.3">
      <c r="C625"/>
      <c r="D625"/>
      <c r="E625"/>
      <c r="F625"/>
      <c r="G625"/>
      <c r="H625"/>
      <c r="I625"/>
      <c r="J625"/>
      <c r="K625"/>
      <c r="L625"/>
      <c r="M625"/>
      <c r="N625"/>
    </row>
    <row r="626" spans="3:14" x14ac:dyDescent="0.3">
      <c r="C626"/>
      <c r="D626"/>
      <c r="E626"/>
      <c r="F626"/>
      <c r="G626"/>
      <c r="H626"/>
      <c r="I626"/>
      <c r="J626"/>
      <c r="K626"/>
      <c r="L626"/>
      <c r="M626"/>
      <c r="N626"/>
    </row>
    <row r="627" spans="3:14" x14ac:dyDescent="0.3">
      <c r="C627"/>
      <c r="D627"/>
      <c r="E627"/>
      <c r="F627"/>
      <c r="G627"/>
      <c r="H627"/>
      <c r="I627"/>
      <c r="J627"/>
      <c r="K627"/>
      <c r="L627"/>
      <c r="M627"/>
      <c r="N627"/>
    </row>
    <row r="628" spans="3:14" x14ac:dyDescent="0.3">
      <c r="C628"/>
      <c r="D628"/>
      <c r="E628"/>
      <c r="F628"/>
      <c r="G628"/>
      <c r="H628"/>
      <c r="I628"/>
      <c r="J628"/>
      <c r="K628"/>
      <c r="L628"/>
      <c r="M628"/>
      <c r="N628"/>
    </row>
    <row r="629" spans="3:14" x14ac:dyDescent="0.3">
      <c r="C629"/>
      <c r="D629"/>
      <c r="E629"/>
      <c r="F629"/>
      <c r="G629"/>
      <c r="H629"/>
      <c r="I629"/>
      <c r="J629"/>
      <c r="K629"/>
      <c r="L629"/>
      <c r="M629"/>
      <c r="N629"/>
    </row>
    <row r="630" spans="3:14" x14ac:dyDescent="0.3">
      <c r="C630"/>
      <c r="D630"/>
      <c r="E630"/>
      <c r="F630"/>
      <c r="G630"/>
      <c r="H630"/>
      <c r="I630"/>
      <c r="J630"/>
      <c r="K630"/>
      <c r="L630"/>
      <c r="M630"/>
      <c r="N630"/>
    </row>
    <row r="631" spans="3:14" x14ac:dyDescent="0.3">
      <c r="C631"/>
      <c r="D631"/>
      <c r="E631"/>
      <c r="F631"/>
      <c r="G631"/>
      <c r="H631"/>
      <c r="I631"/>
      <c r="J631"/>
      <c r="K631"/>
      <c r="L631"/>
      <c r="M631"/>
      <c r="N631"/>
    </row>
    <row r="632" spans="3:14" x14ac:dyDescent="0.3">
      <c r="C632"/>
      <c r="D632"/>
      <c r="E632"/>
      <c r="F632"/>
      <c r="G632"/>
      <c r="H632"/>
      <c r="I632"/>
      <c r="J632"/>
      <c r="K632"/>
      <c r="L632"/>
      <c r="M632"/>
      <c r="N632"/>
    </row>
    <row r="633" spans="3:14" x14ac:dyDescent="0.3">
      <c r="C633"/>
      <c r="D633"/>
      <c r="E633"/>
      <c r="F633"/>
      <c r="G633"/>
      <c r="H633"/>
      <c r="I633"/>
      <c r="J633"/>
      <c r="K633"/>
      <c r="L633"/>
      <c r="M633"/>
      <c r="N633"/>
    </row>
    <row r="634" spans="3:14" x14ac:dyDescent="0.3">
      <c r="C634"/>
      <c r="D634"/>
      <c r="E634"/>
      <c r="F634"/>
      <c r="G634"/>
      <c r="H634"/>
      <c r="I634"/>
      <c r="J634"/>
      <c r="K634"/>
      <c r="L634"/>
      <c r="M634"/>
      <c r="N634"/>
    </row>
    <row r="635" spans="3:14" x14ac:dyDescent="0.3">
      <c r="C635"/>
      <c r="D635"/>
      <c r="E635"/>
      <c r="F635"/>
      <c r="G635"/>
      <c r="H635"/>
      <c r="I635"/>
      <c r="J635"/>
      <c r="K635"/>
      <c r="L635"/>
      <c r="M635"/>
      <c r="N635"/>
    </row>
    <row r="636" spans="3:14" x14ac:dyDescent="0.3">
      <c r="C636"/>
      <c r="D636"/>
      <c r="E636"/>
      <c r="F636"/>
      <c r="G636"/>
      <c r="H636"/>
      <c r="I636"/>
      <c r="J636"/>
      <c r="K636"/>
      <c r="L636"/>
      <c r="M636"/>
      <c r="N636"/>
    </row>
    <row r="637" spans="3:14" x14ac:dyDescent="0.3">
      <c r="C637"/>
      <c r="D637"/>
      <c r="E637"/>
      <c r="F637"/>
      <c r="G637"/>
      <c r="H637"/>
      <c r="I637"/>
      <c r="J637"/>
      <c r="K637"/>
      <c r="L637"/>
      <c r="M637"/>
      <c r="N637"/>
    </row>
    <row r="638" spans="3:14" x14ac:dyDescent="0.3">
      <c r="C638"/>
      <c r="D638"/>
      <c r="E638"/>
      <c r="F638"/>
      <c r="G638"/>
      <c r="H638"/>
      <c r="I638"/>
      <c r="J638"/>
      <c r="K638"/>
      <c r="L638"/>
      <c r="M638"/>
      <c r="N638"/>
    </row>
    <row r="639" spans="3:14" x14ac:dyDescent="0.3">
      <c r="C639"/>
      <c r="D639"/>
      <c r="E639"/>
      <c r="F639"/>
      <c r="G639"/>
      <c r="H639"/>
      <c r="I639"/>
      <c r="J639"/>
      <c r="K639"/>
      <c r="L639"/>
      <c r="M639"/>
      <c r="N639"/>
    </row>
    <row r="640" spans="3:14" x14ac:dyDescent="0.3">
      <c r="C640"/>
      <c r="D640"/>
      <c r="E640"/>
      <c r="F640"/>
      <c r="G640"/>
      <c r="H640"/>
      <c r="I640"/>
      <c r="J640"/>
      <c r="K640"/>
      <c r="L640"/>
      <c r="M640"/>
      <c r="N640"/>
    </row>
    <row r="641" spans="3:14" x14ac:dyDescent="0.3">
      <c r="C641"/>
      <c r="D641"/>
      <c r="E641"/>
      <c r="F641"/>
      <c r="G641"/>
      <c r="H641"/>
      <c r="I641"/>
      <c r="J641"/>
      <c r="K641"/>
      <c r="L641"/>
      <c r="M641"/>
      <c r="N641"/>
    </row>
    <row r="642" spans="3:14" x14ac:dyDescent="0.3">
      <c r="C642"/>
      <c r="D642"/>
      <c r="E642"/>
      <c r="F642"/>
      <c r="G642"/>
      <c r="H642"/>
      <c r="I642"/>
      <c r="J642"/>
      <c r="K642"/>
      <c r="L642"/>
      <c r="M642"/>
      <c r="N642"/>
    </row>
    <row r="643" spans="3:14" x14ac:dyDescent="0.3">
      <c r="C643"/>
      <c r="D643"/>
      <c r="E643"/>
      <c r="F643"/>
      <c r="G643"/>
      <c r="H643"/>
      <c r="I643"/>
      <c r="J643"/>
      <c r="K643"/>
      <c r="L643"/>
      <c r="M643"/>
      <c r="N643"/>
    </row>
    <row r="644" spans="3:14" x14ac:dyDescent="0.3">
      <c r="C644"/>
      <c r="D644"/>
      <c r="E644"/>
      <c r="F644"/>
      <c r="G644"/>
      <c r="H644"/>
      <c r="I644"/>
      <c r="J644"/>
      <c r="K644"/>
      <c r="L644"/>
      <c r="M644"/>
      <c r="N644"/>
    </row>
    <row r="645" spans="3:14" x14ac:dyDescent="0.3">
      <c r="C645"/>
      <c r="D645"/>
      <c r="E645"/>
      <c r="F645"/>
      <c r="G645"/>
      <c r="H645"/>
      <c r="I645"/>
      <c r="J645"/>
      <c r="K645"/>
      <c r="L645"/>
      <c r="M645"/>
      <c r="N645"/>
    </row>
    <row r="646" spans="3:14" x14ac:dyDescent="0.3">
      <c r="C646"/>
      <c r="D646"/>
      <c r="E646"/>
      <c r="F646"/>
      <c r="G646"/>
      <c r="H646"/>
      <c r="I646"/>
      <c r="J646"/>
      <c r="K646"/>
      <c r="L646"/>
      <c r="M646"/>
      <c r="N646"/>
    </row>
    <row r="647" spans="3:14" x14ac:dyDescent="0.3">
      <c r="C647"/>
      <c r="D647"/>
      <c r="E647"/>
      <c r="F647"/>
      <c r="G647"/>
      <c r="H647"/>
      <c r="I647"/>
      <c r="J647"/>
      <c r="K647"/>
      <c r="L647"/>
      <c r="M647"/>
      <c r="N647"/>
    </row>
    <row r="648" spans="3:14" x14ac:dyDescent="0.3">
      <c r="C648"/>
      <c r="D648"/>
      <c r="E648"/>
      <c r="F648"/>
      <c r="G648"/>
      <c r="H648"/>
      <c r="I648"/>
      <c r="J648"/>
      <c r="K648"/>
      <c r="L648"/>
      <c r="M648"/>
      <c r="N648"/>
    </row>
    <row r="649" spans="3:14" x14ac:dyDescent="0.3">
      <c r="C649"/>
      <c r="D649"/>
      <c r="E649"/>
      <c r="F649"/>
      <c r="G649"/>
      <c r="H649"/>
      <c r="I649"/>
      <c r="J649"/>
      <c r="K649"/>
      <c r="L649"/>
      <c r="M649"/>
      <c r="N649"/>
    </row>
    <row r="650" spans="3:14" x14ac:dyDescent="0.3">
      <c r="C650"/>
      <c r="D650"/>
      <c r="E650"/>
      <c r="F650"/>
      <c r="G650"/>
      <c r="H650"/>
      <c r="I650"/>
      <c r="J650"/>
      <c r="K650"/>
      <c r="L650"/>
      <c r="M650"/>
      <c r="N650"/>
    </row>
    <row r="651" spans="3:14" x14ac:dyDescent="0.3">
      <c r="C651"/>
      <c r="D651"/>
      <c r="E651"/>
      <c r="F651"/>
      <c r="G651"/>
      <c r="H651"/>
      <c r="I651"/>
      <c r="J651"/>
      <c r="K651"/>
      <c r="L651"/>
      <c r="M651"/>
      <c r="N651"/>
    </row>
    <row r="652" spans="3:14" x14ac:dyDescent="0.3">
      <c r="C652"/>
      <c r="D652"/>
      <c r="E652"/>
      <c r="F652"/>
      <c r="G652"/>
      <c r="H652"/>
      <c r="I652"/>
      <c r="J652"/>
      <c r="K652"/>
      <c r="L652"/>
      <c r="M652"/>
      <c r="N652"/>
    </row>
    <row r="653" spans="3:14" x14ac:dyDescent="0.3">
      <c r="C653"/>
      <c r="D653"/>
      <c r="E653"/>
      <c r="F653"/>
      <c r="G653"/>
      <c r="H653"/>
      <c r="I653"/>
      <c r="J653"/>
      <c r="K653"/>
      <c r="L653"/>
      <c r="M653"/>
      <c r="N653"/>
    </row>
    <row r="654" spans="3:14" x14ac:dyDescent="0.3">
      <c r="C654"/>
      <c r="D654"/>
      <c r="E654"/>
      <c r="F654"/>
      <c r="G654"/>
      <c r="H654"/>
      <c r="I654"/>
      <c r="J654"/>
      <c r="K654"/>
      <c r="L654"/>
      <c r="M654"/>
      <c r="N654"/>
    </row>
    <row r="655" spans="3:14" x14ac:dyDescent="0.3">
      <c r="C655"/>
      <c r="D655"/>
      <c r="E655"/>
      <c r="F655"/>
      <c r="G655"/>
      <c r="H655"/>
      <c r="I655"/>
      <c r="J655"/>
      <c r="K655"/>
      <c r="L655"/>
      <c r="M655"/>
      <c r="N655"/>
    </row>
    <row r="656" spans="3:14" x14ac:dyDescent="0.3">
      <c r="C656"/>
      <c r="D656"/>
      <c r="E656"/>
      <c r="F656"/>
      <c r="G656"/>
      <c r="H656"/>
      <c r="I656"/>
      <c r="J656"/>
      <c r="K656"/>
      <c r="L656"/>
      <c r="M656"/>
      <c r="N656"/>
    </row>
    <row r="657" spans="3:14" x14ac:dyDescent="0.3">
      <c r="C657"/>
      <c r="D657"/>
      <c r="E657"/>
      <c r="F657"/>
      <c r="G657"/>
      <c r="H657"/>
      <c r="I657"/>
      <c r="J657"/>
      <c r="K657"/>
      <c r="L657"/>
      <c r="M657"/>
      <c r="N657"/>
    </row>
    <row r="658" spans="3:14" x14ac:dyDescent="0.3">
      <c r="C658"/>
      <c r="D658"/>
      <c r="E658"/>
      <c r="F658"/>
      <c r="G658"/>
      <c r="H658"/>
      <c r="I658"/>
      <c r="J658"/>
      <c r="K658"/>
      <c r="L658"/>
      <c r="M658"/>
      <c r="N658"/>
    </row>
    <row r="659" spans="3:14" x14ac:dyDescent="0.3">
      <c r="C659"/>
      <c r="D659"/>
      <c r="E659"/>
      <c r="F659"/>
      <c r="G659"/>
      <c r="H659"/>
      <c r="I659"/>
      <c r="J659"/>
      <c r="K659"/>
      <c r="L659"/>
      <c r="M659"/>
      <c r="N659"/>
    </row>
    <row r="660" spans="3:14" x14ac:dyDescent="0.3">
      <c r="C660"/>
      <c r="D660"/>
      <c r="E660"/>
      <c r="F660"/>
      <c r="G660"/>
      <c r="H660"/>
      <c r="I660"/>
      <c r="J660"/>
      <c r="K660"/>
      <c r="L660"/>
      <c r="M660"/>
      <c r="N660"/>
    </row>
    <row r="661" spans="3:14" x14ac:dyDescent="0.3">
      <c r="C661"/>
      <c r="D661"/>
      <c r="E661"/>
      <c r="F661"/>
      <c r="G661"/>
      <c r="H661"/>
      <c r="I661"/>
      <c r="J661"/>
      <c r="K661"/>
      <c r="L661"/>
      <c r="M661"/>
      <c r="N661"/>
    </row>
    <row r="662" spans="3:14" x14ac:dyDescent="0.3">
      <c r="C662"/>
      <c r="D662"/>
      <c r="E662"/>
      <c r="F662"/>
      <c r="G662"/>
      <c r="H662"/>
      <c r="I662"/>
      <c r="J662"/>
      <c r="K662"/>
      <c r="L662"/>
      <c r="M662"/>
      <c r="N662"/>
    </row>
    <row r="663" spans="3:14" x14ac:dyDescent="0.3">
      <c r="C663"/>
      <c r="D663"/>
      <c r="E663"/>
      <c r="F663"/>
      <c r="G663"/>
      <c r="H663"/>
      <c r="I663"/>
      <c r="J663"/>
      <c r="K663"/>
      <c r="L663"/>
      <c r="M663"/>
      <c r="N663"/>
    </row>
    <row r="664" spans="3:14" x14ac:dyDescent="0.3">
      <c r="C664"/>
      <c r="D664"/>
      <c r="E664"/>
      <c r="F664"/>
      <c r="G664"/>
      <c r="H664"/>
      <c r="I664"/>
      <c r="J664"/>
      <c r="K664"/>
      <c r="L664"/>
      <c r="M664"/>
      <c r="N664"/>
    </row>
    <row r="665" spans="3:14" x14ac:dyDescent="0.3">
      <c r="C665"/>
      <c r="D665"/>
      <c r="E665"/>
      <c r="F665"/>
      <c r="G665"/>
      <c r="H665"/>
      <c r="I665"/>
      <c r="J665"/>
      <c r="K665"/>
      <c r="L665"/>
      <c r="M665"/>
      <c r="N665"/>
    </row>
    <row r="666" spans="3:14" x14ac:dyDescent="0.3">
      <c r="C666"/>
      <c r="D666"/>
      <c r="E666"/>
      <c r="F666"/>
      <c r="G666"/>
      <c r="H666"/>
      <c r="I666"/>
      <c r="J666"/>
      <c r="K666"/>
      <c r="L666"/>
      <c r="M666"/>
      <c r="N666"/>
    </row>
    <row r="667" spans="3:14" x14ac:dyDescent="0.3">
      <c r="C667"/>
      <c r="D667"/>
      <c r="E667"/>
      <c r="F667"/>
      <c r="G667"/>
      <c r="H667"/>
      <c r="I667"/>
      <c r="J667"/>
      <c r="K667"/>
      <c r="L667"/>
      <c r="M667"/>
      <c r="N667"/>
    </row>
    <row r="668" spans="3:14" x14ac:dyDescent="0.3">
      <c r="C668"/>
      <c r="D668"/>
      <c r="E668"/>
      <c r="F668"/>
      <c r="G668"/>
      <c r="H668"/>
      <c r="I668"/>
      <c r="J668"/>
      <c r="K668"/>
      <c r="L668"/>
      <c r="M668"/>
      <c r="N668"/>
    </row>
    <row r="669" spans="3:14" x14ac:dyDescent="0.3">
      <c r="C669"/>
      <c r="D669"/>
      <c r="E669"/>
      <c r="F669"/>
      <c r="G669"/>
      <c r="H669"/>
      <c r="I669"/>
      <c r="J669"/>
      <c r="K669"/>
      <c r="L669"/>
      <c r="M669"/>
      <c r="N669"/>
    </row>
    <row r="670" spans="3:14" x14ac:dyDescent="0.3">
      <c r="C670"/>
      <c r="D670"/>
      <c r="E670"/>
      <c r="F670"/>
      <c r="G670"/>
      <c r="H670"/>
      <c r="I670"/>
      <c r="J670"/>
      <c r="K670"/>
      <c r="L670"/>
      <c r="M670"/>
      <c r="N670"/>
    </row>
    <row r="671" spans="3:14" x14ac:dyDescent="0.3">
      <c r="C671"/>
      <c r="D671"/>
      <c r="E671"/>
      <c r="F671"/>
      <c r="G671"/>
      <c r="H671"/>
      <c r="I671"/>
      <c r="J671"/>
      <c r="K671"/>
      <c r="L671"/>
      <c r="M671"/>
      <c r="N671"/>
    </row>
    <row r="672" spans="3:14" x14ac:dyDescent="0.3">
      <c r="C672"/>
      <c r="D672"/>
      <c r="E672"/>
      <c r="F672"/>
      <c r="G672"/>
      <c r="H672"/>
      <c r="I672"/>
      <c r="J672"/>
      <c r="K672"/>
      <c r="L672"/>
      <c r="M672"/>
      <c r="N672"/>
    </row>
    <row r="673" spans="3:14" x14ac:dyDescent="0.3">
      <c r="C673"/>
      <c r="D673"/>
      <c r="E673"/>
      <c r="F673"/>
      <c r="G673"/>
      <c r="H673"/>
      <c r="I673"/>
      <c r="J673"/>
      <c r="K673"/>
      <c r="L673"/>
      <c r="M673"/>
      <c r="N673"/>
    </row>
    <row r="674" spans="3:14" x14ac:dyDescent="0.3">
      <c r="C674"/>
      <c r="D674"/>
      <c r="E674"/>
      <c r="F674"/>
      <c r="G674"/>
      <c r="H674"/>
      <c r="I674"/>
      <c r="J674"/>
      <c r="K674"/>
      <c r="L674"/>
      <c r="M674"/>
      <c r="N674"/>
    </row>
    <row r="675" spans="3:14" x14ac:dyDescent="0.3">
      <c r="C675"/>
      <c r="D675"/>
      <c r="E675"/>
      <c r="F675"/>
      <c r="G675"/>
      <c r="H675"/>
      <c r="I675"/>
      <c r="J675"/>
      <c r="K675"/>
      <c r="L675"/>
      <c r="M675"/>
      <c r="N675"/>
    </row>
    <row r="676" spans="3:14" x14ac:dyDescent="0.3">
      <c r="C676"/>
      <c r="D676"/>
      <c r="E676"/>
      <c r="F676"/>
      <c r="G676"/>
      <c r="H676"/>
      <c r="I676"/>
      <c r="J676"/>
      <c r="K676"/>
      <c r="L676"/>
      <c r="M676"/>
      <c r="N676"/>
    </row>
    <row r="677" spans="3:14" x14ac:dyDescent="0.3">
      <c r="C677"/>
      <c r="D677"/>
      <c r="E677"/>
      <c r="F677"/>
      <c r="G677"/>
      <c r="H677"/>
      <c r="I677"/>
      <c r="J677"/>
      <c r="K677"/>
      <c r="L677"/>
      <c r="M677"/>
      <c r="N677"/>
    </row>
    <row r="678" spans="3:14" x14ac:dyDescent="0.3">
      <c r="C678"/>
      <c r="D678"/>
      <c r="E678"/>
      <c r="F678"/>
      <c r="G678"/>
      <c r="H678"/>
      <c r="I678"/>
      <c r="J678"/>
      <c r="K678"/>
      <c r="L678"/>
      <c r="M678"/>
      <c r="N678"/>
    </row>
    <row r="679" spans="3:14" x14ac:dyDescent="0.3">
      <c r="C679"/>
      <c r="D679"/>
      <c r="E679"/>
      <c r="F679"/>
      <c r="G679"/>
      <c r="H679"/>
      <c r="I679"/>
      <c r="J679"/>
      <c r="K679"/>
      <c r="L679"/>
      <c r="M679"/>
      <c r="N679"/>
    </row>
    <row r="680" spans="3:14" x14ac:dyDescent="0.3">
      <c r="C680"/>
      <c r="D680"/>
      <c r="E680"/>
      <c r="F680"/>
      <c r="G680"/>
      <c r="H680"/>
      <c r="I680"/>
      <c r="J680"/>
      <c r="K680"/>
      <c r="L680"/>
      <c r="M680"/>
      <c r="N680"/>
    </row>
    <row r="681" spans="3:14" x14ac:dyDescent="0.3">
      <c r="C681"/>
      <c r="D681"/>
      <c r="E681"/>
      <c r="F681"/>
      <c r="G681"/>
      <c r="H681"/>
      <c r="I681"/>
      <c r="J681"/>
      <c r="K681"/>
      <c r="L681"/>
      <c r="M681"/>
      <c r="N681"/>
    </row>
    <row r="682" spans="3:14" x14ac:dyDescent="0.3">
      <c r="C682"/>
      <c r="D682"/>
      <c r="E682"/>
      <c r="F682"/>
      <c r="G682"/>
      <c r="H682"/>
      <c r="I682"/>
      <c r="J682"/>
      <c r="K682"/>
      <c r="L682"/>
      <c r="M682"/>
      <c r="N682"/>
    </row>
    <row r="683" spans="3:14" x14ac:dyDescent="0.3">
      <c r="C683"/>
      <c r="D683"/>
      <c r="E683"/>
      <c r="F683"/>
      <c r="G683"/>
      <c r="H683"/>
      <c r="I683"/>
      <c r="J683"/>
      <c r="K683"/>
      <c r="L683"/>
      <c r="M683"/>
      <c r="N683"/>
    </row>
    <row r="684" spans="3:14" x14ac:dyDescent="0.3">
      <c r="C684"/>
      <c r="D684"/>
      <c r="E684"/>
      <c r="F684"/>
      <c r="G684"/>
      <c r="H684"/>
      <c r="I684"/>
      <c r="J684"/>
      <c r="K684"/>
      <c r="L684"/>
      <c r="M684"/>
      <c r="N684"/>
    </row>
    <row r="685" spans="3:14" x14ac:dyDescent="0.3">
      <c r="C685"/>
      <c r="D685"/>
      <c r="E685"/>
      <c r="F685"/>
      <c r="G685"/>
      <c r="H685"/>
      <c r="I685"/>
      <c r="J685"/>
      <c r="K685"/>
      <c r="L685"/>
      <c r="M685"/>
      <c r="N685"/>
    </row>
    <row r="686" spans="3:14" x14ac:dyDescent="0.3">
      <c r="C686"/>
      <c r="D686"/>
      <c r="E686"/>
      <c r="F686"/>
      <c r="G686"/>
      <c r="H686"/>
      <c r="I686"/>
      <c r="J686"/>
      <c r="K686"/>
      <c r="L686"/>
      <c r="M686"/>
      <c r="N686"/>
    </row>
    <row r="687" spans="3:14" x14ac:dyDescent="0.3">
      <c r="C687"/>
      <c r="D687"/>
      <c r="E687"/>
      <c r="F687"/>
      <c r="G687"/>
      <c r="H687"/>
      <c r="I687"/>
      <c r="J687"/>
      <c r="K687"/>
      <c r="L687"/>
      <c r="M687"/>
      <c r="N687"/>
    </row>
    <row r="688" spans="3:14" x14ac:dyDescent="0.3">
      <c r="C688"/>
      <c r="D688"/>
      <c r="E688"/>
      <c r="F688"/>
      <c r="G688"/>
      <c r="H688"/>
      <c r="I688"/>
      <c r="J688"/>
      <c r="K688"/>
      <c r="L688"/>
      <c r="M688"/>
      <c r="N688"/>
    </row>
    <row r="689" spans="3:14" x14ac:dyDescent="0.3">
      <c r="C689"/>
      <c r="D689"/>
      <c r="E689"/>
      <c r="F689"/>
      <c r="G689"/>
      <c r="H689"/>
      <c r="I689"/>
      <c r="J689"/>
      <c r="K689"/>
      <c r="L689"/>
      <c r="M689"/>
      <c r="N689"/>
    </row>
    <row r="690" spans="3:14" x14ac:dyDescent="0.3">
      <c r="C690"/>
      <c r="D690"/>
      <c r="E690"/>
      <c r="F690"/>
      <c r="G690"/>
      <c r="H690"/>
      <c r="I690"/>
      <c r="J690"/>
      <c r="K690"/>
      <c r="L690"/>
      <c r="M690"/>
      <c r="N690"/>
    </row>
    <row r="691" spans="3:14" x14ac:dyDescent="0.3">
      <c r="C691"/>
      <c r="D691"/>
      <c r="E691"/>
      <c r="F691"/>
      <c r="G691"/>
      <c r="H691"/>
      <c r="I691"/>
      <c r="J691"/>
      <c r="K691"/>
      <c r="L691"/>
      <c r="M691"/>
      <c r="N691"/>
    </row>
    <row r="692" spans="3:14" x14ac:dyDescent="0.3">
      <c r="C692"/>
      <c r="D692"/>
      <c r="E692"/>
      <c r="F692"/>
      <c r="G692"/>
      <c r="H692"/>
      <c r="I692"/>
      <c r="J692"/>
      <c r="K692"/>
      <c r="L692"/>
      <c r="M692"/>
      <c r="N692"/>
    </row>
    <row r="693" spans="3:14" x14ac:dyDescent="0.3">
      <c r="C693"/>
      <c r="D693"/>
      <c r="E693"/>
      <c r="F693"/>
      <c r="G693"/>
      <c r="H693"/>
      <c r="I693"/>
      <c r="J693"/>
      <c r="K693"/>
      <c r="L693"/>
      <c r="M693"/>
      <c r="N693"/>
    </row>
    <row r="694" spans="3:14" x14ac:dyDescent="0.3">
      <c r="C694"/>
      <c r="D694"/>
      <c r="E694"/>
      <c r="F694"/>
      <c r="G694"/>
      <c r="H694"/>
      <c r="I694"/>
      <c r="J694"/>
      <c r="K694"/>
      <c r="L694"/>
      <c r="M694"/>
      <c r="N694"/>
    </row>
    <row r="695" spans="3:14" x14ac:dyDescent="0.3">
      <c r="C695"/>
      <c r="D695"/>
      <c r="E695"/>
      <c r="F695"/>
      <c r="G695"/>
      <c r="H695"/>
      <c r="I695"/>
      <c r="J695"/>
      <c r="K695"/>
      <c r="L695"/>
      <c r="M695"/>
      <c r="N695"/>
    </row>
    <row r="696" spans="3:14" x14ac:dyDescent="0.3">
      <c r="C696"/>
      <c r="D696"/>
      <c r="E696"/>
      <c r="F696"/>
      <c r="G696"/>
      <c r="H696"/>
      <c r="I696"/>
      <c r="J696"/>
      <c r="K696"/>
      <c r="L696"/>
      <c r="M696"/>
      <c r="N696"/>
    </row>
    <row r="697" spans="3:14" x14ac:dyDescent="0.3">
      <c r="C697"/>
      <c r="D697"/>
      <c r="E697"/>
      <c r="F697"/>
      <c r="G697"/>
      <c r="H697"/>
      <c r="I697"/>
      <c r="J697"/>
      <c r="K697"/>
      <c r="L697"/>
      <c r="M697"/>
      <c r="N697"/>
    </row>
    <row r="698" spans="3:14" x14ac:dyDescent="0.3">
      <c r="C698"/>
      <c r="D698"/>
      <c r="E698"/>
      <c r="F698"/>
      <c r="G698"/>
      <c r="H698"/>
      <c r="I698"/>
      <c r="J698"/>
      <c r="K698"/>
      <c r="L698"/>
      <c r="M698"/>
      <c r="N698"/>
    </row>
    <row r="699" spans="3:14" x14ac:dyDescent="0.3">
      <c r="C699"/>
      <c r="D699"/>
      <c r="E699"/>
      <c r="F699"/>
      <c r="G699"/>
      <c r="H699"/>
      <c r="I699"/>
      <c r="J699"/>
      <c r="K699"/>
      <c r="L699"/>
      <c r="M699"/>
      <c r="N699"/>
    </row>
    <row r="700" spans="3:14" x14ac:dyDescent="0.3">
      <c r="C700"/>
      <c r="D700"/>
      <c r="E700"/>
      <c r="F700"/>
      <c r="G700"/>
      <c r="H700"/>
      <c r="I700"/>
      <c r="J700"/>
      <c r="K700"/>
      <c r="L700"/>
      <c r="M700"/>
      <c r="N700"/>
    </row>
    <row r="701" spans="3:14" x14ac:dyDescent="0.3">
      <c r="C701"/>
      <c r="D701"/>
      <c r="E701"/>
      <c r="F701"/>
      <c r="G701"/>
      <c r="H701"/>
      <c r="I701"/>
      <c r="J701"/>
      <c r="K701"/>
      <c r="L701"/>
      <c r="M701"/>
      <c r="N701"/>
    </row>
    <row r="702" spans="3:14" x14ac:dyDescent="0.3">
      <c r="C702"/>
      <c r="D702"/>
      <c r="E702"/>
      <c r="F702"/>
      <c r="G702"/>
      <c r="H702"/>
      <c r="I702"/>
      <c r="J702"/>
      <c r="K702"/>
      <c r="L702"/>
      <c r="M702"/>
      <c r="N702"/>
    </row>
    <row r="703" spans="3:14" x14ac:dyDescent="0.3">
      <c r="C703"/>
      <c r="D703"/>
      <c r="E703"/>
      <c r="F703"/>
      <c r="G703"/>
      <c r="H703"/>
      <c r="I703"/>
      <c r="J703"/>
      <c r="K703"/>
      <c r="L703"/>
      <c r="M703"/>
      <c r="N703"/>
    </row>
    <row r="704" spans="3:14" x14ac:dyDescent="0.3">
      <c r="C704"/>
      <c r="D704"/>
      <c r="E704"/>
      <c r="F704"/>
      <c r="G704"/>
      <c r="H704"/>
      <c r="I704"/>
      <c r="J704"/>
      <c r="K704"/>
      <c r="L704"/>
      <c r="M704"/>
      <c r="N704"/>
    </row>
    <row r="705" spans="3:14" x14ac:dyDescent="0.3">
      <c r="C705"/>
      <c r="D705"/>
      <c r="E705"/>
      <c r="F705"/>
      <c r="G705"/>
      <c r="H705"/>
      <c r="I705"/>
      <c r="J705"/>
      <c r="K705"/>
      <c r="L705"/>
      <c r="M705"/>
      <c r="N705"/>
    </row>
    <row r="706" spans="3:14" x14ac:dyDescent="0.3">
      <c r="C706"/>
      <c r="D706"/>
      <c r="E706"/>
      <c r="F706"/>
      <c r="G706"/>
      <c r="H706"/>
      <c r="I706"/>
      <c r="J706"/>
      <c r="K706"/>
      <c r="L706"/>
      <c r="M706"/>
      <c r="N706"/>
    </row>
    <row r="707" spans="3:14" x14ac:dyDescent="0.3">
      <c r="C707"/>
      <c r="D707"/>
      <c r="E707"/>
      <c r="F707"/>
      <c r="G707"/>
      <c r="H707"/>
      <c r="I707"/>
      <c r="J707"/>
      <c r="K707"/>
      <c r="L707"/>
      <c r="M707"/>
      <c r="N707"/>
    </row>
    <row r="708" spans="3:14" x14ac:dyDescent="0.3">
      <c r="C708"/>
      <c r="D708"/>
      <c r="E708"/>
      <c r="F708"/>
      <c r="G708"/>
      <c r="H708"/>
      <c r="I708"/>
      <c r="J708"/>
      <c r="K708"/>
      <c r="L708"/>
      <c r="M708"/>
      <c r="N708"/>
    </row>
    <row r="709" spans="3:14" x14ac:dyDescent="0.3">
      <c r="C709"/>
      <c r="D709"/>
      <c r="E709"/>
      <c r="F709"/>
      <c r="G709"/>
      <c r="H709"/>
      <c r="I709"/>
      <c r="J709"/>
      <c r="K709"/>
      <c r="L709"/>
      <c r="M709"/>
      <c r="N709"/>
    </row>
    <row r="710" spans="3:14" x14ac:dyDescent="0.3">
      <c r="C710"/>
      <c r="D710"/>
      <c r="E710"/>
      <c r="F710"/>
      <c r="G710"/>
      <c r="H710"/>
      <c r="I710"/>
      <c r="J710"/>
      <c r="K710"/>
      <c r="L710"/>
      <c r="M710"/>
      <c r="N710"/>
    </row>
    <row r="711" spans="3:14" x14ac:dyDescent="0.3">
      <c r="C711"/>
      <c r="D711"/>
      <c r="E711"/>
      <c r="F711"/>
      <c r="G711"/>
      <c r="H711"/>
      <c r="I711"/>
      <c r="J711"/>
      <c r="K711"/>
      <c r="L711"/>
      <c r="M711"/>
      <c r="N711"/>
    </row>
    <row r="712" spans="3:14" x14ac:dyDescent="0.3">
      <c r="C712"/>
      <c r="D712"/>
      <c r="E712"/>
      <c r="F712"/>
      <c r="G712"/>
      <c r="H712"/>
      <c r="I712"/>
      <c r="J712"/>
      <c r="K712"/>
      <c r="L712"/>
      <c r="M712"/>
      <c r="N712"/>
    </row>
    <row r="713" spans="3:14" x14ac:dyDescent="0.3">
      <c r="C713"/>
      <c r="D713"/>
      <c r="E713"/>
      <c r="F713"/>
      <c r="G713"/>
      <c r="H713"/>
      <c r="I713"/>
      <c r="J713"/>
      <c r="K713"/>
      <c r="L713"/>
      <c r="M713"/>
      <c r="N713"/>
    </row>
    <row r="714" spans="3:14" x14ac:dyDescent="0.3">
      <c r="C714"/>
      <c r="D714"/>
      <c r="E714"/>
      <c r="F714"/>
      <c r="G714"/>
      <c r="H714"/>
      <c r="I714"/>
      <c r="J714"/>
      <c r="K714"/>
      <c r="L714"/>
      <c r="M714"/>
      <c r="N714"/>
    </row>
    <row r="715" spans="3:14" x14ac:dyDescent="0.3">
      <c r="C715"/>
      <c r="D715"/>
      <c r="E715"/>
      <c r="F715"/>
      <c r="G715"/>
      <c r="H715"/>
      <c r="I715"/>
      <c r="J715"/>
      <c r="K715"/>
      <c r="L715"/>
      <c r="M715"/>
      <c r="N715"/>
    </row>
    <row r="716" spans="3:14" x14ac:dyDescent="0.3">
      <c r="C716"/>
      <c r="D716"/>
      <c r="E716"/>
      <c r="F716"/>
      <c r="G716"/>
      <c r="H716"/>
      <c r="I716"/>
      <c r="J716"/>
      <c r="K716"/>
      <c r="L716"/>
      <c r="M716"/>
      <c r="N716"/>
    </row>
    <row r="717" spans="3:14" x14ac:dyDescent="0.3">
      <c r="C717"/>
      <c r="D717"/>
      <c r="E717"/>
      <c r="F717"/>
      <c r="G717"/>
      <c r="H717"/>
      <c r="I717"/>
      <c r="J717"/>
      <c r="K717"/>
      <c r="L717"/>
      <c r="M717"/>
      <c r="N717"/>
    </row>
    <row r="718" spans="3:14" x14ac:dyDescent="0.3">
      <c r="C718"/>
      <c r="D718"/>
      <c r="E718"/>
      <c r="F718"/>
      <c r="G718"/>
      <c r="H718"/>
      <c r="I718"/>
      <c r="J718"/>
      <c r="K718"/>
      <c r="L718"/>
      <c r="M718"/>
      <c r="N718"/>
    </row>
    <row r="719" spans="3:14" x14ac:dyDescent="0.3">
      <c r="C719"/>
      <c r="D719"/>
      <c r="E719"/>
      <c r="F719"/>
      <c r="G719"/>
      <c r="H719"/>
      <c r="I719"/>
      <c r="J719"/>
      <c r="K719"/>
      <c r="L719"/>
      <c r="M719"/>
      <c r="N719"/>
    </row>
    <row r="720" spans="3:14" x14ac:dyDescent="0.3">
      <c r="C720"/>
      <c r="D720"/>
      <c r="E720"/>
      <c r="F720"/>
      <c r="G720"/>
      <c r="H720"/>
      <c r="I720"/>
      <c r="J720"/>
      <c r="K720"/>
      <c r="L720"/>
      <c r="M720"/>
      <c r="N720"/>
    </row>
    <row r="721" spans="3:14" x14ac:dyDescent="0.3">
      <c r="C721"/>
      <c r="D721"/>
      <c r="E721"/>
      <c r="F721"/>
      <c r="G721"/>
      <c r="H721"/>
      <c r="I721"/>
      <c r="J721"/>
      <c r="K721"/>
      <c r="L721"/>
      <c r="M721"/>
      <c r="N721"/>
    </row>
    <row r="722" spans="3:14" x14ac:dyDescent="0.3">
      <c r="C722"/>
      <c r="D722"/>
      <c r="E722"/>
      <c r="F722"/>
      <c r="G722"/>
      <c r="H722"/>
      <c r="I722"/>
      <c r="J722"/>
      <c r="K722"/>
      <c r="L722"/>
      <c r="M722"/>
      <c r="N722"/>
    </row>
    <row r="723" spans="3:14" x14ac:dyDescent="0.3">
      <c r="C723"/>
      <c r="D723"/>
      <c r="E723"/>
      <c r="F723"/>
      <c r="G723"/>
      <c r="H723"/>
      <c r="I723"/>
      <c r="J723"/>
      <c r="K723"/>
      <c r="L723"/>
      <c r="M723"/>
      <c r="N723"/>
    </row>
    <row r="724" spans="3:14" x14ac:dyDescent="0.3">
      <c r="C724"/>
      <c r="D724"/>
      <c r="E724"/>
      <c r="F724"/>
      <c r="G724"/>
      <c r="H724"/>
      <c r="I724"/>
      <c r="J724"/>
      <c r="K724"/>
      <c r="L724"/>
      <c r="M724"/>
      <c r="N724"/>
    </row>
    <row r="725" spans="3:14" x14ac:dyDescent="0.3">
      <c r="C725"/>
      <c r="D725"/>
      <c r="E725"/>
      <c r="F725"/>
      <c r="G725"/>
      <c r="H725"/>
      <c r="I725"/>
      <c r="J725"/>
      <c r="K725"/>
      <c r="L725"/>
      <c r="M725"/>
      <c r="N725"/>
    </row>
    <row r="726" spans="3:14" x14ac:dyDescent="0.3">
      <c r="C726"/>
      <c r="D726"/>
      <c r="E726"/>
      <c r="F726"/>
      <c r="G726"/>
      <c r="H726"/>
      <c r="I726"/>
      <c r="J726"/>
      <c r="K726"/>
      <c r="L726"/>
      <c r="M726"/>
      <c r="N726"/>
    </row>
    <row r="727" spans="3:14" x14ac:dyDescent="0.3">
      <c r="C727"/>
      <c r="D727"/>
      <c r="E727"/>
      <c r="F727"/>
      <c r="G727"/>
      <c r="H727"/>
      <c r="I727"/>
      <c r="J727"/>
      <c r="K727"/>
      <c r="L727"/>
      <c r="M727"/>
      <c r="N727"/>
    </row>
    <row r="728" spans="3:14" x14ac:dyDescent="0.3">
      <c r="C728"/>
      <c r="D728"/>
      <c r="E728"/>
      <c r="F728"/>
      <c r="G728"/>
      <c r="H728"/>
      <c r="I728"/>
      <c r="J728"/>
      <c r="K728"/>
      <c r="L728"/>
      <c r="M728"/>
      <c r="N728"/>
    </row>
    <row r="729" spans="3:14" x14ac:dyDescent="0.3">
      <c r="C729"/>
      <c r="D729"/>
      <c r="E729"/>
      <c r="F729"/>
      <c r="G729"/>
      <c r="H729"/>
      <c r="I729"/>
      <c r="J729"/>
      <c r="K729"/>
      <c r="L729"/>
      <c r="M729"/>
      <c r="N729"/>
    </row>
    <row r="730" spans="3:14" x14ac:dyDescent="0.3">
      <c r="C730"/>
      <c r="D730"/>
      <c r="E730"/>
      <c r="F730"/>
      <c r="G730"/>
      <c r="H730"/>
      <c r="I730"/>
      <c r="J730"/>
      <c r="K730"/>
      <c r="L730"/>
      <c r="M730"/>
      <c r="N730"/>
    </row>
    <row r="731" spans="3:14" x14ac:dyDescent="0.3">
      <c r="C731"/>
      <c r="D731"/>
      <c r="E731"/>
      <c r="F731"/>
      <c r="G731"/>
      <c r="H731"/>
      <c r="I731"/>
      <c r="J731"/>
      <c r="K731"/>
      <c r="L731"/>
      <c r="M731"/>
      <c r="N731"/>
    </row>
    <row r="732" spans="3:14" x14ac:dyDescent="0.3">
      <c r="C732"/>
      <c r="D732"/>
      <c r="E732"/>
      <c r="F732"/>
      <c r="G732"/>
      <c r="H732"/>
      <c r="I732"/>
      <c r="J732"/>
      <c r="K732"/>
      <c r="L732"/>
      <c r="M732"/>
      <c r="N732"/>
    </row>
    <row r="733" spans="3:14" x14ac:dyDescent="0.3">
      <c r="C733"/>
      <c r="D733"/>
      <c r="E733"/>
      <c r="F733"/>
      <c r="G733"/>
      <c r="H733"/>
      <c r="I733"/>
      <c r="J733"/>
      <c r="K733"/>
      <c r="L733"/>
      <c r="M733"/>
      <c r="N733"/>
    </row>
    <row r="734" spans="3:14" x14ac:dyDescent="0.3">
      <c r="C734"/>
      <c r="D734"/>
      <c r="E734"/>
      <c r="F734"/>
      <c r="G734"/>
      <c r="H734"/>
      <c r="I734"/>
      <c r="J734"/>
      <c r="K734"/>
      <c r="L734"/>
      <c r="M734"/>
      <c r="N734"/>
    </row>
    <row r="735" spans="3:14" x14ac:dyDescent="0.3">
      <c r="C735"/>
      <c r="D735"/>
      <c r="E735"/>
      <c r="F735"/>
      <c r="G735"/>
      <c r="H735"/>
      <c r="I735"/>
      <c r="J735"/>
      <c r="K735"/>
      <c r="L735"/>
      <c r="M735"/>
      <c r="N735"/>
    </row>
    <row r="736" spans="3:14" x14ac:dyDescent="0.3">
      <c r="C736"/>
      <c r="D736"/>
      <c r="E736"/>
      <c r="F736"/>
      <c r="G736"/>
      <c r="H736"/>
      <c r="I736"/>
      <c r="J736"/>
      <c r="K736"/>
      <c r="L736"/>
      <c r="M736"/>
      <c r="N736"/>
    </row>
    <row r="737" spans="3:14" x14ac:dyDescent="0.3">
      <c r="C737"/>
      <c r="D737"/>
      <c r="E737"/>
      <c r="F737"/>
      <c r="G737"/>
      <c r="H737"/>
      <c r="I737"/>
      <c r="J737"/>
      <c r="K737"/>
      <c r="L737"/>
      <c r="M737"/>
      <c r="N737"/>
    </row>
    <row r="738" spans="3:14" x14ac:dyDescent="0.3">
      <c r="C738"/>
      <c r="D738"/>
      <c r="E738"/>
      <c r="F738"/>
      <c r="G738"/>
      <c r="H738"/>
      <c r="I738"/>
      <c r="J738"/>
      <c r="K738"/>
      <c r="L738"/>
      <c r="M738"/>
      <c r="N738"/>
    </row>
    <row r="739" spans="3:14" x14ac:dyDescent="0.3">
      <c r="C739"/>
      <c r="D739"/>
      <c r="E739"/>
      <c r="F739"/>
      <c r="G739"/>
      <c r="H739"/>
      <c r="I739"/>
      <c r="J739"/>
      <c r="K739"/>
      <c r="L739"/>
      <c r="M739"/>
      <c r="N739"/>
    </row>
    <row r="740" spans="3:14" x14ac:dyDescent="0.3">
      <c r="C740"/>
      <c r="D740"/>
      <c r="E740"/>
      <c r="F740"/>
      <c r="G740"/>
      <c r="H740"/>
      <c r="I740"/>
      <c r="J740"/>
      <c r="K740"/>
      <c r="L740"/>
      <c r="M740"/>
      <c r="N740"/>
    </row>
    <row r="741" spans="3:14" x14ac:dyDescent="0.3">
      <c r="C741"/>
      <c r="D741"/>
      <c r="E741"/>
      <c r="F741"/>
      <c r="G741"/>
      <c r="H741"/>
      <c r="I741"/>
      <c r="J741"/>
      <c r="K741"/>
      <c r="L741"/>
      <c r="M741"/>
      <c r="N741"/>
    </row>
    <row r="742" spans="3:14" x14ac:dyDescent="0.3">
      <c r="C742"/>
      <c r="D742"/>
      <c r="E742"/>
      <c r="F742"/>
      <c r="G742"/>
      <c r="H742"/>
      <c r="I742"/>
      <c r="J742"/>
      <c r="K742"/>
      <c r="L742"/>
      <c r="M742"/>
      <c r="N742"/>
    </row>
    <row r="743" spans="3:14" x14ac:dyDescent="0.3">
      <c r="C743"/>
      <c r="D743"/>
      <c r="E743"/>
      <c r="F743"/>
      <c r="G743"/>
      <c r="H743"/>
      <c r="I743"/>
      <c r="J743"/>
      <c r="K743"/>
      <c r="L743"/>
      <c r="M743"/>
      <c r="N743"/>
    </row>
    <row r="744" spans="3:14" x14ac:dyDescent="0.3">
      <c r="C744"/>
      <c r="D744"/>
      <c r="E744"/>
      <c r="F744"/>
      <c r="G744"/>
      <c r="H744"/>
      <c r="I744"/>
      <c r="J744"/>
      <c r="K744"/>
      <c r="L744"/>
      <c r="M744"/>
      <c r="N744"/>
    </row>
    <row r="745" spans="3:14" x14ac:dyDescent="0.3">
      <c r="C745"/>
      <c r="D745"/>
      <c r="E745"/>
      <c r="F745"/>
      <c r="G745"/>
      <c r="H745"/>
      <c r="I745"/>
      <c r="J745"/>
      <c r="K745"/>
      <c r="L745"/>
      <c r="M745"/>
      <c r="N745"/>
    </row>
    <row r="746" spans="3:14" x14ac:dyDescent="0.3">
      <c r="C746"/>
      <c r="D746"/>
      <c r="E746"/>
      <c r="F746"/>
      <c r="G746"/>
      <c r="H746"/>
      <c r="I746"/>
      <c r="J746"/>
      <c r="K746"/>
      <c r="L746"/>
      <c r="M746"/>
      <c r="N746"/>
    </row>
    <row r="747" spans="3:14" x14ac:dyDescent="0.3">
      <c r="C747"/>
      <c r="D747"/>
      <c r="E747"/>
      <c r="F747"/>
      <c r="G747"/>
      <c r="H747"/>
      <c r="I747"/>
      <c r="J747"/>
      <c r="K747"/>
      <c r="L747"/>
      <c r="M747"/>
      <c r="N747"/>
    </row>
    <row r="748" spans="3:14" x14ac:dyDescent="0.3">
      <c r="C748"/>
      <c r="D748"/>
      <c r="E748"/>
      <c r="F748"/>
      <c r="G748"/>
      <c r="H748"/>
      <c r="I748"/>
      <c r="J748"/>
      <c r="K748"/>
      <c r="L748"/>
      <c r="M748"/>
      <c r="N748"/>
    </row>
    <row r="749" spans="3:14" x14ac:dyDescent="0.3">
      <c r="C749"/>
      <c r="D749"/>
      <c r="E749"/>
      <c r="F749"/>
      <c r="G749"/>
      <c r="H749"/>
      <c r="I749"/>
      <c r="J749"/>
      <c r="K749"/>
      <c r="L749"/>
      <c r="M749"/>
      <c r="N749"/>
    </row>
    <row r="750" spans="3:14" x14ac:dyDescent="0.3">
      <c r="C750"/>
      <c r="D750"/>
      <c r="E750"/>
      <c r="F750"/>
      <c r="G750"/>
      <c r="H750"/>
      <c r="I750"/>
      <c r="J750"/>
      <c r="K750"/>
      <c r="L750"/>
      <c r="M750"/>
      <c r="N750"/>
    </row>
    <row r="751" spans="3:14" x14ac:dyDescent="0.3">
      <c r="C751"/>
      <c r="D751"/>
      <c r="E751"/>
      <c r="F751"/>
      <c r="G751"/>
      <c r="H751"/>
      <c r="I751"/>
      <c r="J751"/>
      <c r="K751"/>
      <c r="L751"/>
      <c r="M751"/>
      <c r="N751"/>
    </row>
    <row r="752" spans="3:14" x14ac:dyDescent="0.3">
      <c r="C752"/>
      <c r="D752"/>
      <c r="E752"/>
      <c r="F752"/>
      <c r="G752"/>
      <c r="H752"/>
      <c r="I752"/>
      <c r="J752"/>
      <c r="K752"/>
      <c r="L752"/>
      <c r="M752"/>
      <c r="N752"/>
    </row>
    <row r="753" spans="3:14" x14ac:dyDescent="0.3">
      <c r="C753"/>
      <c r="D753"/>
      <c r="E753"/>
      <c r="F753"/>
      <c r="G753"/>
      <c r="H753"/>
      <c r="I753"/>
      <c r="J753"/>
      <c r="K753"/>
      <c r="L753"/>
      <c r="M753"/>
      <c r="N753"/>
    </row>
    <row r="754" spans="3:14" x14ac:dyDescent="0.3">
      <c r="C754"/>
      <c r="D754"/>
      <c r="E754"/>
      <c r="F754"/>
      <c r="G754"/>
      <c r="H754"/>
      <c r="I754"/>
      <c r="J754"/>
      <c r="K754"/>
      <c r="L754"/>
      <c r="M754"/>
      <c r="N754"/>
    </row>
    <row r="755" spans="3:14" x14ac:dyDescent="0.3">
      <c r="C755"/>
      <c r="D755"/>
      <c r="E755"/>
      <c r="F755"/>
      <c r="G755"/>
      <c r="H755"/>
      <c r="I755"/>
      <c r="J755"/>
      <c r="K755"/>
      <c r="L755"/>
      <c r="M755"/>
      <c r="N755"/>
    </row>
    <row r="756" spans="3:14" x14ac:dyDescent="0.3">
      <c r="C756"/>
      <c r="D756"/>
      <c r="E756"/>
      <c r="F756"/>
      <c r="G756"/>
      <c r="H756"/>
      <c r="I756"/>
      <c r="J756"/>
      <c r="K756"/>
      <c r="L756"/>
      <c r="M756"/>
      <c r="N756"/>
    </row>
    <row r="757" spans="3:14" x14ac:dyDescent="0.3">
      <c r="C757"/>
      <c r="D757"/>
      <c r="E757"/>
      <c r="F757"/>
      <c r="G757"/>
      <c r="H757"/>
      <c r="I757"/>
      <c r="J757"/>
      <c r="K757"/>
      <c r="L757"/>
      <c r="M757"/>
      <c r="N757"/>
    </row>
    <row r="758" spans="3:14" x14ac:dyDescent="0.3">
      <c r="C758"/>
      <c r="D758"/>
      <c r="E758"/>
      <c r="F758"/>
      <c r="G758"/>
      <c r="H758"/>
      <c r="I758"/>
      <c r="J758"/>
      <c r="K758"/>
      <c r="L758"/>
      <c r="M758"/>
      <c r="N758"/>
    </row>
    <row r="759" spans="3:14" x14ac:dyDescent="0.3">
      <c r="C759"/>
      <c r="D759"/>
      <c r="E759"/>
      <c r="F759"/>
      <c r="G759"/>
      <c r="H759"/>
      <c r="I759"/>
      <c r="J759"/>
      <c r="K759"/>
      <c r="L759"/>
      <c r="M759"/>
      <c r="N759"/>
    </row>
    <row r="760" spans="3:14" x14ac:dyDescent="0.3">
      <c r="C760"/>
      <c r="D760"/>
      <c r="E760"/>
      <c r="F760"/>
      <c r="G760"/>
      <c r="H760"/>
      <c r="I760"/>
      <c r="J760"/>
      <c r="K760"/>
      <c r="L760"/>
      <c r="M760"/>
      <c r="N760"/>
    </row>
    <row r="761" spans="3:14" x14ac:dyDescent="0.3">
      <c r="C761"/>
      <c r="D761"/>
      <c r="E761"/>
      <c r="F761"/>
      <c r="G761"/>
      <c r="H761"/>
      <c r="I761"/>
      <c r="J761"/>
      <c r="K761"/>
      <c r="L761"/>
      <c r="M761"/>
      <c r="N761"/>
    </row>
    <row r="762" spans="3:14" x14ac:dyDescent="0.3">
      <c r="C762"/>
      <c r="D762"/>
      <c r="E762"/>
      <c r="F762"/>
      <c r="G762"/>
      <c r="H762"/>
      <c r="I762"/>
      <c r="J762"/>
      <c r="K762"/>
      <c r="L762"/>
      <c r="M762"/>
      <c r="N762"/>
    </row>
    <row r="763" spans="3:14" x14ac:dyDescent="0.3">
      <c r="C763"/>
      <c r="D763"/>
      <c r="E763"/>
      <c r="F763"/>
      <c r="G763"/>
      <c r="H763"/>
      <c r="I763"/>
      <c r="J763"/>
      <c r="K763"/>
      <c r="L763"/>
      <c r="M763"/>
      <c r="N763"/>
    </row>
    <row r="764" spans="3:14" x14ac:dyDescent="0.3">
      <c r="C764"/>
      <c r="D764"/>
      <c r="E764"/>
      <c r="F764"/>
      <c r="G764"/>
      <c r="H764"/>
      <c r="I764"/>
      <c r="J764"/>
      <c r="K764"/>
      <c r="L764"/>
      <c r="M764"/>
      <c r="N764"/>
    </row>
    <row r="765" spans="3:14" x14ac:dyDescent="0.3">
      <c r="C765"/>
      <c r="D765"/>
      <c r="E765"/>
      <c r="F765"/>
      <c r="G765"/>
      <c r="H765"/>
      <c r="I765"/>
      <c r="J765"/>
      <c r="K765"/>
      <c r="L765"/>
      <c r="M765"/>
      <c r="N765"/>
    </row>
    <row r="766" spans="3:14" x14ac:dyDescent="0.3">
      <c r="C766"/>
      <c r="D766"/>
      <c r="E766"/>
      <c r="F766"/>
      <c r="G766"/>
      <c r="H766"/>
      <c r="I766"/>
      <c r="J766"/>
      <c r="K766"/>
      <c r="L766"/>
      <c r="M766"/>
      <c r="N766"/>
    </row>
    <row r="767" spans="3:14" x14ac:dyDescent="0.3">
      <c r="C767"/>
      <c r="D767"/>
      <c r="E767"/>
      <c r="F767"/>
      <c r="G767"/>
      <c r="H767"/>
      <c r="I767"/>
      <c r="J767"/>
      <c r="K767"/>
      <c r="L767"/>
      <c r="M767"/>
      <c r="N767"/>
    </row>
    <row r="768" spans="3:14" x14ac:dyDescent="0.3">
      <c r="C768"/>
      <c r="D768"/>
      <c r="E768"/>
      <c r="F768"/>
      <c r="G768"/>
      <c r="H768"/>
      <c r="I768"/>
      <c r="J768"/>
      <c r="K768"/>
      <c r="L768"/>
      <c r="M768"/>
      <c r="N768"/>
    </row>
    <row r="769" spans="3:14" x14ac:dyDescent="0.3">
      <c r="C769"/>
      <c r="D769"/>
      <c r="E769"/>
      <c r="F769"/>
      <c r="G769"/>
      <c r="H769"/>
      <c r="I769"/>
      <c r="J769"/>
      <c r="K769"/>
      <c r="L769"/>
      <c r="M769"/>
      <c r="N769"/>
    </row>
    <row r="770" spans="3:14" x14ac:dyDescent="0.3">
      <c r="C770"/>
      <c r="D770"/>
      <c r="E770"/>
      <c r="F770"/>
      <c r="G770"/>
      <c r="H770"/>
      <c r="I770"/>
      <c r="J770"/>
      <c r="K770"/>
      <c r="L770"/>
      <c r="M770"/>
      <c r="N770"/>
    </row>
    <row r="771" spans="3:14" x14ac:dyDescent="0.3">
      <c r="C771"/>
      <c r="D771"/>
      <c r="E771"/>
      <c r="F771"/>
      <c r="G771"/>
      <c r="H771"/>
      <c r="I771"/>
      <c r="J771"/>
      <c r="K771"/>
      <c r="L771"/>
      <c r="M771"/>
      <c r="N771"/>
    </row>
    <row r="772" spans="3:14" x14ac:dyDescent="0.3">
      <c r="C772"/>
      <c r="D772"/>
      <c r="E772"/>
      <c r="F772"/>
      <c r="G772"/>
      <c r="H772"/>
      <c r="I772"/>
      <c r="J772"/>
      <c r="K772"/>
      <c r="L772"/>
      <c r="M772"/>
      <c r="N772"/>
    </row>
    <row r="773" spans="3:14" x14ac:dyDescent="0.3">
      <c r="C773"/>
      <c r="D773"/>
      <c r="E773"/>
      <c r="F773"/>
      <c r="G773"/>
      <c r="H773"/>
      <c r="I773"/>
      <c r="J773"/>
      <c r="K773"/>
      <c r="L773"/>
      <c r="M773"/>
      <c r="N773"/>
    </row>
    <row r="774" spans="3:14" x14ac:dyDescent="0.3">
      <c r="C774"/>
      <c r="D774"/>
      <c r="E774"/>
      <c r="F774"/>
      <c r="G774"/>
      <c r="H774"/>
      <c r="I774"/>
      <c r="J774"/>
      <c r="K774"/>
      <c r="L774"/>
      <c r="M774"/>
      <c r="N774"/>
    </row>
    <row r="775" spans="3:14" x14ac:dyDescent="0.3">
      <c r="C775"/>
      <c r="D775"/>
      <c r="E775"/>
      <c r="F775"/>
      <c r="G775"/>
      <c r="H775"/>
      <c r="I775"/>
      <c r="J775"/>
      <c r="K775"/>
      <c r="L775"/>
      <c r="M775"/>
      <c r="N775"/>
    </row>
    <row r="776" spans="3:14" x14ac:dyDescent="0.3">
      <c r="C776"/>
      <c r="D776"/>
      <c r="E776"/>
      <c r="F776"/>
      <c r="G776"/>
      <c r="H776"/>
      <c r="I776"/>
      <c r="J776"/>
      <c r="K776"/>
      <c r="L776"/>
      <c r="M776"/>
      <c r="N776"/>
    </row>
    <row r="777" spans="3:14" x14ac:dyDescent="0.3">
      <c r="C777"/>
      <c r="D777"/>
      <c r="E777"/>
      <c r="F777"/>
      <c r="G777"/>
      <c r="H777"/>
      <c r="I777"/>
      <c r="J777"/>
      <c r="K777"/>
      <c r="L777"/>
      <c r="M777"/>
      <c r="N777"/>
    </row>
    <row r="778" spans="3:14" x14ac:dyDescent="0.3">
      <c r="C778"/>
      <c r="D778"/>
      <c r="E778"/>
      <c r="F778"/>
      <c r="G778"/>
      <c r="H778"/>
      <c r="I778"/>
      <c r="J778"/>
      <c r="K778"/>
      <c r="L778"/>
      <c r="M778"/>
      <c r="N778"/>
    </row>
    <row r="779" spans="3:14" x14ac:dyDescent="0.3">
      <c r="C779"/>
      <c r="D779"/>
      <c r="E779"/>
      <c r="F779"/>
      <c r="G779"/>
      <c r="H779"/>
      <c r="I779"/>
      <c r="J779"/>
      <c r="K779"/>
      <c r="L779"/>
      <c r="M779"/>
      <c r="N779"/>
    </row>
    <row r="780" spans="3:14" x14ac:dyDescent="0.3">
      <c r="C780"/>
      <c r="D780"/>
      <c r="E780"/>
      <c r="F780"/>
      <c r="G780"/>
      <c r="H780"/>
      <c r="I780"/>
      <c r="J780"/>
      <c r="K780"/>
      <c r="L780"/>
      <c r="M780"/>
      <c r="N780"/>
    </row>
    <row r="781" spans="3:14" x14ac:dyDescent="0.3">
      <c r="C781"/>
      <c r="D781"/>
      <c r="E781"/>
      <c r="F781"/>
      <c r="G781"/>
      <c r="H781"/>
      <c r="I781"/>
      <c r="J781"/>
      <c r="K781"/>
      <c r="L781"/>
      <c r="M781"/>
      <c r="N781"/>
    </row>
    <row r="782" spans="3:14" x14ac:dyDescent="0.3">
      <c r="C782"/>
      <c r="D782"/>
      <c r="E782"/>
      <c r="F782"/>
      <c r="G782"/>
      <c r="H782"/>
      <c r="I782"/>
      <c r="J782"/>
      <c r="K782"/>
      <c r="L782"/>
      <c r="M782"/>
      <c r="N782"/>
    </row>
    <row r="783" spans="3:14" x14ac:dyDescent="0.3">
      <c r="C783"/>
      <c r="D783"/>
      <c r="E783"/>
      <c r="F783"/>
      <c r="G783"/>
      <c r="H783"/>
      <c r="I783"/>
      <c r="J783"/>
      <c r="K783"/>
      <c r="L783"/>
      <c r="M783"/>
      <c r="N783"/>
    </row>
    <row r="784" spans="3:14" x14ac:dyDescent="0.3">
      <c r="C784"/>
      <c r="D784"/>
      <c r="E784"/>
      <c r="F784"/>
      <c r="G784"/>
      <c r="H784"/>
      <c r="I784"/>
      <c r="J784"/>
      <c r="K784"/>
      <c r="L784"/>
      <c r="M784"/>
      <c r="N784"/>
    </row>
    <row r="785" spans="3:14" x14ac:dyDescent="0.3">
      <c r="C785"/>
      <c r="D785"/>
      <c r="E785"/>
      <c r="F785"/>
      <c r="G785"/>
      <c r="H785"/>
      <c r="I785"/>
      <c r="J785"/>
      <c r="K785"/>
      <c r="L785"/>
      <c r="M785"/>
      <c r="N785"/>
    </row>
    <row r="786" spans="3:14" x14ac:dyDescent="0.3">
      <c r="C786"/>
      <c r="D786"/>
      <c r="E786"/>
      <c r="F786"/>
      <c r="G786"/>
      <c r="H786"/>
      <c r="I786"/>
      <c r="J786"/>
      <c r="K786"/>
      <c r="L786"/>
      <c r="M786"/>
      <c r="N786"/>
    </row>
    <row r="787" spans="3:14" x14ac:dyDescent="0.3">
      <c r="C787"/>
      <c r="D787"/>
      <c r="E787"/>
      <c r="F787"/>
      <c r="G787"/>
      <c r="H787"/>
      <c r="I787"/>
      <c r="J787"/>
      <c r="K787"/>
      <c r="L787"/>
      <c r="M787"/>
      <c r="N787"/>
    </row>
    <row r="788" spans="3:14" x14ac:dyDescent="0.3">
      <c r="C788"/>
      <c r="D788"/>
      <c r="E788"/>
      <c r="F788"/>
      <c r="G788"/>
      <c r="H788"/>
      <c r="I788"/>
      <c r="J788"/>
      <c r="K788"/>
      <c r="L788"/>
      <c r="M788"/>
      <c r="N788"/>
    </row>
    <row r="789" spans="3:14" x14ac:dyDescent="0.3">
      <c r="C789"/>
      <c r="D789"/>
      <c r="E789"/>
      <c r="F789"/>
      <c r="G789"/>
      <c r="H789"/>
      <c r="I789"/>
      <c r="J789"/>
      <c r="K789"/>
      <c r="L789"/>
      <c r="M789"/>
      <c r="N789"/>
    </row>
    <row r="790" spans="3:14" x14ac:dyDescent="0.3">
      <c r="C790"/>
      <c r="D790"/>
      <c r="E790"/>
      <c r="F790"/>
      <c r="G790"/>
      <c r="H790"/>
      <c r="I790"/>
      <c r="J790"/>
      <c r="K790"/>
      <c r="L790"/>
      <c r="M790"/>
      <c r="N790"/>
    </row>
    <row r="791" spans="3:14" x14ac:dyDescent="0.3">
      <c r="C791"/>
      <c r="D791"/>
      <c r="E791"/>
      <c r="F791"/>
      <c r="G791"/>
      <c r="H791"/>
      <c r="I791"/>
      <c r="J791"/>
      <c r="K791"/>
      <c r="L791"/>
      <c r="M791"/>
      <c r="N791"/>
    </row>
    <row r="792" spans="3:14" x14ac:dyDescent="0.3">
      <c r="C792"/>
      <c r="D792"/>
      <c r="E792"/>
      <c r="F792"/>
      <c r="G792"/>
      <c r="H792"/>
      <c r="I792"/>
      <c r="J792"/>
      <c r="K792"/>
      <c r="L792"/>
      <c r="M792"/>
      <c r="N792"/>
    </row>
    <row r="793" spans="3:14" x14ac:dyDescent="0.3">
      <c r="C793"/>
      <c r="D793"/>
      <c r="E793"/>
      <c r="F793"/>
      <c r="G793"/>
      <c r="H793"/>
      <c r="I793"/>
      <c r="J793"/>
      <c r="K793"/>
      <c r="L793"/>
      <c r="M793"/>
      <c r="N793"/>
    </row>
    <row r="794" spans="3:14" x14ac:dyDescent="0.3">
      <c r="C794"/>
      <c r="D794"/>
      <c r="E794"/>
      <c r="F794"/>
      <c r="G794"/>
      <c r="H794"/>
      <c r="I794"/>
      <c r="J794"/>
      <c r="K794"/>
      <c r="L794"/>
      <c r="M794"/>
      <c r="N794"/>
    </row>
    <row r="795" spans="3:14" x14ac:dyDescent="0.3">
      <c r="C795"/>
      <c r="D795"/>
      <c r="E795"/>
      <c r="F795"/>
      <c r="G795"/>
      <c r="H795"/>
      <c r="I795"/>
      <c r="J795"/>
      <c r="K795"/>
      <c r="L795"/>
      <c r="M795"/>
      <c r="N795"/>
    </row>
    <row r="796" spans="3:14" x14ac:dyDescent="0.3">
      <c r="C796"/>
      <c r="D796"/>
      <c r="E796"/>
      <c r="F796"/>
      <c r="G796"/>
      <c r="H796"/>
      <c r="I796"/>
      <c r="J796"/>
      <c r="K796"/>
      <c r="L796"/>
      <c r="M796"/>
      <c r="N796"/>
    </row>
    <row r="797" spans="3:14" x14ac:dyDescent="0.3">
      <c r="C797"/>
      <c r="D797"/>
      <c r="E797"/>
      <c r="F797"/>
      <c r="G797"/>
      <c r="H797"/>
      <c r="I797"/>
      <c r="J797"/>
      <c r="K797"/>
      <c r="L797"/>
      <c r="M797"/>
      <c r="N797"/>
    </row>
    <row r="798" spans="3:14" x14ac:dyDescent="0.3">
      <c r="C798"/>
      <c r="D798"/>
      <c r="E798"/>
      <c r="F798"/>
      <c r="G798"/>
      <c r="H798"/>
      <c r="I798"/>
      <c r="J798"/>
      <c r="K798"/>
      <c r="L798"/>
      <c r="M798"/>
      <c r="N798"/>
    </row>
    <row r="799" spans="3:14" x14ac:dyDescent="0.3">
      <c r="C799"/>
      <c r="D799"/>
      <c r="E799"/>
      <c r="F799"/>
      <c r="G799"/>
      <c r="H799"/>
      <c r="I799"/>
      <c r="J799"/>
      <c r="K799"/>
      <c r="L799"/>
      <c r="M799"/>
      <c r="N799"/>
    </row>
    <row r="800" spans="3:14" x14ac:dyDescent="0.3">
      <c r="C800"/>
      <c r="D800"/>
      <c r="E800"/>
      <c r="F800"/>
      <c r="G800"/>
      <c r="H800"/>
      <c r="I800"/>
      <c r="J800"/>
      <c r="K800"/>
      <c r="L800"/>
      <c r="M800"/>
      <c r="N800"/>
    </row>
    <row r="801" spans="3:14" x14ac:dyDescent="0.3">
      <c r="C801"/>
      <c r="D801"/>
      <c r="E801"/>
      <c r="F801"/>
      <c r="G801"/>
      <c r="H801"/>
      <c r="I801"/>
      <c r="J801"/>
      <c r="K801"/>
      <c r="L801"/>
      <c r="M801"/>
      <c r="N801"/>
    </row>
    <row r="802" spans="3:14" x14ac:dyDescent="0.3">
      <c r="C802"/>
      <c r="D802"/>
      <c r="E802"/>
      <c r="F802"/>
      <c r="G802"/>
      <c r="H802"/>
      <c r="I802"/>
      <c r="J802"/>
      <c r="K802"/>
      <c r="L802"/>
      <c r="M802"/>
      <c r="N802"/>
    </row>
    <row r="803" spans="3:14" x14ac:dyDescent="0.3">
      <c r="C803"/>
      <c r="D803"/>
      <c r="E803"/>
      <c r="F803"/>
      <c r="G803"/>
      <c r="H803"/>
      <c r="I803"/>
      <c r="J803"/>
      <c r="K803"/>
      <c r="L803"/>
      <c r="M803"/>
      <c r="N803"/>
    </row>
    <row r="804" spans="3:14" x14ac:dyDescent="0.3">
      <c r="C804"/>
      <c r="D804"/>
      <c r="E804"/>
      <c r="F804"/>
      <c r="G804"/>
      <c r="H804"/>
      <c r="I804"/>
      <c r="J804"/>
      <c r="K804"/>
      <c r="L804"/>
      <c r="M804"/>
      <c r="N804"/>
    </row>
    <row r="805" spans="3:14" x14ac:dyDescent="0.3">
      <c r="C805"/>
      <c r="D805"/>
      <c r="E805"/>
      <c r="F805"/>
      <c r="G805"/>
      <c r="H805"/>
      <c r="I805"/>
      <c r="J805"/>
      <c r="K805"/>
      <c r="L805"/>
      <c r="M805"/>
      <c r="N805"/>
    </row>
    <row r="806" spans="3:14" x14ac:dyDescent="0.3">
      <c r="C806"/>
      <c r="D806"/>
      <c r="E806"/>
      <c r="F806"/>
      <c r="G806"/>
      <c r="H806"/>
      <c r="I806"/>
      <c r="J806"/>
      <c r="K806"/>
      <c r="L806"/>
      <c r="M806"/>
      <c r="N806"/>
    </row>
    <row r="807" spans="3:14" x14ac:dyDescent="0.3">
      <c r="C807"/>
      <c r="D807"/>
      <c r="E807"/>
      <c r="F807"/>
      <c r="G807"/>
      <c r="H807"/>
      <c r="I807"/>
      <c r="J807"/>
      <c r="K807"/>
      <c r="L807"/>
      <c r="M807"/>
      <c r="N807"/>
    </row>
    <row r="808" spans="3:14" x14ac:dyDescent="0.3">
      <c r="C808"/>
      <c r="D808"/>
      <c r="E808"/>
      <c r="F808"/>
      <c r="G808"/>
      <c r="H808"/>
      <c r="I808"/>
      <c r="J808"/>
      <c r="K808"/>
      <c r="L808"/>
      <c r="M808"/>
      <c r="N808"/>
    </row>
    <row r="809" spans="3:14" x14ac:dyDescent="0.3">
      <c r="C809"/>
      <c r="D809"/>
      <c r="E809"/>
      <c r="F809"/>
      <c r="G809"/>
      <c r="H809"/>
      <c r="I809"/>
      <c r="J809"/>
      <c r="K809"/>
      <c r="L809"/>
      <c r="M809"/>
      <c r="N809"/>
    </row>
    <row r="810" spans="3:14" x14ac:dyDescent="0.3">
      <c r="C810"/>
      <c r="D810"/>
      <c r="E810"/>
      <c r="F810"/>
      <c r="G810"/>
      <c r="H810"/>
      <c r="I810"/>
      <c r="J810"/>
      <c r="K810"/>
      <c r="L810"/>
      <c r="M810"/>
      <c r="N810"/>
    </row>
    <row r="811" spans="3:14" x14ac:dyDescent="0.3">
      <c r="C811"/>
      <c r="D811"/>
      <c r="E811"/>
      <c r="F811"/>
      <c r="G811"/>
      <c r="H811"/>
      <c r="I811"/>
      <c r="J811"/>
      <c r="K811"/>
      <c r="L811"/>
      <c r="M811"/>
      <c r="N811"/>
    </row>
    <row r="812" spans="3:14" x14ac:dyDescent="0.3">
      <c r="C812"/>
      <c r="D812"/>
      <c r="E812"/>
      <c r="F812"/>
      <c r="G812"/>
      <c r="H812"/>
      <c r="I812"/>
      <c r="J812"/>
      <c r="K812"/>
      <c r="L812"/>
      <c r="M812"/>
      <c r="N812"/>
    </row>
    <row r="813" spans="3:14" x14ac:dyDescent="0.3">
      <c r="C813"/>
      <c r="D813"/>
      <c r="E813"/>
      <c r="F813"/>
      <c r="G813"/>
      <c r="H813"/>
      <c r="I813"/>
      <c r="J813"/>
      <c r="K813"/>
      <c r="L813"/>
      <c r="M813"/>
      <c r="N813"/>
    </row>
    <row r="814" spans="3:14" x14ac:dyDescent="0.3">
      <c r="C814"/>
      <c r="D814"/>
      <c r="E814"/>
      <c r="F814"/>
      <c r="G814"/>
      <c r="H814"/>
      <c r="I814"/>
      <c r="J814"/>
      <c r="K814"/>
      <c r="L814"/>
      <c r="M814"/>
      <c r="N814"/>
    </row>
    <row r="815" spans="3:14" x14ac:dyDescent="0.3">
      <c r="C815"/>
      <c r="D815"/>
      <c r="E815"/>
      <c r="F815"/>
      <c r="G815"/>
      <c r="H815"/>
      <c r="I815"/>
      <c r="J815"/>
      <c r="K815"/>
      <c r="L815"/>
      <c r="M815"/>
      <c r="N815"/>
    </row>
    <row r="816" spans="3:14" x14ac:dyDescent="0.3">
      <c r="C816"/>
      <c r="D816"/>
      <c r="E816"/>
      <c r="F816"/>
      <c r="G816"/>
      <c r="H816"/>
      <c r="I816"/>
      <c r="J816"/>
      <c r="K816"/>
      <c r="L816"/>
      <c r="M816"/>
      <c r="N816"/>
    </row>
    <row r="817" spans="3:14" x14ac:dyDescent="0.3">
      <c r="C817"/>
      <c r="D817"/>
      <c r="E817"/>
      <c r="F817"/>
      <c r="G817"/>
      <c r="H817"/>
      <c r="I817"/>
      <c r="J817"/>
      <c r="K817"/>
      <c r="L817"/>
      <c r="M817"/>
      <c r="N817"/>
    </row>
    <row r="818" spans="3:14" x14ac:dyDescent="0.3">
      <c r="C818"/>
      <c r="D818"/>
      <c r="E818"/>
      <c r="F818"/>
      <c r="G818"/>
      <c r="H818"/>
      <c r="I818"/>
      <c r="J818"/>
      <c r="K818"/>
      <c r="L818"/>
      <c r="M818"/>
      <c r="N818"/>
    </row>
    <row r="819" spans="3:14" x14ac:dyDescent="0.3">
      <c r="C819"/>
      <c r="D819"/>
      <c r="E819"/>
      <c r="F819"/>
      <c r="G819"/>
      <c r="H819"/>
      <c r="I819"/>
      <c r="J819"/>
      <c r="K819"/>
      <c r="L819"/>
      <c r="M819"/>
      <c r="N819"/>
    </row>
    <row r="820" spans="3:14" x14ac:dyDescent="0.3">
      <c r="C820"/>
      <c r="D820"/>
      <c r="E820"/>
      <c r="F820"/>
      <c r="G820"/>
      <c r="H820"/>
      <c r="I820"/>
      <c r="J820"/>
      <c r="K820"/>
      <c r="L820"/>
      <c r="M820"/>
      <c r="N820"/>
    </row>
    <row r="821" spans="3:14" x14ac:dyDescent="0.3">
      <c r="C821"/>
      <c r="D821"/>
      <c r="E821"/>
      <c r="F821"/>
      <c r="G821"/>
      <c r="H821"/>
      <c r="I821"/>
      <c r="J821"/>
      <c r="K821"/>
      <c r="L821"/>
      <c r="M821"/>
      <c r="N821"/>
    </row>
    <row r="822" spans="3:14" x14ac:dyDescent="0.3">
      <c r="C822"/>
      <c r="D822"/>
      <c r="E822"/>
      <c r="F822"/>
      <c r="G822"/>
      <c r="H822"/>
      <c r="I822"/>
      <c r="J822"/>
      <c r="K822"/>
      <c r="L822"/>
      <c r="M822"/>
      <c r="N822"/>
    </row>
    <row r="823" spans="3:14" x14ac:dyDescent="0.3">
      <c r="C823"/>
      <c r="D823"/>
      <c r="E823"/>
      <c r="F823"/>
      <c r="G823"/>
      <c r="H823"/>
      <c r="I823"/>
      <c r="J823"/>
      <c r="K823"/>
      <c r="L823"/>
      <c r="M823"/>
      <c r="N823"/>
    </row>
    <row r="824" spans="3:14" x14ac:dyDescent="0.3">
      <c r="C824"/>
      <c r="D824"/>
      <c r="E824"/>
      <c r="F824"/>
      <c r="G824"/>
      <c r="H824"/>
      <c r="I824"/>
      <c r="J824"/>
      <c r="K824"/>
      <c r="L824"/>
      <c r="M824"/>
      <c r="N824"/>
    </row>
    <row r="825" spans="3:14" x14ac:dyDescent="0.3">
      <c r="C825"/>
      <c r="D825"/>
      <c r="E825"/>
      <c r="F825"/>
      <c r="G825"/>
      <c r="H825"/>
      <c r="I825"/>
      <c r="J825"/>
      <c r="K825"/>
      <c r="L825"/>
      <c r="M825"/>
      <c r="N825"/>
    </row>
    <row r="826" spans="3:14" x14ac:dyDescent="0.3">
      <c r="C826"/>
      <c r="D826"/>
      <c r="E826"/>
      <c r="F826"/>
      <c r="G826"/>
      <c r="H826"/>
      <c r="I826"/>
      <c r="J826"/>
      <c r="K826"/>
      <c r="L826"/>
      <c r="M826"/>
      <c r="N826"/>
    </row>
    <row r="827" spans="3:14" x14ac:dyDescent="0.3">
      <c r="C827"/>
      <c r="D827"/>
      <c r="E827"/>
      <c r="F827"/>
      <c r="G827"/>
      <c r="H827"/>
      <c r="I827"/>
      <c r="J827"/>
      <c r="K827"/>
      <c r="L827"/>
      <c r="M827"/>
      <c r="N827"/>
    </row>
    <row r="828" spans="3:14" x14ac:dyDescent="0.3">
      <c r="C828"/>
      <c r="D828"/>
      <c r="E828"/>
      <c r="F828"/>
      <c r="G828"/>
      <c r="H828"/>
      <c r="I828"/>
      <c r="J828"/>
      <c r="K828"/>
      <c r="L828"/>
      <c r="M828"/>
      <c r="N828"/>
    </row>
    <row r="829" spans="3:14" x14ac:dyDescent="0.3">
      <c r="C829"/>
      <c r="D829"/>
      <c r="E829"/>
      <c r="F829"/>
      <c r="G829"/>
      <c r="H829"/>
      <c r="I829"/>
      <c r="J829"/>
      <c r="K829"/>
      <c r="L829"/>
      <c r="M829"/>
      <c r="N829"/>
    </row>
    <row r="830" spans="3:14" x14ac:dyDescent="0.3">
      <c r="C830"/>
      <c r="D830"/>
      <c r="E830"/>
      <c r="F830"/>
      <c r="G830"/>
      <c r="H830"/>
      <c r="I830"/>
      <c r="J830"/>
      <c r="K830"/>
      <c r="L830"/>
      <c r="M830"/>
      <c r="N830"/>
    </row>
    <row r="831" spans="3:14" x14ac:dyDescent="0.3">
      <c r="C831"/>
      <c r="D831"/>
      <c r="E831"/>
      <c r="F831"/>
      <c r="G831"/>
      <c r="H831"/>
      <c r="I831"/>
      <c r="J831"/>
      <c r="K831"/>
      <c r="L831"/>
      <c r="M831"/>
      <c r="N831"/>
    </row>
    <row r="832" spans="3:14" x14ac:dyDescent="0.3">
      <c r="C832"/>
      <c r="D832"/>
      <c r="E832"/>
      <c r="F832"/>
      <c r="G832"/>
      <c r="H832"/>
      <c r="I832"/>
      <c r="J832"/>
      <c r="K832"/>
      <c r="L832"/>
      <c r="M832"/>
      <c r="N832"/>
    </row>
    <row r="833" spans="3:14" x14ac:dyDescent="0.3">
      <c r="C833"/>
      <c r="D833"/>
      <c r="E833"/>
      <c r="F833"/>
      <c r="G833"/>
      <c r="H833"/>
      <c r="I833"/>
      <c r="J833"/>
      <c r="K833"/>
      <c r="L833"/>
      <c r="M833"/>
      <c r="N833"/>
    </row>
    <row r="834" spans="3:14" x14ac:dyDescent="0.3">
      <c r="C834"/>
      <c r="D834"/>
      <c r="E834"/>
      <c r="F834"/>
      <c r="G834"/>
      <c r="H834"/>
      <c r="I834"/>
      <c r="J834"/>
      <c r="K834"/>
      <c r="L834"/>
      <c r="M834"/>
      <c r="N834"/>
    </row>
    <row r="835" spans="3:14" x14ac:dyDescent="0.3">
      <c r="C835"/>
      <c r="D835"/>
      <c r="E835"/>
      <c r="F835"/>
      <c r="G835"/>
      <c r="H835"/>
      <c r="I835"/>
      <c r="J835"/>
      <c r="K835"/>
      <c r="L835"/>
      <c r="M835"/>
      <c r="N835"/>
    </row>
    <row r="836" spans="3:14" x14ac:dyDescent="0.3">
      <c r="C836"/>
      <c r="D836"/>
      <c r="E836"/>
      <c r="F836"/>
      <c r="G836"/>
      <c r="H836"/>
      <c r="I836"/>
      <c r="J836"/>
      <c r="K836"/>
      <c r="L836"/>
      <c r="M836"/>
      <c r="N836"/>
    </row>
    <row r="837" spans="3:14" x14ac:dyDescent="0.3">
      <c r="C837"/>
      <c r="D837"/>
      <c r="E837"/>
      <c r="F837"/>
      <c r="G837"/>
      <c r="H837"/>
      <c r="I837"/>
      <c r="J837"/>
      <c r="K837"/>
      <c r="L837"/>
      <c r="M837"/>
      <c r="N837"/>
    </row>
    <row r="838" spans="3:14" x14ac:dyDescent="0.3">
      <c r="C838"/>
      <c r="D838"/>
      <c r="E838"/>
      <c r="F838"/>
      <c r="G838"/>
      <c r="H838"/>
      <c r="I838"/>
      <c r="J838"/>
      <c r="K838"/>
      <c r="L838"/>
      <c r="M838"/>
      <c r="N838"/>
    </row>
    <row r="839" spans="3:14" x14ac:dyDescent="0.3">
      <c r="C839"/>
      <c r="D839"/>
      <c r="E839"/>
      <c r="F839"/>
      <c r="G839"/>
      <c r="H839"/>
      <c r="I839"/>
      <c r="J839"/>
      <c r="K839"/>
      <c r="L839"/>
      <c r="M839"/>
      <c r="N839"/>
    </row>
    <row r="840" spans="3:14" x14ac:dyDescent="0.3">
      <c r="C840"/>
      <c r="D840"/>
      <c r="E840"/>
      <c r="F840"/>
      <c r="G840"/>
      <c r="H840"/>
      <c r="I840"/>
      <c r="J840"/>
      <c r="K840"/>
      <c r="L840"/>
      <c r="M840"/>
      <c r="N840"/>
    </row>
    <row r="841" spans="3:14" x14ac:dyDescent="0.3">
      <c r="C841"/>
      <c r="D841"/>
      <c r="E841"/>
      <c r="F841"/>
      <c r="G841"/>
      <c r="H841"/>
      <c r="I841"/>
      <c r="J841"/>
      <c r="K841"/>
      <c r="L841"/>
      <c r="M841"/>
      <c r="N841"/>
    </row>
    <row r="842" spans="3:14" x14ac:dyDescent="0.3">
      <c r="C842"/>
      <c r="D842"/>
      <c r="E842"/>
      <c r="F842"/>
      <c r="G842"/>
      <c r="H842"/>
      <c r="I842"/>
      <c r="J842"/>
      <c r="K842"/>
      <c r="L842"/>
      <c r="M842"/>
      <c r="N842"/>
    </row>
    <row r="843" spans="3:14" x14ac:dyDescent="0.3">
      <c r="C843"/>
      <c r="D843"/>
      <c r="E843"/>
      <c r="F843"/>
      <c r="G843"/>
      <c r="H843"/>
      <c r="I843"/>
      <c r="J843"/>
      <c r="K843"/>
      <c r="L843"/>
      <c r="M843"/>
      <c r="N843"/>
    </row>
    <row r="844" spans="3:14" x14ac:dyDescent="0.3">
      <c r="C844"/>
      <c r="D844"/>
      <c r="E844"/>
      <c r="F844"/>
      <c r="G844"/>
      <c r="H844"/>
      <c r="I844"/>
      <c r="J844"/>
      <c r="K844"/>
      <c r="L844"/>
      <c r="M844"/>
      <c r="N844"/>
    </row>
    <row r="845" spans="3:14" x14ac:dyDescent="0.3">
      <c r="C845"/>
      <c r="D845"/>
      <c r="E845"/>
      <c r="F845"/>
      <c r="G845"/>
      <c r="H845"/>
      <c r="I845"/>
      <c r="J845"/>
      <c r="K845"/>
      <c r="L845"/>
      <c r="M845"/>
      <c r="N845"/>
    </row>
    <row r="846" spans="3:14" x14ac:dyDescent="0.3">
      <c r="C846"/>
      <c r="D846"/>
      <c r="E846"/>
      <c r="F846"/>
      <c r="G846"/>
      <c r="H846"/>
      <c r="I846"/>
      <c r="J846"/>
      <c r="K846"/>
      <c r="L846"/>
      <c r="M846"/>
      <c r="N846"/>
    </row>
    <row r="847" spans="3:14" x14ac:dyDescent="0.3">
      <c r="C847"/>
      <c r="D847"/>
      <c r="E847"/>
      <c r="F847"/>
      <c r="G847"/>
      <c r="H847"/>
      <c r="I847"/>
      <c r="J847"/>
      <c r="K847"/>
      <c r="L847"/>
      <c r="M847"/>
      <c r="N847"/>
    </row>
    <row r="848" spans="3:14" x14ac:dyDescent="0.3">
      <c r="C848"/>
      <c r="D848"/>
      <c r="E848"/>
      <c r="F848"/>
      <c r="G848"/>
      <c r="H848"/>
      <c r="I848"/>
      <c r="J848"/>
      <c r="K848"/>
      <c r="L848"/>
      <c r="M848"/>
      <c r="N848"/>
    </row>
    <row r="849" spans="3:14" x14ac:dyDescent="0.3">
      <c r="C849"/>
      <c r="D849"/>
      <c r="E849"/>
      <c r="F849"/>
      <c r="G849"/>
      <c r="H849"/>
      <c r="I849"/>
      <c r="J849"/>
      <c r="K849"/>
      <c r="L849"/>
      <c r="M849"/>
      <c r="N849"/>
    </row>
    <row r="850" spans="3:14" x14ac:dyDescent="0.3">
      <c r="C850"/>
      <c r="D850"/>
      <c r="E850"/>
      <c r="F850"/>
      <c r="G850"/>
      <c r="H850"/>
      <c r="I850"/>
      <c r="J850"/>
      <c r="K850"/>
      <c r="L850"/>
      <c r="M850"/>
      <c r="N850"/>
    </row>
    <row r="851" spans="3:14" x14ac:dyDescent="0.3">
      <c r="C851"/>
      <c r="D851"/>
      <c r="E851"/>
      <c r="F851"/>
      <c r="G851"/>
      <c r="H851"/>
      <c r="I851"/>
      <c r="J851"/>
      <c r="K851"/>
      <c r="L851"/>
      <c r="M851"/>
      <c r="N851"/>
    </row>
    <row r="852" spans="3:14" x14ac:dyDescent="0.3">
      <c r="C852"/>
      <c r="D852"/>
      <c r="E852"/>
      <c r="F852"/>
      <c r="G852"/>
      <c r="H852"/>
      <c r="I852"/>
      <c r="J852"/>
      <c r="K852"/>
      <c r="L852"/>
      <c r="M852"/>
      <c r="N852"/>
    </row>
    <row r="853" spans="3:14" x14ac:dyDescent="0.3">
      <c r="C853"/>
      <c r="D853"/>
      <c r="E853"/>
      <c r="F853"/>
      <c r="G853"/>
      <c r="H853"/>
      <c r="I853"/>
      <c r="J853"/>
      <c r="K853"/>
      <c r="L853"/>
      <c r="M853"/>
      <c r="N853"/>
    </row>
    <row r="854" spans="3:14" x14ac:dyDescent="0.3">
      <c r="C854"/>
      <c r="D854"/>
      <c r="E854"/>
      <c r="F854"/>
      <c r="G854"/>
      <c r="H854"/>
      <c r="I854"/>
      <c r="J854"/>
      <c r="K854"/>
      <c r="L854"/>
      <c r="M854"/>
      <c r="N854"/>
    </row>
    <row r="855" spans="3:14" x14ac:dyDescent="0.3">
      <c r="C855"/>
      <c r="D855"/>
      <c r="E855"/>
      <c r="F855"/>
      <c r="G855"/>
      <c r="H855"/>
      <c r="I855"/>
      <c r="J855"/>
      <c r="K855"/>
      <c r="L855"/>
      <c r="M855"/>
      <c r="N855"/>
    </row>
    <row r="856" spans="3:14" x14ac:dyDescent="0.3">
      <c r="C856"/>
      <c r="D856"/>
      <c r="E856"/>
      <c r="F856"/>
      <c r="G856"/>
      <c r="H856"/>
      <c r="I856"/>
      <c r="J856"/>
      <c r="K856"/>
      <c r="L856"/>
      <c r="M856"/>
      <c r="N856"/>
    </row>
    <row r="857" spans="3:14" x14ac:dyDescent="0.3">
      <c r="C857"/>
      <c r="D857"/>
      <c r="E857"/>
      <c r="F857"/>
      <c r="G857"/>
      <c r="H857"/>
      <c r="I857"/>
      <c r="J857"/>
      <c r="K857"/>
      <c r="L857"/>
      <c r="M857"/>
      <c r="N857"/>
    </row>
    <row r="858" spans="3:14" x14ac:dyDescent="0.3">
      <c r="C858"/>
      <c r="D858"/>
      <c r="E858"/>
      <c r="F858"/>
      <c r="G858"/>
      <c r="H858"/>
      <c r="I858"/>
      <c r="J858"/>
      <c r="K858"/>
      <c r="L858"/>
      <c r="M858"/>
      <c r="N858"/>
    </row>
    <row r="859" spans="3:14" x14ac:dyDescent="0.3">
      <c r="C859"/>
      <c r="D859"/>
      <c r="E859"/>
      <c r="F859"/>
      <c r="G859"/>
      <c r="H859"/>
      <c r="I859"/>
      <c r="J859"/>
      <c r="K859"/>
      <c r="L859"/>
      <c r="M859"/>
      <c r="N859"/>
    </row>
    <row r="860" spans="3:14" x14ac:dyDescent="0.3">
      <c r="C860"/>
      <c r="D860"/>
      <c r="E860"/>
      <c r="F860"/>
      <c r="G860"/>
      <c r="H860"/>
      <c r="I860"/>
      <c r="J860"/>
      <c r="K860"/>
      <c r="L860"/>
      <c r="M860"/>
      <c r="N860"/>
    </row>
    <row r="861" spans="3:14" x14ac:dyDescent="0.3">
      <c r="C861"/>
      <c r="D861"/>
      <c r="E861"/>
      <c r="F861"/>
      <c r="G861"/>
      <c r="H861"/>
      <c r="I861"/>
      <c r="J861"/>
      <c r="K861"/>
      <c r="L861"/>
      <c r="M861"/>
      <c r="N861"/>
    </row>
    <row r="862" spans="3:14" x14ac:dyDescent="0.3">
      <c r="C862"/>
      <c r="D862"/>
      <c r="E862"/>
      <c r="F862"/>
      <c r="G862"/>
      <c r="H862"/>
      <c r="I862"/>
      <c r="J862"/>
      <c r="K862"/>
      <c r="L862"/>
      <c r="M862"/>
      <c r="N862"/>
    </row>
    <row r="863" spans="3:14" x14ac:dyDescent="0.3">
      <c r="C863"/>
      <c r="D863"/>
      <c r="E863"/>
      <c r="F863"/>
      <c r="G863"/>
      <c r="H863"/>
      <c r="I863"/>
      <c r="J863"/>
      <c r="K863"/>
      <c r="L863"/>
      <c r="M863"/>
      <c r="N863"/>
    </row>
    <row r="864" spans="3:14" x14ac:dyDescent="0.3">
      <c r="C864"/>
      <c r="D864"/>
      <c r="E864"/>
      <c r="F864"/>
      <c r="G864"/>
      <c r="H864"/>
      <c r="I864"/>
      <c r="J864"/>
      <c r="K864"/>
      <c r="L864"/>
      <c r="M864"/>
      <c r="N864"/>
    </row>
    <row r="865" spans="3:14" x14ac:dyDescent="0.3">
      <c r="C865"/>
      <c r="D865"/>
      <c r="E865"/>
      <c r="F865"/>
      <c r="G865"/>
      <c r="H865"/>
      <c r="I865"/>
      <c r="J865"/>
      <c r="K865"/>
      <c r="L865"/>
      <c r="M865"/>
      <c r="N865"/>
    </row>
    <row r="866" spans="3:14" x14ac:dyDescent="0.3">
      <c r="C866"/>
      <c r="D866"/>
      <c r="E866"/>
      <c r="F866"/>
      <c r="G866"/>
      <c r="H866"/>
      <c r="I866"/>
      <c r="J866"/>
      <c r="K866"/>
      <c r="L866"/>
      <c r="M866"/>
      <c r="N866"/>
    </row>
    <row r="867" spans="3:14" x14ac:dyDescent="0.3">
      <c r="C867"/>
      <c r="D867"/>
      <c r="E867"/>
      <c r="F867"/>
      <c r="G867"/>
      <c r="H867"/>
      <c r="I867"/>
      <c r="J867"/>
      <c r="K867"/>
      <c r="L867"/>
      <c r="M867"/>
      <c r="N867"/>
    </row>
    <row r="868" spans="3:14" x14ac:dyDescent="0.3">
      <c r="C868"/>
      <c r="D868"/>
      <c r="E868"/>
      <c r="F868"/>
      <c r="G868"/>
      <c r="H868"/>
      <c r="I868"/>
      <c r="J868"/>
      <c r="K868"/>
      <c r="L868"/>
      <c r="M868"/>
      <c r="N868"/>
    </row>
    <row r="869" spans="3:14" x14ac:dyDescent="0.3">
      <c r="C869"/>
      <c r="D869"/>
      <c r="E869"/>
      <c r="F869"/>
      <c r="G869"/>
      <c r="H869"/>
      <c r="I869"/>
      <c r="J869"/>
      <c r="K869"/>
      <c r="L869"/>
      <c r="M869"/>
      <c r="N869"/>
    </row>
    <row r="870" spans="3:14" x14ac:dyDescent="0.3">
      <c r="C870"/>
      <c r="D870"/>
      <c r="E870"/>
      <c r="F870"/>
      <c r="G870"/>
      <c r="H870"/>
      <c r="I870"/>
      <c r="J870"/>
      <c r="K870"/>
      <c r="L870"/>
      <c r="M870"/>
      <c r="N870"/>
    </row>
    <row r="871" spans="3:14" x14ac:dyDescent="0.3">
      <c r="C871"/>
      <c r="D871"/>
      <c r="E871"/>
      <c r="F871"/>
      <c r="G871"/>
      <c r="H871"/>
      <c r="I871"/>
      <c r="J871"/>
      <c r="K871"/>
      <c r="L871"/>
      <c r="M871"/>
      <c r="N871"/>
    </row>
    <row r="872" spans="3:14" x14ac:dyDescent="0.3">
      <c r="C872"/>
      <c r="D872"/>
      <c r="E872"/>
      <c r="F872"/>
      <c r="G872"/>
      <c r="H872"/>
      <c r="I872"/>
      <c r="J872"/>
      <c r="K872"/>
      <c r="L872"/>
      <c r="M872"/>
      <c r="N872"/>
    </row>
    <row r="873" spans="3:14" x14ac:dyDescent="0.3">
      <c r="C873"/>
      <c r="D873"/>
      <c r="E873"/>
      <c r="F873"/>
      <c r="G873"/>
      <c r="H873"/>
      <c r="I873"/>
      <c r="J873"/>
      <c r="K873"/>
      <c r="L873"/>
      <c r="M873"/>
      <c r="N873"/>
    </row>
    <row r="874" spans="3:14" x14ac:dyDescent="0.3">
      <c r="C874"/>
      <c r="D874"/>
      <c r="E874"/>
      <c r="F874"/>
      <c r="G874"/>
      <c r="H874"/>
      <c r="I874"/>
      <c r="J874"/>
      <c r="K874"/>
      <c r="L874"/>
      <c r="M874"/>
      <c r="N874"/>
    </row>
    <row r="875" spans="3:14" x14ac:dyDescent="0.3">
      <c r="C875"/>
      <c r="D875"/>
      <c r="E875"/>
      <c r="F875"/>
      <c r="G875"/>
      <c r="H875"/>
      <c r="I875"/>
      <c r="J875"/>
      <c r="K875"/>
      <c r="L875"/>
      <c r="M875"/>
      <c r="N875"/>
    </row>
    <row r="876" spans="3:14" x14ac:dyDescent="0.3">
      <c r="C876"/>
      <c r="D876"/>
      <c r="E876"/>
      <c r="F876"/>
      <c r="G876"/>
      <c r="H876"/>
      <c r="I876"/>
      <c r="J876"/>
      <c r="K876"/>
      <c r="L876"/>
      <c r="M876"/>
      <c r="N876"/>
    </row>
    <row r="877" spans="3:14" x14ac:dyDescent="0.3">
      <c r="C877"/>
      <c r="D877"/>
      <c r="E877"/>
      <c r="F877"/>
      <c r="G877"/>
      <c r="H877"/>
      <c r="I877"/>
      <c r="J877"/>
      <c r="K877"/>
      <c r="L877"/>
      <c r="M877"/>
      <c r="N877"/>
    </row>
    <row r="878" spans="3:14" x14ac:dyDescent="0.3">
      <c r="C878"/>
      <c r="D878"/>
      <c r="E878"/>
      <c r="F878"/>
      <c r="G878"/>
      <c r="H878"/>
      <c r="I878"/>
      <c r="J878"/>
      <c r="K878"/>
      <c r="L878"/>
      <c r="M878"/>
      <c r="N878"/>
    </row>
    <row r="879" spans="3:14" x14ac:dyDescent="0.3">
      <c r="C879"/>
      <c r="D879"/>
      <c r="E879"/>
      <c r="F879"/>
      <c r="G879"/>
      <c r="H879"/>
      <c r="I879"/>
      <c r="J879"/>
      <c r="K879"/>
      <c r="L879"/>
      <c r="M879"/>
      <c r="N879"/>
    </row>
    <row r="880" spans="3:14" x14ac:dyDescent="0.3">
      <c r="C880"/>
      <c r="D880"/>
      <c r="E880"/>
      <c r="F880"/>
      <c r="G880"/>
      <c r="H880"/>
      <c r="I880"/>
      <c r="J880"/>
      <c r="K880"/>
      <c r="L880"/>
      <c r="M880"/>
      <c r="N880"/>
    </row>
    <row r="881" spans="3:14" x14ac:dyDescent="0.3">
      <c r="C881"/>
      <c r="D881"/>
      <c r="E881"/>
      <c r="F881"/>
      <c r="G881"/>
      <c r="H881"/>
      <c r="I881"/>
      <c r="J881"/>
      <c r="K881"/>
      <c r="L881"/>
      <c r="M881"/>
      <c r="N881"/>
    </row>
    <row r="882" spans="3:14" x14ac:dyDescent="0.3">
      <c r="C882"/>
      <c r="D882"/>
      <c r="E882"/>
      <c r="F882"/>
      <c r="G882"/>
      <c r="H882"/>
      <c r="I882"/>
      <c r="J882"/>
      <c r="K882"/>
      <c r="L882"/>
      <c r="M882"/>
      <c r="N882"/>
    </row>
    <row r="883" spans="3:14" x14ac:dyDescent="0.3">
      <c r="C883"/>
      <c r="D883"/>
      <c r="E883"/>
      <c r="F883"/>
      <c r="G883"/>
      <c r="H883"/>
      <c r="I883"/>
      <c r="J883"/>
      <c r="K883"/>
      <c r="L883"/>
      <c r="M883"/>
      <c r="N883"/>
    </row>
    <row r="884" spans="3:14" x14ac:dyDescent="0.3">
      <c r="C884"/>
      <c r="D884"/>
      <c r="E884"/>
      <c r="F884"/>
      <c r="G884"/>
      <c r="H884"/>
      <c r="I884"/>
      <c r="J884"/>
      <c r="K884"/>
      <c r="L884"/>
      <c r="M884"/>
      <c r="N884"/>
    </row>
    <row r="885" spans="3:14" x14ac:dyDescent="0.3">
      <c r="C885"/>
      <c r="D885"/>
      <c r="E885"/>
      <c r="F885"/>
      <c r="G885"/>
      <c r="H885"/>
      <c r="I885"/>
      <c r="J885"/>
      <c r="K885"/>
      <c r="L885"/>
      <c r="M885"/>
      <c r="N885"/>
    </row>
    <row r="886" spans="3:14" x14ac:dyDescent="0.3">
      <c r="C886"/>
      <c r="D886"/>
      <c r="E886"/>
      <c r="F886"/>
      <c r="G886"/>
      <c r="H886"/>
      <c r="I886"/>
      <c r="J886"/>
      <c r="K886"/>
      <c r="L886"/>
      <c r="M886"/>
      <c r="N886"/>
    </row>
    <row r="887" spans="3:14" x14ac:dyDescent="0.3">
      <c r="C887"/>
      <c r="D887"/>
      <c r="E887"/>
      <c r="F887"/>
      <c r="G887"/>
      <c r="H887"/>
      <c r="I887"/>
      <c r="J887"/>
      <c r="K887"/>
      <c r="L887"/>
      <c r="M887"/>
      <c r="N887"/>
    </row>
    <row r="888" spans="3:14" x14ac:dyDescent="0.3">
      <c r="C888"/>
      <c r="D888"/>
      <c r="E888"/>
      <c r="F888"/>
      <c r="G888"/>
      <c r="H888"/>
      <c r="I888"/>
      <c r="J888"/>
      <c r="K888"/>
      <c r="L888"/>
      <c r="M888"/>
      <c r="N888"/>
    </row>
    <row r="889" spans="3:14" x14ac:dyDescent="0.3">
      <c r="C889"/>
      <c r="D889"/>
      <c r="E889"/>
      <c r="F889"/>
      <c r="G889"/>
      <c r="H889"/>
      <c r="I889"/>
      <c r="J889"/>
      <c r="K889"/>
      <c r="L889"/>
      <c r="M889"/>
      <c r="N889"/>
    </row>
    <row r="890" spans="3:14" x14ac:dyDescent="0.3">
      <c r="C890"/>
      <c r="D890"/>
      <c r="E890"/>
      <c r="F890"/>
      <c r="G890"/>
      <c r="H890"/>
      <c r="I890"/>
      <c r="J890"/>
      <c r="K890"/>
      <c r="L890"/>
      <c r="M890"/>
      <c r="N890"/>
    </row>
    <row r="891" spans="3:14" x14ac:dyDescent="0.3">
      <c r="C891"/>
      <c r="D891"/>
      <c r="E891"/>
      <c r="F891"/>
      <c r="G891"/>
      <c r="H891"/>
      <c r="I891"/>
      <c r="J891"/>
      <c r="K891"/>
      <c r="L891"/>
      <c r="M891"/>
      <c r="N891"/>
    </row>
    <row r="892" spans="3:14" x14ac:dyDescent="0.3">
      <c r="C892"/>
      <c r="D892"/>
      <c r="E892"/>
      <c r="F892"/>
      <c r="G892"/>
      <c r="H892"/>
      <c r="I892"/>
      <c r="J892"/>
      <c r="K892"/>
      <c r="L892"/>
      <c r="M892"/>
      <c r="N892"/>
    </row>
    <row r="893" spans="3:14" x14ac:dyDescent="0.3">
      <c r="C893"/>
      <c r="D893"/>
      <c r="E893"/>
      <c r="F893"/>
      <c r="G893"/>
      <c r="H893"/>
      <c r="I893"/>
      <c r="J893"/>
      <c r="K893"/>
      <c r="L893"/>
      <c r="M893"/>
      <c r="N893"/>
    </row>
    <row r="894" spans="3:14" x14ac:dyDescent="0.3">
      <c r="C894"/>
      <c r="D894"/>
      <c r="E894"/>
      <c r="F894"/>
      <c r="G894"/>
      <c r="H894"/>
      <c r="I894"/>
      <c r="J894"/>
      <c r="K894"/>
      <c r="L894"/>
      <c r="M894"/>
      <c r="N894"/>
    </row>
    <row r="895" spans="3:14" x14ac:dyDescent="0.3">
      <c r="C895"/>
      <c r="D895"/>
      <c r="E895"/>
      <c r="F895"/>
      <c r="G895"/>
      <c r="H895"/>
      <c r="I895"/>
      <c r="J895"/>
      <c r="K895"/>
      <c r="L895"/>
      <c r="M895"/>
      <c r="N895"/>
    </row>
    <row r="896" spans="3:14" x14ac:dyDescent="0.3">
      <c r="C896"/>
      <c r="D896"/>
      <c r="E896"/>
      <c r="F896"/>
      <c r="G896"/>
      <c r="H896"/>
      <c r="I896"/>
      <c r="J896"/>
      <c r="K896"/>
      <c r="L896"/>
      <c r="M896"/>
      <c r="N896"/>
    </row>
    <row r="897" spans="3:14" x14ac:dyDescent="0.3">
      <c r="C897"/>
      <c r="D897"/>
      <c r="E897"/>
      <c r="F897"/>
      <c r="G897"/>
      <c r="H897"/>
      <c r="I897"/>
      <c r="J897"/>
      <c r="K897"/>
      <c r="L897"/>
      <c r="M897"/>
      <c r="N897"/>
    </row>
    <row r="898" spans="3:14" x14ac:dyDescent="0.3">
      <c r="C898"/>
      <c r="D898"/>
      <c r="E898"/>
      <c r="F898"/>
      <c r="G898"/>
      <c r="H898"/>
      <c r="I898"/>
      <c r="J898"/>
      <c r="K898"/>
      <c r="L898"/>
      <c r="M898"/>
      <c r="N898"/>
    </row>
    <row r="899" spans="3:14" x14ac:dyDescent="0.3">
      <c r="C899"/>
      <c r="D899"/>
      <c r="E899"/>
      <c r="F899"/>
      <c r="G899"/>
      <c r="H899"/>
      <c r="I899"/>
      <c r="J899"/>
      <c r="K899"/>
      <c r="L899"/>
      <c r="M899"/>
      <c r="N899"/>
    </row>
    <row r="900" spans="3:14" x14ac:dyDescent="0.3">
      <c r="C900"/>
      <c r="D900"/>
      <c r="E900"/>
      <c r="F900"/>
      <c r="G900"/>
      <c r="H900"/>
      <c r="I900"/>
      <c r="J900"/>
      <c r="K900"/>
      <c r="L900"/>
      <c r="M900"/>
      <c r="N900"/>
    </row>
    <row r="901" spans="3:14" x14ac:dyDescent="0.3">
      <c r="C901"/>
      <c r="D901"/>
      <c r="E901"/>
      <c r="F901"/>
      <c r="G901"/>
      <c r="H901"/>
      <c r="I901"/>
      <c r="J901"/>
      <c r="K901"/>
      <c r="L901"/>
      <c r="M901"/>
      <c r="N901"/>
    </row>
    <row r="902" spans="3:14" x14ac:dyDescent="0.3">
      <c r="C902"/>
      <c r="D902"/>
      <c r="E902"/>
      <c r="F902"/>
      <c r="G902"/>
      <c r="H902"/>
      <c r="I902"/>
      <c r="J902"/>
      <c r="K902"/>
      <c r="L902"/>
      <c r="M902"/>
      <c r="N902"/>
    </row>
    <row r="903" spans="3:14" x14ac:dyDescent="0.3">
      <c r="C903"/>
      <c r="D903"/>
      <c r="E903"/>
      <c r="F903"/>
      <c r="G903"/>
      <c r="H903"/>
      <c r="I903"/>
      <c r="J903"/>
      <c r="K903"/>
      <c r="L903"/>
      <c r="M903"/>
      <c r="N903"/>
    </row>
    <row r="904" spans="3:14" x14ac:dyDescent="0.3">
      <c r="C904"/>
      <c r="D904"/>
      <c r="E904"/>
      <c r="F904"/>
      <c r="G904"/>
      <c r="H904"/>
      <c r="I904"/>
      <c r="J904"/>
      <c r="K904"/>
      <c r="L904"/>
      <c r="M904"/>
      <c r="N904"/>
    </row>
    <row r="905" spans="3:14" x14ac:dyDescent="0.3">
      <c r="C905"/>
      <c r="D905"/>
      <c r="E905"/>
      <c r="F905"/>
      <c r="G905"/>
      <c r="H905"/>
      <c r="I905"/>
      <c r="J905"/>
      <c r="K905"/>
      <c r="L905"/>
      <c r="M905"/>
      <c r="N905"/>
    </row>
    <row r="906" spans="3:14" x14ac:dyDescent="0.3">
      <c r="C906"/>
      <c r="D906"/>
      <c r="E906"/>
      <c r="F906"/>
      <c r="G906"/>
      <c r="H906"/>
      <c r="I906"/>
      <c r="J906"/>
      <c r="K906"/>
      <c r="L906"/>
      <c r="M906"/>
      <c r="N906"/>
    </row>
    <row r="907" spans="3:14" x14ac:dyDescent="0.3">
      <c r="C907"/>
      <c r="D907"/>
      <c r="E907"/>
      <c r="F907"/>
      <c r="G907"/>
      <c r="H907"/>
      <c r="I907"/>
      <c r="J907"/>
      <c r="K907"/>
      <c r="L907"/>
      <c r="M907"/>
      <c r="N907"/>
    </row>
    <row r="908" spans="3:14" x14ac:dyDescent="0.3">
      <c r="C908"/>
      <c r="D908"/>
      <c r="E908"/>
      <c r="F908"/>
      <c r="G908"/>
      <c r="H908"/>
      <c r="I908"/>
      <c r="J908"/>
      <c r="K908"/>
      <c r="L908"/>
      <c r="M908"/>
      <c r="N908"/>
    </row>
    <row r="909" spans="3:14" x14ac:dyDescent="0.3">
      <c r="C909"/>
      <c r="D909"/>
      <c r="E909"/>
      <c r="F909"/>
      <c r="G909"/>
      <c r="H909"/>
      <c r="I909"/>
      <c r="J909"/>
      <c r="K909"/>
      <c r="L909"/>
      <c r="M909"/>
      <c r="N909"/>
    </row>
    <row r="910" spans="3:14" x14ac:dyDescent="0.3">
      <c r="C910"/>
      <c r="D910"/>
      <c r="E910"/>
      <c r="F910"/>
      <c r="G910"/>
      <c r="H910"/>
      <c r="I910"/>
      <c r="J910"/>
      <c r="K910"/>
      <c r="L910"/>
      <c r="M910"/>
      <c r="N910"/>
    </row>
    <row r="911" spans="3:14" x14ac:dyDescent="0.3">
      <c r="C911"/>
      <c r="D911"/>
      <c r="E911"/>
      <c r="F911"/>
      <c r="G911"/>
      <c r="H911"/>
      <c r="I911"/>
      <c r="J911"/>
      <c r="K911"/>
      <c r="L911"/>
      <c r="M911"/>
      <c r="N911"/>
    </row>
    <row r="912" spans="3:14" x14ac:dyDescent="0.3">
      <c r="C912"/>
      <c r="D912"/>
      <c r="E912"/>
      <c r="F912"/>
      <c r="G912"/>
      <c r="H912"/>
      <c r="I912"/>
      <c r="J912"/>
      <c r="K912"/>
      <c r="L912"/>
      <c r="M912"/>
      <c r="N912"/>
    </row>
    <row r="913" spans="3:14" x14ac:dyDescent="0.3">
      <c r="C913"/>
      <c r="D913"/>
      <c r="E913"/>
      <c r="F913"/>
      <c r="G913"/>
      <c r="H913"/>
      <c r="I913"/>
      <c r="J913"/>
      <c r="K913"/>
      <c r="L913"/>
      <c r="M913"/>
      <c r="N913"/>
    </row>
    <row r="914" spans="3:14" x14ac:dyDescent="0.3">
      <c r="C914"/>
      <c r="D914"/>
      <c r="E914"/>
      <c r="F914"/>
      <c r="G914"/>
      <c r="H914"/>
      <c r="I914"/>
      <c r="J914"/>
      <c r="K914"/>
      <c r="L914"/>
      <c r="M914"/>
      <c r="N914"/>
    </row>
    <row r="915" spans="3:14" x14ac:dyDescent="0.3">
      <c r="C915"/>
      <c r="D915"/>
      <c r="E915"/>
      <c r="F915"/>
      <c r="G915"/>
      <c r="H915"/>
      <c r="I915"/>
      <c r="J915"/>
      <c r="K915"/>
      <c r="L915"/>
      <c r="M915"/>
      <c r="N915"/>
    </row>
    <row r="916" spans="3:14" x14ac:dyDescent="0.3">
      <c r="C916"/>
      <c r="D916"/>
      <c r="E916"/>
      <c r="F916"/>
      <c r="G916"/>
      <c r="H916"/>
      <c r="I916"/>
      <c r="J916"/>
      <c r="K916"/>
      <c r="L916"/>
      <c r="M916"/>
      <c r="N916"/>
    </row>
    <row r="917" spans="3:14" x14ac:dyDescent="0.3">
      <c r="C917"/>
      <c r="D917"/>
      <c r="E917"/>
      <c r="F917"/>
      <c r="G917"/>
      <c r="H917"/>
      <c r="I917"/>
      <c r="J917"/>
      <c r="K917"/>
      <c r="L917"/>
      <c r="M917"/>
      <c r="N917"/>
    </row>
    <row r="918" spans="3:14" x14ac:dyDescent="0.3">
      <c r="C918"/>
      <c r="D918"/>
      <c r="E918"/>
      <c r="F918"/>
      <c r="G918"/>
      <c r="H918"/>
      <c r="I918"/>
      <c r="J918"/>
      <c r="K918"/>
      <c r="L918"/>
      <c r="M918"/>
      <c r="N918"/>
    </row>
    <row r="919" spans="3:14" x14ac:dyDescent="0.3">
      <c r="C919"/>
      <c r="D919"/>
      <c r="E919"/>
      <c r="F919"/>
      <c r="G919"/>
      <c r="H919"/>
      <c r="I919"/>
      <c r="J919"/>
      <c r="K919"/>
      <c r="L919"/>
      <c r="M919"/>
      <c r="N919"/>
    </row>
    <row r="920" spans="3:14" x14ac:dyDescent="0.3">
      <c r="C920"/>
      <c r="D920"/>
      <c r="E920"/>
      <c r="F920"/>
      <c r="G920"/>
      <c r="H920"/>
      <c r="I920"/>
      <c r="J920"/>
      <c r="K920"/>
      <c r="L920"/>
      <c r="M920"/>
      <c r="N920"/>
    </row>
    <row r="921" spans="3:14" x14ac:dyDescent="0.3">
      <c r="C921"/>
      <c r="D921"/>
      <c r="E921"/>
      <c r="F921"/>
      <c r="G921"/>
      <c r="H921"/>
      <c r="I921"/>
      <c r="J921"/>
      <c r="K921"/>
      <c r="L921"/>
      <c r="M921"/>
      <c r="N921"/>
    </row>
    <row r="922" spans="3:14" x14ac:dyDescent="0.3">
      <c r="C922"/>
      <c r="D922"/>
      <c r="E922"/>
      <c r="F922"/>
      <c r="G922"/>
      <c r="H922"/>
      <c r="I922"/>
      <c r="J922"/>
      <c r="K922"/>
      <c r="L922"/>
      <c r="M922"/>
      <c r="N922"/>
    </row>
    <row r="923" spans="3:14" x14ac:dyDescent="0.3">
      <c r="C923"/>
      <c r="D923"/>
      <c r="E923"/>
      <c r="F923"/>
      <c r="G923"/>
      <c r="H923"/>
      <c r="I923"/>
      <c r="J923"/>
      <c r="K923"/>
      <c r="L923"/>
      <c r="M923"/>
      <c r="N923"/>
    </row>
    <row r="924" spans="3:14" x14ac:dyDescent="0.3">
      <c r="C924"/>
      <c r="D924"/>
      <c r="E924"/>
      <c r="F924"/>
      <c r="G924"/>
      <c r="H924"/>
      <c r="I924"/>
      <c r="J924"/>
      <c r="K924"/>
      <c r="L924"/>
      <c r="M924"/>
      <c r="N924"/>
    </row>
    <row r="925" spans="3:14" x14ac:dyDescent="0.3">
      <c r="C925"/>
      <c r="D925"/>
      <c r="E925"/>
      <c r="F925"/>
      <c r="G925"/>
      <c r="H925"/>
      <c r="I925"/>
      <c r="J925"/>
      <c r="K925"/>
      <c r="L925"/>
      <c r="M925"/>
      <c r="N925"/>
    </row>
    <row r="926" spans="3:14" x14ac:dyDescent="0.3">
      <c r="C926"/>
      <c r="D926"/>
      <c r="E926"/>
      <c r="F926"/>
      <c r="G926"/>
      <c r="H926"/>
      <c r="I926"/>
      <c r="J926"/>
      <c r="K926"/>
      <c r="L926"/>
      <c r="M926"/>
      <c r="N926"/>
    </row>
    <row r="927" spans="3:14" x14ac:dyDescent="0.3">
      <c r="C927"/>
      <c r="D927"/>
      <c r="E927"/>
      <c r="F927"/>
      <c r="G927"/>
      <c r="H927"/>
      <c r="I927"/>
      <c r="J927"/>
      <c r="K927"/>
      <c r="L927"/>
      <c r="M927"/>
      <c r="N927"/>
    </row>
    <row r="928" spans="3:14" x14ac:dyDescent="0.3">
      <c r="C928"/>
      <c r="D928"/>
      <c r="E928"/>
      <c r="F928"/>
      <c r="G928"/>
      <c r="H928"/>
      <c r="I928"/>
      <c r="J928"/>
      <c r="K928"/>
      <c r="L928"/>
      <c r="M928"/>
      <c r="N928"/>
    </row>
    <row r="929" spans="3:14" x14ac:dyDescent="0.3">
      <c r="C929"/>
      <c r="D929"/>
      <c r="E929"/>
      <c r="F929"/>
      <c r="G929"/>
      <c r="H929"/>
      <c r="I929"/>
      <c r="J929"/>
      <c r="K929"/>
      <c r="L929"/>
      <c r="M929"/>
      <c r="N929"/>
    </row>
    <row r="930" spans="3:14" x14ac:dyDescent="0.3">
      <c r="C930"/>
      <c r="D930"/>
      <c r="E930"/>
      <c r="F930"/>
      <c r="G930"/>
      <c r="H930"/>
      <c r="I930"/>
      <c r="J930"/>
      <c r="K930"/>
      <c r="L930"/>
      <c r="M930"/>
      <c r="N930"/>
    </row>
    <row r="931" spans="3:14" x14ac:dyDescent="0.3">
      <c r="C931"/>
      <c r="D931"/>
      <c r="E931"/>
      <c r="F931"/>
      <c r="G931"/>
      <c r="H931"/>
      <c r="I931"/>
      <c r="J931"/>
      <c r="K931"/>
      <c r="L931"/>
      <c r="M931"/>
      <c r="N931"/>
    </row>
    <row r="932" spans="3:14" x14ac:dyDescent="0.3">
      <c r="C932"/>
      <c r="D932"/>
      <c r="E932"/>
      <c r="F932"/>
      <c r="G932"/>
      <c r="H932"/>
      <c r="I932"/>
      <c r="J932"/>
      <c r="K932"/>
      <c r="L932"/>
      <c r="M932"/>
      <c r="N932"/>
    </row>
    <row r="933" spans="3:14" x14ac:dyDescent="0.3">
      <c r="C933"/>
      <c r="D933"/>
      <c r="E933"/>
      <c r="F933"/>
      <c r="G933"/>
      <c r="H933"/>
      <c r="I933"/>
      <c r="J933"/>
      <c r="K933"/>
      <c r="L933"/>
      <c r="M933"/>
      <c r="N933"/>
    </row>
    <row r="934" spans="3:14" x14ac:dyDescent="0.3">
      <c r="C934"/>
      <c r="D934"/>
      <c r="E934"/>
      <c r="F934"/>
      <c r="G934"/>
      <c r="H934"/>
      <c r="I934"/>
      <c r="J934"/>
      <c r="K934"/>
      <c r="L934"/>
      <c r="M934"/>
      <c r="N934"/>
    </row>
    <row r="935" spans="3:14" x14ac:dyDescent="0.3">
      <c r="C935"/>
      <c r="D935"/>
      <c r="E935"/>
      <c r="F935"/>
      <c r="G935"/>
      <c r="H935"/>
      <c r="I935"/>
      <c r="J935"/>
      <c r="K935"/>
      <c r="L935"/>
      <c r="M935"/>
      <c r="N935"/>
    </row>
    <row r="936" spans="3:14" x14ac:dyDescent="0.3">
      <c r="C936"/>
      <c r="D936"/>
      <c r="E936"/>
      <c r="F936"/>
      <c r="G936"/>
      <c r="H936"/>
      <c r="I936"/>
      <c r="J936"/>
      <c r="K936"/>
      <c r="L936"/>
      <c r="M936"/>
      <c r="N936"/>
    </row>
    <row r="937" spans="3:14" x14ac:dyDescent="0.3">
      <c r="C937"/>
      <c r="D937"/>
      <c r="E937"/>
      <c r="F937"/>
      <c r="G937"/>
      <c r="H937"/>
      <c r="I937"/>
      <c r="J937"/>
      <c r="K937"/>
      <c r="L937"/>
      <c r="M937"/>
      <c r="N937"/>
    </row>
    <row r="938" spans="3:14" x14ac:dyDescent="0.3">
      <c r="C938"/>
      <c r="D938"/>
      <c r="E938"/>
      <c r="F938"/>
      <c r="G938"/>
      <c r="H938"/>
      <c r="I938"/>
      <c r="J938"/>
      <c r="K938"/>
      <c r="L938"/>
      <c r="M938"/>
      <c r="N938"/>
    </row>
    <row r="939" spans="3:14" x14ac:dyDescent="0.3">
      <c r="C939"/>
      <c r="D939"/>
      <c r="E939"/>
      <c r="F939"/>
      <c r="G939"/>
      <c r="H939"/>
      <c r="I939"/>
      <c r="J939"/>
      <c r="K939"/>
      <c r="L939"/>
      <c r="M939"/>
      <c r="N939"/>
    </row>
    <row r="940" spans="3:14" x14ac:dyDescent="0.3">
      <c r="C940"/>
      <c r="D940"/>
      <c r="E940"/>
      <c r="F940"/>
      <c r="G940"/>
      <c r="H940"/>
      <c r="I940"/>
      <c r="J940"/>
      <c r="K940"/>
      <c r="L940"/>
      <c r="M940"/>
      <c r="N940"/>
    </row>
    <row r="941" spans="3:14" x14ac:dyDescent="0.3">
      <c r="C941"/>
      <c r="D941"/>
      <c r="E941"/>
      <c r="F941"/>
      <c r="G941"/>
      <c r="H941"/>
      <c r="I941"/>
      <c r="J941"/>
      <c r="K941"/>
      <c r="L941"/>
      <c r="M941"/>
      <c r="N941"/>
    </row>
    <row r="942" spans="3:14" x14ac:dyDescent="0.3">
      <c r="C942"/>
      <c r="D942"/>
      <c r="E942"/>
      <c r="F942"/>
      <c r="G942"/>
      <c r="H942"/>
      <c r="I942"/>
      <c r="J942"/>
      <c r="K942"/>
      <c r="L942"/>
      <c r="M942"/>
      <c r="N942"/>
    </row>
    <row r="943" spans="3:14" x14ac:dyDescent="0.3">
      <c r="C943"/>
      <c r="D943"/>
      <c r="E943"/>
      <c r="F943"/>
      <c r="G943"/>
      <c r="H943"/>
      <c r="I943"/>
      <c r="J943"/>
      <c r="K943"/>
      <c r="L943"/>
      <c r="M943"/>
      <c r="N943"/>
    </row>
    <row r="944" spans="3:14" x14ac:dyDescent="0.3">
      <c r="C944"/>
      <c r="D944"/>
      <c r="E944"/>
      <c r="F944"/>
      <c r="G944"/>
      <c r="H944"/>
      <c r="I944"/>
      <c r="J944"/>
      <c r="K944"/>
      <c r="L944"/>
      <c r="M944"/>
      <c r="N944"/>
    </row>
    <row r="945" spans="3:14" x14ac:dyDescent="0.3">
      <c r="C945"/>
      <c r="D945"/>
      <c r="E945"/>
      <c r="F945"/>
      <c r="G945"/>
      <c r="H945"/>
      <c r="I945"/>
      <c r="J945"/>
      <c r="K945"/>
      <c r="L945"/>
      <c r="M945"/>
      <c r="N945"/>
    </row>
    <row r="946" spans="3:14" x14ac:dyDescent="0.3">
      <c r="C946"/>
      <c r="D946"/>
      <c r="E946"/>
      <c r="F946"/>
      <c r="G946"/>
      <c r="H946"/>
      <c r="I946"/>
      <c r="J946"/>
      <c r="K946"/>
      <c r="L946"/>
      <c r="M946"/>
      <c r="N946"/>
    </row>
    <row r="947" spans="3:14" x14ac:dyDescent="0.3">
      <c r="C947"/>
      <c r="D947"/>
      <c r="E947"/>
      <c r="F947"/>
      <c r="G947"/>
      <c r="H947"/>
      <c r="I947"/>
      <c r="J947"/>
      <c r="K947"/>
      <c r="L947"/>
      <c r="M947"/>
      <c r="N947"/>
    </row>
    <row r="948" spans="3:14" x14ac:dyDescent="0.3">
      <c r="C948"/>
      <c r="D948"/>
      <c r="E948"/>
      <c r="F948"/>
      <c r="G948"/>
      <c r="H948"/>
      <c r="I948"/>
      <c r="J948"/>
      <c r="K948"/>
      <c r="L948"/>
      <c r="M948"/>
      <c r="N948"/>
    </row>
    <row r="949" spans="3:14" x14ac:dyDescent="0.3">
      <c r="C949"/>
      <c r="D949"/>
      <c r="E949"/>
      <c r="F949"/>
      <c r="G949"/>
      <c r="H949"/>
      <c r="I949"/>
      <c r="J949"/>
      <c r="K949"/>
      <c r="L949"/>
      <c r="M949"/>
      <c r="N949"/>
    </row>
    <row r="950" spans="3:14" x14ac:dyDescent="0.3">
      <c r="C950"/>
      <c r="D950"/>
      <c r="E950"/>
      <c r="F950"/>
      <c r="G950"/>
      <c r="H950"/>
      <c r="I950"/>
      <c r="J950"/>
      <c r="K950"/>
      <c r="L950"/>
      <c r="M950"/>
      <c r="N950"/>
    </row>
    <row r="951" spans="3:14" x14ac:dyDescent="0.3">
      <c r="C951"/>
      <c r="D951"/>
      <c r="E951"/>
      <c r="F951"/>
      <c r="G951"/>
      <c r="H951"/>
      <c r="I951"/>
      <c r="J951"/>
      <c r="K951"/>
      <c r="L951"/>
      <c r="M951"/>
      <c r="N951"/>
    </row>
    <row r="952" spans="3:14" x14ac:dyDescent="0.3">
      <c r="C952"/>
      <c r="D952"/>
      <c r="E952"/>
      <c r="F952"/>
      <c r="G952"/>
      <c r="H952"/>
      <c r="I952"/>
      <c r="J952"/>
      <c r="K952"/>
      <c r="L952"/>
      <c r="M952"/>
      <c r="N952"/>
    </row>
    <row r="953" spans="3:14" x14ac:dyDescent="0.3">
      <c r="C953"/>
      <c r="D953"/>
      <c r="E953"/>
      <c r="F953"/>
      <c r="G953"/>
      <c r="H953"/>
      <c r="I953"/>
      <c r="J953"/>
      <c r="K953"/>
      <c r="L953"/>
      <c r="M953"/>
      <c r="N953"/>
    </row>
    <row r="954" spans="3:14" x14ac:dyDescent="0.3">
      <c r="C954"/>
      <c r="D954"/>
      <c r="E954"/>
      <c r="F954"/>
      <c r="G954"/>
      <c r="H954"/>
      <c r="I954"/>
      <c r="J954"/>
      <c r="K954"/>
      <c r="L954"/>
      <c r="M954"/>
      <c r="N954"/>
    </row>
    <row r="955" spans="3:14" x14ac:dyDescent="0.3">
      <c r="C955"/>
      <c r="D955"/>
      <c r="E955"/>
      <c r="F955"/>
      <c r="G955"/>
      <c r="H955"/>
      <c r="I955"/>
      <c r="J955"/>
      <c r="K955"/>
      <c r="L955"/>
      <c r="M955"/>
      <c r="N955"/>
    </row>
    <row r="956" spans="3:14" x14ac:dyDescent="0.3">
      <c r="C956"/>
      <c r="D956"/>
      <c r="E956"/>
      <c r="F956"/>
      <c r="G956"/>
      <c r="H956"/>
      <c r="I956"/>
      <c r="J956"/>
      <c r="K956"/>
      <c r="L956"/>
      <c r="M956"/>
      <c r="N956"/>
    </row>
    <row r="957" spans="3:14" x14ac:dyDescent="0.3">
      <c r="C957"/>
      <c r="D957"/>
      <c r="E957"/>
      <c r="F957"/>
      <c r="G957"/>
      <c r="H957"/>
      <c r="I957"/>
      <c r="J957"/>
      <c r="K957"/>
      <c r="L957"/>
      <c r="M957"/>
      <c r="N957"/>
    </row>
    <row r="958" spans="3:14" x14ac:dyDescent="0.3">
      <c r="C958"/>
      <c r="D958"/>
      <c r="E958"/>
      <c r="F958"/>
      <c r="G958"/>
      <c r="H958"/>
      <c r="I958"/>
      <c r="J958"/>
      <c r="K958"/>
      <c r="L958"/>
      <c r="M958"/>
      <c r="N958"/>
    </row>
    <row r="959" spans="3:14" x14ac:dyDescent="0.3">
      <c r="C959"/>
      <c r="D959"/>
      <c r="E959"/>
      <c r="F959"/>
      <c r="G959"/>
      <c r="H959"/>
      <c r="I959"/>
      <c r="J959"/>
      <c r="K959"/>
      <c r="L959"/>
      <c r="M959"/>
      <c r="N959"/>
    </row>
    <row r="960" spans="3:14" x14ac:dyDescent="0.3">
      <c r="C960"/>
      <c r="D960"/>
      <c r="E960"/>
      <c r="F960"/>
      <c r="G960"/>
      <c r="H960"/>
      <c r="I960"/>
      <c r="J960"/>
      <c r="K960"/>
      <c r="L960"/>
      <c r="M960"/>
      <c r="N960"/>
    </row>
    <row r="961" spans="3:14" x14ac:dyDescent="0.3">
      <c r="C961"/>
      <c r="D961"/>
      <c r="E961"/>
      <c r="F961"/>
      <c r="G961"/>
      <c r="H961"/>
      <c r="I961"/>
      <c r="J961"/>
      <c r="K961"/>
      <c r="L961"/>
      <c r="M961"/>
      <c r="N961"/>
    </row>
    <row r="962" spans="3:14" x14ac:dyDescent="0.3">
      <c r="C962"/>
      <c r="D962"/>
      <c r="E962"/>
      <c r="F962"/>
      <c r="G962"/>
      <c r="H962"/>
      <c r="I962"/>
      <c r="J962"/>
      <c r="K962"/>
      <c r="L962"/>
      <c r="M962"/>
      <c r="N962"/>
    </row>
    <row r="963" spans="3:14" x14ac:dyDescent="0.3">
      <c r="C963"/>
      <c r="D963"/>
      <c r="E963"/>
      <c r="F963"/>
      <c r="G963"/>
      <c r="H963"/>
      <c r="I963"/>
      <c r="J963"/>
      <c r="K963"/>
      <c r="L963"/>
      <c r="M963"/>
      <c r="N963"/>
    </row>
    <row r="964" spans="3:14" x14ac:dyDescent="0.3">
      <c r="C964"/>
      <c r="D964"/>
      <c r="E964"/>
      <c r="F964"/>
      <c r="G964"/>
      <c r="H964"/>
      <c r="I964"/>
      <c r="J964"/>
      <c r="K964"/>
      <c r="L964"/>
      <c r="M964"/>
      <c r="N964"/>
    </row>
    <row r="965" spans="3:14" x14ac:dyDescent="0.3">
      <c r="C965"/>
      <c r="D965"/>
      <c r="E965"/>
      <c r="F965"/>
      <c r="G965"/>
      <c r="H965"/>
      <c r="I965"/>
      <c r="J965"/>
      <c r="K965"/>
      <c r="L965"/>
      <c r="M965"/>
      <c r="N965"/>
    </row>
    <row r="966" spans="3:14" x14ac:dyDescent="0.3">
      <c r="C966"/>
      <c r="D966"/>
      <c r="E966"/>
      <c r="F966"/>
      <c r="G966"/>
      <c r="H966"/>
      <c r="I966"/>
      <c r="J966"/>
      <c r="K966"/>
      <c r="L966"/>
      <c r="M966"/>
      <c r="N966"/>
    </row>
    <row r="967" spans="3:14" x14ac:dyDescent="0.3">
      <c r="C967"/>
      <c r="D967"/>
      <c r="E967"/>
      <c r="F967"/>
      <c r="G967"/>
      <c r="H967"/>
      <c r="I967"/>
      <c r="J967"/>
      <c r="K967"/>
      <c r="L967"/>
      <c r="M967"/>
      <c r="N967"/>
    </row>
    <row r="968" spans="3:14" x14ac:dyDescent="0.3">
      <c r="C968"/>
      <c r="D968"/>
      <c r="E968"/>
      <c r="F968"/>
      <c r="G968"/>
      <c r="H968"/>
      <c r="I968"/>
      <c r="J968"/>
      <c r="K968"/>
      <c r="L968"/>
      <c r="M968"/>
      <c r="N968"/>
    </row>
    <row r="969" spans="3:14" x14ac:dyDescent="0.3">
      <c r="C969"/>
      <c r="D969"/>
      <c r="E969"/>
      <c r="F969"/>
      <c r="G969"/>
      <c r="H969"/>
      <c r="I969"/>
      <c r="J969"/>
      <c r="K969"/>
      <c r="L969"/>
      <c r="M969"/>
      <c r="N969"/>
    </row>
    <row r="970" spans="3:14" x14ac:dyDescent="0.3">
      <c r="C970"/>
      <c r="D970"/>
      <c r="E970"/>
      <c r="F970"/>
      <c r="G970"/>
      <c r="H970"/>
      <c r="I970"/>
      <c r="J970"/>
      <c r="K970"/>
      <c r="L970"/>
      <c r="M970"/>
      <c r="N970"/>
    </row>
    <row r="971" spans="3:14" x14ac:dyDescent="0.3">
      <c r="C971"/>
      <c r="D971"/>
      <c r="E971"/>
      <c r="F971"/>
      <c r="G971"/>
      <c r="H971"/>
      <c r="I971"/>
      <c r="J971"/>
      <c r="K971"/>
      <c r="L971"/>
      <c r="M971"/>
      <c r="N971"/>
    </row>
    <row r="972" spans="3:14" x14ac:dyDescent="0.3">
      <c r="C972"/>
      <c r="D972"/>
      <c r="E972"/>
      <c r="F972"/>
      <c r="G972"/>
      <c r="H972"/>
      <c r="I972"/>
      <c r="J972"/>
      <c r="K972"/>
      <c r="L972"/>
      <c r="M972"/>
      <c r="N972"/>
    </row>
    <row r="973" spans="3:14" x14ac:dyDescent="0.3">
      <c r="C973"/>
      <c r="D973"/>
      <c r="E973"/>
      <c r="F973"/>
      <c r="G973"/>
      <c r="H973"/>
      <c r="I973"/>
      <c r="J973"/>
      <c r="K973"/>
      <c r="L973"/>
      <c r="M973"/>
      <c r="N973"/>
    </row>
    <row r="974" spans="3:14" x14ac:dyDescent="0.3">
      <c r="C974"/>
      <c r="D974"/>
      <c r="E974"/>
      <c r="F974"/>
      <c r="G974"/>
      <c r="H974"/>
      <c r="I974"/>
      <c r="J974"/>
      <c r="K974"/>
      <c r="L974"/>
      <c r="M974"/>
      <c r="N974"/>
    </row>
    <row r="975" spans="3:14" x14ac:dyDescent="0.3">
      <c r="C975"/>
      <c r="D975"/>
      <c r="E975"/>
      <c r="F975"/>
      <c r="G975"/>
      <c r="H975"/>
      <c r="I975"/>
      <c r="J975"/>
      <c r="K975"/>
      <c r="L975"/>
      <c r="M975"/>
      <c r="N975"/>
    </row>
    <row r="976" spans="3:14" x14ac:dyDescent="0.3">
      <c r="C976"/>
      <c r="D976"/>
      <c r="E976"/>
      <c r="F976"/>
      <c r="G976"/>
      <c r="H976"/>
      <c r="I976"/>
      <c r="J976"/>
      <c r="K976"/>
      <c r="L976"/>
      <c r="M976"/>
      <c r="N976"/>
    </row>
    <row r="977" spans="3:14" x14ac:dyDescent="0.3">
      <c r="C977"/>
      <c r="D977"/>
      <c r="E977"/>
      <c r="F977"/>
      <c r="G977"/>
      <c r="H977"/>
      <c r="I977"/>
      <c r="J977"/>
      <c r="K977"/>
      <c r="L977"/>
      <c r="M977"/>
      <c r="N977"/>
    </row>
    <row r="978" spans="3:14" x14ac:dyDescent="0.3">
      <c r="C978"/>
      <c r="D978"/>
      <c r="E978"/>
      <c r="F978"/>
      <c r="G978"/>
      <c r="H978"/>
      <c r="I978"/>
      <c r="J978"/>
      <c r="K978"/>
      <c r="L978"/>
      <c r="M978"/>
      <c r="N978"/>
    </row>
    <row r="979" spans="3:14" x14ac:dyDescent="0.3">
      <c r="C979"/>
      <c r="D979"/>
      <c r="E979"/>
      <c r="F979"/>
      <c r="G979"/>
      <c r="H979"/>
      <c r="I979"/>
      <c r="J979"/>
      <c r="K979"/>
      <c r="L979"/>
      <c r="M979"/>
      <c r="N979"/>
    </row>
    <row r="980" spans="3:14" x14ac:dyDescent="0.3">
      <c r="C980"/>
      <c r="D980"/>
      <c r="E980"/>
      <c r="F980"/>
      <c r="G980"/>
      <c r="H980"/>
      <c r="I980"/>
      <c r="J980"/>
      <c r="K980"/>
      <c r="L980"/>
      <c r="M980"/>
      <c r="N980"/>
    </row>
    <row r="981" spans="3:14" x14ac:dyDescent="0.3">
      <c r="C981"/>
      <c r="D981"/>
      <c r="E981"/>
      <c r="F981"/>
      <c r="G981"/>
      <c r="H981"/>
      <c r="I981"/>
      <c r="J981"/>
      <c r="K981"/>
      <c r="L981"/>
      <c r="M981"/>
      <c r="N981"/>
    </row>
    <row r="982" spans="3:14" x14ac:dyDescent="0.3">
      <c r="C982"/>
      <c r="D982"/>
      <c r="E982"/>
      <c r="F982"/>
      <c r="G982"/>
      <c r="H982"/>
      <c r="I982"/>
      <c r="J982"/>
      <c r="K982"/>
      <c r="L982"/>
      <c r="M982"/>
      <c r="N982"/>
    </row>
    <row r="983" spans="3:14" x14ac:dyDescent="0.3">
      <c r="C983"/>
      <c r="D983"/>
      <c r="E983"/>
      <c r="F983"/>
      <c r="G983"/>
      <c r="H983"/>
      <c r="I983"/>
      <c r="J983"/>
      <c r="K983"/>
      <c r="L983"/>
      <c r="M983"/>
      <c r="N983"/>
    </row>
    <row r="984" spans="3:14" x14ac:dyDescent="0.3">
      <c r="C984"/>
      <c r="D984"/>
      <c r="E984"/>
      <c r="F984"/>
      <c r="G984"/>
      <c r="H984"/>
      <c r="I984"/>
      <c r="J984"/>
      <c r="K984"/>
      <c r="L984"/>
      <c r="M984"/>
      <c r="N984"/>
    </row>
    <row r="985" spans="3:14" x14ac:dyDescent="0.3">
      <c r="C985"/>
      <c r="D985"/>
      <c r="E985"/>
      <c r="F985"/>
      <c r="G985"/>
      <c r="H985"/>
      <c r="I985"/>
      <c r="J985"/>
      <c r="K985"/>
      <c r="L985"/>
      <c r="M985"/>
      <c r="N985"/>
    </row>
    <row r="986" spans="3:14" x14ac:dyDescent="0.3">
      <c r="C986"/>
      <c r="D986"/>
      <c r="E986"/>
      <c r="F986"/>
      <c r="G986"/>
      <c r="H986"/>
      <c r="I986"/>
      <c r="J986"/>
      <c r="K986"/>
      <c r="L986"/>
      <c r="M986"/>
      <c r="N986"/>
    </row>
    <row r="987" spans="3:14" x14ac:dyDescent="0.3">
      <c r="C987"/>
      <c r="D987"/>
      <c r="E987"/>
      <c r="F987"/>
      <c r="G987"/>
      <c r="H987"/>
      <c r="I987"/>
      <c r="J987"/>
      <c r="K987"/>
      <c r="L987"/>
      <c r="M987"/>
      <c r="N987"/>
    </row>
    <row r="988" spans="3:14" x14ac:dyDescent="0.3">
      <c r="C988"/>
      <c r="D988"/>
      <c r="E988"/>
      <c r="F988"/>
      <c r="G988"/>
      <c r="H988"/>
      <c r="I988"/>
      <c r="J988"/>
      <c r="K988"/>
      <c r="L988"/>
      <c r="M988"/>
      <c r="N988"/>
    </row>
    <row r="989" spans="3:14" x14ac:dyDescent="0.3">
      <c r="C989"/>
      <c r="D989"/>
      <c r="E989"/>
      <c r="F989"/>
      <c r="G989"/>
      <c r="H989"/>
      <c r="I989"/>
      <c r="J989"/>
      <c r="K989"/>
      <c r="L989"/>
      <c r="M989"/>
      <c r="N989"/>
    </row>
    <row r="990" spans="3:14" x14ac:dyDescent="0.3">
      <c r="C990"/>
      <c r="D990"/>
      <c r="E990"/>
      <c r="F990"/>
      <c r="G990"/>
      <c r="H990"/>
      <c r="I990"/>
      <c r="J990"/>
      <c r="K990"/>
      <c r="L990"/>
      <c r="M990"/>
      <c r="N990"/>
    </row>
    <row r="991" spans="3:14" x14ac:dyDescent="0.3">
      <c r="C991"/>
      <c r="D991"/>
      <c r="E991"/>
      <c r="F991"/>
      <c r="G991"/>
      <c r="H991"/>
      <c r="I991"/>
      <c r="J991"/>
      <c r="K991"/>
      <c r="L991"/>
      <c r="M991"/>
      <c r="N991"/>
    </row>
    <row r="992" spans="3:14" x14ac:dyDescent="0.3">
      <c r="C992"/>
      <c r="D992"/>
      <c r="E992"/>
      <c r="F992"/>
      <c r="G992"/>
      <c r="H992"/>
      <c r="I992"/>
      <c r="J992"/>
      <c r="K992"/>
      <c r="L992"/>
      <c r="M992"/>
      <c r="N992"/>
    </row>
    <row r="993" spans="3:14" x14ac:dyDescent="0.3">
      <c r="C993"/>
      <c r="D993"/>
      <c r="E993"/>
      <c r="F993"/>
      <c r="G993"/>
      <c r="H993"/>
      <c r="I993"/>
      <c r="J993"/>
      <c r="K993"/>
      <c r="L993"/>
      <c r="M993"/>
      <c r="N993"/>
    </row>
    <row r="994" spans="3:14" x14ac:dyDescent="0.3">
      <c r="C994"/>
      <c r="D994"/>
      <c r="E994"/>
      <c r="F994"/>
      <c r="G994"/>
      <c r="H994"/>
      <c r="I994"/>
      <c r="J994"/>
      <c r="K994"/>
      <c r="L994"/>
      <c r="M994"/>
      <c r="N994"/>
    </row>
    <row r="995" spans="3:14" x14ac:dyDescent="0.3">
      <c r="C995"/>
      <c r="D995"/>
      <c r="E995"/>
      <c r="F995"/>
      <c r="G995"/>
      <c r="H995"/>
      <c r="I995"/>
      <c r="J995"/>
      <c r="K995"/>
      <c r="L995"/>
      <c r="M995"/>
      <c r="N995"/>
    </row>
    <row r="996" spans="3:14" x14ac:dyDescent="0.3">
      <c r="C996"/>
      <c r="D996"/>
      <c r="E996"/>
      <c r="F996"/>
      <c r="G996"/>
      <c r="H996"/>
      <c r="I996"/>
      <c r="J996"/>
      <c r="K996"/>
      <c r="L996"/>
      <c r="M996"/>
      <c r="N996"/>
    </row>
    <row r="997" spans="3:14" x14ac:dyDescent="0.3">
      <c r="C997"/>
      <c r="D997"/>
      <c r="E997"/>
      <c r="F997"/>
      <c r="G997"/>
      <c r="H997"/>
      <c r="I997"/>
      <c r="J997"/>
      <c r="K997"/>
      <c r="L997"/>
      <c r="M997"/>
      <c r="N997"/>
    </row>
    <row r="998" spans="3:14" x14ac:dyDescent="0.3">
      <c r="C998"/>
      <c r="D998"/>
      <c r="E998"/>
      <c r="F998"/>
      <c r="G998"/>
      <c r="H998"/>
      <c r="I998"/>
      <c r="J998"/>
      <c r="K998"/>
      <c r="L998"/>
      <c r="M998"/>
      <c r="N998"/>
    </row>
    <row r="999" spans="3:14" x14ac:dyDescent="0.3">
      <c r="C999"/>
      <c r="D999"/>
      <c r="E999"/>
      <c r="F999"/>
      <c r="G999"/>
      <c r="H999"/>
      <c r="I999"/>
      <c r="J999"/>
      <c r="K999"/>
      <c r="L999"/>
      <c r="M999"/>
      <c r="N999"/>
    </row>
    <row r="1000" spans="3:14" x14ac:dyDescent="0.3">
      <c r="C1000"/>
      <c r="D1000"/>
      <c r="E1000"/>
      <c r="F1000"/>
      <c r="G1000"/>
      <c r="H1000"/>
      <c r="I1000"/>
      <c r="J1000"/>
      <c r="K1000"/>
      <c r="L1000"/>
      <c r="M1000"/>
      <c r="N1000"/>
    </row>
    <row r="1001" spans="3:14" x14ac:dyDescent="0.3">
      <c r="C1001"/>
      <c r="D1001"/>
      <c r="E1001"/>
      <c r="F1001"/>
      <c r="G1001"/>
      <c r="H1001"/>
      <c r="I1001"/>
      <c r="J1001"/>
      <c r="K1001"/>
      <c r="L1001"/>
      <c r="M1001"/>
      <c r="N1001"/>
    </row>
    <row r="1002" spans="3:14" x14ac:dyDescent="0.3">
      <c r="C1002"/>
      <c r="D1002"/>
      <c r="E1002"/>
      <c r="F1002"/>
      <c r="G1002"/>
      <c r="H1002"/>
      <c r="I1002"/>
      <c r="J1002"/>
      <c r="K1002"/>
      <c r="L1002"/>
      <c r="M1002"/>
      <c r="N1002"/>
    </row>
    <row r="1003" spans="3:14" x14ac:dyDescent="0.3">
      <c r="C1003"/>
      <c r="D1003"/>
      <c r="E1003"/>
      <c r="F1003"/>
      <c r="G1003"/>
      <c r="H1003"/>
      <c r="I1003"/>
      <c r="J1003"/>
      <c r="K1003"/>
      <c r="L1003"/>
      <c r="M1003"/>
      <c r="N1003"/>
    </row>
    <row r="1004" spans="3:14" x14ac:dyDescent="0.3">
      <c r="C1004"/>
      <c r="D1004"/>
      <c r="E1004"/>
      <c r="F1004"/>
      <c r="G1004"/>
      <c r="H1004"/>
      <c r="I1004"/>
      <c r="J1004"/>
      <c r="K1004"/>
      <c r="L1004"/>
      <c r="M1004"/>
      <c r="N1004"/>
    </row>
    <row r="1005" spans="3:14" x14ac:dyDescent="0.3">
      <c r="C1005"/>
      <c r="D1005"/>
      <c r="E1005"/>
      <c r="F1005"/>
      <c r="G1005"/>
      <c r="H1005"/>
      <c r="I1005"/>
      <c r="J1005"/>
      <c r="K1005"/>
      <c r="L1005"/>
      <c r="M1005"/>
      <c r="N1005"/>
    </row>
    <row r="1006" spans="3:14" x14ac:dyDescent="0.3">
      <c r="C1006"/>
      <c r="D1006"/>
      <c r="E1006"/>
      <c r="F1006"/>
      <c r="G1006"/>
      <c r="H1006"/>
      <c r="I1006"/>
      <c r="J1006"/>
      <c r="K1006"/>
      <c r="L1006"/>
      <c r="M1006"/>
      <c r="N1006"/>
    </row>
    <row r="1007" spans="3:14" x14ac:dyDescent="0.3">
      <c r="C1007"/>
      <c r="D1007"/>
      <c r="E1007"/>
      <c r="F1007"/>
      <c r="G1007"/>
      <c r="H1007"/>
      <c r="I1007"/>
      <c r="J1007"/>
      <c r="K1007"/>
      <c r="L1007"/>
      <c r="M1007"/>
      <c r="N1007"/>
    </row>
  </sheetData>
  <mergeCells count="6">
    <mergeCell ref="X20:X21"/>
    <mergeCell ref="A1:S1"/>
    <mergeCell ref="P3:V3"/>
    <mergeCell ref="X6:X8"/>
    <mergeCell ref="X15:X18"/>
    <mergeCell ref="X10:X13"/>
  </mergeCells>
  <conditionalFormatting sqref="U49 P18:R19 T34:U37 U32:U33 Q28:R33 Q23:Q28 R21:R28 P39 Q38 P44 Q43">
    <cfRule type="cellIs" dxfId="1617" priority="63" operator="equal">
      <formula>"(blank)"</formula>
    </cfRule>
  </conditionalFormatting>
  <conditionalFormatting sqref="U41">
    <cfRule type="cellIs" dxfId="1616" priority="62" operator="equal">
      <formula>"(blank)"</formula>
    </cfRule>
  </conditionalFormatting>
  <conditionalFormatting sqref="U42">
    <cfRule type="cellIs" dxfId="1615" priority="61" operator="equal">
      <formula>"(blank)"</formula>
    </cfRule>
  </conditionalFormatting>
  <conditionalFormatting sqref="U43">
    <cfRule type="cellIs" dxfId="1614" priority="60" operator="equal">
      <formula>"(blank)"</formula>
    </cfRule>
  </conditionalFormatting>
  <conditionalFormatting sqref="T38:T39">
    <cfRule type="cellIs" dxfId="1613" priority="59" operator="equal">
      <formula>"(blank)"</formula>
    </cfRule>
  </conditionalFormatting>
  <conditionalFormatting sqref="U38">
    <cfRule type="cellIs" dxfId="1612" priority="54" operator="equal">
      <formula>"(blank)"</formula>
    </cfRule>
  </conditionalFormatting>
  <conditionalFormatting sqref="U39">
    <cfRule type="cellIs" dxfId="1611" priority="53" operator="equal">
      <formula>"(blank)"</formula>
    </cfRule>
  </conditionalFormatting>
  <conditionalFormatting sqref="U40">
    <cfRule type="cellIs" dxfId="1610" priority="52" operator="equal">
      <formula>"(blank)"</formula>
    </cfRule>
  </conditionalFormatting>
  <conditionalFormatting sqref="U41">
    <cfRule type="cellIs" dxfId="1609" priority="51" operator="equal">
      <formula>"(blank)"</formula>
    </cfRule>
  </conditionalFormatting>
  <conditionalFormatting sqref="U45">
    <cfRule type="cellIs" dxfId="1608" priority="50" operator="equal">
      <formula>"(blank)"</formula>
    </cfRule>
  </conditionalFormatting>
  <conditionalFormatting sqref="U46">
    <cfRule type="cellIs" dxfId="1607" priority="49" operator="equal">
      <formula>"(blank)"</formula>
    </cfRule>
  </conditionalFormatting>
  <conditionalFormatting sqref="U47">
    <cfRule type="cellIs" dxfId="1606" priority="48" operator="equal">
      <formula>"(blank)"</formula>
    </cfRule>
  </conditionalFormatting>
  <conditionalFormatting sqref="P20:S20 P21:Q21 S21">
    <cfRule type="cellIs" dxfId="1605" priority="20" operator="equal">
      <formula>"(blank)"</formula>
    </cfRule>
  </conditionalFormatting>
  <conditionalFormatting sqref="Q34:R34">
    <cfRule type="cellIs" dxfId="1604" priority="1" operator="equal">
      <formula>"(blank)"</formula>
    </cfRule>
  </conditionalFormatting>
  <dataValidations count="2">
    <dataValidation type="list" allowBlank="1" showInputMessage="1" showErrorMessage="1" sqref="E6" xr:uid="{F5C11808-EB22-46CE-B4D3-658C57EB43C0}">
      <formula1>"Canola HEFA, Corn ATJ-ethanol, Distillers Corn Oil HEFA, Soybean HEFA, Sugarcane ATJ-ethanol,Tallow HEFA,UCO HEFA"</formula1>
    </dataValidation>
    <dataValidation type="list" allowBlank="1" showInputMessage="1" showErrorMessage="1" sqref="F25" xr:uid="{F60E83EA-432D-49E7-ABBE-96E44238FFFF}">
      <formula1>"1,2,3,4,5,6,7,8,9,10,11,12,13,14,15,16,17,18,19,20,21,22,23,24,25,26,27"</formula1>
    </dataValidation>
  </dataValidations>
  <pageMargins left="0.7" right="0.7" top="0.75" bottom="0.75" header="0.3" footer="0.3"/>
  <pageSetup orientation="portrait" r:id="rId1"/>
  <drawing r:id="rId2"/>
  <legacyDrawing r:id="rId3"/>
  <tableParts count="1">
    <tablePart r:id="rId4"/>
  </tableParts>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04F79-D44D-4EDA-B7D3-E27B727D44CB}">
  <sheetPr codeName="Transportation"/>
  <dimension ref="A1:U882"/>
  <sheetViews>
    <sheetView topLeftCell="K850" zoomScaleNormal="70" workbookViewId="0">
      <selection activeCell="O878" sqref="O878"/>
    </sheetView>
  </sheetViews>
  <sheetFormatPr defaultRowHeight="14.4" x14ac:dyDescent="0.3"/>
  <cols>
    <col min="1" max="4" width="14" customWidth="1"/>
    <col min="5" max="5" width="86.88671875" style="14" customWidth="1"/>
    <col min="6" max="6" width="17.44140625" style="14" customWidth="1"/>
    <col min="7" max="7" width="18.44140625" style="14" customWidth="1"/>
    <col min="8" max="9" width="14.5546875" style="14" customWidth="1"/>
    <col min="10" max="11" width="18.88671875" style="14" customWidth="1"/>
    <col min="12" max="13" width="10.6640625" style="14" customWidth="1"/>
    <col min="14" max="14" width="47.5546875" style="14" bestFit="1" customWidth="1"/>
    <col min="15" max="15" width="53.5546875" style="14" customWidth="1"/>
    <col min="16" max="16" width="34.44140625" customWidth="1"/>
    <col min="17" max="17" width="49.109375" customWidth="1"/>
    <col min="18" max="18" width="14.44140625" style="199" customWidth="1"/>
    <col min="19" max="19" width="14.44140625" style="395" customWidth="1"/>
    <col min="20" max="20" width="60.44140625" customWidth="1"/>
    <col min="21" max="21" width="0.44140625" style="14" hidden="1" customWidth="1"/>
  </cols>
  <sheetData>
    <row r="1" spans="1:21" x14ac:dyDescent="0.3">
      <c r="A1" s="342" t="s">
        <v>17</v>
      </c>
      <c r="B1" s="32" t="s">
        <v>18</v>
      </c>
      <c r="C1" s="32" t="s">
        <v>22</v>
      </c>
      <c r="D1" s="341" t="s">
        <v>442</v>
      </c>
      <c r="E1" s="341" t="s">
        <v>441</v>
      </c>
      <c r="F1" s="32" t="s">
        <v>19</v>
      </c>
      <c r="G1" s="32" t="s">
        <v>20</v>
      </c>
      <c r="H1" s="32" t="s">
        <v>23</v>
      </c>
      <c r="I1" s="32" t="s">
        <v>443</v>
      </c>
      <c r="J1" s="32" t="s">
        <v>24</v>
      </c>
      <c r="K1" s="32" t="s">
        <v>121</v>
      </c>
      <c r="L1" s="32" t="s">
        <v>25</v>
      </c>
      <c r="M1" s="341" t="s">
        <v>26</v>
      </c>
      <c r="N1" s="341" t="s">
        <v>92</v>
      </c>
      <c r="O1" s="341" t="s">
        <v>93</v>
      </c>
      <c r="P1" s="341" t="s">
        <v>97</v>
      </c>
      <c r="Q1" s="341" t="s">
        <v>94</v>
      </c>
      <c r="R1" s="341" t="s">
        <v>98</v>
      </c>
      <c r="S1" s="341" t="s">
        <v>99</v>
      </c>
      <c r="T1" s="341" t="s">
        <v>91</v>
      </c>
      <c r="U1" s="341" t="s">
        <v>926</v>
      </c>
    </row>
    <row r="2" spans="1:21" x14ac:dyDescent="0.3">
      <c r="A2" s="190" t="s">
        <v>10</v>
      </c>
      <c r="B2" s="178" t="s">
        <v>30</v>
      </c>
      <c r="C2" s="178" t="s">
        <v>29</v>
      </c>
      <c r="D2" s="178" t="s">
        <v>29</v>
      </c>
      <c r="E2" s="178" t="s">
        <v>31</v>
      </c>
      <c r="F2" s="14" t="b">
        <f>OR(Transport_Table[[#This Row],[Feedstock]]="All",Transport_Table[[#This Row],[Feedstock]]=SelectedFeedstock)</f>
        <v>0</v>
      </c>
      <c r="G2" s="14" t="b">
        <f>OR(Transport_Table[[#This Row],[Conversion]]="All",Transport_Table[[#This Row],[Conversion]]=SelectedConversion)</f>
        <v>1</v>
      </c>
      <c r="H2" s="14" t="b">
        <f>OR(Transport_Table[[#This Row],[Data Set]]="All",Transport_Table[[#This Row],[Data Set]]=SelectedDataSet)</f>
        <v>1</v>
      </c>
      <c r="I2" s="14" t="b">
        <f>OR(Transport_Table[[#This Row],[Technology]]="All",Transport_Table[[#This Row],[Technology]]=SelectedTechnology)</f>
        <v>1</v>
      </c>
      <c r="J2" s="14" t="b">
        <f>OR(Transport_Table[[#This Row],[Data Source]]="All",Transport_Table[[#This Row],[Data Source]]=SelectedDataSource)</f>
        <v>1</v>
      </c>
      <c r="K2" s="14" t="b">
        <v>1</v>
      </c>
      <c r="L2" s="14" t="b">
        <f>AND(Transport_Table[[#This Row],[Show Feedstock]:[Show Data Source]],NOT(Transport_Table[[#This Row],[Hide Column]]))</f>
        <v>0</v>
      </c>
      <c r="M2" s="14" t="s">
        <v>14</v>
      </c>
      <c r="N2" s="14" t="s">
        <v>1157</v>
      </c>
      <c r="O2" s="14" t="s">
        <v>1239</v>
      </c>
      <c r="P2" s="178" t="s">
        <v>10</v>
      </c>
      <c r="Q2" s="241" t="s">
        <v>1938</v>
      </c>
      <c r="R2" s="393">
        <v>0</v>
      </c>
      <c r="S2" s="394">
        <v>0</v>
      </c>
      <c r="T2" s="14"/>
    </row>
    <row r="3" spans="1:21" x14ac:dyDescent="0.3">
      <c r="A3" s="190" t="s">
        <v>10</v>
      </c>
      <c r="B3" s="178" t="s">
        <v>30</v>
      </c>
      <c r="C3" s="178" t="s">
        <v>29</v>
      </c>
      <c r="D3" s="178" t="s">
        <v>29</v>
      </c>
      <c r="E3" s="178" t="s">
        <v>31</v>
      </c>
      <c r="F3" s="14" t="b">
        <f>OR(Transport_Table[[#This Row],[Feedstock]]="All",Transport_Table[[#This Row],[Feedstock]]=SelectedFeedstock)</f>
        <v>0</v>
      </c>
      <c r="G3" s="14" t="b">
        <f>OR(Transport_Table[[#This Row],[Conversion]]="All",Transport_Table[[#This Row],[Conversion]]=SelectedConversion)</f>
        <v>1</v>
      </c>
      <c r="H3" s="14" t="b">
        <f>OR(Transport_Table[[#This Row],[Data Set]]="All",Transport_Table[[#This Row],[Data Set]]=SelectedDataSet)</f>
        <v>1</v>
      </c>
      <c r="I3" s="14" t="b">
        <f>OR(Transport_Table[[#This Row],[Technology]]="All",Transport_Table[[#This Row],[Technology]]=SelectedTechnology)</f>
        <v>1</v>
      </c>
      <c r="J3" s="14" t="b">
        <f>OR(Transport_Table[[#This Row],[Data Source]]="All",Transport_Table[[#This Row],[Data Source]]=SelectedDataSource)</f>
        <v>1</v>
      </c>
      <c r="K3" s="14" t="b">
        <v>1</v>
      </c>
      <c r="L3" s="14" t="b">
        <f>AND(Transport_Table[[#This Row],[Show Feedstock]:[Show Data Source]],NOT(Transport_Table[[#This Row],[Hide Column]]))</f>
        <v>0</v>
      </c>
      <c r="M3" s="14" t="s">
        <v>14</v>
      </c>
      <c r="N3" s="14" t="s">
        <v>1158</v>
      </c>
      <c r="O3" s="14" t="s">
        <v>1240</v>
      </c>
      <c r="P3" s="178" t="s">
        <v>10</v>
      </c>
      <c r="Q3" s="241" t="s">
        <v>1939</v>
      </c>
      <c r="R3" s="393">
        <v>0</v>
      </c>
      <c r="S3" s="394">
        <v>0</v>
      </c>
      <c r="T3" s="107"/>
    </row>
    <row r="4" spans="1:21" x14ac:dyDescent="0.3">
      <c r="A4" s="190" t="s">
        <v>10</v>
      </c>
      <c r="B4" s="178" t="s">
        <v>30</v>
      </c>
      <c r="C4" s="178" t="s">
        <v>29</v>
      </c>
      <c r="D4" s="178" t="s">
        <v>29</v>
      </c>
      <c r="E4" s="178" t="s">
        <v>31</v>
      </c>
      <c r="F4" s="14" t="b">
        <f>OR(Transport_Table[[#This Row],[Feedstock]]="All",Transport_Table[[#This Row],[Feedstock]]=SelectedFeedstock)</f>
        <v>0</v>
      </c>
      <c r="G4" s="14" t="b">
        <f>OR(Transport_Table[[#This Row],[Conversion]]="All",Transport_Table[[#This Row],[Conversion]]=SelectedConversion)</f>
        <v>1</v>
      </c>
      <c r="H4" s="14" t="b">
        <f>OR(Transport_Table[[#This Row],[Data Set]]="All",Transport_Table[[#This Row],[Data Set]]=SelectedDataSet)</f>
        <v>1</v>
      </c>
      <c r="I4" s="14" t="b">
        <f>OR(Transport_Table[[#This Row],[Technology]]="All",Transport_Table[[#This Row],[Technology]]=SelectedTechnology)</f>
        <v>1</v>
      </c>
      <c r="J4" s="14" t="b">
        <f>OR(Transport_Table[[#This Row],[Data Source]]="All",Transport_Table[[#This Row],[Data Source]]=SelectedDataSource)</f>
        <v>1</v>
      </c>
      <c r="K4" s="14" t="b">
        <v>1</v>
      </c>
      <c r="L4" s="14" t="b">
        <f>AND(Transport_Table[[#This Row],[Show Feedstock]:[Show Data Source]],NOT(Transport_Table[[#This Row],[Hide Column]]))</f>
        <v>0</v>
      </c>
      <c r="M4" s="14" t="s">
        <v>14</v>
      </c>
      <c r="N4" s="14" t="s">
        <v>1159</v>
      </c>
      <c r="O4" s="14" t="s">
        <v>1241</v>
      </c>
      <c r="P4" s="178" t="s">
        <v>10</v>
      </c>
      <c r="Q4" s="241" t="s">
        <v>1940</v>
      </c>
      <c r="R4" s="393">
        <v>1</v>
      </c>
      <c r="S4" s="394">
        <v>40</v>
      </c>
      <c r="T4" s="107"/>
    </row>
    <row r="5" spans="1:21" x14ac:dyDescent="0.3">
      <c r="A5" s="190" t="s">
        <v>10</v>
      </c>
      <c r="B5" s="178" t="s">
        <v>30</v>
      </c>
      <c r="C5" s="178" t="s">
        <v>29</v>
      </c>
      <c r="D5" s="178" t="s">
        <v>29</v>
      </c>
      <c r="E5" s="178" t="s">
        <v>31</v>
      </c>
      <c r="F5" s="14" t="b">
        <f>OR(Transport_Table[[#This Row],[Feedstock]]="All",Transport_Table[[#This Row],[Feedstock]]=SelectedFeedstock)</f>
        <v>0</v>
      </c>
      <c r="G5" s="14" t="b">
        <f>OR(Transport_Table[[#This Row],[Conversion]]="All",Transport_Table[[#This Row],[Conversion]]=SelectedConversion)</f>
        <v>1</v>
      </c>
      <c r="H5" s="14" t="b">
        <f>OR(Transport_Table[[#This Row],[Data Set]]="All",Transport_Table[[#This Row],[Data Set]]=SelectedDataSet)</f>
        <v>1</v>
      </c>
      <c r="I5" s="14" t="b">
        <f>OR(Transport_Table[[#This Row],[Technology]]="All",Transport_Table[[#This Row],[Technology]]=SelectedTechnology)</f>
        <v>1</v>
      </c>
      <c r="J5" s="14" t="b">
        <f>OR(Transport_Table[[#This Row],[Data Source]]="All",Transport_Table[[#This Row],[Data Source]]=SelectedDataSource)</f>
        <v>1</v>
      </c>
      <c r="K5" s="14" t="b">
        <v>1</v>
      </c>
      <c r="L5" s="14" t="b">
        <f>AND(Transport_Table[[#This Row],[Show Feedstock]:[Show Data Source]],NOT(Transport_Table[[#This Row],[Hide Column]]))</f>
        <v>0</v>
      </c>
      <c r="M5" s="14" t="s">
        <v>14</v>
      </c>
      <c r="N5" s="14" t="s">
        <v>1160</v>
      </c>
      <c r="O5" s="14" t="s">
        <v>1242</v>
      </c>
      <c r="P5" s="178" t="s">
        <v>10</v>
      </c>
      <c r="Q5" s="241" t="s">
        <v>1941</v>
      </c>
      <c r="R5" s="393">
        <v>1</v>
      </c>
      <c r="S5" s="394">
        <v>10</v>
      </c>
      <c r="T5" s="107"/>
    </row>
    <row r="6" spans="1:21" x14ac:dyDescent="0.3">
      <c r="A6" s="190" t="s">
        <v>10</v>
      </c>
      <c r="B6" s="178" t="s">
        <v>30</v>
      </c>
      <c r="C6" s="178" t="s">
        <v>29</v>
      </c>
      <c r="D6" s="178" t="s">
        <v>29</v>
      </c>
      <c r="E6" s="178" t="s">
        <v>31</v>
      </c>
      <c r="F6" s="14" t="b">
        <f>OR(Transport_Table[[#This Row],[Feedstock]]="All",Transport_Table[[#This Row],[Feedstock]]=SelectedFeedstock)</f>
        <v>0</v>
      </c>
      <c r="G6" s="14" t="b">
        <f>OR(Transport_Table[[#This Row],[Conversion]]="All",Transport_Table[[#This Row],[Conversion]]=SelectedConversion)</f>
        <v>1</v>
      </c>
      <c r="H6" s="14" t="b">
        <f>OR(Transport_Table[[#This Row],[Data Set]]="All",Transport_Table[[#This Row],[Data Set]]=SelectedDataSet)</f>
        <v>1</v>
      </c>
      <c r="I6" s="14" t="b">
        <f>OR(Transport_Table[[#This Row],[Technology]]="All",Transport_Table[[#This Row],[Technology]]=SelectedTechnology)</f>
        <v>1</v>
      </c>
      <c r="J6" s="14" t="b">
        <f>OR(Transport_Table[[#This Row],[Data Source]]="All",Transport_Table[[#This Row],[Data Source]]=SelectedDataSource)</f>
        <v>1</v>
      </c>
      <c r="K6" s="14" t="b">
        <v>1</v>
      </c>
      <c r="L6" s="14" t="b">
        <f>AND(Transport_Table[[#This Row],[Show Feedstock]:[Show Data Source]],NOT(Transport_Table[[#This Row],[Hide Column]]))</f>
        <v>0</v>
      </c>
      <c r="M6" s="14" t="s">
        <v>14</v>
      </c>
      <c r="N6" s="14" t="s">
        <v>1901</v>
      </c>
      <c r="O6" s="14" t="s">
        <v>1902</v>
      </c>
      <c r="P6" s="178" t="s">
        <v>1903</v>
      </c>
      <c r="Q6" s="241" t="s">
        <v>1938</v>
      </c>
      <c r="R6" s="393">
        <v>0.4</v>
      </c>
      <c r="S6" s="394">
        <v>520</v>
      </c>
      <c r="T6" s="107"/>
    </row>
    <row r="7" spans="1:21" x14ac:dyDescent="0.3">
      <c r="A7" s="190" t="s">
        <v>10</v>
      </c>
      <c r="B7" s="178" t="s">
        <v>30</v>
      </c>
      <c r="C7" s="178" t="s">
        <v>29</v>
      </c>
      <c r="D7" s="178" t="s">
        <v>29</v>
      </c>
      <c r="E7" s="178" t="s">
        <v>31</v>
      </c>
      <c r="F7" s="14" t="b">
        <f>OR(Transport_Table[[#This Row],[Feedstock]]="All",Transport_Table[[#This Row],[Feedstock]]=SelectedFeedstock)</f>
        <v>0</v>
      </c>
      <c r="G7" s="14" t="b">
        <f>OR(Transport_Table[[#This Row],[Conversion]]="All",Transport_Table[[#This Row],[Conversion]]=SelectedConversion)</f>
        <v>1</v>
      </c>
      <c r="H7" s="14" t="b">
        <f>OR(Transport_Table[[#This Row],[Data Set]]="All",Transport_Table[[#This Row],[Data Set]]=SelectedDataSet)</f>
        <v>1</v>
      </c>
      <c r="I7" s="14" t="b">
        <f>OR(Transport_Table[[#This Row],[Technology]]="All",Transport_Table[[#This Row],[Technology]]=SelectedTechnology)</f>
        <v>1</v>
      </c>
      <c r="J7" s="14" t="b">
        <f>OR(Transport_Table[[#This Row],[Data Source]]="All",Transport_Table[[#This Row],[Data Source]]=SelectedDataSource)</f>
        <v>1</v>
      </c>
      <c r="K7" s="14" t="b">
        <v>1</v>
      </c>
      <c r="L7" s="14" t="b">
        <f>AND(Transport_Table[[#This Row],[Show Feedstock]:[Show Data Source]],NOT(Transport_Table[[#This Row],[Hide Column]]))</f>
        <v>0</v>
      </c>
      <c r="M7" s="14" t="s">
        <v>14</v>
      </c>
      <c r="N7" s="14" t="s">
        <v>1904</v>
      </c>
      <c r="O7" s="14" t="s">
        <v>1905</v>
      </c>
      <c r="P7" s="178" t="s">
        <v>1903</v>
      </c>
      <c r="Q7" s="241" t="s">
        <v>1942</v>
      </c>
      <c r="R7" s="393">
        <v>0</v>
      </c>
      <c r="S7" s="394">
        <v>0</v>
      </c>
      <c r="T7" s="107"/>
    </row>
    <row r="8" spans="1:21" x14ac:dyDescent="0.3">
      <c r="A8" s="190" t="s">
        <v>10</v>
      </c>
      <c r="B8" s="178" t="s">
        <v>30</v>
      </c>
      <c r="C8" s="178" t="s">
        <v>29</v>
      </c>
      <c r="D8" s="178" t="s">
        <v>29</v>
      </c>
      <c r="E8" s="178" t="s">
        <v>31</v>
      </c>
      <c r="F8" s="14" t="b">
        <f>OR(Transport_Table[[#This Row],[Feedstock]]="All",Transport_Table[[#This Row],[Feedstock]]=SelectedFeedstock)</f>
        <v>0</v>
      </c>
      <c r="G8" s="14" t="b">
        <f>OR(Transport_Table[[#This Row],[Conversion]]="All",Transport_Table[[#This Row],[Conversion]]=SelectedConversion)</f>
        <v>1</v>
      </c>
      <c r="H8" s="14" t="b">
        <f>OR(Transport_Table[[#This Row],[Data Set]]="All",Transport_Table[[#This Row],[Data Set]]=SelectedDataSet)</f>
        <v>1</v>
      </c>
      <c r="I8" s="14" t="b">
        <f>OR(Transport_Table[[#This Row],[Technology]]="All",Transport_Table[[#This Row],[Technology]]=SelectedTechnology)</f>
        <v>1</v>
      </c>
      <c r="J8" s="14" t="b">
        <f>OR(Transport_Table[[#This Row],[Data Source]]="All",Transport_Table[[#This Row],[Data Source]]=SelectedDataSource)</f>
        <v>1</v>
      </c>
      <c r="K8" s="14" t="b">
        <v>1</v>
      </c>
      <c r="L8" s="14" t="b">
        <f>AND(Transport_Table[[#This Row],[Show Feedstock]:[Show Data Source]],NOT(Transport_Table[[#This Row],[Hide Column]]))</f>
        <v>0</v>
      </c>
      <c r="M8" s="14" t="s">
        <v>14</v>
      </c>
      <c r="N8" s="14" t="s">
        <v>1906</v>
      </c>
      <c r="O8" s="14" t="s">
        <v>1907</v>
      </c>
      <c r="P8" s="178" t="s">
        <v>1903</v>
      </c>
      <c r="Q8" s="241" t="s">
        <v>1939</v>
      </c>
      <c r="R8" s="393">
        <v>0.2</v>
      </c>
      <c r="S8" s="394">
        <v>700</v>
      </c>
      <c r="T8" s="107"/>
    </row>
    <row r="9" spans="1:21" x14ac:dyDescent="0.3">
      <c r="A9" s="190" t="s">
        <v>10</v>
      </c>
      <c r="B9" s="178" t="s">
        <v>30</v>
      </c>
      <c r="C9" s="178" t="s">
        <v>29</v>
      </c>
      <c r="D9" s="178" t="s">
        <v>29</v>
      </c>
      <c r="E9" s="178" t="s">
        <v>31</v>
      </c>
      <c r="F9" s="14" t="b">
        <f>OR(Transport_Table[[#This Row],[Feedstock]]="All",Transport_Table[[#This Row],[Feedstock]]=SelectedFeedstock)</f>
        <v>0</v>
      </c>
      <c r="G9" s="14" t="b">
        <f>OR(Transport_Table[[#This Row],[Conversion]]="All",Transport_Table[[#This Row],[Conversion]]=SelectedConversion)</f>
        <v>1</v>
      </c>
      <c r="H9" s="14" t="b">
        <f>OR(Transport_Table[[#This Row],[Data Set]]="All",Transport_Table[[#This Row],[Data Set]]=SelectedDataSet)</f>
        <v>1</v>
      </c>
      <c r="I9" s="14" t="b">
        <f>OR(Transport_Table[[#This Row],[Technology]]="All",Transport_Table[[#This Row],[Technology]]=SelectedTechnology)</f>
        <v>1</v>
      </c>
      <c r="J9" s="14" t="b">
        <f>OR(Transport_Table[[#This Row],[Data Source]]="All",Transport_Table[[#This Row],[Data Source]]=SelectedDataSource)</f>
        <v>1</v>
      </c>
      <c r="K9" s="14" t="b">
        <v>1</v>
      </c>
      <c r="L9" s="14" t="b">
        <f>AND(Transport_Table[[#This Row],[Show Feedstock]:[Show Data Source]],NOT(Transport_Table[[#This Row],[Hide Column]]))</f>
        <v>0</v>
      </c>
      <c r="M9" s="14" t="s">
        <v>14</v>
      </c>
      <c r="N9" s="14" t="s">
        <v>1908</v>
      </c>
      <c r="O9" s="14" t="s">
        <v>1909</v>
      </c>
      <c r="P9" s="178" t="s">
        <v>1903</v>
      </c>
      <c r="Q9" s="241" t="s">
        <v>1940</v>
      </c>
      <c r="R9" s="393">
        <v>0.4</v>
      </c>
      <c r="S9" s="394">
        <v>80</v>
      </c>
      <c r="T9" s="107"/>
    </row>
    <row r="10" spans="1:21" x14ac:dyDescent="0.3">
      <c r="A10" s="190" t="s">
        <v>10</v>
      </c>
      <c r="B10" s="178" t="s">
        <v>30</v>
      </c>
      <c r="C10" s="178" t="s">
        <v>29</v>
      </c>
      <c r="D10" s="178" t="s">
        <v>29</v>
      </c>
      <c r="E10" s="178" t="s">
        <v>31</v>
      </c>
      <c r="F10" s="14" t="b">
        <f>OR(Transport_Table[[#This Row],[Feedstock]]="All",Transport_Table[[#This Row],[Feedstock]]=SelectedFeedstock)</f>
        <v>0</v>
      </c>
      <c r="G10" s="14" t="b">
        <f>OR(Transport_Table[[#This Row],[Conversion]]="All",Transport_Table[[#This Row],[Conversion]]=SelectedConversion)</f>
        <v>1</v>
      </c>
      <c r="H10" s="14" t="b">
        <f>OR(Transport_Table[[#This Row],[Data Set]]="All",Transport_Table[[#This Row],[Data Set]]=SelectedDataSet)</f>
        <v>1</v>
      </c>
      <c r="I10" s="14" t="b">
        <f>OR(Transport_Table[[#This Row],[Technology]]="All",Transport_Table[[#This Row],[Technology]]=SelectedTechnology)</f>
        <v>1</v>
      </c>
      <c r="J10" s="14" t="b">
        <f>OR(Transport_Table[[#This Row],[Data Source]]="All",Transport_Table[[#This Row],[Data Source]]=SelectedDataSource)</f>
        <v>1</v>
      </c>
      <c r="L10" s="14" t="b">
        <f>AND(Transport_Table[[#This Row],[Show Feedstock]:[Show Data Source]],NOT(Transport_Table[[#This Row],[Hide Column]]))</f>
        <v>0</v>
      </c>
      <c r="M10" s="14" t="s">
        <v>14</v>
      </c>
      <c r="N10" s="14" t="s">
        <v>1161</v>
      </c>
      <c r="O10" s="14" t="s">
        <v>1243</v>
      </c>
      <c r="P10" s="178" t="s">
        <v>1700</v>
      </c>
      <c r="Q10" s="241" t="s">
        <v>2002</v>
      </c>
      <c r="R10" s="393">
        <v>0.08</v>
      </c>
      <c r="S10" s="394">
        <v>520</v>
      </c>
      <c r="T10" s="107"/>
    </row>
    <row r="11" spans="1:21" x14ac:dyDescent="0.3">
      <c r="A11" s="190" t="s">
        <v>10</v>
      </c>
      <c r="B11" s="178" t="s">
        <v>30</v>
      </c>
      <c r="C11" s="178" t="s">
        <v>29</v>
      </c>
      <c r="D11" s="178" t="s">
        <v>29</v>
      </c>
      <c r="E11" s="178" t="s">
        <v>31</v>
      </c>
      <c r="F11" s="14" t="b">
        <f>OR(Transport_Table[[#This Row],[Feedstock]]="All",Transport_Table[[#This Row],[Feedstock]]=SelectedFeedstock)</f>
        <v>0</v>
      </c>
      <c r="G11" s="14" t="b">
        <f>OR(Transport_Table[[#This Row],[Conversion]]="All",Transport_Table[[#This Row],[Conversion]]=SelectedConversion)</f>
        <v>1</v>
      </c>
      <c r="H11" s="14" t="b">
        <f>OR(Transport_Table[[#This Row],[Data Set]]="All",Transport_Table[[#This Row],[Data Set]]=SelectedDataSet)</f>
        <v>1</v>
      </c>
      <c r="I11" s="14" t="b">
        <f>OR(Transport_Table[[#This Row],[Technology]]="All",Transport_Table[[#This Row],[Technology]]=SelectedTechnology)</f>
        <v>1</v>
      </c>
      <c r="J11" s="14" t="b">
        <f>OR(Transport_Table[[#This Row],[Data Source]]="All",Transport_Table[[#This Row],[Data Source]]=SelectedDataSource)</f>
        <v>1</v>
      </c>
      <c r="L11" s="14" t="b">
        <f>AND(Transport_Table[[#This Row],[Show Feedstock]:[Show Data Source]],NOT(Transport_Table[[#This Row],[Hide Column]]))</f>
        <v>0</v>
      </c>
      <c r="M11" s="14" t="s">
        <v>14</v>
      </c>
      <c r="N11" s="14" t="s">
        <v>1162</v>
      </c>
      <c r="O11" s="14" t="s">
        <v>1244</v>
      </c>
      <c r="P11" s="178" t="s">
        <v>1700</v>
      </c>
      <c r="Q11" s="241" t="s">
        <v>2003</v>
      </c>
      <c r="R11" s="393">
        <v>0</v>
      </c>
      <c r="S11" s="394">
        <v>0</v>
      </c>
      <c r="T11" s="107"/>
    </row>
    <row r="12" spans="1:21" x14ac:dyDescent="0.3">
      <c r="A12" s="190" t="s">
        <v>10</v>
      </c>
      <c r="B12" s="178" t="s">
        <v>30</v>
      </c>
      <c r="C12" s="178" t="s">
        <v>29</v>
      </c>
      <c r="D12" s="178" t="s">
        <v>29</v>
      </c>
      <c r="E12" s="178" t="s">
        <v>31</v>
      </c>
      <c r="F12" s="14" t="b">
        <f>OR(Transport_Table[[#This Row],[Feedstock]]="All",Transport_Table[[#This Row],[Feedstock]]=SelectedFeedstock)</f>
        <v>0</v>
      </c>
      <c r="G12" s="14" t="b">
        <f>OR(Transport_Table[[#This Row],[Conversion]]="All",Transport_Table[[#This Row],[Conversion]]=SelectedConversion)</f>
        <v>1</v>
      </c>
      <c r="H12" s="14" t="b">
        <f>OR(Transport_Table[[#This Row],[Data Set]]="All",Transport_Table[[#This Row],[Data Set]]=SelectedDataSet)</f>
        <v>1</v>
      </c>
      <c r="I12" s="14" t="b">
        <f>OR(Transport_Table[[#This Row],[Technology]]="All",Transport_Table[[#This Row],[Technology]]=SelectedTechnology)</f>
        <v>1</v>
      </c>
      <c r="J12" s="14" t="b">
        <f>OR(Transport_Table[[#This Row],[Data Source]]="All",Transport_Table[[#This Row],[Data Source]]=SelectedDataSource)</f>
        <v>1</v>
      </c>
      <c r="L12" s="14" t="b">
        <f>AND(Transport_Table[[#This Row],[Show Feedstock]:[Show Data Source]],NOT(Transport_Table[[#This Row],[Hide Column]]))</f>
        <v>0</v>
      </c>
      <c r="M12" s="14" t="s">
        <v>14</v>
      </c>
      <c r="N12" s="14" t="s">
        <v>1163</v>
      </c>
      <c r="O12" s="14" t="s">
        <v>1245</v>
      </c>
      <c r="P12" s="178" t="s">
        <v>1700</v>
      </c>
      <c r="Q12" s="241" t="s">
        <v>2004</v>
      </c>
      <c r="R12" s="393">
        <v>0.28999999999999998</v>
      </c>
      <c r="S12" s="394">
        <v>800</v>
      </c>
      <c r="T12" s="107"/>
    </row>
    <row r="13" spans="1:21" x14ac:dyDescent="0.3">
      <c r="A13" s="190" t="s">
        <v>10</v>
      </c>
      <c r="B13" s="178" t="s">
        <v>30</v>
      </c>
      <c r="C13" s="178" t="s">
        <v>29</v>
      </c>
      <c r="D13" s="178" t="s">
        <v>29</v>
      </c>
      <c r="E13" s="178" t="s">
        <v>31</v>
      </c>
      <c r="F13" s="14" t="b">
        <f>OR(Transport_Table[[#This Row],[Feedstock]]="All",Transport_Table[[#This Row],[Feedstock]]=SelectedFeedstock)</f>
        <v>0</v>
      </c>
      <c r="G13" s="14" t="b">
        <f>OR(Transport_Table[[#This Row],[Conversion]]="All",Transport_Table[[#This Row],[Conversion]]=SelectedConversion)</f>
        <v>1</v>
      </c>
      <c r="H13" s="14" t="b">
        <f>OR(Transport_Table[[#This Row],[Data Set]]="All",Transport_Table[[#This Row],[Data Set]]=SelectedDataSet)</f>
        <v>1</v>
      </c>
      <c r="I13" s="14" t="b">
        <f>OR(Transport_Table[[#This Row],[Technology]]="All",Transport_Table[[#This Row],[Technology]]=SelectedTechnology)</f>
        <v>1</v>
      </c>
      <c r="J13" s="14" t="b">
        <f>OR(Transport_Table[[#This Row],[Data Source]]="All",Transport_Table[[#This Row],[Data Source]]=SelectedDataSource)</f>
        <v>1</v>
      </c>
      <c r="L13" s="14" t="b">
        <f>AND(Transport_Table[[#This Row],[Show Feedstock]:[Show Data Source]],NOT(Transport_Table[[#This Row],[Hide Column]]))</f>
        <v>0</v>
      </c>
      <c r="M13" s="14" t="s">
        <v>14</v>
      </c>
      <c r="N13" s="14" t="s">
        <v>1840</v>
      </c>
      <c r="O13" s="14" t="s">
        <v>1840</v>
      </c>
      <c r="P13" s="178" t="s">
        <v>1700</v>
      </c>
      <c r="Q13" s="241" t="s">
        <v>2005</v>
      </c>
      <c r="R13" s="393">
        <v>0.63</v>
      </c>
      <c r="S13" s="394">
        <v>50</v>
      </c>
      <c r="T13" s="107"/>
    </row>
    <row r="14" spans="1:21" x14ac:dyDescent="0.3">
      <c r="A14" s="190" t="s">
        <v>10</v>
      </c>
      <c r="B14" s="178" t="s">
        <v>30</v>
      </c>
      <c r="C14" s="178" t="s">
        <v>29</v>
      </c>
      <c r="D14" s="178" t="s">
        <v>29</v>
      </c>
      <c r="E14" s="178" t="s">
        <v>31</v>
      </c>
      <c r="F14" s="14" t="b">
        <f>OR(Transport_Table[[#This Row],[Feedstock]]="All",Transport_Table[[#This Row],[Feedstock]]=SelectedFeedstock)</f>
        <v>0</v>
      </c>
      <c r="G14" s="14" t="b">
        <f>OR(Transport_Table[[#This Row],[Conversion]]="All",Transport_Table[[#This Row],[Conversion]]=SelectedConversion)</f>
        <v>1</v>
      </c>
      <c r="H14" s="14" t="b">
        <f>OR(Transport_Table[[#This Row],[Data Set]]="All",Transport_Table[[#This Row],[Data Set]]=SelectedDataSet)</f>
        <v>1</v>
      </c>
      <c r="I14" s="14" t="b">
        <f>OR(Transport_Table[[#This Row],[Technology]]="All",Transport_Table[[#This Row],[Technology]]=SelectedTechnology)</f>
        <v>1</v>
      </c>
      <c r="J14" s="14" t="b">
        <f>OR(Transport_Table[[#This Row],[Data Source]]="All",Transport_Table[[#This Row],[Data Source]]=SelectedDataSource)</f>
        <v>1</v>
      </c>
      <c r="K14" s="14" t="b">
        <v>1</v>
      </c>
      <c r="L14" s="14" t="b">
        <f>AND(Transport_Table[[#This Row],[Show Feedstock]:[Show Data Source]],NOT(Transport_Table[[#This Row],[Hide Column]]))</f>
        <v>0</v>
      </c>
      <c r="M14" s="14" t="s">
        <v>14</v>
      </c>
      <c r="N14" s="14" t="s">
        <v>1841</v>
      </c>
      <c r="O14" s="14" t="s">
        <v>1842</v>
      </c>
      <c r="P14" s="178" t="s">
        <v>1701</v>
      </c>
      <c r="Q14" s="241" t="s">
        <v>2006</v>
      </c>
      <c r="R14" s="393">
        <v>0</v>
      </c>
      <c r="S14" s="394">
        <v>0</v>
      </c>
      <c r="T14" s="107"/>
    </row>
    <row r="15" spans="1:21" x14ac:dyDescent="0.3">
      <c r="A15" s="190" t="s">
        <v>10</v>
      </c>
      <c r="B15" s="178" t="s">
        <v>30</v>
      </c>
      <c r="C15" s="178" t="s">
        <v>29</v>
      </c>
      <c r="D15" s="178" t="s">
        <v>29</v>
      </c>
      <c r="E15" s="178" t="s">
        <v>31</v>
      </c>
      <c r="F15" s="14" t="b">
        <f>OR(Transport_Table[[#This Row],[Feedstock]]="All",Transport_Table[[#This Row],[Feedstock]]=SelectedFeedstock)</f>
        <v>0</v>
      </c>
      <c r="G15" s="14" t="b">
        <f>OR(Transport_Table[[#This Row],[Conversion]]="All",Transport_Table[[#This Row],[Conversion]]=SelectedConversion)</f>
        <v>1</v>
      </c>
      <c r="H15" s="14" t="b">
        <f>OR(Transport_Table[[#This Row],[Data Set]]="All",Transport_Table[[#This Row],[Data Set]]=SelectedDataSet)</f>
        <v>1</v>
      </c>
      <c r="I15" s="14" t="b">
        <f>OR(Transport_Table[[#This Row],[Technology]]="All",Transport_Table[[#This Row],[Technology]]=SelectedTechnology)</f>
        <v>1</v>
      </c>
      <c r="J15" s="14" t="b">
        <f>OR(Transport_Table[[#This Row],[Data Source]]="All",Transport_Table[[#This Row],[Data Source]]=SelectedDataSource)</f>
        <v>1</v>
      </c>
      <c r="K15" s="14" t="b">
        <v>1</v>
      </c>
      <c r="L15" s="14" t="b">
        <f>AND(Transport_Table[[#This Row],[Show Feedstock]:[Show Data Source]],NOT(Transport_Table[[#This Row],[Hide Column]]))</f>
        <v>0</v>
      </c>
      <c r="M15" s="14" t="s">
        <v>14</v>
      </c>
      <c r="N15" s="14" t="s">
        <v>1843</v>
      </c>
      <c r="O15" s="14" t="s">
        <v>1844</v>
      </c>
      <c r="P15" s="178" t="s">
        <v>1701</v>
      </c>
      <c r="Q15" s="241" t="s">
        <v>2007</v>
      </c>
      <c r="R15" s="393">
        <v>0</v>
      </c>
      <c r="S15" s="394">
        <v>0</v>
      </c>
      <c r="T15" s="107"/>
    </row>
    <row r="16" spans="1:21" x14ac:dyDescent="0.3">
      <c r="A16" s="190" t="s">
        <v>10</v>
      </c>
      <c r="B16" s="178" t="s">
        <v>30</v>
      </c>
      <c r="C16" s="178" t="s">
        <v>29</v>
      </c>
      <c r="D16" s="178" t="s">
        <v>29</v>
      </c>
      <c r="E16" s="178" t="s">
        <v>31</v>
      </c>
      <c r="F16" s="14" t="b">
        <f>OR(Transport_Table[[#This Row],[Feedstock]]="All",Transport_Table[[#This Row],[Feedstock]]=SelectedFeedstock)</f>
        <v>0</v>
      </c>
      <c r="G16" s="14" t="b">
        <f>OR(Transport_Table[[#This Row],[Conversion]]="All",Transport_Table[[#This Row],[Conversion]]=SelectedConversion)</f>
        <v>1</v>
      </c>
      <c r="H16" s="14" t="b">
        <f>OR(Transport_Table[[#This Row],[Data Set]]="All",Transport_Table[[#This Row],[Data Set]]=SelectedDataSet)</f>
        <v>1</v>
      </c>
      <c r="I16" s="14" t="b">
        <f>OR(Transport_Table[[#This Row],[Technology]]="All",Transport_Table[[#This Row],[Technology]]=SelectedTechnology)</f>
        <v>1</v>
      </c>
      <c r="J16" s="14" t="b">
        <f>OR(Transport_Table[[#This Row],[Data Source]]="All",Transport_Table[[#This Row],[Data Source]]=SelectedDataSource)</f>
        <v>1</v>
      </c>
      <c r="K16" s="14" t="b">
        <v>1</v>
      </c>
      <c r="L16" s="14" t="b">
        <f>AND(Transport_Table[[#This Row],[Show Feedstock]:[Show Data Source]],NOT(Transport_Table[[#This Row],[Hide Column]]))</f>
        <v>0</v>
      </c>
      <c r="M16" s="14" t="s">
        <v>14</v>
      </c>
      <c r="N16" s="14" t="s">
        <v>1845</v>
      </c>
      <c r="O16" s="14" t="s">
        <v>1846</v>
      </c>
      <c r="P16" s="178" t="s">
        <v>1701</v>
      </c>
      <c r="Q16" s="241" t="s">
        <v>2008</v>
      </c>
      <c r="R16" s="393">
        <v>0</v>
      </c>
      <c r="S16" s="394">
        <v>0</v>
      </c>
      <c r="T16" s="107"/>
    </row>
    <row r="17" spans="1:20" x14ac:dyDescent="0.3">
      <c r="A17" s="190" t="s">
        <v>10</v>
      </c>
      <c r="B17" s="178" t="s">
        <v>30</v>
      </c>
      <c r="C17" s="178" t="s">
        <v>29</v>
      </c>
      <c r="D17" s="178" t="s">
        <v>29</v>
      </c>
      <c r="E17" s="178" t="s">
        <v>31</v>
      </c>
      <c r="F17" s="14" t="b">
        <f>OR(Transport_Table[[#This Row],[Feedstock]]="All",Transport_Table[[#This Row],[Feedstock]]=SelectedFeedstock)</f>
        <v>0</v>
      </c>
      <c r="G17" s="14" t="b">
        <f>OR(Transport_Table[[#This Row],[Conversion]]="All",Transport_Table[[#This Row],[Conversion]]=SelectedConversion)</f>
        <v>1</v>
      </c>
      <c r="H17" s="14" t="b">
        <f>OR(Transport_Table[[#This Row],[Data Set]]="All",Transport_Table[[#This Row],[Data Set]]=SelectedDataSet)</f>
        <v>1</v>
      </c>
      <c r="I17" s="14" t="b">
        <f>OR(Transport_Table[[#This Row],[Technology]]="All",Transport_Table[[#This Row],[Technology]]=SelectedTechnology)</f>
        <v>1</v>
      </c>
      <c r="J17" s="14" t="b">
        <f>OR(Transport_Table[[#This Row],[Data Source]]="All",Transport_Table[[#This Row],[Data Source]]=SelectedDataSource)</f>
        <v>1</v>
      </c>
      <c r="K17" s="14" t="b">
        <v>1</v>
      </c>
      <c r="L17" s="14" t="b">
        <f>AND(Transport_Table[[#This Row],[Show Feedstock]:[Show Data Source]],NOT(Transport_Table[[#This Row],[Hide Column]]))</f>
        <v>0</v>
      </c>
      <c r="M17" s="14" t="s">
        <v>14</v>
      </c>
      <c r="N17" s="14" t="s">
        <v>1847</v>
      </c>
      <c r="O17" s="14" t="s">
        <v>1848</v>
      </c>
      <c r="P17" s="178" t="s">
        <v>1701</v>
      </c>
      <c r="Q17" s="241" t="s">
        <v>2009</v>
      </c>
      <c r="R17" s="393">
        <v>1</v>
      </c>
      <c r="S17" s="394">
        <v>30</v>
      </c>
      <c r="T17" s="107"/>
    </row>
    <row r="18" spans="1:20" x14ac:dyDescent="0.3">
      <c r="A18" s="195" t="s">
        <v>122</v>
      </c>
      <c r="B18" s="196" t="s">
        <v>30</v>
      </c>
      <c r="C18" s="196" t="s">
        <v>29</v>
      </c>
      <c r="D18" s="196" t="s">
        <v>29</v>
      </c>
      <c r="E18" s="196" t="s">
        <v>123</v>
      </c>
      <c r="F18" s="14" t="b">
        <f>OR(Transport_Table[[#This Row],[Feedstock]]="All",Transport_Table[[#This Row],[Feedstock]]=SelectedFeedstock)</f>
        <v>0</v>
      </c>
      <c r="G18" s="14" t="b">
        <f>OR(Transport_Table[[#This Row],[Conversion]]="All",Transport_Table[[#This Row],[Conversion]]=SelectedConversion)</f>
        <v>1</v>
      </c>
      <c r="H18" s="14" t="b">
        <f>OR(Transport_Table[[#This Row],[Data Set]]="All",Transport_Table[[#This Row],[Data Set]]=SelectedDataSet)</f>
        <v>1</v>
      </c>
      <c r="I18" s="14" t="b">
        <f>OR(Transport_Table[[#This Row],[Technology]]="All",Transport_Table[[#This Row],[Technology]]=SelectedTechnology)</f>
        <v>0</v>
      </c>
      <c r="J18" s="14" t="b">
        <f>OR(Transport_Table[[#This Row],[Data Source]]="All",Transport_Table[[#This Row],[Data Source]]=SelectedDataSource)</f>
        <v>1</v>
      </c>
      <c r="K18" s="14" t="b">
        <v>1</v>
      </c>
      <c r="L18" s="14" t="b">
        <f>AND(Transport_Table[[#This Row],[Show Feedstock]:[Show Data Source]],NOT(Transport_Table[[#This Row],[Hide Column]]))</f>
        <v>0</v>
      </c>
      <c r="M18" s="14" t="s">
        <v>14</v>
      </c>
      <c r="N18" s="14" t="s">
        <v>1166</v>
      </c>
      <c r="O18" s="14" t="s">
        <v>1248</v>
      </c>
      <c r="P18" s="196" t="s">
        <v>360</v>
      </c>
      <c r="Q18" s="241" t="s">
        <v>1943</v>
      </c>
      <c r="R18" s="197">
        <v>0.5</v>
      </c>
      <c r="S18" s="198">
        <v>500</v>
      </c>
      <c r="T18" s="107"/>
    </row>
    <row r="19" spans="1:20" x14ac:dyDescent="0.3">
      <c r="A19" s="195" t="s">
        <v>122</v>
      </c>
      <c r="B19" s="196" t="s">
        <v>30</v>
      </c>
      <c r="C19" s="196" t="s">
        <v>29</v>
      </c>
      <c r="D19" s="196" t="s">
        <v>29</v>
      </c>
      <c r="E19" s="196" t="s">
        <v>123</v>
      </c>
      <c r="F19" s="14" t="b">
        <f>OR(Transport_Table[[#This Row],[Feedstock]]="All",Transport_Table[[#This Row],[Feedstock]]=SelectedFeedstock)</f>
        <v>0</v>
      </c>
      <c r="G19" s="14" t="b">
        <f>OR(Transport_Table[[#This Row],[Conversion]]="All",Transport_Table[[#This Row],[Conversion]]=SelectedConversion)</f>
        <v>1</v>
      </c>
      <c r="H19" s="14" t="b">
        <f>OR(Transport_Table[[#This Row],[Data Set]]="All",Transport_Table[[#This Row],[Data Set]]=SelectedDataSet)</f>
        <v>1</v>
      </c>
      <c r="I19" s="14" t="b">
        <f>OR(Transport_Table[[#This Row],[Technology]]="All",Transport_Table[[#This Row],[Technology]]=SelectedTechnology)</f>
        <v>0</v>
      </c>
      <c r="J19" s="14" t="b">
        <f>OR(Transport_Table[[#This Row],[Data Source]]="All",Transport_Table[[#This Row],[Data Source]]=SelectedDataSource)</f>
        <v>1</v>
      </c>
      <c r="K19" s="14" t="b">
        <v>1</v>
      </c>
      <c r="L19" s="14" t="b">
        <f>AND(Transport_Table[[#This Row],[Show Feedstock]:[Show Data Source]],NOT(Transport_Table[[#This Row],[Hide Column]]))</f>
        <v>0</v>
      </c>
      <c r="M19" s="14" t="s">
        <v>14</v>
      </c>
      <c r="N19" s="14" t="s">
        <v>1167</v>
      </c>
      <c r="O19" s="14" t="s">
        <v>1249</v>
      </c>
      <c r="P19" s="196" t="s">
        <v>360</v>
      </c>
      <c r="Q19" s="241" t="s">
        <v>1944</v>
      </c>
      <c r="R19" s="197">
        <v>1.5</v>
      </c>
      <c r="S19" s="198">
        <v>100</v>
      </c>
      <c r="T19" s="107"/>
    </row>
    <row r="20" spans="1:20" x14ac:dyDescent="0.3">
      <c r="A20" s="190" t="s">
        <v>122</v>
      </c>
      <c r="B20" s="178" t="s">
        <v>30</v>
      </c>
      <c r="C20" s="178" t="s">
        <v>29</v>
      </c>
      <c r="D20" s="178" t="s">
        <v>29</v>
      </c>
      <c r="E20" s="178" t="s">
        <v>123</v>
      </c>
      <c r="F20" s="14" t="b">
        <f>OR(Transport_Table[[#This Row],[Feedstock]]="All",Transport_Table[[#This Row],[Feedstock]]=SelectedFeedstock)</f>
        <v>0</v>
      </c>
      <c r="G20" s="14" t="b">
        <f>OR(Transport_Table[[#This Row],[Conversion]]="All",Transport_Table[[#This Row],[Conversion]]=SelectedConversion)</f>
        <v>1</v>
      </c>
      <c r="H20" s="14" t="b">
        <f>OR(Transport_Table[[#This Row],[Data Set]]="All",Transport_Table[[#This Row],[Data Set]]=SelectedDataSet)</f>
        <v>1</v>
      </c>
      <c r="I20" s="14" t="b">
        <f>OR(Transport_Table[[#This Row],[Technology]]="All",Transport_Table[[#This Row],[Technology]]=SelectedTechnology)</f>
        <v>0</v>
      </c>
      <c r="J20" s="14" t="b">
        <f>OR(Transport_Table[[#This Row],[Data Source]]="All",Transport_Table[[#This Row],[Data Source]]=SelectedDataSource)</f>
        <v>1</v>
      </c>
      <c r="K20" s="14" t="b">
        <v>1</v>
      </c>
      <c r="L20" s="14" t="b">
        <f>AND(Transport_Table[[#This Row],[Show Feedstock]:[Show Data Source]],NOT(Transport_Table[[#This Row],[Hide Column]]))</f>
        <v>0</v>
      </c>
      <c r="M20" s="14" t="s">
        <v>14</v>
      </c>
      <c r="N20" s="14" t="s">
        <v>1168</v>
      </c>
      <c r="O20" s="14" t="s">
        <v>1250</v>
      </c>
      <c r="P20" s="178" t="s">
        <v>360</v>
      </c>
      <c r="Q20" s="241" t="s">
        <v>1945</v>
      </c>
      <c r="R20" s="393">
        <v>1</v>
      </c>
      <c r="S20" s="394">
        <v>20</v>
      </c>
      <c r="T20" s="107"/>
    </row>
    <row r="21" spans="1:20" x14ac:dyDescent="0.3">
      <c r="A21" s="190" t="s">
        <v>122</v>
      </c>
      <c r="B21" s="178" t="s">
        <v>30</v>
      </c>
      <c r="C21" s="178" t="s">
        <v>29</v>
      </c>
      <c r="D21" s="178" t="s">
        <v>29</v>
      </c>
      <c r="E21" s="178" t="s">
        <v>123</v>
      </c>
      <c r="F21" s="14" t="b">
        <f>OR(Transport_Table[[#This Row],[Feedstock]]="All",Transport_Table[[#This Row],[Feedstock]]=SelectedFeedstock)</f>
        <v>0</v>
      </c>
      <c r="G21" s="14" t="b">
        <f>OR(Transport_Table[[#This Row],[Conversion]]="All",Transport_Table[[#This Row],[Conversion]]=SelectedConversion)</f>
        <v>1</v>
      </c>
      <c r="H21" s="14" t="b">
        <f>OR(Transport_Table[[#This Row],[Data Set]]="All",Transport_Table[[#This Row],[Data Set]]=SelectedDataSet)</f>
        <v>1</v>
      </c>
      <c r="I21" s="14" t="b">
        <f>OR(Transport_Table[[#This Row],[Technology]]="All",Transport_Table[[#This Row],[Technology]]=SelectedTechnology)</f>
        <v>0</v>
      </c>
      <c r="J21" s="14" t="b">
        <f>OR(Transport_Table[[#This Row],[Data Source]]="All",Transport_Table[[#This Row],[Data Source]]=SelectedDataSource)</f>
        <v>1</v>
      </c>
      <c r="K21" s="14" t="b">
        <v>1</v>
      </c>
      <c r="L21" s="14" t="b">
        <f>AND(Transport_Table[[#This Row],[Show Feedstock]:[Show Data Source]],NOT(Transport_Table[[#This Row],[Hide Column]]))</f>
        <v>0</v>
      </c>
      <c r="M21" s="14" t="s">
        <v>14</v>
      </c>
      <c r="N21" s="14" t="s">
        <v>1169</v>
      </c>
      <c r="O21" s="14" t="s">
        <v>1251</v>
      </c>
      <c r="P21" s="178" t="s">
        <v>360</v>
      </c>
      <c r="Q21" s="241" t="s">
        <v>1946</v>
      </c>
      <c r="R21" s="393">
        <v>1</v>
      </c>
      <c r="S21" s="394">
        <v>11750</v>
      </c>
      <c r="T21" s="107"/>
    </row>
    <row r="22" spans="1:20" x14ac:dyDescent="0.3">
      <c r="A22" s="190" t="s">
        <v>122</v>
      </c>
      <c r="B22" s="178" t="s">
        <v>30</v>
      </c>
      <c r="C22" s="178" t="s">
        <v>29</v>
      </c>
      <c r="D22" s="178" t="s">
        <v>29</v>
      </c>
      <c r="E22" s="178" t="s">
        <v>123</v>
      </c>
      <c r="F22" s="14" t="b">
        <f>OR(Transport_Table[[#This Row],[Feedstock]]="All",Transport_Table[[#This Row],[Feedstock]]=SelectedFeedstock)</f>
        <v>0</v>
      </c>
      <c r="G22" s="14" t="b">
        <f>OR(Transport_Table[[#This Row],[Conversion]]="All",Transport_Table[[#This Row],[Conversion]]=SelectedConversion)</f>
        <v>1</v>
      </c>
      <c r="H22" s="14" t="b">
        <f>OR(Transport_Table[[#This Row],[Data Set]]="All",Transport_Table[[#This Row],[Data Set]]=SelectedDataSet)</f>
        <v>1</v>
      </c>
      <c r="I22" s="14" t="b">
        <f>OR(Transport_Table[[#This Row],[Technology]]="All",Transport_Table[[#This Row],[Technology]]=SelectedTechnology)</f>
        <v>0</v>
      </c>
      <c r="J22" s="14" t="b">
        <f>OR(Transport_Table[[#This Row],[Data Source]]="All",Transport_Table[[#This Row],[Data Source]]=SelectedDataSource)</f>
        <v>1</v>
      </c>
      <c r="L22" s="14" t="b">
        <f>AND(Transport_Table[[#This Row],[Show Feedstock]:[Show Data Source]],NOT(Transport_Table[[#This Row],[Hide Column]]))</f>
        <v>0</v>
      </c>
      <c r="M22" s="14" t="s">
        <v>14</v>
      </c>
      <c r="N22" s="14" t="s">
        <v>1161</v>
      </c>
      <c r="O22" s="14" t="s">
        <v>1243</v>
      </c>
      <c r="P22" s="178" t="s">
        <v>1700</v>
      </c>
      <c r="Q22" s="241" t="s">
        <v>1947</v>
      </c>
      <c r="R22" s="393">
        <v>0.08</v>
      </c>
      <c r="S22" s="394">
        <v>520</v>
      </c>
      <c r="T22" s="107"/>
    </row>
    <row r="23" spans="1:20" x14ac:dyDescent="0.3">
      <c r="A23" s="190" t="s">
        <v>122</v>
      </c>
      <c r="B23" s="178" t="s">
        <v>30</v>
      </c>
      <c r="C23" s="178" t="s">
        <v>29</v>
      </c>
      <c r="D23" s="178" t="s">
        <v>29</v>
      </c>
      <c r="E23" s="178" t="s">
        <v>123</v>
      </c>
      <c r="F23" s="14" t="b">
        <f>OR(Transport_Table[[#This Row],[Feedstock]]="All",Transport_Table[[#This Row],[Feedstock]]=SelectedFeedstock)</f>
        <v>0</v>
      </c>
      <c r="G23" s="14" t="b">
        <f>OR(Transport_Table[[#This Row],[Conversion]]="All",Transport_Table[[#This Row],[Conversion]]=SelectedConversion)</f>
        <v>1</v>
      </c>
      <c r="H23" s="14" t="b">
        <f>OR(Transport_Table[[#This Row],[Data Set]]="All",Transport_Table[[#This Row],[Data Set]]=SelectedDataSet)</f>
        <v>1</v>
      </c>
      <c r="I23" s="14" t="b">
        <f>OR(Transport_Table[[#This Row],[Technology]]="All",Transport_Table[[#This Row],[Technology]]=SelectedTechnology)</f>
        <v>0</v>
      </c>
      <c r="J23" s="14" t="b">
        <f>OR(Transport_Table[[#This Row],[Data Source]]="All",Transport_Table[[#This Row],[Data Source]]=SelectedDataSource)</f>
        <v>1</v>
      </c>
      <c r="L23" s="14" t="b">
        <f>AND(Transport_Table[[#This Row],[Show Feedstock]:[Show Data Source]],NOT(Transport_Table[[#This Row],[Hide Column]]))</f>
        <v>0</v>
      </c>
      <c r="M23" s="14" t="s">
        <v>14</v>
      </c>
      <c r="N23" s="14" t="s">
        <v>1162</v>
      </c>
      <c r="O23" s="14" t="s">
        <v>1244</v>
      </c>
      <c r="P23" s="178" t="s">
        <v>1700</v>
      </c>
      <c r="Q23" s="241" t="s">
        <v>1943</v>
      </c>
      <c r="R23" s="393">
        <v>0</v>
      </c>
      <c r="S23" s="394">
        <v>0</v>
      </c>
      <c r="T23" s="107"/>
    </row>
    <row r="24" spans="1:20" x14ac:dyDescent="0.3">
      <c r="A24" s="190" t="s">
        <v>122</v>
      </c>
      <c r="B24" s="178" t="s">
        <v>30</v>
      </c>
      <c r="C24" s="178" t="s">
        <v>29</v>
      </c>
      <c r="D24" s="178" t="s">
        <v>29</v>
      </c>
      <c r="E24" s="178" t="s">
        <v>123</v>
      </c>
      <c r="F24" s="14" t="b">
        <f>OR(Transport_Table[[#This Row],[Feedstock]]="All",Transport_Table[[#This Row],[Feedstock]]=SelectedFeedstock)</f>
        <v>0</v>
      </c>
      <c r="G24" s="14" t="b">
        <f>OR(Transport_Table[[#This Row],[Conversion]]="All",Transport_Table[[#This Row],[Conversion]]=SelectedConversion)</f>
        <v>1</v>
      </c>
      <c r="H24" s="14" t="b">
        <f>OR(Transport_Table[[#This Row],[Data Set]]="All",Transport_Table[[#This Row],[Data Set]]=SelectedDataSet)</f>
        <v>1</v>
      </c>
      <c r="I24" s="14" t="b">
        <f>OR(Transport_Table[[#This Row],[Technology]]="All",Transport_Table[[#This Row],[Technology]]=SelectedTechnology)</f>
        <v>0</v>
      </c>
      <c r="J24" s="14" t="b">
        <f>OR(Transport_Table[[#This Row],[Data Source]]="All",Transport_Table[[#This Row],[Data Source]]=SelectedDataSource)</f>
        <v>1</v>
      </c>
      <c r="L24" s="14" t="b">
        <f>AND(Transport_Table[[#This Row],[Show Feedstock]:[Show Data Source]],NOT(Transport_Table[[#This Row],[Hide Column]]))</f>
        <v>0</v>
      </c>
      <c r="M24" s="14" t="s">
        <v>14</v>
      </c>
      <c r="N24" s="14" t="s">
        <v>1163</v>
      </c>
      <c r="O24" s="14" t="s">
        <v>1245</v>
      </c>
      <c r="P24" s="178" t="s">
        <v>1700</v>
      </c>
      <c r="Q24" s="241" t="s">
        <v>1944</v>
      </c>
      <c r="R24" s="393">
        <v>0.28999999999999998</v>
      </c>
      <c r="S24" s="394">
        <v>800</v>
      </c>
      <c r="T24" s="107"/>
    </row>
    <row r="25" spans="1:20" x14ac:dyDescent="0.3">
      <c r="A25" s="190" t="s">
        <v>122</v>
      </c>
      <c r="B25" s="178" t="s">
        <v>30</v>
      </c>
      <c r="C25" s="178" t="s">
        <v>29</v>
      </c>
      <c r="D25" s="178" t="s">
        <v>29</v>
      </c>
      <c r="E25" s="178" t="s">
        <v>123</v>
      </c>
      <c r="F25" s="14" t="b">
        <f>OR(Transport_Table[[#This Row],[Feedstock]]="All",Transport_Table[[#This Row],[Feedstock]]=SelectedFeedstock)</f>
        <v>0</v>
      </c>
      <c r="G25" s="14" t="b">
        <f>OR(Transport_Table[[#This Row],[Conversion]]="All",Transport_Table[[#This Row],[Conversion]]=SelectedConversion)</f>
        <v>1</v>
      </c>
      <c r="H25" s="14" t="b">
        <f>OR(Transport_Table[[#This Row],[Data Set]]="All",Transport_Table[[#This Row],[Data Set]]=SelectedDataSet)</f>
        <v>1</v>
      </c>
      <c r="I25" s="14" t="b">
        <f>OR(Transport_Table[[#This Row],[Technology]]="All",Transport_Table[[#This Row],[Technology]]=SelectedTechnology)</f>
        <v>0</v>
      </c>
      <c r="J25" s="14" t="b">
        <f>OR(Transport_Table[[#This Row],[Data Source]]="All",Transport_Table[[#This Row],[Data Source]]=SelectedDataSource)</f>
        <v>1</v>
      </c>
      <c r="L25" s="14" t="b">
        <f>AND(Transport_Table[[#This Row],[Show Feedstock]:[Show Data Source]],NOT(Transport_Table[[#This Row],[Hide Column]]))</f>
        <v>0</v>
      </c>
      <c r="M25" s="14" t="s">
        <v>14</v>
      </c>
      <c r="N25" s="14" t="s">
        <v>1164</v>
      </c>
      <c r="O25" s="14" t="s">
        <v>1246</v>
      </c>
      <c r="P25" s="178" t="s">
        <v>1700</v>
      </c>
      <c r="Q25" s="241" t="s">
        <v>1945</v>
      </c>
      <c r="R25" s="393">
        <v>0.63</v>
      </c>
      <c r="S25" s="394">
        <v>50</v>
      </c>
      <c r="T25" s="107"/>
    </row>
    <row r="26" spans="1:20" x14ac:dyDescent="0.3">
      <c r="A26" s="190" t="s">
        <v>122</v>
      </c>
      <c r="B26" s="178" t="s">
        <v>30</v>
      </c>
      <c r="C26" s="178" t="s">
        <v>29</v>
      </c>
      <c r="D26" s="178" t="s">
        <v>29</v>
      </c>
      <c r="E26" s="178" t="s">
        <v>123</v>
      </c>
      <c r="F26" s="14" t="b">
        <f>OR(Transport_Table[[#This Row],[Feedstock]]="All",Transport_Table[[#This Row],[Feedstock]]=SelectedFeedstock)</f>
        <v>0</v>
      </c>
      <c r="G26" s="14" t="b">
        <f>OR(Transport_Table[[#This Row],[Conversion]]="All",Transport_Table[[#This Row],[Conversion]]=SelectedConversion)</f>
        <v>1</v>
      </c>
      <c r="H26" s="14" t="b">
        <f>OR(Transport_Table[[#This Row],[Data Set]]="All",Transport_Table[[#This Row],[Data Set]]=SelectedDataSet)</f>
        <v>1</v>
      </c>
      <c r="I26" s="14" t="b">
        <f>OR(Transport_Table[[#This Row],[Technology]]="All",Transport_Table[[#This Row],[Technology]]=SelectedTechnology)</f>
        <v>0</v>
      </c>
      <c r="J26" s="14" t="b">
        <f>OR(Transport_Table[[#This Row],[Data Source]]="All",Transport_Table[[#This Row],[Data Source]]=SelectedDataSource)</f>
        <v>1</v>
      </c>
      <c r="L26" s="14" t="b">
        <f>AND(Transport_Table[[#This Row],[Show Feedstock]:[Show Data Source]],NOT(Transport_Table[[#This Row],[Hide Column]]))</f>
        <v>0</v>
      </c>
      <c r="M26" s="14" t="s">
        <v>14</v>
      </c>
      <c r="N26" s="14" t="s">
        <v>1165</v>
      </c>
      <c r="O26" s="14" t="s">
        <v>1247</v>
      </c>
      <c r="P26" s="178" t="s">
        <v>1701</v>
      </c>
      <c r="Q26" s="241" t="s">
        <v>1946</v>
      </c>
      <c r="R26" s="393">
        <v>1</v>
      </c>
      <c r="S26" s="394">
        <v>30</v>
      </c>
      <c r="T26" s="107"/>
    </row>
    <row r="27" spans="1:20" x14ac:dyDescent="0.3">
      <c r="A27" s="195" t="s">
        <v>122</v>
      </c>
      <c r="B27" s="196" t="s">
        <v>30</v>
      </c>
      <c r="C27" s="196" t="s">
        <v>29</v>
      </c>
      <c r="D27" s="196" t="s">
        <v>29</v>
      </c>
      <c r="E27" s="196" t="s">
        <v>124</v>
      </c>
      <c r="F27" s="14" t="b">
        <f>OR(Transport_Table[[#This Row],[Feedstock]]="All",Transport_Table[[#This Row],[Feedstock]]=SelectedFeedstock)</f>
        <v>0</v>
      </c>
      <c r="G27" s="14" t="b">
        <f>OR(Transport_Table[[#This Row],[Conversion]]="All",Transport_Table[[#This Row],[Conversion]]=SelectedConversion)</f>
        <v>1</v>
      </c>
      <c r="H27" s="14" t="b">
        <f>OR(Transport_Table[[#This Row],[Data Set]]="All",Transport_Table[[#This Row],[Data Set]]=SelectedDataSet)</f>
        <v>1</v>
      </c>
      <c r="I27" s="14" t="b">
        <f>OR(Transport_Table[[#This Row],[Technology]]="All",Transport_Table[[#This Row],[Technology]]=SelectedTechnology)</f>
        <v>0</v>
      </c>
      <c r="J27" s="14" t="b">
        <f>OR(Transport_Table[[#This Row],[Data Source]]="All",Transport_Table[[#This Row],[Data Source]]=SelectedDataSource)</f>
        <v>1</v>
      </c>
      <c r="K27" s="14" t="b">
        <v>1</v>
      </c>
      <c r="L27" s="14" t="b">
        <f>AND(Transport_Table[[#This Row],[Show Feedstock]:[Show Data Source]],NOT(Transport_Table[[#This Row],[Hide Column]]))</f>
        <v>0</v>
      </c>
      <c r="M27" s="14" t="s">
        <v>14</v>
      </c>
      <c r="N27" s="14" t="s">
        <v>1166</v>
      </c>
      <c r="O27" s="14" t="s">
        <v>1248</v>
      </c>
      <c r="P27" s="196" t="s">
        <v>360</v>
      </c>
      <c r="Q27" s="241" t="s">
        <v>1947</v>
      </c>
      <c r="R27" s="197">
        <v>0.5</v>
      </c>
      <c r="S27" s="198">
        <v>500</v>
      </c>
      <c r="T27" s="107"/>
    </row>
    <row r="28" spans="1:20" x14ac:dyDescent="0.3">
      <c r="A28" s="195" t="s">
        <v>122</v>
      </c>
      <c r="B28" s="196" t="s">
        <v>30</v>
      </c>
      <c r="C28" s="196" t="s">
        <v>29</v>
      </c>
      <c r="D28" s="196" t="s">
        <v>29</v>
      </c>
      <c r="E28" s="196" t="s">
        <v>124</v>
      </c>
      <c r="F28" s="14" t="b">
        <f>OR(Transport_Table[[#This Row],[Feedstock]]="All",Transport_Table[[#This Row],[Feedstock]]=SelectedFeedstock)</f>
        <v>0</v>
      </c>
      <c r="G28" s="14" t="b">
        <f>OR(Transport_Table[[#This Row],[Conversion]]="All",Transport_Table[[#This Row],[Conversion]]=SelectedConversion)</f>
        <v>1</v>
      </c>
      <c r="H28" s="14" t="b">
        <f>OR(Transport_Table[[#This Row],[Data Set]]="All",Transport_Table[[#This Row],[Data Set]]=SelectedDataSet)</f>
        <v>1</v>
      </c>
      <c r="I28" s="14" t="b">
        <f>OR(Transport_Table[[#This Row],[Technology]]="All",Transport_Table[[#This Row],[Technology]]=SelectedTechnology)</f>
        <v>0</v>
      </c>
      <c r="J28" s="14" t="b">
        <f>OR(Transport_Table[[#This Row],[Data Source]]="All",Transport_Table[[#This Row],[Data Source]]=SelectedDataSource)</f>
        <v>1</v>
      </c>
      <c r="K28" s="14" t="b">
        <v>1</v>
      </c>
      <c r="L28" s="14" t="b">
        <f>AND(Transport_Table[[#This Row],[Show Feedstock]:[Show Data Source]],NOT(Transport_Table[[#This Row],[Hide Column]]))</f>
        <v>0</v>
      </c>
      <c r="M28" s="14" t="s">
        <v>14</v>
      </c>
      <c r="N28" s="14" t="s">
        <v>1167</v>
      </c>
      <c r="O28" s="14" t="s">
        <v>1249</v>
      </c>
      <c r="P28" s="196" t="s">
        <v>360</v>
      </c>
      <c r="Q28" s="241" t="s">
        <v>1943</v>
      </c>
      <c r="R28" s="197">
        <v>1.5</v>
      </c>
      <c r="S28" s="198">
        <v>100</v>
      </c>
      <c r="T28" s="107"/>
    </row>
    <row r="29" spans="1:20" x14ac:dyDescent="0.3">
      <c r="A29" s="190" t="s">
        <v>122</v>
      </c>
      <c r="B29" s="178" t="s">
        <v>30</v>
      </c>
      <c r="C29" s="178" t="s">
        <v>29</v>
      </c>
      <c r="D29" s="178" t="s">
        <v>29</v>
      </c>
      <c r="E29" s="178" t="s">
        <v>124</v>
      </c>
      <c r="F29" s="14" t="b">
        <f>OR(Transport_Table[[#This Row],[Feedstock]]="All",Transport_Table[[#This Row],[Feedstock]]=SelectedFeedstock)</f>
        <v>0</v>
      </c>
      <c r="G29" s="14" t="b">
        <f>OR(Transport_Table[[#This Row],[Conversion]]="All",Transport_Table[[#This Row],[Conversion]]=SelectedConversion)</f>
        <v>1</v>
      </c>
      <c r="H29" s="14" t="b">
        <f>OR(Transport_Table[[#This Row],[Data Set]]="All",Transport_Table[[#This Row],[Data Set]]=SelectedDataSet)</f>
        <v>1</v>
      </c>
      <c r="I29" s="14" t="b">
        <f>OR(Transport_Table[[#This Row],[Technology]]="All",Transport_Table[[#This Row],[Technology]]=SelectedTechnology)</f>
        <v>0</v>
      </c>
      <c r="J29" s="14" t="b">
        <f>OR(Transport_Table[[#This Row],[Data Source]]="All",Transport_Table[[#This Row],[Data Source]]=SelectedDataSource)</f>
        <v>1</v>
      </c>
      <c r="K29" s="14" t="b">
        <v>1</v>
      </c>
      <c r="L29" s="14" t="b">
        <f>AND(Transport_Table[[#This Row],[Show Feedstock]:[Show Data Source]],NOT(Transport_Table[[#This Row],[Hide Column]]))</f>
        <v>0</v>
      </c>
      <c r="M29" s="14" t="s">
        <v>14</v>
      </c>
      <c r="N29" s="14" t="s">
        <v>1168</v>
      </c>
      <c r="O29" s="14" t="s">
        <v>1250</v>
      </c>
      <c r="P29" s="178" t="s">
        <v>360</v>
      </c>
      <c r="Q29" s="241" t="s">
        <v>1944</v>
      </c>
      <c r="R29" s="393">
        <v>1</v>
      </c>
      <c r="S29" s="394">
        <v>20</v>
      </c>
      <c r="T29" s="107"/>
    </row>
    <row r="30" spans="1:20" x14ac:dyDescent="0.3">
      <c r="A30" s="190" t="s">
        <v>122</v>
      </c>
      <c r="B30" s="178" t="s">
        <v>30</v>
      </c>
      <c r="C30" s="178" t="s">
        <v>29</v>
      </c>
      <c r="D30" s="178" t="s">
        <v>29</v>
      </c>
      <c r="E30" s="178" t="s">
        <v>124</v>
      </c>
      <c r="F30" s="14" t="b">
        <f>OR(Transport_Table[[#This Row],[Feedstock]]="All",Transport_Table[[#This Row],[Feedstock]]=SelectedFeedstock)</f>
        <v>0</v>
      </c>
      <c r="G30" s="14" t="b">
        <f>OR(Transport_Table[[#This Row],[Conversion]]="All",Transport_Table[[#This Row],[Conversion]]=SelectedConversion)</f>
        <v>1</v>
      </c>
      <c r="H30" s="14" t="b">
        <f>OR(Transport_Table[[#This Row],[Data Set]]="All",Transport_Table[[#This Row],[Data Set]]=SelectedDataSet)</f>
        <v>1</v>
      </c>
      <c r="I30" s="14" t="b">
        <f>OR(Transport_Table[[#This Row],[Technology]]="All",Transport_Table[[#This Row],[Technology]]=SelectedTechnology)</f>
        <v>0</v>
      </c>
      <c r="J30" s="14" t="b">
        <f>OR(Transport_Table[[#This Row],[Data Source]]="All",Transport_Table[[#This Row],[Data Source]]=SelectedDataSource)</f>
        <v>1</v>
      </c>
      <c r="K30" s="14" t="b">
        <v>1</v>
      </c>
      <c r="L30" s="14" t="b">
        <f>AND(Transport_Table[[#This Row],[Show Feedstock]:[Show Data Source]],NOT(Transport_Table[[#This Row],[Hide Column]]))</f>
        <v>0</v>
      </c>
      <c r="M30" s="14" t="s">
        <v>14</v>
      </c>
      <c r="N30" s="14" t="s">
        <v>1169</v>
      </c>
      <c r="O30" s="14" t="s">
        <v>1251</v>
      </c>
      <c r="P30" s="178" t="s">
        <v>360</v>
      </c>
      <c r="Q30" s="241" t="s">
        <v>1945</v>
      </c>
      <c r="R30" s="393">
        <v>1</v>
      </c>
      <c r="S30" s="394">
        <v>11750</v>
      </c>
      <c r="T30" s="107"/>
    </row>
    <row r="31" spans="1:20" x14ac:dyDescent="0.3">
      <c r="A31" s="190" t="s">
        <v>122</v>
      </c>
      <c r="B31" s="178" t="s">
        <v>30</v>
      </c>
      <c r="C31" s="178" t="s">
        <v>29</v>
      </c>
      <c r="D31" s="178" t="s">
        <v>29</v>
      </c>
      <c r="E31" s="178" t="s">
        <v>124</v>
      </c>
      <c r="F31" s="14" t="b">
        <f>OR(Transport_Table[[#This Row],[Feedstock]]="All",Transport_Table[[#This Row],[Feedstock]]=SelectedFeedstock)</f>
        <v>0</v>
      </c>
      <c r="G31" s="14" t="b">
        <f>OR(Transport_Table[[#This Row],[Conversion]]="All",Transport_Table[[#This Row],[Conversion]]=SelectedConversion)</f>
        <v>1</v>
      </c>
      <c r="H31" s="14" t="b">
        <f>OR(Transport_Table[[#This Row],[Data Set]]="All",Transport_Table[[#This Row],[Data Set]]=SelectedDataSet)</f>
        <v>1</v>
      </c>
      <c r="I31" s="14" t="b">
        <f>OR(Transport_Table[[#This Row],[Technology]]="All",Transport_Table[[#This Row],[Technology]]=SelectedTechnology)</f>
        <v>0</v>
      </c>
      <c r="J31" s="14" t="b">
        <f>OR(Transport_Table[[#This Row],[Data Source]]="All",Transport_Table[[#This Row],[Data Source]]=SelectedDataSource)</f>
        <v>1</v>
      </c>
      <c r="L31" s="14" t="b">
        <f>AND(Transport_Table[[#This Row],[Show Feedstock]:[Show Data Source]],NOT(Transport_Table[[#This Row],[Hide Column]]))</f>
        <v>0</v>
      </c>
      <c r="M31" s="14" t="s">
        <v>14</v>
      </c>
      <c r="N31" s="14" t="s">
        <v>1161</v>
      </c>
      <c r="O31" s="14" t="s">
        <v>1243</v>
      </c>
      <c r="P31" s="178" t="s">
        <v>1700</v>
      </c>
      <c r="Q31" s="241" t="s">
        <v>1946</v>
      </c>
      <c r="R31" s="393">
        <v>0.08</v>
      </c>
      <c r="S31" s="394">
        <v>520</v>
      </c>
      <c r="T31" s="107"/>
    </row>
    <row r="32" spans="1:20" x14ac:dyDescent="0.3">
      <c r="A32" s="190" t="s">
        <v>122</v>
      </c>
      <c r="B32" s="178" t="s">
        <v>30</v>
      </c>
      <c r="C32" s="178" t="s">
        <v>29</v>
      </c>
      <c r="D32" s="178" t="s">
        <v>29</v>
      </c>
      <c r="E32" s="178" t="s">
        <v>124</v>
      </c>
      <c r="F32" s="14" t="b">
        <f>OR(Transport_Table[[#This Row],[Feedstock]]="All",Transport_Table[[#This Row],[Feedstock]]=SelectedFeedstock)</f>
        <v>0</v>
      </c>
      <c r="G32" s="14" t="b">
        <f>OR(Transport_Table[[#This Row],[Conversion]]="All",Transport_Table[[#This Row],[Conversion]]=SelectedConversion)</f>
        <v>1</v>
      </c>
      <c r="H32" s="14" t="b">
        <f>OR(Transport_Table[[#This Row],[Data Set]]="All",Transport_Table[[#This Row],[Data Set]]=SelectedDataSet)</f>
        <v>1</v>
      </c>
      <c r="I32" s="14" t="b">
        <f>OR(Transport_Table[[#This Row],[Technology]]="All",Transport_Table[[#This Row],[Technology]]=SelectedTechnology)</f>
        <v>0</v>
      </c>
      <c r="J32" s="14" t="b">
        <f>OR(Transport_Table[[#This Row],[Data Source]]="All",Transport_Table[[#This Row],[Data Source]]=SelectedDataSource)</f>
        <v>1</v>
      </c>
      <c r="L32" s="14" t="b">
        <f>AND(Transport_Table[[#This Row],[Show Feedstock]:[Show Data Source]],NOT(Transport_Table[[#This Row],[Hide Column]]))</f>
        <v>0</v>
      </c>
      <c r="M32" s="14" t="s">
        <v>14</v>
      </c>
      <c r="N32" s="14" t="s">
        <v>1162</v>
      </c>
      <c r="O32" s="14" t="s">
        <v>1244</v>
      </c>
      <c r="P32" s="178" t="s">
        <v>1700</v>
      </c>
      <c r="Q32" s="241" t="s">
        <v>1947</v>
      </c>
      <c r="R32" s="393">
        <v>0</v>
      </c>
      <c r="S32" s="394">
        <v>0</v>
      </c>
      <c r="T32" s="107"/>
    </row>
    <row r="33" spans="1:20" x14ac:dyDescent="0.3">
      <c r="A33" s="190" t="s">
        <v>122</v>
      </c>
      <c r="B33" s="178" t="s">
        <v>30</v>
      </c>
      <c r="C33" s="178" t="s">
        <v>29</v>
      </c>
      <c r="D33" s="178" t="s">
        <v>29</v>
      </c>
      <c r="E33" s="178" t="s">
        <v>124</v>
      </c>
      <c r="F33" s="14" t="b">
        <f>OR(Transport_Table[[#This Row],[Feedstock]]="All",Transport_Table[[#This Row],[Feedstock]]=SelectedFeedstock)</f>
        <v>0</v>
      </c>
      <c r="G33" s="14" t="b">
        <f>OR(Transport_Table[[#This Row],[Conversion]]="All",Transport_Table[[#This Row],[Conversion]]=SelectedConversion)</f>
        <v>1</v>
      </c>
      <c r="H33" s="14" t="b">
        <f>OR(Transport_Table[[#This Row],[Data Set]]="All",Transport_Table[[#This Row],[Data Set]]=SelectedDataSet)</f>
        <v>1</v>
      </c>
      <c r="I33" s="14" t="b">
        <f>OR(Transport_Table[[#This Row],[Technology]]="All",Transport_Table[[#This Row],[Technology]]=SelectedTechnology)</f>
        <v>0</v>
      </c>
      <c r="J33" s="14" t="b">
        <f>OR(Transport_Table[[#This Row],[Data Source]]="All",Transport_Table[[#This Row],[Data Source]]=SelectedDataSource)</f>
        <v>1</v>
      </c>
      <c r="L33" s="14" t="b">
        <f>AND(Transport_Table[[#This Row],[Show Feedstock]:[Show Data Source]],NOT(Transport_Table[[#This Row],[Hide Column]]))</f>
        <v>0</v>
      </c>
      <c r="M33" s="14" t="s">
        <v>14</v>
      </c>
      <c r="N33" s="14" t="s">
        <v>1163</v>
      </c>
      <c r="O33" s="14" t="s">
        <v>1245</v>
      </c>
      <c r="P33" s="178" t="s">
        <v>1700</v>
      </c>
      <c r="Q33" s="241" t="s">
        <v>1943</v>
      </c>
      <c r="R33" s="393">
        <v>0.28999999999999998</v>
      </c>
      <c r="S33" s="394">
        <v>800</v>
      </c>
      <c r="T33" s="107"/>
    </row>
    <row r="34" spans="1:20" x14ac:dyDescent="0.3">
      <c r="A34" s="190" t="s">
        <v>122</v>
      </c>
      <c r="B34" s="178" t="s">
        <v>30</v>
      </c>
      <c r="C34" s="178" t="s">
        <v>29</v>
      </c>
      <c r="D34" s="178" t="s">
        <v>29</v>
      </c>
      <c r="E34" s="178" t="s">
        <v>124</v>
      </c>
      <c r="F34" s="14" t="b">
        <f>OR(Transport_Table[[#This Row],[Feedstock]]="All",Transport_Table[[#This Row],[Feedstock]]=SelectedFeedstock)</f>
        <v>0</v>
      </c>
      <c r="G34" s="14" t="b">
        <f>OR(Transport_Table[[#This Row],[Conversion]]="All",Transport_Table[[#This Row],[Conversion]]=SelectedConversion)</f>
        <v>1</v>
      </c>
      <c r="H34" s="14" t="b">
        <f>OR(Transport_Table[[#This Row],[Data Set]]="All",Transport_Table[[#This Row],[Data Set]]=SelectedDataSet)</f>
        <v>1</v>
      </c>
      <c r="I34" s="14" t="b">
        <f>OR(Transport_Table[[#This Row],[Technology]]="All",Transport_Table[[#This Row],[Technology]]=SelectedTechnology)</f>
        <v>0</v>
      </c>
      <c r="J34" s="14" t="b">
        <f>OR(Transport_Table[[#This Row],[Data Source]]="All",Transport_Table[[#This Row],[Data Source]]=SelectedDataSource)</f>
        <v>1</v>
      </c>
      <c r="L34" s="14" t="b">
        <f>AND(Transport_Table[[#This Row],[Show Feedstock]:[Show Data Source]],NOT(Transport_Table[[#This Row],[Hide Column]]))</f>
        <v>0</v>
      </c>
      <c r="M34" s="14" t="s">
        <v>14</v>
      </c>
      <c r="N34" s="14" t="s">
        <v>1164</v>
      </c>
      <c r="O34" s="14" t="s">
        <v>1246</v>
      </c>
      <c r="P34" s="178" t="s">
        <v>1700</v>
      </c>
      <c r="Q34" s="241" t="s">
        <v>1944</v>
      </c>
      <c r="R34" s="393">
        <v>0.63</v>
      </c>
      <c r="S34" s="394">
        <v>50</v>
      </c>
      <c r="T34" s="107"/>
    </row>
    <row r="35" spans="1:20" x14ac:dyDescent="0.3">
      <c r="A35" s="190" t="s">
        <v>122</v>
      </c>
      <c r="B35" s="178" t="s">
        <v>30</v>
      </c>
      <c r="C35" s="178" t="s">
        <v>29</v>
      </c>
      <c r="D35" s="178" t="s">
        <v>29</v>
      </c>
      <c r="E35" s="178" t="s">
        <v>124</v>
      </c>
      <c r="F35" s="14" t="b">
        <f>OR(Transport_Table[[#This Row],[Feedstock]]="All",Transport_Table[[#This Row],[Feedstock]]=SelectedFeedstock)</f>
        <v>0</v>
      </c>
      <c r="G35" s="14" t="b">
        <f>OR(Transport_Table[[#This Row],[Conversion]]="All",Transport_Table[[#This Row],[Conversion]]=SelectedConversion)</f>
        <v>1</v>
      </c>
      <c r="H35" s="14" t="b">
        <f>OR(Transport_Table[[#This Row],[Data Set]]="All",Transport_Table[[#This Row],[Data Set]]=SelectedDataSet)</f>
        <v>1</v>
      </c>
      <c r="I35" s="14" t="b">
        <f>OR(Transport_Table[[#This Row],[Technology]]="All",Transport_Table[[#This Row],[Technology]]=SelectedTechnology)</f>
        <v>0</v>
      </c>
      <c r="J35" s="14" t="b">
        <f>OR(Transport_Table[[#This Row],[Data Source]]="All",Transport_Table[[#This Row],[Data Source]]=SelectedDataSource)</f>
        <v>1</v>
      </c>
      <c r="L35" s="14" t="b">
        <f>AND(Transport_Table[[#This Row],[Show Feedstock]:[Show Data Source]],NOT(Transport_Table[[#This Row],[Hide Column]]))</f>
        <v>0</v>
      </c>
      <c r="M35" s="14" t="s">
        <v>14</v>
      </c>
      <c r="N35" s="14" t="s">
        <v>1165</v>
      </c>
      <c r="O35" s="14" t="s">
        <v>1247</v>
      </c>
      <c r="P35" s="178" t="s">
        <v>1701</v>
      </c>
      <c r="Q35" s="241" t="s">
        <v>1945</v>
      </c>
      <c r="R35" s="393">
        <v>1</v>
      </c>
      <c r="S35" s="394">
        <v>30</v>
      </c>
      <c r="T35" s="107"/>
    </row>
    <row r="36" spans="1:20" x14ac:dyDescent="0.3">
      <c r="A36" s="190" t="s">
        <v>1347</v>
      </c>
      <c r="B36" s="178" t="s">
        <v>30</v>
      </c>
      <c r="C36" s="178" t="s">
        <v>29</v>
      </c>
      <c r="D36" s="178" t="s">
        <v>29</v>
      </c>
      <c r="E36" s="178" t="s">
        <v>31</v>
      </c>
      <c r="F36" s="14" t="b">
        <f>OR(Transport_Table[[#This Row],[Feedstock]]="All",Transport_Table[[#This Row],[Feedstock]]=SelectedFeedstock)</f>
        <v>1</v>
      </c>
      <c r="G36" s="14" t="b">
        <f>OR(Transport_Table[[#This Row],[Conversion]]="All",Transport_Table[[#This Row],[Conversion]]=SelectedConversion)</f>
        <v>1</v>
      </c>
      <c r="H36" s="14" t="b">
        <f>OR(Transport_Table[[#This Row],[Data Set]]="All",Transport_Table[[#This Row],[Data Set]]=SelectedDataSet)</f>
        <v>1</v>
      </c>
      <c r="I36" s="14" t="b">
        <f>OR(Transport_Table[[#This Row],[Technology]]="All",Transport_Table[[#This Row],[Technology]]=SelectedTechnology)</f>
        <v>1</v>
      </c>
      <c r="J36" s="14" t="b">
        <f>OR(Transport_Table[[#This Row],[Data Source]]="All",Transport_Table[[#This Row],[Data Source]]=SelectedDataSource)</f>
        <v>1</v>
      </c>
      <c r="K36" s="14" t="b">
        <v>1</v>
      </c>
      <c r="L36" s="14" t="b">
        <f>AND(Transport_Table[[#This Row],[Show Feedstock]:[Show Data Source]],NOT(Transport_Table[[#This Row],[Hide Column]]))</f>
        <v>0</v>
      </c>
      <c r="M36" s="14" t="s">
        <v>14</v>
      </c>
      <c r="N36" s="14" t="s">
        <v>1170</v>
      </c>
      <c r="O36" s="14" t="s">
        <v>1252</v>
      </c>
      <c r="P36" s="178" t="s">
        <v>125</v>
      </c>
      <c r="Q36" s="241" t="s">
        <v>1946</v>
      </c>
      <c r="R36" s="393">
        <v>0</v>
      </c>
      <c r="S36" s="394">
        <v>0</v>
      </c>
      <c r="T36" s="107"/>
    </row>
    <row r="37" spans="1:20" x14ac:dyDescent="0.3">
      <c r="A37" s="190" t="s">
        <v>1347</v>
      </c>
      <c r="B37" s="178" t="s">
        <v>30</v>
      </c>
      <c r="C37" s="178" t="s">
        <v>29</v>
      </c>
      <c r="D37" s="178" t="s">
        <v>29</v>
      </c>
      <c r="E37" s="178" t="s">
        <v>31</v>
      </c>
      <c r="F37" s="14" t="b">
        <f>OR(Transport_Table[[#This Row],[Feedstock]]="All",Transport_Table[[#This Row],[Feedstock]]=SelectedFeedstock)</f>
        <v>1</v>
      </c>
      <c r="G37" s="14" t="b">
        <f>OR(Transport_Table[[#This Row],[Conversion]]="All",Transport_Table[[#This Row],[Conversion]]=SelectedConversion)</f>
        <v>1</v>
      </c>
      <c r="H37" s="14" t="b">
        <f>OR(Transport_Table[[#This Row],[Data Set]]="All",Transport_Table[[#This Row],[Data Set]]=SelectedDataSet)</f>
        <v>1</v>
      </c>
      <c r="I37" s="14" t="b">
        <f>OR(Transport_Table[[#This Row],[Technology]]="All",Transport_Table[[#This Row],[Technology]]=SelectedTechnology)</f>
        <v>1</v>
      </c>
      <c r="J37" s="14" t="b">
        <f>OR(Transport_Table[[#This Row],[Data Source]]="All",Transport_Table[[#This Row],[Data Source]]=SelectedDataSource)</f>
        <v>1</v>
      </c>
      <c r="K37" s="14" t="b">
        <v>1</v>
      </c>
      <c r="L37" s="14" t="b">
        <f>AND(Transport_Table[[#This Row],[Show Feedstock]:[Show Data Source]],NOT(Transport_Table[[#This Row],[Hide Column]]))</f>
        <v>0</v>
      </c>
      <c r="M37" s="14" t="s">
        <v>14</v>
      </c>
      <c r="N37" s="14" t="s">
        <v>1171</v>
      </c>
      <c r="O37" s="14" t="s">
        <v>1253</v>
      </c>
      <c r="P37" s="178" t="s">
        <v>125</v>
      </c>
      <c r="Q37" s="241" t="s">
        <v>1947</v>
      </c>
      <c r="R37" s="393">
        <v>0</v>
      </c>
      <c r="S37" s="394">
        <v>0</v>
      </c>
      <c r="T37" s="107"/>
    </row>
    <row r="38" spans="1:20" x14ac:dyDescent="0.3">
      <c r="A38" s="190" t="s">
        <v>1347</v>
      </c>
      <c r="B38" s="178" t="s">
        <v>30</v>
      </c>
      <c r="C38" s="178" t="s">
        <v>29</v>
      </c>
      <c r="D38" s="178" t="s">
        <v>29</v>
      </c>
      <c r="E38" s="178" t="s">
        <v>31</v>
      </c>
      <c r="F38" s="14" t="b">
        <f>OR(Transport_Table[[#This Row],[Feedstock]]="All",Transport_Table[[#This Row],[Feedstock]]=SelectedFeedstock)</f>
        <v>1</v>
      </c>
      <c r="G38" s="14" t="b">
        <f>OR(Transport_Table[[#This Row],[Conversion]]="All",Transport_Table[[#This Row],[Conversion]]=SelectedConversion)</f>
        <v>1</v>
      </c>
      <c r="H38" s="14" t="b">
        <f>OR(Transport_Table[[#This Row],[Data Set]]="All",Transport_Table[[#This Row],[Data Set]]=SelectedDataSet)</f>
        <v>1</v>
      </c>
      <c r="I38" s="14" t="b">
        <f>OR(Transport_Table[[#This Row],[Technology]]="All",Transport_Table[[#This Row],[Technology]]=SelectedTechnology)</f>
        <v>1</v>
      </c>
      <c r="J38" s="14" t="b">
        <f>OR(Transport_Table[[#This Row],[Data Source]]="All",Transport_Table[[#This Row],[Data Source]]=SelectedDataSource)</f>
        <v>1</v>
      </c>
      <c r="K38" s="14" t="b">
        <v>1</v>
      </c>
      <c r="L38" s="14" t="b">
        <f>AND(Transport_Table[[#This Row],[Show Feedstock]:[Show Data Source]],NOT(Transport_Table[[#This Row],[Hide Column]]))</f>
        <v>0</v>
      </c>
      <c r="M38" s="14" t="s">
        <v>14</v>
      </c>
      <c r="N38" s="14" t="s">
        <v>1172</v>
      </c>
      <c r="O38" s="14" t="s">
        <v>1254</v>
      </c>
      <c r="P38" s="178" t="s">
        <v>125</v>
      </c>
      <c r="Q38" s="241" t="s">
        <v>1943</v>
      </c>
      <c r="R38" s="393">
        <v>1</v>
      </c>
      <c r="S38" s="394">
        <v>40</v>
      </c>
      <c r="T38" s="107"/>
    </row>
    <row r="39" spans="1:20" x14ac:dyDescent="0.3">
      <c r="A39" s="190" t="s">
        <v>1347</v>
      </c>
      <c r="B39" s="178" t="s">
        <v>30</v>
      </c>
      <c r="C39" s="178" t="s">
        <v>29</v>
      </c>
      <c r="D39" s="178" t="s">
        <v>29</v>
      </c>
      <c r="E39" s="178" t="s">
        <v>31</v>
      </c>
      <c r="F39" s="14" t="b">
        <f>OR(Transport_Table[[#This Row],[Feedstock]]="All",Transport_Table[[#This Row],[Feedstock]]=SelectedFeedstock)</f>
        <v>1</v>
      </c>
      <c r="G39" s="14" t="b">
        <f>OR(Transport_Table[[#This Row],[Conversion]]="All",Transport_Table[[#This Row],[Conversion]]=SelectedConversion)</f>
        <v>1</v>
      </c>
      <c r="H39" s="14" t="b">
        <f>OR(Transport_Table[[#This Row],[Data Set]]="All",Transport_Table[[#This Row],[Data Set]]=SelectedDataSet)</f>
        <v>1</v>
      </c>
      <c r="I39" s="14" t="b">
        <f>OR(Transport_Table[[#This Row],[Technology]]="All",Transport_Table[[#This Row],[Technology]]=SelectedTechnology)</f>
        <v>1</v>
      </c>
      <c r="J39" s="14" t="b">
        <f>OR(Transport_Table[[#This Row],[Data Source]]="All",Transport_Table[[#This Row],[Data Source]]=SelectedDataSource)</f>
        <v>1</v>
      </c>
      <c r="K39" s="14" t="b">
        <v>1</v>
      </c>
      <c r="L39" s="14" t="b">
        <f>AND(Transport_Table[[#This Row],[Show Feedstock]:[Show Data Source]],NOT(Transport_Table[[#This Row],[Hide Column]]))</f>
        <v>0</v>
      </c>
      <c r="M39" s="14" t="s">
        <v>14</v>
      </c>
      <c r="N39" s="14" t="s">
        <v>1173</v>
      </c>
      <c r="O39" s="14" t="s">
        <v>1255</v>
      </c>
      <c r="P39" s="178" t="s">
        <v>125</v>
      </c>
      <c r="Q39" s="241" t="s">
        <v>1944</v>
      </c>
      <c r="R39" s="393">
        <v>1</v>
      </c>
      <c r="S39" s="394">
        <v>10</v>
      </c>
      <c r="T39" s="107"/>
    </row>
    <row r="40" spans="1:20" x14ac:dyDescent="0.3">
      <c r="A40" s="190" t="s">
        <v>1347</v>
      </c>
      <c r="B40" s="178" t="s">
        <v>30</v>
      </c>
      <c r="C40" s="178" t="s">
        <v>29</v>
      </c>
      <c r="D40" s="178" t="s">
        <v>29</v>
      </c>
      <c r="E40" s="178" t="s">
        <v>31</v>
      </c>
      <c r="F40" s="14" t="b">
        <f>OR(Transport_Table[[#This Row],[Feedstock]]="All",Transport_Table[[#This Row],[Feedstock]]=SelectedFeedstock)</f>
        <v>1</v>
      </c>
      <c r="G40" s="14" t="b">
        <f>OR(Transport_Table[[#This Row],[Conversion]]="All",Transport_Table[[#This Row],[Conversion]]=SelectedConversion)</f>
        <v>1</v>
      </c>
      <c r="H40" s="14" t="b">
        <f>OR(Transport_Table[[#This Row],[Data Set]]="All",Transport_Table[[#This Row],[Data Set]]=SelectedDataSet)</f>
        <v>1</v>
      </c>
      <c r="I40" s="14" t="b">
        <f>OR(Transport_Table[[#This Row],[Technology]]="All",Transport_Table[[#This Row],[Technology]]=SelectedTechnology)</f>
        <v>1</v>
      </c>
      <c r="J40" s="14" t="b">
        <f>OR(Transport_Table[[#This Row],[Data Source]]="All",Transport_Table[[#This Row],[Data Source]]=SelectedDataSource)</f>
        <v>1</v>
      </c>
      <c r="K40" s="14" t="b">
        <v>1</v>
      </c>
      <c r="L40" s="14" t="b">
        <f>AND(Transport_Table[[#This Row],[Show Feedstock]:[Show Data Source]],NOT(Transport_Table[[#This Row],[Hide Column]]))</f>
        <v>0</v>
      </c>
      <c r="M40" s="14" t="s">
        <v>14</v>
      </c>
      <c r="N40" s="14" t="s">
        <v>1174</v>
      </c>
      <c r="O40" s="14" t="s">
        <v>1256</v>
      </c>
      <c r="P40" s="178" t="s">
        <v>400</v>
      </c>
      <c r="Q40" s="241" t="s">
        <v>1945</v>
      </c>
      <c r="R40" s="393">
        <v>0</v>
      </c>
      <c r="S40" s="394">
        <v>0</v>
      </c>
      <c r="T40" s="107"/>
    </row>
    <row r="41" spans="1:20" x14ac:dyDescent="0.3">
      <c r="A41" s="190" t="s">
        <v>1347</v>
      </c>
      <c r="B41" s="178" t="s">
        <v>30</v>
      </c>
      <c r="C41" s="178" t="s">
        <v>29</v>
      </c>
      <c r="D41" s="178" t="s">
        <v>29</v>
      </c>
      <c r="E41" s="178" t="s">
        <v>31</v>
      </c>
      <c r="F41" s="14" t="b">
        <f>OR(Transport_Table[[#This Row],[Feedstock]]="All",Transport_Table[[#This Row],[Feedstock]]=SelectedFeedstock)</f>
        <v>1</v>
      </c>
      <c r="G41" s="14" t="b">
        <f>OR(Transport_Table[[#This Row],[Conversion]]="All",Transport_Table[[#This Row],[Conversion]]=SelectedConversion)</f>
        <v>1</v>
      </c>
      <c r="H41" s="14" t="b">
        <f>OR(Transport_Table[[#This Row],[Data Set]]="All",Transport_Table[[#This Row],[Data Set]]=SelectedDataSet)</f>
        <v>1</v>
      </c>
      <c r="I41" s="14" t="b">
        <f>OR(Transport_Table[[#This Row],[Technology]]="All",Transport_Table[[#This Row],[Technology]]=SelectedTechnology)</f>
        <v>1</v>
      </c>
      <c r="J41" s="14" t="b">
        <f>OR(Transport_Table[[#This Row],[Data Source]]="All",Transport_Table[[#This Row],[Data Source]]=SelectedDataSource)</f>
        <v>1</v>
      </c>
      <c r="K41" s="14" t="b">
        <v>1</v>
      </c>
      <c r="L41" s="14" t="b">
        <f>AND(Transport_Table[[#This Row],[Show Feedstock]:[Show Data Source]],NOT(Transport_Table[[#This Row],[Hide Column]]))</f>
        <v>0</v>
      </c>
      <c r="M41" s="14" t="s">
        <v>14</v>
      </c>
      <c r="N41" s="14" t="s">
        <v>1175</v>
      </c>
      <c r="O41" s="14" t="s">
        <v>1257</v>
      </c>
      <c r="P41" s="178" t="s">
        <v>400</v>
      </c>
      <c r="Q41" s="241" t="s">
        <v>1946</v>
      </c>
      <c r="R41" s="393">
        <v>0</v>
      </c>
      <c r="S41" s="394">
        <v>0</v>
      </c>
      <c r="T41" s="107"/>
    </row>
    <row r="42" spans="1:20" x14ac:dyDescent="0.3">
      <c r="A42" s="190" t="s">
        <v>1347</v>
      </c>
      <c r="B42" s="178" t="s">
        <v>30</v>
      </c>
      <c r="C42" s="178" t="s">
        <v>29</v>
      </c>
      <c r="D42" s="178" t="s">
        <v>29</v>
      </c>
      <c r="E42" s="178" t="s">
        <v>31</v>
      </c>
      <c r="F42" s="14" t="b">
        <f>OR(Transport_Table[[#This Row],[Feedstock]]="All",Transport_Table[[#This Row],[Feedstock]]=SelectedFeedstock)</f>
        <v>1</v>
      </c>
      <c r="G42" s="14" t="b">
        <f>OR(Transport_Table[[#This Row],[Conversion]]="All",Transport_Table[[#This Row],[Conversion]]=SelectedConversion)</f>
        <v>1</v>
      </c>
      <c r="H42" s="14" t="b">
        <f>OR(Transport_Table[[#This Row],[Data Set]]="All",Transport_Table[[#This Row],[Data Set]]=SelectedDataSet)</f>
        <v>1</v>
      </c>
      <c r="I42" s="14" t="b">
        <f>OR(Transport_Table[[#This Row],[Technology]]="All",Transport_Table[[#This Row],[Technology]]=SelectedTechnology)</f>
        <v>1</v>
      </c>
      <c r="J42" s="14" t="b">
        <f>OR(Transport_Table[[#This Row],[Data Source]]="All",Transport_Table[[#This Row],[Data Source]]=SelectedDataSource)</f>
        <v>1</v>
      </c>
      <c r="K42" s="14" t="b">
        <v>1</v>
      </c>
      <c r="L42" s="14" t="b">
        <f>AND(Transport_Table[[#This Row],[Show Feedstock]:[Show Data Source]],NOT(Transport_Table[[#This Row],[Hide Column]]))</f>
        <v>0</v>
      </c>
      <c r="M42" s="14" t="s">
        <v>14</v>
      </c>
      <c r="N42" s="14" t="s">
        <v>1176</v>
      </c>
      <c r="O42" s="14" t="s">
        <v>1258</v>
      </c>
      <c r="P42" s="178" t="s">
        <v>400</v>
      </c>
      <c r="Q42" s="241" t="s">
        <v>1947</v>
      </c>
      <c r="R42" s="393">
        <v>0.33</v>
      </c>
      <c r="S42" s="394">
        <v>700</v>
      </c>
      <c r="T42" s="107"/>
    </row>
    <row r="43" spans="1:20" x14ac:dyDescent="0.3">
      <c r="A43" s="190" t="s">
        <v>1347</v>
      </c>
      <c r="B43" s="178" t="s">
        <v>30</v>
      </c>
      <c r="C43" s="178" t="s">
        <v>29</v>
      </c>
      <c r="D43" s="178" t="s">
        <v>29</v>
      </c>
      <c r="E43" s="178" t="s">
        <v>31</v>
      </c>
      <c r="F43" s="14" t="b">
        <f>OR(Transport_Table[[#This Row],[Feedstock]]="All",Transport_Table[[#This Row],[Feedstock]]=SelectedFeedstock)</f>
        <v>1</v>
      </c>
      <c r="G43" s="14" t="b">
        <f>OR(Transport_Table[[#This Row],[Conversion]]="All",Transport_Table[[#This Row],[Conversion]]=SelectedConversion)</f>
        <v>1</v>
      </c>
      <c r="H43" s="14" t="b">
        <f>OR(Transport_Table[[#This Row],[Data Set]]="All",Transport_Table[[#This Row],[Data Set]]=SelectedDataSet)</f>
        <v>1</v>
      </c>
      <c r="I43" s="14" t="b">
        <f>OR(Transport_Table[[#This Row],[Technology]]="All",Transport_Table[[#This Row],[Technology]]=SelectedTechnology)</f>
        <v>1</v>
      </c>
      <c r="J43" s="14" t="b">
        <f>OR(Transport_Table[[#This Row],[Data Source]]="All",Transport_Table[[#This Row],[Data Source]]=SelectedDataSource)</f>
        <v>1</v>
      </c>
      <c r="K43" s="14" t="b">
        <v>1</v>
      </c>
      <c r="L43" s="14" t="b">
        <f>AND(Transport_Table[[#This Row],[Show Feedstock]:[Show Data Source]],NOT(Transport_Table[[#This Row],[Hide Column]]))</f>
        <v>0</v>
      </c>
      <c r="M43" s="14" t="s">
        <v>14</v>
      </c>
      <c r="N43" s="14" t="s">
        <v>1177</v>
      </c>
      <c r="O43" s="14" t="s">
        <v>1259</v>
      </c>
      <c r="P43" s="178" t="s">
        <v>400</v>
      </c>
      <c r="Q43" s="241" t="s">
        <v>1943</v>
      </c>
      <c r="R43" s="393">
        <v>0.67</v>
      </c>
      <c r="S43" s="394">
        <v>80</v>
      </c>
      <c r="T43" s="107"/>
    </row>
    <row r="44" spans="1:20" x14ac:dyDescent="0.3">
      <c r="A44" s="190" t="s">
        <v>1347</v>
      </c>
      <c r="B44" s="178" t="s">
        <v>30</v>
      </c>
      <c r="C44" s="178" t="s">
        <v>29</v>
      </c>
      <c r="D44" s="178" t="s">
        <v>29</v>
      </c>
      <c r="E44" s="178" t="s">
        <v>31</v>
      </c>
      <c r="F44" s="14" t="b">
        <f>OR(Transport_Table[[#This Row],[Feedstock]]="All",Transport_Table[[#This Row],[Feedstock]]=SelectedFeedstock)</f>
        <v>1</v>
      </c>
      <c r="G44" s="14" t="b">
        <f>OR(Transport_Table[[#This Row],[Conversion]]="All",Transport_Table[[#This Row],[Conversion]]=SelectedConversion)</f>
        <v>1</v>
      </c>
      <c r="H44" s="14" t="b">
        <f>OR(Transport_Table[[#This Row],[Data Set]]="All",Transport_Table[[#This Row],[Data Set]]=SelectedDataSet)</f>
        <v>1</v>
      </c>
      <c r="I44" s="14" t="b">
        <f>OR(Transport_Table[[#This Row],[Technology]]="All",Transport_Table[[#This Row],[Technology]]=SelectedTechnology)</f>
        <v>1</v>
      </c>
      <c r="J44" s="14" t="b">
        <f>OR(Transport_Table[[#This Row],[Data Source]]="All",Transport_Table[[#This Row],[Data Source]]=SelectedDataSource)</f>
        <v>1</v>
      </c>
      <c r="L44" s="14" t="b">
        <f>AND(Transport_Table[[#This Row],[Show Feedstock]:[Show Data Source]],NOT(Transport_Table[[#This Row],[Hide Column]]))</f>
        <v>1</v>
      </c>
      <c r="M44" s="14" t="s">
        <v>14</v>
      </c>
      <c r="N44" s="14" t="s">
        <v>1161</v>
      </c>
      <c r="O44" s="14" t="s">
        <v>1243</v>
      </c>
      <c r="P44" s="178" t="s">
        <v>1700</v>
      </c>
      <c r="Q44" s="241" t="s">
        <v>2002</v>
      </c>
      <c r="R44" s="393">
        <v>0.08</v>
      </c>
      <c r="S44" s="394">
        <v>520</v>
      </c>
      <c r="T44" s="107"/>
    </row>
    <row r="45" spans="1:20" x14ac:dyDescent="0.3">
      <c r="A45" s="190" t="s">
        <v>1347</v>
      </c>
      <c r="B45" s="178" t="s">
        <v>30</v>
      </c>
      <c r="C45" s="178" t="s">
        <v>29</v>
      </c>
      <c r="D45" s="178" t="s">
        <v>29</v>
      </c>
      <c r="E45" s="178" t="s">
        <v>31</v>
      </c>
      <c r="F45" s="14" t="b">
        <f>OR(Transport_Table[[#This Row],[Feedstock]]="All",Transport_Table[[#This Row],[Feedstock]]=SelectedFeedstock)</f>
        <v>1</v>
      </c>
      <c r="G45" s="14" t="b">
        <f>OR(Transport_Table[[#This Row],[Conversion]]="All",Transport_Table[[#This Row],[Conversion]]=SelectedConversion)</f>
        <v>1</v>
      </c>
      <c r="H45" s="14" t="b">
        <f>OR(Transport_Table[[#This Row],[Data Set]]="All",Transport_Table[[#This Row],[Data Set]]=SelectedDataSet)</f>
        <v>1</v>
      </c>
      <c r="I45" s="14" t="b">
        <f>OR(Transport_Table[[#This Row],[Technology]]="All",Transport_Table[[#This Row],[Technology]]=SelectedTechnology)</f>
        <v>1</v>
      </c>
      <c r="J45" s="14" t="b">
        <f>OR(Transport_Table[[#This Row],[Data Source]]="All",Transport_Table[[#This Row],[Data Source]]=SelectedDataSource)</f>
        <v>1</v>
      </c>
      <c r="L45" s="14" t="b">
        <f>AND(Transport_Table[[#This Row],[Show Feedstock]:[Show Data Source]],NOT(Transport_Table[[#This Row],[Hide Column]]))</f>
        <v>1</v>
      </c>
      <c r="M45" s="14" t="s">
        <v>14</v>
      </c>
      <c r="N45" s="14" t="s">
        <v>1162</v>
      </c>
      <c r="O45" s="14" t="s">
        <v>1244</v>
      </c>
      <c r="P45" s="178" t="s">
        <v>1700</v>
      </c>
      <c r="Q45" s="241" t="s">
        <v>2003</v>
      </c>
      <c r="R45" s="393">
        <v>0</v>
      </c>
      <c r="S45" s="394">
        <v>0</v>
      </c>
      <c r="T45" s="107"/>
    </row>
    <row r="46" spans="1:20" x14ac:dyDescent="0.3">
      <c r="A46" s="190" t="s">
        <v>1347</v>
      </c>
      <c r="B46" s="178" t="s">
        <v>30</v>
      </c>
      <c r="C46" s="178" t="s">
        <v>29</v>
      </c>
      <c r="D46" s="178" t="s">
        <v>29</v>
      </c>
      <c r="E46" s="178" t="s">
        <v>31</v>
      </c>
      <c r="F46" s="14" t="b">
        <f>OR(Transport_Table[[#This Row],[Feedstock]]="All",Transport_Table[[#This Row],[Feedstock]]=SelectedFeedstock)</f>
        <v>1</v>
      </c>
      <c r="G46" s="14" t="b">
        <f>OR(Transport_Table[[#This Row],[Conversion]]="All",Transport_Table[[#This Row],[Conversion]]=SelectedConversion)</f>
        <v>1</v>
      </c>
      <c r="H46" s="14" t="b">
        <f>OR(Transport_Table[[#This Row],[Data Set]]="All",Transport_Table[[#This Row],[Data Set]]=SelectedDataSet)</f>
        <v>1</v>
      </c>
      <c r="I46" s="14" t="b">
        <f>OR(Transport_Table[[#This Row],[Technology]]="All",Transport_Table[[#This Row],[Technology]]=SelectedTechnology)</f>
        <v>1</v>
      </c>
      <c r="J46" s="14" t="b">
        <f>OR(Transport_Table[[#This Row],[Data Source]]="All",Transport_Table[[#This Row],[Data Source]]=SelectedDataSource)</f>
        <v>1</v>
      </c>
      <c r="L46" s="14" t="b">
        <f>AND(Transport_Table[[#This Row],[Show Feedstock]:[Show Data Source]],NOT(Transport_Table[[#This Row],[Hide Column]]))</f>
        <v>1</v>
      </c>
      <c r="M46" s="14" t="s">
        <v>14</v>
      </c>
      <c r="N46" s="14" t="s">
        <v>1163</v>
      </c>
      <c r="O46" s="14" t="s">
        <v>1245</v>
      </c>
      <c r="P46" s="178" t="s">
        <v>1700</v>
      </c>
      <c r="Q46" s="241" t="s">
        <v>2004</v>
      </c>
      <c r="R46" s="393">
        <v>0.28999999999999998</v>
      </c>
      <c r="S46" s="394">
        <v>800</v>
      </c>
      <c r="T46" s="107"/>
    </row>
    <row r="47" spans="1:20" x14ac:dyDescent="0.3">
      <c r="A47" s="190" t="s">
        <v>1347</v>
      </c>
      <c r="B47" s="178" t="s">
        <v>30</v>
      </c>
      <c r="C47" s="178" t="s">
        <v>29</v>
      </c>
      <c r="D47" s="178" t="s">
        <v>29</v>
      </c>
      <c r="E47" s="178" t="s">
        <v>31</v>
      </c>
      <c r="F47" s="14" t="b">
        <f>OR(Transport_Table[[#This Row],[Feedstock]]="All",Transport_Table[[#This Row],[Feedstock]]=SelectedFeedstock)</f>
        <v>1</v>
      </c>
      <c r="G47" s="14" t="b">
        <f>OR(Transport_Table[[#This Row],[Conversion]]="All",Transport_Table[[#This Row],[Conversion]]=SelectedConversion)</f>
        <v>1</v>
      </c>
      <c r="H47" s="14" t="b">
        <f>OR(Transport_Table[[#This Row],[Data Set]]="All",Transport_Table[[#This Row],[Data Set]]=SelectedDataSet)</f>
        <v>1</v>
      </c>
      <c r="I47" s="14" t="b">
        <f>OR(Transport_Table[[#This Row],[Technology]]="All",Transport_Table[[#This Row],[Technology]]=SelectedTechnology)</f>
        <v>1</v>
      </c>
      <c r="J47" s="14" t="b">
        <f>OR(Transport_Table[[#This Row],[Data Source]]="All",Transport_Table[[#This Row],[Data Source]]=SelectedDataSource)</f>
        <v>1</v>
      </c>
      <c r="L47" s="14" t="b">
        <f>AND(Transport_Table[[#This Row],[Show Feedstock]:[Show Data Source]],NOT(Transport_Table[[#This Row],[Hide Column]]))</f>
        <v>1</v>
      </c>
      <c r="M47" s="14" t="s">
        <v>14</v>
      </c>
      <c r="N47" s="14" t="s">
        <v>1840</v>
      </c>
      <c r="O47" s="14" t="s">
        <v>1840</v>
      </c>
      <c r="P47" s="178" t="s">
        <v>1700</v>
      </c>
      <c r="Q47" s="241" t="s">
        <v>2005</v>
      </c>
      <c r="R47" s="393">
        <v>0.63</v>
      </c>
      <c r="S47" s="394">
        <v>50</v>
      </c>
      <c r="T47" s="107"/>
    </row>
    <row r="48" spans="1:20" x14ac:dyDescent="0.3">
      <c r="A48" s="190" t="s">
        <v>1347</v>
      </c>
      <c r="B48" s="178" t="s">
        <v>30</v>
      </c>
      <c r="C48" s="178" t="s">
        <v>29</v>
      </c>
      <c r="D48" s="178" t="s">
        <v>29</v>
      </c>
      <c r="E48" s="178" t="s">
        <v>31</v>
      </c>
      <c r="F48" s="14" t="b">
        <f>OR(Transport_Table[[#This Row],[Feedstock]]="All",Transport_Table[[#This Row],[Feedstock]]=SelectedFeedstock)</f>
        <v>1</v>
      </c>
      <c r="G48" s="14" t="b">
        <f>OR(Transport_Table[[#This Row],[Conversion]]="All",Transport_Table[[#This Row],[Conversion]]=SelectedConversion)</f>
        <v>1</v>
      </c>
      <c r="H48" s="14" t="b">
        <f>OR(Transport_Table[[#This Row],[Data Set]]="All",Transport_Table[[#This Row],[Data Set]]=SelectedDataSet)</f>
        <v>1</v>
      </c>
      <c r="I48" s="14" t="b">
        <f>OR(Transport_Table[[#This Row],[Technology]]="All",Transport_Table[[#This Row],[Technology]]=SelectedTechnology)</f>
        <v>1</v>
      </c>
      <c r="J48" s="14" t="b">
        <f>OR(Transport_Table[[#This Row],[Data Source]]="All",Transport_Table[[#This Row],[Data Source]]=SelectedDataSource)</f>
        <v>1</v>
      </c>
      <c r="K48" s="14" t="b">
        <v>1</v>
      </c>
      <c r="L48" s="14" t="b">
        <f>AND(Transport_Table[[#This Row],[Show Feedstock]:[Show Data Source]],NOT(Transport_Table[[#This Row],[Hide Column]]))</f>
        <v>0</v>
      </c>
      <c r="M48" s="14" t="s">
        <v>14</v>
      </c>
      <c r="N48" s="14" t="s">
        <v>1841</v>
      </c>
      <c r="O48" s="14" t="s">
        <v>1842</v>
      </c>
      <c r="P48" s="178" t="s">
        <v>1701</v>
      </c>
      <c r="Q48" s="241" t="s">
        <v>2006</v>
      </c>
      <c r="R48" s="393">
        <v>0</v>
      </c>
      <c r="S48" s="394">
        <v>0</v>
      </c>
      <c r="T48" s="107"/>
    </row>
    <row r="49" spans="1:20" x14ac:dyDescent="0.3">
      <c r="A49" s="190" t="s">
        <v>1347</v>
      </c>
      <c r="B49" s="178" t="s">
        <v>30</v>
      </c>
      <c r="C49" s="178" t="s">
        <v>29</v>
      </c>
      <c r="D49" s="178" t="s">
        <v>29</v>
      </c>
      <c r="E49" s="178" t="s">
        <v>31</v>
      </c>
      <c r="F49" s="14" t="b">
        <f>OR(Transport_Table[[#This Row],[Feedstock]]="All",Transport_Table[[#This Row],[Feedstock]]=SelectedFeedstock)</f>
        <v>1</v>
      </c>
      <c r="G49" s="14" t="b">
        <f>OR(Transport_Table[[#This Row],[Conversion]]="All",Transport_Table[[#This Row],[Conversion]]=SelectedConversion)</f>
        <v>1</v>
      </c>
      <c r="H49" s="14" t="b">
        <f>OR(Transport_Table[[#This Row],[Data Set]]="All",Transport_Table[[#This Row],[Data Set]]=SelectedDataSet)</f>
        <v>1</v>
      </c>
      <c r="I49" s="14" t="b">
        <f>OR(Transport_Table[[#This Row],[Technology]]="All",Transport_Table[[#This Row],[Technology]]=SelectedTechnology)</f>
        <v>1</v>
      </c>
      <c r="J49" s="14" t="b">
        <f>OR(Transport_Table[[#This Row],[Data Source]]="All",Transport_Table[[#This Row],[Data Source]]=SelectedDataSource)</f>
        <v>1</v>
      </c>
      <c r="K49" s="14" t="b">
        <v>1</v>
      </c>
      <c r="L49" s="14" t="b">
        <f>AND(Transport_Table[[#This Row],[Show Feedstock]:[Show Data Source]],NOT(Transport_Table[[#This Row],[Hide Column]]))</f>
        <v>0</v>
      </c>
      <c r="M49" s="14" t="s">
        <v>14</v>
      </c>
      <c r="N49" s="14" t="s">
        <v>1843</v>
      </c>
      <c r="O49" s="14" t="s">
        <v>1844</v>
      </c>
      <c r="P49" s="178" t="s">
        <v>1701</v>
      </c>
      <c r="Q49" s="241" t="s">
        <v>2007</v>
      </c>
      <c r="R49" s="393">
        <v>0</v>
      </c>
      <c r="S49" s="394">
        <v>0</v>
      </c>
      <c r="T49" s="107"/>
    </row>
    <row r="50" spans="1:20" x14ac:dyDescent="0.3">
      <c r="A50" s="190" t="s">
        <v>1347</v>
      </c>
      <c r="B50" s="178" t="s">
        <v>30</v>
      </c>
      <c r="C50" s="178" t="s">
        <v>29</v>
      </c>
      <c r="D50" s="178" t="s">
        <v>29</v>
      </c>
      <c r="E50" s="178" t="s">
        <v>31</v>
      </c>
      <c r="F50" s="14" t="b">
        <f>OR(Transport_Table[[#This Row],[Feedstock]]="All",Transport_Table[[#This Row],[Feedstock]]=SelectedFeedstock)</f>
        <v>1</v>
      </c>
      <c r="G50" s="14" t="b">
        <f>OR(Transport_Table[[#This Row],[Conversion]]="All",Transport_Table[[#This Row],[Conversion]]=SelectedConversion)</f>
        <v>1</v>
      </c>
      <c r="H50" s="14" t="b">
        <f>OR(Transport_Table[[#This Row],[Data Set]]="All",Transport_Table[[#This Row],[Data Set]]=SelectedDataSet)</f>
        <v>1</v>
      </c>
      <c r="I50" s="14" t="b">
        <f>OR(Transport_Table[[#This Row],[Technology]]="All",Transport_Table[[#This Row],[Technology]]=SelectedTechnology)</f>
        <v>1</v>
      </c>
      <c r="J50" s="14" t="b">
        <f>OR(Transport_Table[[#This Row],[Data Source]]="All",Transport_Table[[#This Row],[Data Source]]=SelectedDataSource)</f>
        <v>1</v>
      </c>
      <c r="K50" s="14" t="b">
        <v>1</v>
      </c>
      <c r="L50" s="14" t="b">
        <f>AND(Transport_Table[[#This Row],[Show Feedstock]:[Show Data Source]],NOT(Transport_Table[[#This Row],[Hide Column]]))</f>
        <v>0</v>
      </c>
      <c r="M50" s="14" t="s">
        <v>14</v>
      </c>
      <c r="N50" s="14" t="s">
        <v>1845</v>
      </c>
      <c r="O50" s="14" t="s">
        <v>1846</v>
      </c>
      <c r="P50" s="178" t="s">
        <v>1701</v>
      </c>
      <c r="Q50" s="241" t="s">
        <v>2008</v>
      </c>
      <c r="R50" s="393">
        <v>0</v>
      </c>
      <c r="S50" s="394">
        <v>0</v>
      </c>
      <c r="T50" s="107"/>
    </row>
    <row r="51" spans="1:20" x14ac:dyDescent="0.3">
      <c r="A51" s="190" t="s">
        <v>1347</v>
      </c>
      <c r="B51" s="178" t="s">
        <v>30</v>
      </c>
      <c r="C51" s="178" t="s">
        <v>29</v>
      </c>
      <c r="D51" s="178" t="s">
        <v>29</v>
      </c>
      <c r="E51" s="178" t="s">
        <v>31</v>
      </c>
      <c r="F51" s="14" t="b">
        <f>OR(Transport_Table[[#This Row],[Feedstock]]="All",Transport_Table[[#This Row],[Feedstock]]=SelectedFeedstock)</f>
        <v>1</v>
      </c>
      <c r="G51" s="14" t="b">
        <f>OR(Transport_Table[[#This Row],[Conversion]]="All",Transport_Table[[#This Row],[Conversion]]=SelectedConversion)</f>
        <v>1</v>
      </c>
      <c r="H51" s="14" t="b">
        <f>OR(Transport_Table[[#This Row],[Data Set]]="All",Transport_Table[[#This Row],[Data Set]]=SelectedDataSet)</f>
        <v>1</v>
      </c>
      <c r="I51" s="14" t="b">
        <f>OR(Transport_Table[[#This Row],[Technology]]="All",Transport_Table[[#This Row],[Technology]]=SelectedTechnology)</f>
        <v>1</v>
      </c>
      <c r="J51" s="14" t="b">
        <f>OR(Transport_Table[[#This Row],[Data Source]]="All",Transport_Table[[#This Row],[Data Source]]=SelectedDataSource)</f>
        <v>1</v>
      </c>
      <c r="K51" s="14" t="b">
        <v>1</v>
      </c>
      <c r="L51" s="14" t="b">
        <f>AND(Transport_Table[[#This Row],[Show Feedstock]:[Show Data Source]],NOT(Transport_Table[[#This Row],[Hide Column]]))</f>
        <v>0</v>
      </c>
      <c r="M51" s="14" t="s">
        <v>14</v>
      </c>
      <c r="N51" s="14" t="s">
        <v>1847</v>
      </c>
      <c r="O51" s="14" t="s">
        <v>1848</v>
      </c>
      <c r="P51" s="178" t="s">
        <v>1701</v>
      </c>
      <c r="Q51" s="241" t="s">
        <v>2009</v>
      </c>
      <c r="R51" s="393">
        <v>1</v>
      </c>
      <c r="S51" s="394">
        <v>30</v>
      </c>
      <c r="T51" s="107"/>
    </row>
    <row r="52" spans="1:20" x14ac:dyDescent="0.3">
      <c r="A52" s="190" t="s">
        <v>126</v>
      </c>
      <c r="B52" s="178" t="s">
        <v>30</v>
      </c>
      <c r="C52" s="178" t="s">
        <v>29</v>
      </c>
      <c r="D52" s="178" t="s">
        <v>29</v>
      </c>
      <c r="E52" s="178" t="s">
        <v>31</v>
      </c>
      <c r="F52" s="14" t="b">
        <f>OR(Transport_Table[[#This Row],[Feedstock]]="All",Transport_Table[[#This Row],[Feedstock]]=SelectedFeedstock)</f>
        <v>0</v>
      </c>
      <c r="G52" s="14" t="b">
        <f>OR(Transport_Table[[#This Row],[Conversion]]="All",Transport_Table[[#This Row],[Conversion]]=SelectedConversion)</f>
        <v>1</v>
      </c>
      <c r="H52" s="14" t="b">
        <f>OR(Transport_Table[[#This Row],[Data Set]]="All",Transport_Table[[#This Row],[Data Set]]=SelectedDataSet)</f>
        <v>1</v>
      </c>
      <c r="I52" s="14" t="b">
        <f>OR(Transport_Table[[#This Row],[Technology]]="All",Transport_Table[[#This Row],[Technology]]=SelectedTechnology)</f>
        <v>1</v>
      </c>
      <c r="J52" s="14" t="b">
        <f>OR(Transport_Table[[#This Row],[Data Source]]="All",Transport_Table[[#This Row],[Data Source]]=SelectedDataSource)</f>
        <v>1</v>
      </c>
      <c r="K52" s="14" t="b">
        <v>1</v>
      </c>
      <c r="L52" s="14" t="b">
        <f>AND(Transport_Table[[#This Row],[Show Feedstock]:[Show Data Source]],NOT(Transport_Table[[#This Row],[Hide Column]]))</f>
        <v>0</v>
      </c>
      <c r="M52" s="14" t="s">
        <v>14</v>
      </c>
      <c r="N52" s="14" t="s">
        <v>1178</v>
      </c>
      <c r="O52" s="14" t="s">
        <v>1260</v>
      </c>
      <c r="P52" s="178" t="s">
        <v>126</v>
      </c>
      <c r="Q52" s="241" t="s">
        <v>1944</v>
      </c>
      <c r="R52" s="393">
        <v>0</v>
      </c>
      <c r="S52" s="394">
        <v>0</v>
      </c>
      <c r="T52" s="107"/>
    </row>
    <row r="53" spans="1:20" x14ac:dyDescent="0.3">
      <c r="A53" s="190" t="s">
        <v>126</v>
      </c>
      <c r="B53" s="178" t="s">
        <v>30</v>
      </c>
      <c r="C53" s="178" t="s">
        <v>29</v>
      </c>
      <c r="D53" s="178" t="s">
        <v>29</v>
      </c>
      <c r="E53" s="178" t="s">
        <v>31</v>
      </c>
      <c r="F53" s="14" t="b">
        <f>OR(Transport_Table[[#This Row],[Feedstock]]="All",Transport_Table[[#This Row],[Feedstock]]=SelectedFeedstock)</f>
        <v>0</v>
      </c>
      <c r="G53" s="14" t="b">
        <f>OR(Transport_Table[[#This Row],[Conversion]]="All",Transport_Table[[#This Row],[Conversion]]=SelectedConversion)</f>
        <v>1</v>
      </c>
      <c r="H53" s="14" t="b">
        <f>OR(Transport_Table[[#This Row],[Data Set]]="All",Transport_Table[[#This Row],[Data Set]]=SelectedDataSet)</f>
        <v>1</v>
      </c>
      <c r="I53" s="14" t="b">
        <f>OR(Transport_Table[[#This Row],[Technology]]="All",Transport_Table[[#This Row],[Technology]]=SelectedTechnology)</f>
        <v>1</v>
      </c>
      <c r="J53" s="14" t="b">
        <f>OR(Transport_Table[[#This Row],[Data Source]]="All",Transport_Table[[#This Row],[Data Source]]=SelectedDataSource)</f>
        <v>1</v>
      </c>
      <c r="K53" s="14" t="b">
        <v>1</v>
      </c>
      <c r="L53" s="14" t="b">
        <f>AND(Transport_Table[[#This Row],[Show Feedstock]:[Show Data Source]],NOT(Transport_Table[[#This Row],[Hide Column]]))</f>
        <v>0</v>
      </c>
      <c r="M53" s="14" t="s">
        <v>14</v>
      </c>
      <c r="N53" s="14" t="s">
        <v>1179</v>
      </c>
      <c r="O53" s="14" t="s">
        <v>1261</v>
      </c>
      <c r="P53" s="178" t="s">
        <v>126</v>
      </c>
      <c r="Q53" s="241" t="s">
        <v>1945</v>
      </c>
      <c r="R53" s="393">
        <v>0</v>
      </c>
      <c r="S53" s="394">
        <v>0</v>
      </c>
      <c r="T53" s="107"/>
    </row>
    <row r="54" spans="1:20" x14ac:dyDescent="0.3">
      <c r="A54" s="190" t="s">
        <v>126</v>
      </c>
      <c r="B54" s="178" t="s">
        <v>30</v>
      </c>
      <c r="C54" s="178" t="s">
        <v>29</v>
      </c>
      <c r="D54" s="178" t="s">
        <v>29</v>
      </c>
      <c r="E54" s="178" t="s">
        <v>31</v>
      </c>
      <c r="F54" s="14" t="b">
        <f>OR(Transport_Table[[#This Row],[Feedstock]]="All",Transport_Table[[#This Row],[Feedstock]]=SelectedFeedstock)</f>
        <v>0</v>
      </c>
      <c r="G54" s="14" t="b">
        <f>OR(Transport_Table[[#This Row],[Conversion]]="All",Transport_Table[[#This Row],[Conversion]]=SelectedConversion)</f>
        <v>1</v>
      </c>
      <c r="H54" s="14" t="b">
        <f>OR(Transport_Table[[#This Row],[Data Set]]="All",Transport_Table[[#This Row],[Data Set]]=SelectedDataSet)</f>
        <v>1</v>
      </c>
      <c r="I54" s="14" t="b">
        <f>OR(Transport_Table[[#This Row],[Technology]]="All",Transport_Table[[#This Row],[Technology]]=SelectedTechnology)</f>
        <v>1</v>
      </c>
      <c r="J54" s="14" t="b">
        <f>OR(Transport_Table[[#This Row],[Data Source]]="All",Transport_Table[[#This Row],[Data Source]]=SelectedDataSource)</f>
        <v>1</v>
      </c>
      <c r="K54" s="14" t="b">
        <v>1</v>
      </c>
      <c r="L54" s="14" t="b">
        <f>AND(Transport_Table[[#This Row],[Show Feedstock]:[Show Data Source]],NOT(Transport_Table[[#This Row],[Hide Column]]))</f>
        <v>0</v>
      </c>
      <c r="M54" s="14" t="s">
        <v>14</v>
      </c>
      <c r="N54" s="14" t="s">
        <v>1180</v>
      </c>
      <c r="O54" s="14" t="s">
        <v>1262</v>
      </c>
      <c r="P54" s="178" t="s">
        <v>126</v>
      </c>
      <c r="Q54" s="241" t="s">
        <v>1946</v>
      </c>
      <c r="R54" s="393">
        <v>1</v>
      </c>
      <c r="S54" s="394">
        <v>40</v>
      </c>
      <c r="T54" s="107"/>
    </row>
    <row r="55" spans="1:20" x14ac:dyDescent="0.3">
      <c r="A55" s="190" t="s">
        <v>126</v>
      </c>
      <c r="B55" s="178" t="s">
        <v>30</v>
      </c>
      <c r="C55" s="178" t="s">
        <v>29</v>
      </c>
      <c r="D55" s="178" t="s">
        <v>29</v>
      </c>
      <c r="E55" s="178" t="s">
        <v>31</v>
      </c>
      <c r="F55" s="14" t="b">
        <f>OR(Transport_Table[[#This Row],[Feedstock]]="All",Transport_Table[[#This Row],[Feedstock]]=SelectedFeedstock)</f>
        <v>0</v>
      </c>
      <c r="G55" s="14" t="b">
        <f>OR(Transport_Table[[#This Row],[Conversion]]="All",Transport_Table[[#This Row],[Conversion]]=SelectedConversion)</f>
        <v>1</v>
      </c>
      <c r="H55" s="14" t="b">
        <f>OR(Transport_Table[[#This Row],[Data Set]]="All",Transport_Table[[#This Row],[Data Set]]=SelectedDataSet)</f>
        <v>1</v>
      </c>
      <c r="I55" s="14" t="b">
        <f>OR(Transport_Table[[#This Row],[Technology]]="All",Transport_Table[[#This Row],[Technology]]=SelectedTechnology)</f>
        <v>1</v>
      </c>
      <c r="J55" s="14" t="b">
        <f>OR(Transport_Table[[#This Row],[Data Source]]="All",Transport_Table[[#This Row],[Data Source]]=SelectedDataSource)</f>
        <v>1</v>
      </c>
      <c r="K55" s="14" t="b">
        <v>1</v>
      </c>
      <c r="L55" s="14" t="b">
        <f>AND(Transport_Table[[#This Row],[Show Feedstock]:[Show Data Source]],NOT(Transport_Table[[#This Row],[Hide Column]]))</f>
        <v>0</v>
      </c>
      <c r="M55" s="14" t="s">
        <v>14</v>
      </c>
      <c r="N55" s="14" t="s">
        <v>1181</v>
      </c>
      <c r="O55" s="14" t="s">
        <v>1263</v>
      </c>
      <c r="P55" s="178" t="s">
        <v>126</v>
      </c>
      <c r="Q55" s="241" t="s">
        <v>1947</v>
      </c>
      <c r="R55" s="393">
        <v>1</v>
      </c>
      <c r="S55" s="394">
        <v>10</v>
      </c>
      <c r="T55" s="107"/>
    </row>
    <row r="56" spans="1:20" x14ac:dyDescent="0.3">
      <c r="A56" s="190" t="s">
        <v>126</v>
      </c>
      <c r="B56" s="178" t="s">
        <v>30</v>
      </c>
      <c r="C56" s="178" t="s">
        <v>29</v>
      </c>
      <c r="D56" s="178" t="s">
        <v>29</v>
      </c>
      <c r="E56" s="178" t="s">
        <v>31</v>
      </c>
      <c r="F56" s="14" t="b">
        <f>OR(Transport_Table[[#This Row],[Feedstock]]="All",Transport_Table[[#This Row],[Feedstock]]=SelectedFeedstock)</f>
        <v>0</v>
      </c>
      <c r="G56" s="14" t="b">
        <f>OR(Transport_Table[[#This Row],[Conversion]]="All",Transport_Table[[#This Row],[Conversion]]=SelectedConversion)</f>
        <v>1</v>
      </c>
      <c r="H56" s="14" t="b">
        <f>OR(Transport_Table[[#This Row],[Data Set]]="All",Transport_Table[[#This Row],[Data Set]]=SelectedDataSet)</f>
        <v>1</v>
      </c>
      <c r="I56" s="14" t="b">
        <f>OR(Transport_Table[[#This Row],[Technology]]="All",Transport_Table[[#This Row],[Technology]]=SelectedTechnology)</f>
        <v>1</v>
      </c>
      <c r="J56" s="14" t="b">
        <f>OR(Transport_Table[[#This Row],[Data Source]]="All",Transport_Table[[#This Row],[Data Source]]=SelectedDataSource)</f>
        <v>1</v>
      </c>
      <c r="K56" s="14" t="b">
        <v>1</v>
      </c>
      <c r="L56" s="14" t="b">
        <f>AND(Transport_Table[[#This Row],[Show Feedstock]:[Show Data Source]],NOT(Transport_Table[[#This Row],[Hide Column]]))</f>
        <v>0</v>
      </c>
      <c r="M56" s="14" t="s">
        <v>14</v>
      </c>
      <c r="N56" s="14" t="s">
        <v>1182</v>
      </c>
      <c r="O56" s="14" t="s">
        <v>1264</v>
      </c>
      <c r="P56" s="178" t="s">
        <v>362</v>
      </c>
      <c r="Q56" s="241" t="s">
        <v>1943</v>
      </c>
      <c r="R56" s="393">
        <v>0.4</v>
      </c>
      <c r="S56" s="394">
        <v>520</v>
      </c>
      <c r="T56" s="107"/>
    </row>
    <row r="57" spans="1:20" x14ac:dyDescent="0.3">
      <c r="A57" s="190" t="s">
        <v>126</v>
      </c>
      <c r="B57" s="178" t="s">
        <v>30</v>
      </c>
      <c r="C57" s="178" t="s">
        <v>29</v>
      </c>
      <c r="D57" s="178" t="s">
        <v>29</v>
      </c>
      <c r="E57" s="178" t="s">
        <v>31</v>
      </c>
      <c r="F57" s="14" t="b">
        <f>OR(Transport_Table[[#This Row],[Feedstock]]="All",Transport_Table[[#This Row],[Feedstock]]=SelectedFeedstock)</f>
        <v>0</v>
      </c>
      <c r="G57" s="14" t="b">
        <f>OR(Transport_Table[[#This Row],[Conversion]]="All",Transport_Table[[#This Row],[Conversion]]=SelectedConversion)</f>
        <v>1</v>
      </c>
      <c r="H57" s="14" t="b">
        <f>OR(Transport_Table[[#This Row],[Data Set]]="All",Transport_Table[[#This Row],[Data Set]]=SelectedDataSet)</f>
        <v>1</v>
      </c>
      <c r="I57" s="14" t="b">
        <f>OR(Transport_Table[[#This Row],[Technology]]="All",Transport_Table[[#This Row],[Technology]]=SelectedTechnology)</f>
        <v>1</v>
      </c>
      <c r="J57" s="14" t="b">
        <f>OR(Transport_Table[[#This Row],[Data Source]]="All",Transport_Table[[#This Row],[Data Source]]=SelectedDataSource)</f>
        <v>1</v>
      </c>
      <c r="K57" s="14" t="b">
        <v>1</v>
      </c>
      <c r="L57" s="14" t="b">
        <f>AND(Transport_Table[[#This Row],[Show Feedstock]:[Show Data Source]],NOT(Transport_Table[[#This Row],[Hide Column]]))</f>
        <v>0</v>
      </c>
      <c r="M57" s="14" t="s">
        <v>14</v>
      </c>
      <c r="N57" s="14" t="s">
        <v>1183</v>
      </c>
      <c r="O57" s="14" t="s">
        <v>1265</v>
      </c>
      <c r="P57" s="178" t="s">
        <v>362</v>
      </c>
      <c r="Q57" s="241" t="s">
        <v>1944</v>
      </c>
      <c r="R57" s="393">
        <v>0</v>
      </c>
      <c r="S57" s="394">
        <v>0</v>
      </c>
      <c r="T57" s="107"/>
    </row>
    <row r="58" spans="1:20" x14ac:dyDescent="0.3">
      <c r="A58" s="190" t="s">
        <v>126</v>
      </c>
      <c r="B58" s="178" t="s">
        <v>30</v>
      </c>
      <c r="C58" s="178" t="s">
        <v>29</v>
      </c>
      <c r="D58" s="178" t="s">
        <v>29</v>
      </c>
      <c r="E58" s="178" t="s">
        <v>31</v>
      </c>
      <c r="F58" s="14" t="b">
        <f>OR(Transport_Table[[#This Row],[Feedstock]]="All",Transport_Table[[#This Row],[Feedstock]]=SelectedFeedstock)</f>
        <v>0</v>
      </c>
      <c r="G58" s="14" t="b">
        <f>OR(Transport_Table[[#This Row],[Conversion]]="All",Transport_Table[[#This Row],[Conversion]]=SelectedConversion)</f>
        <v>1</v>
      </c>
      <c r="H58" s="14" t="b">
        <f>OR(Transport_Table[[#This Row],[Data Set]]="All",Transport_Table[[#This Row],[Data Set]]=SelectedDataSet)</f>
        <v>1</v>
      </c>
      <c r="I58" s="14" t="b">
        <f>OR(Transport_Table[[#This Row],[Technology]]="All",Transport_Table[[#This Row],[Technology]]=SelectedTechnology)</f>
        <v>1</v>
      </c>
      <c r="J58" s="14" t="b">
        <f>OR(Transport_Table[[#This Row],[Data Source]]="All",Transport_Table[[#This Row],[Data Source]]=SelectedDataSource)</f>
        <v>1</v>
      </c>
      <c r="K58" s="14" t="b">
        <v>1</v>
      </c>
      <c r="L58" s="14" t="b">
        <f>AND(Transport_Table[[#This Row],[Show Feedstock]:[Show Data Source]],NOT(Transport_Table[[#This Row],[Hide Column]]))</f>
        <v>0</v>
      </c>
      <c r="M58" s="14" t="s">
        <v>14</v>
      </c>
      <c r="N58" s="14" t="s">
        <v>1184</v>
      </c>
      <c r="O58" s="14" t="s">
        <v>1266</v>
      </c>
      <c r="P58" s="178" t="s">
        <v>362</v>
      </c>
      <c r="Q58" s="241" t="s">
        <v>1945</v>
      </c>
      <c r="R58" s="393">
        <v>0.2</v>
      </c>
      <c r="S58" s="394">
        <v>700</v>
      </c>
      <c r="T58" s="107"/>
    </row>
    <row r="59" spans="1:20" x14ac:dyDescent="0.3">
      <c r="A59" s="190" t="s">
        <v>126</v>
      </c>
      <c r="B59" s="178" t="s">
        <v>30</v>
      </c>
      <c r="C59" s="178" t="s">
        <v>29</v>
      </c>
      <c r="D59" s="178" t="s">
        <v>29</v>
      </c>
      <c r="E59" s="178" t="s">
        <v>31</v>
      </c>
      <c r="F59" s="14" t="b">
        <f>OR(Transport_Table[[#This Row],[Feedstock]]="All",Transport_Table[[#This Row],[Feedstock]]=SelectedFeedstock)</f>
        <v>0</v>
      </c>
      <c r="G59" s="14" t="b">
        <f>OR(Transport_Table[[#This Row],[Conversion]]="All",Transport_Table[[#This Row],[Conversion]]=SelectedConversion)</f>
        <v>1</v>
      </c>
      <c r="H59" s="14" t="b">
        <f>OR(Transport_Table[[#This Row],[Data Set]]="All",Transport_Table[[#This Row],[Data Set]]=SelectedDataSet)</f>
        <v>1</v>
      </c>
      <c r="I59" s="14" t="b">
        <f>OR(Transport_Table[[#This Row],[Technology]]="All",Transport_Table[[#This Row],[Technology]]=SelectedTechnology)</f>
        <v>1</v>
      </c>
      <c r="J59" s="14" t="b">
        <f>OR(Transport_Table[[#This Row],[Data Source]]="All",Transport_Table[[#This Row],[Data Source]]=SelectedDataSource)</f>
        <v>1</v>
      </c>
      <c r="K59" s="14" t="b">
        <v>1</v>
      </c>
      <c r="L59" s="14" t="b">
        <f>AND(Transport_Table[[#This Row],[Show Feedstock]:[Show Data Source]],NOT(Transport_Table[[#This Row],[Hide Column]]))</f>
        <v>0</v>
      </c>
      <c r="M59" s="14" t="s">
        <v>14</v>
      </c>
      <c r="N59" s="14" t="s">
        <v>1185</v>
      </c>
      <c r="O59" s="14" t="s">
        <v>1267</v>
      </c>
      <c r="P59" s="178" t="s">
        <v>362</v>
      </c>
      <c r="Q59" s="241" t="s">
        <v>1946</v>
      </c>
      <c r="R59" s="393">
        <v>0.4</v>
      </c>
      <c r="S59" s="394">
        <v>80</v>
      </c>
      <c r="T59" s="107"/>
    </row>
    <row r="60" spans="1:20" x14ac:dyDescent="0.3">
      <c r="A60" s="190" t="s">
        <v>126</v>
      </c>
      <c r="B60" s="178" t="s">
        <v>30</v>
      </c>
      <c r="C60" s="178" t="s">
        <v>29</v>
      </c>
      <c r="D60" s="178" t="s">
        <v>29</v>
      </c>
      <c r="E60" s="178" t="s">
        <v>31</v>
      </c>
      <c r="F60" s="14" t="b">
        <f>OR(Transport_Table[[#This Row],[Feedstock]]="All",Transport_Table[[#This Row],[Feedstock]]=SelectedFeedstock)</f>
        <v>0</v>
      </c>
      <c r="G60" s="14" t="b">
        <f>OR(Transport_Table[[#This Row],[Conversion]]="All",Transport_Table[[#This Row],[Conversion]]=SelectedConversion)</f>
        <v>1</v>
      </c>
      <c r="H60" s="14" t="b">
        <f>OR(Transport_Table[[#This Row],[Data Set]]="All",Transport_Table[[#This Row],[Data Set]]=SelectedDataSet)</f>
        <v>1</v>
      </c>
      <c r="I60" s="14" t="b">
        <f>OR(Transport_Table[[#This Row],[Technology]]="All",Transport_Table[[#This Row],[Technology]]=SelectedTechnology)</f>
        <v>1</v>
      </c>
      <c r="J60" s="14" t="b">
        <f>OR(Transport_Table[[#This Row],[Data Source]]="All",Transport_Table[[#This Row],[Data Source]]=SelectedDataSource)</f>
        <v>1</v>
      </c>
      <c r="L60" s="14" t="b">
        <f>AND(Transport_Table[[#This Row],[Show Feedstock]:[Show Data Source]],NOT(Transport_Table[[#This Row],[Hide Column]]))</f>
        <v>0</v>
      </c>
      <c r="M60" s="14" t="s">
        <v>14</v>
      </c>
      <c r="N60" s="14" t="s">
        <v>1161</v>
      </c>
      <c r="O60" s="14" t="s">
        <v>1243</v>
      </c>
      <c r="P60" s="178" t="s">
        <v>1700</v>
      </c>
      <c r="Q60" s="241" t="s">
        <v>1943</v>
      </c>
      <c r="R60" s="393">
        <v>0.08</v>
      </c>
      <c r="S60" s="394">
        <v>520</v>
      </c>
      <c r="T60" s="107"/>
    </row>
    <row r="61" spans="1:20" x14ac:dyDescent="0.3">
      <c r="A61" s="190" t="s">
        <v>126</v>
      </c>
      <c r="B61" s="178" t="s">
        <v>30</v>
      </c>
      <c r="C61" s="178" t="s">
        <v>29</v>
      </c>
      <c r="D61" s="178" t="s">
        <v>29</v>
      </c>
      <c r="E61" s="178" t="s">
        <v>31</v>
      </c>
      <c r="F61" s="14" t="b">
        <f>OR(Transport_Table[[#This Row],[Feedstock]]="All",Transport_Table[[#This Row],[Feedstock]]=SelectedFeedstock)</f>
        <v>0</v>
      </c>
      <c r="G61" s="14" t="b">
        <f>OR(Transport_Table[[#This Row],[Conversion]]="All",Transport_Table[[#This Row],[Conversion]]=SelectedConversion)</f>
        <v>1</v>
      </c>
      <c r="H61" s="14" t="b">
        <f>OR(Transport_Table[[#This Row],[Data Set]]="All",Transport_Table[[#This Row],[Data Set]]=SelectedDataSet)</f>
        <v>1</v>
      </c>
      <c r="I61" s="14" t="b">
        <f>OR(Transport_Table[[#This Row],[Technology]]="All",Transport_Table[[#This Row],[Technology]]=SelectedTechnology)</f>
        <v>1</v>
      </c>
      <c r="J61" s="14" t="b">
        <f>OR(Transport_Table[[#This Row],[Data Source]]="All",Transport_Table[[#This Row],[Data Source]]=SelectedDataSource)</f>
        <v>1</v>
      </c>
      <c r="L61" s="14" t="b">
        <f>AND(Transport_Table[[#This Row],[Show Feedstock]:[Show Data Source]],NOT(Transport_Table[[#This Row],[Hide Column]]))</f>
        <v>0</v>
      </c>
      <c r="M61" s="14" t="s">
        <v>14</v>
      </c>
      <c r="N61" s="14" t="s">
        <v>1162</v>
      </c>
      <c r="O61" s="14" t="s">
        <v>1244</v>
      </c>
      <c r="P61" s="178" t="s">
        <v>1700</v>
      </c>
      <c r="Q61" s="241" t="s">
        <v>1944</v>
      </c>
      <c r="R61" s="393">
        <v>0</v>
      </c>
      <c r="S61" s="394">
        <v>0</v>
      </c>
      <c r="T61" s="107"/>
    </row>
    <row r="62" spans="1:20" x14ac:dyDescent="0.3">
      <c r="A62" s="190" t="s">
        <v>126</v>
      </c>
      <c r="B62" s="178" t="s">
        <v>30</v>
      </c>
      <c r="C62" s="178" t="s">
        <v>29</v>
      </c>
      <c r="D62" s="178" t="s">
        <v>29</v>
      </c>
      <c r="E62" s="178" t="s">
        <v>31</v>
      </c>
      <c r="F62" s="14" t="b">
        <f>OR(Transport_Table[[#This Row],[Feedstock]]="All",Transport_Table[[#This Row],[Feedstock]]=SelectedFeedstock)</f>
        <v>0</v>
      </c>
      <c r="G62" s="14" t="b">
        <f>OR(Transport_Table[[#This Row],[Conversion]]="All",Transport_Table[[#This Row],[Conversion]]=SelectedConversion)</f>
        <v>1</v>
      </c>
      <c r="H62" s="14" t="b">
        <f>OR(Transport_Table[[#This Row],[Data Set]]="All",Transport_Table[[#This Row],[Data Set]]=SelectedDataSet)</f>
        <v>1</v>
      </c>
      <c r="I62" s="14" t="b">
        <f>OR(Transport_Table[[#This Row],[Technology]]="All",Transport_Table[[#This Row],[Technology]]=SelectedTechnology)</f>
        <v>1</v>
      </c>
      <c r="J62" s="14" t="b">
        <f>OR(Transport_Table[[#This Row],[Data Source]]="All",Transport_Table[[#This Row],[Data Source]]=SelectedDataSource)</f>
        <v>1</v>
      </c>
      <c r="L62" s="14" t="b">
        <f>AND(Transport_Table[[#This Row],[Show Feedstock]:[Show Data Source]],NOT(Transport_Table[[#This Row],[Hide Column]]))</f>
        <v>0</v>
      </c>
      <c r="M62" s="14" t="s">
        <v>14</v>
      </c>
      <c r="N62" s="14" t="s">
        <v>1163</v>
      </c>
      <c r="O62" s="14" t="s">
        <v>1245</v>
      </c>
      <c r="P62" s="178" t="s">
        <v>1700</v>
      </c>
      <c r="Q62" s="241" t="s">
        <v>1945</v>
      </c>
      <c r="R62" s="393">
        <v>0.28999999999999998</v>
      </c>
      <c r="S62" s="394">
        <v>800</v>
      </c>
      <c r="T62" s="107"/>
    </row>
    <row r="63" spans="1:20" x14ac:dyDescent="0.3">
      <c r="A63" s="190" t="s">
        <v>126</v>
      </c>
      <c r="B63" s="178" t="s">
        <v>30</v>
      </c>
      <c r="C63" s="178" t="s">
        <v>29</v>
      </c>
      <c r="D63" s="178" t="s">
        <v>29</v>
      </c>
      <c r="E63" s="178" t="s">
        <v>31</v>
      </c>
      <c r="F63" s="14" t="b">
        <f>OR(Transport_Table[[#This Row],[Feedstock]]="All",Transport_Table[[#This Row],[Feedstock]]=SelectedFeedstock)</f>
        <v>0</v>
      </c>
      <c r="G63" s="14" t="b">
        <f>OR(Transport_Table[[#This Row],[Conversion]]="All",Transport_Table[[#This Row],[Conversion]]=SelectedConversion)</f>
        <v>1</v>
      </c>
      <c r="H63" s="14" t="b">
        <f>OR(Transport_Table[[#This Row],[Data Set]]="All",Transport_Table[[#This Row],[Data Set]]=SelectedDataSet)</f>
        <v>1</v>
      </c>
      <c r="I63" s="14" t="b">
        <f>OR(Transport_Table[[#This Row],[Technology]]="All",Transport_Table[[#This Row],[Technology]]=SelectedTechnology)</f>
        <v>1</v>
      </c>
      <c r="J63" s="14" t="b">
        <f>OR(Transport_Table[[#This Row],[Data Source]]="All",Transport_Table[[#This Row],[Data Source]]=SelectedDataSource)</f>
        <v>1</v>
      </c>
      <c r="L63" s="14" t="b">
        <f>AND(Transport_Table[[#This Row],[Show Feedstock]:[Show Data Source]],NOT(Transport_Table[[#This Row],[Hide Column]]))</f>
        <v>0</v>
      </c>
      <c r="M63" s="14" t="s">
        <v>14</v>
      </c>
      <c r="N63" s="14" t="s">
        <v>1164</v>
      </c>
      <c r="O63" s="14" t="s">
        <v>1246</v>
      </c>
      <c r="P63" s="178" t="s">
        <v>1700</v>
      </c>
      <c r="Q63" s="241" t="s">
        <v>1946</v>
      </c>
      <c r="R63" s="393">
        <v>0.63</v>
      </c>
      <c r="S63" s="394">
        <v>50</v>
      </c>
      <c r="T63" s="107"/>
    </row>
    <row r="64" spans="1:20" x14ac:dyDescent="0.3">
      <c r="A64" s="190" t="s">
        <v>126</v>
      </c>
      <c r="B64" s="178" t="s">
        <v>30</v>
      </c>
      <c r="C64" s="178" t="s">
        <v>29</v>
      </c>
      <c r="D64" s="178" t="s">
        <v>29</v>
      </c>
      <c r="E64" s="178" t="s">
        <v>31</v>
      </c>
      <c r="F64" s="14" t="b">
        <f>OR(Transport_Table[[#This Row],[Feedstock]]="All",Transport_Table[[#This Row],[Feedstock]]=SelectedFeedstock)</f>
        <v>0</v>
      </c>
      <c r="G64" s="14" t="b">
        <f>OR(Transport_Table[[#This Row],[Conversion]]="All",Transport_Table[[#This Row],[Conversion]]=SelectedConversion)</f>
        <v>1</v>
      </c>
      <c r="H64" s="14" t="b">
        <f>OR(Transport_Table[[#This Row],[Data Set]]="All",Transport_Table[[#This Row],[Data Set]]=SelectedDataSet)</f>
        <v>1</v>
      </c>
      <c r="I64" s="14" t="b">
        <f>OR(Transport_Table[[#This Row],[Technology]]="All",Transport_Table[[#This Row],[Technology]]=SelectedTechnology)</f>
        <v>1</v>
      </c>
      <c r="J64" s="14" t="b">
        <f>OR(Transport_Table[[#This Row],[Data Source]]="All",Transport_Table[[#This Row],[Data Source]]=SelectedDataSource)</f>
        <v>1</v>
      </c>
      <c r="L64" s="14" t="b">
        <f>AND(Transport_Table[[#This Row],[Show Feedstock]:[Show Data Source]],NOT(Transport_Table[[#This Row],[Hide Column]]))</f>
        <v>0</v>
      </c>
      <c r="M64" s="14" t="s">
        <v>14</v>
      </c>
      <c r="N64" s="14" t="s">
        <v>1165</v>
      </c>
      <c r="O64" s="14" t="s">
        <v>1247</v>
      </c>
      <c r="P64" s="178" t="s">
        <v>1701</v>
      </c>
      <c r="Q64" s="241" t="s">
        <v>1943</v>
      </c>
      <c r="R64" s="393">
        <v>1</v>
      </c>
      <c r="S64" s="394">
        <v>30</v>
      </c>
      <c r="T64" s="107"/>
    </row>
    <row r="65" spans="1:20" x14ac:dyDescent="0.3">
      <c r="A65" s="190" t="s">
        <v>127</v>
      </c>
      <c r="B65" s="178" t="s">
        <v>30</v>
      </c>
      <c r="C65" s="178" t="s">
        <v>29</v>
      </c>
      <c r="D65" s="178" t="s">
        <v>29</v>
      </c>
      <c r="E65" s="178" t="s">
        <v>31</v>
      </c>
      <c r="F65" s="14" t="b">
        <f>OR(Transport_Table[[#This Row],[Feedstock]]="All",Transport_Table[[#This Row],[Feedstock]]=SelectedFeedstock)</f>
        <v>0</v>
      </c>
      <c r="G65" s="14" t="b">
        <f>OR(Transport_Table[[#This Row],[Conversion]]="All",Transport_Table[[#This Row],[Conversion]]=SelectedConversion)</f>
        <v>1</v>
      </c>
      <c r="H65" s="14" t="b">
        <f>OR(Transport_Table[[#This Row],[Data Set]]="All",Transport_Table[[#This Row],[Data Set]]=SelectedDataSet)</f>
        <v>1</v>
      </c>
      <c r="I65" s="14" t="b">
        <f>OR(Transport_Table[[#This Row],[Technology]]="All",Transport_Table[[#This Row],[Technology]]=SelectedTechnology)</f>
        <v>1</v>
      </c>
      <c r="J65" s="14" t="b">
        <f>OR(Transport_Table[[#This Row],[Data Source]]="All",Transport_Table[[#This Row],[Data Source]]=SelectedDataSource)</f>
        <v>1</v>
      </c>
      <c r="K65" s="14" t="b">
        <v>1</v>
      </c>
      <c r="L65" s="14" t="b">
        <f>AND(Transport_Table[[#This Row],[Show Feedstock]:[Show Data Source]],NOT(Transport_Table[[#This Row],[Hide Column]]))</f>
        <v>0</v>
      </c>
      <c r="M65" s="14" t="s">
        <v>14</v>
      </c>
      <c r="N65" s="14" t="s">
        <v>1186</v>
      </c>
      <c r="O65" s="14" t="s">
        <v>1268</v>
      </c>
      <c r="P65" s="178" t="s">
        <v>127</v>
      </c>
      <c r="Q65" s="241" t="s">
        <v>1944</v>
      </c>
      <c r="R65" s="393">
        <v>0</v>
      </c>
      <c r="S65" s="394">
        <v>0</v>
      </c>
      <c r="T65" s="107"/>
    </row>
    <row r="66" spans="1:20" x14ac:dyDescent="0.3">
      <c r="A66" s="190" t="s">
        <v>127</v>
      </c>
      <c r="B66" s="178" t="s">
        <v>30</v>
      </c>
      <c r="C66" s="178" t="s">
        <v>29</v>
      </c>
      <c r="D66" s="178" t="s">
        <v>29</v>
      </c>
      <c r="E66" s="178" t="s">
        <v>31</v>
      </c>
      <c r="F66" s="14" t="b">
        <f>OR(Transport_Table[[#This Row],[Feedstock]]="All",Transport_Table[[#This Row],[Feedstock]]=SelectedFeedstock)</f>
        <v>0</v>
      </c>
      <c r="G66" s="14" t="b">
        <f>OR(Transport_Table[[#This Row],[Conversion]]="All",Transport_Table[[#This Row],[Conversion]]=SelectedConversion)</f>
        <v>1</v>
      </c>
      <c r="H66" s="14" t="b">
        <f>OR(Transport_Table[[#This Row],[Data Set]]="All",Transport_Table[[#This Row],[Data Set]]=SelectedDataSet)</f>
        <v>1</v>
      </c>
      <c r="I66" s="14" t="b">
        <f>OR(Transport_Table[[#This Row],[Technology]]="All",Transport_Table[[#This Row],[Technology]]=SelectedTechnology)</f>
        <v>1</v>
      </c>
      <c r="J66" s="14" t="b">
        <f>OR(Transport_Table[[#This Row],[Data Source]]="All",Transport_Table[[#This Row],[Data Source]]=SelectedDataSource)</f>
        <v>1</v>
      </c>
      <c r="K66" s="14" t="b">
        <v>1</v>
      </c>
      <c r="L66" s="14" t="b">
        <f>AND(Transport_Table[[#This Row],[Show Feedstock]:[Show Data Source]],NOT(Transport_Table[[#This Row],[Hide Column]]))</f>
        <v>0</v>
      </c>
      <c r="M66" s="14" t="s">
        <v>14</v>
      </c>
      <c r="N66" s="14" t="s">
        <v>1187</v>
      </c>
      <c r="O66" s="14" t="s">
        <v>1269</v>
      </c>
      <c r="P66" s="178" t="s">
        <v>127</v>
      </c>
      <c r="Q66" s="241" t="s">
        <v>1945</v>
      </c>
      <c r="R66" s="393">
        <v>0</v>
      </c>
      <c r="S66" s="394">
        <v>0</v>
      </c>
      <c r="T66" s="107"/>
    </row>
    <row r="67" spans="1:20" x14ac:dyDescent="0.3">
      <c r="A67" s="190" t="s">
        <v>127</v>
      </c>
      <c r="B67" s="178" t="s">
        <v>30</v>
      </c>
      <c r="C67" s="178" t="s">
        <v>29</v>
      </c>
      <c r="D67" s="178" t="s">
        <v>29</v>
      </c>
      <c r="E67" s="178" t="s">
        <v>31</v>
      </c>
      <c r="F67" s="14" t="b">
        <f>OR(Transport_Table[[#This Row],[Feedstock]]="All",Transport_Table[[#This Row],[Feedstock]]=SelectedFeedstock)</f>
        <v>0</v>
      </c>
      <c r="G67" s="14" t="b">
        <f>OR(Transport_Table[[#This Row],[Conversion]]="All",Transport_Table[[#This Row],[Conversion]]=SelectedConversion)</f>
        <v>1</v>
      </c>
      <c r="H67" s="14" t="b">
        <f>OR(Transport_Table[[#This Row],[Data Set]]="All",Transport_Table[[#This Row],[Data Set]]=SelectedDataSet)</f>
        <v>1</v>
      </c>
      <c r="I67" s="14" t="b">
        <f>OR(Transport_Table[[#This Row],[Technology]]="All",Transport_Table[[#This Row],[Technology]]=SelectedTechnology)</f>
        <v>1</v>
      </c>
      <c r="J67" s="14" t="b">
        <f>OR(Transport_Table[[#This Row],[Data Source]]="All",Transport_Table[[#This Row],[Data Source]]=SelectedDataSource)</f>
        <v>1</v>
      </c>
      <c r="K67" s="14" t="b">
        <v>1</v>
      </c>
      <c r="L67" s="14" t="b">
        <f>AND(Transport_Table[[#This Row],[Show Feedstock]:[Show Data Source]],NOT(Transport_Table[[#This Row],[Hide Column]]))</f>
        <v>0</v>
      </c>
      <c r="M67" s="14" t="s">
        <v>14</v>
      </c>
      <c r="N67" s="14" t="s">
        <v>1188</v>
      </c>
      <c r="O67" s="14" t="s">
        <v>1270</v>
      </c>
      <c r="P67" s="178" t="s">
        <v>127</v>
      </c>
      <c r="Q67" s="241" t="s">
        <v>1946</v>
      </c>
      <c r="R67" s="393">
        <v>1</v>
      </c>
      <c r="S67" s="394">
        <v>40</v>
      </c>
      <c r="T67" s="107"/>
    </row>
    <row r="68" spans="1:20" x14ac:dyDescent="0.3">
      <c r="A68" s="190" t="s">
        <v>127</v>
      </c>
      <c r="B68" s="178" t="s">
        <v>30</v>
      </c>
      <c r="C68" s="178" t="s">
        <v>29</v>
      </c>
      <c r="D68" s="178" t="s">
        <v>29</v>
      </c>
      <c r="E68" s="178" t="s">
        <v>31</v>
      </c>
      <c r="F68" s="14" t="b">
        <f>OR(Transport_Table[[#This Row],[Feedstock]]="All",Transport_Table[[#This Row],[Feedstock]]=SelectedFeedstock)</f>
        <v>0</v>
      </c>
      <c r="G68" s="14" t="b">
        <f>OR(Transport_Table[[#This Row],[Conversion]]="All",Transport_Table[[#This Row],[Conversion]]=SelectedConversion)</f>
        <v>1</v>
      </c>
      <c r="H68" s="14" t="b">
        <f>OR(Transport_Table[[#This Row],[Data Set]]="All",Transport_Table[[#This Row],[Data Set]]=SelectedDataSet)</f>
        <v>1</v>
      </c>
      <c r="I68" s="14" t="b">
        <f>OR(Transport_Table[[#This Row],[Technology]]="All",Transport_Table[[#This Row],[Technology]]=SelectedTechnology)</f>
        <v>1</v>
      </c>
      <c r="J68" s="14" t="b">
        <f>OR(Transport_Table[[#This Row],[Data Source]]="All",Transport_Table[[#This Row],[Data Source]]=SelectedDataSource)</f>
        <v>1</v>
      </c>
      <c r="K68" s="14" t="b">
        <v>1</v>
      </c>
      <c r="L68" s="14" t="b">
        <f>AND(Transport_Table[[#This Row],[Show Feedstock]:[Show Data Source]],NOT(Transport_Table[[#This Row],[Hide Column]]))</f>
        <v>0</v>
      </c>
      <c r="M68" s="14" t="s">
        <v>14</v>
      </c>
      <c r="N68" s="14" t="s">
        <v>1189</v>
      </c>
      <c r="O68" s="14" t="s">
        <v>1271</v>
      </c>
      <c r="P68" s="178" t="s">
        <v>127</v>
      </c>
      <c r="Q68" s="241" t="s">
        <v>1943</v>
      </c>
      <c r="R68" s="393">
        <v>1</v>
      </c>
      <c r="S68" s="394">
        <v>10</v>
      </c>
      <c r="T68" s="107"/>
    </row>
    <row r="69" spans="1:20" x14ac:dyDescent="0.3">
      <c r="A69" s="190" t="s">
        <v>127</v>
      </c>
      <c r="B69" s="178" t="s">
        <v>30</v>
      </c>
      <c r="C69" s="178" t="s">
        <v>29</v>
      </c>
      <c r="D69" s="178" t="s">
        <v>29</v>
      </c>
      <c r="E69" s="178" t="s">
        <v>31</v>
      </c>
      <c r="F69" s="14" t="b">
        <f>OR(Transport_Table[[#This Row],[Feedstock]]="All",Transport_Table[[#This Row],[Feedstock]]=SelectedFeedstock)</f>
        <v>0</v>
      </c>
      <c r="G69" s="14" t="b">
        <f>OR(Transport_Table[[#This Row],[Conversion]]="All",Transport_Table[[#This Row],[Conversion]]=SelectedConversion)</f>
        <v>1</v>
      </c>
      <c r="H69" s="14" t="b">
        <f>OR(Transport_Table[[#This Row],[Data Set]]="All",Transport_Table[[#This Row],[Data Set]]=SelectedDataSet)</f>
        <v>1</v>
      </c>
      <c r="I69" s="14" t="b">
        <f>OR(Transport_Table[[#This Row],[Technology]]="All",Transport_Table[[#This Row],[Technology]]=SelectedTechnology)</f>
        <v>1</v>
      </c>
      <c r="J69" s="14" t="b">
        <f>OR(Transport_Table[[#This Row],[Data Source]]="All",Transport_Table[[#This Row],[Data Source]]=SelectedDataSource)</f>
        <v>1</v>
      </c>
      <c r="K69" s="14" t="b">
        <v>1</v>
      </c>
      <c r="L69" s="14" t="b">
        <f>AND(Transport_Table[[#This Row],[Show Feedstock]:[Show Data Source]],NOT(Transport_Table[[#This Row],[Hide Column]]))</f>
        <v>0</v>
      </c>
      <c r="M69" s="14" t="s">
        <v>14</v>
      </c>
      <c r="N69" s="14" t="s">
        <v>1190</v>
      </c>
      <c r="O69" s="14" t="s">
        <v>1272</v>
      </c>
      <c r="P69" s="178" t="s">
        <v>380</v>
      </c>
      <c r="Q69" s="241" t="s">
        <v>1944</v>
      </c>
      <c r="R69" s="393">
        <v>0</v>
      </c>
      <c r="S69" s="394">
        <v>0</v>
      </c>
      <c r="T69" s="107"/>
    </row>
    <row r="70" spans="1:20" x14ac:dyDescent="0.3">
      <c r="A70" s="190" t="s">
        <v>127</v>
      </c>
      <c r="B70" s="178" t="s">
        <v>30</v>
      </c>
      <c r="C70" s="178" t="s">
        <v>29</v>
      </c>
      <c r="D70" s="178" t="s">
        <v>29</v>
      </c>
      <c r="E70" s="178" t="s">
        <v>31</v>
      </c>
      <c r="F70" s="14" t="b">
        <f>OR(Transport_Table[[#This Row],[Feedstock]]="All",Transport_Table[[#This Row],[Feedstock]]=SelectedFeedstock)</f>
        <v>0</v>
      </c>
      <c r="G70" s="14" t="b">
        <f>OR(Transport_Table[[#This Row],[Conversion]]="All",Transport_Table[[#This Row],[Conversion]]=SelectedConversion)</f>
        <v>1</v>
      </c>
      <c r="H70" s="14" t="b">
        <f>OR(Transport_Table[[#This Row],[Data Set]]="All",Transport_Table[[#This Row],[Data Set]]=SelectedDataSet)</f>
        <v>1</v>
      </c>
      <c r="I70" s="14" t="b">
        <f>OR(Transport_Table[[#This Row],[Technology]]="All",Transport_Table[[#This Row],[Technology]]=SelectedTechnology)</f>
        <v>1</v>
      </c>
      <c r="J70" s="14" t="b">
        <f>OR(Transport_Table[[#This Row],[Data Source]]="All",Transport_Table[[#This Row],[Data Source]]=SelectedDataSource)</f>
        <v>1</v>
      </c>
      <c r="K70" s="14" t="b">
        <v>1</v>
      </c>
      <c r="L70" s="14" t="b">
        <f>AND(Transport_Table[[#This Row],[Show Feedstock]:[Show Data Source]],NOT(Transport_Table[[#This Row],[Hide Column]]))</f>
        <v>0</v>
      </c>
      <c r="M70" s="14" t="s">
        <v>14</v>
      </c>
      <c r="N70" s="14" t="s">
        <v>1191</v>
      </c>
      <c r="O70" s="14" t="s">
        <v>1273</v>
      </c>
      <c r="P70" s="178" t="s">
        <v>380</v>
      </c>
      <c r="Q70" s="241" t="s">
        <v>1945</v>
      </c>
      <c r="R70" s="393">
        <v>0</v>
      </c>
      <c r="S70" s="394">
        <v>0</v>
      </c>
      <c r="T70" s="107"/>
    </row>
    <row r="71" spans="1:20" x14ac:dyDescent="0.3">
      <c r="A71" s="190" t="s">
        <v>127</v>
      </c>
      <c r="B71" s="178" t="s">
        <v>30</v>
      </c>
      <c r="C71" s="178" t="s">
        <v>29</v>
      </c>
      <c r="D71" s="178" t="s">
        <v>29</v>
      </c>
      <c r="E71" s="178" t="s">
        <v>31</v>
      </c>
      <c r="F71" s="14" t="b">
        <f>OR(Transport_Table[[#This Row],[Feedstock]]="All",Transport_Table[[#This Row],[Feedstock]]=SelectedFeedstock)</f>
        <v>0</v>
      </c>
      <c r="G71" s="14" t="b">
        <f>OR(Transport_Table[[#This Row],[Conversion]]="All",Transport_Table[[#This Row],[Conversion]]=SelectedConversion)</f>
        <v>1</v>
      </c>
      <c r="H71" s="14" t="b">
        <f>OR(Transport_Table[[#This Row],[Data Set]]="All",Transport_Table[[#This Row],[Data Set]]=SelectedDataSet)</f>
        <v>1</v>
      </c>
      <c r="I71" s="14" t="b">
        <f>OR(Transport_Table[[#This Row],[Technology]]="All",Transport_Table[[#This Row],[Technology]]=SelectedTechnology)</f>
        <v>1</v>
      </c>
      <c r="J71" s="14" t="b">
        <f>OR(Transport_Table[[#This Row],[Data Source]]="All",Transport_Table[[#This Row],[Data Source]]=SelectedDataSource)</f>
        <v>1</v>
      </c>
      <c r="K71" s="14" t="b">
        <v>1</v>
      </c>
      <c r="L71" s="14" t="b">
        <f>AND(Transport_Table[[#This Row],[Show Feedstock]:[Show Data Source]],NOT(Transport_Table[[#This Row],[Hide Column]]))</f>
        <v>0</v>
      </c>
      <c r="M71" s="14" t="s">
        <v>14</v>
      </c>
      <c r="N71" s="14" t="s">
        <v>1192</v>
      </c>
      <c r="O71" s="14" t="s">
        <v>1274</v>
      </c>
      <c r="P71" s="178" t="s">
        <v>380</v>
      </c>
      <c r="Q71" s="241" t="s">
        <v>1946</v>
      </c>
      <c r="R71" s="393">
        <v>0.33</v>
      </c>
      <c r="S71" s="394">
        <v>700</v>
      </c>
      <c r="T71" s="107"/>
    </row>
    <row r="72" spans="1:20" x14ac:dyDescent="0.3">
      <c r="A72" s="190" t="s">
        <v>127</v>
      </c>
      <c r="B72" s="178" t="s">
        <v>30</v>
      </c>
      <c r="C72" s="178" t="s">
        <v>29</v>
      </c>
      <c r="D72" s="178" t="s">
        <v>29</v>
      </c>
      <c r="E72" s="178" t="s">
        <v>31</v>
      </c>
      <c r="F72" s="14" t="b">
        <f>OR(Transport_Table[[#This Row],[Feedstock]]="All",Transport_Table[[#This Row],[Feedstock]]=SelectedFeedstock)</f>
        <v>0</v>
      </c>
      <c r="G72" s="14" t="b">
        <f>OR(Transport_Table[[#This Row],[Conversion]]="All",Transport_Table[[#This Row],[Conversion]]=SelectedConversion)</f>
        <v>1</v>
      </c>
      <c r="H72" s="14" t="b">
        <f>OR(Transport_Table[[#This Row],[Data Set]]="All",Transport_Table[[#This Row],[Data Set]]=SelectedDataSet)</f>
        <v>1</v>
      </c>
      <c r="I72" s="14" t="b">
        <f>OR(Transport_Table[[#This Row],[Technology]]="All",Transport_Table[[#This Row],[Technology]]=SelectedTechnology)</f>
        <v>1</v>
      </c>
      <c r="J72" s="14" t="b">
        <f>OR(Transport_Table[[#This Row],[Data Source]]="All",Transport_Table[[#This Row],[Data Source]]=SelectedDataSource)</f>
        <v>1</v>
      </c>
      <c r="K72" s="14" t="b">
        <v>1</v>
      </c>
      <c r="L72" s="14" t="b">
        <f>AND(Transport_Table[[#This Row],[Show Feedstock]:[Show Data Source]],NOT(Transport_Table[[#This Row],[Hide Column]]))</f>
        <v>0</v>
      </c>
      <c r="M72" s="14" t="s">
        <v>14</v>
      </c>
      <c r="N72" s="14" t="s">
        <v>1193</v>
      </c>
      <c r="O72" s="14" t="s">
        <v>1275</v>
      </c>
      <c r="P72" s="178" t="s">
        <v>380</v>
      </c>
      <c r="Q72" s="241" t="s">
        <v>1943</v>
      </c>
      <c r="R72" s="393">
        <v>0.67</v>
      </c>
      <c r="S72" s="394">
        <v>80</v>
      </c>
      <c r="T72" s="107"/>
    </row>
    <row r="73" spans="1:20" x14ac:dyDescent="0.3">
      <c r="A73" s="190" t="s">
        <v>127</v>
      </c>
      <c r="B73" s="178" t="s">
        <v>30</v>
      </c>
      <c r="C73" s="178" t="s">
        <v>29</v>
      </c>
      <c r="D73" s="178" t="s">
        <v>29</v>
      </c>
      <c r="E73" s="178" t="s">
        <v>31</v>
      </c>
      <c r="F73" s="14" t="b">
        <f>OR(Transport_Table[[#This Row],[Feedstock]]="All",Transport_Table[[#This Row],[Feedstock]]=SelectedFeedstock)</f>
        <v>0</v>
      </c>
      <c r="G73" s="14" t="b">
        <f>OR(Transport_Table[[#This Row],[Conversion]]="All",Transport_Table[[#This Row],[Conversion]]=SelectedConversion)</f>
        <v>1</v>
      </c>
      <c r="H73" s="14" t="b">
        <f>OR(Transport_Table[[#This Row],[Data Set]]="All",Transport_Table[[#This Row],[Data Set]]=SelectedDataSet)</f>
        <v>1</v>
      </c>
      <c r="I73" s="14" t="b">
        <f>OR(Transport_Table[[#This Row],[Technology]]="All",Transport_Table[[#This Row],[Technology]]=SelectedTechnology)</f>
        <v>1</v>
      </c>
      <c r="J73" s="14" t="b">
        <f>OR(Transport_Table[[#This Row],[Data Source]]="All",Transport_Table[[#This Row],[Data Source]]=SelectedDataSource)</f>
        <v>1</v>
      </c>
      <c r="L73" s="14" t="b">
        <f>AND(Transport_Table[[#This Row],[Show Feedstock]:[Show Data Source]],NOT(Transport_Table[[#This Row],[Hide Column]]))</f>
        <v>0</v>
      </c>
      <c r="M73" s="14" t="s">
        <v>14</v>
      </c>
      <c r="N73" s="14" t="s">
        <v>1161</v>
      </c>
      <c r="O73" s="14" t="s">
        <v>1243</v>
      </c>
      <c r="P73" s="178" t="s">
        <v>1700</v>
      </c>
      <c r="Q73" s="241" t="s">
        <v>1944</v>
      </c>
      <c r="R73" s="393">
        <v>0.08</v>
      </c>
      <c r="S73" s="394">
        <v>520</v>
      </c>
      <c r="T73" s="107"/>
    </row>
    <row r="74" spans="1:20" x14ac:dyDescent="0.3">
      <c r="A74" s="190" t="s">
        <v>127</v>
      </c>
      <c r="B74" s="178" t="s">
        <v>30</v>
      </c>
      <c r="C74" s="178" t="s">
        <v>29</v>
      </c>
      <c r="D74" s="178" t="s">
        <v>29</v>
      </c>
      <c r="E74" s="178" t="s">
        <v>31</v>
      </c>
      <c r="F74" s="14" t="b">
        <f>OR(Transport_Table[[#This Row],[Feedstock]]="All",Transport_Table[[#This Row],[Feedstock]]=SelectedFeedstock)</f>
        <v>0</v>
      </c>
      <c r="G74" s="14" t="b">
        <f>OR(Transport_Table[[#This Row],[Conversion]]="All",Transport_Table[[#This Row],[Conversion]]=SelectedConversion)</f>
        <v>1</v>
      </c>
      <c r="H74" s="14" t="b">
        <f>OR(Transport_Table[[#This Row],[Data Set]]="All",Transport_Table[[#This Row],[Data Set]]=SelectedDataSet)</f>
        <v>1</v>
      </c>
      <c r="I74" s="14" t="b">
        <f>OR(Transport_Table[[#This Row],[Technology]]="All",Transport_Table[[#This Row],[Technology]]=SelectedTechnology)</f>
        <v>1</v>
      </c>
      <c r="J74" s="14" t="b">
        <f>OR(Transport_Table[[#This Row],[Data Source]]="All",Transport_Table[[#This Row],[Data Source]]=SelectedDataSource)</f>
        <v>1</v>
      </c>
      <c r="L74" s="14" t="b">
        <f>AND(Transport_Table[[#This Row],[Show Feedstock]:[Show Data Source]],NOT(Transport_Table[[#This Row],[Hide Column]]))</f>
        <v>0</v>
      </c>
      <c r="M74" s="14" t="s">
        <v>14</v>
      </c>
      <c r="N74" s="14" t="s">
        <v>1162</v>
      </c>
      <c r="O74" s="14" t="s">
        <v>1244</v>
      </c>
      <c r="P74" s="178" t="s">
        <v>1700</v>
      </c>
      <c r="Q74" s="241" t="s">
        <v>1945</v>
      </c>
      <c r="R74" s="393">
        <v>0</v>
      </c>
      <c r="S74" s="394">
        <v>0</v>
      </c>
      <c r="T74" s="107"/>
    </row>
    <row r="75" spans="1:20" x14ac:dyDescent="0.3">
      <c r="A75" s="190" t="s">
        <v>127</v>
      </c>
      <c r="B75" s="178" t="s">
        <v>30</v>
      </c>
      <c r="C75" s="178" t="s">
        <v>29</v>
      </c>
      <c r="D75" s="178" t="s">
        <v>29</v>
      </c>
      <c r="E75" s="178" t="s">
        <v>31</v>
      </c>
      <c r="F75" s="14" t="b">
        <f>OR(Transport_Table[[#This Row],[Feedstock]]="All",Transport_Table[[#This Row],[Feedstock]]=SelectedFeedstock)</f>
        <v>0</v>
      </c>
      <c r="G75" s="14" t="b">
        <f>OR(Transport_Table[[#This Row],[Conversion]]="All",Transport_Table[[#This Row],[Conversion]]=SelectedConversion)</f>
        <v>1</v>
      </c>
      <c r="H75" s="14" t="b">
        <f>OR(Transport_Table[[#This Row],[Data Set]]="All",Transport_Table[[#This Row],[Data Set]]=SelectedDataSet)</f>
        <v>1</v>
      </c>
      <c r="I75" s="14" t="b">
        <f>OR(Transport_Table[[#This Row],[Technology]]="All",Transport_Table[[#This Row],[Technology]]=SelectedTechnology)</f>
        <v>1</v>
      </c>
      <c r="J75" s="14" t="b">
        <f>OR(Transport_Table[[#This Row],[Data Source]]="All",Transport_Table[[#This Row],[Data Source]]=SelectedDataSource)</f>
        <v>1</v>
      </c>
      <c r="L75" s="14" t="b">
        <f>AND(Transport_Table[[#This Row],[Show Feedstock]:[Show Data Source]],NOT(Transport_Table[[#This Row],[Hide Column]]))</f>
        <v>0</v>
      </c>
      <c r="M75" s="14" t="s">
        <v>14</v>
      </c>
      <c r="N75" s="14" t="s">
        <v>1163</v>
      </c>
      <c r="O75" s="14" t="s">
        <v>1245</v>
      </c>
      <c r="P75" s="178" t="s">
        <v>1700</v>
      </c>
      <c r="Q75" s="241" t="s">
        <v>1946</v>
      </c>
      <c r="R75" s="393">
        <v>0.28999999999999998</v>
      </c>
      <c r="S75" s="394">
        <v>800</v>
      </c>
      <c r="T75" s="107"/>
    </row>
    <row r="76" spans="1:20" x14ac:dyDescent="0.3">
      <c r="A76" s="190" t="s">
        <v>127</v>
      </c>
      <c r="B76" s="178" t="s">
        <v>30</v>
      </c>
      <c r="C76" s="178" t="s">
        <v>29</v>
      </c>
      <c r="D76" s="178" t="s">
        <v>29</v>
      </c>
      <c r="E76" s="178" t="s">
        <v>31</v>
      </c>
      <c r="F76" s="14" t="b">
        <f>OR(Transport_Table[[#This Row],[Feedstock]]="All",Transport_Table[[#This Row],[Feedstock]]=SelectedFeedstock)</f>
        <v>0</v>
      </c>
      <c r="G76" s="14" t="b">
        <f>OR(Transport_Table[[#This Row],[Conversion]]="All",Transport_Table[[#This Row],[Conversion]]=SelectedConversion)</f>
        <v>1</v>
      </c>
      <c r="H76" s="14" t="b">
        <f>OR(Transport_Table[[#This Row],[Data Set]]="All",Transport_Table[[#This Row],[Data Set]]=SelectedDataSet)</f>
        <v>1</v>
      </c>
      <c r="I76" s="14" t="b">
        <f>OR(Transport_Table[[#This Row],[Technology]]="All",Transport_Table[[#This Row],[Technology]]=SelectedTechnology)</f>
        <v>1</v>
      </c>
      <c r="J76" s="14" t="b">
        <f>OR(Transport_Table[[#This Row],[Data Source]]="All",Transport_Table[[#This Row],[Data Source]]=SelectedDataSource)</f>
        <v>1</v>
      </c>
      <c r="L76" s="14" t="b">
        <f>AND(Transport_Table[[#This Row],[Show Feedstock]:[Show Data Source]],NOT(Transport_Table[[#This Row],[Hide Column]]))</f>
        <v>0</v>
      </c>
      <c r="M76" s="14" t="s">
        <v>14</v>
      </c>
      <c r="N76" s="14" t="s">
        <v>1164</v>
      </c>
      <c r="O76" s="14" t="s">
        <v>1246</v>
      </c>
      <c r="P76" s="178" t="s">
        <v>1700</v>
      </c>
      <c r="Q76" s="241" t="s">
        <v>1943</v>
      </c>
      <c r="R76" s="393">
        <v>0.63</v>
      </c>
      <c r="S76" s="394">
        <v>50</v>
      </c>
      <c r="T76" s="107"/>
    </row>
    <row r="77" spans="1:20" x14ac:dyDescent="0.3">
      <c r="A77" s="190" t="s">
        <v>127</v>
      </c>
      <c r="B77" s="178" t="s">
        <v>30</v>
      </c>
      <c r="C77" s="178" t="s">
        <v>29</v>
      </c>
      <c r="D77" s="178" t="s">
        <v>29</v>
      </c>
      <c r="E77" s="178" t="s">
        <v>31</v>
      </c>
      <c r="F77" s="14" t="b">
        <f>OR(Transport_Table[[#This Row],[Feedstock]]="All",Transport_Table[[#This Row],[Feedstock]]=SelectedFeedstock)</f>
        <v>0</v>
      </c>
      <c r="G77" s="14" t="b">
        <f>OR(Transport_Table[[#This Row],[Conversion]]="All",Transport_Table[[#This Row],[Conversion]]=SelectedConversion)</f>
        <v>1</v>
      </c>
      <c r="H77" s="14" t="b">
        <f>OR(Transport_Table[[#This Row],[Data Set]]="All",Transport_Table[[#This Row],[Data Set]]=SelectedDataSet)</f>
        <v>1</v>
      </c>
      <c r="I77" s="14" t="b">
        <f>OR(Transport_Table[[#This Row],[Technology]]="All",Transport_Table[[#This Row],[Technology]]=SelectedTechnology)</f>
        <v>1</v>
      </c>
      <c r="J77" s="14" t="b">
        <f>OR(Transport_Table[[#This Row],[Data Source]]="All",Transport_Table[[#This Row],[Data Source]]=SelectedDataSource)</f>
        <v>1</v>
      </c>
      <c r="L77" s="14" t="b">
        <f>AND(Transport_Table[[#This Row],[Show Feedstock]:[Show Data Source]],NOT(Transport_Table[[#This Row],[Hide Column]]))</f>
        <v>0</v>
      </c>
      <c r="M77" s="14" t="s">
        <v>14</v>
      </c>
      <c r="N77" s="14" t="s">
        <v>1165</v>
      </c>
      <c r="O77" s="14" t="s">
        <v>1247</v>
      </c>
      <c r="P77" s="178" t="s">
        <v>1701</v>
      </c>
      <c r="Q77" s="241" t="s">
        <v>1944</v>
      </c>
      <c r="R77" s="393">
        <v>1</v>
      </c>
      <c r="S77" s="394">
        <v>30</v>
      </c>
      <c r="T77" s="107"/>
    </row>
    <row r="78" spans="1:20" x14ac:dyDescent="0.3">
      <c r="A78" s="190" t="s">
        <v>128</v>
      </c>
      <c r="B78" s="178" t="s">
        <v>30</v>
      </c>
      <c r="C78" s="178" t="s">
        <v>29</v>
      </c>
      <c r="D78" s="178" t="s">
        <v>29</v>
      </c>
      <c r="E78" s="178" t="s">
        <v>31</v>
      </c>
      <c r="F78" s="14" t="b">
        <f>OR(Transport_Table[[#This Row],[Feedstock]]="All",Transport_Table[[#This Row],[Feedstock]]=SelectedFeedstock)</f>
        <v>0</v>
      </c>
      <c r="G78" s="14" t="b">
        <f>OR(Transport_Table[[#This Row],[Conversion]]="All",Transport_Table[[#This Row],[Conversion]]=SelectedConversion)</f>
        <v>1</v>
      </c>
      <c r="H78" s="14" t="b">
        <f>OR(Transport_Table[[#This Row],[Data Set]]="All",Transport_Table[[#This Row],[Data Set]]=SelectedDataSet)</f>
        <v>1</v>
      </c>
      <c r="I78" s="14" t="b">
        <f>OR(Transport_Table[[#This Row],[Technology]]="All",Transport_Table[[#This Row],[Technology]]=SelectedTechnology)</f>
        <v>1</v>
      </c>
      <c r="J78" s="14" t="b">
        <f>OR(Transport_Table[[#This Row],[Data Source]]="All",Transport_Table[[#This Row],[Data Source]]=SelectedDataSource)</f>
        <v>1</v>
      </c>
      <c r="K78" s="14" t="b">
        <v>1</v>
      </c>
      <c r="L78" s="14" t="b">
        <f>AND(Transport_Table[[#This Row],[Show Feedstock]:[Show Data Source]],NOT(Transport_Table[[#This Row],[Hide Column]]))</f>
        <v>0</v>
      </c>
      <c r="M78" s="14" t="s">
        <v>14</v>
      </c>
      <c r="N78" s="14" t="s">
        <v>1194</v>
      </c>
      <c r="O78" s="14" t="s">
        <v>1276</v>
      </c>
      <c r="P78" s="178" t="s">
        <v>128</v>
      </c>
      <c r="Q78" s="241" t="s">
        <v>1945</v>
      </c>
      <c r="R78" s="393">
        <v>0</v>
      </c>
      <c r="S78" s="394">
        <v>0</v>
      </c>
      <c r="T78" s="107"/>
    </row>
    <row r="79" spans="1:20" x14ac:dyDescent="0.3">
      <c r="A79" s="190" t="s">
        <v>128</v>
      </c>
      <c r="B79" s="178" t="s">
        <v>30</v>
      </c>
      <c r="C79" s="178" t="s">
        <v>29</v>
      </c>
      <c r="D79" s="178" t="s">
        <v>29</v>
      </c>
      <c r="E79" s="178" t="s">
        <v>31</v>
      </c>
      <c r="F79" s="14" t="b">
        <f>OR(Transport_Table[[#This Row],[Feedstock]]="All",Transport_Table[[#This Row],[Feedstock]]=SelectedFeedstock)</f>
        <v>0</v>
      </c>
      <c r="G79" s="14" t="b">
        <f>OR(Transport_Table[[#This Row],[Conversion]]="All",Transport_Table[[#This Row],[Conversion]]=SelectedConversion)</f>
        <v>1</v>
      </c>
      <c r="H79" s="14" t="b">
        <f>OR(Transport_Table[[#This Row],[Data Set]]="All",Transport_Table[[#This Row],[Data Set]]=SelectedDataSet)</f>
        <v>1</v>
      </c>
      <c r="I79" s="14" t="b">
        <f>OR(Transport_Table[[#This Row],[Technology]]="All",Transport_Table[[#This Row],[Technology]]=SelectedTechnology)</f>
        <v>1</v>
      </c>
      <c r="J79" s="14" t="b">
        <f>OR(Transport_Table[[#This Row],[Data Source]]="All",Transport_Table[[#This Row],[Data Source]]=SelectedDataSource)</f>
        <v>1</v>
      </c>
      <c r="K79" s="14" t="b">
        <v>1</v>
      </c>
      <c r="L79" s="14" t="b">
        <f>AND(Transport_Table[[#This Row],[Show Feedstock]:[Show Data Source]],NOT(Transport_Table[[#This Row],[Hide Column]]))</f>
        <v>0</v>
      </c>
      <c r="M79" s="14" t="s">
        <v>14</v>
      </c>
      <c r="N79" s="14" t="s">
        <v>1195</v>
      </c>
      <c r="O79" s="14" t="s">
        <v>1277</v>
      </c>
      <c r="P79" s="178" t="s">
        <v>128</v>
      </c>
      <c r="Q79" s="241" t="s">
        <v>1946</v>
      </c>
      <c r="R79" s="393">
        <v>0</v>
      </c>
      <c r="S79" s="394">
        <v>0</v>
      </c>
      <c r="T79" s="107"/>
    </row>
    <row r="80" spans="1:20" x14ac:dyDescent="0.3">
      <c r="A80" s="190" t="s">
        <v>128</v>
      </c>
      <c r="B80" s="178" t="s">
        <v>30</v>
      </c>
      <c r="C80" s="178" t="s">
        <v>29</v>
      </c>
      <c r="D80" s="178" t="s">
        <v>29</v>
      </c>
      <c r="E80" s="178" t="s">
        <v>31</v>
      </c>
      <c r="F80" s="14" t="b">
        <f>OR(Transport_Table[[#This Row],[Feedstock]]="All",Transport_Table[[#This Row],[Feedstock]]=SelectedFeedstock)</f>
        <v>0</v>
      </c>
      <c r="G80" s="14" t="b">
        <f>OR(Transport_Table[[#This Row],[Conversion]]="All",Transport_Table[[#This Row],[Conversion]]=SelectedConversion)</f>
        <v>1</v>
      </c>
      <c r="H80" s="14" t="b">
        <f>OR(Transport_Table[[#This Row],[Data Set]]="All",Transport_Table[[#This Row],[Data Set]]=SelectedDataSet)</f>
        <v>1</v>
      </c>
      <c r="I80" s="14" t="b">
        <f>OR(Transport_Table[[#This Row],[Technology]]="All",Transport_Table[[#This Row],[Technology]]=SelectedTechnology)</f>
        <v>1</v>
      </c>
      <c r="J80" s="14" t="b">
        <f>OR(Transport_Table[[#This Row],[Data Source]]="All",Transport_Table[[#This Row],[Data Source]]=SelectedDataSource)</f>
        <v>1</v>
      </c>
      <c r="K80" s="14" t="b">
        <v>1</v>
      </c>
      <c r="L80" s="14" t="b">
        <f>AND(Transport_Table[[#This Row],[Show Feedstock]:[Show Data Source]],NOT(Transport_Table[[#This Row],[Hide Column]]))</f>
        <v>0</v>
      </c>
      <c r="M80" s="14" t="s">
        <v>14</v>
      </c>
      <c r="N80" s="14" t="s">
        <v>1196</v>
      </c>
      <c r="O80" s="14" t="s">
        <v>1278</v>
      </c>
      <c r="P80" s="178" t="s">
        <v>128</v>
      </c>
      <c r="Q80" s="241" t="s">
        <v>1943</v>
      </c>
      <c r="R80" s="393">
        <v>1</v>
      </c>
      <c r="S80" s="394">
        <v>40</v>
      </c>
      <c r="T80" s="107"/>
    </row>
    <row r="81" spans="1:20" x14ac:dyDescent="0.3">
      <c r="A81" s="190" t="s">
        <v>128</v>
      </c>
      <c r="B81" s="178" t="s">
        <v>30</v>
      </c>
      <c r="C81" s="178" t="s">
        <v>29</v>
      </c>
      <c r="D81" s="178" t="s">
        <v>29</v>
      </c>
      <c r="E81" s="178" t="s">
        <v>31</v>
      </c>
      <c r="F81" s="14" t="b">
        <f>OR(Transport_Table[[#This Row],[Feedstock]]="All",Transport_Table[[#This Row],[Feedstock]]=SelectedFeedstock)</f>
        <v>0</v>
      </c>
      <c r="G81" s="14" t="b">
        <f>OR(Transport_Table[[#This Row],[Conversion]]="All",Transport_Table[[#This Row],[Conversion]]=SelectedConversion)</f>
        <v>1</v>
      </c>
      <c r="H81" s="14" t="b">
        <f>OR(Transport_Table[[#This Row],[Data Set]]="All",Transport_Table[[#This Row],[Data Set]]=SelectedDataSet)</f>
        <v>1</v>
      </c>
      <c r="I81" s="14" t="b">
        <f>OR(Transport_Table[[#This Row],[Technology]]="All",Transport_Table[[#This Row],[Technology]]=SelectedTechnology)</f>
        <v>1</v>
      </c>
      <c r="J81" s="14" t="b">
        <f>OR(Transport_Table[[#This Row],[Data Source]]="All",Transport_Table[[#This Row],[Data Source]]=SelectedDataSource)</f>
        <v>1</v>
      </c>
      <c r="K81" s="14" t="b">
        <v>1</v>
      </c>
      <c r="L81" s="14" t="b">
        <f>AND(Transport_Table[[#This Row],[Show Feedstock]:[Show Data Source]],NOT(Transport_Table[[#This Row],[Hide Column]]))</f>
        <v>0</v>
      </c>
      <c r="M81" s="14" t="s">
        <v>14</v>
      </c>
      <c r="N81" s="14" t="s">
        <v>1197</v>
      </c>
      <c r="O81" s="14" t="s">
        <v>1279</v>
      </c>
      <c r="P81" s="178" t="s">
        <v>128</v>
      </c>
      <c r="Q81" s="241" t="s">
        <v>1944</v>
      </c>
      <c r="R81" s="393">
        <v>1</v>
      </c>
      <c r="S81" s="394">
        <v>10</v>
      </c>
      <c r="T81" s="107"/>
    </row>
    <row r="82" spans="1:20" x14ac:dyDescent="0.3">
      <c r="A82" s="190" t="s">
        <v>128</v>
      </c>
      <c r="B82" s="178" t="s">
        <v>30</v>
      </c>
      <c r="C82" s="178" t="s">
        <v>29</v>
      </c>
      <c r="D82" s="178" t="s">
        <v>29</v>
      </c>
      <c r="E82" s="178" t="s">
        <v>31</v>
      </c>
      <c r="F82" s="14" t="b">
        <f>OR(Transport_Table[[#This Row],[Feedstock]]="All",Transport_Table[[#This Row],[Feedstock]]=SelectedFeedstock)</f>
        <v>0</v>
      </c>
      <c r="G82" s="14" t="b">
        <f>OR(Transport_Table[[#This Row],[Conversion]]="All",Transport_Table[[#This Row],[Conversion]]=SelectedConversion)</f>
        <v>1</v>
      </c>
      <c r="H82" s="14" t="b">
        <f>OR(Transport_Table[[#This Row],[Data Set]]="All",Transport_Table[[#This Row],[Data Set]]=SelectedDataSet)</f>
        <v>1</v>
      </c>
      <c r="I82" s="14" t="b">
        <f>OR(Transport_Table[[#This Row],[Technology]]="All",Transport_Table[[#This Row],[Technology]]=SelectedTechnology)</f>
        <v>1</v>
      </c>
      <c r="J82" s="14" t="b">
        <f>OR(Transport_Table[[#This Row],[Data Source]]="All",Transport_Table[[#This Row],[Data Source]]=SelectedDataSource)</f>
        <v>1</v>
      </c>
      <c r="K82" s="14" t="b">
        <v>1</v>
      </c>
      <c r="L82" s="14" t="b">
        <f>AND(Transport_Table[[#This Row],[Show Feedstock]:[Show Data Source]],NOT(Transport_Table[[#This Row],[Hide Column]]))</f>
        <v>0</v>
      </c>
      <c r="M82" s="14" t="s">
        <v>14</v>
      </c>
      <c r="N82" s="14" t="s">
        <v>1198</v>
      </c>
      <c r="O82" s="14" t="s">
        <v>1280</v>
      </c>
      <c r="P82" s="178" t="s">
        <v>381</v>
      </c>
      <c r="Q82" s="241" t="s">
        <v>1945</v>
      </c>
      <c r="R82" s="393">
        <v>0</v>
      </c>
      <c r="S82" s="394">
        <v>0</v>
      </c>
      <c r="T82" s="107"/>
    </row>
    <row r="83" spans="1:20" x14ac:dyDescent="0.3">
      <c r="A83" s="190" t="s">
        <v>128</v>
      </c>
      <c r="B83" s="178" t="s">
        <v>30</v>
      </c>
      <c r="C83" s="178" t="s">
        <v>29</v>
      </c>
      <c r="D83" s="178" t="s">
        <v>29</v>
      </c>
      <c r="E83" s="178" t="s">
        <v>31</v>
      </c>
      <c r="F83" s="14" t="b">
        <f>OR(Transport_Table[[#This Row],[Feedstock]]="All",Transport_Table[[#This Row],[Feedstock]]=SelectedFeedstock)</f>
        <v>0</v>
      </c>
      <c r="G83" s="14" t="b">
        <f>OR(Transport_Table[[#This Row],[Conversion]]="All",Transport_Table[[#This Row],[Conversion]]=SelectedConversion)</f>
        <v>1</v>
      </c>
      <c r="H83" s="14" t="b">
        <f>OR(Transport_Table[[#This Row],[Data Set]]="All",Transport_Table[[#This Row],[Data Set]]=SelectedDataSet)</f>
        <v>1</v>
      </c>
      <c r="I83" s="14" t="b">
        <f>OR(Transport_Table[[#This Row],[Technology]]="All",Transport_Table[[#This Row],[Technology]]=SelectedTechnology)</f>
        <v>1</v>
      </c>
      <c r="J83" s="14" t="b">
        <f>OR(Transport_Table[[#This Row],[Data Source]]="All",Transport_Table[[#This Row],[Data Source]]=SelectedDataSource)</f>
        <v>1</v>
      </c>
      <c r="K83" s="14" t="b">
        <v>1</v>
      </c>
      <c r="L83" s="14" t="b">
        <f>AND(Transport_Table[[#This Row],[Show Feedstock]:[Show Data Source]],NOT(Transport_Table[[#This Row],[Hide Column]]))</f>
        <v>0</v>
      </c>
      <c r="M83" s="14" t="s">
        <v>14</v>
      </c>
      <c r="N83" s="14" t="s">
        <v>1199</v>
      </c>
      <c r="O83" s="14" t="s">
        <v>1281</v>
      </c>
      <c r="P83" s="178" t="s">
        <v>381</v>
      </c>
      <c r="Q83" s="241" t="s">
        <v>1946</v>
      </c>
      <c r="R83" s="393">
        <v>0</v>
      </c>
      <c r="S83" s="394">
        <v>0</v>
      </c>
      <c r="T83" s="107"/>
    </row>
    <row r="84" spans="1:20" x14ac:dyDescent="0.3">
      <c r="A84" s="190" t="s">
        <v>128</v>
      </c>
      <c r="B84" s="178" t="s">
        <v>30</v>
      </c>
      <c r="C84" s="178" t="s">
        <v>29</v>
      </c>
      <c r="D84" s="178" t="s">
        <v>29</v>
      </c>
      <c r="E84" s="178" t="s">
        <v>31</v>
      </c>
      <c r="F84" s="14" t="b">
        <f>OR(Transport_Table[[#This Row],[Feedstock]]="All",Transport_Table[[#This Row],[Feedstock]]=SelectedFeedstock)</f>
        <v>0</v>
      </c>
      <c r="G84" s="14" t="b">
        <f>OR(Transport_Table[[#This Row],[Conversion]]="All",Transport_Table[[#This Row],[Conversion]]=SelectedConversion)</f>
        <v>1</v>
      </c>
      <c r="H84" s="14" t="b">
        <f>OR(Transport_Table[[#This Row],[Data Set]]="All",Transport_Table[[#This Row],[Data Set]]=SelectedDataSet)</f>
        <v>1</v>
      </c>
      <c r="I84" s="14" t="b">
        <f>OR(Transport_Table[[#This Row],[Technology]]="All",Transport_Table[[#This Row],[Technology]]=SelectedTechnology)</f>
        <v>1</v>
      </c>
      <c r="J84" s="14" t="b">
        <f>OR(Transport_Table[[#This Row],[Data Source]]="All",Transport_Table[[#This Row],[Data Source]]=SelectedDataSource)</f>
        <v>1</v>
      </c>
      <c r="K84" s="14" t="b">
        <v>1</v>
      </c>
      <c r="L84" s="14" t="b">
        <f>AND(Transport_Table[[#This Row],[Show Feedstock]:[Show Data Source]],NOT(Transport_Table[[#This Row],[Hide Column]]))</f>
        <v>0</v>
      </c>
      <c r="M84" s="14" t="s">
        <v>14</v>
      </c>
      <c r="N84" s="14" t="s">
        <v>1200</v>
      </c>
      <c r="O84" s="14" t="s">
        <v>1282</v>
      </c>
      <c r="P84" s="178" t="s">
        <v>381</v>
      </c>
      <c r="Q84" s="241" t="s">
        <v>1943</v>
      </c>
      <c r="R84" s="393">
        <v>0.33</v>
      </c>
      <c r="S84" s="394">
        <v>700</v>
      </c>
      <c r="T84" s="107"/>
    </row>
    <row r="85" spans="1:20" x14ac:dyDescent="0.3">
      <c r="A85" s="190" t="s">
        <v>128</v>
      </c>
      <c r="B85" s="178" t="s">
        <v>30</v>
      </c>
      <c r="C85" s="178" t="s">
        <v>29</v>
      </c>
      <c r="D85" s="178" t="s">
        <v>29</v>
      </c>
      <c r="E85" s="178" t="s">
        <v>31</v>
      </c>
      <c r="F85" s="14" t="b">
        <f>OR(Transport_Table[[#This Row],[Feedstock]]="All",Transport_Table[[#This Row],[Feedstock]]=SelectedFeedstock)</f>
        <v>0</v>
      </c>
      <c r="G85" s="14" t="b">
        <f>OR(Transport_Table[[#This Row],[Conversion]]="All",Transport_Table[[#This Row],[Conversion]]=SelectedConversion)</f>
        <v>1</v>
      </c>
      <c r="H85" s="14" t="b">
        <f>OR(Transport_Table[[#This Row],[Data Set]]="All",Transport_Table[[#This Row],[Data Set]]=SelectedDataSet)</f>
        <v>1</v>
      </c>
      <c r="I85" s="14" t="b">
        <f>OR(Transport_Table[[#This Row],[Technology]]="All",Transport_Table[[#This Row],[Technology]]=SelectedTechnology)</f>
        <v>1</v>
      </c>
      <c r="J85" s="14" t="b">
        <f>OR(Transport_Table[[#This Row],[Data Source]]="All",Transport_Table[[#This Row],[Data Source]]=SelectedDataSource)</f>
        <v>1</v>
      </c>
      <c r="K85" s="14" t="b">
        <v>1</v>
      </c>
      <c r="L85" s="14" t="b">
        <f>AND(Transport_Table[[#This Row],[Show Feedstock]:[Show Data Source]],NOT(Transport_Table[[#This Row],[Hide Column]]))</f>
        <v>0</v>
      </c>
      <c r="M85" s="14" t="s">
        <v>14</v>
      </c>
      <c r="N85" s="14" t="s">
        <v>1201</v>
      </c>
      <c r="O85" s="14" t="s">
        <v>1283</v>
      </c>
      <c r="P85" s="178" t="s">
        <v>381</v>
      </c>
      <c r="Q85" s="241" t="s">
        <v>1944</v>
      </c>
      <c r="R85" s="393">
        <v>0.67</v>
      </c>
      <c r="S85" s="394">
        <v>80</v>
      </c>
      <c r="T85" s="107"/>
    </row>
    <row r="86" spans="1:20" x14ac:dyDescent="0.3">
      <c r="A86" s="190" t="s">
        <v>128</v>
      </c>
      <c r="B86" s="178" t="s">
        <v>30</v>
      </c>
      <c r="C86" s="178" t="s">
        <v>29</v>
      </c>
      <c r="D86" s="178" t="s">
        <v>29</v>
      </c>
      <c r="E86" s="178" t="s">
        <v>31</v>
      </c>
      <c r="F86" s="14" t="b">
        <f>OR(Transport_Table[[#This Row],[Feedstock]]="All",Transport_Table[[#This Row],[Feedstock]]=SelectedFeedstock)</f>
        <v>0</v>
      </c>
      <c r="G86" s="14" t="b">
        <f>OR(Transport_Table[[#This Row],[Conversion]]="All",Transport_Table[[#This Row],[Conversion]]=SelectedConversion)</f>
        <v>1</v>
      </c>
      <c r="H86" s="14" t="b">
        <f>OR(Transport_Table[[#This Row],[Data Set]]="All",Transport_Table[[#This Row],[Data Set]]=SelectedDataSet)</f>
        <v>1</v>
      </c>
      <c r="I86" s="14" t="b">
        <f>OR(Transport_Table[[#This Row],[Technology]]="All",Transport_Table[[#This Row],[Technology]]=SelectedTechnology)</f>
        <v>1</v>
      </c>
      <c r="J86" s="14" t="b">
        <f>OR(Transport_Table[[#This Row],[Data Source]]="All",Transport_Table[[#This Row],[Data Source]]=SelectedDataSource)</f>
        <v>1</v>
      </c>
      <c r="L86" s="14" t="b">
        <f>AND(Transport_Table[[#This Row],[Show Feedstock]:[Show Data Source]],NOT(Transport_Table[[#This Row],[Hide Column]]))</f>
        <v>0</v>
      </c>
      <c r="M86" s="14" t="s">
        <v>14</v>
      </c>
      <c r="N86" s="14" t="s">
        <v>1161</v>
      </c>
      <c r="O86" s="14" t="s">
        <v>1243</v>
      </c>
      <c r="P86" s="178" t="s">
        <v>1700</v>
      </c>
      <c r="Q86" s="241" t="s">
        <v>1945</v>
      </c>
      <c r="R86" s="393">
        <v>0.08</v>
      </c>
      <c r="S86" s="394">
        <v>520</v>
      </c>
      <c r="T86" s="107"/>
    </row>
    <row r="87" spans="1:20" x14ac:dyDescent="0.3">
      <c r="A87" s="190" t="s">
        <v>128</v>
      </c>
      <c r="B87" s="178" t="s">
        <v>30</v>
      </c>
      <c r="C87" s="178" t="s">
        <v>29</v>
      </c>
      <c r="D87" s="178" t="s">
        <v>29</v>
      </c>
      <c r="E87" s="178" t="s">
        <v>31</v>
      </c>
      <c r="F87" s="14" t="b">
        <f>OR(Transport_Table[[#This Row],[Feedstock]]="All",Transport_Table[[#This Row],[Feedstock]]=SelectedFeedstock)</f>
        <v>0</v>
      </c>
      <c r="G87" s="14" t="b">
        <f>OR(Transport_Table[[#This Row],[Conversion]]="All",Transport_Table[[#This Row],[Conversion]]=SelectedConversion)</f>
        <v>1</v>
      </c>
      <c r="H87" s="14" t="b">
        <f>OR(Transport_Table[[#This Row],[Data Set]]="All",Transport_Table[[#This Row],[Data Set]]=SelectedDataSet)</f>
        <v>1</v>
      </c>
      <c r="I87" s="14" t="b">
        <f>OR(Transport_Table[[#This Row],[Technology]]="All",Transport_Table[[#This Row],[Technology]]=SelectedTechnology)</f>
        <v>1</v>
      </c>
      <c r="J87" s="14" t="b">
        <f>OR(Transport_Table[[#This Row],[Data Source]]="All",Transport_Table[[#This Row],[Data Source]]=SelectedDataSource)</f>
        <v>1</v>
      </c>
      <c r="L87" s="14" t="b">
        <f>AND(Transport_Table[[#This Row],[Show Feedstock]:[Show Data Source]],NOT(Transport_Table[[#This Row],[Hide Column]]))</f>
        <v>0</v>
      </c>
      <c r="M87" s="14" t="s">
        <v>14</v>
      </c>
      <c r="N87" s="14" t="s">
        <v>1162</v>
      </c>
      <c r="O87" s="14" t="s">
        <v>1244</v>
      </c>
      <c r="P87" s="178" t="s">
        <v>1700</v>
      </c>
      <c r="Q87" s="241" t="s">
        <v>1946</v>
      </c>
      <c r="R87" s="393">
        <v>0</v>
      </c>
      <c r="S87" s="394">
        <v>0</v>
      </c>
      <c r="T87" s="107"/>
    </row>
    <row r="88" spans="1:20" x14ac:dyDescent="0.3">
      <c r="A88" s="190" t="s">
        <v>128</v>
      </c>
      <c r="B88" s="178" t="s">
        <v>30</v>
      </c>
      <c r="C88" s="178" t="s">
        <v>29</v>
      </c>
      <c r="D88" s="178" t="s">
        <v>29</v>
      </c>
      <c r="E88" s="178" t="s">
        <v>31</v>
      </c>
      <c r="F88" s="14" t="b">
        <f>OR(Transport_Table[[#This Row],[Feedstock]]="All",Transport_Table[[#This Row],[Feedstock]]=SelectedFeedstock)</f>
        <v>0</v>
      </c>
      <c r="G88" s="14" t="b">
        <f>OR(Transport_Table[[#This Row],[Conversion]]="All",Transport_Table[[#This Row],[Conversion]]=SelectedConversion)</f>
        <v>1</v>
      </c>
      <c r="H88" s="14" t="b">
        <f>OR(Transport_Table[[#This Row],[Data Set]]="All",Transport_Table[[#This Row],[Data Set]]=SelectedDataSet)</f>
        <v>1</v>
      </c>
      <c r="I88" s="14" t="b">
        <f>OR(Transport_Table[[#This Row],[Technology]]="All",Transport_Table[[#This Row],[Technology]]=SelectedTechnology)</f>
        <v>1</v>
      </c>
      <c r="J88" s="14" t="b">
        <f>OR(Transport_Table[[#This Row],[Data Source]]="All",Transport_Table[[#This Row],[Data Source]]=SelectedDataSource)</f>
        <v>1</v>
      </c>
      <c r="L88" s="14" t="b">
        <f>AND(Transport_Table[[#This Row],[Show Feedstock]:[Show Data Source]],NOT(Transport_Table[[#This Row],[Hide Column]]))</f>
        <v>0</v>
      </c>
      <c r="M88" s="14" t="s">
        <v>14</v>
      </c>
      <c r="N88" s="14" t="s">
        <v>1163</v>
      </c>
      <c r="O88" s="14" t="s">
        <v>1245</v>
      </c>
      <c r="P88" s="178" t="s">
        <v>1700</v>
      </c>
      <c r="Q88" s="241" t="s">
        <v>1943</v>
      </c>
      <c r="R88" s="393">
        <v>0.28999999999999998</v>
      </c>
      <c r="S88" s="394">
        <v>800</v>
      </c>
      <c r="T88" s="107"/>
    </row>
    <row r="89" spans="1:20" x14ac:dyDescent="0.3">
      <c r="A89" s="190" t="s">
        <v>128</v>
      </c>
      <c r="B89" s="178" t="s">
        <v>30</v>
      </c>
      <c r="C89" s="178" t="s">
        <v>29</v>
      </c>
      <c r="D89" s="178" t="s">
        <v>29</v>
      </c>
      <c r="E89" s="178" t="s">
        <v>31</v>
      </c>
      <c r="F89" s="14" t="b">
        <f>OR(Transport_Table[[#This Row],[Feedstock]]="All",Transport_Table[[#This Row],[Feedstock]]=SelectedFeedstock)</f>
        <v>0</v>
      </c>
      <c r="G89" s="14" t="b">
        <f>OR(Transport_Table[[#This Row],[Conversion]]="All",Transport_Table[[#This Row],[Conversion]]=SelectedConversion)</f>
        <v>1</v>
      </c>
      <c r="H89" s="14" t="b">
        <f>OR(Transport_Table[[#This Row],[Data Set]]="All",Transport_Table[[#This Row],[Data Set]]=SelectedDataSet)</f>
        <v>1</v>
      </c>
      <c r="I89" s="14" t="b">
        <f>OR(Transport_Table[[#This Row],[Technology]]="All",Transport_Table[[#This Row],[Technology]]=SelectedTechnology)</f>
        <v>1</v>
      </c>
      <c r="J89" s="14" t="b">
        <f>OR(Transport_Table[[#This Row],[Data Source]]="All",Transport_Table[[#This Row],[Data Source]]=SelectedDataSource)</f>
        <v>1</v>
      </c>
      <c r="L89" s="14" t="b">
        <f>AND(Transport_Table[[#This Row],[Show Feedstock]:[Show Data Source]],NOT(Transport_Table[[#This Row],[Hide Column]]))</f>
        <v>0</v>
      </c>
      <c r="M89" s="14" t="s">
        <v>14</v>
      </c>
      <c r="N89" s="14" t="s">
        <v>1164</v>
      </c>
      <c r="O89" s="14" t="s">
        <v>1246</v>
      </c>
      <c r="P89" s="178" t="s">
        <v>1700</v>
      </c>
      <c r="Q89" s="241" t="s">
        <v>1944</v>
      </c>
      <c r="R89" s="393">
        <v>0.63</v>
      </c>
      <c r="S89" s="394">
        <v>50</v>
      </c>
      <c r="T89" s="107"/>
    </row>
    <row r="90" spans="1:20" x14ac:dyDescent="0.3">
      <c r="A90" s="190" t="s">
        <v>128</v>
      </c>
      <c r="B90" s="178" t="s">
        <v>30</v>
      </c>
      <c r="C90" s="178" t="s">
        <v>29</v>
      </c>
      <c r="D90" s="178" t="s">
        <v>29</v>
      </c>
      <c r="E90" s="178" t="s">
        <v>31</v>
      </c>
      <c r="F90" s="14" t="b">
        <f>OR(Transport_Table[[#This Row],[Feedstock]]="All",Transport_Table[[#This Row],[Feedstock]]=SelectedFeedstock)</f>
        <v>0</v>
      </c>
      <c r="G90" s="14" t="b">
        <f>OR(Transport_Table[[#This Row],[Conversion]]="All",Transport_Table[[#This Row],[Conversion]]=SelectedConversion)</f>
        <v>1</v>
      </c>
      <c r="H90" s="14" t="b">
        <f>OR(Transport_Table[[#This Row],[Data Set]]="All",Transport_Table[[#This Row],[Data Set]]=SelectedDataSet)</f>
        <v>1</v>
      </c>
      <c r="I90" s="14" t="b">
        <f>OR(Transport_Table[[#This Row],[Technology]]="All",Transport_Table[[#This Row],[Technology]]=SelectedTechnology)</f>
        <v>1</v>
      </c>
      <c r="J90" s="14" t="b">
        <f>OR(Transport_Table[[#This Row],[Data Source]]="All",Transport_Table[[#This Row],[Data Source]]=SelectedDataSource)</f>
        <v>1</v>
      </c>
      <c r="L90" s="14" t="b">
        <f>AND(Transport_Table[[#This Row],[Show Feedstock]:[Show Data Source]],NOT(Transport_Table[[#This Row],[Hide Column]]))</f>
        <v>0</v>
      </c>
      <c r="M90" s="14" t="s">
        <v>14</v>
      </c>
      <c r="N90" s="14" t="s">
        <v>1165</v>
      </c>
      <c r="O90" s="14" t="s">
        <v>1247</v>
      </c>
      <c r="P90" s="178" t="s">
        <v>1701</v>
      </c>
      <c r="Q90" s="241" t="s">
        <v>1945</v>
      </c>
      <c r="R90" s="393">
        <v>1</v>
      </c>
      <c r="S90" s="394">
        <v>30</v>
      </c>
      <c r="T90" s="107"/>
    </row>
    <row r="91" spans="1:20" x14ac:dyDescent="0.3">
      <c r="A91" s="190" t="s">
        <v>374</v>
      </c>
      <c r="B91" s="178" t="s">
        <v>30</v>
      </c>
      <c r="C91" s="178" t="s">
        <v>29</v>
      </c>
      <c r="D91" s="178" t="s">
        <v>29</v>
      </c>
      <c r="E91" s="178" t="s">
        <v>31</v>
      </c>
      <c r="F91" s="14" t="b">
        <f>OR(Transport_Table[[#This Row],[Feedstock]]="All",Transport_Table[[#This Row],[Feedstock]]=SelectedFeedstock)</f>
        <v>0</v>
      </c>
      <c r="G91" s="14" t="b">
        <f>OR(Transport_Table[[#This Row],[Conversion]]="All",Transport_Table[[#This Row],[Conversion]]=SelectedConversion)</f>
        <v>1</v>
      </c>
      <c r="H91" s="14" t="b">
        <f>OR(Transport_Table[[#This Row],[Data Set]]="All",Transport_Table[[#This Row],[Data Set]]=SelectedDataSet)</f>
        <v>1</v>
      </c>
      <c r="I91" s="14" t="b">
        <f>OR(Transport_Table[[#This Row],[Technology]]="All",Transport_Table[[#This Row],[Technology]]=SelectedTechnology)</f>
        <v>1</v>
      </c>
      <c r="J91" s="14" t="b">
        <f>OR(Transport_Table[[#This Row],[Data Source]]="All",Transport_Table[[#This Row],[Data Source]]=SelectedDataSource)</f>
        <v>1</v>
      </c>
      <c r="K91" s="14" t="b">
        <v>1</v>
      </c>
      <c r="L91" s="14" t="b">
        <f>AND(Transport_Table[[#This Row],[Show Feedstock]:[Show Data Source]],NOT(Transport_Table[[#This Row],[Hide Column]]))</f>
        <v>0</v>
      </c>
      <c r="M91" s="14" t="s">
        <v>15</v>
      </c>
      <c r="N91" s="14" t="s">
        <v>1202</v>
      </c>
      <c r="O91" s="14" t="s">
        <v>1284</v>
      </c>
      <c r="P91" s="178" t="s">
        <v>374</v>
      </c>
      <c r="Q91" s="241" t="s">
        <v>1946</v>
      </c>
      <c r="R91" s="393">
        <v>0</v>
      </c>
      <c r="S91" s="394">
        <v>0</v>
      </c>
      <c r="T91" s="107"/>
    </row>
    <row r="92" spans="1:20" x14ac:dyDescent="0.3">
      <c r="A92" s="190" t="s">
        <v>374</v>
      </c>
      <c r="B92" s="178" t="s">
        <v>30</v>
      </c>
      <c r="C92" s="178" t="s">
        <v>29</v>
      </c>
      <c r="D92" s="178" t="s">
        <v>29</v>
      </c>
      <c r="E92" s="178" t="s">
        <v>31</v>
      </c>
      <c r="F92" s="14" t="b">
        <f>OR(Transport_Table[[#This Row],[Feedstock]]="All",Transport_Table[[#This Row],[Feedstock]]=SelectedFeedstock)</f>
        <v>0</v>
      </c>
      <c r="G92" s="14" t="b">
        <f>OR(Transport_Table[[#This Row],[Conversion]]="All",Transport_Table[[#This Row],[Conversion]]=SelectedConversion)</f>
        <v>1</v>
      </c>
      <c r="H92" s="14" t="b">
        <f>OR(Transport_Table[[#This Row],[Data Set]]="All",Transport_Table[[#This Row],[Data Set]]=SelectedDataSet)</f>
        <v>1</v>
      </c>
      <c r="I92" s="14" t="b">
        <f>OR(Transport_Table[[#This Row],[Technology]]="All",Transport_Table[[#This Row],[Technology]]=SelectedTechnology)</f>
        <v>1</v>
      </c>
      <c r="J92" s="14" t="b">
        <f>OR(Transport_Table[[#This Row],[Data Source]]="All",Transport_Table[[#This Row],[Data Source]]=SelectedDataSource)</f>
        <v>1</v>
      </c>
      <c r="K92" s="14" t="b">
        <v>1</v>
      </c>
      <c r="L92" s="14" t="b">
        <f>AND(Transport_Table[[#This Row],[Show Feedstock]:[Show Data Source]],NOT(Transport_Table[[#This Row],[Hide Column]]))</f>
        <v>0</v>
      </c>
      <c r="M92" s="14" t="s">
        <v>15</v>
      </c>
      <c r="N92" s="14" t="s">
        <v>1203</v>
      </c>
      <c r="O92" s="14" t="s">
        <v>1285</v>
      </c>
      <c r="P92" s="178" t="s">
        <v>374</v>
      </c>
      <c r="Q92" s="241" t="s">
        <v>1943</v>
      </c>
      <c r="R92" s="393">
        <v>0</v>
      </c>
      <c r="S92" s="394">
        <v>0</v>
      </c>
      <c r="T92" s="107"/>
    </row>
    <row r="93" spans="1:20" x14ac:dyDescent="0.3">
      <c r="A93" s="190" t="s">
        <v>374</v>
      </c>
      <c r="B93" s="178" t="s">
        <v>30</v>
      </c>
      <c r="C93" s="178" t="s">
        <v>29</v>
      </c>
      <c r="D93" s="178" t="s">
        <v>29</v>
      </c>
      <c r="E93" s="178" t="s">
        <v>31</v>
      </c>
      <c r="F93" s="14" t="b">
        <f>OR(Transport_Table[[#This Row],[Feedstock]]="All",Transport_Table[[#This Row],[Feedstock]]=SelectedFeedstock)</f>
        <v>0</v>
      </c>
      <c r="G93" s="14" t="b">
        <f>OR(Transport_Table[[#This Row],[Conversion]]="All",Transport_Table[[#This Row],[Conversion]]=SelectedConversion)</f>
        <v>1</v>
      </c>
      <c r="H93" s="14" t="b">
        <f>OR(Transport_Table[[#This Row],[Data Set]]="All",Transport_Table[[#This Row],[Data Set]]=SelectedDataSet)</f>
        <v>1</v>
      </c>
      <c r="I93" s="14" t="b">
        <f>OR(Transport_Table[[#This Row],[Technology]]="All",Transport_Table[[#This Row],[Technology]]=SelectedTechnology)</f>
        <v>1</v>
      </c>
      <c r="J93" s="14" t="b">
        <f>OR(Transport_Table[[#This Row],[Data Source]]="All",Transport_Table[[#This Row],[Data Source]]=SelectedDataSource)</f>
        <v>1</v>
      </c>
      <c r="K93" s="14" t="b">
        <v>1</v>
      </c>
      <c r="L93" s="14" t="b">
        <f>AND(Transport_Table[[#This Row],[Show Feedstock]:[Show Data Source]],NOT(Transport_Table[[#This Row],[Hide Column]]))</f>
        <v>0</v>
      </c>
      <c r="M93" s="14" t="s">
        <v>15</v>
      </c>
      <c r="N93" s="14" t="s">
        <v>1204</v>
      </c>
      <c r="O93" s="14" t="s">
        <v>1286</v>
      </c>
      <c r="P93" s="178" t="s">
        <v>374</v>
      </c>
      <c r="Q93" s="241" t="s">
        <v>1944</v>
      </c>
      <c r="R93" s="393">
        <v>0.2</v>
      </c>
      <c r="S93" s="394">
        <v>400</v>
      </c>
      <c r="T93" s="107"/>
    </row>
    <row r="94" spans="1:20" x14ac:dyDescent="0.3">
      <c r="A94" s="190" t="s">
        <v>374</v>
      </c>
      <c r="B94" s="178" t="s">
        <v>30</v>
      </c>
      <c r="C94" s="178" t="s">
        <v>29</v>
      </c>
      <c r="D94" s="178" t="s">
        <v>29</v>
      </c>
      <c r="E94" s="178" t="s">
        <v>31</v>
      </c>
      <c r="F94" s="14" t="b">
        <f>OR(Transport_Table[[#This Row],[Feedstock]]="All",Transport_Table[[#This Row],[Feedstock]]=SelectedFeedstock)</f>
        <v>0</v>
      </c>
      <c r="G94" s="14" t="b">
        <f>OR(Transport_Table[[#This Row],[Conversion]]="All",Transport_Table[[#This Row],[Conversion]]=SelectedConversion)</f>
        <v>1</v>
      </c>
      <c r="H94" s="14" t="b">
        <f>OR(Transport_Table[[#This Row],[Data Set]]="All",Transport_Table[[#This Row],[Data Set]]=SelectedDataSet)</f>
        <v>1</v>
      </c>
      <c r="I94" s="14" t="b">
        <f>OR(Transport_Table[[#This Row],[Technology]]="All",Transport_Table[[#This Row],[Technology]]=SelectedTechnology)</f>
        <v>1</v>
      </c>
      <c r="J94" s="14" t="b">
        <f>OR(Transport_Table[[#This Row],[Data Source]]="All",Transport_Table[[#This Row],[Data Source]]=SelectedDataSource)</f>
        <v>1</v>
      </c>
      <c r="K94" s="14" t="b">
        <v>1</v>
      </c>
      <c r="L94" s="14" t="b">
        <f>AND(Transport_Table[[#This Row],[Show Feedstock]:[Show Data Source]],NOT(Transport_Table[[#This Row],[Hide Column]]))</f>
        <v>0</v>
      </c>
      <c r="M94" s="14" t="s">
        <v>15</v>
      </c>
      <c r="N94" s="14" t="s">
        <v>1205</v>
      </c>
      <c r="O94" s="14" t="s">
        <v>1287</v>
      </c>
      <c r="P94" s="178" t="s">
        <v>374</v>
      </c>
      <c r="Q94" s="241" t="s">
        <v>1945</v>
      </c>
      <c r="R94" s="393">
        <v>0.8</v>
      </c>
      <c r="S94" s="394">
        <v>100</v>
      </c>
      <c r="T94" s="107"/>
    </row>
    <row r="95" spans="1:20" x14ac:dyDescent="0.3">
      <c r="A95" s="190" t="s">
        <v>374</v>
      </c>
      <c r="B95" s="178" t="s">
        <v>30</v>
      </c>
      <c r="C95" s="178" t="s">
        <v>29</v>
      </c>
      <c r="D95" s="178" t="s">
        <v>29</v>
      </c>
      <c r="E95" s="178" t="s">
        <v>31</v>
      </c>
      <c r="F95" s="14" t="b">
        <f>OR(Transport_Table[[#This Row],[Feedstock]]="All",Transport_Table[[#This Row],[Feedstock]]=SelectedFeedstock)</f>
        <v>0</v>
      </c>
      <c r="G95" s="14" t="b">
        <f>OR(Transport_Table[[#This Row],[Conversion]]="All",Transport_Table[[#This Row],[Conversion]]=SelectedConversion)</f>
        <v>1</v>
      </c>
      <c r="H95" s="14" t="b">
        <f>OR(Transport_Table[[#This Row],[Data Set]]="All",Transport_Table[[#This Row],[Data Set]]=SelectedDataSet)</f>
        <v>1</v>
      </c>
      <c r="I95" s="14" t="b">
        <f>OR(Transport_Table[[#This Row],[Technology]]="All",Transport_Table[[#This Row],[Technology]]=SelectedTechnology)</f>
        <v>1</v>
      </c>
      <c r="J95" s="14" t="b">
        <f>OR(Transport_Table[[#This Row],[Data Source]]="All",Transport_Table[[#This Row],[Data Source]]=SelectedDataSource)</f>
        <v>1</v>
      </c>
      <c r="L95" s="14" t="b">
        <f>AND(Transport_Table[[#This Row],[Show Feedstock]:[Show Data Source]],NOT(Transport_Table[[#This Row],[Hide Column]]))</f>
        <v>0</v>
      </c>
      <c r="M95" s="14" t="s">
        <v>15</v>
      </c>
      <c r="N95" s="14" t="s">
        <v>1161</v>
      </c>
      <c r="O95" s="14" t="s">
        <v>1243</v>
      </c>
      <c r="P95" s="178" t="s">
        <v>1700</v>
      </c>
      <c r="Q95" s="241" t="s">
        <v>2002</v>
      </c>
      <c r="R95" s="393">
        <v>0.08</v>
      </c>
      <c r="S95" s="394">
        <v>520</v>
      </c>
      <c r="T95" s="107"/>
    </row>
    <row r="96" spans="1:20" x14ac:dyDescent="0.3">
      <c r="A96" s="190" t="s">
        <v>374</v>
      </c>
      <c r="B96" s="178" t="s">
        <v>30</v>
      </c>
      <c r="C96" s="178" t="s">
        <v>29</v>
      </c>
      <c r="D96" s="178" t="s">
        <v>29</v>
      </c>
      <c r="E96" s="178" t="s">
        <v>31</v>
      </c>
      <c r="F96" s="14" t="b">
        <f>OR(Transport_Table[[#This Row],[Feedstock]]="All",Transport_Table[[#This Row],[Feedstock]]=SelectedFeedstock)</f>
        <v>0</v>
      </c>
      <c r="G96" s="14" t="b">
        <f>OR(Transport_Table[[#This Row],[Conversion]]="All",Transport_Table[[#This Row],[Conversion]]=SelectedConversion)</f>
        <v>1</v>
      </c>
      <c r="H96" s="14" t="b">
        <f>OR(Transport_Table[[#This Row],[Data Set]]="All",Transport_Table[[#This Row],[Data Set]]=SelectedDataSet)</f>
        <v>1</v>
      </c>
      <c r="I96" s="14" t="b">
        <f>OR(Transport_Table[[#This Row],[Technology]]="All",Transport_Table[[#This Row],[Technology]]=SelectedTechnology)</f>
        <v>1</v>
      </c>
      <c r="J96" s="14" t="b">
        <f>OR(Transport_Table[[#This Row],[Data Source]]="All",Transport_Table[[#This Row],[Data Source]]=SelectedDataSource)</f>
        <v>1</v>
      </c>
      <c r="L96" s="14" t="b">
        <f>AND(Transport_Table[[#This Row],[Show Feedstock]:[Show Data Source]],NOT(Transport_Table[[#This Row],[Hide Column]]))</f>
        <v>0</v>
      </c>
      <c r="M96" s="14" t="s">
        <v>15</v>
      </c>
      <c r="N96" s="14" t="s">
        <v>1162</v>
      </c>
      <c r="O96" s="14" t="s">
        <v>1244</v>
      </c>
      <c r="P96" s="178" t="s">
        <v>1700</v>
      </c>
      <c r="Q96" s="241" t="s">
        <v>2003</v>
      </c>
      <c r="R96" s="393">
        <v>0</v>
      </c>
      <c r="S96" s="394">
        <v>0</v>
      </c>
      <c r="T96" s="107"/>
    </row>
    <row r="97" spans="1:20" x14ac:dyDescent="0.3">
      <c r="A97" s="190" t="s">
        <v>374</v>
      </c>
      <c r="B97" s="178" t="s">
        <v>30</v>
      </c>
      <c r="C97" s="178" t="s">
        <v>29</v>
      </c>
      <c r="D97" s="178" t="s">
        <v>29</v>
      </c>
      <c r="E97" s="178" t="s">
        <v>31</v>
      </c>
      <c r="F97" s="14" t="b">
        <f>OR(Transport_Table[[#This Row],[Feedstock]]="All",Transport_Table[[#This Row],[Feedstock]]=SelectedFeedstock)</f>
        <v>0</v>
      </c>
      <c r="G97" s="14" t="b">
        <f>OR(Transport_Table[[#This Row],[Conversion]]="All",Transport_Table[[#This Row],[Conversion]]=SelectedConversion)</f>
        <v>1</v>
      </c>
      <c r="H97" s="14" t="b">
        <f>OR(Transport_Table[[#This Row],[Data Set]]="All",Transport_Table[[#This Row],[Data Set]]=SelectedDataSet)</f>
        <v>1</v>
      </c>
      <c r="I97" s="14" t="b">
        <f>OR(Transport_Table[[#This Row],[Technology]]="All",Transport_Table[[#This Row],[Technology]]=SelectedTechnology)</f>
        <v>1</v>
      </c>
      <c r="J97" s="14" t="b">
        <f>OR(Transport_Table[[#This Row],[Data Source]]="All",Transport_Table[[#This Row],[Data Source]]=SelectedDataSource)</f>
        <v>1</v>
      </c>
      <c r="L97" s="14" t="b">
        <f>AND(Transport_Table[[#This Row],[Show Feedstock]:[Show Data Source]],NOT(Transport_Table[[#This Row],[Hide Column]]))</f>
        <v>0</v>
      </c>
      <c r="M97" s="14" t="s">
        <v>15</v>
      </c>
      <c r="N97" s="14" t="s">
        <v>1163</v>
      </c>
      <c r="O97" s="14" t="s">
        <v>1245</v>
      </c>
      <c r="P97" s="178" t="s">
        <v>1700</v>
      </c>
      <c r="Q97" s="241" t="s">
        <v>2004</v>
      </c>
      <c r="R97" s="393">
        <v>0.28999999999999998</v>
      </c>
      <c r="S97" s="394">
        <v>800</v>
      </c>
      <c r="T97" s="107"/>
    </row>
    <row r="98" spans="1:20" x14ac:dyDescent="0.3">
      <c r="A98" s="190" t="s">
        <v>374</v>
      </c>
      <c r="B98" s="178" t="s">
        <v>30</v>
      </c>
      <c r="C98" s="178" t="s">
        <v>29</v>
      </c>
      <c r="D98" s="178" t="s">
        <v>29</v>
      </c>
      <c r="E98" s="178" t="s">
        <v>31</v>
      </c>
      <c r="F98" s="14" t="b">
        <f>OR(Transport_Table[[#This Row],[Feedstock]]="All",Transport_Table[[#This Row],[Feedstock]]=SelectedFeedstock)</f>
        <v>0</v>
      </c>
      <c r="G98" s="14" t="b">
        <f>OR(Transport_Table[[#This Row],[Conversion]]="All",Transport_Table[[#This Row],[Conversion]]=SelectedConversion)</f>
        <v>1</v>
      </c>
      <c r="H98" s="14" t="b">
        <f>OR(Transport_Table[[#This Row],[Data Set]]="All",Transport_Table[[#This Row],[Data Set]]=SelectedDataSet)</f>
        <v>1</v>
      </c>
      <c r="I98" s="14" t="b">
        <f>OR(Transport_Table[[#This Row],[Technology]]="All",Transport_Table[[#This Row],[Technology]]=SelectedTechnology)</f>
        <v>1</v>
      </c>
      <c r="J98" s="14" t="b">
        <f>OR(Transport_Table[[#This Row],[Data Source]]="All",Transport_Table[[#This Row],[Data Source]]=SelectedDataSource)</f>
        <v>1</v>
      </c>
      <c r="L98" s="14" t="b">
        <f>AND(Transport_Table[[#This Row],[Show Feedstock]:[Show Data Source]],NOT(Transport_Table[[#This Row],[Hide Column]]))</f>
        <v>0</v>
      </c>
      <c r="M98" s="14" t="s">
        <v>15</v>
      </c>
      <c r="N98" s="14" t="s">
        <v>1840</v>
      </c>
      <c r="O98" s="14" t="s">
        <v>1840</v>
      </c>
      <c r="P98" s="178" t="s">
        <v>1700</v>
      </c>
      <c r="Q98" s="241" t="s">
        <v>2005</v>
      </c>
      <c r="R98" s="393">
        <v>0.63</v>
      </c>
      <c r="S98" s="394">
        <v>50</v>
      </c>
      <c r="T98" s="107"/>
    </row>
    <row r="99" spans="1:20" x14ac:dyDescent="0.3">
      <c r="A99" s="190" t="s">
        <v>374</v>
      </c>
      <c r="B99" s="178" t="s">
        <v>30</v>
      </c>
      <c r="C99" s="178" t="s">
        <v>29</v>
      </c>
      <c r="D99" s="178" t="s">
        <v>29</v>
      </c>
      <c r="E99" s="178" t="s">
        <v>31</v>
      </c>
      <c r="F99" s="14" t="b">
        <f>OR(Transport_Table[[#This Row],[Feedstock]]="All",Transport_Table[[#This Row],[Feedstock]]=SelectedFeedstock)</f>
        <v>0</v>
      </c>
      <c r="G99" s="14" t="b">
        <f>OR(Transport_Table[[#This Row],[Conversion]]="All",Transport_Table[[#This Row],[Conversion]]=SelectedConversion)</f>
        <v>1</v>
      </c>
      <c r="H99" s="14" t="b">
        <f>OR(Transport_Table[[#This Row],[Data Set]]="All",Transport_Table[[#This Row],[Data Set]]=SelectedDataSet)</f>
        <v>1</v>
      </c>
      <c r="I99" s="14" t="b">
        <f>OR(Transport_Table[[#This Row],[Technology]]="All",Transport_Table[[#This Row],[Technology]]=SelectedTechnology)</f>
        <v>1</v>
      </c>
      <c r="J99" s="14" t="b">
        <f>OR(Transport_Table[[#This Row],[Data Source]]="All",Transport_Table[[#This Row],[Data Source]]=SelectedDataSource)</f>
        <v>1</v>
      </c>
      <c r="K99" s="14" t="b">
        <v>1</v>
      </c>
      <c r="L99" s="14" t="b">
        <f>AND(Transport_Table[[#This Row],[Show Feedstock]:[Show Data Source]],NOT(Transport_Table[[#This Row],[Hide Column]]))</f>
        <v>0</v>
      </c>
      <c r="M99" s="14" t="s">
        <v>15</v>
      </c>
      <c r="N99" s="14" t="s">
        <v>1841</v>
      </c>
      <c r="O99" s="14" t="s">
        <v>1842</v>
      </c>
      <c r="P99" s="178" t="s">
        <v>1701</v>
      </c>
      <c r="Q99" s="241" t="s">
        <v>2006</v>
      </c>
      <c r="R99" s="393">
        <v>0</v>
      </c>
      <c r="S99" s="394">
        <v>0</v>
      </c>
      <c r="T99" s="107"/>
    </row>
    <row r="100" spans="1:20" x14ac:dyDescent="0.3">
      <c r="A100" s="190" t="s">
        <v>374</v>
      </c>
      <c r="B100" s="178" t="s">
        <v>30</v>
      </c>
      <c r="C100" s="178" t="s">
        <v>29</v>
      </c>
      <c r="D100" s="178" t="s">
        <v>29</v>
      </c>
      <c r="E100" s="178" t="s">
        <v>31</v>
      </c>
      <c r="F100" s="14" t="b">
        <f>OR(Transport_Table[[#This Row],[Feedstock]]="All",Transport_Table[[#This Row],[Feedstock]]=SelectedFeedstock)</f>
        <v>0</v>
      </c>
      <c r="G100" s="14" t="b">
        <f>OR(Transport_Table[[#This Row],[Conversion]]="All",Transport_Table[[#This Row],[Conversion]]=SelectedConversion)</f>
        <v>1</v>
      </c>
      <c r="H100" s="14" t="b">
        <f>OR(Transport_Table[[#This Row],[Data Set]]="All",Transport_Table[[#This Row],[Data Set]]=SelectedDataSet)</f>
        <v>1</v>
      </c>
      <c r="I100" s="14" t="b">
        <f>OR(Transport_Table[[#This Row],[Technology]]="All",Transport_Table[[#This Row],[Technology]]=SelectedTechnology)</f>
        <v>1</v>
      </c>
      <c r="J100" s="14" t="b">
        <f>OR(Transport_Table[[#This Row],[Data Source]]="All",Transport_Table[[#This Row],[Data Source]]=SelectedDataSource)</f>
        <v>1</v>
      </c>
      <c r="K100" s="14" t="b">
        <v>1</v>
      </c>
      <c r="L100" s="14" t="b">
        <f>AND(Transport_Table[[#This Row],[Show Feedstock]:[Show Data Source]],NOT(Transport_Table[[#This Row],[Hide Column]]))</f>
        <v>0</v>
      </c>
      <c r="M100" s="14" t="s">
        <v>15</v>
      </c>
      <c r="N100" s="14" t="s">
        <v>1843</v>
      </c>
      <c r="O100" s="14" t="s">
        <v>1844</v>
      </c>
      <c r="P100" s="178" t="s">
        <v>1701</v>
      </c>
      <c r="Q100" s="241" t="s">
        <v>2007</v>
      </c>
      <c r="R100" s="393">
        <v>0</v>
      </c>
      <c r="S100" s="394">
        <v>0</v>
      </c>
      <c r="T100" s="107"/>
    </row>
    <row r="101" spans="1:20" x14ac:dyDescent="0.3">
      <c r="A101" s="190" t="s">
        <v>374</v>
      </c>
      <c r="B101" s="178" t="s">
        <v>30</v>
      </c>
      <c r="C101" s="178" t="s">
        <v>29</v>
      </c>
      <c r="D101" s="178" t="s">
        <v>29</v>
      </c>
      <c r="E101" s="178" t="s">
        <v>31</v>
      </c>
      <c r="F101" s="14" t="b">
        <f>OR(Transport_Table[[#This Row],[Feedstock]]="All",Transport_Table[[#This Row],[Feedstock]]=SelectedFeedstock)</f>
        <v>0</v>
      </c>
      <c r="G101" s="14" t="b">
        <f>OR(Transport_Table[[#This Row],[Conversion]]="All",Transport_Table[[#This Row],[Conversion]]=SelectedConversion)</f>
        <v>1</v>
      </c>
      <c r="H101" s="14" t="b">
        <f>OR(Transport_Table[[#This Row],[Data Set]]="All",Transport_Table[[#This Row],[Data Set]]=SelectedDataSet)</f>
        <v>1</v>
      </c>
      <c r="I101" s="14" t="b">
        <f>OR(Transport_Table[[#This Row],[Technology]]="All",Transport_Table[[#This Row],[Technology]]=SelectedTechnology)</f>
        <v>1</v>
      </c>
      <c r="J101" s="14" t="b">
        <f>OR(Transport_Table[[#This Row],[Data Source]]="All",Transport_Table[[#This Row],[Data Source]]=SelectedDataSource)</f>
        <v>1</v>
      </c>
      <c r="K101" s="14" t="b">
        <v>1</v>
      </c>
      <c r="L101" s="14" t="b">
        <f>AND(Transport_Table[[#This Row],[Show Feedstock]:[Show Data Source]],NOT(Transport_Table[[#This Row],[Hide Column]]))</f>
        <v>0</v>
      </c>
      <c r="M101" s="14" t="s">
        <v>15</v>
      </c>
      <c r="N101" s="14" t="s">
        <v>1845</v>
      </c>
      <c r="O101" s="14" t="s">
        <v>1846</v>
      </c>
      <c r="P101" s="178" t="s">
        <v>1701</v>
      </c>
      <c r="Q101" s="241" t="s">
        <v>2008</v>
      </c>
      <c r="R101" s="393">
        <v>0</v>
      </c>
      <c r="S101" s="394">
        <v>0</v>
      </c>
      <c r="T101" s="107"/>
    </row>
    <row r="102" spans="1:20" x14ac:dyDescent="0.3">
      <c r="A102" s="190" t="s">
        <v>374</v>
      </c>
      <c r="B102" s="178" t="s">
        <v>30</v>
      </c>
      <c r="C102" s="178" t="s">
        <v>29</v>
      </c>
      <c r="D102" s="178" t="s">
        <v>29</v>
      </c>
      <c r="E102" s="178" t="s">
        <v>31</v>
      </c>
      <c r="F102" s="14" t="b">
        <f>OR(Transport_Table[[#This Row],[Feedstock]]="All",Transport_Table[[#This Row],[Feedstock]]=SelectedFeedstock)</f>
        <v>0</v>
      </c>
      <c r="G102" s="14" t="b">
        <f>OR(Transport_Table[[#This Row],[Conversion]]="All",Transport_Table[[#This Row],[Conversion]]=SelectedConversion)</f>
        <v>1</v>
      </c>
      <c r="H102" s="14" t="b">
        <f>OR(Transport_Table[[#This Row],[Data Set]]="All",Transport_Table[[#This Row],[Data Set]]=SelectedDataSet)</f>
        <v>1</v>
      </c>
      <c r="I102" s="14" t="b">
        <f>OR(Transport_Table[[#This Row],[Technology]]="All",Transport_Table[[#This Row],[Technology]]=SelectedTechnology)</f>
        <v>1</v>
      </c>
      <c r="J102" s="14" t="b">
        <f>OR(Transport_Table[[#This Row],[Data Source]]="All",Transport_Table[[#This Row],[Data Source]]=SelectedDataSource)</f>
        <v>1</v>
      </c>
      <c r="K102" s="14" t="b">
        <v>1</v>
      </c>
      <c r="L102" s="14" t="b">
        <f>AND(Transport_Table[[#This Row],[Show Feedstock]:[Show Data Source]],NOT(Transport_Table[[#This Row],[Hide Column]]))</f>
        <v>0</v>
      </c>
      <c r="M102" s="14" t="s">
        <v>15</v>
      </c>
      <c r="N102" s="14" t="s">
        <v>1847</v>
      </c>
      <c r="O102" s="14" t="s">
        <v>1848</v>
      </c>
      <c r="P102" s="178" t="s">
        <v>1701</v>
      </c>
      <c r="Q102" s="241" t="s">
        <v>2009</v>
      </c>
      <c r="R102" s="393">
        <v>1</v>
      </c>
      <c r="S102" s="394">
        <v>30</v>
      </c>
      <c r="T102" s="107"/>
    </row>
    <row r="103" spans="1:20" x14ac:dyDescent="0.3">
      <c r="A103" s="190" t="s">
        <v>316</v>
      </c>
      <c r="B103" s="178" t="s">
        <v>129</v>
      </c>
      <c r="C103" s="178" t="s">
        <v>29</v>
      </c>
      <c r="D103" s="178" t="s">
        <v>29</v>
      </c>
      <c r="E103" s="178" t="s">
        <v>31</v>
      </c>
      <c r="F103" s="14" t="b">
        <f>OR(Transport_Table[[#This Row],[Feedstock]]="All",Transport_Table[[#This Row],[Feedstock]]=SelectedFeedstock)</f>
        <v>0</v>
      </c>
      <c r="G103" s="14" t="b">
        <f>OR(Transport_Table[[#This Row],[Conversion]]="All",Transport_Table[[#This Row],[Conversion]]=SelectedConversion)</f>
        <v>0</v>
      </c>
      <c r="H103" s="14" t="b">
        <f>OR(Transport_Table[[#This Row],[Data Set]]="All",Transport_Table[[#This Row],[Data Set]]=SelectedDataSet)</f>
        <v>1</v>
      </c>
      <c r="I103" s="14" t="b">
        <f>OR(Transport_Table[[#This Row],[Technology]]="All",Transport_Table[[#This Row],[Technology]]=SelectedTechnology)</f>
        <v>1</v>
      </c>
      <c r="J103" s="14" t="b">
        <f>OR(Transport_Table[[#This Row],[Data Source]]="All",Transport_Table[[#This Row],[Data Source]]=SelectedDataSource)</f>
        <v>1</v>
      </c>
      <c r="K103" s="14" t="b">
        <v>1</v>
      </c>
      <c r="L103" s="14" t="b">
        <f>AND(Transport_Table[[#This Row],[Show Feedstock]:[Show Data Source]],NOT(Transport_Table[[#This Row],[Hide Column]]))</f>
        <v>0</v>
      </c>
      <c r="M103" s="14" t="s">
        <v>147</v>
      </c>
      <c r="N103" s="14" t="s">
        <v>1206</v>
      </c>
      <c r="O103" s="14" t="s">
        <v>1288</v>
      </c>
      <c r="P103" s="178" t="s">
        <v>316</v>
      </c>
      <c r="Q103" s="241" t="s">
        <v>1943</v>
      </c>
      <c r="R103" s="393">
        <v>1</v>
      </c>
      <c r="S103" s="394">
        <v>90</v>
      </c>
      <c r="T103" s="107"/>
    </row>
    <row r="104" spans="1:20" x14ac:dyDescent="0.3">
      <c r="A104" s="190" t="s">
        <v>316</v>
      </c>
      <c r="B104" s="178" t="s">
        <v>129</v>
      </c>
      <c r="C104" s="178" t="s">
        <v>29</v>
      </c>
      <c r="D104" s="178" t="s">
        <v>29</v>
      </c>
      <c r="E104" s="178" t="s">
        <v>31</v>
      </c>
      <c r="F104" s="14" t="b">
        <f>OR(Transport_Table[[#This Row],[Feedstock]]="All",Transport_Table[[#This Row],[Feedstock]]=SelectedFeedstock)</f>
        <v>0</v>
      </c>
      <c r="G104" s="14" t="b">
        <f>OR(Transport_Table[[#This Row],[Conversion]]="All",Transport_Table[[#This Row],[Conversion]]=SelectedConversion)</f>
        <v>0</v>
      </c>
      <c r="H104" s="14" t="b">
        <f>OR(Transport_Table[[#This Row],[Data Set]]="All",Transport_Table[[#This Row],[Data Set]]=SelectedDataSet)</f>
        <v>1</v>
      </c>
      <c r="I104" s="14" t="b">
        <f>OR(Transport_Table[[#This Row],[Technology]]="All",Transport_Table[[#This Row],[Technology]]=SelectedTechnology)</f>
        <v>1</v>
      </c>
      <c r="J104" s="14" t="b">
        <f>OR(Transport_Table[[#This Row],[Data Source]]="All",Transport_Table[[#This Row],[Data Source]]=SelectedDataSource)</f>
        <v>1</v>
      </c>
      <c r="L104" s="14" t="b">
        <f>AND(Transport_Table[[#This Row],[Show Feedstock]:[Show Data Source]],NOT(Transport_Table[[#This Row],[Hide Column]]))</f>
        <v>0</v>
      </c>
      <c r="M104" s="14" t="s">
        <v>147</v>
      </c>
      <c r="N104" s="14" t="s">
        <v>1207</v>
      </c>
      <c r="O104" s="14" t="s">
        <v>1289</v>
      </c>
      <c r="P104" s="178" t="s">
        <v>1700</v>
      </c>
      <c r="Q104" s="241" t="s">
        <v>1944</v>
      </c>
      <c r="R104" s="393">
        <v>0.33</v>
      </c>
      <c r="S104" s="394">
        <v>520</v>
      </c>
      <c r="T104" s="107"/>
    </row>
    <row r="105" spans="1:20" x14ac:dyDescent="0.3">
      <c r="A105" s="190" t="s">
        <v>316</v>
      </c>
      <c r="B105" s="178" t="s">
        <v>129</v>
      </c>
      <c r="C105" s="178" t="s">
        <v>29</v>
      </c>
      <c r="D105" s="178" t="s">
        <v>29</v>
      </c>
      <c r="E105" s="178" t="s">
        <v>31</v>
      </c>
      <c r="F105" s="14" t="b">
        <f>OR(Transport_Table[[#This Row],[Feedstock]]="All",Transport_Table[[#This Row],[Feedstock]]=SelectedFeedstock)</f>
        <v>0</v>
      </c>
      <c r="G105" s="14" t="b">
        <f>OR(Transport_Table[[#This Row],[Conversion]]="All",Transport_Table[[#This Row],[Conversion]]=SelectedConversion)</f>
        <v>0</v>
      </c>
      <c r="H105" s="14" t="b">
        <f>OR(Transport_Table[[#This Row],[Data Set]]="All",Transport_Table[[#This Row],[Data Set]]=SelectedDataSet)</f>
        <v>1</v>
      </c>
      <c r="I105" s="14" t="b">
        <f>OR(Transport_Table[[#This Row],[Technology]]="All",Transport_Table[[#This Row],[Technology]]=SelectedTechnology)</f>
        <v>1</v>
      </c>
      <c r="J105" s="14" t="b">
        <f>OR(Transport_Table[[#This Row],[Data Source]]="All",Transport_Table[[#This Row],[Data Source]]=SelectedDataSource)</f>
        <v>1</v>
      </c>
      <c r="L105" s="14" t="b">
        <f>AND(Transport_Table[[#This Row],[Show Feedstock]:[Show Data Source]],NOT(Transport_Table[[#This Row],[Hide Column]]))</f>
        <v>0</v>
      </c>
      <c r="M105" s="14" t="s">
        <v>147</v>
      </c>
      <c r="N105" s="14" t="s">
        <v>1208</v>
      </c>
      <c r="O105" s="14" t="s">
        <v>1290</v>
      </c>
      <c r="P105" s="178" t="s">
        <v>1700</v>
      </c>
      <c r="Q105" s="241" t="s">
        <v>1945</v>
      </c>
      <c r="R105" s="393">
        <v>0.6</v>
      </c>
      <c r="S105" s="394">
        <v>400</v>
      </c>
      <c r="T105" s="107"/>
    </row>
    <row r="106" spans="1:20" x14ac:dyDescent="0.3">
      <c r="A106" s="190" t="s">
        <v>316</v>
      </c>
      <c r="B106" s="178" t="s">
        <v>129</v>
      </c>
      <c r="C106" s="178" t="s">
        <v>29</v>
      </c>
      <c r="D106" s="178" t="s">
        <v>29</v>
      </c>
      <c r="E106" s="178" t="s">
        <v>31</v>
      </c>
      <c r="F106" s="14" t="b">
        <f>OR(Transport_Table[[#This Row],[Feedstock]]="All",Transport_Table[[#This Row],[Feedstock]]=SelectedFeedstock)</f>
        <v>0</v>
      </c>
      <c r="G106" s="14" t="b">
        <f>OR(Transport_Table[[#This Row],[Conversion]]="All",Transport_Table[[#This Row],[Conversion]]=SelectedConversion)</f>
        <v>0</v>
      </c>
      <c r="H106" s="14" t="b">
        <f>OR(Transport_Table[[#This Row],[Data Set]]="All",Transport_Table[[#This Row],[Data Set]]=SelectedDataSet)</f>
        <v>1</v>
      </c>
      <c r="I106" s="14" t="b">
        <f>OR(Transport_Table[[#This Row],[Technology]]="All",Transport_Table[[#This Row],[Technology]]=SelectedTechnology)</f>
        <v>1</v>
      </c>
      <c r="J106" s="14" t="b">
        <f>OR(Transport_Table[[#This Row],[Data Source]]="All",Transport_Table[[#This Row],[Data Source]]=SelectedDataSource)</f>
        <v>1</v>
      </c>
      <c r="L106" s="14" t="b">
        <f>AND(Transport_Table[[#This Row],[Show Feedstock]:[Show Data Source]],NOT(Transport_Table[[#This Row],[Hide Column]]))</f>
        <v>0</v>
      </c>
      <c r="M106" s="14" t="s">
        <v>147</v>
      </c>
      <c r="N106" s="14" t="s">
        <v>1209</v>
      </c>
      <c r="O106" s="14" t="s">
        <v>1291</v>
      </c>
      <c r="P106" s="178" t="s">
        <v>1700</v>
      </c>
      <c r="Q106" s="241" t="s">
        <v>1946</v>
      </c>
      <c r="R106" s="393">
        <v>6.9999999999999951E-2</v>
      </c>
      <c r="S106" s="394">
        <v>800</v>
      </c>
      <c r="T106" s="107"/>
    </row>
    <row r="107" spans="1:20" x14ac:dyDescent="0.3">
      <c r="A107" s="190" t="s">
        <v>316</v>
      </c>
      <c r="B107" s="178" t="s">
        <v>129</v>
      </c>
      <c r="C107" s="178" t="s">
        <v>29</v>
      </c>
      <c r="D107" s="178" t="s">
        <v>29</v>
      </c>
      <c r="E107" s="178" t="s">
        <v>31</v>
      </c>
      <c r="F107" s="14" t="b">
        <f>OR(Transport_Table[[#This Row],[Feedstock]]="All",Transport_Table[[#This Row],[Feedstock]]=SelectedFeedstock)</f>
        <v>0</v>
      </c>
      <c r="G107" s="14" t="b">
        <f>OR(Transport_Table[[#This Row],[Conversion]]="All",Transport_Table[[#This Row],[Conversion]]=SelectedConversion)</f>
        <v>0</v>
      </c>
      <c r="H107" s="14" t="b">
        <f>OR(Transport_Table[[#This Row],[Data Set]]="All",Transport_Table[[#This Row],[Data Set]]=SelectedDataSet)</f>
        <v>1</v>
      </c>
      <c r="I107" s="14" t="b">
        <f>OR(Transport_Table[[#This Row],[Technology]]="All",Transport_Table[[#This Row],[Technology]]=SelectedTechnology)</f>
        <v>1</v>
      </c>
      <c r="J107" s="14" t="b">
        <f>OR(Transport_Table[[#This Row],[Data Source]]="All",Transport_Table[[#This Row],[Data Source]]=SelectedDataSource)</f>
        <v>1</v>
      </c>
      <c r="L107" s="14" t="b">
        <f>AND(Transport_Table[[#This Row],[Show Feedstock]:[Show Data Source]],NOT(Transport_Table[[#This Row],[Hide Column]]))</f>
        <v>0</v>
      </c>
      <c r="M107" s="14" t="s">
        <v>147</v>
      </c>
      <c r="N107" s="14" t="s">
        <v>1210</v>
      </c>
      <c r="O107" s="14" t="s">
        <v>1292</v>
      </c>
      <c r="P107" s="178" t="s">
        <v>1700</v>
      </c>
      <c r="Q107" s="241" t="s">
        <v>1943</v>
      </c>
      <c r="R107" s="393">
        <v>1</v>
      </c>
      <c r="S107" s="394">
        <v>30</v>
      </c>
      <c r="T107" s="107"/>
    </row>
    <row r="108" spans="1:20" x14ac:dyDescent="0.3">
      <c r="A108" s="190" t="s">
        <v>131</v>
      </c>
      <c r="B108" s="178" t="s">
        <v>129</v>
      </c>
      <c r="C108" s="178" t="s">
        <v>29</v>
      </c>
      <c r="D108" s="178" t="s">
        <v>29</v>
      </c>
      <c r="E108" s="178" t="s">
        <v>31</v>
      </c>
      <c r="F108" s="14" t="b">
        <f>OR(Transport_Table[[#This Row],[Feedstock]]="All",Transport_Table[[#This Row],[Feedstock]]=SelectedFeedstock)</f>
        <v>0</v>
      </c>
      <c r="G108" s="14" t="b">
        <f>OR(Transport_Table[[#This Row],[Conversion]]="All",Transport_Table[[#This Row],[Conversion]]=SelectedConversion)</f>
        <v>0</v>
      </c>
      <c r="H108" s="14" t="b">
        <f>OR(Transport_Table[[#This Row],[Data Set]]="All",Transport_Table[[#This Row],[Data Set]]=SelectedDataSet)</f>
        <v>1</v>
      </c>
      <c r="I108" s="14" t="b">
        <f>OR(Transport_Table[[#This Row],[Technology]]="All",Transport_Table[[#This Row],[Technology]]=SelectedTechnology)</f>
        <v>1</v>
      </c>
      <c r="J108" s="14" t="b">
        <f>OR(Transport_Table[[#This Row],[Data Source]]="All",Transport_Table[[#This Row],[Data Source]]=SelectedDataSource)</f>
        <v>1</v>
      </c>
      <c r="K108" s="14" t="b">
        <v>1</v>
      </c>
      <c r="L108" s="14" t="b">
        <f>AND(Transport_Table[[#This Row],[Show Feedstock]:[Show Data Source]],NOT(Transport_Table[[#This Row],[Hide Column]]))</f>
        <v>0</v>
      </c>
      <c r="M108" s="14" t="s">
        <v>14</v>
      </c>
      <c r="N108" s="14" t="s">
        <v>1211</v>
      </c>
      <c r="O108" s="14" t="s">
        <v>1293</v>
      </c>
      <c r="P108" s="178" t="s">
        <v>131</v>
      </c>
      <c r="Q108" s="241" t="s">
        <v>1944</v>
      </c>
      <c r="R108" s="393">
        <v>1</v>
      </c>
      <c r="S108" s="394">
        <v>50</v>
      </c>
      <c r="T108" s="107"/>
    </row>
    <row r="109" spans="1:20" x14ac:dyDescent="0.3">
      <c r="A109" s="190" t="s">
        <v>131</v>
      </c>
      <c r="B109" s="178" t="s">
        <v>129</v>
      </c>
      <c r="C109" s="178" t="s">
        <v>29</v>
      </c>
      <c r="D109" s="178" t="s">
        <v>29</v>
      </c>
      <c r="E109" s="178" t="s">
        <v>31</v>
      </c>
      <c r="F109" s="14" t="b">
        <f>OR(Transport_Table[[#This Row],[Feedstock]]="All",Transport_Table[[#This Row],[Feedstock]]=SelectedFeedstock)</f>
        <v>0</v>
      </c>
      <c r="G109" s="14" t="b">
        <f>OR(Transport_Table[[#This Row],[Conversion]]="All",Transport_Table[[#This Row],[Conversion]]=SelectedConversion)</f>
        <v>0</v>
      </c>
      <c r="H109" s="14" t="b">
        <f>OR(Transport_Table[[#This Row],[Data Set]]="All",Transport_Table[[#This Row],[Data Set]]=SelectedDataSet)</f>
        <v>1</v>
      </c>
      <c r="I109" s="14" t="b">
        <f>OR(Transport_Table[[#This Row],[Technology]]="All",Transport_Table[[#This Row],[Technology]]=SelectedTechnology)</f>
        <v>1</v>
      </c>
      <c r="J109" s="14" t="b">
        <f>OR(Transport_Table[[#This Row],[Data Source]]="All",Transport_Table[[#This Row],[Data Source]]=SelectedDataSource)</f>
        <v>1</v>
      </c>
      <c r="L109" s="14" t="b">
        <f>AND(Transport_Table[[#This Row],[Show Feedstock]:[Show Data Source]],NOT(Transport_Table[[#This Row],[Hide Column]]))</f>
        <v>0</v>
      </c>
      <c r="M109" s="14" t="s">
        <v>14</v>
      </c>
      <c r="N109" s="14" t="s">
        <v>1207</v>
      </c>
      <c r="O109" s="14" t="s">
        <v>1289</v>
      </c>
      <c r="P109" s="178" t="s">
        <v>1700</v>
      </c>
      <c r="Q109" s="241" t="s">
        <v>1945</v>
      </c>
      <c r="R109" s="393">
        <v>0.33</v>
      </c>
      <c r="S109" s="394">
        <v>520</v>
      </c>
      <c r="T109" s="107"/>
    </row>
    <row r="110" spans="1:20" x14ac:dyDescent="0.3">
      <c r="A110" s="190" t="s">
        <v>131</v>
      </c>
      <c r="B110" s="178" t="s">
        <v>129</v>
      </c>
      <c r="C110" s="178" t="s">
        <v>29</v>
      </c>
      <c r="D110" s="178" t="s">
        <v>29</v>
      </c>
      <c r="E110" s="178" t="s">
        <v>31</v>
      </c>
      <c r="F110" s="14" t="b">
        <f>OR(Transport_Table[[#This Row],[Feedstock]]="All",Transport_Table[[#This Row],[Feedstock]]=SelectedFeedstock)</f>
        <v>0</v>
      </c>
      <c r="G110" s="14" t="b">
        <f>OR(Transport_Table[[#This Row],[Conversion]]="All",Transport_Table[[#This Row],[Conversion]]=SelectedConversion)</f>
        <v>0</v>
      </c>
      <c r="H110" s="14" t="b">
        <f>OR(Transport_Table[[#This Row],[Data Set]]="All",Transport_Table[[#This Row],[Data Set]]=SelectedDataSet)</f>
        <v>1</v>
      </c>
      <c r="I110" s="14" t="b">
        <f>OR(Transport_Table[[#This Row],[Technology]]="All",Transport_Table[[#This Row],[Technology]]=SelectedTechnology)</f>
        <v>1</v>
      </c>
      <c r="J110" s="14" t="b">
        <f>OR(Transport_Table[[#This Row],[Data Source]]="All",Transport_Table[[#This Row],[Data Source]]=SelectedDataSource)</f>
        <v>1</v>
      </c>
      <c r="L110" s="14" t="b">
        <f>AND(Transport_Table[[#This Row],[Show Feedstock]:[Show Data Source]],NOT(Transport_Table[[#This Row],[Hide Column]]))</f>
        <v>0</v>
      </c>
      <c r="M110" s="14" t="s">
        <v>14</v>
      </c>
      <c r="N110" s="14" t="s">
        <v>1208</v>
      </c>
      <c r="O110" s="14" t="s">
        <v>1290</v>
      </c>
      <c r="P110" s="178" t="s">
        <v>1700</v>
      </c>
      <c r="Q110" s="241" t="s">
        <v>1946</v>
      </c>
      <c r="R110" s="393">
        <v>0.6</v>
      </c>
      <c r="S110" s="394">
        <v>400</v>
      </c>
      <c r="T110" s="107"/>
    </row>
    <row r="111" spans="1:20" x14ac:dyDescent="0.3">
      <c r="A111" s="190" t="s">
        <v>131</v>
      </c>
      <c r="B111" s="178" t="s">
        <v>129</v>
      </c>
      <c r="C111" s="178" t="s">
        <v>29</v>
      </c>
      <c r="D111" s="178" t="s">
        <v>29</v>
      </c>
      <c r="E111" s="178" t="s">
        <v>31</v>
      </c>
      <c r="F111" s="14" t="b">
        <f>OR(Transport_Table[[#This Row],[Feedstock]]="All",Transport_Table[[#This Row],[Feedstock]]=SelectedFeedstock)</f>
        <v>0</v>
      </c>
      <c r="G111" s="14" t="b">
        <f>OR(Transport_Table[[#This Row],[Conversion]]="All",Transport_Table[[#This Row],[Conversion]]=SelectedConversion)</f>
        <v>0</v>
      </c>
      <c r="H111" s="14" t="b">
        <f>OR(Transport_Table[[#This Row],[Data Set]]="All",Transport_Table[[#This Row],[Data Set]]=SelectedDataSet)</f>
        <v>1</v>
      </c>
      <c r="I111" s="14" t="b">
        <f>OR(Transport_Table[[#This Row],[Technology]]="All",Transport_Table[[#This Row],[Technology]]=SelectedTechnology)</f>
        <v>1</v>
      </c>
      <c r="J111" s="14" t="b">
        <f>OR(Transport_Table[[#This Row],[Data Source]]="All",Transport_Table[[#This Row],[Data Source]]=SelectedDataSource)</f>
        <v>1</v>
      </c>
      <c r="L111" s="14" t="b">
        <f>AND(Transport_Table[[#This Row],[Show Feedstock]:[Show Data Source]],NOT(Transport_Table[[#This Row],[Hide Column]]))</f>
        <v>0</v>
      </c>
      <c r="M111" s="14" t="s">
        <v>14</v>
      </c>
      <c r="N111" s="14" t="s">
        <v>1209</v>
      </c>
      <c r="O111" s="14" t="s">
        <v>1291</v>
      </c>
      <c r="P111" s="178" t="s">
        <v>1700</v>
      </c>
      <c r="Q111" s="241" t="s">
        <v>1943</v>
      </c>
      <c r="R111" s="393">
        <v>6.9999999999999951E-2</v>
      </c>
      <c r="S111" s="394">
        <v>800</v>
      </c>
      <c r="T111" s="107"/>
    </row>
    <row r="112" spans="1:20" x14ac:dyDescent="0.3">
      <c r="A112" s="190" t="s">
        <v>131</v>
      </c>
      <c r="B112" s="178" t="s">
        <v>129</v>
      </c>
      <c r="C112" s="178" t="s">
        <v>29</v>
      </c>
      <c r="D112" s="178" t="s">
        <v>29</v>
      </c>
      <c r="E112" s="178" t="s">
        <v>31</v>
      </c>
      <c r="F112" s="14" t="b">
        <f>OR(Transport_Table[[#This Row],[Feedstock]]="All",Transport_Table[[#This Row],[Feedstock]]=SelectedFeedstock)</f>
        <v>0</v>
      </c>
      <c r="G112" s="14" t="b">
        <f>OR(Transport_Table[[#This Row],[Conversion]]="All",Transport_Table[[#This Row],[Conversion]]=SelectedConversion)</f>
        <v>0</v>
      </c>
      <c r="H112" s="14" t="b">
        <f>OR(Transport_Table[[#This Row],[Data Set]]="All",Transport_Table[[#This Row],[Data Set]]=SelectedDataSet)</f>
        <v>1</v>
      </c>
      <c r="I112" s="14" t="b">
        <f>OR(Transport_Table[[#This Row],[Technology]]="All",Transport_Table[[#This Row],[Technology]]=SelectedTechnology)</f>
        <v>1</v>
      </c>
      <c r="J112" s="14" t="b">
        <f>OR(Transport_Table[[#This Row],[Data Source]]="All",Transport_Table[[#This Row],[Data Source]]=SelectedDataSource)</f>
        <v>1</v>
      </c>
      <c r="L112" s="14" t="b">
        <f>AND(Transport_Table[[#This Row],[Show Feedstock]:[Show Data Source]],NOT(Transport_Table[[#This Row],[Hide Column]]))</f>
        <v>0</v>
      </c>
      <c r="M112" s="14" t="s">
        <v>14</v>
      </c>
      <c r="N112" s="14" t="s">
        <v>1210</v>
      </c>
      <c r="O112" s="14" t="s">
        <v>1292</v>
      </c>
      <c r="P112" s="178" t="s">
        <v>1700</v>
      </c>
      <c r="Q112" s="241" t="s">
        <v>1944</v>
      </c>
      <c r="R112" s="393">
        <v>1</v>
      </c>
      <c r="S112" s="394">
        <v>30</v>
      </c>
      <c r="T112" s="107"/>
    </row>
    <row r="113" spans="1:20" x14ac:dyDescent="0.3">
      <c r="A113" s="190" t="s">
        <v>132</v>
      </c>
      <c r="B113" s="178" t="s">
        <v>129</v>
      </c>
      <c r="C113" s="178" t="s">
        <v>29</v>
      </c>
      <c r="D113" s="178" t="s">
        <v>29</v>
      </c>
      <c r="E113" s="178" t="s">
        <v>31</v>
      </c>
      <c r="F113" s="14" t="b">
        <f>OR(Transport_Table[[#This Row],[Feedstock]]="All",Transport_Table[[#This Row],[Feedstock]]=SelectedFeedstock)</f>
        <v>0</v>
      </c>
      <c r="G113" s="14" t="b">
        <f>OR(Transport_Table[[#This Row],[Conversion]]="All",Transport_Table[[#This Row],[Conversion]]=SelectedConversion)</f>
        <v>0</v>
      </c>
      <c r="H113" s="14" t="b">
        <f>OR(Transport_Table[[#This Row],[Data Set]]="All",Transport_Table[[#This Row],[Data Set]]=SelectedDataSet)</f>
        <v>1</v>
      </c>
      <c r="I113" s="14" t="b">
        <f>OR(Transport_Table[[#This Row],[Technology]]="All",Transport_Table[[#This Row],[Technology]]=SelectedTechnology)</f>
        <v>1</v>
      </c>
      <c r="J113" s="14" t="b">
        <f>OR(Transport_Table[[#This Row],[Data Source]]="All",Transport_Table[[#This Row],[Data Source]]=SelectedDataSource)</f>
        <v>1</v>
      </c>
      <c r="K113" s="14" t="b">
        <v>1</v>
      </c>
      <c r="L113" s="14" t="b">
        <f>AND(Transport_Table[[#This Row],[Show Feedstock]:[Show Data Source]],NOT(Transport_Table[[#This Row],[Hide Column]]))</f>
        <v>0</v>
      </c>
      <c r="M113" s="14" t="s">
        <v>14</v>
      </c>
      <c r="N113" s="14" t="s">
        <v>1211</v>
      </c>
      <c r="O113" s="14" t="s">
        <v>1293</v>
      </c>
      <c r="P113" s="178" t="s">
        <v>132</v>
      </c>
      <c r="Q113" s="241" t="s">
        <v>1945</v>
      </c>
      <c r="R113" s="393">
        <v>1</v>
      </c>
      <c r="S113" s="394">
        <v>50</v>
      </c>
      <c r="T113" s="107"/>
    </row>
    <row r="114" spans="1:20" x14ac:dyDescent="0.3">
      <c r="A114" s="190" t="s">
        <v>132</v>
      </c>
      <c r="B114" s="178" t="s">
        <v>129</v>
      </c>
      <c r="C114" s="178" t="s">
        <v>29</v>
      </c>
      <c r="D114" s="178" t="s">
        <v>29</v>
      </c>
      <c r="E114" s="178" t="s">
        <v>31</v>
      </c>
      <c r="F114" s="14" t="b">
        <f>OR(Transport_Table[[#This Row],[Feedstock]]="All",Transport_Table[[#This Row],[Feedstock]]=SelectedFeedstock)</f>
        <v>0</v>
      </c>
      <c r="G114" s="14" t="b">
        <f>OR(Transport_Table[[#This Row],[Conversion]]="All",Transport_Table[[#This Row],[Conversion]]=SelectedConversion)</f>
        <v>0</v>
      </c>
      <c r="H114" s="14" t="b">
        <f>OR(Transport_Table[[#This Row],[Data Set]]="All",Transport_Table[[#This Row],[Data Set]]=SelectedDataSet)</f>
        <v>1</v>
      </c>
      <c r="I114" s="14" t="b">
        <f>OR(Transport_Table[[#This Row],[Technology]]="All",Transport_Table[[#This Row],[Technology]]=SelectedTechnology)</f>
        <v>1</v>
      </c>
      <c r="J114" s="14" t="b">
        <f>OR(Transport_Table[[#This Row],[Data Source]]="All",Transport_Table[[#This Row],[Data Source]]=SelectedDataSource)</f>
        <v>1</v>
      </c>
      <c r="L114" s="14" t="b">
        <f>AND(Transport_Table[[#This Row],[Show Feedstock]:[Show Data Source]],NOT(Transport_Table[[#This Row],[Hide Column]]))</f>
        <v>0</v>
      </c>
      <c r="M114" s="14" t="s">
        <v>14</v>
      </c>
      <c r="N114" s="14" t="s">
        <v>1207</v>
      </c>
      <c r="O114" s="14" t="s">
        <v>1289</v>
      </c>
      <c r="P114" s="178" t="s">
        <v>1700</v>
      </c>
      <c r="Q114" s="241" t="s">
        <v>1946</v>
      </c>
      <c r="R114" s="393">
        <v>0.33</v>
      </c>
      <c r="S114" s="394">
        <v>520</v>
      </c>
      <c r="T114" s="107"/>
    </row>
    <row r="115" spans="1:20" x14ac:dyDescent="0.3">
      <c r="A115" s="190" t="s">
        <v>132</v>
      </c>
      <c r="B115" s="178" t="s">
        <v>129</v>
      </c>
      <c r="C115" s="178" t="s">
        <v>29</v>
      </c>
      <c r="D115" s="178" t="s">
        <v>29</v>
      </c>
      <c r="E115" s="178" t="s">
        <v>31</v>
      </c>
      <c r="F115" s="14" t="b">
        <f>OR(Transport_Table[[#This Row],[Feedstock]]="All",Transport_Table[[#This Row],[Feedstock]]=SelectedFeedstock)</f>
        <v>0</v>
      </c>
      <c r="G115" s="14" t="b">
        <f>OR(Transport_Table[[#This Row],[Conversion]]="All",Transport_Table[[#This Row],[Conversion]]=SelectedConversion)</f>
        <v>0</v>
      </c>
      <c r="H115" s="14" t="b">
        <f>OR(Transport_Table[[#This Row],[Data Set]]="All",Transport_Table[[#This Row],[Data Set]]=SelectedDataSet)</f>
        <v>1</v>
      </c>
      <c r="I115" s="14" t="b">
        <f>OR(Transport_Table[[#This Row],[Technology]]="All",Transport_Table[[#This Row],[Technology]]=SelectedTechnology)</f>
        <v>1</v>
      </c>
      <c r="J115" s="14" t="b">
        <f>OR(Transport_Table[[#This Row],[Data Source]]="All",Transport_Table[[#This Row],[Data Source]]=SelectedDataSource)</f>
        <v>1</v>
      </c>
      <c r="L115" s="14" t="b">
        <f>AND(Transport_Table[[#This Row],[Show Feedstock]:[Show Data Source]],NOT(Transport_Table[[#This Row],[Hide Column]]))</f>
        <v>0</v>
      </c>
      <c r="M115" s="14" t="s">
        <v>14</v>
      </c>
      <c r="N115" s="14" t="s">
        <v>1208</v>
      </c>
      <c r="O115" s="14" t="s">
        <v>1290</v>
      </c>
      <c r="P115" s="178" t="s">
        <v>1700</v>
      </c>
      <c r="Q115" s="241" t="s">
        <v>1943</v>
      </c>
      <c r="R115" s="393">
        <v>0.6</v>
      </c>
      <c r="S115" s="394">
        <v>400</v>
      </c>
      <c r="T115" s="107"/>
    </row>
    <row r="116" spans="1:20" x14ac:dyDescent="0.3">
      <c r="A116" s="190" t="s">
        <v>132</v>
      </c>
      <c r="B116" s="178" t="s">
        <v>129</v>
      </c>
      <c r="C116" s="178" t="s">
        <v>29</v>
      </c>
      <c r="D116" s="178" t="s">
        <v>29</v>
      </c>
      <c r="E116" s="178" t="s">
        <v>31</v>
      </c>
      <c r="F116" s="14" t="b">
        <f>OR(Transport_Table[[#This Row],[Feedstock]]="All",Transport_Table[[#This Row],[Feedstock]]=SelectedFeedstock)</f>
        <v>0</v>
      </c>
      <c r="G116" s="14" t="b">
        <f>OR(Transport_Table[[#This Row],[Conversion]]="All",Transport_Table[[#This Row],[Conversion]]=SelectedConversion)</f>
        <v>0</v>
      </c>
      <c r="H116" s="14" t="b">
        <f>OR(Transport_Table[[#This Row],[Data Set]]="All",Transport_Table[[#This Row],[Data Set]]=SelectedDataSet)</f>
        <v>1</v>
      </c>
      <c r="I116" s="14" t="b">
        <f>OR(Transport_Table[[#This Row],[Technology]]="All",Transport_Table[[#This Row],[Technology]]=SelectedTechnology)</f>
        <v>1</v>
      </c>
      <c r="J116" s="14" t="b">
        <f>OR(Transport_Table[[#This Row],[Data Source]]="All",Transport_Table[[#This Row],[Data Source]]=SelectedDataSource)</f>
        <v>1</v>
      </c>
      <c r="L116" s="14" t="b">
        <f>AND(Transport_Table[[#This Row],[Show Feedstock]:[Show Data Source]],NOT(Transport_Table[[#This Row],[Hide Column]]))</f>
        <v>0</v>
      </c>
      <c r="M116" s="14" t="s">
        <v>14</v>
      </c>
      <c r="N116" s="14" t="s">
        <v>1209</v>
      </c>
      <c r="O116" s="14" t="s">
        <v>1291</v>
      </c>
      <c r="P116" s="178" t="s">
        <v>1700</v>
      </c>
      <c r="Q116" s="241" t="s">
        <v>1944</v>
      </c>
      <c r="R116" s="393">
        <v>6.9999999999999951E-2</v>
      </c>
      <c r="S116" s="394">
        <v>800</v>
      </c>
      <c r="T116" s="107"/>
    </row>
    <row r="117" spans="1:20" x14ac:dyDescent="0.3">
      <c r="A117" s="190" t="s">
        <v>132</v>
      </c>
      <c r="B117" s="178" t="s">
        <v>129</v>
      </c>
      <c r="C117" s="178" t="s">
        <v>29</v>
      </c>
      <c r="D117" s="178" t="s">
        <v>29</v>
      </c>
      <c r="E117" s="178" t="s">
        <v>31</v>
      </c>
      <c r="F117" s="14" t="b">
        <f>OR(Transport_Table[[#This Row],[Feedstock]]="All",Transport_Table[[#This Row],[Feedstock]]=SelectedFeedstock)</f>
        <v>0</v>
      </c>
      <c r="G117" s="14" t="b">
        <f>OR(Transport_Table[[#This Row],[Conversion]]="All",Transport_Table[[#This Row],[Conversion]]=SelectedConversion)</f>
        <v>0</v>
      </c>
      <c r="H117" s="14" t="b">
        <f>OR(Transport_Table[[#This Row],[Data Set]]="All",Transport_Table[[#This Row],[Data Set]]=SelectedDataSet)</f>
        <v>1</v>
      </c>
      <c r="I117" s="14" t="b">
        <f>OR(Transport_Table[[#This Row],[Technology]]="All",Transport_Table[[#This Row],[Technology]]=SelectedTechnology)</f>
        <v>1</v>
      </c>
      <c r="J117" s="14" t="b">
        <f>OR(Transport_Table[[#This Row],[Data Source]]="All",Transport_Table[[#This Row],[Data Source]]=SelectedDataSource)</f>
        <v>1</v>
      </c>
      <c r="L117" s="14" t="b">
        <f>AND(Transport_Table[[#This Row],[Show Feedstock]:[Show Data Source]],NOT(Transport_Table[[#This Row],[Hide Column]]))</f>
        <v>0</v>
      </c>
      <c r="M117" s="14" t="s">
        <v>14</v>
      </c>
      <c r="N117" s="14" t="s">
        <v>1210</v>
      </c>
      <c r="O117" s="14" t="s">
        <v>1292</v>
      </c>
      <c r="P117" s="178" t="s">
        <v>1700</v>
      </c>
      <c r="Q117" s="241" t="s">
        <v>1945</v>
      </c>
      <c r="R117" s="393">
        <v>1</v>
      </c>
      <c r="S117" s="394">
        <v>30</v>
      </c>
      <c r="T117" s="107"/>
    </row>
    <row r="118" spans="1:20" x14ac:dyDescent="0.3">
      <c r="A118" s="190" t="s">
        <v>133</v>
      </c>
      <c r="B118" s="178" t="s">
        <v>129</v>
      </c>
      <c r="C118" s="178" t="s">
        <v>29</v>
      </c>
      <c r="D118" s="178" t="s">
        <v>29</v>
      </c>
      <c r="E118" s="178" t="s">
        <v>31</v>
      </c>
      <c r="F118" s="14" t="b">
        <f>OR(Transport_Table[[#This Row],[Feedstock]]="All",Transport_Table[[#This Row],[Feedstock]]=SelectedFeedstock)</f>
        <v>0</v>
      </c>
      <c r="G118" s="14" t="b">
        <f>OR(Transport_Table[[#This Row],[Conversion]]="All",Transport_Table[[#This Row],[Conversion]]=SelectedConversion)</f>
        <v>0</v>
      </c>
      <c r="H118" s="14" t="b">
        <f>OR(Transport_Table[[#This Row],[Data Set]]="All",Transport_Table[[#This Row],[Data Set]]=SelectedDataSet)</f>
        <v>1</v>
      </c>
      <c r="I118" s="14" t="b">
        <f>OR(Transport_Table[[#This Row],[Technology]]="All",Transport_Table[[#This Row],[Technology]]=SelectedTechnology)</f>
        <v>1</v>
      </c>
      <c r="J118" s="14" t="b">
        <f>OR(Transport_Table[[#This Row],[Data Source]]="All",Transport_Table[[#This Row],[Data Source]]=SelectedDataSource)</f>
        <v>1</v>
      </c>
      <c r="K118" s="14" t="b">
        <v>1</v>
      </c>
      <c r="L118" s="14" t="b">
        <f>AND(Transport_Table[[#This Row],[Show Feedstock]:[Show Data Source]],NOT(Transport_Table[[#This Row],[Hide Column]]))</f>
        <v>0</v>
      </c>
      <c r="M118" s="14" t="s">
        <v>14</v>
      </c>
      <c r="N118" s="14" t="s">
        <v>1212</v>
      </c>
      <c r="O118" s="14" t="s">
        <v>1294</v>
      </c>
      <c r="P118" s="178" t="s">
        <v>133</v>
      </c>
      <c r="Q118" s="241" t="s">
        <v>1946</v>
      </c>
      <c r="R118" s="393">
        <v>1</v>
      </c>
      <c r="S118" s="394">
        <v>53.30846677660368</v>
      </c>
      <c r="T118" s="107"/>
    </row>
    <row r="119" spans="1:20" x14ac:dyDescent="0.3">
      <c r="A119" s="190" t="s">
        <v>133</v>
      </c>
      <c r="B119" s="178" t="s">
        <v>129</v>
      </c>
      <c r="C119" s="178" t="s">
        <v>29</v>
      </c>
      <c r="D119" s="178" t="s">
        <v>29</v>
      </c>
      <c r="E119" s="178" t="s">
        <v>31</v>
      </c>
      <c r="F119" s="14" t="b">
        <f>OR(Transport_Table[[#This Row],[Feedstock]]="All",Transport_Table[[#This Row],[Feedstock]]=SelectedFeedstock)</f>
        <v>0</v>
      </c>
      <c r="G119" s="14" t="b">
        <f>OR(Transport_Table[[#This Row],[Conversion]]="All",Transport_Table[[#This Row],[Conversion]]=SelectedConversion)</f>
        <v>0</v>
      </c>
      <c r="H119" s="14" t="b">
        <f>OR(Transport_Table[[#This Row],[Data Set]]="All",Transport_Table[[#This Row],[Data Set]]=SelectedDataSet)</f>
        <v>1</v>
      </c>
      <c r="I119" s="14" t="b">
        <f>OR(Transport_Table[[#This Row],[Technology]]="All",Transport_Table[[#This Row],[Technology]]=SelectedTechnology)</f>
        <v>1</v>
      </c>
      <c r="J119" s="14" t="b">
        <f>OR(Transport_Table[[#This Row],[Data Source]]="All",Transport_Table[[#This Row],[Data Source]]=SelectedDataSource)</f>
        <v>1</v>
      </c>
      <c r="L119" s="14" t="b">
        <f>AND(Transport_Table[[#This Row],[Show Feedstock]:[Show Data Source]],NOT(Transport_Table[[#This Row],[Hide Column]]))</f>
        <v>0</v>
      </c>
      <c r="M119" s="14" t="s">
        <v>14</v>
      </c>
      <c r="N119" s="14" t="s">
        <v>1207</v>
      </c>
      <c r="O119" s="14" t="s">
        <v>1289</v>
      </c>
      <c r="P119" s="178" t="s">
        <v>1700</v>
      </c>
      <c r="Q119" s="241" t="s">
        <v>1943</v>
      </c>
      <c r="R119" s="393">
        <v>0.33</v>
      </c>
      <c r="S119" s="394">
        <v>520</v>
      </c>
      <c r="T119" s="107"/>
    </row>
    <row r="120" spans="1:20" x14ac:dyDescent="0.3">
      <c r="A120" s="190" t="s">
        <v>133</v>
      </c>
      <c r="B120" s="178" t="s">
        <v>129</v>
      </c>
      <c r="C120" s="178" t="s">
        <v>29</v>
      </c>
      <c r="D120" s="178" t="s">
        <v>29</v>
      </c>
      <c r="E120" s="178" t="s">
        <v>31</v>
      </c>
      <c r="F120" s="14" t="b">
        <f>OR(Transport_Table[[#This Row],[Feedstock]]="All",Transport_Table[[#This Row],[Feedstock]]=SelectedFeedstock)</f>
        <v>0</v>
      </c>
      <c r="G120" s="14" t="b">
        <f>OR(Transport_Table[[#This Row],[Conversion]]="All",Transport_Table[[#This Row],[Conversion]]=SelectedConversion)</f>
        <v>0</v>
      </c>
      <c r="H120" s="14" t="b">
        <f>OR(Transport_Table[[#This Row],[Data Set]]="All",Transport_Table[[#This Row],[Data Set]]=SelectedDataSet)</f>
        <v>1</v>
      </c>
      <c r="I120" s="14" t="b">
        <f>OR(Transport_Table[[#This Row],[Technology]]="All",Transport_Table[[#This Row],[Technology]]=SelectedTechnology)</f>
        <v>1</v>
      </c>
      <c r="J120" s="14" t="b">
        <f>OR(Transport_Table[[#This Row],[Data Source]]="All",Transport_Table[[#This Row],[Data Source]]=SelectedDataSource)</f>
        <v>1</v>
      </c>
      <c r="L120" s="14" t="b">
        <f>AND(Transport_Table[[#This Row],[Show Feedstock]:[Show Data Source]],NOT(Transport_Table[[#This Row],[Hide Column]]))</f>
        <v>0</v>
      </c>
      <c r="M120" s="14" t="s">
        <v>14</v>
      </c>
      <c r="N120" s="14" t="s">
        <v>1208</v>
      </c>
      <c r="O120" s="14" t="s">
        <v>1290</v>
      </c>
      <c r="P120" s="178" t="s">
        <v>1700</v>
      </c>
      <c r="Q120" s="241" t="s">
        <v>1944</v>
      </c>
      <c r="R120" s="393">
        <v>0.6</v>
      </c>
      <c r="S120" s="394">
        <v>400</v>
      </c>
      <c r="T120" s="107"/>
    </row>
    <row r="121" spans="1:20" x14ac:dyDescent="0.3">
      <c r="A121" s="190" t="s">
        <v>133</v>
      </c>
      <c r="B121" s="178" t="s">
        <v>129</v>
      </c>
      <c r="C121" s="178" t="s">
        <v>29</v>
      </c>
      <c r="D121" s="178" t="s">
        <v>29</v>
      </c>
      <c r="E121" s="178" t="s">
        <v>31</v>
      </c>
      <c r="F121" s="14" t="b">
        <f>OR(Transport_Table[[#This Row],[Feedstock]]="All",Transport_Table[[#This Row],[Feedstock]]=SelectedFeedstock)</f>
        <v>0</v>
      </c>
      <c r="G121" s="14" t="b">
        <f>OR(Transport_Table[[#This Row],[Conversion]]="All",Transport_Table[[#This Row],[Conversion]]=SelectedConversion)</f>
        <v>0</v>
      </c>
      <c r="H121" s="14" t="b">
        <f>OR(Transport_Table[[#This Row],[Data Set]]="All",Transport_Table[[#This Row],[Data Set]]=SelectedDataSet)</f>
        <v>1</v>
      </c>
      <c r="I121" s="14" t="b">
        <f>OR(Transport_Table[[#This Row],[Technology]]="All",Transport_Table[[#This Row],[Technology]]=SelectedTechnology)</f>
        <v>1</v>
      </c>
      <c r="J121" s="14" t="b">
        <f>OR(Transport_Table[[#This Row],[Data Source]]="All",Transport_Table[[#This Row],[Data Source]]=SelectedDataSource)</f>
        <v>1</v>
      </c>
      <c r="L121" s="14" t="b">
        <f>AND(Transport_Table[[#This Row],[Show Feedstock]:[Show Data Source]],NOT(Transport_Table[[#This Row],[Hide Column]]))</f>
        <v>0</v>
      </c>
      <c r="M121" s="14" t="s">
        <v>14</v>
      </c>
      <c r="N121" s="14" t="s">
        <v>1209</v>
      </c>
      <c r="O121" s="14" t="s">
        <v>1291</v>
      </c>
      <c r="P121" s="178" t="s">
        <v>1700</v>
      </c>
      <c r="Q121" s="241" t="s">
        <v>1945</v>
      </c>
      <c r="R121" s="393">
        <v>6.9999999999999951E-2</v>
      </c>
      <c r="S121" s="394">
        <v>800</v>
      </c>
      <c r="T121" s="107"/>
    </row>
    <row r="122" spans="1:20" x14ac:dyDescent="0.3">
      <c r="A122" s="190" t="s">
        <v>133</v>
      </c>
      <c r="B122" s="178" t="s">
        <v>129</v>
      </c>
      <c r="C122" s="178" t="s">
        <v>29</v>
      </c>
      <c r="D122" s="178" t="s">
        <v>29</v>
      </c>
      <c r="E122" s="178" t="s">
        <v>31</v>
      </c>
      <c r="F122" s="14" t="b">
        <f>OR(Transport_Table[[#This Row],[Feedstock]]="All",Transport_Table[[#This Row],[Feedstock]]=SelectedFeedstock)</f>
        <v>0</v>
      </c>
      <c r="G122" s="14" t="b">
        <f>OR(Transport_Table[[#This Row],[Conversion]]="All",Transport_Table[[#This Row],[Conversion]]=SelectedConversion)</f>
        <v>0</v>
      </c>
      <c r="H122" s="14" t="b">
        <f>OR(Transport_Table[[#This Row],[Data Set]]="All",Transport_Table[[#This Row],[Data Set]]=SelectedDataSet)</f>
        <v>1</v>
      </c>
      <c r="I122" s="14" t="b">
        <f>OR(Transport_Table[[#This Row],[Technology]]="All",Transport_Table[[#This Row],[Technology]]=SelectedTechnology)</f>
        <v>1</v>
      </c>
      <c r="J122" s="14" t="b">
        <f>OR(Transport_Table[[#This Row],[Data Source]]="All",Transport_Table[[#This Row],[Data Source]]=SelectedDataSource)</f>
        <v>1</v>
      </c>
      <c r="L122" s="14" t="b">
        <f>AND(Transport_Table[[#This Row],[Show Feedstock]:[Show Data Source]],NOT(Transport_Table[[#This Row],[Hide Column]]))</f>
        <v>0</v>
      </c>
      <c r="M122" s="14" t="s">
        <v>14</v>
      </c>
      <c r="N122" s="14" t="s">
        <v>1210</v>
      </c>
      <c r="O122" s="14" t="s">
        <v>1292</v>
      </c>
      <c r="P122" s="178" t="s">
        <v>1700</v>
      </c>
      <c r="Q122" s="241" t="s">
        <v>1948</v>
      </c>
      <c r="R122" s="393">
        <v>1</v>
      </c>
      <c r="S122" s="394">
        <v>30</v>
      </c>
      <c r="T122" s="107"/>
    </row>
    <row r="123" spans="1:20" x14ac:dyDescent="0.3">
      <c r="A123" s="190" t="s">
        <v>134</v>
      </c>
      <c r="B123" s="178" t="s">
        <v>129</v>
      </c>
      <c r="C123" s="178" t="s">
        <v>29</v>
      </c>
      <c r="D123" s="178" t="s">
        <v>29</v>
      </c>
      <c r="E123" s="178" t="s">
        <v>31</v>
      </c>
      <c r="F123" s="14" t="b">
        <f>OR(Transport_Table[[#This Row],[Feedstock]]="All",Transport_Table[[#This Row],[Feedstock]]=SelectedFeedstock)</f>
        <v>0</v>
      </c>
      <c r="G123" s="14" t="b">
        <f>OR(Transport_Table[[#This Row],[Conversion]]="All",Transport_Table[[#This Row],[Conversion]]=SelectedConversion)</f>
        <v>0</v>
      </c>
      <c r="H123" s="14" t="b">
        <f>OR(Transport_Table[[#This Row],[Data Set]]="All",Transport_Table[[#This Row],[Data Set]]=SelectedDataSet)</f>
        <v>1</v>
      </c>
      <c r="I123" s="14" t="b">
        <f>OR(Transport_Table[[#This Row],[Technology]]="All",Transport_Table[[#This Row],[Technology]]=SelectedTechnology)</f>
        <v>1</v>
      </c>
      <c r="J123" s="14" t="b">
        <f>OR(Transport_Table[[#This Row],[Data Source]]="All",Transport_Table[[#This Row],[Data Source]]=SelectedDataSource)</f>
        <v>1</v>
      </c>
      <c r="K123" s="14" t="b">
        <v>1</v>
      </c>
      <c r="L123" s="14" t="b">
        <f>AND(Transport_Table[[#This Row],[Show Feedstock]:[Show Data Source]],NOT(Transport_Table[[#This Row],[Hide Column]]))</f>
        <v>0</v>
      </c>
      <c r="M123" s="14" t="s">
        <v>14</v>
      </c>
      <c r="N123" s="14" t="s">
        <v>1213</v>
      </c>
      <c r="O123" s="14" t="s">
        <v>1295</v>
      </c>
      <c r="P123" s="178" t="s">
        <v>134</v>
      </c>
      <c r="Q123" s="241" t="s">
        <v>1943</v>
      </c>
      <c r="R123" s="393">
        <v>1</v>
      </c>
      <c r="S123" s="394">
        <v>37.315926743622576</v>
      </c>
      <c r="T123" s="107"/>
    </row>
    <row r="124" spans="1:20" x14ac:dyDescent="0.3">
      <c r="A124" s="190" t="s">
        <v>134</v>
      </c>
      <c r="B124" s="178" t="s">
        <v>129</v>
      </c>
      <c r="C124" s="178" t="s">
        <v>29</v>
      </c>
      <c r="D124" s="178" t="s">
        <v>29</v>
      </c>
      <c r="E124" s="178" t="s">
        <v>31</v>
      </c>
      <c r="F124" s="14" t="b">
        <f>OR(Transport_Table[[#This Row],[Feedstock]]="All",Transport_Table[[#This Row],[Feedstock]]=SelectedFeedstock)</f>
        <v>0</v>
      </c>
      <c r="G124" s="14" t="b">
        <f>OR(Transport_Table[[#This Row],[Conversion]]="All",Transport_Table[[#This Row],[Conversion]]=SelectedConversion)</f>
        <v>0</v>
      </c>
      <c r="H124" s="14" t="b">
        <f>OR(Transport_Table[[#This Row],[Data Set]]="All",Transport_Table[[#This Row],[Data Set]]=SelectedDataSet)</f>
        <v>1</v>
      </c>
      <c r="I124" s="14" t="b">
        <f>OR(Transport_Table[[#This Row],[Technology]]="All",Transport_Table[[#This Row],[Technology]]=SelectedTechnology)</f>
        <v>1</v>
      </c>
      <c r="J124" s="14" t="b">
        <f>OR(Transport_Table[[#This Row],[Data Source]]="All",Transport_Table[[#This Row],[Data Source]]=SelectedDataSource)</f>
        <v>1</v>
      </c>
      <c r="L124" s="14" t="b">
        <f>AND(Transport_Table[[#This Row],[Show Feedstock]:[Show Data Source]],NOT(Transport_Table[[#This Row],[Hide Column]]))</f>
        <v>0</v>
      </c>
      <c r="M124" s="14" t="s">
        <v>14</v>
      </c>
      <c r="N124" s="14" t="s">
        <v>1207</v>
      </c>
      <c r="O124" s="14" t="s">
        <v>1289</v>
      </c>
      <c r="P124" s="178" t="s">
        <v>1700</v>
      </c>
      <c r="Q124" s="241" t="s">
        <v>1944</v>
      </c>
      <c r="R124" s="393">
        <v>0.33</v>
      </c>
      <c r="S124" s="394">
        <v>520</v>
      </c>
      <c r="T124" s="107"/>
    </row>
    <row r="125" spans="1:20" x14ac:dyDescent="0.3">
      <c r="A125" s="190" t="s">
        <v>134</v>
      </c>
      <c r="B125" s="178" t="s">
        <v>129</v>
      </c>
      <c r="C125" s="178" t="s">
        <v>29</v>
      </c>
      <c r="D125" s="178" t="s">
        <v>29</v>
      </c>
      <c r="E125" s="178" t="s">
        <v>31</v>
      </c>
      <c r="F125" s="14" t="b">
        <f>OR(Transport_Table[[#This Row],[Feedstock]]="All",Transport_Table[[#This Row],[Feedstock]]=SelectedFeedstock)</f>
        <v>0</v>
      </c>
      <c r="G125" s="14" t="b">
        <f>OR(Transport_Table[[#This Row],[Conversion]]="All",Transport_Table[[#This Row],[Conversion]]=SelectedConversion)</f>
        <v>0</v>
      </c>
      <c r="H125" s="14" t="b">
        <f>OR(Transport_Table[[#This Row],[Data Set]]="All",Transport_Table[[#This Row],[Data Set]]=SelectedDataSet)</f>
        <v>1</v>
      </c>
      <c r="I125" s="14" t="b">
        <f>OR(Transport_Table[[#This Row],[Technology]]="All",Transport_Table[[#This Row],[Technology]]=SelectedTechnology)</f>
        <v>1</v>
      </c>
      <c r="J125" s="14" t="b">
        <f>OR(Transport_Table[[#This Row],[Data Source]]="All",Transport_Table[[#This Row],[Data Source]]=SelectedDataSource)</f>
        <v>1</v>
      </c>
      <c r="L125" s="14" t="b">
        <f>AND(Transport_Table[[#This Row],[Show Feedstock]:[Show Data Source]],NOT(Transport_Table[[#This Row],[Hide Column]]))</f>
        <v>0</v>
      </c>
      <c r="M125" s="14" t="s">
        <v>14</v>
      </c>
      <c r="N125" s="14" t="s">
        <v>1208</v>
      </c>
      <c r="O125" s="14" t="s">
        <v>1290</v>
      </c>
      <c r="P125" s="178" t="s">
        <v>1700</v>
      </c>
      <c r="Q125" s="241" t="s">
        <v>1945</v>
      </c>
      <c r="R125" s="393">
        <v>0.6</v>
      </c>
      <c r="S125" s="394">
        <v>400</v>
      </c>
      <c r="T125" s="107"/>
    </row>
    <row r="126" spans="1:20" x14ac:dyDescent="0.3">
      <c r="A126" s="190" t="s">
        <v>134</v>
      </c>
      <c r="B126" s="178" t="s">
        <v>129</v>
      </c>
      <c r="C126" s="178" t="s">
        <v>29</v>
      </c>
      <c r="D126" s="178" t="s">
        <v>29</v>
      </c>
      <c r="E126" s="178" t="s">
        <v>31</v>
      </c>
      <c r="F126" s="14" t="b">
        <f>OR(Transport_Table[[#This Row],[Feedstock]]="All",Transport_Table[[#This Row],[Feedstock]]=SelectedFeedstock)</f>
        <v>0</v>
      </c>
      <c r="G126" s="14" t="b">
        <f>OR(Transport_Table[[#This Row],[Conversion]]="All",Transport_Table[[#This Row],[Conversion]]=SelectedConversion)</f>
        <v>0</v>
      </c>
      <c r="H126" s="14" t="b">
        <f>OR(Transport_Table[[#This Row],[Data Set]]="All",Transport_Table[[#This Row],[Data Set]]=SelectedDataSet)</f>
        <v>1</v>
      </c>
      <c r="I126" s="14" t="b">
        <f>OR(Transport_Table[[#This Row],[Technology]]="All",Transport_Table[[#This Row],[Technology]]=SelectedTechnology)</f>
        <v>1</v>
      </c>
      <c r="J126" s="14" t="b">
        <f>OR(Transport_Table[[#This Row],[Data Source]]="All",Transport_Table[[#This Row],[Data Source]]=SelectedDataSource)</f>
        <v>1</v>
      </c>
      <c r="L126" s="14" t="b">
        <f>AND(Transport_Table[[#This Row],[Show Feedstock]:[Show Data Source]],NOT(Transport_Table[[#This Row],[Hide Column]]))</f>
        <v>0</v>
      </c>
      <c r="M126" s="14" t="s">
        <v>14</v>
      </c>
      <c r="N126" s="14" t="s">
        <v>1209</v>
      </c>
      <c r="O126" s="14" t="s">
        <v>1291</v>
      </c>
      <c r="P126" s="178" t="s">
        <v>1700</v>
      </c>
      <c r="Q126" s="241" t="s">
        <v>1946</v>
      </c>
      <c r="R126" s="393">
        <v>6.9999999999999951E-2</v>
      </c>
      <c r="S126" s="394">
        <v>800</v>
      </c>
      <c r="T126" s="107"/>
    </row>
    <row r="127" spans="1:20" x14ac:dyDescent="0.3">
      <c r="A127" s="190" t="s">
        <v>134</v>
      </c>
      <c r="B127" s="178" t="s">
        <v>129</v>
      </c>
      <c r="C127" s="178" t="s">
        <v>29</v>
      </c>
      <c r="D127" s="178" t="s">
        <v>29</v>
      </c>
      <c r="E127" s="178" t="s">
        <v>31</v>
      </c>
      <c r="F127" s="14" t="b">
        <f>OR(Transport_Table[[#This Row],[Feedstock]]="All",Transport_Table[[#This Row],[Feedstock]]=SelectedFeedstock)</f>
        <v>0</v>
      </c>
      <c r="G127" s="14" t="b">
        <f>OR(Transport_Table[[#This Row],[Conversion]]="All",Transport_Table[[#This Row],[Conversion]]=SelectedConversion)</f>
        <v>0</v>
      </c>
      <c r="H127" s="14" t="b">
        <f>OR(Transport_Table[[#This Row],[Data Set]]="All",Transport_Table[[#This Row],[Data Set]]=SelectedDataSet)</f>
        <v>1</v>
      </c>
      <c r="I127" s="14" t="b">
        <f>OR(Transport_Table[[#This Row],[Technology]]="All",Transport_Table[[#This Row],[Technology]]=SelectedTechnology)</f>
        <v>1</v>
      </c>
      <c r="J127" s="14" t="b">
        <f>OR(Transport_Table[[#This Row],[Data Source]]="All",Transport_Table[[#This Row],[Data Source]]=SelectedDataSource)</f>
        <v>1</v>
      </c>
      <c r="L127" s="14" t="b">
        <f>AND(Transport_Table[[#This Row],[Show Feedstock]:[Show Data Source]],NOT(Transport_Table[[#This Row],[Hide Column]]))</f>
        <v>0</v>
      </c>
      <c r="M127" s="14" t="s">
        <v>14</v>
      </c>
      <c r="N127" s="14" t="s">
        <v>1210</v>
      </c>
      <c r="O127" s="14" t="s">
        <v>1292</v>
      </c>
      <c r="P127" s="178" t="s">
        <v>1700</v>
      </c>
      <c r="Q127" s="241" t="s">
        <v>1943</v>
      </c>
      <c r="R127" s="393">
        <v>1</v>
      </c>
      <c r="S127" s="394">
        <v>30</v>
      </c>
      <c r="T127" s="107"/>
    </row>
    <row r="128" spans="1:20" x14ac:dyDescent="0.3">
      <c r="A128" s="190" t="s">
        <v>135</v>
      </c>
      <c r="B128" s="178" t="s">
        <v>129</v>
      </c>
      <c r="C128" s="178" t="s">
        <v>29</v>
      </c>
      <c r="D128" s="178" t="s">
        <v>29</v>
      </c>
      <c r="E128" s="178" t="s">
        <v>31</v>
      </c>
      <c r="F128" s="14" t="b">
        <f>OR(Transport_Table[[#This Row],[Feedstock]]="All",Transport_Table[[#This Row],[Feedstock]]=SelectedFeedstock)</f>
        <v>0</v>
      </c>
      <c r="G128" s="14" t="b">
        <f>OR(Transport_Table[[#This Row],[Conversion]]="All",Transport_Table[[#This Row],[Conversion]]=SelectedConversion)</f>
        <v>0</v>
      </c>
      <c r="H128" s="14" t="b">
        <f>OR(Transport_Table[[#This Row],[Data Set]]="All",Transport_Table[[#This Row],[Data Set]]=SelectedDataSet)</f>
        <v>1</v>
      </c>
      <c r="I128" s="14" t="b">
        <f>OR(Transport_Table[[#This Row],[Technology]]="All",Transport_Table[[#This Row],[Technology]]=SelectedTechnology)</f>
        <v>1</v>
      </c>
      <c r="J128" s="14" t="b">
        <f>OR(Transport_Table[[#This Row],[Data Source]]="All",Transport_Table[[#This Row],[Data Source]]=SelectedDataSource)</f>
        <v>1</v>
      </c>
      <c r="K128" s="14" t="b">
        <v>1</v>
      </c>
      <c r="L128" s="14" t="b">
        <f>AND(Transport_Table[[#This Row],[Show Feedstock]:[Show Data Source]],NOT(Transport_Table[[#This Row],[Hide Column]]))</f>
        <v>0</v>
      </c>
      <c r="M128" s="14" t="s">
        <v>147</v>
      </c>
      <c r="N128" s="14" t="s">
        <v>1214</v>
      </c>
      <c r="O128" s="14" t="s">
        <v>1296</v>
      </c>
      <c r="P128" s="178" t="s">
        <v>135</v>
      </c>
      <c r="Q128" s="241" t="s">
        <v>1944</v>
      </c>
      <c r="R128" s="393">
        <v>1</v>
      </c>
      <c r="S128" s="394">
        <v>53.30846677660368</v>
      </c>
      <c r="T128" s="107"/>
    </row>
    <row r="129" spans="1:20" x14ac:dyDescent="0.3">
      <c r="A129" s="190" t="s">
        <v>135</v>
      </c>
      <c r="B129" s="178" t="s">
        <v>129</v>
      </c>
      <c r="C129" s="178" t="s">
        <v>29</v>
      </c>
      <c r="D129" s="178" t="s">
        <v>29</v>
      </c>
      <c r="E129" s="178" t="s">
        <v>31</v>
      </c>
      <c r="F129" s="14" t="b">
        <f>OR(Transport_Table[[#This Row],[Feedstock]]="All",Transport_Table[[#This Row],[Feedstock]]=SelectedFeedstock)</f>
        <v>0</v>
      </c>
      <c r="G129" s="14" t="b">
        <f>OR(Transport_Table[[#This Row],[Conversion]]="All",Transport_Table[[#This Row],[Conversion]]=SelectedConversion)</f>
        <v>0</v>
      </c>
      <c r="H129" s="14" t="b">
        <f>OR(Transport_Table[[#This Row],[Data Set]]="All",Transport_Table[[#This Row],[Data Set]]=SelectedDataSet)</f>
        <v>1</v>
      </c>
      <c r="I129" s="14" t="b">
        <f>OR(Transport_Table[[#This Row],[Technology]]="All",Transport_Table[[#This Row],[Technology]]=SelectedTechnology)</f>
        <v>1</v>
      </c>
      <c r="J129" s="14" t="b">
        <f>OR(Transport_Table[[#This Row],[Data Source]]="All",Transport_Table[[#This Row],[Data Source]]=SelectedDataSource)</f>
        <v>1</v>
      </c>
      <c r="L129" s="14" t="b">
        <f>AND(Transport_Table[[#This Row],[Show Feedstock]:[Show Data Source]],NOT(Transport_Table[[#This Row],[Hide Column]]))</f>
        <v>0</v>
      </c>
      <c r="M129" s="14" t="s">
        <v>147</v>
      </c>
      <c r="N129" s="14" t="s">
        <v>1207</v>
      </c>
      <c r="O129" s="14" t="s">
        <v>1289</v>
      </c>
      <c r="P129" s="178" t="s">
        <v>1700</v>
      </c>
      <c r="Q129" s="241" t="s">
        <v>1945</v>
      </c>
      <c r="R129" s="393">
        <v>0.33</v>
      </c>
      <c r="S129" s="394">
        <v>520</v>
      </c>
      <c r="T129" s="107"/>
    </row>
    <row r="130" spans="1:20" x14ac:dyDescent="0.3">
      <c r="A130" s="190" t="s">
        <v>135</v>
      </c>
      <c r="B130" s="178" t="s">
        <v>129</v>
      </c>
      <c r="C130" s="178" t="s">
        <v>29</v>
      </c>
      <c r="D130" s="178" t="s">
        <v>29</v>
      </c>
      <c r="E130" s="178" t="s">
        <v>31</v>
      </c>
      <c r="F130" s="14" t="b">
        <f>OR(Transport_Table[[#This Row],[Feedstock]]="All",Transport_Table[[#This Row],[Feedstock]]=SelectedFeedstock)</f>
        <v>0</v>
      </c>
      <c r="G130" s="14" t="b">
        <f>OR(Transport_Table[[#This Row],[Conversion]]="All",Transport_Table[[#This Row],[Conversion]]=SelectedConversion)</f>
        <v>0</v>
      </c>
      <c r="H130" s="14" t="b">
        <f>OR(Transport_Table[[#This Row],[Data Set]]="All",Transport_Table[[#This Row],[Data Set]]=SelectedDataSet)</f>
        <v>1</v>
      </c>
      <c r="I130" s="14" t="b">
        <f>OR(Transport_Table[[#This Row],[Technology]]="All",Transport_Table[[#This Row],[Technology]]=SelectedTechnology)</f>
        <v>1</v>
      </c>
      <c r="J130" s="14" t="b">
        <f>OR(Transport_Table[[#This Row],[Data Source]]="All",Transport_Table[[#This Row],[Data Source]]=SelectedDataSource)</f>
        <v>1</v>
      </c>
      <c r="L130" s="14" t="b">
        <f>AND(Transport_Table[[#This Row],[Show Feedstock]:[Show Data Source]],NOT(Transport_Table[[#This Row],[Hide Column]]))</f>
        <v>0</v>
      </c>
      <c r="M130" s="14" t="s">
        <v>147</v>
      </c>
      <c r="N130" s="14" t="s">
        <v>1208</v>
      </c>
      <c r="O130" s="14" t="s">
        <v>1290</v>
      </c>
      <c r="P130" s="178" t="s">
        <v>1700</v>
      </c>
      <c r="Q130" s="241" t="s">
        <v>1946</v>
      </c>
      <c r="R130" s="393">
        <v>0.6</v>
      </c>
      <c r="S130" s="394">
        <v>400</v>
      </c>
      <c r="T130" s="107"/>
    </row>
    <row r="131" spans="1:20" x14ac:dyDescent="0.3">
      <c r="A131" s="190" t="s">
        <v>135</v>
      </c>
      <c r="B131" s="178" t="s">
        <v>129</v>
      </c>
      <c r="C131" s="178" t="s">
        <v>29</v>
      </c>
      <c r="D131" s="178" t="s">
        <v>29</v>
      </c>
      <c r="E131" s="178" t="s">
        <v>31</v>
      </c>
      <c r="F131" s="14" t="b">
        <f>OR(Transport_Table[[#This Row],[Feedstock]]="All",Transport_Table[[#This Row],[Feedstock]]=SelectedFeedstock)</f>
        <v>0</v>
      </c>
      <c r="G131" s="14" t="b">
        <f>OR(Transport_Table[[#This Row],[Conversion]]="All",Transport_Table[[#This Row],[Conversion]]=SelectedConversion)</f>
        <v>0</v>
      </c>
      <c r="H131" s="14" t="b">
        <f>OR(Transport_Table[[#This Row],[Data Set]]="All",Transport_Table[[#This Row],[Data Set]]=SelectedDataSet)</f>
        <v>1</v>
      </c>
      <c r="I131" s="14" t="b">
        <f>OR(Transport_Table[[#This Row],[Technology]]="All",Transport_Table[[#This Row],[Technology]]=SelectedTechnology)</f>
        <v>1</v>
      </c>
      <c r="J131" s="14" t="b">
        <f>OR(Transport_Table[[#This Row],[Data Source]]="All",Transport_Table[[#This Row],[Data Source]]=SelectedDataSource)</f>
        <v>1</v>
      </c>
      <c r="L131" s="14" t="b">
        <f>AND(Transport_Table[[#This Row],[Show Feedstock]:[Show Data Source]],NOT(Transport_Table[[#This Row],[Hide Column]]))</f>
        <v>0</v>
      </c>
      <c r="M131" s="14" t="s">
        <v>147</v>
      </c>
      <c r="N131" s="14" t="s">
        <v>1209</v>
      </c>
      <c r="O131" s="14" t="s">
        <v>1291</v>
      </c>
      <c r="P131" s="178" t="s">
        <v>1700</v>
      </c>
      <c r="Q131" s="241" t="s">
        <v>1943</v>
      </c>
      <c r="R131" s="393">
        <v>6.9999999999999951E-2</v>
      </c>
      <c r="S131" s="394">
        <v>800</v>
      </c>
      <c r="T131" s="107"/>
    </row>
    <row r="132" spans="1:20" x14ac:dyDescent="0.3">
      <c r="A132" s="190" t="s">
        <v>135</v>
      </c>
      <c r="B132" s="178" t="s">
        <v>129</v>
      </c>
      <c r="C132" s="178" t="s">
        <v>29</v>
      </c>
      <c r="D132" s="178" t="s">
        <v>29</v>
      </c>
      <c r="E132" s="178" t="s">
        <v>31</v>
      </c>
      <c r="F132" s="14" t="b">
        <f>OR(Transport_Table[[#This Row],[Feedstock]]="All",Transport_Table[[#This Row],[Feedstock]]=SelectedFeedstock)</f>
        <v>0</v>
      </c>
      <c r="G132" s="14" t="b">
        <f>OR(Transport_Table[[#This Row],[Conversion]]="All",Transport_Table[[#This Row],[Conversion]]=SelectedConversion)</f>
        <v>0</v>
      </c>
      <c r="H132" s="14" t="b">
        <f>OR(Transport_Table[[#This Row],[Data Set]]="All",Transport_Table[[#This Row],[Data Set]]=SelectedDataSet)</f>
        <v>1</v>
      </c>
      <c r="I132" s="14" t="b">
        <f>OR(Transport_Table[[#This Row],[Technology]]="All",Transport_Table[[#This Row],[Technology]]=SelectedTechnology)</f>
        <v>1</v>
      </c>
      <c r="J132" s="14" t="b">
        <f>OR(Transport_Table[[#This Row],[Data Source]]="All",Transport_Table[[#This Row],[Data Source]]=SelectedDataSource)</f>
        <v>1</v>
      </c>
      <c r="L132" s="14" t="b">
        <f>AND(Transport_Table[[#This Row],[Show Feedstock]:[Show Data Source]],NOT(Transport_Table[[#This Row],[Hide Column]]))</f>
        <v>0</v>
      </c>
      <c r="M132" s="14" t="s">
        <v>147</v>
      </c>
      <c r="N132" s="14" t="s">
        <v>1210</v>
      </c>
      <c r="O132" s="14" t="s">
        <v>1292</v>
      </c>
      <c r="P132" s="178" t="s">
        <v>1700</v>
      </c>
      <c r="Q132" s="241" t="s">
        <v>1944</v>
      </c>
      <c r="R132" s="393">
        <v>1</v>
      </c>
      <c r="S132" s="394">
        <v>30</v>
      </c>
      <c r="T132" s="107"/>
    </row>
    <row r="133" spans="1:20" x14ac:dyDescent="0.3">
      <c r="A133" s="190" t="s">
        <v>136</v>
      </c>
      <c r="B133" s="178" t="s">
        <v>1964</v>
      </c>
      <c r="C133" s="178" t="s">
        <v>29</v>
      </c>
      <c r="D133" s="178" t="s">
        <v>29</v>
      </c>
      <c r="E133" s="178" t="s">
        <v>911</v>
      </c>
      <c r="F133" s="14" t="b">
        <f>OR(Transport_Table[[#This Row],[Feedstock]]="All",Transport_Table[[#This Row],[Feedstock]]=SelectedFeedstock)</f>
        <v>0</v>
      </c>
      <c r="G133" s="14" t="b">
        <f>OR(Transport_Table[[#This Row],[Conversion]]="All",Transport_Table[[#This Row],[Conversion]]=SelectedConversion)</f>
        <v>0</v>
      </c>
      <c r="H133" s="14" t="b">
        <f>OR(Transport_Table[[#This Row],[Data Set]]="All",Transport_Table[[#This Row],[Data Set]]=SelectedDataSet)</f>
        <v>1</v>
      </c>
      <c r="I133" s="14" t="b">
        <f>OR(Transport_Table[[#This Row],[Technology]]="All",Transport_Table[[#This Row],[Technology]]=SelectedTechnology)</f>
        <v>0</v>
      </c>
      <c r="J133" s="14" t="b">
        <f>OR(Transport_Table[[#This Row],[Data Source]]="All",Transport_Table[[#This Row],[Data Source]]=SelectedDataSource)</f>
        <v>1</v>
      </c>
      <c r="K133" s="14" t="b">
        <v>1</v>
      </c>
      <c r="L133" s="14" t="b">
        <f>AND(Transport_Table[[#This Row],[Show Feedstock]:[Show Data Source]],NOT(Transport_Table[[#This Row],[Hide Column]]))</f>
        <v>0</v>
      </c>
      <c r="M133" s="14" t="s">
        <v>14</v>
      </c>
      <c r="N133" s="14" t="s">
        <v>1215</v>
      </c>
      <c r="O133" s="14" t="s">
        <v>1297</v>
      </c>
      <c r="P133" s="178" t="s">
        <v>136</v>
      </c>
      <c r="Q133" s="241" t="s">
        <v>1945</v>
      </c>
      <c r="R133" s="393">
        <v>0</v>
      </c>
      <c r="S133" s="394">
        <v>0</v>
      </c>
      <c r="T133" s="107"/>
    </row>
    <row r="134" spans="1:20" x14ac:dyDescent="0.3">
      <c r="A134" s="190" t="s">
        <v>136</v>
      </c>
      <c r="B134" s="178" t="s">
        <v>1964</v>
      </c>
      <c r="C134" s="178" t="s">
        <v>29</v>
      </c>
      <c r="D134" s="178" t="s">
        <v>29</v>
      </c>
      <c r="E134" s="178" t="s">
        <v>911</v>
      </c>
      <c r="F134" s="14" t="b">
        <f>OR(Transport_Table[[#This Row],[Feedstock]]="All",Transport_Table[[#This Row],[Feedstock]]=SelectedFeedstock)</f>
        <v>0</v>
      </c>
      <c r="G134" s="14" t="b">
        <f>OR(Transport_Table[[#This Row],[Conversion]]="All",Transport_Table[[#This Row],[Conversion]]=SelectedConversion)</f>
        <v>0</v>
      </c>
      <c r="H134" s="14" t="b">
        <f>OR(Transport_Table[[#This Row],[Data Set]]="All",Transport_Table[[#This Row],[Data Set]]=SelectedDataSet)</f>
        <v>1</v>
      </c>
      <c r="I134" s="14" t="b">
        <f>OR(Transport_Table[[#This Row],[Technology]]="All",Transport_Table[[#This Row],[Technology]]=SelectedTechnology)</f>
        <v>0</v>
      </c>
      <c r="J134" s="14" t="b">
        <f>OR(Transport_Table[[#This Row],[Data Source]]="All",Transport_Table[[#This Row],[Data Source]]=SelectedDataSource)</f>
        <v>1</v>
      </c>
      <c r="K134" s="14" t="b">
        <v>1</v>
      </c>
      <c r="L134" s="14" t="b">
        <f>AND(Transport_Table[[#This Row],[Show Feedstock]:[Show Data Source]],NOT(Transport_Table[[#This Row],[Hide Column]]))</f>
        <v>0</v>
      </c>
      <c r="M134" s="14" t="s">
        <v>14</v>
      </c>
      <c r="N134" s="14" t="s">
        <v>1216</v>
      </c>
      <c r="O134" s="14" t="s">
        <v>1298</v>
      </c>
      <c r="P134" s="178" t="s">
        <v>136</v>
      </c>
      <c r="Q134" s="241" t="s">
        <v>1946</v>
      </c>
      <c r="R134" s="393">
        <v>0</v>
      </c>
      <c r="S134" s="394">
        <v>0</v>
      </c>
      <c r="T134" s="107"/>
    </row>
    <row r="135" spans="1:20" x14ac:dyDescent="0.3">
      <c r="A135" s="190" t="s">
        <v>136</v>
      </c>
      <c r="B135" s="178" t="s">
        <v>1964</v>
      </c>
      <c r="C135" s="178" t="s">
        <v>29</v>
      </c>
      <c r="D135" s="178" t="s">
        <v>29</v>
      </c>
      <c r="E135" s="178" t="s">
        <v>911</v>
      </c>
      <c r="F135" s="14" t="b">
        <f>OR(Transport_Table[[#This Row],[Feedstock]]="All",Transport_Table[[#This Row],[Feedstock]]=SelectedFeedstock)</f>
        <v>0</v>
      </c>
      <c r="G135" s="14" t="b">
        <f>OR(Transport_Table[[#This Row],[Conversion]]="All",Transport_Table[[#This Row],[Conversion]]=SelectedConversion)</f>
        <v>0</v>
      </c>
      <c r="H135" s="14" t="b">
        <f>OR(Transport_Table[[#This Row],[Data Set]]="All",Transport_Table[[#This Row],[Data Set]]=SelectedDataSet)</f>
        <v>1</v>
      </c>
      <c r="I135" s="14" t="b">
        <f>OR(Transport_Table[[#This Row],[Technology]]="All",Transport_Table[[#This Row],[Technology]]=SelectedTechnology)</f>
        <v>0</v>
      </c>
      <c r="J135" s="14" t="b">
        <f>OR(Transport_Table[[#This Row],[Data Source]]="All",Transport_Table[[#This Row],[Data Source]]=SelectedDataSource)</f>
        <v>1</v>
      </c>
      <c r="K135" s="14" t="b">
        <v>1</v>
      </c>
      <c r="L135" s="14" t="b">
        <f>AND(Transport_Table[[#This Row],[Show Feedstock]:[Show Data Source]],NOT(Transport_Table[[#This Row],[Hide Column]]))</f>
        <v>0</v>
      </c>
      <c r="M135" s="14" t="s">
        <v>14</v>
      </c>
      <c r="N135" s="14" t="s">
        <v>1217</v>
      </c>
      <c r="O135" s="14" t="s">
        <v>1299</v>
      </c>
      <c r="P135" s="178" t="s">
        <v>136</v>
      </c>
      <c r="Q135" s="241" t="s">
        <v>1943</v>
      </c>
      <c r="R135" s="393">
        <v>1</v>
      </c>
      <c r="S135" s="394">
        <v>10</v>
      </c>
      <c r="T135" s="107"/>
    </row>
    <row r="136" spans="1:20" x14ac:dyDescent="0.3">
      <c r="A136" s="190" t="s">
        <v>136</v>
      </c>
      <c r="B136" s="178" t="s">
        <v>1964</v>
      </c>
      <c r="C136" s="178" t="s">
        <v>29</v>
      </c>
      <c r="D136" s="178" t="s">
        <v>29</v>
      </c>
      <c r="E136" s="178" t="s">
        <v>911</v>
      </c>
      <c r="F136" s="14" t="b">
        <f>OR(Transport_Table[[#This Row],[Feedstock]]="All",Transport_Table[[#This Row],[Feedstock]]=SelectedFeedstock)</f>
        <v>0</v>
      </c>
      <c r="G136" s="14" t="b">
        <f>OR(Transport_Table[[#This Row],[Conversion]]="All",Transport_Table[[#This Row],[Conversion]]=SelectedConversion)</f>
        <v>0</v>
      </c>
      <c r="H136" s="14" t="b">
        <f>OR(Transport_Table[[#This Row],[Data Set]]="All",Transport_Table[[#This Row],[Data Set]]=SelectedDataSet)</f>
        <v>1</v>
      </c>
      <c r="I136" s="14" t="b">
        <f>OR(Transport_Table[[#This Row],[Technology]]="All",Transport_Table[[#This Row],[Technology]]=SelectedTechnology)</f>
        <v>0</v>
      </c>
      <c r="J136" s="14" t="b">
        <f>OR(Transport_Table[[#This Row],[Data Source]]="All",Transport_Table[[#This Row],[Data Source]]=SelectedDataSource)</f>
        <v>1</v>
      </c>
      <c r="K136" s="14" t="b">
        <v>1</v>
      </c>
      <c r="L136" s="14" t="b">
        <f>AND(Transport_Table[[#This Row],[Show Feedstock]:[Show Data Source]],NOT(Transport_Table[[#This Row],[Hide Column]]))</f>
        <v>0</v>
      </c>
      <c r="M136" s="14" t="s">
        <v>14</v>
      </c>
      <c r="N136" s="14" t="s">
        <v>1218</v>
      </c>
      <c r="O136" s="14" t="s">
        <v>1300</v>
      </c>
      <c r="P136" s="178" t="s">
        <v>136</v>
      </c>
      <c r="Q136" s="241" t="s">
        <v>1944</v>
      </c>
      <c r="R136" s="393">
        <v>1</v>
      </c>
      <c r="S136" s="394">
        <v>40</v>
      </c>
      <c r="T136" s="107"/>
    </row>
    <row r="137" spans="1:20" x14ac:dyDescent="0.3">
      <c r="A137" s="190" t="s">
        <v>136</v>
      </c>
      <c r="B137" s="178" t="s">
        <v>1964</v>
      </c>
      <c r="C137" s="178" t="s">
        <v>29</v>
      </c>
      <c r="D137" s="178" t="s">
        <v>29</v>
      </c>
      <c r="E137" s="178" t="s">
        <v>911</v>
      </c>
      <c r="F137" s="14" t="b">
        <f>OR(Transport_Table[[#This Row],[Feedstock]]="All",Transport_Table[[#This Row],[Feedstock]]=SelectedFeedstock)</f>
        <v>0</v>
      </c>
      <c r="G137" s="14" t="b">
        <f>OR(Transport_Table[[#This Row],[Conversion]]="All",Transport_Table[[#This Row],[Conversion]]=SelectedConversion)</f>
        <v>0</v>
      </c>
      <c r="H137" s="14" t="b">
        <f>OR(Transport_Table[[#This Row],[Data Set]]="All",Transport_Table[[#This Row],[Data Set]]=SelectedDataSet)</f>
        <v>1</v>
      </c>
      <c r="I137" s="14" t="b">
        <f>OR(Transport_Table[[#This Row],[Technology]]="All",Transport_Table[[#This Row],[Technology]]=SelectedTechnology)</f>
        <v>0</v>
      </c>
      <c r="J137" s="14" t="b">
        <f>OR(Transport_Table[[#This Row],[Data Source]]="All",Transport_Table[[#This Row],[Data Source]]=SelectedDataSource)</f>
        <v>1</v>
      </c>
      <c r="L137" s="14" t="b">
        <f>AND(Transport_Table[[#This Row],[Show Feedstock]:[Show Data Source]],NOT(Transport_Table[[#This Row],[Hide Column]]))</f>
        <v>0</v>
      </c>
      <c r="M137" s="14" t="s">
        <v>14</v>
      </c>
      <c r="N137" s="14" t="s">
        <v>1219</v>
      </c>
      <c r="O137" s="14" t="s">
        <v>1301</v>
      </c>
      <c r="P137" s="178" t="s">
        <v>1700</v>
      </c>
      <c r="Q137" s="241" t="s">
        <v>1945</v>
      </c>
      <c r="R137" s="393">
        <v>0.33</v>
      </c>
      <c r="S137" s="394">
        <v>520</v>
      </c>
      <c r="T137" s="107"/>
    </row>
    <row r="138" spans="1:20" x14ac:dyDescent="0.3">
      <c r="A138" s="190" t="s">
        <v>136</v>
      </c>
      <c r="B138" s="178" t="s">
        <v>1964</v>
      </c>
      <c r="C138" s="178" t="s">
        <v>29</v>
      </c>
      <c r="D138" s="178" t="s">
        <v>29</v>
      </c>
      <c r="E138" s="178" t="s">
        <v>911</v>
      </c>
      <c r="F138" s="14" t="b">
        <f>OR(Transport_Table[[#This Row],[Feedstock]]="All",Transport_Table[[#This Row],[Feedstock]]=SelectedFeedstock)</f>
        <v>0</v>
      </c>
      <c r="G138" s="14" t="b">
        <f>OR(Transport_Table[[#This Row],[Conversion]]="All",Transport_Table[[#This Row],[Conversion]]=SelectedConversion)</f>
        <v>0</v>
      </c>
      <c r="H138" s="14" t="b">
        <f>OR(Transport_Table[[#This Row],[Data Set]]="All",Transport_Table[[#This Row],[Data Set]]=SelectedDataSet)</f>
        <v>1</v>
      </c>
      <c r="I138" s="14" t="b">
        <f>OR(Transport_Table[[#This Row],[Technology]]="All",Transport_Table[[#This Row],[Technology]]=SelectedTechnology)</f>
        <v>0</v>
      </c>
      <c r="J138" s="14" t="b">
        <f>OR(Transport_Table[[#This Row],[Data Source]]="All",Transport_Table[[#This Row],[Data Source]]=SelectedDataSource)</f>
        <v>1</v>
      </c>
      <c r="L138" s="14" t="b">
        <f>AND(Transport_Table[[#This Row],[Show Feedstock]:[Show Data Source]],NOT(Transport_Table[[#This Row],[Hide Column]]))</f>
        <v>0</v>
      </c>
      <c r="M138" s="14" t="s">
        <v>14</v>
      </c>
      <c r="N138" s="14" t="s">
        <v>1220</v>
      </c>
      <c r="O138" s="14" t="s">
        <v>1302</v>
      </c>
      <c r="P138" s="178" t="s">
        <v>1700</v>
      </c>
      <c r="Q138" s="241" t="s">
        <v>1946</v>
      </c>
      <c r="R138" s="393">
        <v>0.6</v>
      </c>
      <c r="S138" s="394">
        <v>400</v>
      </c>
      <c r="T138" s="107"/>
    </row>
    <row r="139" spans="1:20" x14ac:dyDescent="0.3">
      <c r="A139" s="190" t="s">
        <v>136</v>
      </c>
      <c r="B139" s="178" t="s">
        <v>1964</v>
      </c>
      <c r="C139" s="178" t="s">
        <v>29</v>
      </c>
      <c r="D139" s="178" t="s">
        <v>29</v>
      </c>
      <c r="E139" s="178" t="s">
        <v>911</v>
      </c>
      <c r="F139" s="14" t="b">
        <f>OR(Transport_Table[[#This Row],[Feedstock]]="All",Transport_Table[[#This Row],[Feedstock]]=SelectedFeedstock)</f>
        <v>0</v>
      </c>
      <c r="G139" s="14" t="b">
        <f>OR(Transport_Table[[#This Row],[Conversion]]="All",Transport_Table[[#This Row],[Conversion]]=SelectedConversion)</f>
        <v>0</v>
      </c>
      <c r="H139" s="14" t="b">
        <f>OR(Transport_Table[[#This Row],[Data Set]]="All",Transport_Table[[#This Row],[Data Set]]=SelectedDataSet)</f>
        <v>1</v>
      </c>
      <c r="I139" s="14" t="b">
        <f>OR(Transport_Table[[#This Row],[Technology]]="All",Transport_Table[[#This Row],[Technology]]=SelectedTechnology)</f>
        <v>0</v>
      </c>
      <c r="J139" s="14" t="b">
        <f>OR(Transport_Table[[#This Row],[Data Source]]="All",Transport_Table[[#This Row],[Data Source]]=SelectedDataSource)</f>
        <v>1</v>
      </c>
      <c r="L139" s="14" t="b">
        <f>AND(Transport_Table[[#This Row],[Show Feedstock]:[Show Data Source]],NOT(Transport_Table[[#This Row],[Hide Column]]))</f>
        <v>0</v>
      </c>
      <c r="M139" s="14" t="s">
        <v>14</v>
      </c>
      <c r="N139" s="14" t="s">
        <v>1221</v>
      </c>
      <c r="O139" s="14" t="s">
        <v>1303</v>
      </c>
      <c r="P139" s="178" t="s">
        <v>1700</v>
      </c>
      <c r="Q139" s="241" t="s">
        <v>1943</v>
      </c>
      <c r="R139" s="393">
        <v>6.9999999999999951E-2</v>
      </c>
      <c r="S139" s="394">
        <v>800</v>
      </c>
      <c r="T139" s="107"/>
    </row>
    <row r="140" spans="1:20" x14ac:dyDescent="0.3">
      <c r="A140" s="190" t="s">
        <v>136</v>
      </c>
      <c r="B140" s="178" t="s">
        <v>1964</v>
      </c>
      <c r="C140" s="178" t="s">
        <v>29</v>
      </c>
      <c r="D140" s="178" t="s">
        <v>29</v>
      </c>
      <c r="E140" s="178" t="s">
        <v>911</v>
      </c>
      <c r="F140" s="14" t="b">
        <f>OR(Transport_Table[[#This Row],[Feedstock]]="All",Transport_Table[[#This Row],[Feedstock]]=SelectedFeedstock)</f>
        <v>0</v>
      </c>
      <c r="G140" s="14" t="b">
        <f>OR(Transport_Table[[#This Row],[Conversion]]="All",Transport_Table[[#This Row],[Conversion]]=SelectedConversion)</f>
        <v>0</v>
      </c>
      <c r="H140" s="14" t="b">
        <f>OR(Transport_Table[[#This Row],[Data Set]]="All",Transport_Table[[#This Row],[Data Set]]=SelectedDataSet)</f>
        <v>1</v>
      </c>
      <c r="I140" s="14" t="b">
        <f>OR(Transport_Table[[#This Row],[Technology]]="All",Transport_Table[[#This Row],[Technology]]=SelectedTechnology)</f>
        <v>0</v>
      </c>
      <c r="J140" s="14" t="b">
        <f>OR(Transport_Table[[#This Row],[Data Source]]="All",Transport_Table[[#This Row],[Data Source]]=SelectedDataSource)</f>
        <v>1</v>
      </c>
      <c r="L140" s="14" t="b">
        <f>AND(Transport_Table[[#This Row],[Show Feedstock]:[Show Data Source]],NOT(Transport_Table[[#This Row],[Hide Column]]))</f>
        <v>0</v>
      </c>
      <c r="M140" s="14" t="s">
        <v>14</v>
      </c>
      <c r="N140" s="14" t="s">
        <v>1222</v>
      </c>
      <c r="O140" s="14" t="s">
        <v>1304</v>
      </c>
      <c r="P140" s="178" t="s">
        <v>1700</v>
      </c>
      <c r="Q140" s="241" t="s">
        <v>1944</v>
      </c>
      <c r="R140" s="393">
        <v>1</v>
      </c>
      <c r="S140" s="394">
        <v>30</v>
      </c>
      <c r="T140" s="107"/>
    </row>
    <row r="141" spans="1:20" x14ac:dyDescent="0.3">
      <c r="A141" s="190" t="s">
        <v>135</v>
      </c>
      <c r="B141" s="178" t="s">
        <v>1964</v>
      </c>
      <c r="C141" s="178" t="s">
        <v>29</v>
      </c>
      <c r="D141" s="178" t="s">
        <v>29</v>
      </c>
      <c r="E141" s="178" t="s">
        <v>911</v>
      </c>
      <c r="F141" s="14" t="b">
        <f>OR(Transport_Table[[#This Row],[Feedstock]]="All",Transport_Table[[#This Row],[Feedstock]]=SelectedFeedstock)</f>
        <v>0</v>
      </c>
      <c r="G141" s="14" t="b">
        <f>OR(Transport_Table[[#This Row],[Conversion]]="All",Transport_Table[[#This Row],[Conversion]]=SelectedConversion)</f>
        <v>0</v>
      </c>
      <c r="H141" s="14" t="b">
        <f>OR(Transport_Table[[#This Row],[Data Set]]="All",Transport_Table[[#This Row],[Data Set]]=SelectedDataSet)</f>
        <v>1</v>
      </c>
      <c r="I141" s="14" t="b">
        <f>OR(Transport_Table[[#This Row],[Technology]]="All",Transport_Table[[#This Row],[Technology]]=SelectedTechnology)</f>
        <v>0</v>
      </c>
      <c r="J141" s="14" t="b">
        <f>OR(Transport_Table[[#This Row],[Data Source]]="All",Transport_Table[[#This Row],[Data Source]]=SelectedDataSource)</f>
        <v>1</v>
      </c>
      <c r="K141" s="14" t="b">
        <v>1</v>
      </c>
      <c r="L141" s="14" t="b">
        <f>AND(Transport_Table[[#This Row],[Show Feedstock]:[Show Data Source]],NOT(Transport_Table[[#This Row],[Hide Column]]))</f>
        <v>0</v>
      </c>
      <c r="M141" s="14" t="s">
        <v>147</v>
      </c>
      <c r="N141" s="14" t="s">
        <v>1214</v>
      </c>
      <c r="O141" s="14" t="s">
        <v>1296</v>
      </c>
      <c r="P141" s="178" t="s">
        <v>135</v>
      </c>
      <c r="Q141" s="241" t="s">
        <v>1945</v>
      </c>
      <c r="R141" s="393">
        <v>1</v>
      </c>
      <c r="S141" s="394">
        <v>53.30846677660368</v>
      </c>
      <c r="T141" s="107"/>
    </row>
    <row r="142" spans="1:20" x14ac:dyDescent="0.3">
      <c r="A142" s="190" t="s">
        <v>135</v>
      </c>
      <c r="B142" s="178" t="s">
        <v>1964</v>
      </c>
      <c r="C142" s="178" t="s">
        <v>29</v>
      </c>
      <c r="D142" s="178" t="s">
        <v>29</v>
      </c>
      <c r="E142" s="178" t="s">
        <v>911</v>
      </c>
      <c r="F142" s="14" t="b">
        <f>OR(Transport_Table[[#This Row],[Feedstock]]="All",Transport_Table[[#This Row],[Feedstock]]=SelectedFeedstock)</f>
        <v>0</v>
      </c>
      <c r="G142" s="14" t="b">
        <f>OR(Transport_Table[[#This Row],[Conversion]]="All",Transport_Table[[#This Row],[Conversion]]=SelectedConversion)</f>
        <v>0</v>
      </c>
      <c r="H142" s="14" t="b">
        <f>OR(Transport_Table[[#This Row],[Data Set]]="All",Transport_Table[[#This Row],[Data Set]]=SelectedDataSet)</f>
        <v>1</v>
      </c>
      <c r="I142" s="14" t="b">
        <f>OR(Transport_Table[[#This Row],[Technology]]="All",Transport_Table[[#This Row],[Technology]]=SelectedTechnology)</f>
        <v>0</v>
      </c>
      <c r="J142" s="14" t="b">
        <f>OR(Transport_Table[[#This Row],[Data Source]]="All",Transport_Table[[#This Row],[Data Source]]=SelectedDataSource)</f>
        <v>1</v>
      </c>
      <c r="L142" s="14" t="b">
        <f>AND(Transport_Table[[#This Row],[Show Feedstock]:[Show Data Source]],NOT(Transport_Table[[#This Row],[Hide Column]]))</f>
        <v>0</v>
      </c>
      <c r="M142" s="14" t="s">
        <v>147</v>
      </c>
      <c r="N142" s="14" t="s">
        <v>1219</v>
      </c>
      <c r="O142" s="14" t="s">
        <v>1301</v>
      </c>
      <c r="P142" s="178" t="s">
        <v>1700</v>
      </c>
      <c r="Q142" s="241" t="s">
        <v>1946</v>
      </c>
      <c r="R142" s="393">
        <v>0.33</v>
      </c>
      <c r="S142" s="394">
        <v>520</v>
      </c>
      <c r="T142" s="107"/>
    </row>
    <row r="143" spans="1:20" x14ac:dyDescent="0.3">
      <c r="A143" s="190" t="s">
        <v>135</v>
      </c>
      <c r="B143" s="178" t="s">
        <v>1964</v>
      </c>
      <c r="C143" s="178" t="s">
        <v>29</v>
      </c>
      <c r="D143" s="178" t="s">
        <v>29</v>
      </c>
      <c r="E143" s="178" t="s">
        <v>911</v>
      </c>
      <c r="F143" s="14" t="b">
        <f>OR(Transport_Table[[#This Row],[Feedstock]]="All",Transport_Table[[#This Row],[Feedstock]]=SelectedFeedstock)</f>
        <v>0</v>
      </c>
      <c r="G143" s="14" t="b">
        <f>OR(Transport_Table[[#This Row],[Conversion]]="All",Transport_Table[[#This Row],[Conversion]]=SelectedConversion)</f>
        <v>0</v>
      </c>
      <c r="H143" s="14" t="b">
        <f>OR(Transport_Table[[#This Row],[Data Set]]="All",Transport_Table[[#This Row],[Data Set]]=SelectedDataSet)</f>
        <v>1</v>
      </c>
      <c r="I143" s="14" t="b">
        <f>OR(Transport_Table[[#This Row],[Technology]]="All",Transport_Table[[#This Row],[Technology]]=SelectedTechnology)</f>
        <v>0</v>
      </c>
      <c r="J143" s="14" t="b">
        <f>OR(Transport_Table[[#This Row],[Data Source]]="All",Transport_Table[[#This Row],[Data Source]]=SelectedDataSource)</f>
        <v>1</v>
      </c>
      <c r="L143" s="14" t="b">
        <f>AND(Transport_Table[[#This Row],[Show Feedstock]:[Show Data Source]],NOT(Transport_Table[[#This Row],[Hide Column]]))</f>
        <v>0</v>
      </c>
      <c r="M143" s="14" t="s">
        <v>147</v>
      </c>
      <c r="N143" s="14" t="s">
        <v>1220</v>
      </c>
      <c r="O143" s="14" t="s">
        <v>1302</v>
      </c>
      <c r="P143" s="178" t="s">
        <v>1700</v>
      </c>
      <c r="Q143" s="241" t="s">
        <v>1943</v>
      </c>
      <c r="R143" s="393">
        <v>0.6</v>
      </c>
      <c r="S143" s="394">
        <v>400</v>
      </c>
      <c r="T143" s="107"/>
    </row>
    <row r="144" spans="1:20" x14ac:dyDescent="0.3">
      <c r="A144" s="190" t="s">
        <v>135</v>
      </c>
      <c r="B144" s="178" t="s">
        <v>1964</v>
      </c>
      <c r="C144" s="178" t="s">
        <v>29</v>
      </c>
      <c r="D144" s="178" t="s">
        <v>29</v>
      </c>
      <c r="E144" s="178" t="s">
        <v>911</v>
      </c>
      <c r="F144" s="14" t="b">
        <f>OR(Transport_Table[[#This Row],[Feedstock]]="All",Transport_Table[[#This Row],[Feedstock]]=SelectedFeedstock)</f>
        <v>0</v>
      </c>
      <c r="G144" s="14" t="b">
        <f>OR(Transport_Table[[#This Row],[Conversion]]="All",Transport_Table[[#This Row],[Conversion]]=SelectedConversion)</f>
        <v>0</v>
      </c>
      <c r="H144" s="14" t="b">
        <f>OR(Transport_Table[[#This Row],[Data Set]]="All",Transport_Table[[#This Row],[Data Set]]=SelectedDataSet)</f>
        <v>1</v>
      </c>
      <c r="I144" s="14" t="b">
        <f>OR(Transport_Table[[#This Row],[Technology]]="All",Transport_Table[[#This Row],[Technology]]=SelectedTechnology)</f>
        <v>0</v>
      </c>
      <c r="J144" s="14" t="b">
        <f>OR(Transport_Table[[#This Row],[Data Source]]="All",Transport_Table[[#This Row],[Data Source]]=SelectedDataSource)</f>
        <v>1</v>
      </c>
      <c r="L144" s="14" t="b">
        <f>AND(Transport_Table[[#This Row],[Show Feedstock]:[Show Data Source]],NOT(Transport_Table[[#This Row],[Hide Column]]))</f>
        <v>0</v>
      </c>
      <c r="M144" s="14" t="s">
        <v>147</v>
      </c>
      <c r="N144" s="14" t="s">
        <v>1221</v>
      </c>
      <c r="O144" s="14" t="s">
        <v>1303</v>
      </c>
      <c r="P144" s="178" t="s">
        <v>1700</v>
      </c>
      <c r="Q144" s="241" t="s">
        <v>1944</v>
      </c>
      <c r="R144" s="393">
        <v>6.9999999999999951E-2</v>
      </c>
      <c r="S144" s="394">
        <v>800</v>
      </c>
      <c r="T144" s="107"/>
    </row>
    <row r="145" spans="1:20" x14ac:dyDescent="0.3">
      <c r="A145" s="190" t="s">
        <v>135</v>
      </c>
      <c r="B145" s="178" t="s">
        <v>1964</v>
      </c>
      <c r="C145" s="178" t="s">
        <v>29</v>
      </c>
      <c r="D145" s="178" t="s">
        <v>29</v>
      </c>
      <c r="E145" s="178" t="s">
        <v>911</v>
      </c>
      <c r="F145" s="14" t="b">
        <f>OR(Transport_Table[[#This Row],[Feedstock]]="All",Transport_Table[[#This Row],[Feedstock]]=SelectedFeedstock)</f>
        <v>0</v>
      </c>
      <c r="G145" s="14" t="b">
        <f>OR(Transport_Table[[#This Row],[Conversion]]="All",Transport_Table[[#This Row],[Conversion]]=SelectedConversion)</f>
        <v>0</v>
      </c>
      <c r="H145" s="14" t="b">
        <f>OR(Transport_Table[[#This Row],[Data Set]]="All",Transport_Table[[#This Row],[Data Set]]=SelectedDataSet)</f>
        <v>1</v>
      </c>
      <c r="I145" s="14" t="b">
        <f>OR(Transport_Table[[#This Row],[Technology]]="All",Transport_Table[[#This Row],[Technology]]=SelectedTechnology)</f>
        <v>0</v>
      </c>
      <c r="J145" s="14" t="b">
        <f>OR(Transport_Table[[#This Row],[Data Source]]="All",Transport_Table[[#This Row],[Data Source]]=SelectedDataSource)</f>
        <v>1</v>
      </c>
      <c r="L145" s="14" t="b">
        <f>AND(Transport_Table[[#This Row],[Show Feedstock]:[Show Data Source]],NOT(Transport_Table[[#This Row],[Hide Column]]))</f>
        <v>0</v>
      </c>
      <c r="M145" s="14" t="s">
        <v>147</v>
      </c>
      <c r="N145" s="14" t="s">
        <v>1222</v>
      </c>
      <c r="O145" s="14" t="s">
        <v>1304</v>
      </c>
      <c r="P145" s="178" t="s">
        <v>1700</v>
      </c>
      <c r="Q145" s="241" t="s">
        <v>1945</v>
      </c>
      <c r="R145" s="393">
        <v>1</v>
      </c>
      <c r="S145" s="394">
        <v>30</v>
      </c>
      <c r="T145" s="107"/>
    </row>
    <row r="146" spans="1:20" x14ac:dyDescent="0.3">
      <c r="A146" s="190" t="s">
        <v>131</v>
      </c>
      <c r="B146" s="178" t="s">
        <v>1964</v>
      </c>
      <c r="C146" s="178" t="s">
        <v>29</v>
      </c>
      <c r="D146" s="178" t="s">
        <v>29</v>
      </c>
      <c r="E146" s="178" t="s">
        <v>911</v>
      </c>
      <c r="F146" s="14" t="b">
        <f>OR(Transport_Table[[#This Row],[Feedstock]]="All",Transport_Table[[#This Row],[Feedstock]]=SelectedFeedstock)</f>
        <v>0</v>
      </c>
      <c r="G146" s="14" t="b">
        <f>OR(Transport_Table[[#This Row],[Conversion]]="All",Transport_Table[[#This Row],[Conversion]]=SelectedConversion)</f>
        <v>0</v>
      </c>
      <c r="H146" s="14" t="b">
        <f>OR(Transport_Table[[#This Row],[Data Set]]="All",Transport_Table[[#This Row],[Data Set]]=SelectedDataSet)</f>
        <v>1</v>
      </c>
      <c r="I146" s="14" t="b">
        <f>OR(Transport_Table[[#This Row],[Technology]]="All",Transport_Table[[#This Row],[Technology]]=SelectedTechnology)</f>
        <v>0</v>
      </c>
      <c r="J146" s="14" t="b">
        <f>OR(Transport_Table[[#This Row],[Data Source]]="All",Transport_Table[[#This Row],[Data Source]]=SelectedDataSource)</f>
        <v>1</v>
      </c>
      <c r="K146" s="14" t="b">
        <v>1</v>
      </c>
      <c r="L146" s="14" t="b">
        <f>AND(Transport_Table[[#This Row],[Show Feedstock]:[Show Data Source]],NOT(Transport_Table[[#This Row],[Hide Column]]))</f>
        <v>0</v>
      </c>
      <c r="M146" s="14" t="s">
        <v>14</v>
      </c>
      <c r="N146" s="14" t="s">
        <v>1211</v>
      </c>
      <c r="O146" s="14" t="s">
        <v>1293</v>
      </c>
      <c r="P146" s="178" t="s">
        <v>131</v>
      </c>
      <c r="Q146" s="241" t="s">
        <v>1946</v>
      </c>
      <c r="R146" s="393">
        <v>1</v>
      </c>
      <c r="S146" s="394">
        <v>50</v>
      </c>
      <c r="T146" s="107"/>
    </row>
    <row r="147" spans="1:20" x14ac:dyDescent="0.3">
      <c r="A147" s="190" t="s">
        <v>131</v>
      </c>
      <c r="B147" s="178" t="s">
        <v>1964</v>
      </c>
      <c r="C147" s="178" t="s">
        <v>29</v>
      </c>
      <c r="D147" s="178" t="s">
        <v>29</v>
      </c>
      <c r="E147" s="178" t="s">
        <v>911</v>
      </c>
      <c r="F147" s="14" t="b">
        <f>OR(Transport_Table[[#This Row],[Feedstock]]="All",Transport_Table[[#This Row],[Feedstock]]=SelectedFeedstock)</f>
        <v>0</v>
      </c>
      <c r="G147" s="14" t="b">
        <f>OR(Transport_Table[[#This Row],[Conversion]]="All",Transport_Table[[#This Row],[Conversion]]=SelectedConversion)</f>
        <v>0</v>
      </c>
      <c r="H147" s="14" t="b">
        <f>OR(Transport_Table[[#This Row],[Data Set]]="All",Transport_Table[[#This Row],[Data Set]]=SelectedDataSet)</f>
        <v>1</v>
      </c>
      <c r="I147" s="14" t="b">
        <f>OR(Transport_Table[[#This Row],[Technology]]="All",Transport_Table[[#This Row],[Technology]]=SelectedTechnology)</f>
        <v>0</v>
      </c>
      <c r="J147" s="14" t="b">
        <f>OR(Transport_Table[[#This Row],[Data Source]]="All",Transport_Table[[#This Row],[Data Source]]=SelectedDataSource)</f>
        <v>1</v>
      </c>
      <c r="L147" s="14" t="b">
        <f>AND(Transport_Table[[#This Row],[Show Feedstock]:[Show Data Source]],NOT(Transport_Table[[#This Row],[Hide Column]]))</f>
        <v>0</v>
      </c>
      <c r="M147" s="14" t="s">
        <v>14</v>
      </c>
      <c r="N147" s="14" t="s">
        <v>1219</v>
      </c>
      <c r="O147" s="14" t="s">
        <v>1301</v>
      </c>
      <c r="P147" s="178" t="s">
        <v>1700</v>
      </c>
      <c r="Q147" s="241" t="s">
        <v>1943</v>
      </c>
      <c r="R147" s="393">
        <v>0.33</v>
      </c>
      <c r="S147" s="394">
        <v>520</v>
      </c>
      <c r="T147" s="107"/>
    </row>
    <row r="148" spans="1:20" x14ac:dyDescent="0.3">
      <c r="A148" s="190" t="s">
        <v>131</v>
      </c>
      <c r="B148" s="178" t="s">
        <v>1964</v>
      </c>
      <c r="C148" s="178" t="s">
        <v>29</v>
      </c>
      <c r="D148" s="178" t="s">
        <v>29</v>
      </c>
      <c r="E148" s="178" t="s">
        <v>911</v>
      </c>
      <c r="F148" s="14" t="b">
        <f>OR(Transport_Table[[#This Row],[Feedstock]]="All",Transport_Table[[#This Row],[Feedstock]]=SelectedFeedstock)</f>
        <v>0</v>
      </c>
      <c r="G148" s="14" t="b">
        <f>OR(Transport_Table[[#This Row],[Conversion]]="All",Transport_Table[[#This Row],[Conversion]]=SelectedConversion)</f>
        <v>0</v>
      </c>
      <c r="H148" s="14" t="b">
        <f>OR(Transport_Table[[#This Row],[Data Set]]="All",Transport_Table[[#This Row],[Data Set]]=SelectedDataSet)</f>
        <v>1</v>
      </c>
      <c r="I148" s="14" t="b">
        <f>OR(Transport_Table[[#This Row],[Technology]]="All",Transport_Table[[#This Row],[Technology]]=SelectedTechnology)</f>
        <v>0</v>
      </c>
      <c r="J148" s="14" t="b">
        <f>OR(Transport_Table[[#This Row],[Data Source]]="All",Transport_Table[[#This Row],[Data Source]]=SelectedDataSource)</f>
        <v>1</v>
      </c>
      <c r="L148" s="14" t="b">
        <f>AND(Transport_Table[[#This Row],[Show Feedstock]:[Show Data Source]],NOT(Transport_Table[[#This Row],[Hide Column]]))</f>
        <v>0</v>
      </c>
      <c r="M148" s="14" t="s">
        <v>14</v>
      </c>
      <c r="N148" s="14" t="s">
        <v>1220</v>
      </c>
      <c r="O148" s="14" t="s">
        <v>1302</v>
      </c>
      <c r="P148" s="178" t="s">
        <v>1700</v>
      </c>
      <c r="Q148" s="241" t="s">
        <v>1944</v>
      </c>
      <c r="R148" s="393">
        <v>0.6</v>
      </c>
      <c r="S148" s="394">
        <v>400</v>
      </c>
      <c r="T148" s="107"/>
    </row>
    <row r="149" spans="1:20" x14ac:dyDescent="0.3">
      <c r="A149" s="190" t="s">
        <v>131</v>
      </c>
      <c r="B149" s="178" t="s">
        <v>1964</v>
      </c>
      <c r="C149" s="178" t="s">
        <v>29</v>
      </c>
      <c r="D149" s="178" t="s">
        <v>29</v>
      </c>
      <c r="E149" s="178" t="s">
        <v>911</v>
      </c>
      <c r="F149" s="14" t="b">
        <f>OR(Transport_Table[[#This Row],[Feedstock]]="All",Transport_Table[[#This Row],[Feedstock]]=SelectedFeedstock)</f>
        <v>0</v>
      </c>
      <c r="G149" s="14" t="b">
        <f>OR(Transport_Table[[#This Row],[Conversion]]="All",Transport_Table[[#This Row],[Conversion]]=SelectedConversion)</f>
        <v>0</v>
      </c>
      <c r="H149" s="14" t="b">
        <f>OR(Transport_Table[[#This Row],[Data Set]]="All",Transport_Table[[#This Row],[Data Set]]=SelectedDataSet)</f>
        <v>1</v>
      </c>
      <c r="I149" s="14" t="b">
        <f>OR(Transport_Table[[#This Row],[Technology]]="All",Transport_Table[[#This Row],[Technology]]=SelectedTechnology)</f>
        <v>0</v>
      </c>
      <c r="J149" s="14" t="b">
        <f>OR(Transport_Table[[#This Row],[Data Source]]="All",Transport_Table[[#This Row],[Data Source]]=SelectedDataSource)</f>
        <v>1</v>
      </c>
      <c r="L149" s="14" t="b">
        <f>AND(Transport_Table[[#This Row],[Show Feedstock]:[Show Data Source]],NOT(Transport_Table[[#This Row],[Hide Column]]))</f>
        <v>0</v>
      </c>
      <c r="M149" s="14" t="s">
        <v>14</v>
      </c>
      <c r="N149" s="14" t="s">
        <v>1221</v>
      </c>
      <c r="O149" s="14" t="s">
        <v>1303</v>
      </c>
      <c r="P149" s="178" t="s">
        <v>1700</v>
      </c>
      <c r="Q149" s="241" t="s">
        <v>1945</v>
      </c>
      <c r="R149" s="393">
        <v>6.9999999999999951E-2</v>
      </c>
      <c r="S149" s="394">
        <v>800</v>
      </c>
      <c r="T149" s="107"/>
    </row>
    <row r="150" spans="1:20" x14ac:dyDescent="0.3">
      <c r="A150" s="190" t="s">
        <v>131</v>
      </c>
      <c r="B150" s="178" t="s">
        <v>1964</v>
      </c>
      <c r="C150" s="178" t="s">
        <v>29</v>
      </c>
      <c r="D150" s="178" t="s">
        <v>29</v>
      </c>
      <c r="E150" s="178" t="s">
        <v>911</v>
      </c>
      <c r="F150" s="14" t="b">
        <f>OR(Transport_Table[[#This Row],[Feedstock]]="All",Transport_Table[[#This Row],[Feedstock]]=SelectedFeedstock)</f>
        <v>0</v>
      </c>
      <c r="G150" s="14" t="b">
        <f>OR(Transport_Table[[#This Row],[Conversion]]="All",Transport_Table[[#This Row],[Conversion]]=SelectedConversion)</f>
        <v>0</v>
      </c>
      <c r="H150" s="14" t="b">
        <f>OR(Transport_Table[[#This Row],[Data Set]]="All",Transport_Table[[#This Row],[Data Set]]=SelectedDataSet)</f>
        <v>1</v>
      </c>
      <c r="I150" s="14" t="b">
        <f>OR(Transport_Table[[#This Row],[Technology]]="All",Transport_Table[[#This Row],[Technology]]=SelectedTechnology)</f>
        <v>0</v>
      </c>
      <c r="J150" s="14" t="b">
        <f>OR(Transport_Table[[#This Row],[Data Source]]="All",Transport_Table[[#This Row],[Data Source]]=SelectedDataSource)</f>
        <v>1</v>
      </c>
      <c r="L150" s="14" t="b">
        <f>AND(Transport_Table[[#This Row],[Show Feedstock]:[Show Data Source]],NOT(Transport_Table[[#This Row],[Hide Column]]))</f>
        <v>0</v>
      </c>
      <c r="M150" s="14" t="s">
        <v>14</v>
      </c>
      <c r="N150" s="14" t="s">
        <v>1222</v>
      </c>
      <c r="O150" s="14" t="s">
        <v>1304</v>
      </c>
      <c r="P150" s="178" t="s">
        <v>1700</v>
      </c>
      <c r="Q150" s="241" t="s">
        <v>1946</v>
      </c>
      <c r="R150" s="393">
        <v>1</v>
      </c>
      <c r="S150" s="394">
        <v>30</v>
      </c>
      <c r="T150" s="107"/>
    </row>
    <row r="151" spans="1:20" x14ac:dyDescent="0.3">
      <c r="A151" s="190" t="s">
        <v>132</v>
      </c>
      <c r="B151" s="178" t="s">
        <v>1964</v>
      </c>
      <c r="C151" s="178" t="s">
        <v>29</v>
      </c>
      <c r="D151" s="178" t="s">
        <v>29</v>
      </c>
      <c r="E151" s="178" t="s">
        <v>911</v>
      </c>
      <c r="F151" s="14" t="b">
        <f>OR(Transport_Table[[#This Row],[Feedstock]]="All",Transport_Table[[#This Row],[Feedstock]]=SelectedFeedstock)</f>
        <v>0</v>
      </c>
      <c r="G151" s="14" t="b">
        <f>OR(Transport_Table[[#This Row],[Conversion]]="All",Transport_Table[[#This Row],[Conversion]]=SelectedConversion)</f>
        <v>0</v>
      </c>
      <c r="H151" s="14" t="b">
        <f>OR(Transport_Table[[#This Row],[Data Set]]="All",Transport_Table[[#This Row],[Data Set]]=SelectedDataSet)</f>
        <v>1</v>
      </c>
      <c r="I151" s="14" t="b">
        <f>OR(Transport_Table[[#This Row],[Technology]]="All",Transport_Table[[#This Row],[Technology]]=SelectedTechnology)</f>
        <v>0</v>
      </c>
      <c r="J151" s="14" t="b">
        <f>OR(Transport_Table[[#This Row],[Data Source]]="All",Transport_Table[[#This Row],[Data Source]]=SelectedDataSource)</f>
        <v>1</v>
      </c>
      <c r="K151" s="14" t="b">
        <v>1</v>
      </c>
      <c r="L151" s="14" t="b">
        <f>AND(Transport_Table[[#This Row],[Show Feedstock]:[Show Data Source]],NOT(Transport_Table[[#This Row],[Hide Column]]))</f>
        <v>0</v>
      </c>
      <c r="M151" s="14" t="s">
        <v>14</v>
      </c>
      <c r="N151" s="14" t="s">
        <v>1211</v>
      </c>
      <c r="O151" s="14" t="s">
        <v>1293</v>
      </c>
      <c r="P151" s="178" t="s">
        <v>132</v>
      </c>
      <c r="Q151" s="241" t="s">
        <v>1943</v>
      </c>
      <c r="R151" s="393">
        <v>1</v>
      </c>
      <c r="S151" s="394">
        <v>50</v>
      </c>
      <c r="T151" s="107"/>
    </row>
    <row r="152" spans="1:20" x14ac:dyDescent="0.3">
      <c r="A152" s="190" t="s">
        <v>132</v>
      </c>
      <c r="B152" s="178" t="s">
        <v>1964</v>
      </c>
      <c r="C152" s="178" t="s">
        <v>29</v>
      </c>
      <c r="D152" s="178" t="s">
        <v>29</v>
      </c>
      <c r="E152" s="178" t="s">
        <v>911</v>
      </c>
      <c r="F152" s="14" t="b">
        <f>OR(Transport_Table[[#This Row],[Feedstock]]="All",Transport_Table[[#This Row],[Feedstock]]=SelectedFeedstock)</f>
        <v>0</v>
      </c>
      <c r="G152" s="14" t="b">
        <f>OR(Transport_Table[[#This Row],[Conversion]]="All",Transport_Table[[#This Row],[Conversion]]=SelectedConversion)</f>
        <v>0</v>
      </c>
      <c r="H152" s="14" t="b">
        <f>OR(Transport_Table[[#This Row],[Data Set]]="All",Transport_Table[[#This Row],[Data Set]]=SelectedDataSet)</f>
        <v>1</v>
      </c>
      <c r="I152" s="14" t="b">
        <f>OR(Transport_Table[[#This Row],[Technology]]="All",Transport_Table[[#This Row],[Technology]]=SelectedTechnology)</f>
        <v>0</v>
      </c>
      <c r="J152" s="14" t="b">
        <f>OR(Transport_Table[[#This Row],[Data Source]]="All",Transport_Table[[#This Row],[Data Source]]=SelectedDataSource)</f>
        <v>1</v>
      </c>
      <c r="L152" s="14" t="b">
        <f>AND(Transport_Table[[#This Row],[Show Feedstock]:[Show Data Source]],NOT(Transport_Table[[#This Row],[Hide Column]]))</f>
        <v>0</v>
      </c>
      <c r="M152" s="14" t="s">
        <v>14</v>
      </c>
      <c r="N152" s="14" t="s">
        <v>1219</v>
      </c>
      <c r="O152" s="14" t="s">
        <v>1301</v>
      </c>
      <c r="P152" s="178" t="s">
        <v>1700</v>
      </c>
      <c r="Q152" s="241" t="s">
        <v>1944</v>
      </c>
      <c r="R152" s="393">
        <v>0.33</v>
      </c>
      <c r="S152" s="394">
        <v>520</v>
      </c>
      <c r="T152" s="107"/>
    </row>
    <row r="153" spans="1:20" x14ac:dyDescent="0.3">
      <c r="A153" s="190" t="s">
        <v>132</v>
      </c>
      <c r="B153" s="178" t="s">
        <v>1964</v>
      </c>
      <c r="C153" s="178" t="s">
        <v>29</v>
      </c>
      <c r="D153" s="178" t="s">
        <v>29</v>
      </c>
      <c r="E153" s="178" t="s">
        <v>911</v>
      </c>
      <c r="F153" s="14" t="b">
        <f>OR(Transport_Table[[#This Row],[Feedstock]]="All",Transport_Table[[#This Row],[Feedstock]]=SelectedFeedstock)</f>
        <v>0</v>
      </c>
      <c r="G153" s="14" t="b">
        <f>OR(Transport_Table[[#This Row],[Conversion]]="All",Transport_Table[[#This Row],[Conversion]]=SelectedConversion)</f>
        <v>0</v>
      </c>
      <c r="H153" s="14" t="b">
        <f>OR(Transport_Table[[#This Row],[Data Set]]="All",Transport_Table[[#This Row],[Data Set]]=SelectedDataSet)</f>
        <v>1</v>
      </c>
      <c r="I153" s="14" t="b">
        <f>OR(Transport_Table[[#This Row],[Technology]]="All",Transport_Table[[#This Row],[Technology]]=SelectedTechnology)</f>
        <v>0</v>
      </c>
      <c r="J153" s="14" t="b">
        <f>OR(Transport_Table[[#This Row],[Data Source]]="All",Transport_Table[[#This Row],[Data Source]]=SelectedDataSource)</f>
        <v>1</v>
      </c>
      <c r="L153" s="14" t="b">
        <f>AND(Transport_Table[[#This Row],[Show Feedstock]:[Show Data Source]],NOT(Transport_Table[[#This Row],[Hide Column]]))</f>
        <v>0</v>
      </c>
      <c r="M153" s="14" t="s">
        <v>14</v>
      </c>
      <c r="N153" s="14" t="s">
        <v>1220</v>
      </c>
      <c r="O153" s="14" t="s">
        <v>1302</v>
      </c>
      <c r="P153" s="178" t="s">
        <v>1700</v>
      </c>
      <c r="Q153" s="241" t="s">
        <v>1945</v>
      </c>
      <c r="R153" s="393">
        <v>0.6</v>
      </c>
      <c r="S153" s="394">
        <v>400</v>
      </c>
      <c r="T153" s="107"/>
    </row>
    <row r="154" spans="1:20" x14ac:dyDescent="0.3">
      <c r="A154" s="190" t="s">
        <v>132</v>
      </c>
      <c r="B154" s="178" t="s">
        <v>1964</v>
      </c>
      <c r="C154" s="178" t="s">
        <v>29</v>
      </c>
      <c r="D154" s="178" t="s">
        <v>29</v>
      </c>
      <c r="E154" s="178" t="s">
        <v>911</v>
      </c>
      <c r="F154" s="14" t="b">
        <f>OR(Transport_Table[[#This Row],[Feedstock]]="All",Transport_Table[[#This Row],[Feedstock]]=SelectedFeedstock)</f>
        <v>0</v>
      </c>
      <c r="G154" s="14" t="b">
        <f>OR(Transport_Table[[#This Row],[Conversion]]="All",Transport_Table[[#This Row],[Conversion]]=SelectedConversion)</f>
        <v>0</v>
      </c>
      <c r="H154" s="14" t="b">
        <f>OR(Transport_Table[[#This Row],[Data Set]]="All",Transport_Table[[#This Row],[Data Set]]=SelectedDataSet)</f>
        <v>1</v>
      </c>
      <c r="I154" s="14" t="b">
        <f>OR(Transport_Table[[#This Row],[Technology]]="All",Transport_Table[[#This Row],[Technology]]=SelectedTechnology)</f>
        <v>0</v>
      </c>
      <c r="J154" s="14" t="b">
        <f>OR(Transport_Table[[#This Row],[Data Source]]="All",Transport_Table[[#This Row],[Data Source]]=SelectedDataSource)</f>
        <v>1</v>
      </c>
      <c r="L154" s="14" t="b">
        <f>AND(Transport_Table[[#This Row],[Show Feedstock]:[Show Data Source]],NOT(Transport_Table[[#This Row],[Hide Column]]))</f>
        <v>0</v>
      </c>
      <c r="M154" s="14" t="s">
        <v>14</v>
      </c>
      <c r="N154" s="14" t="s">
        <v>1221</v>
      </c>
      <c r="O154" s="14" t="s">
        <v>1303</v>
      </c>
      <c r="P154" s="178" t="s">
        <v>1700</v>
      </c>
      <c r="Q154" s="241" t="s">
        <v>1946</v>
      </c>
      <c r="R154" s="393">
        <v>6.9999999999999951E-2</v>
      </c>
      <c r="S154" s="394">
        <v>800</v>
      </c>
      <c r="T154" s="107"/>
    </row>
    <row r="155" spans="1:20" x14ac:dyDescent="0.3">
      <c r="A155" s="190" t="s">
        <v>132</v>
      </c>
      <c r="B155" s="178" t="s">
        <v>1964</v>
      </c>
      <c r="C155" s="178" t="s">
        <v>29</v>
      </c>
      <c r="D155" s="178" t="s">
        <v>29</v>
      </c>
      <c r="E155" s="178" t="s">
        <v>911</v>
      </c>
      <c r="F155" s="14" t="b">
        <f>OR(Transport_Table[[#This Row],[Feedstock]]="All",Transport_Table[[#This Row],[Feedstock]]=SelectedFeedstock)</f>
        <v>0</v>
      </c>
      <c r="G155" s="14" t="b">
        <f>OR(Transport_Table[[#This Row],[Conversion]]="All",Transport_Table[[#This Row],[Conversion]]=SelectedConversion)</f>
        <v>0</v>
      </c>
      <c r="H155" s="14" t="b">
        <f>OR(Transport_Table[[#This Row],[Data Set]]="All",Transport_Table[[#This Row],[Data Set]]=SelectedDataSet)</f>
        <v>1</v>
      </c>
      <c r="I155" s="14" t="b">
        <f>OR(Transport_Table[[#This Row],[Technology]]="All",Transport_Table[[#This Row],[Technology]]=SelectedTechnology)</f>
        <v>0</v>
      </c>
      <c r="J155" s="14" t="b">
        <f>OR(Transport_Table[[#This Row],[Data Source]]="All",Transport_Table[[#This Row],[Data Source]]=SelectedDataSource)</f>
        <v>1</v>
      </c>
      <c r="L155" s="14" t="b">
        <f>AND(Transport_Table[[#This Row],[Show Feedstock]:[Show Data Source]],NOT(Transport_Table[[#This Row],[Hide Column]]))</f>
        <v>0</v>
      </c>
      <c r="M155" s="14" t="s">
        <v>14</v>
      </c>
      <c r="N155" s="14" t="s">
        <v>1222</v>
      </c>
      <c r="O155" s="14" t="s">
        <v>1304</v>
      </c>
      <c r="P155" s="178" t="s">
        <v>1700</v>
      </c>
      <c r="Q155" s="241" t="s">
        <v>1943</v>
      </c>
      <c r="R155" s="393">
        <v>1</v>
      </c>
      <c r="S155" s="394">
        <v>30</v>
      </c>
      <c r="T155" s="107"/>
    </row>
    <row r="156" spans="1:20" x14ac:dyDescent="0.3">
      <c r="A156" s="190" t="s">
        <v>133</v>
      </c>
      <c r="B156" s="178" t="s">
        <v>1964</v>
      </c>
      <c r="C156" s="178" t="s">
        <v>29</v>
      </c>
      <c r="D156" s="178" t="s">
        <v>29</v>
      </c>
      <c r="E156" s="178" t="s">
        <v>911</v>
      </c>
      <c r="F156" s="14" t="b">
        <f>OR(Transport_Table[[#This Row],[Feedstock]]="All",Transport_Table[[#This Row],[Feedstock]]=SelectedFeedstock)</f>
        <v>0</v>
      </c>
      <c r="G156" s="14" t="b">
        <f>OR(Transport_Table[[#This Row],[Conversion]]="All",Transport_Table[[#This Row],[Conversion]]=SelectedConversion)</f>
        <v>0</v>
      </c>
      <c r="H156" s="14" t="b">
        <f>OR(Transport_Table[[#This Row],[Data Set]]="All",Transport_Table[[#This Row],[Data Set]]=SelectedDataSet)</f>
        <v>1</v>
      </c>
      <c r="I156" s="14" t="b">
        <f>OR(Transport_Table[[#This Row],[Technology]]="All",Transport_Table[[#This Row],[Technology]]=SelectedTechnology)</f>
        <v>0</v>
      </c>
      <c r="J156" s="14" t="b">
        <f>OR(Transport_Table[[#This Row],[Data Source]]="All",Transport_Table[[#This Row],[Data Source]]=SelectedDataSource)</f>
        <v>1</v>
      </c>
      <c r="K156" s="14" t="b">
        <v>1</v>
      </c>
      <c r="L156" s="14" t="b">
        <f>AND(Transport_Table[[#This Row],[Show Feedstock]:[Show Data Source]],NOT(Transport_Table[[#This Row],[Hide Column]]))</f>
        <v>0</v>
      </c>
      <c r="M156" s="14" t="s">
        <v>14</v>
      </c>
      <c r="N156" s="14" t="s">
        <v>1212</v>
      </c>
      <c r="O156" s="14" t="s">
        <v>1294</v>
      </c>
      <c r="P156" s="178" t="s">
        <v>133</v>
      </c>
      <c r="Q156" s="241" t="s">
        <v>1944</v>
      </c>
      <c r="R156" s="393">
        <v>1</v>
      </c>
      <c r="S156" s="394">
        <v>53.30846677660368</v>
      </c>
      <c r="T156" s="107"/>
    </row>
    <row r="157" spans="1:20" x14ac:dyDescent="0.3">
      <c r="A157" s="190" t="s">
        <v>133</v>
      </c>
      <c r="B157" s="178" t="s">
        <v>1964</v>
      </c>
      <c r="C157" s="178" t="s">
        <v>29</v>
      </c>
      <c r="D157" s="178" t="s">
        <v>29</v>
      </c>
      <c r="E157" s="178" t="s">
        <v>911</v>
      </c>
      <c r="F157" s="14" t="b">
        <f>OR(Transport_Table[[#This Row],[Feedstock]]="All",Transport_Table[[#This Row],[Feedstock]]=SelectedFeedstock)</f>
        <v>0</v>
      </c>
      <c r="G157" s="14" t="b">
        <f>OR(Transport_Table[[#This Row],[Conversion]]="All",Transport_Table[[#This Row],[Conversion]]=SelectedConversion)</f>
        <v>0</v>
      </c>
      <c r="H157" s="14" t="b">
        <f>OR(Transport_Table[[#This Row],[Data Set]]="All",Transport_Table[[#This Row],[Data Set]]=SelectedDataSet)</f>
        <v>1</v>
      </c>
      <c r="I157" s="14" t="b">
        <f>OR(Transport_Table[[#This Row],[Technology]]="All",Transport_Table[[#This Row],[Technology]]=SelectedTechnology)</f>
        <v>0</v>
      </c>
      <c r="J157" s="14" t="b">
        <f>OR(Transport_Table[[#This Row],[Data Source]]="All",Transport_Table[[#This Row],[Data Source]]=SelectedDataSource)</f>
        <v>1</v>
      </c>
      <c r="L157" s="14" t="b">
        <f>AND(Transport_Table[[#This Row],[Show Feedstock]:[Show Data Source]],NOT(Transport_Table[[#This Row],[Hide Column]]))</f>
        <v>0</v>
      </c>
      <c r="M157" s="14" t="s">
        <v>14</v>
      </c>
      <c r="N157" s="14" t="s">
        <v>1219</v>
      </c>
      <c r="O157" s="14" t="s">
        <v>1301</v>
      </c>
      <c r="P157" s="178" t="s">
        <v>1700</v>
      </c>
      <c r="Q157" s="241" t="s">
        <v>1945</v>
      </c>
      <c r="R157" s="393">
        <v>0.33</v>
      </c>
      <c r="S157" s="394">
        <v>520</v>
      </c>
      <c r="T157" s="107"/>
    </row>
    <row r="158" spans="1:20" x14ac:dyDescent="0.3">
      <c r="A158" s="190" t="s">
        <v>133</v>
      </c>
      <c r="B158" s="178" t="s">
        <v>1964</v>
      </c>
      <c r="C158" s="178" t="s">
        <v>29</v>
      </c>
      <c r="D158" s="178" t="s">
        <v>29</v>
      </c>
      <c r="E158" s="178" t="s">
        <v>911</v>
      </c>
      <c r="F158" s="14" t="b">
        <f>OR(Transport_Table[[#This Row],[Feedstock]]="All",Transport_Table[[#This Row],[Feedstock]]=SelectedFeedstock)</f>
        <v>0</v>
      </c>
      <c r="G158" s="14" t="b">
        <f>OR(Transport_Table[[#This Row],[Conversion]]="All",Transport_Table[[#This Row],[Conversion]]=SelectedConversion)</f>
        <v>0</v>
      </c>
      <c r="H158" s="14" t="b">
        <f>OR(Transport_Table[[#This Row],[Data Set]]="All",Transport_Table[[#This Row],[Data Set]]=SelectedDataSet)</f>
        <v>1</v>
      </c>
      <c r="I158" s="14" t="b">
        <f>OR(Transport_Table[[#This Row],[Technology]]="All",Transport_Table[[#This Row],[Technology]]=SelectedTechnology)</f>
        <v>0</v>
      </c>
      <c r="J158" s="14" t="b">
        <f>OR(Transport_Table[[#This Row],[Data Source]]="All",Transport_Table[[#This Row],[Data Source]]=SelectedDataSource)</f>
        <v>1</v>
      </c>
      <c r="L158" s="14" t="b">
        <f>AND(Transport_Table[[#This Row],[Show Feedstock]:[Show Data Source]],NOT(Transport_Table[[#This Row],[Hide Column]]))</f>
        <v>0</v>
      </c>
      <c r="M158" s="14" t="s">
        <v>14</v>
      </c>
      <c r="N158" s="14" t="s">
        <v>1220</v>
      </c>
      <c r="O158" s="14" t="s">
        <v>1302</v>
      </c>
      <c r="P158" s="178" t="s">
        <v>1700</v>
      </c>
      <c r="Q158" s="241" t="s">
        <v>1946</v>
      </c>
      <c r="R158" s="393">
        <v>0.6</v>
      </c>
      <c r="S158" s="394">
        <v>400</v>
      </c>
      <c r="T158" s="107"/>
    </row>
    <row r="159" spans="1:20" x14ac:dyDescent="0.3">
      <c r="A159" s="190" t="s">
        <v>133</v>
      </c>
      <c r="B159" s="178" t="s">
        <v>1964</v>
      </c>
      <c r="C159" s="178" t="s">
        <v>29</v>
      </c>
      <c r="D159" s="178" t="s">
        <v>29</v>
      </c>
      <c r="E159" s="178" t="s">
        <v>911</v>
      </c>
      <c r="F159" s="14" t="b">
        <f>OR(Transport_Table[[#This Row],[Feedstock]]="All",Transport_Table[[#This Row],[Feedstock]]=SelectedFeedstock)</f>
        <v>0</v>
      </c>
      <c r="G159" s="14" t="b">
        <f>OR(Transport_Table[[#This Row],[Conversion]]="All",Transport_Table[[#This Row],[Conversion]]=SelectedConversion)</f>
        <v>0</v>
      </c>
      <c r="H159" s="14" t="b">
        <f>OR(Transport_Table[[#This Row],[Data Set]]="All",Transport_Table[[#This Row],[Data Set]]=SelectedDataSet)</f>
        <v>1</v>
      </c>
      <c r="I159" s="14" t="b">
        <f>OR(Transport_Table[[#This Row],[Technology]]="All",Transport_Table[[#This Row],[Technology]]=SelectedTechnology)</f>
        <v>0</v>
      </c>
      <c r="J159" s="14" t="b">
        <f>OR(Transport_Table[[#This Row],[Data Source]]="All",Transport_Table[[#This Row],[Data Source]]=SelectedDataSource)</f>
        <v>1</v>
      </c>
      <c r="L159" s="14" t="b">
        <f>AND(Transport_Table[[#This Row],[Show Feedstock]:[Show Data Source]],NOT(Transport_Table[[#This Row],[Hide Column]]))</f>
        <v>0</v>
      </c>
      <c r="M159" s="14" t="s">
        <v>14</v>
      </c>
      <c r="N159" s="14" t="s">
        <v>1221</v>
      </c>
      <c r="O159" s="14" t="s">
        <v>1303</v>
      </c>
      <c r="P159" s="178" t="s">
        <v>1700</v>
      </c>
      <c r="Q159" s="241" t="s">
        <v>1943</v>
      </c>
      <c r="R159" s="393">
        <v>6.9999999999999951E-2</v>
      </c>
      <c r="S159" s="394">
        <v>800</v>
      </c>
      <c r="T159" s="107"/>
    </row>
    <row r="160" spans="1:20" x14ac:dyDescent="0.3">
      <c r="A160" s="190" t="s">
        <v>133</v>
      </c>
      <c r="B160" s="178" t="s">
        <v>1964</v>
      </c>
      <c r="C160" s="178" t="s">
        <v>29</v>
      </c>
      <c r="D160" s="178" t="s">
        <v>29</v>
      </c>
      <c r="E160" s="178" t="s">
        <v>911</v>
      </c>
      <c r="F160" s="14" t="b">
        <f>OR(Transport_Table[[#This Row],[Feedstock]]="All",Transport_Table[[#This Row],[Feedstock]]=SelectedFeedstock)</f>
        <v>0</v>
      </c>
      <c r="G160" s="14" t="b">
        <f>OR(Transport_Table[[#This Row],[Conversion]]="All",Transport_Table[[#This Row],[Conversion]]=SelectedConversion)</f>
        <v>0</v>
      </c>
      <c r="H160" s="14" t="b">
        <f>OR(Transport_Table[[#This Row],[Data Set]]="All",Transport_Table[[#This Row],[Data Set]]=SelectedDataSet)</f>
        <v>1</v>
      </c>
      <c r="I160" s="14" t="b">
        <f>OR(Transport_Table[[#This Row],[Technology]]="All",Transport_Table[[#This Row],[Technology]]=SelectedTechnology)</f>
        <v>0</v>
      </c>
      <c r="J160" s="14" t="b">
        <f>OR(Transport_Table[[#This Row],[Data Source]]="All",Transport_Table[[#This Row],[Data Source]]=SelectedDataSource)</f>
        <v>1</v>
      </c>
      <c r="L160" s="14" t="b">
        <f>AND(Transport_Table[[#This Row],[Show Feedstock]:[Show Data Source]],NOT(Transport_Table[[#This Row],[Hide Column]]))</f>
        <v>0</v>
      </c>
      <c r="M160" s="14" t="s">
        <v>14</v>
      </c>
      <c r="N160" s="14" t="s">
        <v>1222</v>
      </c>
      <c r="O160" s="14" t="s">
        <v>1304</v>
      </c>
      <c r="P160" s="178" t="s">
        <v>1700</v>
      </c>
      <c r="Q160" s="241" t="s">
        <v>1944</v>
      </c>
      <c r="R160" s="393">
        <v>1</v>
      </c>
      <c r="S160" s="394">
        <v>30</v>
      </c>
      <c r="T160" s="107"/>
    </row>
    <row r="161" spans="1:20" x14ac:dyDescent="0.3">
      <c r="A161" s="190" t="s">
        <v>134</v>
      </c>
      <c r="B161" s="178" t="s">
        <v>1964</v>
      </c>
      <c r="C161" s="178" t="s">
        <v>29</v>
      </c>
      <c r="D161" s="178" t="s">
        <v>29</v>
      </c>
      <c r="E161" s="178" t="s">
        <v>911</v>
      </c>
      <c r="F161" s="14" t="b">
        <f>OR(Transport_Table[[#This Row],[Feedstock]]="All",Transport_Table[[#This Row],[Feedstock]]=SelectedFeedstock)</f>
        <v>0</v>
      </c>
      <c r="G161" s="14" t="b">
        <f>OR(Transport_Table[[#This Row],[Conversion]]="All",Transport_Table[[#This Row],[Conversion]]=SelectedConversion)</f>
        <v>0</v>
      </c>
      <c r="H161" s="14" t="b">
        <f>OR(Transport_Table[[#This Row],[Data Set]]="All",Transport_Table[[#This Row],[Data Set]]=SelectedDataSet)</f>
        <v>1</v>
      </c>
      <c r="I161" s="14" t="b">
        <f>OR(Transport_Table[[#This Row],[Technology]]="All",Transport_Table[[#This Row],[Technology]]=SelectedTechnology)</f>
        <v>0</v>
      </c>
      <c r="J161" s="14" t="b">
        <f>OR(Transport_Table[[#This Row],[Data Source]]="All",Transport_Table[[#This Row],[Data Source]]=SelectedDataSource)</f>
        <v>1</v>
      </c>
      <c r="K161" s="14" t="b">
        <v>1</v>
      </c>
      <c r="L161" s="14" t="b">
        <f>AND(Transport_Table[[#This Row],[Show Feedstock]:[Show Data Source]],NOT(Transport_Table[[#This Row],[Hide Column]]))</f>
        <v>0</v>
      </c>
      <c r="M161" s="14" t="s">
        <v>14</v>
      </c>
      <c r="N161" s="14" t="s">
        <v>1213</v>
      </c>
      <c r="O161" s="14" t="s">
        <v>1295</v>
      </c>
      <c r="P161" s="178" t="s">
        <v>134</v>
      </c>
      <c r="Q161" s="241" t="s">
        <v>1945</v>
      </c>
      <c r="R161" s="393">
        <v>1</v>
      </c>
      <c r="S161" s="394">
        <v>37.315926743622576</v>
      </c>
      <c r="T161" s="107"/>
    </row>
    <row r="162" spans="1:20" x14ac:dyDescent="0.3">
      <c r="A162" s="190" t="s">
        <v>134</v>
      </c>
      <c r="B162" s="178" t="s">
        <v>1964</v>
      </c>
      <c r="C162" s="178" t="s">
        <v>29</v>
      </c>
      <c r="D162" s="178" t="s">
        <v>29</v>
      </c>
      <c r="E162" s="178" t="s">
        <v>911</v>
      </c>
      <c r="F162" s="14" t="b">
        <f>OR(Transport_Table[[#This Row],[Feedstock]]="All",Transport_Table[[#This Row],[Feedstock]]=SelectedFeedstock)</f>
        <v>0</v>
      </c>
      <c r="G162" s="14" t="b">
        <f>OR(Transport_Table[[#This Row],[Conversion]]="All",Transport_Table[[#This Row],[Conversion]]=SelectedConversion)</f>
        <v>0</v>
      </c>
      <c r="H162" s="14" t="b">
        <f>OR(Transport_Table[[#This Row],[Data Set]]="All",Transport_Table[[#This Row],[Data Set]]=SelectedDataSet)</f>
        <v>1</v>
      </c>
      <c r="I162" s="14" t="b">
        <f>OR(Transport_Table[[#This Row],[Technology]]="All",Transport_Table[[#This Row],[Technology]]=SelectedTechnology)</f>
        <v>0</v>
      </c>
      <c r="J162" s="14" t="b">
        <f>OR(Transport_Table[[#This Row],[Data Source]]="All",Transport_Table[[#This Row],[Data Source]]=SelectedDataSource)</f>
        <v>1</v>
      </c>
      <c r="L162" s="14" t="b">
        <f>AND(Transport_Table[[#This Row],[Show Feedstock]:[Show Data Source]],NOT(Transport_Table[[#This Row],[Hide Column]]))</f>
        <v>0</v>
      </c>
      <c r="M162" s="14" t="s">
        <v>14</v>
      </c>
      <c r="N162" s="14" t="s">
        <v>1219</v>
      </c>
      <c r="O162" s="14" t="s">
        <v>1301</v>
      </c>
      <c r="P162" s="178" t="s">
        <v>1700</v>
      </c>
      <c r="Q162" s="241" t="s">
        <v>1946</v>
      </c>
      <c r="R162" s="393">
        <v>0.33</v>
      </c>
      <c r="S162" s="394">
        <v>520</v>
      </c>
      <c r="T162" s="107"/>
    </row>
    <row r="163" spans="1:20" x14ac:dyDescent="0.3">
      <c r="A163" s="190" t="s">
        <v>134</v>
      </c>
      <c r="B163" s="178" t="s">
        <v>1964</v>
      </c>
      <c r="C163" s="178" t="s">
        <v>29</v>
      </c>
      <c r="D163" s="178" t="s">
        <v>29</v>
      </c>
      <c r="E163" s="178" t="s">
        <v>911</v>
      </c>
      <c r="F163" s="14" t="b">
        <f>OR(Transport_Table[[#This Row],[Feedstock]]="All",Transport_Table[[#This Row],[Feedstock]]=SelectedFeedstock)</f>
        <v>0</v>
      </c>
      <c r="G163" s="14" t="b">
        <f>OR(Transport_Table[[#This Row],[Conversion]]="All",Transport_Table[[#This Row],[Conversion]]=SelectedConversion)</f>
        <v>0</v>
      </c>
      <c r="H163" s="14" t="b">
        <f>OR(Transport_Table[[#This Row],[Data Set]]="All",Transport_Table[[#This Row],[Data Set]]=SelectedDataSet)</f>
        <v>1</v>
      </c>
      <c r="I163" s="14" t="b">
        <f>OR(Transport_Table[[#This Row],[Technology]]="All",Transport_Table[[#This Row],[Technology]]=SelectedTechnology)</f>
        <v>0</v>
      </c>
      <c r="J163" s="14" t="b">
        <f>OR(Transport_Table[[#This Row],[Data Source]]="All",Transport_Table[[#This Row],[Data Source]]=SelectedDataSource)</f>
        <v>1</v>
      </c>
      <c r="L163" s="14" t="b">
        <f>AND(Transport_Table[[#This Row],[Show Feedstock]:[Show Data Source]],NOT(Transport_Table[[#This Row],[Hide Column]]))</f>
        <v>0</v>
      </c>
      <c r="M163" s="14" t="s">
        <v>14</v>
      </c>
      <c r="N163" s="14" t="s">
        <v>1220</v>
      </c>
      <c r="O163" s="14" t="s">
        <v>1302</v>
      </c>
      <c r="P163" s="178" t="s">
        <v>1700</v>
      </c>
      <c r="Q163" s="241" t="s">
        <v>1943</v>
      </c>
      <c r="R163" s="393">
        <v>0.6</v>
      </c>
      <c r="S163" s="394">
        <v>400</v>
      </c>
      <c r="T163" s="107"/>
    </row>
    <row r="164" spans="1:20" x14ac:dyDescent="0.3">
      <c r="A164" s="190" t="s">
        <v>134</v>
      </c>
      <c r="B164" s="178" t="s">
        <v>1964</v>
      </c>
      <c r="C164" s="178" t="s">
        <v>29</v>
      </c>
      <c r="D164" s="178" t="s">
        <v>29</v>
      </c>
      <c r="E164" s="178" t="s">
        <v>911</v>
      </c>
      <c r="F164" s="14" t="b">
        <f>OR(Transport_Table[[#This Row],[Feedstock]]="All",Transport_Table[[#This Row],[Feedstock]]=SelectedFeedstock)</f>
        <v>0</v>
      </c>
      <c r="G164" s="14" t="b">
        <f>OR(Transport_Table[[#This Row],[Conversion]]="All",Transport_Table[[#This Row],[Conversion]]=SelectedConversion)</f>
        <v>0</v>
      </c>
      <c r="H164" s="14" t="b">
        <f>OR(Transport_Table[[#This Row],[Data Set]]="All",Transport_Table[[#This Row],[Data Set]]=SelectedDataSet)</f>
        <v>1</v>
      </c>
      <c r="I164" s="14" t="b">
        <f>OR(Transport_Table[[#This Row],[Technology]]="All",Transport_Table[[#This Row],[Technology]]=SelectedTechnology)</f>
        <v>0</v>
      </c>
      <c r="J164" s="14" t="b">
        <f>OR(Transport_Table[[#This Row],[Data Source]]="All",Transport_Table[[#This Row],[Data Source]]=SelectedDataSource)</f>
        <v>1</v>
      </c>
      <c r="L164" s="14" t="b">
        <f>AND(Transport_Table[[#This Row],[Show Feedstock]:[Show Data Source]],NOT(Transport_Table[[#This Row],[Hide Column]]))</f>
        <v>0</v>
      </c>
      <c r="M164" s="14" t="s">
        <v>14</v>
      </c>
      <c r="N164" s="14" t="s">
        <v>1221</v>
      </c>
      <c r="O164" s="14" t="s">
        <v>1303</v>
      </c>
      <c r="P164" s="178" t="s">
        <v>1700</v>
      </c>
      <c r="Q164" s="241" t="s">
        <v>1944</v>
      </c>
      <c r="R164" s="393">
        <v>6.9999999999999951E-2</v>
      </c>
      <c r="S164" s="394">
        <v>800</v>
      </c>
      <c r="T164" s="107"/>
    </row>
    <row r="165" spans="1:20" x14ac:dyDescent="0.3">
      <c r="A165" s="190" t="s">
        <v>134</v>
      </c>
      <c r="B165" s="178" t="s">
        <v>1964</v>
      </c>
      <c r="C165" s="178" t="s">
        <v>29</v>
      </c>
      <c r="D165" s="178" t="s">
        <v>29</v>
      </c>
      <c r="E165" s="178" t="s">
        <v>911</v>
      </c>
      <c r="F165" s="14" t="b">
        <f>OR(Transport_Table[[#This Row],[Feedstock]]="All",Transport_Table[[#This Row],[Feedstock]]=SelectedFeedstock)</f>
        <v>0</v>
      </c>
      <c r="G165" s="14" t="b">
        <f>OR(Transport_Table[[#This Row],[Conversion]]="All",Transport_Table[[#This Row],[Conversion]]=SelectedConversion)</f>
        <v>0</v>
      </c>
      <c r="H165" s="14" t="b">
        <f>OR(Transport_Table[[#This Row],[Data Set]]="All",Transport_Table[[#This Row],[Data Set]]=SelectedDataSet)</f>
        <v>1</v>
      </c>
      <c r="I165" s="14" t="b">
        <f>OR(Transport_Table[[#This Row],[Technology]]="All",Transport_Table[[#This Row],[Technology]]=SelectedTechnology)</f>
        <v>0</v>
      </c>
      <c r="J165" s="14" t="b">
        <f>OR(Transport_Table[[#This Row],[Data Source]]="All",Transport_Table[[#This Row],[Data Source]]=SelectedDataSource)</f>
        <v>1</v>
      </c>
      <c r="L165" s="14" t="b">
        <f>AND(Transport_Table[[#This Row],[Show Feedstock]:[Show Data Source]],NOT(Transport_Table[[#This Row],[Hide Column]]))</f>
        <v>0</v>
      </c>
      <c r="M165" s="14" t="s">
        <v>14</v>
      </c>
      <c r="N165" s="14" t="s">
        <v>1222</v>
      </c>
      <c r="O165" s="14" t="s">
        <v>1304</v>
      </c>
      <c r="P165" s="178" t="s">
        <v>1700</v>
      </c>
      <c r="Q165" s="241" t="s">
        <v>1945</v>
      </c>
      <c r="R165" s="393">
        <v>1</v>
      </c>
      <c r="S165" s="394">
        <v>30</v>
      </c>
      <c r="T165" s="107"/>
    </row>
    <row r="166" spans="1:20" x14ac:dyDescent="0.3">
      <c r="A166" s="190" t="s">
        <v>316</v>
      </c>
      <c r="B166" s="178" t="s">
        <v>1964</v>
      </c>
      <c r="C166" s="178" t="s">
        <v>29</v>
      </c>
      <c r="D166" s="178" t="s">
        <v>29</v>
      </c>
      <c r="E166" s="178" t="s">
        <v>911</v>
      </c>
      <c r="F166" s="14" t="b">
        <f>OR(Transport_Table[[#This Row],[Feedstock]]="All",Transport_Table[[#This Row],[Feedstock]]=SelectedFeedstock)</f>
        <v>0</v>
      </c>
      <c r="G166" s="14" t="b">
        <f>OR(Transport_Table[[#This Row],[Conversion]]="All",Transport_Table[[#This Row],[Conversion]]=SelectedConversion)</f>
        <v>0</v>
      </c>
      <c r="H166" s="14" t="b">
        <f>OR(Transport_Table[[#This Row],[Data Set]]="All",Transport_Table[[#This Row],[Data Set]]=SelectedDataSet)</f>
        <v>1</v>
      </c>
      <c r="I166" s="14" t="b">
        <f>OR(Transport_Table[[#This Row],[Technology]]="All",Transport_Table[[#This Row],[Technology]]=SelectedTechnology)</f>
        <v>0</v>
      </c>
      <c r="J166" s="14" t="b">
        <f>OR(Transport_Table[[#This Row],[Data Source]]="All",Transport_Table[[#This Row],[Data Source]]=SelectedDataSource)</f>
        <v>1</v>
      </c>
      <c r="K166" s="14" t="b">
        <v>1</v>
      </c>
      <c r="L166" s="14" t="b">
        <f>AND(Transport_Table[[#This Row],[Show Feedstock]:[Show Data Source]],NOT(Transport_Table[[#This Row],[Hide Column]]))</f>
        <v>0</v>
      </c>
      <c r="M166" s="14" t="s">
        <v>147</v>
      </c>
      <c r="N166" s="14" t="s">
        <v>1206</v>
      </c>
      <c r="O166" s="14" t="s">
        <v>1288</v>
      </c>
      <c r="P166" s="178" t="s">
        <v>316</v>
      </c>
      <c r="Q166" s="241" t="s">
        <v>1946</v>
      </c>
      <c r="R166" s="393">
        <v>1</v>
      </c>
      <c r="S166" s="394">
        <v>90</v>
      </c>
      <c r="T166" s="107"/>
    </row>
    <row r="167" spans="1:20" x14ac:dyDescent="0.3">
      <c r="A167" s="190" t="s">
        <v>316</v>
      </c>
      <c r="B167" s="178" t="s">
        <v>1964</v>
      </c>
      <c r="C167" s="178" t="s">
        <v>29</v>
      </c>
      <c r="D167" s="178" t="s">
        <v>29</v>
      </c>
      <c r="E167" s="178" t="s">
        <v>911</v>
      </c>
      <c r="F167" s="14" t="b">
        <f>OR(Transport_Table[[#This Row],[Feedstock]]="All",Transport_Table[[#This Row],[Feedstock]]=SelectedFeedstock)</f>
        <v>0</v>
      </c>
      <c r="G167" s="14" t="b">
        <f>OR(Transport_Table[[#This Row],[Conversion]]="All",Transport_Table[[#This Row],[Conversion]]=SelectedConversion)</f>
        <v>0</v>
      </c>
      <c r="H167" s="14" t="b">
        <f>OR(Transport_Table[[#This Row],[Data Set]]="All",Transport_Table[[#This Row],[Data Set]]=SelectedDataSet)</f>
        <v>1</v>
      </c>
      <c r="I167" s="14" t="b">
        <f>OR(Transport_Table[[#This Row],[Technology]]="All",Transport_Table[[#This Row],[Technology]]=SelectedTechnology)</f>
        <v>0</v>
      </c>
      <c r="J167" s="14" t="b">
        <f>OR(Transport_Table[[#This Row],[Data Source]]="All",Transport_Table[[#This Row],[Data Source]]=SelectedDataSource)</f>
        <v>1</v>
      </c>
      <c r="L167" s="14" t="b">
        <f>AND(Transport_Table[[#This Row],[Show Feedstock]:[Show Data Source]],NOT(Transport_Table[[#This Row],[Hide Column]]))</f>
        <v>0</v>
      </c>
      <c r="M167" s="14" t="s">
        <v>147</v>
      </c>
      <c r="N167" s="14" t="s">
        <v>1219</v>
      </c>
      <c r="O167" s="14" t="s">
        <v>1301</v>
      </c>
      <c r="P167" s="178" t="s">
        <v>1700</v>
      </c>
      <c r="Q167" s="241" t="s">
        <v>1943</v>
      </c>
      <c r="R167" s="393">
        <v>0.33</v>
      </c>
      <c r="S167" s="394">
        <v>520</v>
      </c>
      <c r="T167" s="107"/>
    </row>
    <row r="168" spans="1:20" x14ac:dyDescent="0.3">
      <c r="A168" s="190" t="s">
        <v>316</v>
      </c>
      <c r="B168" s="178" t="s">
        <v>1964</v>
      </c>
      <c r="C168" s="178" t="s">
        <v>29</v>
      </c>
      <c r="D168" s="178" t="s">
        <v>29</v>
      </c>
      <c r="E168" s="178" t="s">
        <v>911</v>
      </c>
      <c r="F168" s="14" t="b">
        <f>OR(Transport_Table[[#This Row],[Feedstock]]="All",Transport_Table[[#This Row],[Feedstock]]=SelectedFeedstock)</f>
        <v>0</v>
      </c>
      <c r="G168" s="14" t="b">
        <f>OR(Transport_Table[[#This Row],[Conversion]]="All",Transport_Table[[#This Row],[Conversion]]=SelectedConversion)</f>
        <v>0</v>
      </c>
      <c r="H168" s="14" t="b">
        <f>OR(Transport_Table[[#This Row],[Data Set]]="All",Transport_Table[[#This Row],[Data Set]]=SelectedDataSet)</f>
        <v>1</v>
      </c>
      <c r="I168" s="14" t="b">
        <f>OR(Transport_Table[[#This Row],[Technology]]="All",Transport_Table[[#This Row],[Technology]]=SelectedTechnology)</f>
        <v>0</v>
      </c>
      <c r="J168" s="14" t="b">
        <f>OR(Transport_Table[[#This Row],[Data Source]]="All",Transport_Table[[#This Row],[Data Source]]=SelectedDataSource)</f>
        <v>1</v>
      </c>
      <c r="L168" s="14" t="b">
        <f>AND(Transport_Table[[#This Row],[Show Feedstock]:[Show Data Source]],NOT(Transport_Table[[#This Row],[Hide Column]]))</f>
        <v>0</v>
      </c>
      <c r="M168" s="14" t="s">
        <v>147</v>
      </c>
      <c r="N168" s="14" t="s">
        <v>1220</v>
      </c>
      <c r="O168" s="14" t="s">
        <v>1302</v>
      </c>
      <c r="P168" s="178" t="s">
        <v>1700</v>
      </c>
      <c r="Q168" s="241" t="s">
        <v>1944</v>
      </c>
      <c r="R168" s="393">
        <v>0.6</v>
      </c>
      <c r="S168" s="394">
        <v>400</v>
      </c>
      <c r="T168" s="107"/>
    </row>
    <row r="169" spans="1:20" x14ac:dyDescent="0.3">
      <c r="A169" s="190" t="s">
        <v>316</v>
      </c>
      <c r="B169" s="178" t="s">
        <v>1964</v>
      </c>
      <c r="C169" s="178" t="s">
        <v>29</v>
      </c>
      <c r="D169" s="178" t="s">
        <v>29</v>
      </c>
      <c r="E169" s="178" t="s">
        <v>911</v>
      </c>
      <c r="F169" s="14" t="b">
        <f>OR(Transport_Table[[#This Row],[Feedstock]]="All",Transport_Table[[#This Row],[Feedstock]]=SelectedFeedstock)</f>
        <v>0</v>
      </c>
      <c r="G169" s="14" t="b">
        <f>OR(Transport_Table[[#This Row],[Conversion]]="All",Transport_Table[[#This Row],[Conversion]]=SelectedConversion)</f>
        <v>0</v>
      </c>
      <c r="H169" s="14" t="b">
        <f>OR(Transport_Table[[#This Row],[Data Set]]="All",Transport_Table[[#This Row],[Data Set]]=SelectedDataSet)</f>
        <v>1</v>
      </c>
      <c r="I169" s="14" t="b">
        <f>OR(Transport_Table[[#This Row],[Technology]]="All",Transport_Table[[#This Row],[Technology]]=SelectedTechnology)</f>
        <v>0</v>
      </c>
      <c r="J169" s="14" t="b">
        <f>OR(Transport_Table[[#This Row],[Data Source]]="All",Transport_Table[[#This Row],[Data Source]]=SelectedDataSource)</f>
        <v>1</v>
      </c>
      <c r="L169" s="14" t="b">
        <f>AND(Transport_Table[[#This Row],[Show Feedstock]:[Show Data Source]],NOT(Transport_Table[[#This Row],[Hide Column]]))</f>
        <v>0</v>
      </c>
      <c r="M169" s="14" t="s">
        <v>147</v>
      </c>
      <c r="N169" s="14" t="s">
        <v>1221</v>
      </c>
      <c r="O169" s="14" t="s">
        <v>1303</v>
      </c>
      <c r="P169" s="178" t="s">
        <v>1700</v>
      </c>
      <c r="Q169" s="241" t="s">
        <v>1945</v>
      </c>
      <c r="R169" s="393">
        <v>6.9999999999999951E-2</v>
      </c>
      <c r="S169" s="394">
        <v>800</v>
      </c>
      <c r="T169" s="107"/>
    </row>
    <row r="170" spans="1:20" x14ac:dyDescent="0.3">
      <c r="A170" s="190" t="s">
        <v>316</v>
      </c>
      <c r="B170" s="178" t="s">
        <v>1964</v>
      </c>
      <c r="C170" s="178" t="s">
        <v>29</v>
      </c>
      <c r="D170" s="178" t="s">
        <v>29</v>
      </c>
      <c r="E170" s="178" t="s">
        <v>911</v>
      </c>
      <c r="F170" s="14" t="b">
        <f>OR(Transport_Table[[#This Row],[Feedstock]]="All",Transport_Table[[#This Row],[Feedstock]]=SelectedFeedstock)</f>
        <v>0</v>
      </c>
      <c r="G170" s="14" t="b">
        <f>OR(Transport_Table[[#This Row],[Conversion]]="All",Transport_Table[[#This Row],[Conversion]]=SelectedConversion)</f>
        <v>0</v>
      </c>
      <c r="H170" s="14" t="b">
        <f>OR(Transport_Table[[#This Row],[Data Set]]="All",Transport_Table[[#This Row],[Data Set]]=SelectedDataSet)</f>
        <v>1</v>
      </c>
      <c r="I170" s="14" t="b">
        <f>OR(Transport_Table[[#This Row],[Technology]]="All",Transport_Table[[#This Row],[Technology]]=SelectedTechnology)</f>
        <v>0</v>
      </c>
      <c r="J170" s="14" t="b">
        <f>OR(Transport_Table[[#This Row],[Data Source]]="All",Transport_Table[[#This Row],[Data Source]]=SelectedDataSource)</f>
        <v>1</v>
      </c>
      <c r="L170" s="14" t="b">
        <f>AND(Transport_Table[[#This Row],[Show Feedstock]:[Show Data Source]],NOT(Transport_Table[[#This Row],[Hide Column]]))</f>
        <v>0</v>
      </c>
      <c r="M170" s="14" t="s">
        <v>147</v>
      </c>
      <c r="N170" s="14" t="s">
        <v>1222</v>
      </c>
      <c r="O170" s="14" t="s">
        <v>1304</v>
      </c>
      <c r="P170" s="178" t="s">
        <v>1700</v>
      </c>
      <c r="Q170" s="241" t="s">
        <v>1946</v>
      </c>
      <c r="R170" s="393">
        <v>1</v>
      </c>
      <c r="S170" s="394">
        <v>30</v>
      </c>
      <c r="T170" s="107"/>
    </row>
    <row r="171" spans="1:20" x14ac:dyDescent="0.3">
      <c r="A171" s="178" t="s">
        <v>136</v>
      </c>
      <c r="B171" s="178" t="s">
        <v>1964</v>
      </c>
      <c r="C171" s="178" t="s">
        <v>29</v>
      </c>
      <c r="D171" s="178" t="s">
        <v>29</v>
      </c>
      <c r="E171" s="178" t="s">
        <v>1590</v>
      </c>
      <c r="F171" s="14" t="b">
        <f>OR(Transport_Table[[#This Row],[Feedstock]]="All",Transport_Table[[#This Row],[Feedstock]]=SelectedFeedstock)</f>
        <v>0</v>
      </c>
      <c r="G171" s="14" t="b">
        <f>OR(Transport_Table[[#This Row],[Conversion]]="All",Transport_Table[[#This Row],[Conversion]]=SelectedConversion)</f>
        <v>0</v>
      </c>
      <c r="H171" s="14" t="b">
        <f>OR(Transport_Table[[#This Row],[Data Set]]="All",Transport_Table[[#This Row],[Data Set]]=SelectedDataSet)</f>
        <v>1</v>
      </c>
      <c r="I171" s="14" t="b">
        <f>OR(Transport_Table[[#This Row],[Technology]]="All",Transport_Table[[#This Row],[Technology]]=SelectedTechnology)</f>
        <v>0</v>
      </c>
      <c r="J171" s="14" t="b">
        <f>OR(Transport_Table[[#This Row],[Data Source]]="All",Transport_Table[[#This Row],[Data Source]]=SelectedDataSource)</f>
        <v>1</v>
      </c>
      <c r="L171" s="14" t="b">
        <f>AND(Transport_Table[[#This Row],[Show Feedstock]:[Show Data Source]],NOT(Transport_Table[[#This Row],[Hide Column]]))</f>
        <v>0</v>
      </c>
      <c r="M171" s="14" t="s">
        <v>429</v>
      </c>
      <c r="N171" s="14" t="s">
        <v>1219</v>
      </c>
      <c r="O171" s="14" t="s">
        <v>1301</v>
      </c>
      <c r="P171" s="178" t="s">
        <v>1700</v>
      </c>
      <c r="Q171" s="241" t="s">
        <v>1943</v>
      </c>
      <c r="R171" s="393">
        <v>0.33</v>
      </c>
      <c r="S171" s="394">
        <v>520</v>
      </c>
      <c r="T171" s="107"/>
    </row>
    <row r="172" spans="1:20" x14ac:dyDescent="0.3">
      <c r="A172" s="178" t="s">
        <v>136</v>
      </c>
      <c r="B172" s="178" t="s">
        <v>1964</v>
      </c>
      <c r="C172" s="178" t="s">
        <v>29</v>
      </c>
      <c r="D172" s="178" t="s">
        <v>29</v>
      </c>
      <c r="E172" s="178" t="s">
        <v>1590</v>
      </c>
      <c r="F172" s="14" t="b">
        <f>OR(Transport_Table[[#This Row],[Feedstock]]="All",Transport_Table[[#This Row],[Feedstock]]=SelectedFeedstock)</f>
        <v>0</v>
      </c>
      <c r="G172" s="14" t="b">
        <f>OR(Transport_Table[[#This Row],[Conversion]]="All",Transport_Table[[#This Row],[Conversion]]=SelectedConversion)</f>
        <v>0</v>
      </c>
      <c r="H172" s="14" t="b">
        <f>OR(Transport_Table[[#This Row],[Data Set]]="All",Transport_Table[[#This Row],[Data Set]]=SelectedDataSet)</f>
        <v>1</v>
      </c>
      <c r="I172" s="14" t="b">
        <f>OR(Transport_Table[[#This Row],[Technology]]="All",Transport_Table[[#This Row],[Technology]]=SelectedTechnology)</f>
        <v>0</v>
      </c>
      <c r="J172" s="14" t="b">
        <f>OR(Transport_Table[[#This Row],[Data Source]]="All",Transport_Table[[#This Row],[Data Source]]=SelectedDataSource)</f>
        <v>1</v>
      </c>
      <c r="L172" s="14" t="b">
        <f>AND(Transport_Table[[#This Row],[Show Feedstock]:[Show Data Source]],NOT(Transport_Table[[#This Row],[Hide Column]]))</f>
        <v>0</v>
      </c>
      <c r="M172" s="14" t="s">
        <v>429</v>
      </c>
      <c r="N172" s="14" t="s">
        <v>1220</v>
      </c>
      <c r="O172" s="14" t="s">
        <v>1302</v>
      </c>
      <c r="P172" s="178" t="s">
        <v>1700</v>
      </c>
      <c r="Q172" s="241" t="s">
        <v>1944</v>
      </c>
      <c r="R172" s="393">
        <v>0.6</v>
      </c>
      <c r="S172" s="394">
        <v>400</v>
      </c>
      <c r="T172" s="107"/>
    </row>
    <row r="173" spans="1:20" x14ac:dyDescent="0.3">
      <c r="A173" s="178" t="s">
        <v>136</v>
      </c>
      <c r="B173" s="178" t="s">
        <v>1964</v>
      </c>
      <c r="C173" s="178" t="s">
        <v>29</v>
      </c>
      <c r="D173" s="178" t="s">
        <v>29</v>
      </c>
      <c r="E173" s="178" t="s">
        <v>1590</v>
      </c>
      <c r="F173" s="14" t="b">
        <f>OR(Transport_Table[[#This Row],[Feedstock]]="All",Transport_Table[[#This Row],[Feedstock]]=SelectedFeedstock)</f>
        <v>0</v>
      </c>
      <c r="G173" s="14" t="b">
        <f>OR(Transport_Table[[#This Row],[Conversion]]="All",Transport_Table[[#This Row],[Conversion]]=SelectedConversion)</f>
        <v>0</v>
      </c>
      <c r="H173" s="14" t="b">
        <f>OR(Transport_Table[[#This Row],[Data Set]]="All",Transport_Table[[#This Row],[Data Set]]=SelectedDataSet)</f>
        <v>1</v>
      </c>
      <c r="I173" s="14" t="b">
        <f>OR(Transport_Table[[#This Row],[Technology]]="All",Transport_Table[[#This Row],[Technology]]=SelectedTechnology)</f>
        <v>0</v>
      </c>
      <c r="J173" s="14" t="b">
        <f>OR(Transport_Table[[#This Row],[Data Source]]="All",Transport_Table[[#This Row],[Data Source]]=SelectedDataSource)</f>
        <v>1</v>
      </c>
      <c r="L173" s="14" t="b">
        <f>AND(Transport_Table[[#This Row],[Show Feedstock]:[Show Data Source]],NOT(Transport_Table[[#This Row],[Hide Column]]))</f>
        <v>0</v>
      </c>
      <c r="M173" s="14" t="s">
        <v>429</v>
      </c>
      <c r="N173" s="14" t="s">
        <v>1221</v>
      </c>
      <c r="O173" s="14" t="s">
        <v>1303</v>
      </c>
      <c r="P173" s="178" t="s">
        <v>1700</v>
      </c>
      <c r="Q173" s="241" t="s">
        <v>1945</v>
      </c>
      <c r="R173" s="393">
        <v>6.9999999999999951E-2</v>
      </c>
      <c r="S173" s="394">
        <v>800</v>
      </c>
      <c r="T173" s="107"/>
    </row>
    <row r="174" spans="1:20" x14ac:dyDescent="0.3">
      <c r="A174" s="178" t="s">
        <v>136</v>
      </c>
      <c r="B174" s="178" t="s">
        <v>1964</v>
      </c>
      <c r="C174" s="178" t="s">
        <v>29</v>
      </c>
      <c r="D174" s="178" t="s">
        <v>29</v>
      </c>
      <c r="E174" s="178" t="s">
        <v>1590</v>
      </c>
      <c r="F174" s="14" t="b">
        <f>OR(Transport_Table[[#This Row],[Feedstock]]="All",Transport_Table[[#This Row],[Feedstock]]=SelectedFeedstock)</f>
        <v>0</v>
      </c>
      <c r="G174" s="14" t="b">
        <f>OR(Transport_Table[[#This Row],[Conversion]]="All",Transport_Table[[#This Row],[Conversion]]=SelectedConversion)</f>
        <v>0</v>
      </c>
      <c r="H174" s="14" t="b">
        <f>OR(Transport_Table[[#This Row],[Data Set]]="All",Transport_Table[[#This Row],[Data Set]]=SelectedDataSet)</f>
        <v>1</v>
      </c>
      <c r="I174" s="14" t="b">
        <f>OR(Transport_Table[[#This Row],[Technology]]="All",Transport_Table[[#This Row],[Technology]]=SelectedTechnology)</f>
        <v>0</v>
      </c>
      <c r="J174" s="14" t="b">
        <f>OR(Transport_Table[[#This Row],[Data Source]]="All",Transport_Table[[#This Row],[Data Source]]=SelectedDataSource)</f>
        <v>1</v>
      </c>
      <c r="L174" s="14" t="b">
        <f>AND(Transport_Table[[#This Row],[Show Feedstock]:[Show Data Source]],NOT(Transport_Table[[#This Row],[Hide Column]]))</f>
        <v>0</v>
      </c>
      <c r="M174" s="14" t="s">
        <v>429</v>
      </c>
      <c r="N174" s="14" t="s">
        <v>1222</v>
      </c>
      <c r="O174" s="14" t="s">
        <v>1304</v>
      </c>
      <c r="P174" s="178" t="s">
        <v>1700</v>
      </c>
      <c r="Q174" s="241" t="s">
        <v>1946</v>
      </c>
      <c r="R174" s="393">
        <v>1</v>
      </c>
      <c r="S174" s="394">
        <v>30</v>
      </c>
      <c r="T174" s="107"/>
    </row>
    <row r="175" spans="1:20" x14ac:dyDescent="0.3">
      <c r="A175" s="178" t="s">
        <v>136</v>
      </c>
      <c r="B175" s="178" t="s">
        <v>1964</v>
      </c>
      <c r="C175" s="178" t="s">
        <v>29</v>
      </c>
      <c r="D175" s="178" t="s">
        <v>29</v>
      </c>
      <c r="E175" s="178" t="s">
        <v>1591</v>
      </c>
      <c r="F175" s="14" t="b">
        <f>OR(Transport_Table[[#This Row],[Feedstock]]="All",Transport_Table[[#This Row],[Feedstock]]=SelectedFeedstock)</f>
        <v>0</v>
      </c>
      <c r="G175" s="14" t="b">
        <f>OR(Transport_Table[[#This Row],[Conversion]]="All",Transport_Table[[#This Row],[Conversion]]=SelectedConversion)</f>
        <v>0</v>
      </c>
      <c r="H175" s="14" t="b">
        <f>OR(Transport_Table[[#This Row],[Data Set]]="All",Transport_Table[[#This Row],[Data Set]]=SelectedDataSet)</f>
        <v>1</v>
      </c>
      <c r="I175" s="14" t="b">
        <f>OR(Transport_Table[[#This Row],[Technology]]="All",Transport_Table[[#This Row],[Technology]]=SelectedTechnology)</f>
        <v>0</v>
      </c>
      <c r="J175" s="14" t="b">
        <f>OR(Transport_Table[[#This Row],[Data Source]]="All",Transport_Table[[#This Row],[Data Source]]=SelectedDataSource)</f>
        <v>1</v>
      </c>
      <c r="L175" s="14" t="b">
        <f>AND(Transport_Table[[#This Row],[Show Feedstock]:[Show Data Source]],NOT(Transport_Table[[#This Row],[Hide Column]]))</f>
        <v>0</v>
      </c>
      <c r="M175" s="14" t="s">
        <v>429</v>
      </c>
      <c r="N175" s="14" t="s">
        <v>1219</v>
      </c>
      <c r="O175" s="14" t="s">
        <v>1301</v>
      </c>
      <c r="P175" s="178" t="s">
        <v>1700</v>
      </c>
      <c r="Q175" s="241" t="s">
        <v>1943</v>
      </c>
      <c r="R175" s="393">
        <v>0.33</v>
      </c>
      <c r="S175" s="394">
        <v>520</v>
      </c>
      <c r="T175" s="107"/>
    </row>
    <row r="176" spans="1:20" x14ac:dyDescent="0.3">
      <c r="A176" s="178" t="s">
        <v>136</v>
      </c>
      <c r="B176" s="178" t="s">
        <v>1964</v>
      </c>
      <c r="C176" s="178" t="s">
        <v>29</v>
      </c>
      <c r="D176" s="178" t="s">
        <v>29</v>
      </c>
      <c r="E176" s="178" t="s">
        <v>1591</v>
      </c>
      <c r="F176" s="14" t="b">
        <f>OR(Transport_Table[[#This Row],[Feedstock]]="All",Transport_Table[[#This Row],[Feedstock]]=SelectedFeedstock)</f>
        <v>0</v>
      </c>
      <c r="G176" s="14" t="b">
        <f>OR(Transport_Table[[#This Row],[Conversion]]="All",Transport_Table[[#This Row],[Conversion]]=SelectedConversion)</f>
        <v>0</v>
      </c>
      <c r="H176" s="14" t="b">
        <f>OR(Transport_Table[[#This Row],[Data Set]]="All",Transport_Table[[#This Row],[Data Set]]=SelectedDataSet)</f>
        <v>1</v>
      </c>
      <c r="I176" s="14" t="b">
        <f>OR(Transport_Table[[#This Row],[Technology]]="All",Transport_Table[[#This Row],[Technology]]=SelectedTechnology)</f>
        <v>0</v>
      </c>
      <c r="J176" s="14" t="b">
        <f>OR(Transport_Table[[#This Row],[Data Source]]="All",Transport_Table[[#This Row],[Data Source]]=SelectedDataSource)</f>
        <v>1</v>
      </c>
      <c r="L176" s="14" t="b">
        <f>AND(Transport_Table[[#This Row],[Show Feedstock]:[Show Data Source]],NOT(Transport_Table[[#This Row],[Hide Column]]))</f>
        <v>0</v>
      </c>
      <c r="M176" s="14" t="s">
        <v>429</v>
      </c>
      <c r="N176" s="14" t="s">
        <v>1220</v>
      </c>
      <c r="O176" s="14" t="s">
        <v>1302</v>
      </c>
      <c r="P176" s="178" t="s">
        <v>1700</v>
      </c>
      <c r="Q176" s="241" t="s">
        <v>1944</v>
      </c>
      <c r="R176" s="393">
        <v>0.6</v>
      </c>
      <c r="S176" s="394">
        <v>400</v>
      </c>
      <c r="T176" s="107"/>
    </row>
    <row r="177" spans="1:20" x14ac:dyDescent="0.3">
      <c r="A177" s="178" t="s">
        <v>136</v>
      </c>
      <c r="B177" s="178" t="s">
        <v>1964</v>
      </c>
      <c r="C177" s="178" t="s">
        <v>29</v>
      </c>
      <c r="D177" s="178" t="s">
        <v>29</v>
      </c>
      <c r="E177" s="178" t="s">
        <v>1591</v>
      </c>
      <c r="F177" s="14" t="b">
        <f>OR(Transport_Table[[#This Row],[Feedstock]]="All",Transport_Table[[#This Row],[Feedstock]]=SelectedFeedstock)</f>
        <v>0</v>
      </c>
      <c r="G177" s="14" t="b">
        <f>OR(Transport_Table[[#This Row],[Conversion]]="All",Transport_Table[[#This Row],[Conversion]]=SelectedConversion)</f>
        <v>0</v>
      </c>
      <c r="H177" s="14" t="b">
        <f>OR(Transport_Table[[#This Row],[Data Set]]="All",Transport_Table[[#This Row],[Data Set]]=SelectedDataSet)</f>
        <v>1</v>
      </c>
      <c r="I177" s="14" t="b">
        <f>OR(Transport_Table[[#This Row],[Technology]]="All",Transport_Table[[#This Row],[Technology]]=SelectedTechnology)</f>
        <v>0</v>
      </c>
      <c r="J177" s="14" t="b">
        <f>OR(Transport_Table[[#This Row],[Data Source]]="All",Transport_Table[[#This Row],[Data Source]]=SelectedDataSource)</f>
        <v>1</v>
      </c>
      <c r="L177" s="14" t="b">
        <f>AND(Transport_Table[[#This Row],[Show Feedstock]:[Show Data Source]],NOT(Transport_Table[[#This Row],[Hide Column]]))</f>
        <v>0</v>
      </c>
      <c r="M177" s="14" t="s">
        <v>429</v>
      </c>
      <c r="N177" s="14" t="s">
        <v>1221</v>
      </c>
      <c r="O177" s="14" t="s">
        <v>1303</v>
      </c>
      <c r="P177" s="178" t="s">
        <v>1700</v>
      </c>
      <c r="Q177" s="241" t="s">
        <v>1945</v>
      </c>
      <c r="R177" s="393">
        <v>6.9999999999999951E-2</v>
      </c>
      <c r="S177" s="394">
        <v>800</v>
      </c>
      <c r="T177" s="107"/>
    </row>
    <row r="178" spans="1:20" x14ac:dyDescent="0.3">
      <c r="A178" s="178" t="s">
        <v>136</v>
      </c>
      <c r="B178" s="178" t="s">
        <v>1964</v>
      </c>
      <c r="C178" s="178" t="s">
        <v>29</v>
      </c>
      <c r="D178" s="178" t="s">
        <v>29</v>
      </c>
      <c r="E178" s="178" t="s">
        <v>1591</v>
      </c>
      <c r="F178" s="14" t="b">
        <f>OR(Transport_Table[[#This Row],[Feedstock]]="All",Transport_Table[[#This Row],[Feedstock]]=SelectedFeedstock)</f>
        <v>0</v>
      </c>
      <c r="G178" s="14" t="b">
        <f>OR(Transport_Table[[#This Row],[Conversion]]="All",Transport_Table[[#This Row],[Conversion]]=SelectedConversion)</f>
        <v>0</v>
      </c>
      <c r="H178" s="14" t="b">
        <f>OR(Transport_Table[[#This Row],[Data Set]]="All",Transport_Table[[#This Row],[Data Set]]=SelectedDataSet)</f>
        <v>1</v>
      </c>
      <c r="I178" s="14" t="b">
        <f>OR(Transport_Table[[#This Row],[Technology]]="All",Transport_Table[[#This Row],[Technology]]=SelectedTechnology)</f>
        <v>0</v>
      </c>
      <c r="J178" s="14" t="b">
        <f>OR(Transport_Table[[#This Row],[Data Source]]="All",Transport_Table[[#This Row],[Data Source]]=SelectedDataSource)</f>
        <v>1</v>
      </c>
      <c r="L178" s="14" t="b">
        <f>AND(Transport_Table[[#This Row],[Show Feedstock]:[Show Data Source]],NOT(Transport_Table[[#This Row],[Hide Column]]))</f>
        <v>0</v>
      </c>
      <c r="M178" s="14" t="s">
        <v>429</v>
      </c>
      <c r="N178" s="14" t="s">
        <v>1222</v>
      </c>
      <c r="O178" s="14" t="s">
        <v>1304</v>
      </c>
      <c r="P178" s="178" t="s">
        <v>1700</v>
      </c>
      <c r="Q178" s="241" t="s">
        <v>1946</v>
      </c>
      <c r="R178" s="393">
        <v>1</v>
      </c>
      <c r="S178" s="394">
        <v>30</v>
      </c>
      <c r="T178" s="107"/>
    </row>
    <row r="179" spans="1:20" x14ac:dyDescent="0.3">
      <c r="A179" s="423" t="s">
        <v>136</v>
      </c>
      <c r="B179" s="423" t="s">
        <v>1964</v>
      </c>
      <c r="C179" s="423" t="s">
        <v>29</v>
      </c>
      <c r="D179" s="423" t="s">
        <v>29</v>
      </c>
      <c r="E179" s="423" t="s">
        <v>1592</v>
      </c>
      <c r="F179" s="402" t="b">
        <f>OR(Transport_Table[[#This Row],[Feedstock]]="All",Transport_Table[[#This Row],[Feedstock]]=SelectedFeedstock)</f>
        <v>0</v>
      </c>
      <c r="G179" s="402" t="b">
        <f>OR(Transport_Table[[#This Row],[Conversion]]="All",Transport_Table[[#This Row],[Conversion]]=SelectedConversion)</f>
        <v>0</v>
      </c>
      <c r="H179" s="402" t="b">
        <f>OR(Transport_Table[[#This Row],[Data Set]]="All",Transport_Table[[#This Row],[Data Set]]=SelectedDataSet)</f>
        <v>1</v>
      </c>
      <c r="I179" s="402" t="b">
        <f>OR(Transport_Table[[#This Row],[Technology]]="All",Transport_Table[[#This Row],[Technology]]=SelectedTechnology)</f>
        <v>0</v>
      </c>
      <c r="J179" s="402" t="b">
        <f>OR(Transport_Table[[#This Row],[Data Source]]="All",Transport_Table[[#This Row],[Data Source]]=SelectedDataSource)</f>
        <v>1</v>
      </c>
      <c r="K179" s="402"/>
      <c r="L179" s="402" t="b">
        <f>AND(Transport_Table[[#This Row],[Show Feedstock]:[Show Data Source]],NOT(Transport_Table[[#This Row],[Hide Column]]))</f>
        <v>0</v>
      </c>
      <c r="M179" s="402" t="s">
        <v>429</v>
      </c>
      <c r="N179" s="402" t="s">
        <v>1223</v>
      </c>
      <c r="O179" s="402" t="s">
        <v>1305</v>
      </c>
      <c r="P179" s="423" t="s">
        <v>138</v>
      </c>
      <c r="Q179" s="423" t="s">
        <v>2010</v>
      </c>
      <c r="R179" s="433">
        <v>0.13200000000000001</v>
      </c>
      <c r="S179" s="434">
        <v>520</v>
      </c>
      <c r="T179" s="135"/>
    </row>
    <row r="180" spans="1:20" x14ac:dyDescent="0.3">
      <c r="A180" s="423" t="s">
        <v>136</v>
      </c>
      <c r="B180" s="423" t="s">
        <v>1964</v>
      </c>
      <c r="C180" s="423" t="s">
        <v>29</v>
      </c>
      <c r="D180" s="423" t="s">
        <v>29</v>
      </c>
      <c r="E180" s="423" t="s">
        <v>1592</v>
      </c>
      <c r="F180" s="402" t="b">
        <f>OR(Transport_Table[[#This Row],[Feedstock]]="All",Transport_Table[[#This Row],[Feedstock]]=SelectedFeedstock)</f>
        <v>0</v>
      </c>
      <c r="G180" s="402" t="b">
        <f>OR(Transport_Table[[#This Row],[Conversion]]="All",Transport_Table[[#This Row],[Conversion]]=SelectedConversion)</f>
        <v>0</v>
      </c>
      <c r="H180" s="402" t="b">
        <f>OR(Transport_Table[[#This Row],[Data Set]]="All",Transport_Table[[#This Row],[Data Set]]=SelectedDataSet)</f>
        <v>1</v>
      </c>
      <c r="I180" s="402" t="b">
        <f>OR(Transport_Table[[#This Row],[Technology]]="All",Transport_Table[[#This Row],[Technology]]=SelectedTechnology)</f>
        <v>0</v>
      </c>
      <c r="J180" s="402" t="b">
        <f>OR(Transport_Table[[#This Row],[Data Source]]="All",Transport_Table[[#This Row],[Data Source]]=SelectedDataSource)</f>
        <v>1</v>
      </c>
      <c r="K180" s="402"/>
      <c r="L180" s="402" t="b">
        <f>AND(Transport_Table[[#This Row],[Show Feedstock]:[Show Data Source]],NOT(Transport_Table[[#This Row],[Hide Column]]))</f>
        <v>0</v>
      </c>
      <c r="M180" s="402" t="s">
        <v>429</v>
      </c>
      <c r="N180" s="402" t="s">
        <v>1224</v>
      </c>
      <c r="O180" s="402" t="s">
        <v>1306</v>
      </c>
      <c r="P180" s="423" t="s">
        <v>138</v>
      </c>
      <c r="Q180" s="423" t="s">
        <v>2011</v>
      </c>
      <c r="R180" s="433">
        <v>0</v>
      </c>
      <c r="S180" s="394">
        <v>0</v>
      </c>
      <c r="T180" s="135"/>
    </row>
    <row r="181" spans="1:20" x14ac:dyDescent="0.3">
      <c r="A181" s="423" t="s">
        <v>136</v>
      </c>
      <c r="B181" s="423" t="s">
        <v>1964</v>
      </c>
      <c r="C181" s="423" t="s">
        <v>29</v>
      </c>
      <c r="D181" s="423" t="s">
        <v>29</v>
      </c>
      <c r="E181" s="423" t="s">
        <v>1592</v>
      </c>
      <c r="F181" s="402" t="b">
        <f>OR(Transport_Table[[#This Row],[Feedstock]]="All",Transport_Table[[#This Row],[Feedstock]]=SelectedFeedstock)</f>
        <v>0</v>
      </c>
      <c r="G181" s="402" t="b">
        <f>OR(Transport_Table[[#This Row],[Conversion]]="All",Transport_Table[[#This Row],[Conversion]]=SelectedConversion)</f>
        <v>0</v>
      </c>
      <c r="H181" s="402" t="b">
        <f>OR(Transport_Table[[#This Row],[Data Set]]="All",Transport_Table[[#This Row],[Data Set]]=SelectedDataSet)</f>
        <v>1</v>
      </c>
      <c r="I181" s="402" t="b">
        <f>OR(Transport_Table[[#This Row],[Technology]]="All",Transport_Table[[#This Row],[Technology]]=SelectedTechnology)</f>
        <v>0</v>
      </c>
      <c r="J181" s="402" t="b">
        <f>OR(Transport_Table[[#This Row],[Data Source]]="All",Transport_Table[[#This Row],[Data Source]]=SelectedDataSource)</f>
        <v>1</v>
      </c>
      <c r="K181" s="402"/>
      <c r="L181" s="402" t="b">
        <f>AND(Transport_Table[[#This Row],[Show Feedstock]:[Show Data Source]],NOT(Transport_Table[[#This Row],[Hide Column]]))</f>
        <v>0</v>
      </c>
      <c r="M181" s="402" t="s">
        <v>429</v>
      </c>
      <c r="N181" s="402" t="s">
        <v>1225</v>
      </c>
      <c r="O181" s="402" t="s">
        <v>1307</v>
      </c>
      <c r="P181" s="423" t="s">
        <v>138</v>
      </c>
      <c r="Q181" s="423" t="s">
        <v>2012</v>
      </c>
      <c r="R181" s="433">
        <v>0.78900000000000003</v>
      </c>
      <c r="S181" s="434">
        <v>800</v>
      </c>
      <c r="T181" s="135"/>
    </row>
    <row r="182" spans="1:20" x14ac:dyDescent="0.3">
      <c r="A182" s="423" t="s">
        <v>136</v>
      </c>
      <c r="B182" s="423" t="s">
        <v>1964</v>
      </c>
      <c r="C182" s="423" t="s">
        <v>29</v>
      </c>
      <c r="D182" s="423" t="s">
        <v>29</v>
      </c>
      <c r="E182" s="423" t="s">
        <v>1592</v>
      </c>
      <c r="F182" s="402" t="b">
        <f>OR(Transport_Table[[#This Row],[Feedstock]]="All",Transport_Table[[#This Row],[Feedstock]]=SelectedFeedstock)</f>
        <v>0</v>
      </c>
      <c r="G182" s="402" t="b">
        <f>OR(Transport_Table[[#This Row],[Conversion]]="All",Transport_Table[[#This Row],[Conversion]]=SelectedConversion)</f>
        <v>0</v>
      </c>
      <c r="H182" s="402" t="b">
        <f>OR(Transport_Table[[#This Row],[Data Set]]="All",Transport_Table[[#This Row],[Data Set]]=SelectedDataSet)</f>
        <v>1</v>
      </c>
      <c r="I182" s="402" t="b">
        <f>OR(Transport_Table[[#This Row],[Technology]]="All",Transport_Table[[#This Row],[Technology]]=SelectedTechnology)</f>
        <v>0</v>
      </c>
      <c r="J182" s="402" t="b">
        <f>OR(Transport_Table[[#This Row],[Data Source]]="All",Transport_Table[[#This Row],[Data Source]]=SelectedDataSource)</f>
        <v>1</v>
      </c>
      <c r="K182" s="402"/>
      <c r="L182" s="402" t="b">
        <f>AND(Transport_Table[[#This Row],[Show Feedstock]:[Show Data Source]],NOT(Transport_Table[[#This Row],[Hide Column]]))</f>
        <v>0</v>
      </c>
      <c r="M182" s="402" t="s">
        <v>429</v>
      </c>
      <c r="N182" s="402" t="s">
        <v>1226</v>
      </c>
      <c r="O182" s="402" t="s">
        <v>1308</v>
      </c>
      <c r="P182" s="423" t="s">
        <v>138</v>
      </c>
      <c r="Q182" s="423" t="s">
        <v>2013</v>
      </c>
      <c r="R182" s="433">
        <v>7.9000000000000001E-2</v>
      </c>
      <c r="S182" s="434">
        <v>80</v>
      </c>
      <c r="T182" s="135"/>
    </row>
    <row r="183" spans="1:20" x14ac:dyDescent="0.3">
      <c r="A183" s="178" t="s">
        <v>136</v>
      </c>
      <c r="B183" s="178" t="s">
        <v>1964</v>
      </c>
      <c r="C183" s="178" t="s">
        <v>29</v>
      </c>
      <c r="D183" s="178" t="s">
        <v>29</v>
      </c>
      <c r="E183" s="178" t="s">
        <v>1592</v>
      </c>
      <c r="F183" s="14" t="b">
        <f>OR(Transport_Table[[#This Row],[Feedstock]]="All",Transport_Table[[#This Row],[Feedstock]]=SelectedFeedstock)</f>
        <v>0</v>
      </c>
      <c r="G183" s="14" t="b">
        <f>OR(Transport_Table[[#This Row],[Conversion]]="All",Transport_Table[[#This Row],[Conversion]]=SelectedConversion)</f>
        <v>0</v>
      </c>
      <c r="H183" s="14" t="b">
        <f>OR(Transport_Table[[#This Row],[Data Set]]="All",Transport_Table[[#This Row],[Data Set]]=SelectedDataSet)</f>
        <v>1</v>
      </c>
      <c r="I183" s="14" t="b">
        <f>OR(Transport_Table[[#This Row],[Technology]]="All",Transport_Table[[#This Row],[Technology]]=SelectedTechnology)</f>
        <v>0</v>
      </c>
      <c r="J183" s="14" t="b">
        <f>OR(Transport_Table[[#This Row],[Data Source]]="All",Transport_Table[[#This Row],[Data Source]]=SelectedDataSource)</f>
        <v>1</v>
      </c>
      <c r="L183" s="14" t="b">
        <f>AND(Transport_Table[[#This Row],[Show Feedstock]:[Show Data Source]],NOT(Transport_Table[[#This Row],[Hide Column]]))</f>
        <v>0</v>
      </c>
      <c r="M183" s="14" t="s">
        <v>429</v>
      </c>
      <c r="N183" s="14" t="s">
        <v>1219</v>
      </c>
      <c r="O183" s="14" t="s">
        <v>1301</v>
      </c>
      <c r="P183" s="178" t="s">
        <v>1700</v>
      </c>
      <c r="Q183" s="241" t="s">
        <v>2002</v>
      </c>
      <c r="R183" s="393">
        <v>0.33</v>
      </c>
      <c r="S183" s="394">
        <v>520</v>
      </c>
      <c r="T183" s="107"/>
    </row>
    <row r="184" spans="1:20" x14ac:dyDescent="0.3">
      <c r="A184" s="178" t="s">
        <v>136</v>
      </c>
      <c r="B184" s="178" t="s">
        <v>1964</v>
      </c>
      <c r="C184" s="178" t="s">
        <v>29</v>
      </c>
      <c r="D184" s="178" t="s">
        <v>29</v>
      </c>
      <c r="E184" s="178" t="s">
        <v>1592</v>
      </c>
      <c r="F184" s="14" t="b">
        <f>OR(Transport_Table[[#This Row],[Feedstock]]="All",Transport_Table[[#This Row],[Feedstock]]=SelectedFeedstock)</f>
        <v>0</v>
      </c>
      <c r="G184" s="14" t="b">
        <f>OR(Transport_Table[[#This Row],[Conversion]]="All",Transport_Table[[#This Row],[Conversion]]=SelectedConversion)</f>
        <v>0</v>
      </c>
      <c r="H184" s="14" t="b">
        <f>OR(Transport_Table[[#This Row],[Data Set]]="All",Transport_Table[[#This Row],[Data Set]]=SelectedDataSet)</f>
        <v>1</v>
      </c>
      <c r="I184" s="14" t="b">
        <f>OR(Transport_Table[[#This Row],[Technology]]="All",Transport_Table[[#This Row],[Technology]]=SelectedTechnology)</f>
        <v>0</v>
      </c>
      <c r="J184" s="14" t="b">
        <f>OR(Transport_Table[[#This Row],[Data Source]]="All",Transport_Table[[#This Row],[Data Source]]=SelectedDataSource)</f>
        <v>1</v>
      </c>
      <c r="L184" s="14" t="b">
        <f>AND(Transport_Table[[#This Row],[Show Feedstock]:[Show Data Source]],NOT(Transport_Table[[#This Row],[Hide Column]]))</f>
        <v>0</v>
      </c>
      <c r="M184" s="14" t="s">
        <v>429</v>
      </c>
      <c r="N184" s="14" t="s">
        <v>1220</v>
      </c>
      <c r="O184" s="14" t="s">
        <v>1302</v>
      </c>
      <c r="P184" s="178" t="s">
        <v>1700</v>
      </c>
      <c r="Q184" s="241" t="s">
        <v>2003</v>
      </c>
      <c r="R184" s="393">
        <v>0.6</v>
      </c>
      <c r="S184" s="394">
        <v>400</v>
      </c>
      <c r="T184" s="107"/>
    </row>
    <row r="185" spans="1:20" x14ac:dyDescent="0.3">
      <c r="A185" s="178" t="s">
        <v>136</v>
      </c>
      <c r="B185" s="178" t="s">
        <v>1964</v>
      </c>
      <c r="C185" s="178" t="s">
        <v>29</v>
      </c>
      <c r="D185" s="178" t="s">
        <v>29</v>
      </c>
      <c r="E185" s="178" t="s">
        <v>1592</v>
      </c>
      <c r="F185" s="14" t="b">
        <f>OR(Transport_Table[[#This Row],[Feedstock]]="All",Transport_Table[[#This Row],[Feedstock]]=SelectedFeedstock)</f>
        <v>0</v>
      </c>
      <c r="G185" s="14" t="b">
        <f>OR(Transport_Table[[#This Row],[Conversion]]="All",Transport_Table[[#This Row],[Conversion]]=SelectedConversion)</f>
        <v>0</v>
      </c>
      <c r="H185" s="14" t="b">
        <f>OR(Transport_Table[[#This Row],[Data Set]]="All",Transport_Table[[#This Row],[Data Set]]=SelectedDataSet)</f>
        <v>1</v>
      </c>
      <c r="I185" s="14" t="b">
        <f>OR(Transport_Table[[#This Row],[Technology]]="All",Transport_Table[[#This Row],[Technology]]=SelectedTechnology)</f>
        <v>0</v>
      </c>
      <c r="J185" s="14" t="b">
        <f>OR(Transport_Table[[#This Row],[Data Source]]="All",Transport_Table[[#This Row],[Data Source]]=SelectedDataSource)</f>
        <v>1</v>
      </c>
      <c r="L185" s="14" t="b">
        <f>AND(Transport_Table[[#This Row],[Show Feedstock]:[Show Data Source]],NOT(Transport_Table[[#This Row],[Hide Column]]))</f>
        <v>0</v>
      </c>
      <c r="M185" s="14" t="s">
        <v>429</v>
      </c>
      <c r="N185" s="14" t="s">
        <v>1221</v>
      </c>
      <c r="O185" s="14" t="s">
        <v>1303</v>
      </c>
      <c r="P185" s="178" t="s">
        <v>1700</v>
      </c>
      <c r="Q185" s="241" t="s">
        <v>2004</v>
      </c>
      <c r="R185" s="393">
        <v>6.9999999999999951E-2</v>
      </c>
      <c r="S185" s="394">
        <v>800</v>
      </c>
      <c r="T185" s="107"/>
    </row>
    <row r="186" spans="1:20" x14ac:dyDescent="0.3">
      <c r="A186" s="178" t="s">
        <v>136</v>
      </c>
      <c r="B186" s="178" t="s">
        <v>1964</v>
      </c>
      <c r="C186" s="178" t="s">
        <v>29</v>
      </c>
      <c r="D186" s="178" t="s">
        <v>29</v>
      </c>
      <c r="E186" s="178" t="s">
        <v>1592</v>
      </c>
      <c r="F186" s="14" t="b">
        <f>OR(Transport_Table[[#This Row],[Feedstock]]="All",Transport_Table[[#This Row],[Feedstock]]=SelectedFeedstock)</f>
        <v>0</v>
      </c>
      <c r="G186" s="14" t="b">
        <f>OR(Transport_Table[[#This Row],[Conversion]]="All",Transport_Table[[#This Row],[Conversion]]=SelectedConversion)</f>
        <v>0</v>
      </c>
      <c r="H186" s="14" t="b">
        <f>OR(Transport_Table[[#This Row],[Data Set]]="All",Transport_Table[[#This Row],[Data Set]]=SelectedDataSet)</f>
        <v>1</v>
      </c>
      <c r="I186" s="14" t="b">
        <f>OR(Transport_Table[[#This Row],[Technology]]="All",Transport_Table[[#This Row],[Technology]]=SelectedTechnology)</f>
        <v>0</v>
      </c>
      <c r="J186" s="14" t="b">
        <f>OR(Transport_Table[[#This Row],[Data Source]]="All",Transport_Table[[#This Row],[Data Source]]=SelectedDataSource)</f>
        <v>1</v>
      </c>
      <c r="L186" s="14" t="b">
        <f>AND(Transport_Table[[#This Row],[Show Feedstock]:[Show Data Source]],NOT(Transport_Table[[#This Row],[Hide Column]]))</f>
        <v>0</v>
      </c>
      <c r="M186" s="14" t="s">
        <v>429</v>
      </c>
      <c r="N186" s="14" t="s">
        <v>1849</v>
      </c>
      <c r="O186" s="14" t="s">
        <v>1850</v>
      </c>
      <c r="P186" s="178" t="s">
        <v>1700</v>
      </c>
      <c r="Q186" s="241" t="s">
        <v>2005</v>
      </c>
      <c r="R186" s="393">
        <v>0</v>
      </c>
      <c r="S186" s="394">
        <v>0</v>
      </c>
      <c r="T186" s="107"/>
    </row>
    <row r="187" spans="1:20" x14ac:dyDescent="0.3">
      <c r="A187" s="178" t="s">
        <v>136</v>
      </c>
      <c r="B187" s="178" t="s">
        <v>1964</v>
      </c>
      <c r="C187" s="178" t="s">
        <v>29</v>
      </c>
      <c r="D187" s="178" t="s">
        <v>29</v>
      </c>
      <c r="E187" s="178" t="s">
        <v>1592</v>
      </c>
      <c r="F187" s="14" t="b">
        <f>OR(Transport_Table[[#This Row],[Feedstock]]="All",Transport_Table[[#This Row],[Feedstock]]=SelectedFeedstock)</f>
        <v>0</v>
      </c>
      <c r="G187" s="14" t="b">
        <f>OR(Transport_Table[[#This Row],[Conversion]]="All",Transport_Table[[#This Row],[Conversion]]=SelectedConversion)</f>
        <v>0</v>
      </c>
      <c r="H187" s="14" t="b">
        <f>OR(Transport_Table[[#This Row],[Data Set]]="All",Transport_Table[[#This Row],[Data Set]]=SelectedDataSet)</f>
        <v>1</v>
      </c>
      <c r="I187" s="14" t="b">
        <f>OR(Transport_Table[[#This Row],[Technology]]="All",Transport_Table[[#This Row],[Technology]]=SelectedTechnology)</f>
        <v>0</v>
      </c>
      <c r="J187" s="14" t="b">
        <f>OR(Transport_Table[[#This Row],[Data Source]]="All",Transport_Table[[#This Row],[Data Source]]=SelectedDataSource)</f>
        <v>1</v>
      </c>
      <c r="K187" s="14" t="b">
        <v>1</v>
      </c>
      <c r="L187" s="14" t="b">
        <f>AND(Transport_Table[[#This Row],[Show Feedstock]:[Show Data Source]],NOT(Transport_Table[[#This Row],[Hide Column]]))</f>
        <v>0</v>
      </c>
      <c r="M187" s="14" t="s">
        <v>429</v>
      </c>
      <c r="N187" s="14" t="s">
        <v>1851</v>
      </c>
      <c r="O187" s="14" t="s">
        <v>1852</v>
      </c>
      <c r="P187" s="178" t="s">
        <v>1713</v>
      </c>
      <c r="Q187" s="241" t="s">
        <v>2006</v>
      </c>
      <c r="R187" s="393">
        <v>0</v>
      </c>
      <c r="S187" s="394">
        <v>0</v>
      </c>
      <c r="T187" s="107"/>
    </row>
    <row r="188" spans="1:20" x14ac:dyDescent="0.3">
      <c r="A188" s="178" t="s">
        <v>136</v>
      </c>
      <c r="B188" s="178" t="s">
        <v>1964</v>
      </c>
      <c r="C188" s="178" t="s">
        <v>29</v>
      </c>
      <c r="D188" s="178" t="s">
        <v>29</v>
      </c>
      <c r="E188" s="178" t="s">
        <v>1592</v>
      </c>
      <c r="F188" s="14" t="b">
        <f>OR(Transport_Table[[#This Row],[Feedstock]]="All",Transport_Table[[#This Row],[Feedstock]]=SelectedFeedstock)</f>
        <v>0</v>
      </c>
      <c r="G188" s="14" t="b">
        <f>OR(Transport_Table[[#This Row],[Conversion]]="All",Transport_Table[[#This Row],[Conversion]]=SelectedConversion)</f>
        <v>0</v>
      </c>
      <c r="H188" s="14" t="b">
        <f>OR(Transport_Table[[#This Row],[Data Set]]="All",Transport_Table[[#This Row],[Data Set]]=SelectedDataSet)</f>
        <v>1</v>
      </c>
      <c r="I188" s="14" t="b">
        <f>OR(Transport_Table[[#This Row],[Technology]]="All",Transport_Table[[#This Row],[Technology]]=SelectedTechnology)</f>
        <v>0</v>
      </c>
      <c r="J188" s="14" t="b">
        <f>OR(Transport_Table[[#This Row],[Data Source]]="All",Transport_Table[[#This Row],[Data Source]]=SelectedDataSource)</f>
        <v>1</v>
      </c>
      <c r="K188" s="14" t="b">
        <v>1</v>
      </c>
      <c r="L188" s="14" t="b">
        <f>AND(Transport_Table[[#This Row],[Show Feedstock]:[Show Data Source]],NOT(Transport_Table[[#This Row],[Hide Column]]))</f>
        <v>0</v>
      </c>
      <c r="M188" s="14" t="s">
        <v>429</v>
      </c>
      <c r="N188" s="14" t="s">
        <v>1853</v>
      </c>
      <c r="O188" s="14" t="s">
        <v>1854</v>
      </c>
      <c r="P188" s="178" t="s">
        <v>1713</v>
      </c>
      <c r="Q188" s="241" t="s">
        <v>2007</v>
      </c>
      <c r="R188" s="393">
        <v>0</v>
      </c>
      <c r="S188" s="394">
        <v>0</v>
      </c>
      <c r="T188" s="107"/>
    </row>
    <row r="189" spans="1:20" x14ac:dyDescent="0.3">
      <c r="A189" s="178" t="s">
        <v>136</v>
      </c>
      <c r="B189" s="178" t="s">
        <v>1964</v>
      </c>
      <c r="C189" s="178" t="s">
        <v>29</v>
      </c>
      <c r="D189" s="178" t="s">
        <v>29</v>
      </c>
      <c r="E189" s="178" t="s">
        <v>1592</v>
      </c>
      <c r="F189" s="14" t="b">
        <f>OR(Transport_Table[[#This Row],[Feedstock]]="All",Transport_Table[[#This Row],[Feedstock]]=SelectedFeedstock)</f>
        <v>0</v>
      </c>
      <c r="G189" s="14" t="b">
        <f>OR(Transport_Table[[#This Row],[Conversion]]="All",Transport_Table[[#This Row],[Conversion]]=SelectedConversion)</f>
        <v>0</v>
      </c>
      <c r="H189" s="14" t="b">
        <f>OR(Transport_Table[[#This Row],[Data Set]]="All",Transport_Table[[#This Row],[Data Set]]=SelectedDataSet)</f>
        <v>1</v>
      </c>
      <c r="I189" s="14" t="b">
        <f>OR(Transport_Table[[#This Row],[Technology]]="All",Transport_Table[[#This Row],[Technology]]=SelectedTechnology)</f>
        <v>0</v>
      </c>
      <c r="J189" s="14" t="b">
        <f>OR(Transport_Table[[#This Row],[Data Source]]="All",Transport_Table[[#This Row],[Data Source]]=SelectedDataSource)</f>
        <v>1</v>
      </c>
      <c r="K189" s="14" t="b">
        <v>1</v>
      </c>
      <c r="L189" s="14" t="b">
        <f>AND(Transport_Table[[#This Row],[Show Feedstock]:[Show Data Source]],NOT(Transport_Table[[#This Row],[Hide Column]]))</f>
        <v>0</v>
      </c>
      <c r="M189" s="14" t="s">
        <v>429</v>
      </c>
      <c r="N189" s="14" t="s">
        <v>1855</v>
      </c>
      <c r="O189" s="14" t="s">
        <v>1856</v>
      </c>
      <c r="P189" s="178" t="s">
        <v>1713</v>
      </c>
      <c r="Q189" s="241" t="s">
        <v>2008</v>
      </c>
      <c r="R189" s="393">
        <v>0</v>
      </c>
      <c r="S189" s="394">
        <v>0</v>
      </c>
      <c r="T189" s="107"/>
    </row>
    <row r="190" spans="1:20" x14ac:dyDescent="0.3">
      <c r="A190" s="178" t="s">
        <v>136</v>
      </c>
      <c r="B190" s="178" t="s">
        <v>1964</v>
      </c>
      <c r="C190" s="178" t="s">
        <v>29</v>
      </c>
      <c r="D190" s="178" t="s">
        <v>29</v>
      </c>
      <c r="E190" s="178" t="s">
        <v>1592</v>
      </c>
      <c r="F190" s="14" t="b">
        <f>OR(Transport_Table[[#This Row],[Feedstock]]="All",Transport_Table[[#This Row],[Feedstock]]=SelectedFeedstock)</f>
        <v>0</v>
      </c>
      <c r="G190" s="14" t="b">
        <f>OR(Transport_Table[[#This Row],[Conversion]]="All",Transport_Table[[#This Row],[Conversion]]=SelectedConversion)</f>
        <v>0</v>
      </c>
      <c r="H190" s="14" t="b">
        <f>OR(Transport_Table[[#This Row],[Data Set]]="All",Transport_Table[[#This Row],[Data Set]]=SelectedDataSet)</f>
        <v>1</v>
      </c>
      <c r="I190" s="14" t="b">
        <f>OR(Transport_Table[[#This Row],[Technology]]="All",Transport_Table[[#This Row],[Technology]]=SelectedTechnology)</f>
        <v>0</v>
      </c>
      <c r="J190" s="14" t="b">
        <f>OR(Transport_Table[[#This Row],[Data Source]]="All",Transport_Table[[#This Row],[Data Source]]=SelectedDataSource)</f>
        <v>1</v>
      </c>
      <c r="K190" s="14" t="b">
        <v>1</v>
      </c>
      <c r="L190" s="14" t="b">
        <f>AND(Transport_Table[[#This Row],[Show Feedstock]:[Show Data Source]],NOT(Transport_Table[[#This Row],[Hide Column]]))</f>
        <v>0</v>
      </c>
      <c r="M190" s="14" t="s">
        <v>429</v>
      </c>
      <c r="N190" s="14" t="s">
        <v>1857</v>
      </c>
      <c r="O190" s="14" t="s">
        <v>1858</v>
      </c>
      <c r="P190" s="178" t="s">
        <v>1713</v>
      </c>
      <c r="Q190" s="241" t="s">
        <v>2009</v>
      </c>
      <c r="R190" s="393">
        <v>1</v>
      </c>
      <c r="S190" s="394">
        <v>30</v>
      </c>
      <c r="T190" s="107"/>
    </row>
    <row r="191" spans="1:20" x14ac:dyDescent="0.3">
      <c r="A191" s="178" t="s">
        <v>131</v>
      </c>
      <c r="B191" s="178" t="s">
        <v>1964</v>
      </c>
      <c r="C191" s="178" t="s">
        <v>29</v>
      </c>
      <c r="D191" s="178" t="s">
        <v>29</v>
      </c>
      <c r="E191" s="178" t="s">
        <v>1592</v>
      </c>
      <c r="F191" s="14" t="b">
        <f>OR(Transport_Table[[#This Row],[Feedstock]]="All",Transport_Table[[#This Row],[Feedstock]]=SelectedFeedstock)</f>
        <v>0</v>
      </c>
      <c r="G191" s="14" t="b">
        <f>OR(Transport_Table[[#This Row],[Conversion]]="All",Transport_Table[[#This Row],[Conversion]]=SelectedConversion)</f>
        <v>0</v>
      </c>
      <c r="H191" s="14" t="b">
        <f>OR(Transport_Table[[#This Row],[Data Set]]="All",Transport_Table[[#This Row],[Data Set]]=SelectedDataSet)</f>
        <v>1</v>
      </c>
      <c r="I191" s="14" t="b">
        <f>OR(Transport_Table[[#This Row],[Technology]]="All",Transport_Table[[#This Row],[Technology]]=SelectedTechnology)</f>
        <v>0</v>
      </c>
      <c r="J191" s="14" t="b">
        <f>OR(Transport_Table[[#This Row],[Data Source]]="All",Transport_Table[[#This Row],[Data Source]]=SelectedDataSource)</f>
        <v>1</v>
      </c>
      <c r="L191" s="14" t="b">
        <f>AND(Transport_Table[[#This Row],[Show Feedstock]:[Show Data Source]],NOT(Transport_Table[[#This Row],[Hide Column]]))</f>
        <v>0</v>
      </c>
      <c r="M191" s="14" t="s">
        <v>429</v>
      </c>
      <c r="N191" s="14" t="s">
        <v>1219</v>
      </c>
      <c r="O191" s="14" t="s">
        <v>1301</v>
      </c>
      <c r="P191" s="178" t="s">
        <v>1700</v>
      </c>
      <c r="Q191" s="241" t="s">
        <v>1943</v>
      </c>
      <c r="R191" s="393">
        <v>0.33</v>
      </c>
      <c r="S191" s="394">
        <v>520</v>
      </c>
      <c r="T191" s="107"/>
    </row>
    <row r="192" spans="1:20" x14ac:dyDescent="0.3">
      <c r="A192" s="178" t="s">
        <v>131</v>
      </c>
      <c r="B192" s="178" t="s">
        <v>1964</v>
      </c>
      <c r="C192" s="178" t="s">
        <v>29</v>
      </c>
      <c r="D192" s="178" t="s">
        <v>29</v>
      </c>
      <c r="E192" s="178" t="s">
        <v>1592</v>
      </c>
      <c r="F192" s="14" t="b">
        <f>OR(Transport_Table[[#This Row],[Feedstock]]="All",Transport_Table[[#This Row],[Feedstock]]=SelectedFeedstock)</f>
        <v>0</v>
      </c>
      <c r="G192" s="14" t="b">
        <f>OR(Transport_Table[[#This Row],[Conversion]]="All",Transport_Table[[#This Row],[Conversion]]=SelectedConversion)</f>
        <v>0</v>
      </c>
      <c r="H192" s="14" t="b">
        <f>OR(Transport_Table[[#This Row],[Data Set]]="All",Transport_Table[[#This Row],[Data Set]]=SelectedDataSet)</f>
        <v>1</v>
      </c>
      <c r="I192" s="14" t="b">
        <f>OR(Transport_Table[[#This Row],[Technology]]="All",Transport_Table[[#This Row],[Technology]]=SelectedTechnology)</f>
        <v>0</v>
      </c>
      <c r="J192" s="14" t="b">
        <f>OR(Transport_Table[[#This Row],[Data Source]]="All",Transport_Table[[#This Row],[Data Source]]=SelectedDataSource)</f>
        <v>1</v>
      </c>
      <c r="L192" s="14" t="b">
        <f>AND(Transport_Table[[#This Row],[Show Feedstock]:[Show Data Source]],NOT(Transport_Table[[#This Row],[Hide Column]]))</f>
        <v>0</v>
      </c>
      <c r="M192" s="14" t="s">
        <v>429</v>
      </c>
      <c r="N192" s="14" t="s">
        <v>1220</v>
      </c>
      <c r="O192" s="14" t="s">
        <v>1302</v>
      </c>
      <c r="P192" s="178" t="s">
        <v>1700</v>
      </c>
      <c r="Q192" s="241" t="s">
        <v>1944</v>
      </c>
      <c r="R192" s="393">
        <v>0.6</v>
      </c>
      <c r="S192" s="394">
        <v>400</v>
      </c>
      <c r="T192" s="107"/>
    </row>
    <row r="193" spans="1:20" x14ac:dyDescent="0.3">
      <c r="A193" s="178" t="s">
        <v>131</v>
      </c>
      <c r="B193" s="178" t="s">
        <v>1964</v>
      </c>
      <c r="C193" s="178" t="s">
        <v>29</v>
      </c>
      <c r="D193" s="178" t="s">
        <v>29</v>
      </c>
      <c r="E193" s="178" t="s">
        <v>1592</v>
      </c>
      <c r="F193" s="14" t="b">
        <f>OR(Transport_Table[[#This Row],[Feedstock]]="All",Transport_Table[[#This Row],[Feedstock]]=SelectedFeedstock)</f>
        <v>0</v>
      </c>
      <c r="G193" s="14" t="b">
        <f>OR(Transport_Table[[#This Row],[Conversion]]="All",Transport_Table[[#This Row],[Conversion]]=SelectedConversion)</f>
        <v>0</v>
      </c>
      <c r="H193" s="14" t="b">
        <f>OR(Transport_Table[[#This Row],[Data Set]]="All",Transport_Table[[#This Row],[Data Set]]=SelectedDataSet)</f>
        <v>1</v>
      </c>
      <c r="I193" s="14" t="b">
        <f>OR(Transport_Table[[#This Row],[Technology]]="All",Transport_Table[[#This Row],[Technology]]=SelectedTechnology)</f>
        <v>0</v>
      </c>
      <c r="J193" s="14" t="b">
        <f>OR(Transport_Table[[#This Row],[Data Source]]="All",Transport_Table[[#This Row],[Data Source]]=SelectedDataSource)</f>
        <v>1</v>
      </c>
      <c r="L193" s="14" t="b">
        <f>AND(Transport_Table[[#This Row],[Show Feedstock]:[Show Data Source]],NOT(Transport_Table[[#This Row],[Hide Column]]))</f>
        <v>0</v>
      </c>
      <c r="M193" s="14" t="s">
        <v>429</v>
      </c>
      <c r="N193" s="14" t="s">
        <v>1221</v>
      </c>
      <c r="O193" s="14" t="s">
        <v>1303</v>
      </c>
      <c r="P193" s="178" t="s">
        <v>1700</v>
      </c>
      <c r="Q193" s="241" t="s">
        <v>1945</v>
      </c>
      <c r="R193" s="393">
        <v>6.9999999999999951E-2</v>
      </c>
      <c r="S193" s="394">
        <v>800</v>
      </c>
      <c r="T193" s="107"/>
    </row>
    <row r="194" spans="1:20" x14ac:dyDescent="0.3">
      <c r="A194" s="178" t="s">
        <v>131</v>
      </c>
      <c r="B194" s="178" t="s">
        <v>1964</v>
      </c>
      <c r="C194" s="178" t="s">
        <v>29</v>
      </c>
      <c r="D194" s="178" t="s">
        <v>29</v>
      </c>
      <c r="E194" s="178" t="s">
        <v>1592</v>
      </c>
      <c r="F194" s="14" t="b">
        <f>OR(Transport_Table[[#This Row],[Feedstock]]="All",Transport_Table[[#This Row],[Feedstock]]=SelectedFeedstock)</f>
        <v>0</v>
      </c>
      <c r="G194" s="14" t="b">
        <f>OR(Transport_Table[[#This Row],[Conversion]]="All",Transport_Table[[#This Row],[Conversion]]=SelectedConversion)</f>
        <v>0</v>
      </c>
      <c r="H194" s="14" t="b">
        <f>OR(Transport_Table[[#This Row],[Data Set]]="All",Transport_Table[[#This Row],[Data Set]]=SelectedDataSet)</f>
        <v>1</v>
      </c>
      <c r="I194" s="14" t="b">
        <f>OR(Transport_Table[[#This Row],[Technology]]="All",Transport_Table[[#This Row],[Technology]]=SelectedTechnology)</f>
        <v>0</v>
      </c>
      <c r="J194" s="14" t="b">
        <f>OR(Transport_Table[[#This Row],[Data Source]]="All",Transport_Table[[#This Row],[Data Source]]=SelectedDataSource)</f>
        <v>1</v>
      </c>
      <c r="L194" s="14" t="b">
        <f>AND(Transport_Table[[#This Row],[Show Feedstock]:[Show Data Source]],NOT(Transport_Table[[#This Row],[Hide Column]]))</f>
        <v>0</v>
      </c>
      <c r="M194" s="14" t="s">
        <v>429</v>
      </c>
      <c r="N194" s="14" t="s">
        <v>1222</v>
      </c>
      <c r="O194" s="14" t="s">
        <v>1304</v>
      </c>
      <c r="P194" s="178" t="s">
        <v>1700</v>
      </c>
      <c r="Q194" s="241" t="s">
        <v>1946</v>
      </c>
      <c r="R194" s="393">
        <v>1</v>
      </c>
      <c r="S194" s="394">
        <v>30</v>
      </c>
      <c r="T194" s="107"/>
    </row>
    <row r="195" spans="1:20" x14ac:dyDescent="0.3">
      <c r="A195" s="178" t="s">
        <v>132</v>
      </c>
      <c r="B195" s="178" t="s">
        <v>1964</v>
      </c>
      <c r="C195" s="178" t="s">
        <v>29</v>
      </c>
      <c r="D195" s="178" t="s">
        <v>29</v>
      </c>
      <c r="E195" s="178" t="s">
        <v>1592</v>
      </c>
      <c r="F195" s="14" t="b">
        <f>OR(Transport_Table[[#This Row],[Feedstock]]="All",Transport_Table[[#This Row],[Feedstock]]=SelectedFeedstock)</f>
        <v>0</v>
      </c>
      <c r="G195" s="14" t="b">
        <f>OR(Transport_Table[[#This Row],[Conversion]]="All",Transport_Table[[#This Row],[Conversion]]=SelectedConversion)</f>
        <v>0</v>
      </c>
      <c r="H195" s="14" t="b">
        <f>OR(Transport_Table[[#This Row],[Data Set]]="All",Transport_Table[[#This Row],[Data Set]]=SelectedDataSet)</f>
        <v>1</v>
      </c>
      <c r="I195" s="14" t="b">
        <f>OR(Transport_Table[[#This Row],[Technology]]="All",Transport_Table[[#This Row],[Technology]]=SelectedTechnology)</f>
        <v>0</v>
      </c>
      <c r="J195" s="14" t="b">
        <f>OR(Transport_Table[[#This Row],[Data Source]]="All",Transport_Table[[#This Row],[Data Source]]=SelectedDataSource)</f>
        <v>1</v>
      </c>
      <c r="L195" s="14" t="b">
        <f>AND(Transport_Table[[#This Row],[Show Feedstock]:[Show Data Source]],NOT(Transport_Table[[#This Row],[Hide Column]]))</f>
        <v>0</v>
      </c>
      <c r="M195" s="14" t="s">
        <v>429</v>
      </c>
      <c r="N195" s="14" t="s">
        <v>1219</v>
      </c>
      <c r="O195" s="14" t="s">
        <v>1301</v>
      </c>
      <c r="P195" s="178" t="s">
        <v>1700</v>
      </c>
      <c r="Q195" s="241" t="s">
        <v>1943</v>
      </c>
      <c r="R195" s="393">
        <v>0.33</v>
      </c>
      <c r="S195" s="394">
        <v>520</v>
      </c>
      <c r="T195" s="107"/>
    </row>
    <row r="196" spans="1:20" x14ac:dyDescent="0.3">
      <c r="A196" s="178" t="s">
        <v>132</v>
      </c>
      <c r="B196" s="178" t="s">
        <v>1964</v>
      </c>
      <c r="C196" s="178" t="s">
        <v>29</v>
      </c>
      <c r="D196" s="178" t="s">
        <v>29</v>
      </c>
      <c r="E196" s="178" t="s">
        <v>1592</v>
      </c>
      <c r="F196" s="14" t="b">
        <f>OR(Transport_Table[[#This Row],[Feedstock]]="All",Transport_Table[[#This Row],[Feedstock]]=SelectedFeedstock)</f>
        <v>0</v>
      </c>
      <c r="G196" s="14" t="b">
        <f>OR(Transport_Table[[#This Row],[Conversion]]="All",Transport_Table[[#This Row],[Conversion]]=SelectedConversion)</f>
        <v>0</v>
      </c>
      <c r="H196" s="14" t="b">
        <f>OR(Transport_Table[[#This Row],[Data Set]]="All",Transport_Table[[#This Row],[Data Set]]=SelectedDataSet)</f>
        <v>1</v>
      </c>
      <c r="I196" s="14" t="b">
        <f>OR(Transport_Table[[#This Row],[Technology]]="All",Transport_Table[[#This Row],[Technology]]=SelectedTechnology)</f>
        <v>0</v>
      </c>
      <c r="J196" s="14" t="b">
        <f>OR(Transport_Table[[#This Row],[Data Source]]="All",Transport_Table[[#This Row],[Data Source]]=SelectedDataSource)</f>
        <v>1</v>
      </c>
      <c r="L196" s="14" t="b">
        <f>AND(Transport_Table[[#This Row],[Show Feedstock]:[Show Data Source]],NOT(Transport_Table[[#This Row],[Hide Column]]))</f>
        <v>0</v>
      </c>
      <c r="M196" s="14" t="s">
        <v>429</v>
      </c>
      <c r="N196" s="14" t="s">
        <v>1220</v>
      </c>
      <c r="O196" s="14" t="s">
        <v>1302</v>
      </c>
      <c r="P196" s="178" t="s">
        <v>1700</v>
      </c>
      <c r="Q196" s="241" t="s">
        <v>1944</v>
      </c>
      <c r="R196" s="393">
        <v>0.6</v>
      </c>
      <c r="S196" s="394">
        <v>400</v>
      </c>
      <c r="T196" s="107"/>
    </row>
    <row r="197" spans="1:20" x14ac:dyDescent="0.3">
      <c r="A197" s="178" t="s">
        <v>132</v>
      </c>
      <c r="B197" s="178" t="s">
        <v>1964</v>
      </c>
      <c r="C197" s="178" t="s">
        <v>29</v>
      </c>
      <c r="D197" s="178" t="s">
        <v>29</v>
      </c>
      <c r="E197" s="178" t="s">
        <v>1592</v>
      </c>
      <c r="F197" s="14" t="b">
        <f>OR(Transport_Table[[#This Row],[Feedstock]]="All",Transport_Table[[#This Row],[Feedstock]]=SelectedFeedstock)</f>
        <v>0</v>
      </c>
      <c r="G197" s="14" t="b">
        <f>OR(Transport_Table[[#This Row],[Conversion]]="All",Transport_Table[[#This Row],[Conversion]]=SelectedConversion)</f>
        <v>0</v>
      </c>
      <c r="H197" s="14" t="b">
        <f>OR(Transport_Table[[#This Row],[Data Set]]="All",Transport_Table[[#This Row],[Data Set]]=SelectedDataSet)</f>
        <v>1</v>
      </c>
      <c r="I197" s="14" t="b">
        <f>OR(Transport_Table[[#This Row],[Technology]]="All",Transport_Table[[#This Row],[Technology]]=SelectedTechnology)</f>
        <v>0</v>
      </c>
      <c r="J197" s="14" t="b">
        <f>OR(Transport_Table[[#This Row],[Data Source]]="All",Transport_Table[[#This Row],[Data Source]]=SelectedDataSource)</f>
        <v>1</v>
      </c>
      <c r="L197" s="14" t="b">
        <f>AND(Transport_Table[[#This Row],[Show Feedstock]:[Show Data Source]],NOT(Transport_Table[[#This Row],[Hide Column]]))</f>
        <v>0</v>
      </c>
      <c r="M197" s="14" t="s">
        <v>429</v>
      </c>
      <c r="N197" s="14" t="s">
        <v>1221</v>
      </c>
      <c r="O197" s="14" t="s">
        <v>1303</v>
      </c>
      <c r="P197" s="178" t="s">
        <v>1700</v>
      </c>
      <c r="Q197" s="241" t="s">
        <v>1945</v>
      </c>
      <c r="R197" s="393">
        <v>6.9999999999999951E-2</v>
      </c>
      <c r="S197" s="394">
        <v>800</v>
      </c>
      <c r="T197" s="107"/>
    </row>
    <row r="198" spans="1:20" x14ac:dyDescent="0.3">
      <c r="A198" s="178" t="s">
        <v>132</v>
      </c>
      <c r="B198" s="178" t="s">
        <v>1964</v>
      </c>
      <c r="C198" s="178" t="s">
        <v>29</v>
      </c>
      <c r="D198" s="178" t="s">
        <v>29</v>
      </c>
      <c r="E198" s="178" t="s">
        <v>1592</v>
      </c>
      <c r="F198" s="14" t="b">
        <f>OR(Transport_Table[[#This Row],[Feedstock]]="All",Transport_Table[[#This Row],[Feedstock]]=SelectedFeedstock)</f>
        <v>0</v>
      </c>
      <c r="G198" s="14" t="b">
        <f>OR(Transport_Table[[#This Row],[Conversion]]="All",Transport_Table[[#This Row],[Conversion]]=SelectedConversion)</f>
        <v>0</v>
      </c>
      <c r="H198" s="14" t="b">
        <f>OR(Transport_Table[[#This Row],[Data Set]]="All",Transport_Table[[#This Row],[Data Set]]=SelectedDataSet)</f>
        <v>1</v>
      </c>
      <c r="I198" s="14" t="b">
        <f>OR(Transport_Table[[#This Row],[Technology]]="All",Transport_Table[[#This Row],[Technology]]=SelectedTechnology)</f>
        <v>0</v>
      </c>
      <c r="J198" s="14" t="b">
        <f>OR(Transport_Table[[#This Row],[Data Source]]="All",Transport_Table[[#This Row],[Data Source]]=SelectedDataSource)</f>
        <v>1</v>
      </c>
      <c r="L198" s="14" t="b">
        <f>AND(Transport_Table[[#This Row],[Show Feedstock]:[Show Data Source]],NOT(Transport_Table[[#This Row],[Hide Column]]))</f>
        <v>0</v>
      </c>
      <c r="M198" s="14" t="s">
        <v>429</v>
      </c>
      <c r="N198" s="14" t="s">
        <v>1222</v>
      </c>
      <c r="O198" s="14" t="s">
        <v>1304</v>
      </c>
      <c r="P198" s="178" t="s">
        <v>1700</v>
      </c>
      <c r="Q198" s="241" t="s">
        <v>1946</v>
      </c>
      <c r="R198" s="393">
        <v>1</v>
      </c>
      <c r="S198" s="394">
        <v>30</v>
      </c>
      <c r="T198" s="107"/>
    </row>
    <row r="199" spans="1:20" x14ac:dyDescent="0.3">
      <c r="A199" s="178" t="s">
        <v>133</v>
      </c>
      <c r="B199" s="178" t="s">
        <v>1964</v>
      </c>
      <c r="C199" s="178" t="s">
        <v>29</v>
      </c>
      <c r="D199" s="178" t="s">
        <v>29</v>
      </c>
      <c r="E199" s="178" t="s">
        <v>1592</v>
      </c>
      <c r="F199" s="14" t="b">
        <f>OR(Transport_Table[[#This Row],[Feedstock]]="All",Transport_Table[[#This Row],[Feedstock]]=SelectedFeedstock)</f>
        <v>0</v>
      </c>
      <c r="G199" s="14" t="b">
        <f>OR(Transport_Table[[#This Row],[Conversion]]="All",Transport_Table[[#This Row],[Conversion]]=SelectedConversion)</f>
        <v>0</v>
      </c>
      <c r="H199" s="14" t="b">
        <f>OR(Transport_Table[[#This Row],[Data Set]]="All",Transport_Table[[#This Row],[Data Set]]=SelectedDataSet)</f>
        <v>1</v>
      </c>
      <c r="I199" s="14" t="b">
        <f>OR(Transport_Table[[#This Row],[Technology]]="All",Transport_Table[[#This Row],[Technology]]=SelectedTechnology)</f>
        <v>0</v>
      </c>
      <c r="J199" s="14" t="b">
        <f>OR(Transport_Table[[#This Row],[Data Source]]="All",Transport_Table[[#This Row],[Data Source]]=SelectedDataSource)</f>
        <v>1</v>
      </c>
      <c r="L199" s="14" t="b">
        <f>AND(Transport_Table[[#This Row],[Show Feedstock]:[Show Data Source]],NOT(Transport_Table[[#This Row],[Hide Column]]))</f>
        <v>0</v>
      </c>
      <c r="M199" s="14" t="s">
        <v>429</v>
      </c>
      <c r="N199" s="14" t="s">
        <v>1219</v>
      </c>
      <c r="O199" s="14" t="s">
        <v>1301</v>
      </c>
      <c r="P199" s="178" t="s">
        <v>1700</v>
      </c>
      <c r="Q199" s="241" t="s">
        <v>1943</v>
      </c>
      <c r="R199" s="393">
        <v>0.33</v>
      </c>
      <c r="S199" s="394">
        <v>520</v>
      </c>
      <c r="T199" s="107"/>
    </row>
    <row r="200" spans="1:20" x14ac:dyDescent="0.3">
      <c r="A200" s="178" t="s">
        <v>133</v>
      </c>
      <c r="B200" s="178" t="s">
        <v>1964</v>
      </c>
      <c r="C200" s="178" t="s">
        <v>29</v>
      </c>
      <c r="D200" s="178" t="s">
        <v>29</v>
      </c>
      <c r="E200" s="178" t="s">
        <v>1592</v>
      </c>
      <c r="F200" s="14" t="b">
        <f>OR(Transport_Table[[#This Row],[Feedstock]]="All",Transport_Table[[#This Row],[Feedstock]]=SelectedFeedstock)</f>
        <v>0</v>
      </c>
      <c r="G200" s="14" t="b">
        <f>OR(Transport_Table[[#This Row],[Conversion]]="All",Transport_Table[[#This Row],[Conversion]]=SelectedConversion)</f>
        <v>0</v>
      </c>
      <c r="H200" s="14" t="b">
        <f>OR(Transport_Table[[#This Row],[Data Set]]="All",Transport_Table[[#This Row],[Data Set]]=SelectedDataSet)</f>
        <v>1</v>
      </c>
      <c r="I200" s="14" t="b">
        <f>OR(Transport_Table[[#This Row],[Technology]]="All",Transport_Table[[#This Row],[Technology]]=SelectedTechnology)</f>
        <v>0</v>
      </c>
      <c r="J200" s="14" t="b">
        <f>OR(Transport_Table[[#This Row],[Data Source]]="All",Transport_Table[[#This Row],[Data Source]]=SelectedDataSource)</f>
        <v>1</v>
      </c>
      <c r="L200" s="14" t="b">
        <f>AND(Transport_Table[[#This Row],[Show Feedstock]:[Show Data Source]],NOT(Transport_Table[[#This Row],[Hide Column]]))</f>
        <v>0</v>
      </c>
      <c r="M200" s="14" t="s">
        <v>429</v>
      </c>
      <c r="N200" s="14" t="s">
        <v>1220</v>
      </c>
      <c r="O200" s="14" t="s">
        <v>1302</v>
      </c>
      <c r="P200" s="178" t="s">
        <v>1700</v>
      </c>
      <c r="Q200" s="241" t="s">
        <v>1944</v>
      </c>
      <c r="R200" s="393">
        <v>0.6</v>
      </c>
      <c r="S200" s="394">
        <v>400</v>
      </c>
      <c r="T200" s="107"/>
    </row>
    <row r="201" spans="1:20" x14ac:dyDescent="0.3">
      <c r="A201" s="178" t="s">
        <v>133</v>
      </c>
      <c r="B201" s="178" t="s">
        <v>1964</v>
      </c>
      <c r="C201" s="178" t="s">
        <v>29</v>
      </c>
      <c r="D201" s="178" t="s">
        <v>29</v>
      </c>
      <c r="E201" s="178" t="s">
        <v>1592</v>
      </c>
      <c r="F201" s="14" t="b">
        <f>OR(Transport_Table[[#This Row],[Feedstock]]="All",Transport_Table[[#This Row],[Feedstock]]=SelectedFeedstock)</f>
        <v>0</v>
      </c>
      <c r="G201" s="14" t="b">
        <f>OR(Transport_Table[[#This Row],[Conversion]]="All",Transport_Table[[#This Row],[Conversion]]=SelectedConversion)</f>
        <v>0</v>
      </c>
      <c r="H201" s="14" t="b">
        <f>OR(Transport_Table[[#This Row],[Data Set]]="All",Transport_Table[[#This Row],[Data Set]]=SelectedDataSet)</f>
        <v>1</v>
      </c>
      <c r="I201" s="14" t="b">
        <f>OR(Transport_Table[[#This Row],[Technology]]="All",Transport_Table[[#This Row],[Technology]]=SelectedTechnology)</f>
        <v>0</v>
      </c>
      <c r="J201" s="14" t="b">
        <f>OR(Transport_Table[[#This Row],[Data Source]]="All",Transport_Table[[#This Row],[Data Source]]=SelectedDataSource)</f>
        <v>1</v>
      </c>
      <c r="L201" s="14" t="b">
        <f>AND(Transport_Table[[#This Row],[Show Feedstock]:[Show Data Source]],NOT(Transport_Table[[#This Row],[Hide Column]]))</f>
        <v>0</v>
      </c>
      <c r="M201" s="14" t="s">
        <v>429</v>
      </c>
      <c r="N201" s="14" t="s">
        <v>1221</v>
      </c>
      <c r="O201" s="14" t="s">
        <v>1303</v>
      </c>
      <c r="P201" s="178" t="s">
        <v>1700</v>
      </c>
      <c r="Q201" s="241" t="s">
        <v>1945</v>
      </c>
      <c r="R201" s="393">
        <v>6.9999999999999951E-2</v>
      </c>
      <c r="S201" s="394">
        <v>800</v>
      </c>
      <c r="T201" s="107"/>
    </row>
    <row r="202" spans="1:20" x14ac:dyDescent="0.3">
      <c r="A202" s="178" t="s">
        <v>133</v>
      </c>
      <c r="B202" s="178" t="s">
        <v>1964</v>
      </c>
      <c r="C202" s="178" t="s">
        <v>29</v>
      </c>
      <c r="D202" s="178" t="s">
        <v>29</v>
      </c>
      <c r="E202" s="178" t="s">
        <v>1592</v>
      </c>
      <c r="F202" s="14" t="b">
        <f>OR(Transport_Table[[#This Row],[Feedstock]]="All",Transport_Table[[#This Row],[Feedstock]]=SelectedFeedstock)</f>
        <v>0</v>
      </c>
      <c r="G202" s="14" t="b">
        <f>OR(Transport_Table[[#This Row],[Conversion]]="All",Transport_Table[[#This Row],[Conversion]]=SelectedConversion)</f>
        <v>0</v>
      </c>
      <c r="H202" s="14" t="b">
        <f>OR(Transport_Table[[#This Row],[Data Set]]="All",Transport_Table[[#This Row],[Data Set]]=SelectedDataSet)</f>
        <v>1</v>
      </c>
      <c r="I202" s="14" t="b">
        <f>OR(Transport_Table[[#This Row],[Technology]]="All",Transport_Table[[#This Row],[Technology]]=SelectedTechnology)</f>
        <v>0</v>
      </c>
      <c r="J202" s="14" t="b">
        <f>OR(Transport_Table[[#This Row],[Data Source]]="All",Transport_Table[[#This Row],[Data Source]]=SelectedDataSource)</f>
        <v>1</v>
      </c>
      <c r="L202" s="14" t="b">
        <f>AND(Transport_Table[[#This Row],[Show Feedstock]:[Show Data Source]],NOT(Transport_Table[[#This Row],[Hide Column]]))</f>
        <v>0</v>
      </c>
      <c r="M202" s="14" t="s">
        <v>429</v>
      </c>
      <c r="N202" s="14" t="s">
        <v>1222</v>
      </c>
      <c r="O202" s="14" t="s">
        <v>1304</v>
      </c>
      <c r="P202" s="178" t="s">
        <v>1700</v>
      </c>
      <c r="Q202" s="241" t="s">
        <v>1946</v>
      </c>
      <c r="R202" s="393">
        <v>1</v>
      </c>
      <c r="S202" s="394">
        <v>30</v>
      </c>
      <c r="T202" s="107"/>
    </row>
    <row r="203" spans="1:20" x14ac:dyDescent="0.3">
      <c r="A203" s="178" t="s">
        <v>134</v>
      </c>
      <c r="B203" s="178" t="s">
        <v>1964</v>
      </c>
      <c r="C203" s="178" t="s">
        <v>29</v>
      </c>
      <c r="D203" s="178" t="s">
        <v>29</v>
      </c>
      <c r="E203" s="178" t="s">
        <v>1592</v>
      </c>
      <c r="F203" s="14" t="b">
        <f>OR(Transport_Table[[#This Row],[Feedstock]]="All",Transport_Table[[#This Row],[Feedstock]]=SelectedFeedstock)</f>
        <v>0</v>
      </c>
      <c r="G203" s="14" t="b">
        <f>OR(Transport_Table[[#This Row],[Conversion]]="All",Transport_Table[[#This Row],[Conversion]]=SelectedConversion)</f>
        <v>0</v>
      </c>
      <c r="H203" s="14" t="b">
        <f>OR(Transport_Table[[#This Row],[Data Set]]="All",Transport_Table[[#This Row],[Data Set]]=SelectedDataSet)</f>
        <v>1</v>
      </c>
      <c r="I203" s="14" t="b">
        <f>OR(Transport_Table[[#This Row],[Technology]]="All",Transport_Table[[#This Row],[Technology]]=SelectedTechnology)</f>
        <v>0</v>
      </c>
      <c r="J203" s="14" t="b">
        <f>OR(Transport_Table[[#This Row],[Data Source]]="All",Transport_Table[[#This Row],[Data Source]]=SelectedDataSource)</f>
        <v>1</v>
      </c>
      <c r="L203" s="14" t="b">
        <f>AND(Transport_Table[[#This Row],[Show Feedstock]:[Show Data Source]],NOT(Transport_Table[[#This Row],[Hide Column]]))</f>
        <v>0</v>
      </c>
      <c r="M203" s="14" t="s">
        <v>429</v>
      </c>
      <c r="N203" s="14" t="s">
        <v>1219</v>
      </c>
      <c r="O203" s="14" t="s">
        <v>1301</v>
      </c>
      <c r="P203" s="178" t="s">
        <v>1700</v>
      </c>
      <c r="Q203" s="241" t="s">
        <v>1943</v>
      </c>
      <c r="R203" s="393">
        <v>0.33</v>
      </c>
      <c r="S203" s="394">
        <v>520</v>
      </c>
      <c r="T203" s="107"/>
    </row>
    <row r="204" spans="1:20" x14ac:dyDescent="0.3">
      <c r="A204" s="178" t="s">
        <v>134</v>
      </c>
      <c r="B204" s="178" t="s">
        <v>1964</v>
      </c>
      <c r="C204" s="178" t="s">
        <v>29</v>
      </c>
      <c r="D204" s="178" t="s">
        <v>29</v>
      </c>
      <c r="E204" s="178" t="s">
        <v>1592</v>
      </c>
      <c r="F204" s="14" t="b">
        <f>OR(Transport_Table[[#This Row],[Feedstock]]="All",Transport_Table[[#This Row],[Feedstock]]=SelectedFeedstock)</f>
        <v>0</v>
      </c>
      <c r="G204" s="14" t="b">
        <f>OR(Transport_Table[[#This Row],[Conversion]]="All",Transport_Table[[#This Row],[Conversion]]=SelectedConversion)</f>
        <v>0</v>
      </c>
      <c r="H204" s="14" t="b">
        <f>OR(Transport_Table[[#This Row],[Data Set]]="All",Transport_Table[[#This Row],[Data Set]]=SelectedDataSet)</f>
        <v>1</v>
      </c>
      <c r="I204" s="14" t="b">
        <f>OR(Transport_Table[[#This Row],[Technology]]="All",Transport_Table[[#This Row],[Technology]]=SelectedTechnology)</f>
        <v>0</v>
      </c>
      <c r="J204" s="14" t="b">
        <f>OR(Transport_Table[[#This Row],[Data Source]]="All",Transport_Table[[#This Row],[Data Source]]=SelectedDataSource)</f>
        <v>1</v>
      </c>
      <c r="L204" s="14" t="b">
        <f>AND(Transport_Table[[#This Row],[Show Feedstock]:[Show Data Source]],NOT(Transport_Table[[#This Row],[Hide Column]]))</f>
        <v>0</v>
      </c>
      <c r="M204" s="14" t="s">
        <v>429</v>
      </c>
      <c r="N204" s="14" t="s">
        <v>1220</v>
      </c>
      <c r="O204" s="14" t="s">
        <v>1302</v>
      </c>
      <c r="P204" s="178" t="s">
        <v>1700</v>
      </c>
      <c r="Q204" s="241" t="s">
        <v>1944</v>
      </c>
      <c r="R204" s="393">
        <v>0.6</v>
      </c>
      <c r="S204" s="394">
        <v>400</v>
      </c>
      <c r="T204" s="107"/>
    </row>
    <row r="205" spans="1:20" x14ac:dyDescent="0.3">
      <c r="A205" s="178" t="s">
        <v>134</v>
      </c>
      <c r="B205" s="178" t="s">
        <v>1964</v>
      </c>
      <c r="C205" s="178" t="s">
        <v>29</v>
      </c>
      <c r="D205" s="178" t="s">
        <v>29</v>
      </c>
      <c r="E205" s="178" t="s">
        <v>1592</v>
      </c>
      <c r="F205" s="14" t="b">
        <f>OR(Transport_Table[[#This Row],[Feedstock]]="All",Transport_Table[[#This Row],[Feedstock]]=SelectedFeedstock)</f>
        <v>0</v>
      </c>
      <c r="G205" s="14" t="b">
        <f>OR(Transport_Table[[#This Row],[Conversion]]="All",Transport_Table[[#This Row],[Conversion]]=SelectedConversion)</f>
        <v>0</v>
      </c>
      <c r="H205" s="14" t="b">
        <f>OR(Transport_Table[[#This Row],[Data Set]]="All",Transport_Table[[#This Row],[Data Set]]=SelectedDataSet)</f>
        <v>1</v>
      </c>
      <c r="I205" s="14" t="b">
        <f>OR(Transport_Table[[#This Row],[Technology]]="All",Transport_Table[[#This Row],[Technology]]=SelectedTechnology)</f>
        <v>0</v>
      </c>
      <c r="J205" s="14" t="b">
        <f>OR(Transport_Table[[#This Row],[Data Source]]="All",Transport_Table[[#This Row],[Data Source]]=SelectedDataSource)</f>
        <v>1</v>
      </c>
      <c r="L205" s="14" t="b">
        <f>AND(Transport_Table[[#This Row],[Show Feedstock]:[Show Data Source]],NOT(Transport_Table[[#This Row],[Hide Column]]))</f>
        <v>0</v>
      </c>
      <c r="M205" s="14" t="s">
        <v>429</v>
      </c>
      <c r="N205" s="14" t="s">
        <v>1221</v>
      </c>
      <c r="O205" s="14" t="s">
        <v>1303</v>
      </c>
      <c r="P205" s="178" t="s">
        <v>1700</v>
      </c>
      <c r="Q205" s="241" t="s">
        <v>1945</v>
      </c>
      <c r="R205" s="393">
        <v>6.9999999999999951E-2</v>
      </c>
      <c r="S205" s="394">
        <v>800</v>
      </c>
      <c r="T205" s="107"/>
    </row>
    <row r="206" spans="1:20" x14ac:dyDescent="0.3">
      <c r="A206" s="178" t="s">
        <v>134</v>
      </c>
      <c r="B206" s="178" t="s">
        <v>1964</v>
      </c>
      <c r="C206" s="178" t="s">
        <v>29</v>
      </c>
      <c r="D206" s="178" t="s">
        <v>29</v>
      </c>
      <c r="E206" s="178" t="s">
        <v>1592</v>
      </c>
      <c r="F206" s="14" t="b">
        <f>OR(Transport_Table[[#This Row],[Feedstock]]="All",Transport_Table[[#This Row],[Feedstock]]=SelectedFeedstock)</f>
        <v>0</v>
      </c>
      <c r="G206" s="14" t="b">
        <f>OR(Transport_Table[[#This Row],[Conversion]]="All",Transport_Table[[#This Row],[Conversion]]=SelectedConversion)</f>
        <v>0</v>
      </c>
      <c r="H206" s="14" t="b">
        <f>OR(Transport_Table[[#This Row],[Data Set]]="All",Transport_Table[[#This Row],[Data Set]]=SelectedDataSet)</f>
        <v>1</v>
      </c>
      <c r="I206" s="14" t="b">
        <f>OR(Transport_Table[[#This Row],[Technology]]="All",Transport_Table[[#This Row],[Technology]]=SelectedTechnology)</f>
        <v>0</v>
      </c>
      <c r="J206" s="14" t="b">
        <f>OR(Transport_Table[[#This Row],[Data Source]]="All",Transport_Table[[#This Row],[Data Source]]=SelectedDataSource)</f>
        <v>1</v>
      </c>
      <c r="L206" s="14" t="b">
        <f>AND(Transport_Table[[#This Row],[Show Feedstock]:[Show Data Source]],NOT(Transport_Table[[#This Row],[Hide Column]]))</f>
        <v>0</v>
      </c>
      <c r="M206" s="14" t="s">
        <v>429</v>
      </c>
      <c r="N206" s="14" t="s">
        <v>1222</v>
      </c>
      <c r="O206" s="14" t="s">
        <v>1304</v>
      </c>
      <c r="P206" s="178" t="s">
        <v>1700</v>
      </c>
      <c r="Q206" s="241" t="s">
        <v>1946</v>
      </c>
      <c r="R206" s="393">
        <v>1</v>
      </c>
      <c r="S206" s="394">
        <v>30</v>
      </c>
      <c r="T206" s="107"/>
    </row>
    <row r="207" spans="1:20" x14ac:dyDescent="0.3">
      <c r="A207" s="178" t="s">
        <v>135</v>
      </c>
      <c r="B207" s="178" t="s">
        <v>1964</v>
      </c>
      <c r="C207" s="178" t="s">
        <v>29</v>
      </c>
      <c r="D207" s="178" t="s">
        <v>29</v>
      </c>
      <c r="E207" s="178" t="s">
        <v>1592</v>
      </c>
      <c r="F207" s="14" t="b">
        <f>OR(Transport_Table[[#This Row],[Feedstock]]="All",Transport_Table[[#This Row],[Feedstock]]=SelectedFeedstock)</f>
        <v>0</v>
      </c>
      <c r="G207" s="14" t="b">
        <f>OR(Transport_Table[[#This Row],[Conversion]]="All",Transport_Table[[#This Row],[Conversion]]=SelectedConversion)</f>
        <v>0</v>
      </c>
      <c r="H207" s="14" t="b">
        <f>OR(Transport_Table[[#This Row],[Data Set]]="All",Transport_Table[[#This Row],[Data Set]]=SelectedDataSet)</f>
        <v>1</v>
      </c>
      <c r="I207" s="14" t="b">
        <f>OR(Transport_Table[[#This Row],[Technology]]="All",Transport_Table[[#This Row],[Technology]]=SelectedTechnology)</f>
        <v>0</v>
      </c>
      <c r="J207" s="14" t="b">
        <f>OR(Transport_Table[[#This Row],[Data Source]]="All",Transport_Table[[#This Row],[Data Source]]=SelectedDataSource)</f>
        <v>1</v>
      </c>
      <c r="L207" s="14" t="b">
        <f>AND(Transport_Table[[#This Row],[Show Feedstock]:[Show Data Source]],NOT(Transport_Table[[#This Row],[Hide Column]]))</f>
        <v>0</v>
      </c>
      <c r="M207" s="14" t="s">
        <v>429</v>
      </c>
      <c r="N207" s="14" t="s">
        <v>1219</v>
      </c>
      <c r="O207" s="14" t="s">
        <v>1301</v>
      </c>
      <c r="P207" s="178" t="s">
        <v>1700</v>
      </c>
      <c r="Q207" s="241" t="s">
        <v>1943</v>
      </c>
      <c r="R207" s="393">
        <v>0.33</v>
      </c>
      <c r="S207" s="394">
        <v>520</v>
      </c>
      <c r="T207" s="107"/>
    </row>
    <row r="208" spans="1:20" x14ac:dyDescent="0.3">
      <c r="A208" s="178" t="s">
        <v>135</v>
      </c>
      <c r="B208" s="178" t="s">
        <v>1964</v>
      </c>
      <c r="C208" s="178" t="s">
        <v>29</v>
      </c>
      <c r="D208" s="178" t="s">
        <v>29</v>
      </c>
      <c r="E208" s="178" t="s">
        <v>1592</v>
      </c>
      <c r="F208" s="14" t="b">
        <f>OR(Transport_Table[[#This Row],[Feedstock]]="All",Transport_Table[[#This Row],[Feedstock]]=SelectedFeedstock)</f>
        <v>0</v>
      </c>
      <c r="G208" s="14" t="b">
        <f>OR(Transport_Table[[#This Row],[Conversion]]="All",Transport_Table[[#This Row],[Conversion]]=SelectedConversion)</f>
        <v>0</v>
      </c>
      <c r="H208" s="14" t="b">
        <f>OR(Transport_Table[[#This Row],[Data Set]]="All",Transport_Table[[#This Row],[Data Set]]=SelectedDataSet)</f>
        <v>1</v>
      </c>
      <c r="I208" s="14" t="b">
        <f>OR(Transport_Table[[#This Row],[Technology]]="All",Transport_Table[[#This Row],[Technology]]=SelectedTechnology)</f>
        <v>0</v>
      </c>
      <c r="J208" s="14" t="b">
        <f>OR(Transport_Table[[#This Row],[Data Source]]="All",Transport_Table[[#This Row],[Data Source]]=SelectedDataSource)</f>
        <v>1</v>
      </c>
      <c r="L208" s="14" t="b">
        <f>AND(Transport_Table[[#This Row],[Show Feedstock]:[Show Data Source]],NOT(Transport_Table[[#This Row],[Hide Column]]))</f>
        <v>0</v>
      </c>
      <c r="M208" s="14" t="s">
        <v>429</v>
      </c>
      <c r="N208" s="14" t="s">
        <v>1220</v>
      </c>
      <c r="O208" s="14" t="s">
        <v>1302</v>
      </c>
      <c r="P208" s="178" t="s">
        <v>1700</v>
      </c>
      <c r="Q208" s="241" t="s">
        <v>1944</v>
      </c>
      <c r="R208" s="393">
        <v>0.6</v>
      </c>
      <c r="S208" s="394">
        <v>400</v>
      </c>
      <c r="T208" s="107"/>
    </row>
    <row r="209" spans="1:20" x14ac:dyDescent="0.3">
      <c r="A209" s="178" t="s">
        <v>135</v>
      </c>
      <c r="B209" s="178" t="s">
        <v>1964</v>
      </c>
      <c r="C209" s="178" t="s">
        <v>29</v>
      </c>
      <c r="D209" s="178" t="s">
        <v>29</v>
      </c>
      <c r="E209" s="178" t="s">
        <v>1592</v>
      </c>
      <c r="F209" s="14" t="b">
        <f>OR(Transport_Table[[#This Row],[Feedstock]]="All",Transport_Table[[#This Row],[Feedstock]]=SelectedFeedstock)</f>
        <v>0</v>
      </c>
      <c r="G209" s="14" t="b">
        <f>OR(Transport_Table[[#This Row],[Conversion]]="All",Transport_Table[[#This Row],[Conversion]]=SelectedConversion)</f>
        <v>0</v>
      </c>
      <c r="H209" s="14" t="b">
        <f>OR(Transport_Table[[#This Row],[Data Set]]="All",Transport_Table[[#This Row],[Data Set]]=SelectedDataSet)</f>
        <v>1</v>
      </c>
      <c r="I209" s="14" t="b">
        <f>OR(Transport_Table[[#This Row],[Technology]]="All",Transport_Table[[#This Row],[Technology]]=SelectedTechnology)</f>
        <v>0</v>
      </c>
      <c r="J209" s="14" t="b">
        <f>OR(Transport_Table[[#This Row],[Data Source]]="All",Transport_Table[[#This Row],[Data Source]]=SelectedDataSource)</f>
        <v>1</v>
      </c>
      <c r="L209" s="14" t="b">
        <f>AND(Transport_Table[[#This Row],[Show Feedstock]:[Show Data Source]],NOT(Transport_Table[[#This Row],[Hide Column]]))</f>
        <v>0</v>
      </c>
      <c r="M209" s="14" t="s">
        <v>429</v>
      </c>
      <c r="N209" s="14" t="s">
        <v>1221</v>
      </c>
      <c r="O209" s="14" t="s">
        <v>1303</v>
      </c>
      <c r="P209" s="178" t="s">
        <v>1700</v>
      </c>
      <c r="Q209" s="241" t="s">
        <v>1945</v>
      </c>
      <c r="R209" s="393">
        <v>6.9999999999999951E-2</v>
      </c>
      <c r="S209" s="394">
        <v>800</v>
      </c>
      <c r="T209" s="107"/>
    </row>
    <row r="210" spans="1:20" x14ac:dyDescent="0.3">
      <c r="A210" s="178" t="s">
        <v>135</v>
      </c>
      <c r="B210" s="178" t="s">
        <v>1964</v>
      </c>
      <c r="C210" s="178" t="s">
        <v>29</v>
      </c>
      <c r="D210" s="178" t="s">
        <v>29</v>
      </c>
      <c r="E210" s="178" t="s">
        <v>1592</v>
      </c>
      <c r="F210" s="14" t="b">
        <f>OR(Transport_Table[[#This Row],[Feedstock]]="All",Transport_Table[[#This Row],[Feedstock]]=SelectedFeedstock)</f>
        <v>0</v>
      </c>
      <c r="G210" s="14" t="b">
        <f>OR(Transport_Table[[#This Row],[Conversion]]="All",Transport_Table[[#This Row],[Conversion]]=SelectedConversion)</f>
        <v>0</v>
      </c>
      <c r="H210" s="14" t="b">
        <f>OR(Transport_Table[[#This Row],[Data Set]]="All",Transport_Table[[#This Row],[Data Set]]=SelectedDataSet)</f>
        <v>1</v>
      </c>
      <c r="I210" s="14" t="b">
        <f>OR(Transport_Table[[#This Row],[Technology]]="All",Transport_Table[[#This Row],[Technology]]=SelectedTechnology)</f>
        <v>0</v>
      </c>
      <c r="J210" s="14" t="b">
        <f>OR(Transport_Table[[#This Row],[Data Source]]="All",Transport_Table[[#This Row],[Data Source]]=SelectedDataSource)</f>
        <v>1</v>
      </c>
      <c r="L210" s="14" t="b">
        <f>AND(Transport_Table[[#This Row],[Show Feedstock]:[Show Data Source]],NOT(Transport_Table[[#This Row],[Hide Column]]))</f>
        <v>0</v>
      </c>
      <c r="M210" s="14" t="s">
        <v>429</v>
      </c>
      <c r="N210" s="14" t="s">
        <v>1222</v>
      </c>
      <c r="O210" s="14" t="s">
        <v>1304</v>
      </c>
      <c r="P210" s="178" t="s">
        <v>1700</v>
      </c>
      <c r="Q210" s="241" t="s">
        <v>1946</v>
      </c>
      <c r="R210" s="393">
        <v>1</v>
      </c>
      <c r="S210" s="394">
        <v>30</v>
      </c>
      <c r="T210" s="107"/>
    </row>
    <row r="211" spans="1:20" x14ac:dyDescent="0.3">
      <c r="A211" s="178" t="s">
        <v>316</v>
      </c>
      <c r="B211" s="178" t="s">
        <v>1964</v>
      </c>
      <c r="C211" s="178" t="s">
        <v>29</v>
      </c>
      <c r="D211" s="178" t="s">
        <v>29</v>
      </c>
      <c r="E211" s="178" t="s">
        <v>1592</v>
      </c>
      <c r="F211" s="14" t="b">
        <f>OR(Transport_Table[[#This Row],[Feedstock]]="All",Transport_Table[[#This Row],[Feedstock]]=SelectedFeedstock)</f>
        <v>0</v>
      </c>
      <c r="G211" s="14" t="b">
        <f>OR(Transport_Table[[#This Row],[Conversion]]="All",Transport_Table[[#This Row],[Conversion]]=SelectedConversion)</f>
        <v>0</v>
      </c>
      <c r="H211" s="14" t="b">
        <f>OR(Transport_Table[[#This Row],[Data Set]]="All",Transport_Table[[#This Row],[Data Set]]=SelectedDataSet)</f>
        <v>1</v>
      </c>
      <c r="I211" s="14" t="b">
        <f>OR(Transport_Table[[#This Row],[Technology]]="All",Transport_Table[[#This Row],[Technology]]=SelectedTechnology)</f>
        <v>0</v>
      </c>
      <c r="J211" s="14" t="b">
        <f>OR(Transport_Table[[#This Row],[Data Source]]="All",Transport_Table[[#This Row],[Data Source]]=SelectedDataSource)</f>
        <v>1</v>
      </c>
      <c r="L211" s="14" t="b">
        <f>AND(Transport_Table[[#This Row],[Show Feedstock]:[Show Data Source]],NOT(Transport_Table[[#This Row],[Hide Column]]))</f>
        <v>0</v>
      </c>
      <c r="M211" s="14" t="s">
        <v>429</v>
      </c>
      <c r="N211" s="14" t="s">
        <v>1219</v>
      </c>
      <c r="O211" s="14" t="s">
        <v>1301</v>
      </c>
      <c r="P211" s="178" t="s">
        <v>1700</v>
      </c>
      <c r="Q211" s="241" t="s">
        <v>1947</v>
      </c>
      <c r="R211" s="393">
        <v>0.33</v>
      </c>
      <c r="S211" s="394">
        <v>520</v>
      </c>
      <c r="T211" s="107"/>
    </row>
    <row r="212" spans="1:20" x14ac:dyDescent="0.3">
      <c r="A212" s="178" t="s">
        <v>316</v>
      </c>
      <c r="B212" s="178" t="s">
        <v>1964</v>
      </c>
      <c r="C212" s="178" t="s">
        <v>29</v>
      </c>
      <c r="D212" s="178" t="s">
        <v>29</v>
      </c>
      <c r="E212" s="178" t="s">
        <v>1592</v>
      </c>
      <c r="F212" s="14" t="b">
        <f>OR(Transport_Table[[#This Row],[Feedstock]]="All",Transport_Table[[#This Row],[Feedstock]]=SelectedFeedstock)</f>
        <v>0</v>
      </c>
      <c r="G212" s="14" t="b">
        <f>OR(Transport_Table[[#This Row],[Conversion]]="All",Transport_Table[[#This Row],[Conversion]]=SelectedConversion)</f>
        <v>0</v>
      </c>
      <c r="H212" s="14" t="b">
        <f>OR(Transport_Table[[#This Row],[Data Set]]="All",Transport_Table[[#This Row],[Data Set]]=SelectedDataSet)</f>
        <v>1</v>
      </c>
      <c r="I212" s="14" t="b">
        <f>OR(Transport_Table[[#This Row],[Technology]]="All",Transport_Table[[#This Row],[Technology]]=SelectedTechnology)</f>
        <v>0</v>
      </c>
      <c r="J212" s="14" t="b">
        <f>OR(Transport_Table[[#This Row],[Data Source]]="All",Transport_Table[[#This Row],[Data Source]]=SelectedDataSource)</f>
        <v>1</v>
      </c>
      <c r="L212" s="14" t="b">
        <f>AND(Transport_Table[[#This Row],[Show Feedstock]:[Show Data Source]],NOT(Transport_Table[[#This Row],[Hide Column]]))</f>
        <v>0</v>
      </c>
      <c r="M212" s="14" t="s">
        <v>429</v>
      </c>
      <c r="N212" s="14" t="s">
        <v>1220</v>
      </c>
      <c r="O212" s="14" t="s">
        <v>1302</v>
      </c>
      <c r="P212" s="178" t="s">
        <v>1700</v>
      </c>
      <c r="Q212" s="241" t="s">
        <v>1943</v>
      </c>
      <c r="R212" s="393">
        <v>0.6</v>
      </c>
      <c r="S212" s="394">
        <v>400</v>
      </c>
      <c r="T212" s="107"/>
    </row>
    <row r="213" spans="1:20" x14ac:dyDescent="0.3">
      <c r="A213" s="178" t="s">
        <v>316</v>
      </c>
      <c r="B213" s="178" t="s">
        <v>1964</v>
      </c>
      <c r="C213" s="178" t="s">
        <v>29</v>
      </c>
      <c r="D213" s="178" t="s">
        <v>29</v>
      </c>
      <c r="E213" s="178" t="s">
        <v>1592</v>
      </c>
      <c r="F213" s="14" t="b">
        <f>OR(Transport_Table[[#This Row],[Feedstock]]="All",Transport_Table[[#This Row],[Feedstock]]=SelectedFeedstock)</f>
        <v>0</v>
      </c>
      <c r="G213" s="14" t="b">
        <f>OR(Transport_Table[[#This Row],[Conversion]]="All",Transport_Table[[#This Row],[Conversion]]=SelectedConversion)</f>
        <v>0</v>
      </c>
      <c r="H213" s="14" t="b">
        <f>OR(Transport_Table[[#This Row],[Data Set]]="All",Transport_Table[[#This Row],[Data Set]]=SelectedDataSet)</f>
        <v>1</v>
      </c>
      <c r="I213" s="14" t="b">
        <f>OR(Transport_Table[[#This Row],[Technology]]="All",Transport_Table[[#This Row],[Technology]]=SelectedTechnology)</f>
        <v>0</v>
      </c>
      <c r="J213" s="14" t="b">
        <f>OR(Transport_Table[[#This Row],[Data Source]]="All",Transport_Table[[#This Row],[Data Source]]=SelectedDataSource)</f>
        <v>1</v>
      </c>
      <c r="L213" s="14" t="b">
        <f>AND(Transport_Table[[#This Row],[Show Feedstock]:[Show Data Source]],NOT(Transport_Table[[#This Row],[Hide Column]]))</f>
        <v>0</v>
      </c>
      <c r="M213" s="14" t="s">
        <v>429</v>
      </c>
      <c r="N213" s="14" t="s">
        <v>1221</v>
      </c>
      <c r="O213" s="14" t="s">
        <v>1303</v>
      </c>
      <c r="P213" s="178" t="s">
        <v>1700</v>
      </c>
      <c r="Q213" s="241" t="s">
        <v>1944</v>
      </c>
      <c r="R213" s="393">
        <v>6.9999999999999951E-2</v>
      </c>
      <c r="S213" s="394">
        <v>800</v>
      </c>
      <c r="T213" s="107"/>
    </row>
    <row r="214" spans="1:20" x14ac:dyDescent="0.3">
      <c r="A214" s="178" t="s">
        <v>316</v>
      </c>
      <c r="B214" s="178" t="s">
        <v>1964</v>
      </c>
      <c r="C214" s="178" t="s">
        <v>29</v>
      </c>
      <c r="D214" s="178" t="s">
        <v>29</v>
      </c>
      <c r="E214" s="178" t="s">
        <v>1592</v>
      </c>
      <c r="F214" s="14" t="b">
        <f>OR(Transport_Table[[#This Row],[Feedstock]]="All",Transport_Table[[#This Row],[Feedstock]]=SelectedFeedstock)</f>
        <v>0</v>
      </c>
      <c r="G214" s="14" t="b">
        <f>OR(Transport_Table[[#This Row],[Conversion]]="All",Transport_Table[[#This Row],[Conversion]]=SelectedConversion)</f>
        <v>0</v>
      </c>
      <c r="H214" s="14" t="b">
        <f>OR(Transport_Table[[#This Row],[Data Set]]="All",Transport_Table[[#This Row],[Data Set]]=SelectedDataSet)</f>
        <v>1</v>
      </c>
      <c r="I214" s="14" t="b">
        <f>OR(Transport_Table[[#This Row],[Technology]]="All",Transport_Table[[#This Row],[Technology]]=SelectedTechnology)</f>
        <v>0</v>
      </c>
      <c r="J214" s="14" t="b">
        <f>OR(Transport_Table[[#This Row],[Data Source]]="All",Transport_Table[[#This Row],[Data Source]]=SelectedDataSource)</f>
        <v>1</v>
      </c>
      <c r="L214" s="14" t="b">
        <f>AND(Transport_Table[[#This Row],[Show Feedstock]:[Show Data Source]],NOT(Transport_Table[[#This Row],[Hide Column]]))</f>
        <v>0</v>
      </c>
      <c r="M214" s="14" t="s">
        <v>429</v>
      </c>
      <c r="N214" s="14" t="s">
        <v>1222</v>
      </c>
      <c r="O214" s="14" t="s">
        <v>1304</v>
      </c>
      <c r="P214" s="178" t="s">
        <v>1700</v>
      </c>
      <c r="Q214" s="241" t="s">
        <v>1945</v>
      </c>
      <c r="R214" s="393">
        <v>1</v>
      </c>
      <c r="S214" s="394">
        <v>30</v>
      </c>
      <c r="T214" s="107"/>
    </row>
    <row r="215" spans="1:20" x14ac:dyDescent="0.3">
      <c r="A215" s="178" t="s">
        <v>366</v>
      </c>
      <c r="B215" s="178" t="s">
        <v>1964</v>
      </c>
      <c r="C215" s="178" t="s">
        <v>29</v>
      </c>
      <c r="D215" s="178" t="s">
        <v>29</v>
      </c>
      <c r="E215" s="178" t="s">
        <v>1592</v>
      </c>
      <c r="F215" s="14" t="b">
        <f>OR(Transport_Table[[#This Row],[Feedstock]]="All",Transport_Table[[#This Row],[Feedstock]]=SelectedFeedstock)</f>
        <v>0</v>
      </c>
      <c r="G215" s="14" t="b">
        <f>OR(Transport_Table[[#This Row],[Conversion]]="All",Transport_Table[[#This Row],[Conversion]]=SelectedConversion)</f>
        <v>0</v>
      </c>
      <c r="H215" s="14" t="b">
        <f>OR(Transport_Table[[#This Row],[Data Set]]="All",Transport_Table[[#This Row],[Data Set]]=SelectedDataSet)</f>
        <v>1</v>
      </c>
      <c r="I215" s="14" t="b">
        <f>OR(Transport_Table[[#This Row],[Technology]]="All",Transport_Table[[#This Row],[Technology]]=SelectedTechnology)</f>
        <v>0</v>
      </c>
      <c r="J215" s="14" t="b">
        <f>OR(Transport_Table[[#This Row],[Data Source]]="All",Transport_Table[[#This Row],[Data Source]]=SelectedDataSource)</f>
        <v>1</v>
      </c>
      <c r="L215" s="14" t="b">
        <f>AND(Transport_Table[[#This Row],[Show Feedstock]:[Show Data Source]],NOT(Transport_Table[[#This Row],[Hide Column]]))</f>
        <v>0</v>
      </c>
      <c r="M215" s="14" t="s">
        <v>429</v>
      </c>
      <c r="N215" s="14" t="s">
        <v>1219</v>
      </c>
      <c r="O215" s="14" t="s">
        <v>1301</v>
      </c>
      <c r="P215" s="178" t="s">
        <v>1700</v>
      </c>
      <c r="Q215" s="241" t="s">
        <v>1946</v>
      </c>
      <c r="R215" s="393">
        <v>0.33</v>
      </c>
      <c r="S215" s="394">
        <v>520</v>
      </c>
      <c r="T215" s="107"/>
    </row>
    <row r="216" spans="1:20" x14ac:dyDescent="0.3">
      <c r="A216" s="178" t="s">
        <v>366</v>
      </c>
      <c r="B216" s="178" t="s">
        <v>1964</v>
      </c>
      <c r="C216" s="178" t="s">
        <v>29</v>
      </c>
      <c r="D216" s="178" t="s">
        <v>29</v>
      </c>
      <c r="E216" s="178" t="s">
        <v>1592</v>
      </c>
      <c r="F216" s="14" t="b">
        <f>OR(Transport_Table[[#This Row],[Feedstock]]="All",Transport_Table[[#This Row],[Feedstock]]=SelectedFeedstock)</f>
        <v>0</v>
      </c>
      <c r="G216" s="14" t="b">
        <f>OR(Transport_Table[[#This Row],[Conversion]]="All",Transport_Table[[#This Row],[Conversion]]=SelectedConversion)</f>
        <v>0</v>
      </c>
      <c r="H216" s="14" t="b">
        <f>OR(Transport_Table[[#This Row],[Data Set]]="All",Transport_Table[[#This Row],[Data Set]]=SelectedDataSet)</f>
        <v>1</v>
      </c>
      <c r="I216" s="14" t="b">
        <f>OR(Transport_Table[[#This Row],[Technology]]="All",Transport_Table[[#This Row],[Technology]]=SelectedTechnology)</f>
        <v>0</v>
      </c>
      <c r="J216" s="14" t="b">
        <f>OR(Transport_Table[[#This Row],[Data Source]]="All",Transport_Table[[#This Row],[Data Source]]=SelectedDataSource)</f>
        <v>1</v>
      </c>
      <c r="L216" s="14" t="b">
        <f>AND(Transport_Table[[#This Row],[Show Feedstock]:[Show Data Source]],NOT(Transport_Table[[#This Row],[Hide Column]]))</f>
        <v>0</v>
      </c>
      <c r="M216" s="14" t="s">
        <v>429</v>
      </c>
      <c r="N216" s="14" t="s">
        <v>1220</v>
      </c>
      <c r="O216" s="14" t="s">
        <v>1302</v>
      </c>
      <c r="P216" s="178" t="s">
        <v>1700</v>
      </c>
      <c r="Q216" s="241" t="s">
        <v>1947</v>
      </c>
      <c r="R216" s="393">
        <v>0.6</v>
      </c>
      <c r="S216" s="394">
        <v>400</v>
      </c>
      <c r="T216" s="107"/>
    </row>
    <row r="217" spans="1:20" x14ac:dyDescent="0.3">
      <c r="A217" s="178" t="s">
        <v>366</v>
      </c>
      <c r="B217" s="178" t="s">
        <v>1964</v>
      </c>
      <c r="C217" s="178" t="s">
        <v>29</v>
      </c>
      <c r="D217" s="178" t="s">
        <v>29</v>
      </c>
      <c r="E217" s="178" t="s">
        <v>1592</v>
      </c>
      <c r="F217" s="14" t="b">
        <f>OR(Transport_Table[[#This Row],[Feedstock]]="All",Transport_Table[[#This Row],[Feedstock]]=SelectedFeedstock)</f>
        <v>0</v>
      </c>
      <c r="G217" s="14" t="b">
        <f>OR(Transport_Table[[#This Row],[Conversion]]="All",Transport_Table[[#This Row],[Conversion]]=SelectedConversion)</f>
        <v>0</v>
      </c>
      <c r="H217" s="14" t="b">
        <f>OR(Transport_Table[[#This Row],[Data Set]]="All",Transport_Table[[#This Row],[Data Set]]=SelectedDataSet)</f>
        <v>1</v>
      </c>
      <c r="I217" s="14" t="b">
        <f>OR(Transport_Table[[#This Row],[Technology]]="All",Transport_Table[[#This Row],[Technology]]=SelectedTechnology)</f>
        <v>0</v>
      </c>
      <c r="J217" s="14" t="b">
        <f>OR(Transport_Table[[#This Row],[Data Source]]="All",Transport_Table[[#This Row],[Data Source]]=SelectedDataSource)</f>
        <v>1</v>
      </c>
      <c r="L217" s="14" t="b">
        <f>AND(Transport_Table[[#This Row],[Show Feedstock]:[Show Data Source]],NOT(Transport_Table[[#This Row],[Hide Column]]))</f>
        <v>0</v>
      </c>
      <c r="M217" s="14" t="s">
        <v>429</v>
      </c>
      <c r="N217" s="14" t="s">
        <v>1221</v>
      </c>
      <c r="O217" s="14" t="s">
        <v>1303</v>
      </c>
      <c r="P217" s="178" t="s">
        <v>1700</v>
      </c>
      <c r="Q217" s="241" t="s">
        <v>1943</v>
      </c>
      <c r="R217" s="393">
        <v>6.9999999999999951E-2</v>
      </c>
      <c r="S217" s="394">
        <v>800</v>
      </c>
      <c r="T217" s="107"/>
    </row>
    <row r="218" spans="1:20" x14ac:dyDescent="0.3">
      <c r="A218" s="178" t="s">
        <v>366</v>
      </c>
      <c r="B218" s="178" t="s">
        <v>1964</v>
      </c>
      <c r="C218" s="178" t="s">
        <v>29</v>
      </c>
      <c r="D218" s="178" t="s">
        <v>29</v>
      </c>
      <c r="E218" s="178" t="s">
        <v>1592</v>
      </c>
      <c r="F218" s="14" t="b">
        <f>OR(Transport_Table[[#This Row],[Feedstock]]="All",Transport_Table[[#This Row],[Feedstock]]=SelectedFeedstock)</f>
        <v>0</v>
      </c>
      <c r="G218" s="14" t="b">
        <f>OR(Transport_Table[[#This Row],[Conversion]]="All",Transport_Table[[#This Row],[Conversion]]=SelectedConversion)</f>
        <v>0</v>
      </c>
      <c r="H218" s="14" t="b">
        <f>OR(Transport_Table[[#This Row],[Data Set]]="All",Transport_Table[[#This Row],[Data Set]]=SelectedDataSet)</f>
        <v>1</v>
      </c>
      <c r="I218" s="14" t="b">
        <f>OR(Transport_Table[[#This Row],[Technology]]="All",Transport_Table[[#This Row],[Technology]]=SelectedTechnology)</f>
        <v>0</v>
      </c>
      <c r="J218" s="14" t="b">
        <f>OR(Transport_Table[[#This Row],[Data Source]]="All",Transport_Table[[#This Row],[Data Source]]=SelectedDataSource)</f>
        <v>1</v>
      </c>
      <c r="L218" s="14" t="b">
        <f>AND(Transport_Table[[#This Row],[Show Feedstock]:[Show Data Source]],NOT(Transport_Table[[#This Row],[Hide Column]]))</f>
        <v>0</v>
      </c>
      <c r="M218" s="14" t="s">
        <v>429</v>
      </c>
      <c r="N218" s="14" t="s">
        <v>1222</v>
      </c>
      <c r="O218" s="14" t="s">
        <v>1304</v>
      </c>
      <c r="P218" s="178" t="s">
        <v>1700</v>
      </c>
      <c r="Q218" s="241" t="s">
        <v>1944</v>
      </c>
      <c r="R218" s="393">
        <v>1</v>
      </c>
      <c r="S218" s="394">
        <v>30</v>
      </c>
      <c r="T218" s="107"/>
    </row>
    <row r="219" spans="1:20" x14ac:dyDescent="0.3">
      <c r="A219" s="190" t="s">
        <v>135</v>
      </c>
      <c r="B219" s="178" t="s">
        <v>139</v>
      </c>
      <c r="C219" s="178" t="s">
        <v>29</v>
      </c>
      <c r="D219" s="178" t="s">
        <v>29</v>
      </c>
      <c r="E219" s="178" t="s">
        <v>31</v>
      </c>
      <c r="F219" s="14" t="b">
        <f>OR(Transport_Table[[#This Row],[Feedstock]]="All",Transport_Table[[#This Row],[Feedstock]]=SelectedFeedstock)</f>
        <v>0</v>
      </c>
      <c r="G219" s="14" t="b">
        <f>OR(Transport_Table[[#This Row],[Conversion]]="All",Transport_Table[[#This Row],[Conversion]]=SelectedConversion)</f>
        <v>0</v>
      </c>
      <c r="H219" s="14" t="b">
        <f>OR(Transport_Table[[#This Row],[Data Set]]="All",Transport_Table[[#This Row],[Data Set]]=SelectedDataSet)</f>
        <v>1</v>
      </c>
      <c r="I219" s="14" t="b">
        <f>OR(Transport_Table[[#This Row],[Technology]]="All",Transport_Table[[#This Row],[Technology]]=SelectedTechnology)</f>
        <v>1</v>
      </c>
      <c r="J219" s="14" t="b">
        <f>OR(Transport_Table[[#This Row],[Data Source]]="All",Transport_Table[[#This Row],[Data Source]]=SelectedDataSource)</f>
        <v>1</v>
      </c>
      <c r="K219" s="14" t="b">
        <v>1</v>
      </c>
      <c r="L219" s="14" t="b">
        <f>AND(Transport_Table[[#This Row],[Show Feedstock]:[Show Data Source]],NOT(Transport_Table[[#This Row],[Hide Column]]))</f>
        <v>0</v>
      </c>
      <c r="M219" s="14" t="s">
        <v>147</v>
      </c>
      <c r="N219" s="14" t="s">
        <v>1214</v>
      </c>
      <c r="O219" s="14" t="s">
        <v>1296</v>
      </c>
      <c r="P219" s="178" t="s">
        <v>135</v>
      </c>
      <c r="Q219" s="241" t="s">
        <v>1945</v>
      </c>
      <c r="R219" s="393">
        <v>1</v>
      </c>
      <c r="S219" s="394">
        <v>53.30846677660368</v>
      </c>
      <c r="T219" s="107"/>
    </row>
    <row r="220" spans="1:20" x14ac:dyDescent="0.3">
      <c r="A220" s="190" t="s">
        <v>135</v>
      </c>
      <c r="B220" s="178" t="s">
        <v>139</v>
      </c>
      <c r="C220" s="178" t="s">
        <v>29</v>
      </c>
      <c r="D220" s="178" t="s">
        <v>29</v>
      </c>
      <c r="E220" s="178" t="s">
        <v>31</v>
      </c>
      <c r="F220" s="14" t="b">
        <f>OR(Transport_Table[[#This Row],[Feedstock]]="All",Transport_Table[[#This Row],[Feedstock]]=SelectedFeedstock)</f>
        <v>0</v>
      </c>
      <c r="G220" s="14" t="b">
        <f>OR(Transport_Table[[#This Row],[Conversion]]="All",Transport_Table[[#This Row],[Conversion]]=SelectedConversion)</f>
        <v>0</v>
      </c>
      <c r="H220" s="14" t="b">
        <f>OR(Transport_Table[[#This Row],[Data Set]]="All",Transport_Table[[#This Row],[Data Set]]=SelectedDataSet)</f>
        <v>1</v>
      </c>
      <c r="I220" s="14" t="b">
        <f>OR(Transport_Table[[#This Row],[Technology]]="All",Transport_Table[[#This Row],[Technology]]=SelectedTechnology)</f>
        <v>1</v>
      </c>
      <c r="J220" s="14" t="b">
        <f>OR(Transport_Table[[#This Row],[Data Source]]="All",Transport_Table[[#This Row],[Data Source]]=SelectedDataSource)</f>
        <v>1</v>
      </c>
      <c r="L220" s="14" t="b">
        <f>AND(Transport_Table[[#This Row],[Show Feedstock]:[Show Data Source]],NOT(Transport_Table[[#This Row],[Hide Column]]))</f>
        <v>0</v>
      </c>
      <c r="M220" s="14" t="s">
        <v>147</v>
      </c>
      <c r="N220" s="14" t="s">
        <v>1219</v>
      </c>
      <c r="O220" s="14" t="s">
        <v>1301</v>
      </c>
      <c r="P220" s="178" t="s">
        <v>1700</v>
      </c>
      <c r="Q220" s="241" t="s">
        <v>1946</v>
      </c>
      <c r="R220" s="393">
        <v>0.33</v>
      </c>
      <c r="S220" s="394">
        <v>520</v>
      </c>
      <c r="T220" s="107"/>
    </row>
    <row r="221" spans="1:20" x14ac:dyDescent="0.3">
      <c r="A221" s="190" t="s">
        <v>135</v>
      </c>
      <c r="B221" s="178" t="s">
        <v>139</v>
      </c>
      <c r="C221" s="178" t="s">
        <v>29</v>
      </c>
      <c r="D221" s="178" t="s">
        <v>29</v>
      </c>
      <c r="E221" s="178" t="s">
        <v>31</v>
      </c>
      <c r="F221" s="14" t="b">
        <f>OR(Transport_Table[[#This Row],[Feedstock]]="All",Transport_Table[[#This Row],[Feedstock]]=SelectedFeedstock)</f>
        <v>0</v>
      </c>
      <c r="G221" s="14" t="b">
        <f>OR(Transport_Table[[#This Row],[Conversion]]="All",Transport_Table[[#This Row],[Conversion]]=SelectedConversion)</f>
        <v>0</v>
      </c>
      <c r="H221" s="14" t="b">
        <f>OR(Transport_Table[[#This Row],[Data Set]]="All",Transport_Table[[#This Row],[Data Set]]=SelectedDataSet)</f>
        <v>1</v>
      </c>
      <c r="I221" s="14" t="b">
        <f>OR(Transport_Table[[#This Row],[Technology]]="All",Transport_Table[[#This Row],[Technology]]=SelectedTechnology)</f>
        <v>1</v>
      </c>
      <c r="J221" s="14" t="b">
        <f>OR(Transport_Table[[#This Row],[Data Source]]="All",Transport_Table[[#This Row],[Data Source]]=SelectedDataSource)</f>
        <v>1</v>
      </c>
      <c r="L221" s="14" t="b">
        <f>AND(Transport_Table[[#This Row],[Show Feedstock]:[Show Data Source]],NOT(Transport_Table[[#This Row],[Hide Column]]))</f>
        <v>0</v>
      </c>
      <c r="M221" s="14" t="s">
        <v>147</v>
      </c>
      <c r="N221" s="14" t="s">
        <v>1220</v>
      </c>
      <c r="O221" s="14" t="s">
        <v>1302</v>
      </c>
      <c r="P221" s="178" t="s">
        <v>1700</v>
      </c>
      <c r="Q221" s="241" t="s">
        <v>1947</v>
      </c>
      <c r="R221" s="393">
        <v>0.6</v>
      </c>
      <c r="S221" s="394">
        <v>400</v>
      </c>
      <c r="T221" s="107"/>
    </row>
    <row r="222" spans="1:20" x14ac:dyDescent="0.3">
      <c r="A222" s="190" t="s">
        <v>135</v>
      </c>
      <c r="B222" s="178" t="s">
        <v>139</v>
      </c>
      <c r="C222" s="178" t="s">
        <v>29</v>
      </c>
      <c r="D222" s="178" t="s">
        <v>29</v>
      </c>
      <c r="E222" s="178" t="s">
        <v>31</v>
      </c>
      <c r="F222" s="14" t="b">
        <f>OR(Transport_Table[[#This Row],[Feedstock]]="All",Transport_Table[[#This Row],[Feedstock]]=SelectedFeedstock)</f>
        <v>0</v>
      </c>
      <c r="G222" s="14" t="b">
        <f>OR(Transport_Table[[#This Row],[Conversion]]="All",Transport_Table[[#This Row],[Conversion]]=SelectedConversion)</f>
        <v>0</v>
      </c>
      <c r="H222" s="14" t="b">
        <f>OR(Transport_Table[[#This Row],[Data Set]]="All",Transport_Table[[#This Row],[Data Set]]=SelectedDataSet)</f>
        <v>1</v>
      </c>
      <c r="I222" s="14" t="b">
        <f>OR(Transport_Table[[#This Row],[Technology]]="All",Transport_Table[[#This Row],[Technology]]=SelectedTechnology)</f>
        <v>1</v>
      </c>
      <c r="J222" s="14" t="b">
        <f>OR(Transport_Table[[#This Row],[Data Source]]="All",Transport_Table[[#This Row],[Data Source]]=SelectedDataSource)</f>
        <v>1</v>
      </c>
      <c r="L222" s="14" t="b">
        <f>AND(Transport_Table[[#This Row],[Show Feedstock]:[Show Data Source]],NOT(Transport_Table[[#This Row],[Hide Column]]))</f>
        <v>0</v>
      </c>
      <c r="M222" s="14" t="s">
        <v>147</v>
      </c>
      <c r="N222" s="14" t="s">
        <v>1221</v>
      </c>
      <c r="O222" s="14" t="s">
        <v>1303</v>
      </c>
      <c r="P222" s="178" t="s">
        <v>1700</v>
      </c>
      <c r="Q222" s="241" t="s">
        <v>1943</v>
      </c>
      <c r="R222" s="393">
        <v>6.9999999999999951E-2</v>
      </c>
      <c r="S222" s="394">
        <v>800</v>
      </c>
      <c r="T222" s="107"/>
    </row>
    <row r="223" spans="1:20" x14ac:dyDescent="0.3">
      <c r="A223" s="190" t="s">
        <v>135</v>
      </c>
      <c r="B223" s="178" t="s">
        <v>139</v>
      </c>
      <c r="C223" s="178" t="s">
        <v>29</v>
      </c>
      <c r="D223" s="178" t="s">
        <v>29</v>
      </c>
      <c r="E223" s="178" t="s">
        <v>31</v>
      </c>
      <c r="F223" s="14" t="b">
        <f>OR(Transport_Table[[#This Row],[Feedstock]]="All",Transport_Table[[#This Row],[Feedstock]]=SelectedFeedstock)</f>
        <v>0</v>
      </c>
      <c r="G223" s="14" t="b">
        <f>OR(Transport_Table[[#This Row],[Conversion]]="All",Transport_Table[[#This Row],[Conversion]]=SelectedConversion)</f>
        <v>0</v>
      </c>
      <c r="H223" s="14" t="b">
        <f>OR(Transport_Table[[#This Row],[Data Set]]="All",Transport_Table[[#This Row],[Data Set]]=SelectedDataSet)</f>
        <v>1</v>
      </c>
      <c r="I223" s="14" t="b">
        <f>OR(Transport_Table[[#This Row],[Technology]]="All",Transport_Table[[#This Row],[Technology]]=SelectedTechnology)</f>
        <v>1</v>
      </c>
      <c r="J223" s="14" t="b">
        <f>OR(Transport_Table[[#This Row],[Data Source]]="All",Transport_Table[[#This Row],[Data Source]]=SelectedDataSource)</f>
        <v>1</v>
      </c>
      <c r="L223" s="14" t="b">
        <f>AND(Transport_Table[[#This Row],[Show Feedstock]:[Show Data Source]],NOT(Transport_Table[[#This Row],[Hide Column]]))</f>
        <v>0</v>
      </c>
      <c r="M223" s="14" t="s">
        <v>147</v>
      </c>
      <c r="N223" s="14" t="s">
        <v>1222</v>
      </c>
      <c r="O223" s="14" t="s">
        <v>1304</v>
      </c>
      <c r="P223" s="178" t="s">
        <v>1700</v>
      </c>
      <c r="Q223" s="241" t="s">
        <v>1944</v>
      </c>
      <c r="R223" s="393">
        <v>1</v>
      </c>
      <c r="S223" s="394">
        <v>30</v>
      </c>
      <c r="T223" s="107"/>
    </row>
    <row r="224" spans="1:20" x14ac:dyDescent="0.3">
      <c r="A224" s="190" t="s">
        <v>135</v>
      </c>
      <c r="B224" s="178" t="s">
        <v>140</v>
      </c>
      <c r="C224" s="178" t="s">
        <v>29</v>
      </c>
      <c r="D224" s="178" t="s">
        <v>29</v>
      </c>
      <c r="E224" s="178" t="s">
        <v>31</v>
      </c>
      <c r="F224" s="14" t="b">
        <f>OR(Transport_Table[[#This Row],[Feedstock]]="All",Transport_Table[[#This Row],[Feedstock]]=SelectedFeedstock)</f>
        <v>0</v>
      </c>
      <c r="G224" s="14" t="b">
        <f>OR(Transport_Table[[#This Row],[Conversion]]="All",Transport_Table[[#This Row],[Conversion]]=SelectedConversion)</f>
        <v>0</v>
      </c>
      <c r="H224" s="14" t="b">
        <f>OR(Transport_Table[[#This Row],[Data Set]]="All",Transport_Table[[#This Row],[Data Set]]=SelectedDataSet)</f>
        <v>1</v>
      </c>
      <c r="I224" s="14" t="b">
        <f>OR(Transport_Table[[#This Row],[Technology]]="All",Transport_Table[[#This Row],[Technology]]=SelectedTechnology)</f>
        <v>1</v>
      </c>
      <c r="J224" s="14" t="b">
        <f>OR(Transport_Table[[#This Row],[Data Source]]="All",Transport_Table[[#This Row],[Data Source]]=SelectedDataSource)</f>
        <v>1</v>
      </c>
      <c r="K224" s="14" t="b">
        <v>1</v>
      </c>
      <c r="L224" s="14" t="b">
        <f>AND(Transport_Table[[#This Row],[Show Feedstock]:[Show Data Source]],NOT(Transport_Table[[#This Row],[Hide Column]]))</f>
        <v>0</v>
      </c>
      <c r="M224" s="14" t="s">
        <v>147</v>
      </c>
      <c r="N224" s="14" t="s">
        <v>1214</v>
      </c>
      <c r="O224" s="14" t="s">
        <v>1296</v>
      </c>
      <c r="P224" s="178" t="s">
        <v>135</v>
      </c>
      <c r="Q224" s="241" t="s">
        <v>1945</v>
      </c>
      <c r="R224" s="393">
        <v>1</v>
      </c>
      <c r="S224" s="394">
        <v>53.30846677660368</v>
      </c>
      <c r="T224" s="107"/>
    </row>
    <row r="225" spans="1:20" x14ac:dyDescent="0.3">
      <c r="A225" s="190" t="s">
        <v>135</v>
      </c>
      <c r="B225" s="178" t="s">
        <v>140</v>
      </c>
      <c r="C225" s="178" t="s">
        <v>29</v>
      </c>
      <c r="D225" s="178" t="s">
        <v>29</v>
      </c>
      <c r="E225" s="178" t="s">
        <v>31</v>
      </c>
      <c r="F225" s="14" t="b">
        <f>OR(Transport_Table[[#This Row],[Feedstock]]="All",Transport_Table[[#This Row],[Feedstock]]=SelectedFeedstock)</f>
        <v>0</v>
      </c>
      <c r="G225" s="14" t="b">
        <f>OR(Transport_Table[[#This Row],[Conversion]]="All",Transport_Table[[#This Row],[Conversion]]=SelectedConversion)</f>
        <v>0</v>
      </c>
      <c r="H225" s="14" t="b">
        <f>OR(Transport_Table[[#This Row],[Data Set]]="All",Transport_Table[[#This Row],[Data Set]]=SelectedDataSet)</f>
        <v>1</v>
      </c>
      <c r="I225" s="14" t="b">
        <f>OR(Transport_Table[[#This Row],[Technology]]="All",Transport_Table[[#This Row],[Technology]]=SelectedTechnology)</f>
        <v>1</v>
      </c>
      <c r="J225" s="14" t="b">
        <f>OR(Transport_Table[[#This Row],[Data Source]]="All",Transport_Table[[#This Row],[Data Source]]=SelectedDataSource)</f>
        <v>1</v>
      </c>
      <c r="L225" s="14" t="b">
        <f>AND(Transport_Table[[#This Row],[Show Feedstock]:[Show Data Source]],NOT(Transport_Table[[#This Row],[Hide Column]]))</f>
        <v>0</v>
      </c>
      <c r="M225" s="14" t="s">
        <v>147</v>
      </c>
      <c r="N225" s="14" t="s">
        <v>1219</v>
      </c>
      <c r="O225" s="14" t="s">
        <v>1301</v>
      </c>
      <c r="P225" s="178" t="s">
        <v>1700</v>
      </c>
      <c r="Q225" s="241" t="s">
        <v>1946</v>
      </c>
      <c r="R225" s="393">
        <v>0.33</v>
      </c>
      <c r="S225" s="394">
        <v>520</v>
      </c>
      <c r="T225" s="107"/>
    </row>
    <row r="226" spans="1:20" x14ac:dyDescent="0.3">
      <c r="A226" s="190" t="s">
        <v>135</v>
      </c>
      <c r="B226" s="178" t="s">
        <v>140</v>
      </c>
      <c r="C226" s="178" t="s">
        <v>29</v>
      </c>
      <c r="D226" s="178" t="s">
        <v>29</v>
      </c>
      <c r="E226" s="178" t="s">
        <v>31</v>
      </c>
      <c r="F226" s="14" t="b">
        <f>OR(Transport_Table[[#This Row],[Feedstock]]="All",Transport_Table[[#This Row],[Feedstock]]=SelectedFeedstock)</f>
        <v>0</v>
      </c>
      <c r="G226" s="14" t="b">
        <f>OR(Transport_Table[[#This Row],[Conversion]]="All",Transport_Table[[#This Row],[Conversion]]=SelectedConversion)</f>
        <v>0</v>
      </c>
      <c r="H226" s="14" t="b">
        <f>OR(Transport_Table[[#This Row],[Data Set]]="All",Transport_Table[[#This Row],[Data Set]]=SelectedDataSet)</f>
        <v>1</v>
      </c>
      <c r="I226" s="14" t="b">
        <f>OR(Transport_Table[[#This Row],[Technology]]="All",Transport_Table[[#This Row],[Technology]]=SelectedTechnology)</f>
        <v>1</v>
      </c>
      <c r="J226" s="14" t="b">
        <f>OR(Transport_Table[[#This Row],[Data Source]]="All",Transport_Table[[#This Row],[Data Source]]=SelectedDataSource)</f>
        <v>1</v>
      </c>
      <c r="L226" s="14" t="b">
        <f>AND(Transport_Table[[#This Row],[Show Feedstock]:[Show Data Source]],NOT(Transport_Table[[#This Row],[Hide Column]]))</f>
        <v>0</v>
      </c>
      <c r="M226" s="14" t="s">
        <v>147</v>
      </c>
      <c r="N226" s="14" t="s">
        <v>1220</v>
      </c>
      <c r="O226" s="14" t="s">
        <v>1302</v>
      </c>
      <c r="P226" s="178" t="s">
        <v>1700</v>
      </c>
      <c r="Q226" s="241" t="s">
        <v>1947</v>
      </c>
      <c r="R226" s="393">
        <v>0.6</v>
      </c>
      <c r="S226" s="394">
        <v>400</v>
      </c>
      <c r="T226" s="107"/>
    </row>
    <row r="227" spans="1:20" x14ac:dyDescent="0.3">
      <c r="A227" s="190" t="s">
        <v>135</v>
      </c>
      <c r="B227" s="178" t="s">
        <v>140</v>
      </c>
      <c r="C227" s="178" t="s">
        <v>29</v>
      </c>
      <c r="D227" s="178" t="s">
        <v>29</v>
      </c>
      <c r="E227" s="178" t="s">
        <v>31</v>
      </c>
      <c r="F227" s="14" t="b">
        <f>OR(Transport_Table[[#This Row],[Feedstock]]="All",Transport_Table[[#This Row],[Feedstock]]=SelectedFeedstock)</f>
        <v>0</v>
      </c>
      <c r="G227" s="14" t="b">
        <f>OR(Transport_Table[[#This Row],[Conversion]]="All",Transport_Table[[#This Row],[Conversion]]=SelectedConversion)</f>
        <v>0</v>
      </c>
      <c r="H227" s="14" t="b">
        <f>OR(Transport_Table[[#This Row],[Data Set]]="All",Transport_Table[[#This Row],[Data Set]]=SelectedDataSet)</f>
        <v>1</v>
      </c>
      <c r="I227" s="14" t="b">
        <f>OR(Transport_Table[[#This Row],[Technology]]="All",Transport_Table[[#This Row],[Technology]]=SelectedTechnology)</f>
        <v>1</v>
      </c>
      <c r="J227" s="14" t="b">
        <f>OR(Transport_Table[[#This Row],[Data Source]]="All",Transport_Table[[#This Row],[Data Source]]=SelectedDataSource)</f>
        <v>1</v>
      </c>
      <c r="L227" s="14" t="b">
        <f>AND(Transport_Table[[#This Row],[Show Feedstock]:[Show Data Source]],NOT(Transport_Table[[#This Row],[Hide Column]]))</f>
        <v>0</v>
      </c>
      <c r="M227" s="14" t="s">
        <v>147</v>
      </c>
      <c r="N227" s="14" t="s">
        <v>1221</v>
      </c>
      <c r="O227" s="14" t="s">
        <v>1303</v>
      </c>
      <c r="P227" s="178" t="s">
        <v>1700</v>
      </c>
      <c r="Q227" s="241" t="s">
        <v>1943</v>
      </c>
      <c r="R227" s="393">
        <v>6.9999999999999951E-2</v>
      </c>
      <c r="S227" s="394">
        <v>800</v>
      </c>
      <c r="T227" s="107"/>
    </row>
    <row r="228" spans="1:20" x14ac:dyDescent="0.3">
      <c r="A228" s="190" t="s">
        <v>135</v>
      </c>
      <c r="B228" s="178" t="s">
        <v>140</v>
      </c>
      <c r="C228" s="178" t="s">
        <v>29</v>
      </c>
      <c r="D228" s="178" t="s">
        <v>29</v>
      </c>
      <c r="E228" s="178" t="s">
        <v>31</v>
      </c>
      <c r="F228" s="14" t="b">
        <f>OR(Transport_Table[[#This Row],[Feedstock]]="All",Transport_Table[[#This Row],[Feedstock]]=SelectedFeedstock)</f>
        <v>0</v>
      </c>
      <c r="G228" s="14" t="b">
        <f>OR(Transport_Table[[#This Row],[Conversion]]="All",Transport_Table[[#This Row],[Conversion]]=SelectedConversion)</f>
        <v>0</v>
      </c>
      <c r="H228" s="14" t="b">
        <f>OR(Transport_Table[[#This Row],[Data Set]]="All",Transport_Table[[#This Row],[Data Set]]=SelectedDataSet)</f>
        <v>1</v>
      </c>
      <c r="I228" s="14" t="b">
        <f>OR(Transport_Table[[#This Row],[Technology]]="All",Transport_Table[[#This Row],[Technology]]=SelectedTechnology)</f>
        <v>1</v>
      </c>
      <c r="J228" s="14" t="b">
        <f>OR(Transport_Table[[#This Row],[Data Source]]="All",Transport_Table[[#This Row],[Data Source]]=SelectedDataSource)</f>
        <v>1</v>
      </c>
      <c r="L228" s="14" t="b">
        <f>AND(Transport_Table[[#This Row],[Show Feedstock]:[Show Data Source]],NOT(Transport_Table[[#This Row],[Hide Column]]))</f>
        <v>0</v>
      </c>
      <c r="M228" s="14" t="s">
        <v>147</v>
      </c>
      <c r="N228" s="14" t="s">
        <v>1222</v>
      </c>
      <c r="O228" s="14" t="s">
        <v>1304</v>
      </c>
      <c r="P228" s="178" t="s">
        <v>1700</v>
      </c>
      <c r="Q228" s="241" t="s">
        <v>1944</v>
      </c>
      <c r="R228" s="393">
        <v>1</v>
      </c>
      <c r="S228" s="394">
        <v>30</v>
      </c>
      <c r="T228" s="107"/>
    </row>
    <row r="229" spans="1:20" x14ac:dyDescent="0.3">
      <c r="A229" s="190" t="s">
        <v>131</v>
      </c>
      <c r="B229" s="178" t="s">
        <v>139</v>
      </c>
      <c r="C229" s="178" t="s">
        <v>29</v>
      </c>
      <c r="D229" s="178" t="s">
        <v>29</v>
      </c>
      <c r="E229" s="178" t="s">
        <v>31</v>
      </c>
      <c r="F229" s="14" t="b">
        <f>OR(Transport_Table[[#This Row],[Feedstock]]="All",Transport_Table[[#This Row],[Feedstock]]=SelectedFeedstock)</f>
        <v>0</v>
      </c>
      <c r="G229" s="14" t="b">
        <f>OR(Transport_Table[[#This Row],[Conversion]]="All",Transport_Table[[#This Row],[Conversion]]=SelectedConversion)</f>
        <v>0</v>
      </c>
      <c r="H229" s="14" t="b">
        <f>OR(Transport_Table[[#This Row],[Data Set]]="All",Transport_Table[[#This Row],[Data Set]]=SelectedDataSet)</f>
        <v>1</v>
      </c>
      <c r="I229" s="14" t="b">
        <f>OR(Transport_Table[[#This Row],[Technology]]="All",Transport_Table[[#This Row],[Technology]]=SelectedTechnology)</f>
        <v>1</v>
      </c>
      <c r="J229" s="14" t="b">
        <f>OR(Transport_Table[[#This Row],[Data Source]]="All",Transport_Table[[#This Row],[Data Source]]=SelectedDataSource)</f>
        <v>1</v>
      </c>
      <c r="K229" s="14" t="b">
        <v>1</v>
      </c>
      <c r="L229" s="14" t="b">
        <f>AND(Transport_Table[[#This Row],[Show Feedstock]:[Show Data Source]],NOT(Transport_Table[[#This Row],[Hide Column]]))</f>
        <v>0</v>
      </c>
      <c r="M229" s="14" t="s">
        <v>14</v>
      </c>
      <c r="N229" s="14" t="s">
        <v>1211</v>
      </c>
      <c r="O229" s="14" t="s">
        <v>1293</v>
      </c>
      <c r="P229" s="178" t="s">
        <v>131</v>
      </c>
      <c r="Q229" s="241" t="s">
        <v>1945</v>
      </c>
      <c r="R229" s="393">
        <v>1</v>
      </c>
      <c r="S229" s="394">
        <v>50</v>
      </c>
      <c r="T229" s="107"/>
    </row>
    <row r="230" spans="1:20" x14ac:dyDescent="0.3">
      <c r="A230" s="190" t="s">
        <v>131</v>
      </c>
      <c r="B230" s="178" t="s">
        <v>139</v>
      </c>
      <c r="C230" s="178" t="s">
        <v>29</v>
      </c>
      <c r="D230" s="178" t="s">
        <v>29</v>
      </c>
      <c r="E230" s="178" t="s">
        <v>31</v>
      </c>
      <c r="F230" s="14" t="b">
        <f>OR(Transport_Table[[#This Row],[Feedstock]]="All",Transport_Table[[#This Row],[Feedstock]]=SelectedFeedstock)</f>
        <v>0</v>
      </c>
      <c r="G230" s="14" t="b">
        <f>OR(Transport_Table[[#This Row],[Conversion]]="All",Transport_Table[[#This Row],[Conversion]]=SelectedConversion)</f>
        <v>0</v>
      </c>
      <c r="H230" s="14" t="b">
        <f>OR(Transport_Table[[#This Row],[Data Set]]="All",Transport_Table[[#This Row],[Data Set]]=SelectedDataSet)</f>
        <v>1</v>
      </c>
      <c r="I230" s="14" t="b">
        <f>OR(Transport_Table[[#This Row],[Technology]]="All",Transport_Table[[#This Row],[Technology]]=SelectedTechnology)</f>
        <v>1</v>
      </c>
      <c r="J230" s="14" t="b">
        <f>OR(Transport_Table[[#This Row],[Data Source]]="All",Transport_Table[[#This Row],[Data Source]]=SelectedDataSource)</f>
        <v>1</v>
      </c>
      <c r="L230" s="14" t="b">
        <f>AND(Transport_Table[[#This Row],[Show Feedstock]:[Show Data Source]],NOT(Transport_Table[[#This Row],[Hide Column]]))</f>
        <v>0</v>
      </c>
      <c r="M230" s="14" t="s">
        <v>14</v>
      </c>
      <c r="N230" s="14" t="s">
        <v>1219</v>
      </c>
      <c r="O230" s="14" t="s">
        <v>1301</v>
      </c>
      <c r="P230" s="178" t="s">
        <v>1700</v>
      </c>
      <c r="Q230" s="241" t="s">
        <v>1946</v>
      </c>
      <c r="R230" s="393">
        <v>0.33</v>
      </c>
      <c r="S230" s="394">
        <v>520</v>
      </c>
      <c r="T230" s="107"/>
    </row>
    <row r="231" spans="1:20" x14ac:dyDescent="0.3">
      <c r="A231" s="190" t="s">
        <v>131</v>
      </c>
      <c r="B231" s="178" t="s">
        <v>139</v>
      </c>
      <c r="C231" s="178" t="s">
        <v>29</v>
      </c>
      <c r="D231" s="178" t="s">
        <v>29</v>
      </c>
      <c r="E231" s="178" t="s">
        <v>31</v>
      </c>
      <c r="F231" s="14" t="b">
        <f>OR(Transport_Table[[#This Row],[Feedstock]]="All",Transport_Table[[#This Row],[Feedstock]]=SelectedFeedstock)</f>
        <v>0</v>
      </c>
      <c r="G231" s="14" t="b">
        <f>OR(Transport_Table[[#This Row],[Conversion]]="All",Transport_Table[[#This Row],[Conversion]]=SelectedConversion)</f>
        <v>0</v>
      </c>
      <c r="H231" s="14" t="b">
        <f>OR(Transport_Table[[#This Row],[Data Set]]="All",Transport_Table[[#This Row],[Data Set]]=SelectedDataSet)</f>
        <v>1</v>
      </c>
      <c r="I231" s="14" t="b">
        <f>OR(Transport_Table[[#This Row],[Technology]]="All",Transport_Table[[#This Row],[Technology]]=SelectedTechnology)</f>
        <v>1</v>
      </c>
      <c r="J231" s="14" t="b">
        <f>OR(Transport_Table[[#This Row],[Data Source]]="All",Transport_Table[[#This Row],[Data Source]]=SelectedDataSource)</f>
        <v>1</v>
      </c>
      <c r="L231" s="14" t="b">
        <f>AND(Transport_Table[[#This Row],[Show Feedstock]:[Show Data Source]],NOT(Transport_Table[[#This Row],[Hide Column]]))</f>
        <v>0</v>
      </c>
      <c r="M231" s="14" t="s">
        <v>14</v>
      </c>
      <c r="N231" s="14" t="s">
        <v>1220</v>
      </c>
      <c r="O231" s="14" t="s">
        <v>1302</v>
      </c>
      <c r="P231" s="178" t="s">
        <v>1700</v>
      </c>
      <c r="Q231" s="241" t="s">
        <v>1947</v>
      </c>
      <c r="R231" s="393">
        <v>0.6</v>
      </c>
      <c r="S231" s="394">
        <v>400</v>
      </c>
      <c r="T231" s="107"/>
    </row>
    <row r="232" spans="1:20" x14ac:dyDescent="0.3">
      <c r="A232" s="190" t="s">
        <v>131</v>
      </c>
      <c r="B232" s="178" t="s">
        <v>139</v>
      </c>
      <c r="C232" s="178" t="s">
        <v>29</v>
      </c>
      <c r="D232" s="178" t="s">
        <v>29</v>
      </c>
      <c r="E232" s="178" t="s">
        <v>31</v>
      </c>
      <c r="F232" s="14" t="b">
        <f>OR(Transport_Table[[#This Row],[Feedstock]]="All",Transport_Table[[#This Row],[Feedstock]]=SelectedFeedstock)</f>
        <v>0</v>
      </c>
      <c r="G232" s="14" t="b">
        <f>OR(Transport_Table[[#This Row],[Conversion]]="All",Transport_Table[[#This Row],[Conversion]]=SelectedConversion)</f>
        <v>0</v>
      </c>
      <c r="H232" s="14" t="b">
        <f>OR(Transport_Table[[#This Row],[Data Set]]="All",Transport_Table[[#This Row],[Data Set]]=SelectedDataSet)</f>
        <v>1</v>
      </c>
      <c r="I232" s="14" t="b">
        <f>OR(Transport_Table[[#This Row],[Technology]]="All",Transport_Table[[#This Row],[Technology]]=SelectedTechnology)</f>
        <v>1</v>
      </c>
      <c r="J232" s="14" t="b">
        <f>OR(Transport_Table[[#This Row],[Data Source]]="All",Transport_Table[[#This Row],[Data Source]]=SelectedDataSource)</f>
        <v>1</v>
      </c>
      <c r="L232" s="14" t="b">
        <f>AND(Transport_Table[[#This Row],[Show Feedstock]:[Show Data Source]],NOT(Transport_Table[[#This Row],[Hide Column]]))</f>
        <v>0</v>
      </c>
      <c r="M232" s="14" t="s">
        <v>14</v>
      </c>
      <c r="N232" s="14" t="s">
        <v>1221</v>
      </c>
      <c r="O232" s="14" t="s">
        <v>1303</v>
      </c>
      <c r="P232" s="178" t="s">
        <v>1700</v>
      </c>
      <c r="Q232" s="241" t="s">
        <v>1943</v>
      </c>
      <c r="R232" s="393">
        <v>6.9999999999999951E-2</v>
      </c>
      <c r="S232" s="394">
        <v>800</v>
      </c>
      <c r="T232" s="107"/>
    </row>
    <row r="233" spans="1:20" x14ac:dyDescent="0.3">
      <c r="A233" s="190" t="s">
        <v>131</v>
      </c>
      <c r="B233" s="178" t="s">
        <v>139</v>
      </c>
      <c r="C233" s="178" t="s">
        <v>29</v>
      </c>
      <c r="D233" s="178" t="s">
        <v>29</v>
      </c>
      <c r="E233" s="178" t="s">
        <v>31</v>
      </c>
      <c r="F233" s="14" t="b">
        <f>OR(Transport_Table[[#This Row],[Feedstock]]="All",Transport_Table[[#This Row],[Feedstock]]=SelectedFeedstock)</f>
        <v>0</v>
      </c>
      <c r="G233" s="14" t="b">
        <f>OR(Transport_Table[[#This Row],[Conversion]]="All",Transport_Table[[#This Row],[Conversion]]=SelectedConversion)</f>
        <v>0</v>
      </c>
      <c r="H233" s="14" t="b">
        <f>OR(Transport_Table[[#This Row],[Data Set]]="All",Transport_Table[[#This Row],[Data Set]]=SelectedDataSet)</f>
        <v>1</v>
      </c>
      <c r="I233" s="14" t="b">
        <f>OR(Transport_Table[[#This Row],[Technology]]="All",Transport_Table[[#This Row],[Technology]]=SelectedTechnology)</f>
        <v>1</v>
      </c>
      <c r="J233" s="14" t="b">
        <f>OR(Transport_Table[[#This Row],[Data Source]]="All",Transport_Table[[#This Row],[Data Source]]=SelectedDataSource)</f>
        <v>1</v>
      </c>
      <c r="L233" s="14" t="b">
        <f>AND(Transport_Table[[#This Row],[Show Feedstock]:[Show Data Source]],NOT(Transport_Table[[#This Row],[Hide Column]]))</f>
        <v>0</v>
      </c>
      <c r="M233" s="14" t="s">
        <v>14</v>
      </c>
      <c r="N233" s="14" t="s">
        <v>1222</v>
      </c>
      <c r="O233" s="14" t="s">
        <v>1304</v>
      </c>
      <c r="P233" s="178" t="s">
        <v>1700</v>
      </c>
      <c r="Q233" s="241" t="s">
        <v>1944</v>
      </c>
      <c r="R233" s="393">
        <v>1</v>
      </c>
      <c r="S233" s="394">
        <v>30</v>
      </c>
      <c r="T233" s="107"/>
    </row>
    <row r="234" spans="1:20" x14ac:dyDescent="0.3">
      <c r="A234" s="190" t="s">
        <v>131</v>
      </c>
      <c r="B234" s="178" t="s">
        <v>140</v>
      </c>
      <c r="C234" s="178" t="s">
        <v>29</v>
      </c>
      <c r="D234" s="178" t="s">
        <v>29</v>
      </c>
      <c r="E234" s="178" t="s">
        <v>31</v>
      </c>
      <c r="F234" s="14" t="b">
        <f>OR(Transport_Table[[#This Row],[Feedstock]]="All",Transport_Table[[#This Row],[Feedstock]]=SelectedFeedstock)</f>
        <v>0</v>
      </c>
      <c r="G234" s="14" t="b">
        <f>OR(Transport_Table[[#This Row],[Conversion]]="All",Transport_Table[[#This Row],[Conversion]]=SelectedConversion)</f>
        <v>0</v>
      </c>
      <c r="H234" s="14" t="b">
        <f>OR(Transport_Table[[#This Row],[Data Set]]="All",Transport_Table[[#This Row],[Data Set]]=SelectedDataSet)</f>
        <v>1</v>
      </c>
      <c r="I234" s="14" t="b">
        <f>OR(Transport_Table[[#This Row],[Technology]]="All",Transport_Table[[#This Row],[Technology]]=SelectedTechnology)</f>
        <v>1</v>
      </c>
      <c r="J234" s="14" t="b">
        <f>OR(Transport_Table[[#This Row],[Data Source]]="All",Transport_Table[[#This Row],[Data Source]]=SelectedDataSource)</f>
        <v>1</v>
      </c>
      <c r="K234" s="14" t="b">
        <v>1</v>
      </c>
      <c r="L234" s="14" t="b">
        <f>AND(Transport_Table[[#This Row],[Show Feedstock]:[Show Data Source]],NOT(Transport_Table[[#This Row],[Hide Column]]))</f>
        <v>0</v>
      </c>
      <c r="M234" s="14" t="s">
        <v>14</v>
      </c>
      <c r="N234" s="14" t="s">
        <v>1211</v>
      </c>
      <c r="O234" s="14" t="s">
        <v>1293</v>
      </c>
      <c r="P234" s="178" t="s">
        <v>131</v>
      </c>
      <c r="Q234" s="241" t="s">
        <v>1945</v>
      </c>
      <c r="R234" s="393">
        <v>1</v>
      </c>
      <c r="S234" s="394">
        <v>50</v>
      </c>
      <c r="T234" s="107"/>
    </row>
    <row r="235" spans="1:20" x14ac:dyDescent="0.3">
      <c r="A235" s="190" t="s">
        <v>131</v>
      </c>
      <c r="B235" s="178" t="s">
        <v>140</v>
      </c>
      <c r="C235" s="178" t="s">
        <v>29</v>
      </c>
      <c r="D235" s="178" t="s">
        <v>29</v>
      </c>
      <c r="E235" s="178" t="s">
        <v>31</v>
      </c>
      <c r="F235" s="14" t="b">
        <f>OR(Transport_Table[[#This Row],[Feedstock]]="All",Transport_Table[[#This Row],[Feedstock]]=SelectedFeedstock)</f>
        <v>0</v>
      </c>
      <c r="G235" s="14" t="b">
        <f>OR(Transport_Table[[#This Row],[Conversion]]="All",Transport_Table[[#This Row],[Conversion]]=SelectedConversion)</f>
        <v>0</v>
      </c>
      <c r="H235" s="14" t="b">
        <f>OR(Transport_Table[[#This Row],[Data Set]]="All",Transport_Table[[#This Row],[Data Set]]=SelectedDataSet)</f>
        <v>1</v>
      </c>
      <c r="I235" s="14" t="b">
        <f>OR(Transport_Table[[#This Row],[Technology]]="All",Transport_Table[[#This Row],[Technology]]=SelectedTechnology)</f>
        <v>1</v>
      </c>
      <c r="J235" s="14" t="b">
        <f>OR(Transport_Table[[#This Row],[Data Source]]="All",Transport_Table[[#This Row],[Data Source]]=SelectedDataSource)</f>
        <v>1</v>
      </c>
      <c r="L235" s="14" t="b">
        <f>AND(Transport_Table[[#This Row],[Show Feedstock]:[Show Data Source]],NOT(Transport_Table[[#This Row],[Hide Column]]))</f>
        <v>0</v>
      </c>
      <c r="M235" s="14" t="s">
        <v>14</v>
      </c>
      <c r="N235" s="14" t="s">
        <v>1219</v>
      </c>
      <c r="O235" s="14" t="s">
        <v>1301</v>
      </c>
      <c r="P235" s="178" t="s">
        <v>1700</v>
      </c>
      <c r="Q235" s="241" t="s">
        <v>1946</v>
      </c>
      <c r="R235" s="393">
        <v>0.33</v>
      </c>
      <c r="S235" s="394">
        <v>520</v>
      </c>
      <c r="T235" s="107"/>
    </row>
    <row r="236" spans="1:20" x14ac:dyDescent="0.3">
      <c r="A236" s="190" t="s">
        <v>131</v>
      </c>
      <c r="B236" s="178" t="s">
        <v>140</v>
      </c>
      <c r="C236" s="178" t="s">
        <v>29</v>
      </c>
      <c r="D236" s="178" t="s">
        <v>29</v>
      </c>
      <c r="E236" s="178" t="s">
        <v>31</v>
      </c>
      <c r="F236" s="14" t="b">
        <f>OR(Transport_Table[[#This Row],[Feedstock]]="All",Transport_Table[[#This Row],[Feedstock]]=SelectedFeedstock)</f>
        <v>0</v>
      </c>
      <c r="G236" s="14" t="b">
        <f>OR(Transport_Table[[#This Row],[Conversion]]="All",Transport_Table[[#This Row],[Conversion]]=SelectedConversion)</f>
        <v>0</v>
      </c>
      <c r="H236" s="14" t="b">
        <f>OR(Transport_Table[[#This Row],[Data Set]]="All",Transport_Table[[#This Row],[Data Set]]=SelectedDataSet)</f>
        <v>1</v>
      </c>
      <c r="I236" s="14" t="b">
        <f>OR(Transport_Table[[#This Row],[Technology]]="All",Transport_Table[[#This Row],[Technology]]=SelectedTechnology)</f>
        <v>1</v>
      </c>
      <c r="J236" s="14" t="b">
        <f>OR(Transport_Table[[#This Row],[Data Source]]="All",Transport_Table[[#This Row],[Data Source]]=SelectedDataSource)</f>
        <v>1</v>
      </c>
      <c r="L236" s="14" t="b">
        <f>AND(Transport_Table[[#This Row],[Show Feedstock]:[Show Data Source]],NOT(Transport_Table[[#This Row],[Hide Column]]))</f>
        <v>0</v>
      </c>
      <c r="M236" s="14" t="s">
        <v>14</v>
      </c>
      <c r="N236" s="14" t="s">
        <v>1220</v>
      </c>
      <c r="O236" s="14" t="s">
        <v>1302</v>
      </c>
      <c r="P236" s="178" t="s">
        <v>1700</v>
      </c>
      <c r="Q236" s="241" t="s">
        <v>1947</v>
      </c>
      <c r="R236" s="393">
        <v>0.6</v>
      </c>
      <c r="S236" s="394">
        <v>400</v>
      </c>
      <c r="T236" s="107"/>
    </row>
    <row r="237" spans="1:20" x14ac:dyDescent="0.3">
      <c r="A237" s="190" t="s">
        <v>131</v>
      </c>
      <c r="B237" s="178" t="s">
        <v>140</v>
      </c>
      <c r="C237" s="178" t="s">
        <v>29</v>
      </c>
      <c r="D237" s="178" t="s">
        <v>29</v>
      </c>
      <c r="E237" s="178" t="s">
        <v>31</v>
      </c>
      <c r="F237" s="14" t="b">
        <f>OR(Transport_Table[[#This Row],[Feedstock]]="All",Transport_Table[[#This Row],[Feedstock]]=SelectedFeedstock)</f>
        <v>0</v>
      </c>
      <c r="G237" s="14" t="b">
        <f>OR(Transport_Table[[#This Row],[Conversion]]="All",Transport_Table[[#This Row],[Conversion]]=SelectedConversion)</f>
        <v>0</v>
      </c>
      <c r="H237" s="14" t="b">
        <f>OR(Transport_Table[[#This Row],[Data Set]]="All",Transport_Table[[#This Row],[Data Set]]=SelectedDataSet)</f>
        <v>1</v>
      </c>
      <c r="I237" s="14" t="b">
        <f>OR(Transport_Table[[#This Row],[Technology]]="All",Transport_Table[[#This Row],[Technology]]=SelectedTechnology)</f>
        <v>1</v>
      </c>
      <c r="J237" s="14" t="b">
        <f>OR(Transport_Table[[#This Row],[Data Source]]="All",Transport_Table[[#This Row],[Data Source]]=SelectedDataSource)</f>
        <v>1</v>
      </c>
      <c r="L237" s="14" t="b">
        <f>AND(Transport_Table[[#This Row],[Show Feedstock]:[Show Data Source]],NOT(Transport_Table[[#This Row],[Hide Column]]))</f>
        <v>0</v>
      </c>
      <c r="M237" s="14" t="s">
        <v>14</v>
      </c>
      <c r="N237" s="14" t="s">
        <v>1221</v>
      </c>
      <c r="O237" s="14" t="s">
        <v>1303</v>
      </c>
      <c r="P237" s="178" t="s">
        <v>1700</v>
      </c>
      <c r="Q237" s="241" t="s">
        <v>1943</v>
      </c>
      <c r="R237" s="393">
        <v>6.9999999999999951E-2</v>
      </c>
      <c r="S237" s="394">
        <v>800</v>
      </c>
      <c r="T237" s="107"/>
    </row>
    <row r="238" spans="1:20" x14ac:dyDescent="0.3">
      <c r="A238" s="190" t="s">
        <v>131</v>
      </c>
      <c r="B238" s="178" t="s">
        <v>140</v>
      </c>
      <c r="C238" s="178" t="s">
        <v>29</v>
      </c>
      <c r="D238" s="178" t="s">
        <v>29</v>
      </c>
      <c r="E238" s="178" t="s">
        <v>31</v>
      </c>
      <c r="F238" s="14" t="b">
        <f>OR(Transport_Table[[#This Row],[Feedstock]]="All",Transport_Table[[#This Row],[Feedstock]]=SelectedFeedstock)</f>
        <v>0</v>
      </c>
      <c r="G238" s="14" t="b">
        <f>OR(Transport_Table[[#This Row],[Conversion]]="All",Transport_Table[[#This Row],[Conversion]]=SelectedConversion)</f>
        <v>0</v>
      </c>
      <c r="H238" s="14" t="b">
        <f>OR(Transport_Table[[#This Row],[Data Set]]="All",Transport_Table[[#This Row],[Data Set]]=SelectedDataSet)</f>
        <v>1</v>
      </c>
      <c r="I238" s="14" t="b">
        <f>OR(Transport_Table[[#This Row],[Technology]]="All",Transport_Table[[#This Row],[Technology]]=SelectedTechnology)</f>
        <v>1</v>
      </c>
      <c r="J238" s="14" t="b">
        <f>OR(Transport_Table[[#This Row],[Data Source]]="All",Transport_Table[[#This Row],[Data Source]]=SelectedDataSource)</f>
        <v>1</v>
      </c>
      <c r="L238" s="14" t="b">
        <f>AND(Transport_Table[[#This Row],[Show Feedstock]:[Show Data Source]],NOT(Transport_Table[[#This Row],[Hide Column]]))</f>
        <v>0</v>
      </c>
      <c r="M238" s="14" t="s">
        <v>14</v>
      </c>
      <c r="N238" s="14" t="s">
        <v>1222</v>
      </c>
      <c r="O238" s="14" t="s">
        <v>1304</v>
      </c>
      <c r="P238" s="178" t="s">
        <v>1700</v>
      </c>
      <c r="Q238" s="241" t="s">
        <v>1944</v>
      </c>
      <c r="R238" s="393">
        <v>1</v>
      </c>
      <c r="S238" s="394">
        <v>30</v>
      </c>
      <c r="T238" s="107"/>
    </row>
    <row r="239" spans="1:20" x14ac:dyDescent="0.3">
      <c r="A239" s="190" t="s">
        <v>132</v>
      </c>
      <c r="B239" s="178" t="s">
        <v>139</v>
      </c>
      <c r="C239" s="178" t="s">
        <v>29</v>
      </c>
      <c r="D239" s="178" t="s">
        <v>29</v>
      </c>
      <c r="E239" s="178" t="s">
        <v>31</v>
      </c>
      <c r="F239" s="14" t="b">
        <f>OR(Transport_Table[[#This Row],[Feedstock]]="All",Transport_Table[[#This Row],[Feedstock]]=SelectedFeedstock)</f>
        <v>0</v>
      </c>
      <c r="G239" s="14" t="b">
        <f>OR(Transport_Table[[#This Row],[Conversion]]="All",Transport_Table[[#This Row],[Conversion]]=SelectedConversion)</f>
        <v>0</v>
      </c>
      <c r="H239" s="14" t="b">
        <f>OR(Transport_Table[[#This Row],[Data Set]]="All",Transport_Table[[#This Row],[Data Set]]=SelectedDataSet)</f>
        <v>1</v>
      </c>
      <c r="I239" s="14" t="b">
        <f>OR(Transport_Table[[#This Row],[Technology]]="All",Transport_Table[[#This Row],[Technology]]=SelectedTechnology)</f>
        <v>1</v>
      </c>
      <c r="J239" s="14" t="b">
        <f>OR(Transport_Table[[#This Row],[Data Source]]="All",Transport_Table[[#This Row],[Data Source]]=SelectedDataSource)</f>
        <v>1</v>
      </c>
      <c r="K239" s="14" t="b">
        <v>1</v>
      </c>
      <c r="L239" s="14" t="b">
        <f>AND(Transport_Table[[#This Row],[Show Feedstock]:[Show Data Source]],NOT(Transport_Table[[#This Row],[Hide Column]]))</f>
        <v>0</v>
      </c>
      <c r="M239" s="14" t="s">
        <v>14</v>
      </c>
      <c r="N239" s="14" t="s">
        <v>1211</v>
      </c>
      <c r="O239" s="14" t="s">
        <v>1293</v>
      </c>
      <c r="P239" s="178" t="s">
        <v>132</v>
      </c>
      <c r="Q239" s="241" t="s">
        <v>1945</v>
      </c>
      <c r="R239" s="393">
        <v>1</v>
      </c>
      <c r="S239" s="394">
        <v>50</v>
      </c>
      <c r="T239" s="107"/>
    </row>
    <row r="240" spans="1:20" x14ac:dyDescent="0.3">
      <c r="A240" s="190" t="s">
        <v>132</v>
      </c>
      <c r="B240" s="178" t="s">
        <v>139</v>
      </c>
      <c r="C240" s="178" t="s">
        <v>29</v>
      </c>
      <c r="D240" s="178" t="s">
        <v>29</v>
      </c>
      <c r="E240" s="178" t="s">
        <v>31</v>
      </c>
      <c r="F240" s="14" t="b">
        <f>OR(Transport_Table[[#This Row],[Feedstock]]="All",Transport_Table[[#This Row],[Feedstock]]=SelectedFeedstock)</f>
        <v>0</v>
      </c>
      <c r="G240" s="14" t="b">
        <f>OR(Transport_Table[[#This Row],[Conversion]]="All",Transport_Table[[#This Row],[Conversion]]=SelectedConversion)</f>
        <v>0</v>
      </c>
      <c r="H240" s="14" t="b">
        <f>OR(Transport_Table[[#This Row],[Data Set]]="All",Transport_Table[[#This Row],[Data Set]]=SelectedDataSet)</f>
        <v>1</v>
      </c>
      <c r="I240" s="14" t="b">
        <f>OR(Transport_Table[[#This Row],[Technology]]="All",Transport_Table[[#This Row],[Technology]]=SelectedTechnology)</f>
        <v>1</v>
      </c>
      <c r="J240" s="14" t="b">
        <f>OR(Transport_Table[[#This Row],[Data Source]]="All",Transport_Table[[#This Row],[Data Source]]=SelectedDataSource)</f>
        <v>1</v>
      </c>
      <c r="L240" s="14" t="b">
        <f>AND(Transport_Table[[#This Row],[Show Feedstock]:[Show Data Source]],NOT(Transport_Table[[#This Row],[Hide Column]]))</f>
        <v>0</v>
      </c>
      <c r="M240" s="14" t="s">
        <v>14</v>
      </c>
      <c r="N240" s="14" t="s">
        <v>1219</v>
      </c>
      <c r="O240" s="14" t="s">
        <v>1301</v>
      </c>
      <c r="P240" s="178" t="s">
        <v>1700</v>
      </c>
      <c r="Q240" s="241" t="s">
        <v>1946</v>
      </c>
      <c r="R240" s="393">
        <v>0.33</v>
      </c>
      <c r="S240" s="394">
        <v>520</v>
      </c>
      <c r="T240" s="107"/>
    </row>
    <row r="241" spans="1:20" x14ac:dyDescent="0.3">
      <c r="A241" s="190" t="s">
        <v>132</v>
      </c>
      <c r="B241" s="178" t="s">
        <v>139</v>
      </c>
      <c r="C241" s="178" t="s">
        <v>29</v>
      </c>
      <c r="D241" s="178" t="s">
        <v>29</v>
      </c>
      <c r="E241" s="178" t="s">
        <v>31</v>
      </c>
      <c r="F241" s="14" t="b">
        <f>OR(Transport_Table[[#This Row],[Feedstock]]="All",Transport_Table[[#This Row],[Feedstock]]=SelectedFeedstock)</f>
        <v>0</v>
      </c>
      <c r="G241" s="14" t="b">
        <f>OR(Transport_Table[[#This Row],[Conversion]]="All",Transport_Table[[#This Row],[Conversion]]=SelectedConversion)</f>
        <v>0</v>
      </c>
      <c r="H241" s="14" t="b">
        <f>OR(Transport_Table[[#This Row],[Data Set]]="All",Transport_Table[[#This Row],[Data Set]]=SelectedDataSet)</f>
        <v>1</v>
      </c>
      <c r="I241" s="14" t="b">
        <f>OR(Transport_Table[[#This Row],[Technology]]="All",Transport_Table[[#This Row],[Technology]]=SelectedTechnology)</f>
        <v>1</v>
      </c>
      <c r="J241" s="14" t="b">
        <f>OR(Transport_Table[[#This Row],[Data Source]]="All",Transport_Table[[#This Row],[Data Source]]=SelectedDataSource)</f>
        <v>1</v>
      </c>
      <c r="L241" s="14" t="b">
        <f>AND(Transport_Table[[#This Row],[Show Feedstock]:[Show Data Source]],NOT(Transport_Table[[#This Row],[Hide Column]]))</f>
        <v>0</v>
      </c>
      <c r="M241" s="14" t="s">
        <v>14</v>
      </c>
      <c r="N241" s="14" t="s">
        <v>1220</v>
      </c>
      <c r="O241" s="14" t="s">
        <v>1302</v>
      </c>
      <c r="P241" s="178" t="s">
        <v>1700</v>
      </c>
      <c r="Q241" s="241" t="s">
        <v>1947</v>
      </c>
      <c r="R241" s="393">
        <v>0.6</v>
      </c>
      <c r="S241" s="394">
        <v>400</v>
      </c>
      <c r="T241" s="107"/>
    </row>
    <row r="242" spans="1:20" x14ac:dyDescent="0.3">
      <c r="A242" s="190" t="s">
        <v>132</v>
      </c>
      <c r="B242" s="178" t="s">
        <v>139</v>
      </c>
      <c r="C242" s="178" t="s">
        <v>29</v>
      </c>
      <c r="D242" s="178" t="s">
        <v>29</v>
      </c>
      <c r="E242" s="178" t="s">
        <v>31</v>
      </c>
      <c r="F242" s="14" t="b">
        <f>OR(Transport_Table[[#This Row],[Feedstock]]="All",Transport_Table[[#This Row],[Feedstock]]=SelectedFeedstock)</f>
        <v>0</v>
      </c>
      <c r="G242" s="14" t="b">
        <f>OR(Transport_Table[[#This Row],[Conversion]]="All",Transport_Table[[#This Row],[Conversion]]=SelectedConversion)</f>
        <v>0</v>
      </c>
      <c r="H242" s="14" t="b">
        <f>OR(Transport_Table[[#This Row],[Data Set]]="All",Transport_Table[[#This Row],[Data Set]]=SelectedDataSet)</f>
        <v>1</v>
      </c>
      <c r="I242" s="14" t="b">
        <f>OR(Transport_Table[[#This Row],[Technology]]="All",Transport_Table[[#This Row],[Technology]]=SelectedTechnology)</f>
        <v>1</v>
      </c>
      <c r="J242" s="14" t="b">
        <f>OR(Transport_Table[[#This Row],[Data Source]]="All",Transport_Table[[#This Row],[Data Source]]=SelectedDataSource)</f>
        <v>1</v>
      </c>
      <c r="L242" s="14" t="b">
        <f>AND(Transport_Table[[#This Row],[Show Feedstock]:[Show Data Source]],NOT(Transport_Table[[#This Row],[Hide Column]]))</f>
        <v>0</v>
      </c>
      <c r="M242" s="14" t="s">
        <v>14</v>
      </c>
      <c r="N242" s="14" t="s">
        <v>1221</v>
      </c>
      <c r="O242" s="14" t="s">
        <v>1303</v>
      </c>
      <c r="P242" s="178" t="s">
        <v>1700</v>
      </c>
      <c r="Q242" s="241" t="s">
        <v>1943</v>
      </c>
      <c r="R242" s="393">
        <v>6.9999999999999951E-2</v>
      </c>
      <c r="S242" s="394">
        <v>800</v>
      </c>
      <c r="T242" s="107"/>
    </row>
    <row r="243" spans="1:20" x14ac:dyDescent="0.3">
      <c r="A243" s="190" t="s">
        <v>132</v>
      </c>
      <c r="B243" s="178" t="s">
        <v>139</v>
      </c>
      <c r="C243" s="178" t="s">
        <v>29</v>
      </c>
      <c r="D243" s="178" t="s">
        <v>29</v>
      </c>
      <c r="E243" s="178" t="s">
        <v>31</v>
      </c>
      <c r="F243" s="14" t="b">
        <f>OR(Transport_Table[[#This Row],[Feedstock]]="All",Transport_Table[[#This Row],[Feedstock]]=SelectedFeedstock)</f>
        <v>0</v>
      </c>
      <c r="G243" s="14" t="b">
        <f>OR(Transport_Table[[#This Row],[Conversion]]="All",Transport_Table[[#This Row],[Conversion]]=SelectedConversion)</f>
        <v>0</v>
      </c>
      <c r="H243" s="14" t="b">
        <f>OR(Transport_Table[[#This Row],[Data Set]]="All",Transport_Table[[#This Row],[Data Set]]=SelectedDataSet)</f>
        <v>1</v>
      </c>
      <c r="I243" s="14" t="b">
        <f>OR(Transport_Table[[#This Row],[Technology]]="All",Transport_Table[[#This Row],[Technology]]=SelectedTechnology)</f>
        <v>1</v>
      </c>
      <c r="J243" s="14" t="b">
        <f>OR(Transport_Table[[#This Row],[Data Source]]="All",Transport_Table[[#This Row],[Data Source]]=SelectedDataSource)</f>
        <v>1</v>
      </c>
      <c r="L243" s="14" t="b">
        <f>AND(Transport_Table[[#This Row],[Show Feedstock]:[Show Data Source]],NOT(Transport_Table[[#This Row],[Hide Column]]))</f>
        <v>0</v>
      </c>
      <c r="M243" s="14" t="s">
        <v>14</v>
      </c>
      <c r="N243" s="14" t="s">
        <v>1222</v>
      </c>
      <c r="O243" s="14" t="s">
        <v>1304</v>
      </c>
      <c r="P243" s="178" t="s">
        <v>1700</v>
      </c>
      <c r="Q243" s="241" t="s">
        <v>1944</v>
      </c>
      <c r="R243" s="393">
        <v>1</v>
      </c>
      <c r="S243" s="394">
        <v>30</v>
      </c>
      <c r="T243" s="107"/>
    </row>
    <row r="244" spans="1:20" x14ac:dyDescent="0.3">
      <c r="A244" s="190" t="s">
        <v>132</v>
      </c>
      <c r="B244" s="178" t="s">
        <v>140</v>
      </c>
      <c r="C244" s="178" t="s">
        <v>29</v>
      </c>
      <c r="D244" s="178" t="s">
        <v>29</v>
      </c>
      <c r="E244" s="178" t="s">
        <v>31</v>
      </c>
      <c r="F244" s="14" t="b">
        <f>OR(Transport_Table[[#This Row],[Feedstock]]="All",Transport_Table[[#This Row],[Feedstock]]=SelectedFeedstock)</f>
        <v>0</v>
      </c>
      <c r="G244" s="14" t="b">
        <f>OR(Transport_Table[[#This Row],[Conversion]]="All",Transport_Table[[#This Row],[Conversion]]=SelectedConversion)</f>
        <v>0</v>
      </c>
      <c r="H244" s="14" t="b">
        <f>OR(Transport_Table[[#This Row],[Data Set]]="All",Transport_Table[[#This Row],[Data Set]]=SelectedDataSet)</f>
        <v>1</v>
      </c>
      <c r="I244" s="14" t="b">
        <f>OR(Transport_Table[[#This Row],[Technology]]="All",Transport_Table[[#This Row],[Technology]]=SelectedTechnology)</f>
        <v>1</v>
      </c>
      <c r="J244" s="14" t="b">
        <f>OR(Transport_Table[[#This Row],[Data Source]]="All",Transport_Table[[#This Row],[Data Source]]=SelectedDataSource)</f>
        <v>1</v>
      </c>
      <c r="K244" s="14" t="b">
        <v>1</v>
      </c>
      <c r="L244" s="14" t="b">
        <f>AND(Transport_Table[[#This Row],[Show Feedstock]:[Show Data Source]],NOT(Transport_Table[[#This Row],[Hide Column]]))</f>
        <v>0</v>
      </c>
      <c r="M244" s="14" t="s">
        <v>14</v>
      </c>
      <c r="N244" s="14" t="s">
        <v>1211</v>
      </c>
      <c r="O244" s="14" t="s">
        <v>1293</v>
      </c>
      <c r="P244" s="178" t="s">
        <v>132</v>
      </c>
      <c r="Q244" s="241" t="s">
        <v>1945</v>
      </c>
      <c r="R244" s="393">
        <v>1</v>
      </c>
      <c r="S244" s="394">
        <v>50</v>
      </c>
      <c r="T244" s="107"/>
    </row>
    <row r="245" spans="1:20" x14ac:dyDescent="0.3">
      <c r="A245" s="190" t="s">
        <v>132</v>
      </c>
      <c r="B245" s="178" t="s">
        <v>140</v>
      </c>
      <c r="C245" s="178" t="s">
        <v>29</v>
      </c>
      <c r="D245" s="178" t="s">
        <v>29</v>
      </c>
      <c r="E245" s="178" t="s">
        <v>31</v>
      </c>
      <c r="F245" s="14" t="b">
        <f>OR(Transport_Table[[#This Row],[Feedstock]]="All",Transport_Table[[#This Row],[Feedstock]]=SelectedFeedstock)</f>
        <v>0</v>
      </c>
      <c r="G245" s="14" t="b">
        <f>OR(Transport_Table[[#This Row],[Conversion]]="All",Transport_Table[[#This Row],[Conversion]]=SelectedConversion)</f>
        <v>0</v>
      </c>
      <c r="H245" s="14" t="b">
        <f>OR(Transport_Table[[#This Row],[Data Set]]="All",Transport_Table[[#This Row],[Data Set]]=SelectedDataSet)</f>
        <v>1</v>
      </c>
      <c r="I245" s="14" t="b">
        <f>OR(Transport_Table[[#This Row],[Technology]]="All",Transport_Table[[#This Row],[Technology]]=SelectedTechnology)</f>
        <v>1</v>
      </c>
      <c r="J245" s="14" t="b">
        <f>OR(Transport_Table[[#This Row],[Data Source]]="All",Transport_Table[[#This Row],[Data Source]]=SelectedDataSource)</f>
        <v>1</v>
      </c>
      <c r="L245" s="14" t="b">
        <f>AND(Transport_Table[[#This Row],[Show Feedstock]:[Show Data Source]],NOT(Transport_Table[[#This Row],[Hide Column]]))</f>
        <v>0</v>
      </c>
      <c r="M245" s="14" t="s">
        <v>14</v>
      </c>
      <c r="N245" s="14" t="s">
        <v>1219</v>
      </c>
      <c r="O245" s="14" t="s">
        <v>1301</v>
      </c>
      <c r="P245" s="178" t="s">
        <v>1700</v>
      </c>
      <c r="Q245" s="241" t="s">
        <v>1946</v>
      </c>
      <c r="R245" s="393">
        <v>0.33</v>
      </c>
      <c r="S245" s="394">
        <v>520</v>
      </c>
      <c r="T245" s="107"/>
    </row>
    <row r="246" spans="1:20" x14ac:dyDescent="0.3">
      <c r="A246" s="190" t="s">
        <v>132</v>
      </c>
      <c r="B246" s="178" t="s">
        <v>140</v>
      </c>
      <c r="C246" s="178" t="s">
        <v>29</v>
      </c>
      <c r="D246" s="178" t="s">
        <v>29</v>
      </c>
      <c r="E246" s="178" t="s">
        <v>31</v>
      </c>
      <c r="F246" s="14" t="b">
        <f>OR(Transport_Table[[#This Row],[Feedstock]]="All",Transport_Table[[#This Row],[Feedstock]]=SelectedFeedstock)</f>
        <v>0</v>
      </c>
      <c r="G246" s="14" t="b">
        <f>OR(Transport_Table[[#This Row],[Conversion]]="All",Transport_Table[[#This Row],[Conversion]]=SelectedConversion)</f>
        <v>0</v>
      </c>
      <c r="H246" s="14" t="b">
        <f>OR(Transport_Table[[#This Row],[Data Set]]="All",Transport_Table[[#This Row],[Data Set]]=SelectedDataSet)</f>
        <v>1</v>
      </c>
      <c r="I246" s="14" t="b">
        <f>OR(Transport_Table[[#This Row],[Technology]]="All",Transport_Table[[#This Row],[Technology]]=SelectedTechnology)</f>
        <v>1</v>
      </c>
      <c r="J246" s="14" t="b">
        <f>OR(Transport_Table[[#This Row],[Data Source]]="All",Transport_Table[[#This Row],[Data Source]]=SelectedDataSource)</f>
        <v>1</v>
      </c>
      <c r="L246" s="14" t="b">
        <f>AND(Transport_Table[[#This Row],[Show Feedstock]:[Show Data Source]],NOT(Transport_Table[[#This Row],[Hide Column]]))</f>
        <v>0</v>
      </c>
      <c r="M246" s="14" t="s">
        <v>14</v>
      </c>
      <c r="N246" s="14" t="s">
        <v>1220</v>
      </c>
      <c r="O246" s="14" t="s">
        <v>1302</v>
      </c>
      <c r="P246" s="178" t="s">
        <v>1700</v>
      </c>
      <c r="Q246" s="241" t="s">
        <v>1947</v>
      </c>
      <c r="R246" s="393">
        <v>0.6</v>
      </c>
      <c r="S246" s="394">
        <v>400</v>
      </c>
      <c r="T246" s="107"/>
    </row>
    <row r="247" spans="1:20" x14ac:dyDescent="0.3">
      <c r="A247" s="190" t="s">
        <v>132</v>
      </c>
      <c r="B247" s="178" t="s">
        <v>140</v>
      </c>
      <c r="C247" s="178" t="s">
        <v>29</v>
      </c>
      <c r="D247" s="178" t="s">
        <v>29</v>
      </c>
      <c r="E247" s="178" t="s">
        <v>31</v>
      </c>
      <c r="F247" s="14" t="b">
        <f>OR(Transport_Table[[#This Row],[Feedstock]]="All",Transport_Table[[#This Row],[Feedstock]]=SelectedFeedstock)</f>
        <v>0</v>
      </c>
      <c r="G247" s="14" t="b">
        <f>OR(Transport_Table[[#This Row],[Conversion]]="All",Transport_Table[[#This Row],[Conversion]]=SelectedConversion)</f>
        <v>0</v>
      </c>
      <c r="H247" s="14" t="b">
        <f>OR(Transport_Table[[#This Row],[Data Set]]="All",Transport_Table[[#This Row],[Data Set]]=SelectedDataSet)</f>
        <v>1</v>
      </c>
      <c r="I247" s="14" t="b">
        <f>OR(Transport_Table[[#This Row],[Technology]]="All",Transport_Table[[#This Row],[Technology]]=SelectedTechnology)</f>
        <v>1</v>
      </c>
      <c r="J247" s="14" t="b">
        <f>OR(Transport_Table[[#This Row],[Data Source]]="All",Transport_Table[[#This Row],[Data Source]]=SelectedDataSource)</f>
        <v>1</v>
      </c>
      <c r="L247" s="14" t="b">
        <f>AND(Transport_Table[[#This Row],[Show Feedstock]:[Show Data Source]],NOT(Transport_Table[[#This Row],[Hide Column]]))</f>
        <v>0</v>
      </c>
      <c r="M247" s="14" t="s">
        <v>14</v>
      </c>
      <c r="N247" s="14" t="s">
        <v>1221</v>
      </c>
      <c r="O247" s="14" t="s">
        <v>1303</v>
      </c>
      <c r="P247" s="178" t="s">
        <v>1700</v>
      </c>
      <c r="Q247" s="241" t="s">
        <v>1943</v>
      </c>
      <c r="R247" s="393">
        <v>6.9999999999999951E-2</v>
      </c>
      <c r="S247" s="394">
        <v>800</v>
      </c>
      <c r="T247" s="107"/>
    </row>
    <row r="248" spans="1:20" x14ac:dyDescent="0.3">
      <c r="A248" s="190" t="s">
        <v>132</v>
      </c>
      <c r="B248" s="178" t="s">
        <v>140</v>
      </c>
      <c r="C248" s="178" t="s">
        <v>29</v>
      </c>
      <c r="D248" s="178" t="s">
        <v>29</v>
      </c>
      <c r="E248" s="178" t="s">
        <v>31</v>
      </c>
      <c r="F248" s="14" t="b">
        <f>OR(Transport_Table[[#This Row],[Feedstock]]="All",Transport_Table[[#This Row],[Feedstock]]=SelectedFeedstock)</f>
        <v>0</v>
      </c>
      <c r="G248" s="14" t="b">
        <f>OR(Transport_Table[[#This Row],[Conversion]]="All",Transport_Table[[#This Row],[Conversion]]=SelectedConversion)</f>
        <v>0</v>
      </c>
      <c r="H248" s="14" t="b">
        <f>OR(Transport_Table[[#This Row],[Data Set]]="All",Transport_Table[[#This Row],[Data Set]]=SelectedDataSet)</f>
        <v>1</v>
      </c>
      <c r="I248" s="14" t="b">
        <f>OR(Transport_Table[[#This Row],[Technology]]="All",Transport_Table[[#This Row],[Technology]]=SelectedTechnology)</f>
        <v>1</v>
      </c>
      <c r="J248" s="14" t="b">
        <f>OR(Transport_Table[[#This Row],[Data Source]]="All",Transport_Table[[#This Row],[Data Source]]=SelectedDataSource)</f>
        <v>1</v>
      </c>
      <c r="L248" s="14" t="b">
        <f>AND(Transport_Table[[#This Row],[Show Feedstock]:[Show Data Source]],NOT(Transport_Table[[#This Row],[Hide Column]]))</f>
        <v>0</v>
      </c>
      <c r="M248" s="14" t="s">
        <v>14</v>
      </c>
      <c r="N248" s="14" t="s">
        <v>1222</v>
      </c>
      <c r="O248" s="14" t="s">
        <v>1304</v>
      </c>
      <c r="P248" s="178" t="s">
        <v>1700</v>
      </c>
      <c r="Q248" s="241" t="s">
        <v>1944</v>
      </c>
      <c r="R248" s="393">
        <v>1</v>
      </c>
      <c r="S248" s="394">
        <v>30</v>
      </c>
      <c r="T248" s="107"/>
    </row>
    <row r="249" spans="1:20" x14ac:dyDescent="0.3">
      <c r="A249" s="190" t="s">
        <v>133</v>
      </c>
      <c r="B249" s="178" t="s">
        <v>139</v>
      </c>
      <c r="C249" s="178" t="s">
        <v>29</v>
      </c>
      <c r="D249" s="178" t="s">
        <v>29</v>
      </c>
      <c r="E249" s="178" t="s">
        <v>31</v>
      </c>
      <c r="F249" s="14" t="b">
        <f>OR(Transport_Table[[#This Row],[Feedstock]]="All",Transport_Table[[#This Row],[Feedstock]]=SelectedFeedstock)</f>
        <v>0</v>
      </c>
      <c r="G249" s="14" t="b">
        <f>OR(Transport_Table[[#This Row],[Conversion]]="All",Transport_Table[[#This Row],[Conversion]]=SelectedConversion)</f>
        <v>0</v>
      </c>
      <c r="H249" s="14" t="b">
        <f>OR(Transport_Table[[#This Row],[Data Set]]="All",Transport_Table[[#This Row],[Data Set]]=SelectedDataSet)</f>
        <v>1</v>
      </c>
      <c r="I249" s="14" t="b">
        <f>OR(Transport_Table[[#This Row],[Technology]]="All",Transport_Table[[#This Row],[Technology]]=SelectedTechnology)</f>
        <v>1</v>
      </c>
      <c r="J249" s="14" t="b">
        <f>OR(Transport_Table[[#This Row],[Data Source]]="All",Transport_Table[[#This Row],[Data Source]]=SelectedDataSource)</f>
        <v>1</v>
      </c>
      <c r="K249" s="14" t="b">
        <v>1</v>
      </c>
      <c r="L249" s="14" t="b">
        <f>AND(Transport_Table[[#This Row],[Show Feedstock]:[Show Data Source]],NOT(Transport_Table[[#This Row],[Hide Column]]))</f>
        <v>0</v>
      </c>
      <c r="M249" s="14" t="s">
        <v>14</v>
      </c>
      <c r="N249" s="14" t="s">
        <v>1212</v>
      </c>
      <c r="O249" s="14" t="s">
        <v>1294</v>
      </c>
      <c r="P249" s="178" t="s">
        <v>133</v>
      </c>
      <c r="Q249" s="241" t="s">
        <v>1945</v>
      </c>
      <c r="R249" s="393">
        <v>1</v>
      </c>
      <c r="S249" s="394">
        <v>53.30846677660368</v>
      </c>
      <c r="T249" s="107"/>
    </row>
    <row r="250" spans="1:20" x14ac:dyDescent="0.3">
      <c r="A250" s="190" t="s">
        <v>133</v>
      </c>
      <c r="B250" s="178" t="s">
        <v>139</v>
      </c>
      <c r="C250" s="178" t="s">
        <v>29</v>
      </c>
      <c r="D250" s="178" t="s">
        <v>29</v>
      </c>
      <c r="E250" s="178" t="s">
        <v>31</v>
      </c>
      <c r="F250" s="14" t="b">
        <f>OR(Transport_Table[[#This Row],[Feedstock]]="All",Transport_Table[[#This Row],[Feedstock]]=SelectedFeedstock)</f>
        <v>0</v>
      </c>
      <c r="G250" s="14" t="b">
        <f>OR(Transport_Table[[#This Row],[Conversion]]="All",Transport_Table[[#This Row],[Conversion]]=SelectedConversion)</f>
        <v>0</v>
      </c>
      <c r="H250" s="14" t="b">
        <f>OR(Transport_Table[[#This Row],[Data Set]]="All",Transport_Table[[#This Row],[Data Set]]=SelectedDataSet)</f>
        <v>1</v>
      </c>
      <c r="I250" s="14" t="b">
        <f>OR(Transport_Table[[#This Row],[Technology]]="All",Transport_Table[[#This Row],[Technology]]=SelectedTechnology)</f>
        <v>1</v>
      </c>
      <c r="J250" s="14" t="b">
        <f>OR(Transport_Table[[#This Row],[Data Source]]="All",Transport_Table[[#This Row],[Data Source]]=SelectedDataSource)</f>
        <v>1</v>
      </c>
      <c r="L250" s="14" t="b">
        <f>AND(Transport_Table[[#This Row],[Show Feedstock]:[Show Data Source]],NOT(Transport_Table[[#This Row],[Hide Column]]))</f>
        <v>0</v>
      </c>
      <c r="M250" s="14" t="s">
        <v>14</v>
      </c>
      <c r="N250" s="14" t="s">
        <v>1219</v>
      </c>
      <c r="O250" s="14" t="s">
        <v>1301</v>
      </c>
      <c r="P250" s="178" t="s">
        <v>1700</v>
      </c>
      <c r="Q250" s="241" t="s">
        <v>1946</v>
      </c>
      <c r="R250" s="393">
        <v>0.33</v>
      </c>
      <c r="S250" s="394">
        <v>520</v>
      </c>
      <c r="T250" s="107"/>
    </row>
    <row r="251" spans="1:20" x14ac:dyDescent="0.3">
      <c r="A251" s="190" t="s">
        <v>133</v>
      </c>
      <c r="B251" s="178" t="s">
        <v>139</v>
      </c>
      <c r="C251" s="178" t="s">
        <v>29</v>
      </c>
      <c r="D251" s="178" t="s">
        <v>29</v>
      </c>
      <c r="E251" s="178" t="s">
        <v>31</v>
      </c>
      <c r="F251" s="14" t="b">
        <f>OR(Transport_Table[[#This Row],[Feedstock]]="All",Transport_Table[[#This Row],[Feedstock]]=SelectedFeedstock)</f>
        <v>0</v>
      </c>
      <c r="G251" s="14" t="b">
        <f>OR(Transport_Table[[#This Row],[Conversion]]="All",Transport_Table[[#This Row],[Conversion]]=SelectedConversion)</f>
        <v>0</v>
      </c>
      <c r="H251" s="14" t="b">
        <f>OR(Transport_Table[[#This Row],[Data Set]]="All",Transport_Table[[#This Row],[Data Set]]=SelectedDataSet)</f>
        <v>1</v>
      </c>
      <c r="I251" s="14" t="b">
        <f>OR(Transport_Table[[#This Row],[Technology]]="All",Transport_Table[[#This Row],[Technology]]=SelectedTechnology)</f>
        <v>1</v>
      </c>
      <c r="J251" s="14" t="b">
        <f>OR(Transport_Table[[#This Row],[Data Source]]="All",Transport_Table[[#This Row],[Data Source]]=SelectedDataSource)</f>
        <v>1</v>
      </c>
      <c r="L251" s="14" t="b">
        <f>AND(Transport_Table[[#This Row],[Show Feedstock]:[Show Data Source]],NOT(Transport_Table[[#This Row],[Hide Column]]))</f>
        <v>0</v>
      </c>
      <c r="M251" s="14" t="s">
        <v>14</v>
      </c>
      <c r="N251" s="14" t="s">
        <v>1220</v>
      </c>
      <c r="O251" s="14" t="s">
        <v>1302</v>
      </c>
      <c r="P251" s="178" t="s">
        <v>1700</v>
      </c>
      <c r="Q251" s="241" t="s">
        <v>1947</v>
      </c>
      <c r="R251" s="393">
        <v>0.6</v>
      </c>
      <c r="S251" s="394">
        <v>400</v>
      </c>
      <c r="T251" s="107"/>
    </row>
    <row r="252" spans="1:20" x14ac:dyDescent="0.3">
      <c r="A252" s="190" t="s">
        <v>133</v>
      </c>
      <c r="B252" s="178" t="s">
        <v>139</v>
      </c>
      <c r="C252" s="178" t="s">
        <v>29</v>
      </c>
      <c r="D252" s="178" t="s">
        <v>29</v>
      </c>
      <c r="E252" s="178" t="s">
        <v>31</v>
      </c>
      <c r="F252" s="14" t="b">
        <f>OR(Transport_Table[[#This Row],[Feedstock]]="All",Transport_Table[[#This Row],[Feedstock]]=SelectedFeedstock)</f>
        <v>0</v>
      </c>
      <c r="G252" s="14" t="b">
        <f>OR(Transport_Table[[#This Row],[Conversion]]="All",Transport_Table[[#This Row],[Conversion]]=SelectedConversion)</f>
        <v>0</v>
      </c>
      <c r="H252" s="14" t="b">
        <f>OR(Transport_Table[[#This Row],[Data Set]]="All",Transport_Table[[#This Row],[Data Set]]=SelectedDataSet)</f>
        <v>1</v>
      </c>
      <c r="I252" s="14" t="b">
        <f>OR(Transport_Table[[#This Row],[Technology]]="All",Transport_Table[[#This Row],[Technology]]=SelectedTechnology)</f>
        <v>1</v>
      </c>
      <c r="J252" s="14" t="b">
        <f>OR(Transport_Table[[#This Row],[Data Source]]="All",Transport_Table[[#This Row],[Data Source]]=SelectedDataSource)</f>
        <v>1</v>
      </c>
      <c r="L252" s="14" t="b">
        <f>AND(Transport_Table[[#This Row],[Show Feedstock]:[Show Data Source]],NOT(Transport_Table[[#This Row],[Hide Column]]))</f>
        <v>0</v>
      </c>
      <c r="M252" s="14" t="s">
        <v>14</v>
      </c>
      <c r="N252" s="14" t="s">
        <v>1221</v>
      </c>
      <c r="O252" s="14" t="s">
        <v>1303</v>
      </c>
      <c r="P252" s="178" t="s">
        <v>1700</v>
      </c>
      <c r="Q252" s="241" t="s">
        <v>1943</v>
      </c>
      <c r="R252" s="393">
        <v>6.9999999999999951E-2</v>
      </c>
      <c r="S252" s="394">
        <v>800</v>
      </c>
      <c r="T252" s="107"/>
    </row>
    <row r="253" spans="1:20" x14ac:dyDescent="0.3">
      <c r="A253" s="190" t="s">
        <v>133</v>
      </c>
      <c r="B253" s="178" t="s">
        <v>139</v>
      </c>
      <c r="C253" s="178" t="s">
        <v>29</v>
      </c>
      <c r="D253" s="178" t="s">
        <v>29</v>
      </c>
      <c r="E253" s="178" t="s">
        <v>31</v>
      </c>
      <c r="F253" s="14" t="b">
        <f>OR(Transport_Table[[#This Row],[Feedstock]]="All",Transport_Table[[#This Row],[Feedstock]]=SelectedFeedstock)</f>
        <v>0</v>
      </c>
      <c r="G253" s="14" t="b">
        <f>OR(Transport_Table[[#This Row],[Conversion]]="All",Transport_Table[[#This Row],[Conversion]]=SelectedConversion)</f>
        <v>0</v>
      </c>
      <c r="H253" s="14" t="b">
        <f>OR(Transport_Table[[#This Row],[Data Set]]="All",Transport_Table[[#This Row],[Data Set]]=SelectedDataSet)</f>
        <v>1</v>
      </c>
      <c r="I253" s="14" t="b">
        <f>OR(Transport_Table[[#This Row],[Technology]]="All",Transport_Table[[#This Row],[Technology]]=SelectedTechnology)</f>
        <v>1</v>
      </c>
      <c r="J253" s="14" t="b">
        <f>OR(Transport_Table[[#This Row],[Data Source]]="All",Transport_Table[[#This Row],[Data Source]]=SelectedDataSource)</f>
        <v>1</v>
      </c>
      <c r="L253" s="14" t="b">
        <f>AND(Transport_Table[[#This Row],[Show Feedstock]:[Show Data Source]],NOT(Transport_Table[[#This Row],[Hide Column]]))</f>
        <v>0</v>
      </c>
      <c r="M253" s="14" t="s">
        <v>14</v>
      </c>
      <c r="N253" s="14" t="s">
        <v>1222</v>
      </c>
      <c r="O253" s="14" t="s">
        <v>1304</v>
      </c>
      <c r="P253" s="178" t="s">
        <v>1700</v>
      </c>
      <c r="Q253" s="241" t="s">
        <v>1944</v>
      </c>
      <c r="R253" s="393">
        <v>1</v>
      </c>
      <c r="S253" s="394">
        <v>30</v>
      </c>
      <c r="T253" s="107"/>
    </row>
    <row r="254" spans="1:20" x14ac:dyDescent="0.3">
      <c r="A254" s="190" t="s">
        <v>133</v>
      </c>
      <c r="B254" s="178" t="s">
        <v>140</v>
      </c>
      <c r="C254" s="178" t="s">
        <v>29</v>
      </c>
      <c r="D254" s="178" t="s">
        <v>29</v>
      </c>
      <c r="E254" s="178" t="s">
        <v>31</v>
      </c>
      <c r="F254" s="14" t="b">
        <f>OR(Transport_Table[[#This Row],[Feedstock]]="All",Transport_Table[[#This Row],[Feedstock]]=SelectedFeedstock)</f>
        <v>0</v>
      </c>
      <c r="G254" s="14" t="b">
        <f>OR(Transport_Table[[#This Row],[Conversion]]="All",Transport_Table[[#This Row],[Conversion]]=SelectedConversion)</f>
        <v>0</v>
      </c>
      <c r="H254" s="14" t="b">
        <f>OR(Transport_Table[[#This Row],[Data Set]]="All",Transport_Table[[#This Row],[Data Set]]=SelectedDataSet)</f>
        <v>1</v>
      </c>
      <c r="I254" s="14" t="b">
        <f>OR(Transport_Table[[#This Row],[Technology]]="All",Transport_Table[[#This Row],[Technology]]=SelectedTechnology)</f>
        <v>1</v>
      </c>
      <c r="J254" s="14" t="b">
        <f>OR(Transport_Table[[#This Row],[Data Source]]="All",Transport_Table[[#This Row],[Data Source]]=SelectedDataSource)</f>
        <v>1</v>
      </c>
      <c r="K254" s="14" t="b">
        <v>1</v>
      </c>
      <c r="L254" s="14" t="b">
        <f>AND(Transport_Table[[#This Row],[Show Feedstock]:[Show Data Source]],NOT(Transport_Table[[#This Row],[Hide Column]]))</f>
        <v>0</v>
      </c>
      <c r="M254" s="14" t="s">
        <v>14</v>
      </c>
      <c r="N254" s="14" t="s">
        <v>1212</v>
      </c>
      <c r="O254" s="14" t="s">
        <v>1294</v>
      </c>
      <c r="P254" s="178" t="s">
        <v>133</v>
      </c>
      <c r="Q254" s="241" t="s">
        <v>1945</v>
      </c>
      <c r="R254" s="393">
        <v>1</v>
      </c>
      <c r="S254" s="394">
        <v>53.30846677660368</v>
      </c>
      <c r="T254" s="107"/>
    </row>
    <row r="255" spans="1:20" x14ac:dyDescent="0.3">
      <c r="A255" s="190" t="s">
        <v>133</v>
      </c>
      <c r="B255" s="178" t="s">
        <v>140</v>
      </c>
      <c r="C255" s="178" t="s">
        <v>29</v>
      </c>
      <c r="D255" s="178" t="s">
        <v>29</v>
      </c>
      <c r="E255" s="178" t="s">
        <v>31</v>
      </c>
      <c r="F255" s="14" t="b">
        <f>OR(Transport_Table[[#This Row],[Feedstock]]="All",Transport_Table[[#This Row],[Feedstock]]=SelectedFeedstock)</f>
        <v>0</v>
      </c>
      <c r="G255" s="14" t="b">
        <f>OR(Transport_Table[[#This Row],[Conversion]]="All",Transport_Table[[#This Row],[Conversion]]=SelectedConversion)</f>
        <v>0</v>
      </c>
      <c r="H255" s="14" t="b">
        <f>OR(Transport_Table[[#This Row],[Data Set]]="All",Transport_Table[[#This Row],[Data Set]]=SelectedDataSet)</f>
        <v>1</v>
      </c>
      <c r="I255" s="14" t="b">
        <f>OR(Transport_Table[[#This Row],[Technology]]="All",Transport_Table[[#This Row],[Technology]]=SelectedTechnology)</f>
        <v>1</v>
      </c>
      <c r="J255" s="14" t="b">
        <f>OR(Transport_Table[[#This Row],[Data Source]]="All",Transport_Table[[#This Row],[Data Source]]=SelectedDataSource)</f>
        <v>1</v>
      </c>
      <c r="L255" s="14" t="b">
        <f>AND(Transport_Table[[#This Row],[Show Feedstock]:[Show Data Source]],NOT(Transport_Table[[#This Row],[Hide Column]]))</f>
        <v>0</v>
      </c>
      <c r="M255" s="14" t="s">
        <v>14</v>
      </c>
      <c r="N255" s="14" t="s">
        <v>1219</v>
      </c>
      <c r="O255" s="14" t="s">
        <v>1301</v>
      </c>
      <c r="P255" s="178" t="s">
        <v>1700</v>
      </c>
      <c r="Q255" s="241" t="s">
        <v>1946</v>
      </c>
      <c r="R255" s="393">
        <v>0.33</v>
      </c>
      <c r="S255" s="394">
        <v>520</v>
      </c>
      <c r="T255" s="107"/>
    </row>
    <row r="256" spans="1:20" x14ac:dyDescent="0.3">
      <c r="A256" s="190" t="s">
        <v>133</v>
      </c>
      <c r="B256" s="178" t="s">
        <v>140</v>
      </c>
      <c r="C256" s="178" t="s">
        <v>29</v>
      </c>
      <c r="D256" s="178" t="s">
        <v>29</v>
      </c>
      <c r="E256" s="178" t="s">
        <v>31</v>
      </c>
      <c r="F256" s="14" t="b">
        <f>OR(Transport_Table[[#This Row],[Feedstock]]="All",Transport_Table[[#This Row],[Feedstock]]=SelectedFeedstock)</f>
        <v>0</v>
      </c>
      <c r="G256" s="14" t="b">
        <f>OR(Transport_Table[[#This Row],[Conversion]]="All",Transport_Table[[#This Row],[Conversion]]=SelectedConversion)</f>
        <v>0</v>
      </c>
      <c r="H256" s="14" t="b">
        <f>OR(Transport_Table[[#This Row],[Data Set]]="All",Transport_Table[[#This Row],[Data Set]]=SelectedDataSet)</f>
        <v>1</v>
      </c>
      <c r="I256" s="14" t="b">
        <f>OR(Transport_Table[[#This Row],[Technology]]="All",Transport_Table[[#This Row],[Technology]]=SelectedTechnology)</f>
        <v>1</v>
      </c>
      <c r="J256" s="14" t="b">
        <f>OR(Transport_Table[[#This Row],[Data Source]]="All",Transport_Table[[#This Row],[Data Source]]=SelectedDataSource)</f>
        <v>1</v>
      </c>
      <c r="L256" s="14" t="b">
        <f>AND(Transport_Table[[#This Row],[Show Feedstock]:[Show Data Source]],NOT(Transport_Table[[#This Row],[Hide Column]]))</f>
        <v>0</v>
      </c>
      <c r="M256" s="14" t="s">
        <v>14</v>
      </c>
      <c r="N256" s="14" t="s">
        <v>1220</v>
      </c>
      <c r="O256" s="14" t="s">
        <v>1302</v>
      </c>
      <c r="P256" s="178" t="s">
        <v>1700</v>
      </c>
      <c r="Q256" s="241" t="s">
        <v>1947</v>
      </c>
      <c r="R256" s="393">
        <v>0.6</v>
      </c>
      <c r="S256" s="394">
        <v>400</v>
      </c>
      <c r="T256" s="107"/>
    </row>
    <row r="257" spans="1:20" x14ac:dyDescent="0.3">
      <c r="A257" s="190" t="s">
        <v>133</v>
      </c>
      <c r="B257" s="178" t="s">
        <v>140</v>
      </c>
      <c r="C257" s="178" t="s">
        <v>29</v>
      </c>
      <c r="D257" s="178" t="s">
        <v>29</v>
      </c>
      <c r="E257" s="178" t="s">
        <v>31</v>
      </c>
      <c r="F257" s="14" t="b">
        <f>OR(Transport_Table[[#This Row],[Feedstock]]="All",Transport_Table[[#This Row],[Feedstock]]=SelectedFeedstock)</f>
        <v>0</v>
      </c>
      <c r="G257" s="14" t="b">
        <f>OR(Transport_Table[[#This Row],[Conversion]]="All",Transport_Table[[#This Row],[Conversion]]=SelectedConversion)</f>
        <v>0</v>
      </c>
      <c r="H257" s="14" t="b">
        <f>OR(Transport_Table[[#This Row],[Data Set]]="All",Transport_Table[[#This Row],[Data Set]]=SelectedDataSet)</f>
        <v>1</v>
      </c>
      <c r="I257" s="14" t="b">
        <f>OR(Transport_Table[[#This Row],[Technology]]="All",Transport_Table[[#This Row],[Technology]]=SelectedTechnology)</f>
        <v>1</v>
      </c>
      <c r="J257" s="14" t="b">
        <f>OR(Transport_Table[[#This Row],[Data Source]]="All",Transport_Table[[#This Row],[Data Source]]=SelectedDataSource)</f>
        <v>1</v>
      </c>
      <c r="L257" s="14" t="b">
        <f>AND(Transport_Table[[#This Row],[Show Feedstock]:[Show Data Source]],NOT(Transport_Table[[#This Row],[Hide Column]]))</f>
        <v>0</v>
      </c>
      <c r="M257" s="14" t="s">
        <v>14</v>
      </c>
      <c r="N257" s="14" t="s">
        <v>1221</v>
      </c>
      <c r="O257" s="14" t="s">
        <v>1303</v>
      </c>
      <c r="P257" s="178" t="s">
        <v>1700</v>
      </c>
      <c r="Q257" s="241" t="s">
        <v>1943</v>
      </c>
      <c r="R257" s="393">
        <v>6.9999999999999951E-2</v>
      </c>
      <c r="S257" s="394">
        <v>800</v>
      </c>
      <c r="T257" s="107"/>
    </row>
    <row r="258" spans="1:20" x14ac:dyDescent="0.3">
      <c r="A258" s="190" t="s">
        <v>133</v>
      </c>
      <c r="B258" s="178" t="s">
        <v>140</v>
      </c>
      <c r="C258" s="178" t="s">
        <v>29</v>
      </c>
      <c r="D258" s="178" t="s">
        <v>29</v>
      </c>
      <c r="E258" s="178" t="s">
        <v>31</v>
      </c>
      <c r="F258" s="14" t="b">
        <f>OR(Transport_Table[[#This Row],[Feedstock]]="All",Transport_Table[[#This Row],[Feedstock]]=SelectedFeedstock)</f>
        <v>0</v>
      </c>
      <c r="G258" s="14" t="b">
        <f>OR(Transport_Table[[#This Row],[Conversion]]="All",Transport_Table[[#This Row],[Conversion]]=SelectedConversion)</f>
        <v>0</v>
      </c>
      <c r="H258" s="14" t="b">
        <f>OR(Transport_Table[[#This Row],[Data Set]]="All",Transport_Table[[#This Row],[Data Set]]=SelectedDataSet)</f>
        <v>1</v>
      </c>
      <c r="I258" s="14" t="b">
        <f>OR(Transport_Table[[#This Row],[Technology]]="All",Transport_Table[[#This Row],[Technology]]=SelectedTechnology)</f>
        <v>1</v>
      </c>
      <c r="J258" s="14" t="b">
        <f>OR(Transport_Table[[#This Row],[Data Source]]="All",Transport_Table[[#This Row],[Data Source]]=SelectedDataSource)</f>
        <v>1</v>
      </c>
      <c r="L258" s="14" t="b">
        <f>AND(Transport_Table[[#This Row],[Show Feedstock]:[Show Data Source]],NOT(Transport_Table[[#This Row],[Hide Column]]))</f>
        <v>0</v>
      </c>
      <c r="M258" s="14" t="s">
        <v>14</v>
      </c>
      <c r="N258" s="14" t="s">
        <v>1222</v>
      </c>
      <c r="O258" s="14" t="s">
        <v>1304</v>
      </c>
      <c r="P258" s="178" t="s">
        <v>1700</v>
      </c>
      <c r="Q258" s="241" t="s">
        <v>1944</v>
      </c>
      <c r="R258" s="393">
        <v>1</v>
      </c>
      <c r="S258" s="394">
        <v>30</v>
      </c>
      <c r="T258" s="107"/>
    </row>
    <row r="259" spans="1:20" x14ac:dyDescent="0.3">
      <c r="A259" s="190" t="s">
        <v>134</v>
      </c>
      <c r="B259" s="178" t="s">
        <v>139</v>
      </c>
      <c r="C259" s="178" t="s">
        <v>29</v>
      </c>
      <c r="D259" s="178" t="s">
        <v>29</v>
      </c>
      <c r="E259" s="178" t="s">
        <v>31</v>
      </c>
      <c r="F259" s="14" t="b">
        <f>OR(Transport_Table[[#This Row],[Feedstock]]="All",Transport_Table[[#This Row],[Feedstock]]=SelectedFeedstock)</f>
        <v>0</v>
      </c>
      <c r="G259" s="14" t="b">
        <f>OR(Transport_Table[[#This Row],[Conversion]]="All",Transport_Table[[#This Row],[Conversion]]=SelectedConversion)</f>
        <v>0</v>
      </c>
      <c r="H259" s="14" t="b">
        <f>OR(Transport_Table[[#This Row],[Data Set]]="All",Transport_Table[[#This Row],[Data Set]]=SelectedDataSet)</f>
        <v>1</v>
      </c>
      <c r="I259" s="14" t="b">
        <f>OR(Transport_Table[[#This Row],[Technology]]="All",Transport_Table[[#This Row],[Technology]]=SelectedTechnology)</f>
        <v>1</v>
      </c>
      <c r="J259" s="14" t="b">
        <f>OR(Transport_Table[[#This Row],[Data Source]]="All",Transport_Table[[#This Row],[Data Source]]=SelectedDataSource)</f>
        <v>1</v>
      </c>
      <c r="K259" s="14" t="b">
        <v>1</v>
      </c>
      <c r="L259" s="14" t="b">
        <f>AND(Transport_Table[[#This Row],[Show Feedstock]:[Show Data Source]],NOT(Transport_Table[[#This Row],[Hide Column]]))</f>
        <v>0</v>
      </c>
      <c r="M259" s="14" t="s">
        <v>14</v>
      </c>
      <c r="N259" s="14" t="s">
        <v>1213</v>
      </c>
      <c r="O259" s="14" t="s">
        <v>1295</v>
      </c>
      <c r="P259" s="178" t="s">
        <v>134</v>
      </c>
      <c r="Q259" s="241" t="s">
        <v>1945</v>
      </c>
      <c r="R259" s="393">
        <v>1</v>
      </c>
      <c r="S259" s="394">
        <v>37.315926743622576</v>
      </c>
      <c r="T259" s="107"/>
    </row>
    <row r="260" spans="1:20" x14ac:dyDescent="0.3">
      <c r="A260" s="190" t="s">
        <v>134</v>
      </c>
      <c r="B260" s="178" t="s">
        <v>139</v>
      </c>
      <c r="C260" s="178" t="s">
        <v>29</v>
      </c>
      <c r="D260" s="178" t="s">
        <v>29</v>
      </c>
      <c r="E260" s="178" t="s">
        <v>31</v>
      </c>
      <c r="F260" s="14" t="b">
        <f>OR(Transport_Table[[#This Row],[Feedstock]]="All",Transport_Table[[#This Row],[Feedstock]]=SelectedFeedstock)</f>
        <v>0</v>
      </c>
      <c r="G260" s="14" t="b">
        <f>OR(Transport_Table[[#This Row],[Conversion]]="All",Transport_Table[[#This Row],[Conversion]]=SelectedConversion)</f>
        <v>0</v>
      </c>
      <c r="H260" s="14" t="b">
        <f>OR(Transport_Table[[#This Row],[Data Set]]="All",Transport_Table[[#This Row],[Data Set]]=SelectedDataSet)</f>
        <v>1</v>
      </c>
      <c r="I260" s="14" t="b">
        <f>OR(Transport_Table[[#This Row],[Technology]]="All",Transport_Table[[#This Row],[Technology]]=SelectedTechnology)</f>
        <v>1</v>
      </c>
      <c r="J260" s="14" t="b">
        <f>OR(Transport_Table[[#This Row],[Data Source]]="All",Transport_Table[[#This Row],[Data Source]]=SelectedDataSource)</f>
        <v>1</v>
      </c>
      <c r="L260" s="14" t="b">
        <f>AND(Transport_Table[[#This Row],[Show Feedstock]:[Show Data Source]],NOT(Transport_Table[[#This Row],[Hide Column]]))</f>
        <v>0</v>
      </c>
      <c r="M260" s="14" t="s">
        <v>14</v>
      </c>
      <c r="N260" s="14" t="s">
        <v>1219</v>
      </c>
      <c r="O260" s="14" t="s">
        <v>1301</v>
      </c>
      <c r="P260" s="178" t="s">
        <v>1700</v>
      </c>
      <c r="Q260" s="241" t="s">
        <v>1946</v>
      </c>
      <c r="R260" s="393">
        <v>0.33</v>
      </c>
      <c r="S260" s="394">
        <v>520</v>
      </c>
      <c r="T260" s="107"/>
    </row>
    <row r="261" spans="1:20" x14ac:dyDescent="0.3">
      <c r="A261" s="190" t="s">
        <v>134</v>
      </c>
      <c r="B261" s="178" t="s">
        <v>139</v>
      </c>
      <c r="C261" s="178" t="s">
        <v>29</v>
      </c>
      <c r="D261" s="178" t="s">
        <v>29</v>
      </c>
      <c r="E261" s="178" t="s">
        <v>31</v>
      </c>
      <c r="F261" s="14" t="b">
        <f>OR(Transport_Table[[#This Row],[Feedstock]]="All",Transport_Table[[#This Row],[Feedstock]]=SelectedFeedstock)</f>
        <v>0</v>
      </c>
      <c r="G261" s="14" t="b">
        <f>OR(Transport_Table[[#This Row],[Conversion]]="All",Transport_Table[[#This Row],[Conversion]]=SelectedConversion)</f>
        <v>0</v>
      </c>
      <c r="H261" s="14" t="b">
        <f>OR(Transport_Table[[#This Row],[Data Set]]="All",Transport_Table[[#This Row],[Data Set]]=SelectedDataSet)</f>
        <v>1</v>
      </c>
      <c r="I261" s="14" t="b">
        <f>OR(Transport_Table[[#This Row],[Technology]]="All",Transport_Table[[#This Row],[Technology]]=SelectedTechnology)</f>
        <v>1</v>
      </c>
      <c r="J261" s="14" t="b">
        <f>OR(Transport_Table[[#This Row],[Data Source]]="All",Transport_Table[[#This Row],[Data Source]]=SelectedDataSource)</f>
        <v>1</v>
      </c>
      <c r="L261" s="14" t="b">
        <f>AND(Transport_Table[[#This Row],[Show Feedstock]:[Show Data Source]],NOT(Transport_Table[[#This Row],[Hide Column]]))</f>
        <v>0</v>
      </c>
      <c r="M261" s="14" t="s">
        <v>14</v>
      </c>
      <c r="N261" s="14" t="s">
        <v>1220</v>
      </c>
      <c r="O261" s="14" t="s">
        <v>1302</v>
      </c>
      <c r="P261" s="178" t="s">
        <v>1700</v>
      </c>
      <c r="Q261" s="241" t="s">
        <v>1947</v>
      </c>
      <c r="R261" s="393">
        <v>0.6</v>
      </c>
      <c r="S261" s="394">
        <v>400</v>
      </c>
      <c r="T261" s="107"/>
    </row>
    <row r="262" spans="1:20" x14ac:dyDescent="0.3">
      <c r="A262" s="190" t="s">
        <v>134</v>
      </c>
      <c r="B262" s="178" t="s">
        <v>139</v>
      </c>
      <c r="C262" s="178" t="s">
        <v>29</v>
      </c>
      <c r="D262" s="178" t="s">
        <v>29</v>
      </c>
      <c r="E262" s="178" t="s">
        <v>31</v>
      </c>
      <c r="F262" s="14" t="b">
        <f>OR(Transport_Table[[#This Row],[Feedstock]]="All",Transport_Table[[#This Row],[Feedstock]]=SelectedFeedstock)</f>
        <v>0</v>
      </c>
      <c r="G262" s="14" t="b">
        <f>OR(Transport_Table[[#This Row],[Conversion]]="All",Transport_Table[[#This Row],[Conversion]]=SelectedConversion)</f>
        <v>0</v>
      </c>
      <c r="H262" s="14" t="b">
        <f>OR(Transport_Table[[#This Row],[Data Set]]="All",Transport_Table[[#This Row],[Data Set]]=SelectedDataSet)</f>
        <v>1</v>
      </c>
      <c r="I262" s="14" t="b">
        <f>OR(Transport_Table[[#This Row],[Technology]]="All",Transport_Table[[#This Row],[Technology]]=SelectedTechnology)</f>
        <v>1</v>
      </c>
      <c r="J262" s="14" t="b">
        <f>OR(Transport_Table[[#This Row],[Data Source]]="All",Transport_Table[[#This Row],[Data Source]]=SelectedDataSource)</f>
        <v>1</v>
      </c>
      <c r="L262" s="14" t="b">
        <f>AND(Transport_Table[[#This Row],[Show Feedstock]:[Show Data Source]],NOT(Transport_Table[[#This Row],[Hide Column]]))</f>
        <v>0</v>
      </c>
      <c r="M262" s="14" t="s">
        <v>14</v>
      </c>
      <c r="N262" s="14" t="s">
        <v>1221</v>
      </c>
      <c r="O262" s="14" t="s">
        <v>1303</v>
      </c>
      <c r="P262" s="178" t="s">
        <v>1700</v>
      </c>
      <c r="Q262" s="241" t="s">
        <v>1943</v>
      </c>
      <c r="R262" s="393">
        <v>6.9999999999999951E-2</v>
      </c>
      <c r="S262" s="394">
        <v>800</v>
      </c>
      <c r="T262" s="107"/>
    </row>
    <row r="263" spans="1:20" x14ac:dyDescent="0.3">
      <c r="A263" s="190" t="s">
        <v>134</v>
      </c>
      <c r="B263" s="178" t="s">
        <v>139</v>
      </c>
      <c r="C263" s="178" t="s">
        <v>29</v>
      </c>
      <c r="D263" s="178" t="s">
        <v>29</v>
      </c>
      <c r="E263" s="178" t="s">
        <v>31</v>
      </c>
      <c r="F263" s="14" t="b">
        <f>OR(Transport_Table[[#This Row],[Feedstock]]="All",Transport_Table[[#This Row],[Feedstock]]=SelectedFeedstock)</f>
        <v>0</v>
      </c>
      <c r="G263" s="14" t="b">
        <f>OR(Transport_Table[[#This Row],[Conversion]]="All",Transport_Table[[#This Row],[Conversion]]=SelectedConversion)</f>
        <v>0</v>
      </c>
      <c r="H263" s="14" t="b">
        <f>OR(Transport_Table[[#This Row],[Data Set]]="All",Transport_Table[[#This Row],[Data Set]]=SelectedDataSet)</f>
        <v>1</v>
      </c>
      <c r="I263" s="14" t="b">
        <f>OR(Transport_Table[[#This Row],[Technology]]="All",Transport_Table[[#This Row],[Technology]]=SelectedTechnology)</f>
        <v>1</v>
      </c>
      <c r="J263" s="14" t="b">
        <f>OR(Transport_Table[[#This Row],[Data Source]]="All",Transport_Table[[#This Row],[Data Source]]=SelectedDataSource)</f>
        <v>1</v>
      </c>
      <c r="L263" s="14" t="b">
        <f>AND(Transport_Table[[#This Row],[Show Feedstock]:[Show Data Source]],NOT(Transport_Table[[#This Row],[Hide Column]]))</f>
        <v>0</v>
      </c>
      <c r="M263" s="14" t="s">
        <v>14</v>
      </c>
      <c r="N263" s="14" t="s">
        <v>1222</v>
      </c>
      <c r="O263" s="14" t="s">
        <v>1304</v>
      </c>
      <c r="P263" s="178" t="s">
        <v>1700</v>
      </c>
      <c r="Q263" s="241" t="s">
        <v>1944</v>
      </c>
      <c r="R263" s="393">
        <v>1</v>
      </c>
      <c r="S263" s="394">
        <v>30</v>
      </c>
      <c r="T263" s="107"/>
    </row>
    <row r="264" spans="1:20" x14ac:dyDescent="0.3">
      <c r="A264" s="190" t="s">
        <v>134</v>
      </c>
      <c r="B264" s="178" t="s">
        <v>140</v>
      </c>
      <c r="C264" s="178" t="s">
        <v>29</v>
      </c>
      <c r="D264" s="178" t="s">
        <v>29</v>
      </c>
      <c r="E264" s="178" t="s">
        <v>31</v>
      </c>
      <c r="F264" s="14" t="b">
        <f>OR(Transport_Table[[#This Row],[Feedstock]]="All",Transport_Table[[#This Row],[Feedstock]]=SelectedFeedstock)</f>
        <v>0</v>
      </c>
      <c r="G264" s="14" t="b">
        <f>OR(Transport_Table[[#This Row],[Conversion]]="All",Transport_Table[[#This Row],[Conversion]]=SelectedConversion)</f>
        <v>0</v>
      </c>
      <c r="H264" s="14" t="b">
        <f>OR(Transport_Table[[#This Row],[Data Set]]="All",Transport_Table[[#This Row],[Data Set]]=SelectedDataSet)</f>
        <v>1</v>
      </c>
      <c r="I264" s="14" t="b">
        <f>OR(Transport_Table[[#This Row],[Technology]]="All",Transport_Table[[#This Row],[Technology]]=SelectedTechnology)</f>
        <v>1</v>
      </c>
      <c r="J264" s="14" t="b">
        <f>OR(Transport_Table[[#This Row],[Data Source]]="All",Transport_Table[[#This Row],[Data Source]]=SelectedDataSource)</f>
        <v>1</v>
      </c>
      <c r="K264" s="14" t="b">
        <v>1</v>
      </c>
      <c r="L264" s="14" t="b">
        <f>AND(Transport_Table[[#This Row],[Show Feedstock]:[Show Data Source]],NOT(Transport_Table[[#This Row],[Hide Column]]))</f>
        <v>0</v>
      </c>
      <c r="M264" s="14" t="s">
        <v>14</v>
      </c>
      <c r="N264" s="14" t="s">
        <v>1213</v>
      </c>
      <c r="O264" s="14" t="s">
        <v>1295</v>
      </c>
      <c r="P264" s="178" t="s">
        <v>134</v>
      </c>
      <c r="Q264" s="241" t="s">
        <v>1945</v>
      </c>
      <c r="R264" s="393">
        <v>1</v>
      </c>
      <c r="S264" s="394">
        <v>37.315926743622576</v>
      </c>
      <c r="T264" s="107"/>
    </row>
    <row r="265" spans="1:20" x14ac:dyDescent="0.3">
      <c r="A265" s="190" t="s">
        <v>134</v>
      </c>
      <c r="B265" s="178" t="s">
        <v>140</v>
      </c>
      <c r="C265" s="178" t="s">
        <v>29</v>
      </c>
      <c r="D265" s="178" t="s">
        <v>29</v>
      </c>
      <c r="E265" s="178" t="s">
        <v>31</v>
      </c>
      <c r="F265" s="14" t="b">
        <f>OR(Transport_Table[[#This Row],[Feedstock]]="All",Transport_Table[[#This Row],[Feedstock]]=SelectedFeedstock)</f>
        <v>0</v>
      </c>
      <c r="G265" s="14" t="b">
        <f>OR(Transport_Table[[#This Row],[Conversion]]="All",Transport_Table[[#This Row],[Conversion]]=SelectedConversion)</f>
        <v>0</v>
      </c>
      <c r="H265" s="14" t="b">
        <f>OR(Transport_Table[[#This Row],[Data Set]]="All",Transport_Table[[#This Row],[Data Set]]=SelectedDataSet)</f>
        <v>1</v>
      </c>
      <c r="I265" s="14" t="b">
        <f>OR(Transport_Table[[#This Row],[Technology]]="All",Transport_Table[[#This Row],[Technology]]=SelectedTechnology)</f>
        <v>1</v>
      </c>
      <c r="J265" s="14" t="b">
        <f>OR(Transport_Table[[#This Row],[Data Source]]="All",Transport_Table[[#This Row],[Data Source]]=SelectedDataSource)</f>
        <v>1</v>
      </c>
      <c r="L265" s="14" t="b">
        <f>AND(Transport_Table[[#This Row],[Show Feedstock]:[Show Data Source]],NOT(Transport_Table[[#This Row],[Hide Column]]))</f>
        <v>0</v>
      </c>
      <c r="M265" s="14" t="s">
        <v>14</v>
      </c>
      <c r="N265" s="14" t="s">
        <v>1219</v>
      </c>
      <c r="O265" s="14" t="s">
        <v>1301</v>
      </c>
      <c r="P265" s="178" t="s">
        <v>1700</v>
      </c>
      <c r="Q265" s="241" t="s">
        <v>1946</v>
      </c>
      <c r="R265" s="393">
        <v>0.33</v>
      </c>
      <c r="S265" s="394">
        <v>520</v>
      </c>
      <c r="T265" s="107"/>
    </row>
    <row r="266" spans="1:20" x14ac:dyDescent="0.3">
      <c r="A266" s="190" t="s">
        <v>134</v>
      </c>
      <c r="B266" s="178" t="s">
        <v>140</v>
      </c>
      <c r="C266" s="178" t="s">
        <v>29</v>
      </c>
      <c r="D266" s="178" t="s">
        <v>29</v>
      </c>
      <c r="E266" s="178" t="s">
        <v>31</v>
      </c>
      <c r="F266" s="14" t="b">
        <f>OR(Transport_Table[[#This Row],[Feedstock]]="All",Transport_Table[[#This Row],[Feedstock]]=SelectedFeedstock)</f>
        <v>0</v>
      </c>
      <c r="G266" s="14" t="b">
        <f>OR(Transport_Table[[#This Row],[Conversion]]="All",Transport_Table[[#This Row],[Conversion]]=SelectedConversion)</f>
        <v>0</v>
      </c>
      <c r="H266" s="14" t="b">
        <f>OR(Transport_Table[[#This Row],[Data Set]]="All",Transport_Table[[#This Row],[Data Set]]=SelectedDataSet)</f>
        <v>1</v>
      </c>
      <c r="I266" s="14" t="b">
        <f>OR(Transport_Table[[#This Row],[Technology]]="All",Transport_Table[[#This Row],[Technology]]=SelectedTechnology)</f>
        <v>1</v>
      </c>
      <c r="J266" s="14" t="b">
        <f>OR(Transport_Table[[#This Row],[Data Source]]="All",Transport_Table[[#This Row],[Data Source]]=SelectedDataSource)</f>
        <v>1</v>
      </c>
      <c r="L266" s="14" t="b">
        <f>AND(Transport_Table[[#This Row],[Show Feedstock]:[Show Data Source]],NOT(Transport_Table[[#This Row],[Hide Column]]))</f>
        <v>0</v>
      </c>
      <c r="M266" s="14" t="s">
        <v>14</v>
      </c>
      <c r="N266" s="14" t="s">
        <v>1220</v>
      </c>
      <c r="O266" s="14" t="s">
        <v>1302</v>
      </c>
      <c r="P266" s="178" t="s">
        <v>1700</v>
      </c>
      <c r="Q266" s="241" t="s">
        <v>1947</v>
      </c>
      <c r="R266" s="393">
        <v>0.6</v>
      </c>
      <c r="S266" s="394">
        <v>400</v>
      </c>
      <c r="T266" s="107"/>
    </row>
    <row r="267" spans="1:20" x14ac:dyDescent="0.3">
      <c r="A267" s="190" t="s">
        <v>134</v>
      </c>
      <c r="B267" s="178" t="s">
        <v>140</v>
      </c>
      <c r="C267" s="178" t="s">
        <v>29</v>
      </c>
      <c r="D267" s="178" t="s">
        <v>29</v>
      </c>
      <c r="E267" s="178" t="s">
        <v>31</v>
      </c>
      <c r="F267" s="14" t="b">
        <f>OR(Transport_Table[[#This Row],[Feedstock]]="All",Transport_Table[[#This Row],[Feedstock]]=SelectedFeedstock)</f>
        <v>0</v>
      </c>
      <c r="G267" s="14" t="b">
        <f>OR(Transport_Table[[#This Row],[Conversion]]="All",Transport_Table[[#This Row],[Conversion]]=SelectedConversion)</f>
        <v>0</v>
      </c>
      <c r="H267" s="14" t="b">
        <f>OR(Transport_Table[[#This Row],[Data Set]]="All",Transport_Table[[#This Row],[Data Set]]=SelectedDataSet)</f>
        <v>1</v>
      </c>
      <c r="I267" s="14" t="b">
        <f>OR(Transport_Table[[#This Row],[Technology]]="All",Transport_Table[[#This Row],[Technology]]=SelectedTechnology)</f>
        <v>1</v>
      </c>
      <c r="J267" s="14" t="b">
        <f>OR(Transport_Table[[#This Row],[Data Source]]="All",Transport_Table[[#This Row],[Data Source]]=SelectedDataSource)</f>
        <v>1</v>
      </c>
      <c r="L267" s="14" t="b">
        <f>AND(Transport_Table[[#This Row],[Show Feedstock]:[Show Data Source]],NOT(Transport_Table[[#This Row],[Hide Column]]))</f>
        <v>0</v>
      </c>
      <c r="M267" s="14" t="s">
        <v>14</v>
      </c>
      <c r="N267" s="14" t="s">
        <v>1221</v>
      </c>
      <c r="O267" s="14" t="s">
        <v>1303</v>
      </c>
      <c r="P267" s="178" t="s">
        <v>1700</v>
      </c>
      <c r="Q267" s="241" t="s">
        <v>1943</v>
      </c>
      <c r="R267" s="393">
        <v>6.9999999999999951E-2</v>
      </c>
      <c r="S267" s="394">
        <v>800</v>
      </c>
      <c r="T267" s="107"/>
    </row>
    <row r="268" spans="1:20" x14ac:dyDescent="0.3">
      <c r="A268" s="190" t="s">
        <v>134</v>
      </c>
      <c r="B268" s="178" t="s">
        <v>140</v>
      </c>
      <c r="C268" s="178" t="s">
        <v>29</v>
      </c>
      <c r="D268" s="178" t="s">
        <v>29</v>
      </c>
      <c r="E268" s="178" t="s">
        <v>31</v>
      </c>
      <c r="F268" s="14" t="b">
        <f>OR(Transport_Table[[#This Row],[Feedstock]]="All",Transport_Table[[#This Row],[Feedstock]]=SelectedFeedstock)</f>
        <v>0</v>
      </c>
      <c r="G268" s="14" t="b">
        <f>OR(Transport_Table[[#This Row],[Conversion]]="All",Transport_Table[[#This Row],[Conversion]]=SelectedConversion)</f>
        <v>0</v>
      </c>
      <c r="H268" s="14" t="b">
        <f>OR(Transport_Table[[#This Row],[Data Set]]="All",Transport_Table[[#This Row],[Data Set]]=SelectedDataSet)</f>
        <v>1</v>
      </c>
      <c r="I268" s="14" t="b">
        <f>OR(Transport_Table[[#This Row],[Technology]]="All",Transport_Table[[#This Row],[Technology]]=SelectedTechnology)</f>
        <v>1</v>
      </c>
      <c r="J268" s="14" t="b">
        <f>OR(Transport_Table[[#This Row],[Data Source]]="All",Transport_Table[[#This Row],[Data Source]]=SelectedDataSource)</f>
        <v>1</v>
      </c>
      <c r="L268" s="14" t="b">
        <f>AND(Transport_Table[[#This Row],[Show Feedstock]:[Show Data Source]],NOT(Transport_Table[[#This Row],[Hide Column]]))</f>
        <v>0</v>
      </c>
      <c r="M268" s="14" t="s">
        <v>14</v>
      </c>
      <c r="N268" s="14" t="s">
        <v>1222</v>
      </c>
      <c r="O268" s="14" t="s">
        <v>1304</v>
      </c>
      <c r="P268" s="178" t="s">
        <v>1700</v>
      </c>
      <c r="Q268" s="241" t="s">
        <v>1944</v>
      </c>
      <c r="R268" s="393">
        <v>1</v>
      </c>
      <c r="S268" s="394">
        <v>30</v>
      </c>
      <c r="T268" s="107"/>
    </row>
    <row r="269" spans="1:20" x14ac:dyDescent="0.3">
      <c r="A269" s="190" t="s">
        <v>316</v>
      </c>
      <c r="B269" s="178" t="s">
        <v>139</v>
      </c>
      <c r="C269" s="178" t="s">
        <v>29</v>
      </c>
      <c r="D269" s="178" t="s">
        <v>29</v>
      </c>
      <c r="E269" s="178" t="s">
        <v>31</v>
      </c>
      <c r="F269" s="14" t="b">
        <f>OR(Transport_Table[[#This Row],[Feedstock]]="All",Transport_Table[[#This Row],[Feedstock]]=SelectedFeedstock)</f>
        <v>0</v>
      </c>
      <c r="G269" s="14" t="b">
        <f>OR(Transport_Table[[#This Row],[Conversion]]="All",Transport_Table[[#This Row],[Conversion]]=SelectedConversion)</f>
        <v>0</v>
      </c>
      <c r="H269" s="14" t="b">
        <f>OR(Transport_Table[[#This Row],[Data Set]]="All",Transport_Table[[#This Row],[Data Set]]=SelectedDataSet)</f>
        <v>1</v>
      </c>
      <c r="I269" s="14" t="b">
        <f>OR(Transport_Table[[#This Row],[Technology]]="All",Transport_Table[[#This Row],[Technology]]=SelectedTechnology)</f>
        <v>1</v>
      </c>
      <c r="J269" s="14" t="b">
        <f>OR(Transport_Table[[#This Row],[Data Source]]="All",Transport_Table[[#This Row],[Data Source]]=SelectedDataSource)</f>
        <v>1</v>
      </c>
      <c r="K269" s="14" t="b">
        <v>1</v>
      </c>
      <c r="L269" s="14" t="b">
        <f>AND(Transport_Table[[#This Row],[Show Feedstock]:[Show Data Source]],NOT(Transport_Table[[#This Row],[Hide Column]]))</f>
        <v>0</v>
      </c>
      <c r="M269" s="14" t="s">
        <v>147</v>
      </c>
      <c r="N269" s="14" t="s">
        <v>1206</v>
      </c>
      <c r="O269" s="14" t="s">
        <v>1288</v>
      </c>
      <c r="P269" s="178" t="s">
        <v>316</v>
      </c>
      <c r="Q269" s="241" t="s">
        <v>1945</v>
      </c>
      <c r="R269" s="393">
        <v>1</v>
      </c>
      <c r="S269" s="394">
        <v>90</v>
      </c>
      <c r="T269" s="107"/>
    </row>
    <row r="270" spans="1:20" x14ac:dyDescent="0.3">
      <c r="A270" s="190" t="s">
        <v>316</v>
      </c>
      <c r="B270" s="178" t="s">
        <v>139</v>
      </c>
      <c r="C270" s="178" t="s">
        <v>29</v>
      </c>
      <c r="D270" s="178" t="s">
        <v>29</v>
      </c>
      <c r="E270" s="178" t="s">
        <v>31</v>
      </c>
      <c r="F270" s="14" t="b">
        <f>OR(Transport_Table[[#This Row],[Feedstock]]="All",Transport_Table[[#This Row],[Feedstock]]=SelectedFeedstock)</f>
        <v>0</v>
      </c>
      <c r="G270" s="14" t="b">
        <f>OR(Transport_Table[[#This Row],[Conversion]]="All",Transport_Table[[#This Row],[Conversion]]=SelectedConversion)</f>
        <v>0</v>
      </c>
      <c r="H270" s="14" t="b">
        <f>OR(Transport_Table[[#This Row],[Data Set]]="All",Transport_Table[[#This Row],[Data Set]]=SelectedDataSet)</f>
        <v>1</v>
      </c>
      <c r="I270" s="14" t="b">
        <f>OR(Transport_Table[[#This Row],[Technology]]="All",Transport_Table[[#This Row],[Technology]]=SelectedTechnology)</f>
        <v>1</v>
      </c>
      <c r="J270" s="14" t="b">
        <f>OR(Transport_Table[[#This Row],[Data Source]]="All",Transport_Table[[#This Row],[Data Source]]=SelectedDataSource)</f>
        <v>1</v>
      </c>
      <c r="L270" s="14" t="b">
        <f>AND(Transport_Table[[#This Row],[Show Feedstock]:[Show Data Source]],NOT(Transport_Table[[#This Row],[Hide Column]]))</f>
        <v>0</v>
      </c>
      <c r="M270" s="14" t="s">
        <v>147</v>
      </c>
      <c r="N270" s="14" t="s">
        <v>1219</v>
      </c>
      <c r="O270" s="14" t="s">
        <v>1301</v>
      </c>
      <c r="P270" s="178" t="s">
        <v>1700</v>
      </c>
      <c r="Q270" s="241" t="s">
        <v>1946</v>
      </c>
      <c r="R270" s="393">
        <v>0.33</v>
      </c>
      <c r="S270" s="394">
        <v>520</v>
      </c>
      <c r="T270" s="107"/>
    </row>
    <row r="271" spans="1:20" x14ac:dyDescent="0.3">
      <c r="A271" s="190" t="s">
        <v>316</v>
      </c>
      <c r="B271" s="178" t="s">
        <v>139</v>
      </c>
      <c r="C271" s="178" t="s">
        <v>29</v>
      </c>
      <c r="D271" s="178" t="s">
        <v>29</v>
      </c>
      <c r="E271" s="178" t="s">
        <v>31</v>
      </c>
      <c r="F271" s="14" t="b">
        <f>OR(Transport_Table[[#This Row],[Feedstock]]="All",Transport_Table[[#This Row],[Feedstock]]=SelectedFeedstock)</f>
        <v>0</v>
      </c>
      <c r="G271" s="14" t="b">
        <f>OR(Transport_Table[[#This Row],[Conversion]]="All",Transport_Table[[#This Row],[Conversion]]=SelectedConversion)</f>
        <v>0</v>
      </c>
      <c r="H271" s="14" t="b">
        <f>OR(Transport_Table[[#This Row],[Data Set]]="All",Transport_Table[[#This Row],[Data Set]]=SelectedDataSet)</f>
        <v>1</v>
      </c>
      <c r="I271" s="14" t="b">
        <f>OR(Transport_Table[[#This Row],[Technology]]="All",Transport_Table[[#This Row],[Technology]]=SelectedTechnology)</f>
        <v>1</v>
      </c>
      <c r="J271" s="14" t="b">
        <f>OR(Transport_Table[[#This Row],[Data Source]]="All",Transport_Table[[#This Row],[Data Source]]=SelectedDataSource)</f>
        <v>1</v>
      </c>
      <c r="L271" s="14" t="b">
        <f>AND(Transport_Table[[#This Row],[Show Feedstock]:[Show Data Source]],NOT(Transport_Table[[#This Row],[Hide Column]]))</f>
        <v>0</v>
      </c>
      <c r="M271" s="14" t="s">
        <v>147</v>
      </c>
      <c r="N271" s="14" t="s">
        <v>1220</v>
      </c>
      <c r="O271" s="14" t="s">
        <v>1302</v>
      </c>
      <c r="P271" s="178" t="s">
        <v>1700</v>
      </c>
      <c r="Q271" s="241" t="s">
        <v>1947</v>
      </c>
      <c r="R271" s="393">
        <v>0.6</v>
      </c>
      <c r="S271" s="394">
        <v>400</v>
      </c>
      <c r="T271" s="107"/>
    </row>
    <row r="272" spans="1:20" x14ac:dyDescent="0.3">
      <c r="A272" s="190" t="s">
        <v>316</v>
      </c>
      <c r="B272" s="178" t="s">
        <v>139</v>
      </c>
      <c r="C272" s="178" t="s">
        <v>29</v>
      </c>
      <c r="D272" s="178" t="s">
        <v>29</v>
      </c>
      <c r="E272" s="178" t="s">
        <v>31</v>
      </c>
      <c r="F272" s="14" t="b">
        <f>OR(Transport_Table[[#This Row],[Feedstock]]="All",Transport_Table[[#This Row],[Feedstock]]=SelectedFeedstock)</f>
        <v>0</v>
      </c>
      <c r="G272" s="14" t="b">
        <f>OR(Transport_Table[[#This Row],[Conversion]]="All",Transport_Table[[#This Row],[Conversion]]=SelectedConversion)</f>
        <v>0</v>
      </c>
      <c r="H272" s="14" t="b">
        <f>OR(Transport_Table[[#This Row],[Data Set]]="All",Transport_Table[[#This Row],[Data Set]]=SelectedDataSet)</f>
        <v>1</v>
      </c>
      <c r="I272" s="14" t="b">
        <f>OR(Transport_Table[[#This Row],[Technology]]="All",Transport_Table[[#This Row],[Technology]]=SelectedTechnology)</f>
        <v>1</v>
      </c>
      <c r="J272" s="14" t="b">
        <f>OR(Transport_Table[[#This Row],[Data Source]]="All",Transport_Table[[#This Row],[Data Source]]=SelectedDataSource)</f>
        <v>1</v>
      </c>
      <c r="L272" s="14" t="b">
        <f>AND(Transport_Table[[#This Row],[Show Feedstock]:[Show Data Source]],NOT(Transport_Table[[#This Row],[Hide Column]]))</f>
        <v>0</v>
      </c>
      <c r="M272" s="14" t="s">
        <v>147</v>
      </c>
      <c r="N272" s="14" t="s">
        <v>1221</v>
      </c>
      <c r="O272" s="14" t="s">
        <v>1303</v>
      </c>
      <c r="P272" s="178" t="s">
        <v>1700</v>
      </c>
      <c r="Q272" s="241" t="s">
        <v>1943</v>
      </c>
      <c r="R272" s="393">
        <v>6.9999999999999951E-2</v>
      </c>
      <c r="S272" s="394">
        <v>800</v>
      </c>
      <c r="T272" s="107"/>
    </row>
    <row r="273" spans="1:20" x14ac:dyDescent="0.3">
      <c r="A273" s="190" t="s">
        <v>316</v>
      </c>
      <c r="B273" s="178" t="s">
        <v>139</v>
      </c>
      <c r="C273" s="178" t="s">
        <v>29</v>
      </c>
      <c r="D273" s="178" t="s">
        <v>29</v>
      </c>
      <c r="E273" s="178" t="s">
        <v>31</v>
      </c>
      <c r="F273" s="14" t="b">
        <f>OR(Transport_Table[[#This Row],[Feedstock]]="All",Transport_Table[[#This Row],[Feedstock]]=SelectedFeedstock)</f>
        <v>0</v>
      </c>
      <c r="G273" s="14" t="b">
        <f>OR(Transport_Table[[#This Row],[Conversion]]="All",Transport_Table[[#This Row],[Conversion]]=SelectedConversion)</f>
        <v>0</v>
      </c>
      <c r="H273" s="14" t="b">
        <f>OR(Transport_Table[[#This Row],[Data Set]]="All",Transport_Table[[#This Row],[Data Set]]=SelectedDataSet)</f>
        <v>1</v>
      </c>
      <c r="I273" s="14" t="b">
        <f>OR(Transport_Table[[#This Row],[Technology]]="All",Transport_Table[[#This Row],[Technology]]=SelectedTechnology)</f>
        <v>1</v>
      </c>
      <c r="J273" s="14" t="b">
        <f>OR(Transport_Table[[#This Row],[Data Source]]="All",Transport_Table[[#This Row],[Data Source]]=SelectedDataSource)</f>
        <v>1</v>
      </c>
      <c r="L273" s="14" t="b">
        <f>AND(Transport_Table[[#This Row],[Show Feedstock]:[Show Data Source]],NOT(Transport_Table[[#This Row],[Hide Column]]))</f>
        <v>0</v>
      </c>
      <c r="M273" s="14" t="s">
        <v>147</v>
      </c>
      <c r="N273" s="14" t="s">
        <v>1222</v>
      </c>
      <c r="O273" s="14" t="s">
        <v>1304</v>
      </c>
      <c r="P273" s="178" t="s">
        <v>1700</v>
      </c>
      <c r="Q273" s="241" t="s">
        <v>1944</v>
      </c>
      <c r="R273" s="393">
        <v>1</v>
      </c>
      <c r="S273" s="394">
        <v>30</v>
      </c>
      <c r="T273" s="107"/>
    </row>
    <row r="274" spans="1:20" x14ac:dyDescent="0.3">
      <c r="A274" s="190" t="s">
        <v>316</v>
      </c>
      <c r="B274" s="178" t="s">
        <v>140</v>
      </c>
      <c r="C274" s="178" t="s">
        <v>29</v>
      </c>
      <c r="D274" s="178" t="s">
        <v>29</v>
      </c>
      <c r="E274" s="178" t="s">
        <v>31</v>
      </c>
      <c r="F274" s="14" t="b">
        <f>OR(Transport_Table[[#This Row],[Feedstock]]="All",Transport_Table[[#This Row],[Feedstock]]=SelectedFeedstock)</f>
        <v>0</v>
      </c>
      <c r="G274" s="14" t="b">
        <f>OR(Transport_Table[[#This Row],[Conversion]]="All",Transport_Table[[#This Row],[Conversion]]=SelectedConversion)</f>
        <v>0</v>
      </c>
      <c r="H274" s="14" t="b">
        <f>OR(Transport_Table[[#This Row],[Data Set]]="All",Transport_Table[[#This Row],[Data Set]]=SelectedDataSet)</f>
        <v>1</v>
      </c>
      <c r="I274" s="14" t="b">
        <f>OR(Transport_Table[[#This Row],[Technology]]="All",Transport_Table[[#This Row],[Technology]]=SelectedTechnology)</f>
        <v>1</v>
      </c>
      <c r="J274" s="14" t="b">
        <f>OR(Transport_Table[[#This Row],[Data Source]]="All",Transport_Table[[#This Row],[Data Source]]=SelectedDataSource)</f>
        <v>1</v>
      </c>
      <c r="K274" s="14" t="b">
        <v>1</v>
      </c>
      <c r="L274" s="14" t="b">
        <f>AND(Transport_Table[[#This Row],[Show Feedstock]:[Show Data Source]],NOT(Transport_Table[[#This Row],[Hide Column]]))</f>
        <v>0</v>
      </c>
      <c r="M274" s="14" t="s">
        <v>147</v>
      </c>
      <c r="N274" s="14" t="s">
        <v>1206</v>
      </c>
      <c r="O274" s="14" t="s">
        <v>1288</v>
      </c>
      <c r="P274" s="178" t="s">
        <v>316</v>
      </c>
      <c r="Q274" s="241" t="s">
        <v>1945</v>
      </c>
      <c r="R274" s="393">
        <v>1</v>
      </c>
      <c r="S274" s="394">
        <v>90</v>
      </c>
      <c r="T274" s="107"/>
    </row>
    <row r="275" spans="1:20" x14ac:dyDescent="0.3">
      <c r="A275" s="190" t="s">
        <v>316</v>
      </c>
      <c r="B275" s="178" t="s">
        <v>140</v>
      </c>
      <c r="C275" s="178" t="s">
        <v>29</v>
      </c>
      <c r="D275" s="178" t="s">
        <v>29</v>
      </c>
      <c r="E275" s="178" t="s">
        <v>31</v>
      </c>
      <c r="F275" s="14" t="b">
        <f>OR(Transport_Table[[#This Row],[Feedstock]]="All",Transport_Table[[#This Row],[Feedstock]]=SelectedFeedstock)</f>
        <v>0</v>
      </c>
      <c r="G275" s="14" t="b">
        <f>OR(Transport_Table[[#This Row],[Conversion]]="All",Transport_Table[[#This Row],[Conversion]]=SelectedConversion)</f>
        <v>0</v>
      </c>
      <c r="H275" s="14" t="b">
        <f>OR(Transport_Table[[#This Row],[Data Set]]="All",Transport_Table[[#This Row],[Data Set]]=SelectedDataSet)</f>
        <v>1</v>
      </c>
      <c r="I275" s="14" t="b">
        <f>OR(Transport_Table[[#This Row],[Technology]]="All",Transport_Table[[#This Row],[Technology]]=SelectedTechnology)</f>
        <v>1</v>
      </c>
      <c r="J275" s="14" t="b">
        <f>OR(Transport_Table[[#This Row],[Data Source]]="All",Transport_Table[[#This Row],[Data Source]]=SelectedDataSource)</f>
        <v>1</v>
      </c>
      <c r="L275" s="14" t="b">
        <f>AND(Transport_Table[[#This Row],[Show Feedstock]:[Show Data Source]],NOT(Transport_Table[[#This Row],[Hide Column]]))</f>
        <v>0</v>
      </c>
      <c r="M275" s="14" t="s">
        <v>147</v>
      </c>
      <c r="N275" s="14" t="s">
        <v>1219</v>
      </c>
      <c r="O275" s="14" t="s">
        <v>1301</v>
      </c>
      <c r="P275" s="178" t="s">
        <v>1700</v>
      </c>
      <c r="Q275" s="241" t="s">
        <v>1946</v>
      </c>
      <c r="R275" s="393">
        <v>0.33</v>
      </c>
      <c r="S275" s="394">
        <v>520</v>
      </c>
      <c r="T275" s="107"/>
    </row>
    <row r="276" spans="1:20" x14ac:dyDescent="0.3">
      <c r="A276" s="190" t="s">
        <v>316</v>
      </c>
      <c r="B276" s="178" t="s">
        <v>140</v>
      </c>
      <c r="C276" s="178" t="s">
        <v>29</v>
      </c>
      <c r="D276" s="178" t="s">
        <v>29</v>
      </c>
      <c r="E276" s="178" t="s">
        <v>31</v>
      </c>
      <c r="F276" s="14" t="b">
        <f>OR(Transport_Table[[#This Row],[Feedstock]]="All",Transport_Table[[#This Row],[Feedstock]]=SelectedFeedstock)</f>
        <v>0</v>
      </c>
      <c r="G276" s="14" t="b">
        <f>OR(Transport_Table[[#This Row],[Conversion]]="All",Transport_Table[[#This Row],[Conversion]]=SelectedConversion)</f>
        <v>0</v>
      </c>
      <c r="H276" s="14" t="b">
        <f>OR(Transport_Table[[#This Row],[Data Set]]="All",Transport_Table[[#This Row],[Data Set]]=SelectedDataSet)</f>
        <v>1</v>
      </c>
      <c r="I276" s="14" t="b">
        <f>OR(Transport_Table[[#This Row],[Technology]]="All",Transport_Table[[#This Row],[Technology]]=SelectedTechnology)</f>
        <v>1</v>
      </c>
      <c r="J276" s="14" t="b">
        <f>OR(Transport_Table[[#This Row],[Data Source]]="All",Transport_Table[[#This Row],[Data Source]]=SelectedDataSource)</f>
        <v>1</v>
      </c>
      <c r="L276" s="14" t="b">
        <f>AND(Transport_Table[[#This Row],[Show Feedstock]:[Show Data Source]],NOT(Transport_Table[[#This Row],[Hide Column]]))</f>
        <v>0</v>
      </c>
      <c r="M276" s="14" t="s">
        <v>147</v>
      </c>
      <c r="N276" s="14" t="s">
        <v>1220</v>
      </c>
      <c r="O276" s="14" t="s">
        <v>1302</v>
      </c>
      <c r="P276" s="178" t="s">
        <v>1700</v>
      </c>
      <c r="Q276" s="241" t="s">
        <v>1947</v>
      </c>
      <c r="R276" s="393">
        <v>0.6</v>
      </c>
      <c r="S276" s="394">
        <v>400</v>
      </c>
      <c r="T276" s="107"/>
    </row>
    <row r="277" spans="1:20" x14ac:dyDescent="0.3">
      <c r="A277" s="190" t="s">
        <v>316</v>
      </c>
      <c r="B277" s="178" t="s">
        <v>140</v>
      </c>
      <c r="C277" s="178" t="s">
        <v>29</v>
      </c>
      <c r="D277" s="178" t="s">
        <v>29</v>
      </c>
      <c r="E277" s="178" t="s">
        <v>31</v>
      </c>
      <c r="F277" s="14" t="b">
        <f>OR(Transport_Table[[#This Row],[Feedstock]]="All",Transport_Table[[#This Row],[Feedstock]]=SelectedFeedstock)</f>
        <v>0</v>
      </c>
      <c r="G277" s="14" t="b">
        <f>OR(Transport_Table[[#This Row],[Conversion]]="All",Transport_Table[[#This Row],[Conversion]]=SelectedConversion)</f>
        <v>0</v>
      </c>
      <c r="H277" s="14" t="b">
        <f>OR(Transport_Table[[#This Row],[Data Set]]="All",Transport_Table[[#This Row],[Data Set]]=SelectedDataSet)</f>
        <v>1</v>
      </c>
      <c r="I277" s="14" t="b">
        <f>OR(Transport_Table[[#This Row],[Technology]]="All",Transport_Table[[#This Row],[Technology]]=SelectedTechnology)</f>
        <v>1</v>
      </c>
      <c r="J277" s="14" t="b">
        <f>OR(Transport_Table[[#This Row],[Data Source]]="All",Transport_Table[[#This Row],[Data Source]]=SelectedDataSource)</f>
        <v>1</v>
      </c>
      <c r="L277" s="14" t="b">
        <f>AND(Transport_Table[[#This Row],[Show Feedstock]:[Show Data Source]],NOT(Transport_Table[[#This Row],[Hide Column]]))</f>
        <v>0</v>
      </c>
      <c r="M277" s="14" t="s">
        <v>147</v>
      </c>
      <c r="N277" s="14" t="s">
        <v>1221</v>
      </c>
      <c r="O277" s="14" t="s">
        <v>1303</v>
      </c>
      <c r="P277" s="178" t="s">
        <v>1700</v>
      </c>
      <c r="Q277" s="241" t="s">
        <v>1943</v>
      </c>
      <c r="R277" s="393">
        <v>6.9999999999999951E-2</v>
      </c>
      <c r="S277" s="394">
        <v>800</v>
      </c>
      <c r="T277" s="107"/>
    </row>
    <row r="278" spans="1:20" x14ac:dyDescent="0.3">
      <c r="A278" s="190" t="s">
        <v>316</v>
      </c>
      <c r="B278" s="178" t="s">
        <v>140</v>
      </c>
      <c r="C278" s="178" t="s">
        <v>29</v>
      </c>
      <c r="D278" s="178" t="s">
        <v>29</v>
      </c>
      <c r="E278" s="178" t="s">
        <v>31</v>
      </c>
      <c r="F278" s="14" t="b">
        <f>OR(Transport_Table[[#This Row],[Feedstock]]="All",Transport_Table[[#This Row],[Feedstock]]=SelectedFeedstock)</f>
        <v>0</v>
      </c>
      <c r="G278" s="14" t="b">
        <f>OR(Transport_Table[[#This Row],[Conversion]]="All",Transport_Table[[#This Row],[Conversion]]=SelectedConversion)</f>
        <v>0</v>
      </c>
      <c r="H278" s="14" t="b">
        <f>OR(Transport_Table[[#This Row],[Data Set]]="All",Transport_Table[[#This Row],[Data Set]]=SelectedDataSet)</f>
        <v>1</v>
      </c>
      <c r="I278" s="14" t="b">
        <f>OR(Transport_Table[[#This Row],[Technology]]="All",Transport_Table[[#This Row],[Technology]]=SelectedTechnology)</f>
        <v>1</v>
      </c>
      <c r="J278" s="14" t="b">
        <f>OR(Transport_Table[[#This Row],[Data Source]]="All",Transport_Table[[#This Row],[Data Source]]=SelectedDataSource)</f>
        <v>1</v>
      </c>
      <c r="L278" s="14" t="b">
        <f>AND(Transport_Table[[#This Row],[Show Feedstock]:[Show Data Source]],NOT(Transport_Table[[#This Row],[Hide Column]]))</f>
        <v>0</v>
      </c>
      <c r="M278" s="14" t="s">
        <v>147</v>
      </c>
      <c r="N278" s="14" t="s">
        <v>1222</v>
      </c>
      <c r="O278" s="14" t="s">
        <v>1304</v>
      </c>
      <c r="P278" s="178" t="s">
        <v>1700</v>
      </c>
      <c r="Q278" s="241" t="s">
        <v>1944</v>
      </c>
      <c r="R278" s="393">
        <v>1</v>
      </c>
      <c r="S278" s="394">
        <v>30</v>
      </c>
      <c r="T278" s="107"/>
    </row>
    <row r="279" spans="1:20" x14ac:dyDescent="0.3">
      <c r="A279" s="190" t="s">
        <v>10</v>
      </c>
      <c r="B279" s="178" t="s">
        <v>30</v>
      </c>
      <c r="C279" s="178" t="s">
        <v>194</v>
      </c>
      <c r="D279" s="178" t="s">
        <v>1349</v>
      </c>
      <c r="E279" s="178" t="s">
        <v>31</v>
      </c>
      <c r="F279" s="14" t="b">
        <f>OR(Transport_Table[[#This Row],[Feedstock]]="All",Transport_Table[[#This Row],[Feedstock]]=SelectedFeedstock)</f>
        <v>0</v>
      </c>
      <c r="G279" s="14" t="b">
        <f>OR(Transport_Table[[#This Row],[Conversion]]="All",Transport_Table[[#This Row],[Conversion]]=SelectedConversion)</f>
        <v>1</v>
      </c>
      <c r="H279" s="14" t="b">
        <f>OR(Transport_Table[[#This Row],[Data Set]]="All",Transport_Table[[#This Row],[Data Set]]=SelectedDataSet)</f>
        <v>0</v>
      </c>
      <c r="I279" s="14" t="b">
        <f>OR(Transport_Table[[#This Row],[Technology]]="All",Transport_Table[[#This Row],[Technology]]=SelectedTechnology)</f>
        <v>1</v>
      </c>
      <c r="J279" s="14" t="b">
        <f>OR(Transport_Table[[#This Row],[Data Source]]="All",Transport_Table[[#This Row],[Data Source]]=SelectedDataSource)</f>
        <v>0</v>
      </c>
      <c r="K279" s="14" t="b">
        <v>1</v>
      </c>
      <c r="L279" s="14" t="b">
        <f>AND(Transport_Table[[#This Row],[Show Feedstock]:[Show Data Source]],NOT(Transport_Table[[#This Row],[Hide Column]]))</f>
        <v>0</v>
      </c>
      <c r="M279" s="14" t="s">
        <v>14</v>
      </c>
      <c r="N279" s="14" t="s">
        <v>1157</v>
      </c>
      <c r="O279" s="14" t="s">
        <v>1239</v>
      </c>
      <c r="P279" s="178" t="s">
        <v>10</v>
      </c>
      <c r="Q279" s="241" t="s">
        <v>1945</v>
      </c>
      <c r="R279" s="393">
        <v>0</v>
      </c>
      <c r="S279" s="394">
        <v>0</v>
      </c>
      <c r="T279" s="107"/>
    </row>
    <row r="280" spans="1:20" x14ac:dyDescent="0.3">
      <c r="A280" s="190" t="s">
        <v>10</v>
      </c>
      <c r="B280" s="178" t="s">
        <v>30</v>
      </c>
      <c r="C280" s="178" t="s">
        <v>194</v>
      </c>
      <c r="D280" s="178" t="s">
        <v>1349</v>
      </c>
      <c r="E280" s="178" t="s">
        <v>31</v>
      </c>
      <c r="F280" s="14" t="b">
        <f>OR(Transport_Table[[#This Row],[Feedstock]]="All",Transport_Table[[#This Row],[Feedstock]]=SelectedFeedstock)</f>
        <v>0</v>
      </c>
      <c r="G280" s="14" t="b">
        <f>OR(Transport_Table[[#This Row],[Conversion]]="All",Transport_Table[[#This Row],[Conversion]]=SelectedConversion)</f>
        <v>1</v>
      </c>
      <c r="H280" s="14" t="b">
        <f>OR(Transport_Table[[#This Row],[Data Set]]="All",Transport_Table[[#This Row],[Data Set]]=SelectedDataSet)</f>
        <v>0</v>
      </c>
      <c r="I280" s="14" t="b">
        <f>OR(Transport_Table[[#This Row],[Technology]]="All",Transport_Table[[#This Row],[Technology]]=SelectedTechnology)</f>
        <v>1</v>
      </c>
      <c r="J280" s="14" t="b">
        <f>OR(Transport_Table[[#This Row],[Data Source]]="All",Transport_Table[[#This Row],[Data Source]]=SelectedDataSource)</f>
        <v>0</v>
      </c>
      <c r="K280" s="14" t="b">
        <v>1</v>
      </c>
      <c r="L280" s="14" t="b">
        <f>AND(Transport_Table[[#This Row],[Show Feedstock]:[Show Data Source]],NOT(Transport_Table[[#This Row],[Hide Column]]))</f>
        <v>0</v>
      </c>
      <c r="M280" s="14" t="s">
        <v>14</v>
      </c>
      <c r="N280" s="14" t="s">
        <v>1158</v>
      </c>
      <c r="O280" s="14" t="s">
        <v>1240</v>
      </c>
      <c r="P280" s="178" t="s">
        <v>10</v>
      </c>
      <c r="Q280" s="241" t="s">
        <v>1946</v>
      </c>
      <c r="R280" s="393">
        <v>0.2</v>
      </c>
      <c r="S280" s="394">
        <v>400.16292400000003</v>
      </c>
      <c r="T280" s="107"/>
    </row>
    <row r="281" spans="1:20" x14ac:dyDescent="0.3">
      <c r="A281" s="190" t="s">
        <v>10</v>
      </c>
      <c r="B281" s="178" t="s">
        <v>30</v>
      </c>
      <c r="C281" s="178" t="s">
        <v>194</v>
      </c>
      <c r="D281" s="178" t="s">
        <v>1349</v>
      </c>
      <c r="E281" s="178" t="s">
        <v>31</v>
      </c>
      <c r="F281" s="14" t="b">
        <f>OR(Transport_Table[[#This Row],[Feedstock]]="All",Transport_Table[[#This Row],[Feedstock]]=SelectedFeedstock)</f>
        <v>0</v>
      </c>
      <c r="G281" s="14" t="b">
        <f>OR(Transport_Table[[#This Row],[Conversion]]="All",Transport_Table[[#This Row],[Conversion]]=SelectedConversion)</f>
        <v>1</v>
      </c>
      <c r="H281" s="14" t="b">
        <f>OR(Transport_Table[[#This Row],[Data Set]]="All",Transport_Table[[#This Row],[Data Set]]=SelectedDataSet)</f>
        <v>0</v>
      </c>
      <c r="I281" s="14" t="b">
        <f>OR(Transport_Table[[#This Row],[Technology]]="All",Transport_Table[[#This Row],[Technology]]=SelectedTechnology)</f>
        <v>1</v>
      </c>
      <c r="J281" s="14" t="b">
        <f>OR(Transport_Table[[#This Row],[Data Source]]="All",Transport_Table[[#This Row],[Data Source]]=SelectedDataSource)</f>
        <v>0</v>
      </c>
      <c r="K281" s="14" t="b">
        <v>1</v>
      </c>
      <c r="L281" s="14" t="b">
        <f>AND(Transport_Table[[#This Row],[Show Feedstock]:[Show Data Source]],NOT(Transport_Table[[#This Row],[Hide Column]]))</f>
        <v>0</v>
      </c>
      <c r="M281" s="14" t="s">
        <v>14</v>
      </c>
      <c r="N281" s="14" t="s">
        <v>1159</v>
      </c>
      <c r="O281" s="14" t="s">
        <v>1241</v>
      </c>
      <c r="P281" s="178" t="s">
        <v>10</v>
      </c>
      <c r="Q281" s="241" t="s">
        <v>1947</v>
      </c>
      <c r="R281" s="393">
        <v>0.8</v>
      </c>
      <c r="S281" s="394">
        <v>100.04073100000001</v>
      </c>
      <c r="T281" s="107"/>
    </row>
    <row r="282" spans="1:20" x14ac:dyDescent="0.3">
      <c r="A282" s="190" t="s">
        <v>10</v>
      </c>
      <c r="B282" s="178" t="s">
        <v>30</v>
      </c>
      <c r="C282" s="178" t="s">
        <v>194</v>
      </c>
      <c r="D282" s="178" t="s">
        <v>1349</v>
      </c>
      <c r="E282" s="178" t="s">
        <v>31</v>
      </c>
      <c r="F282" s="14" t="b">
        <f>OR(Transport_Table[[#This Row],[Feedstock]]="All",Transport_Table[[#This Row],[Feedstock]]=SelectedFeedstock)</f>
        <v>0</v>
      </c>
      <c r="G282" s="14" t="b">
        <f>OR(Transport_Table[[#This Row],[Conversion]]="All",Transport_Table[[#This Row],[Conversion]]=SelectedConversion)</f>
        <v>1</v>
      </c>
      <c r="H282" s="14" t="b">
        <f>OR(Transport_Table[[#This Row],[Data Set]]="All",Transport_Table[[#This Row],[Data Set]]=SelectedDataSet)</f>
        <v>0</v>
      </c>
      <c r="I282" s="14" t="b">
        <f>OR(Transport_Table[[#This Row],[Technology]]="All",Transport_Table[[#This Row],[Technology]]=SelectedTechnology)</f>
        <v>1</v>
      </c>
      <c r="J282" s="14" t="b">
        <f>OR(Transport_Table[[#This Row],[Data Source]]="All",Transport_Table[[#This Row],[Data Source]]=SelectedDataSource)</f>
        <v>0</v>
      </c>
      <c r="K282" s="14" t="b">
        <v>1</v>
      </c>
      <c r="L282" s="14" t="b">
        <f>AND(Transport_Table[[#This Row],[Show Feedstock]:[Show Data Source]],NOT(Transport_Table[[#This Row],[Hide Column]]))</f>
        <v>0</v>
      </c>
      <c r="M282" s="14" t="s">
        <v>14</v>
      </c>
      <c r="N282" s="14" t="s">
        <v>1160</v>
      </c>
      <c r="O282" s="14" t="s">
        <v>1242</v>
      </c>
      <c r="P282" s="178" t="s">
        <v>10</v>
      </c>
      <c r="Q282" s="241" t="s">
        <v>1943</v>
      </c>
      <c r="R282" s="393">
        <v>0</v>
      </c>
      <c r="S282" s="394">
        <v>0</v>
      </c>
      <c r="T282" s="107"/>
    </row>
    <row r="283" spans="1:20" x14ac:dyDescent="0.3">
      <c r="A283" s="190" t="s">
        <v>10</v>
      </c>
      <c r="B283" s="178" t="s">
        <v>30</v>
      </c>
      <c r="C283" s="178" t="s">
        <v>194</v>
      </c>
      <c r="D283" s="178" t="s">
        <v>1349</v>
      </c>
      <c r="E283" s="178" t="s">
        <v>31</v>
      </c>
      <c r="F283" s="14" t="b">
        <f>OR(Transport_Table[[#This Row],[Feedstock]]="All",Transport_Table[[#This Row],[Feedstock]]=SelectedFeedstock)</f>
        <v>0</v>
      </c>
      <c r="G283" s="14" t="b">
        <f>OR(Transport_Table[[#This Row],[Conversion]]="All",Transport_Table[[#This Row],[Conversion]]=SelectedConversion)</f>
        <v>1</v>
      </c>
      <c r="H283" s="14" t="b">
        <f>OR(Transport_Table[[#This Row],[Data Set]]="All",Transport_Table[[#This Row],[Data Set]]=SelectedDataSet)</f>
        <v>0</v>
      </c>
      <c r="I283" s="14" t="b">
        <f>OR(Transport_Table[[#This Row],[Technology]]="All",Transport_Table[[#This Row],[Technology]]=SelectedTechnology)</f>
        <v>1</v>
      </c>
      <c r="J283" s="14" t="b">
        <f>OR(Transport_Table[[#This Row],[Data Source]]="All",Transport_Table[[#This Row],[Data Source]]=SelectedDataSource)</f>
        <v>0</v>
      </c>
      <c r="K283" s="14" t="b">
        <v>1</v>
      </c>
      <c r="L283" s="14" t="b">
        <f>AND(Transport_Table[[#This Row],[Show Feedstock]:[Show Data Source]],NOT(Transport_Table[[#This Row],[Hide Column]]))</f>
        <v>0</v>
      </c>
      <c r="M283" s="14" t="s">
        <v>14</v>
      </c>
      <c r="N283" s="14" t="s">
        <v>1901</v>
      </c>
      <c r="O283" s="14" t="s">
        <v>1902</v>
      </c>
      <c r="P283" s="178" t="s">
        <v>1903</v>
      </c>
      <c r="Q283" s="241" t="s">
        <v>1944</v>
      </c>
      <c r="R283" s="393">
        <v>0.4</v>
      </c>
      <c r="S283" s="394">
        <v>520</v>
      </c>
      <c r="T283" s="107"/>
    </row>
    <row r="284" spans="1:20" x14ac:dyDescent="0.3">
      <c r="A284" s="190" t="s">
        <v>10</v>
      </c>
      <c r="B284" s="178" t="s">
        <v>30</v>
      </c>
      <c r="C284" s="178" t="s">
        <v>194</v>
      </c>
      <c r="D284" s="178" t="s">
        <v>1349</v>
      </c>
      <c r="E284" s="178" t="s">
        <v>31</v>
      </c>
      <c r="F284" s="14" t="b">
        <f>OR(Transport_Table[[#This Row],[Feedstock]]="All",Transport_Table[[#This Row],[Feedstock]]=SelectedFeedstock)</f>
        <v>0</v>
      </c>
      <c r="G284" s="14" t="b">
        <f>OR(Transport_Table[[#This Row],[Conversion]]="All",Transport_Table[[#This Row],[Conversion]]=SelectedConversion)</f>
        <v>1</v>
      </c>
      <c r="H284" s="14" t="b">
        <f>OR(Transport_Table[[#This Row],[Data Set]]="All",Transport_Table[[#This Row],[Data Set]]=SelectedDataSet)</f>
        <v>0</v>
      </c>
      <c r="I284" s="14" t="b">
        <f>OR(Transport_Table[[#This Row],[Technology]]="All",Transport_Table[[#This Row],[Technology]]=SelectedTechnology)</f>
        <v>1</v>
      </c>
      <c r="J284" s="14" t="b">
        <f>OR(Transport_Table[[#This Row],[Data Source]]="All",Transport_Table[[#This Row],[Data Source]]=SelectedDataSource)</f>
        <v>0</v>
      </c>
      <c r="K284" s="14" t="b">
        <v>1</v>
      </c>
      <c r="L284" s="14" t="b">
        <f>AND(Transport_Table[[#This Row],[Show Feedstock]:[Show Data Source]],NOT(Transport_Table[[#This Row],[Hide Column]]))</f>
        <v>0</v>
      </c>
      <c r="M284" s="14" t="s">
        <v>14</v>
      </c>
      <c r="N284" s="14" t="s">
        <v>1904</v>
      </c>
      <c r="O284" s="14" t="s">
        <v>1905</v>
      </c>
      <c r="P284" s="178" t="s">
        <v>1903</v>
      </c>
      <c r="Q284" s="241" t="s">
        <v>1945</v>
      </c>
      <c r="R284" s="393">
        <v>0</v>
      </c>
      <c r="S284" s="394">
        <v>0</v>
      </c>
      <c r="T284" s="107"/>
    </row>
    <row r="285" spans="1:20" x14ac:dyDescent="0.3">
      <c r="A285" s="190" t="s">
        <v>10</v>
      </c>
      <c r="B285" s="178" t="s">
        <v>30</v>
      </c>
      <c r="C285" s="178" t="s">
        <v>194</v>
      </c>
      <c r="D285" s="178" t="s">
        <v>1349</v>
      </c>
      <c r="E285" s="178" t="s">
        <v>31</v>
      </c>
      <c r="F285" s="14" t="b">
        <f>OR(Transport_Table[[#This Row],[Feedstock]]="All",Transport_Table[[#This Row],[Feedstock]]=SelectedFeedstock)</f>
        <v>0</v>
      </c>
      <c r="G285" s="14" t="b">
        <f>OR(Transport_Table[[#This Row],[Conversion]]="All",Transport_Table[[#This Row],[Conversion]]=SelectedConversion)</f>
        <v>1</v>
      </c>
      <c r="H285" s="14" t="b">
        <f>OR(Transport_Table[[#This Row],[Data Set]]="All",Transport_Table[[#This Row],[Data Set]]=SelectedDataSet)</f>
        <v>0</v>
      </c>
      <c r="I285" s="14" t="b">
        <f>OR(Transport_Table[[#This Row],[Technology]]="All",Transport_Table[[#This Row],[Technology]]=SelectedTechnology)</f>
        <v>1</v>
      </c>
      <c r="J285" s="14" t="b">
        <f>OR(Transport_Table[[#This Row],[Data Source]]="All",Transport_Table[[#This Row],[Data Source]]=SelectedDataSource)</f>
        <v>0</v>
      </c>
      <c r="K285" s="14" t="b">
        <v>1</v>
      </c>
      <c r="L285" s="14" t="b">
        <f>AND(Transport_Table[[#This Row],[Show Feedstock]:[Show Data Source]],NOT(Transport_Table[[#This Row],[Hide Column]]))</f>
        <v>0</v>
      </c>
      <c r="M285" s="14" t="s">
        <v>14</v>
      </c>
      <c r="N285" s="14" t="s">
        <v>1906</v>
      </c>
      <c r="O285" s="14" t="s">
        <v>1907</v>
      </c>
      <c r="P285" s="178" t="s">
        <v>1903</v>
      </c>
      <c r="Q285" s="241" t="s">
        <v>1946</v>
      </c>
      <c r="R285" s="393">
        <v>0.2</v>
      </c>
      <c r="S285" s="394">
        <v>700</v>
      </c>
      <c r="T285" s="107"/>
    </row>
    <row r="286" spans="1:20" x14ac:dyDescent="0.3">
      <c r="A286" s="190" t="s">
        <v>10</v>
      </c>
      <c r="B286" s="178" t="s">
        <v>30</v>
      </c>
      <c r="C286" s="178" t="s">
        <v>194</v>
      </c>
      <c r="D286" s="178" t="s">
        <v>1349</v>
      </c>
      <c r="E286" s="178" t="s">
        <v>31</v>
      </c>
      <c r="F286" s="14" t="b">
        <f>OR(Transport_Table[[#This Row],[Feedstock]]="All",Transport_Table[[#This Row],[Feedstock]]=SelectedFeedstock)</f>
        <v>0</v>
      </c>
      <c r="G286" s="14" t="b">
        <f>OR(Transport_Table[[#This Row],[Conversion]]="All",Transport_Table[[#This Row],[Conversion]]=SelectedConversion)</f>
        <v>1</v>
      </c>
      <c r="H286" s="14" t="b">
        <f>OR(Transport_Table[[#This Row],[Data Set]]="All",Transport_Table[[#This Row],[Data Set]]=SelectedDataSet)</f>
        <v>0</v>
      </c>
      <c r="I286" s="14" t="b">
        <f>OR(Transport_Table[[#This Row],[Technology]]="All",Transport_Table[[#This Row],[Technology]]=SelectedTechnology)</f>
        <v>1</v>
      </c>
      <c r="J286" s="14" t="b">
        <f>OR(Transport_Table[[#This Row],[Data Source]]="All",Transport_Table[[#This Row],[Data Source]]=SelectedDataSource)</f>
        <v>0</v>
      </c>
      <c r="K286" s="14" t="b">
        <v>1</v>
      </c>
      <c r="L286" s="14" t="b">
        <f>AND(Transport_Table[[#This Row],[Show Feedstock]:[Show Data Source]],NOT(Transport_Table[[#This Row],[Hide Column]]))</f>
        <v>0</v>
      </c>
      <c r="M286" s="14" t="s">
        <v>14</v>
      </c>
      <c r="N286" s="14" t="s">
        <v>1908</v>
      </c>
      <c r="O286" s="14" t="s">
        <v>1909</v>
      </c>
      <c r="P286" s="178" t="s">
        <v>1903</v>
      </c>
      <c r="Q286" s="241" t="s">
        <v>1943</v>
      </c>
      <c r="R286" s="393">
        <v>0.4</v>
      </c>
      <c r="S286" s="394">
        <v>80</v>
      </c>
      <c r="T286" s="107"/>
    </row>
    <row r="287" spans="1:20" x14ac:dyDescent="0.3">
      <c r="A287" s="190" t="s">
        <v>10</v>
      </c>
      <c r="B287" s="178" t="s">
        <v>30</v>
      </c>
      <c r="C287" s="178" t="s">
        <v>194</v>
      </c>
      <c r="D287" s="178" t="s">
        <v>1349</v>
      </c>
      <c r="E287" s="178" t="s">
        <v>31</v>
      </c>
      <c r="F287" s="14" t="b">
        <f>OR(Transport_Table[[#This Row],[Feedstock]]="All",Transport_Table[[#This Row],[Feedstock]]=SelectedFeedstock)</f>
        <v>0</v>
      </c>
      <c r="G287" s="14" t="b">
        <f>OR(Transport_Table[[#This Row],[Conversion]]="All",Transport_Table[[#This Row],[Conversion]]=SelectedConversion)</f>
        <v>1</v>
      </c>
      <c r="H287" s="14" t="b">
        <f>OR(Transport_Table[[#This Row],[Data Set]]="All",Transport_Table[[#This Row],[Data Set]]=SelectedDataSet)</f>
        <v>0</v>
      </c>
      <c r="I287" s="14" t="b">
        <f>OR(Transport_Table[[#This Row],[Technology]]="All",Transport_Table[[#This Row],[Technology]]=SelectedTechnology)</f>
        <v>1</v>
      </c>
      <c r="J287" s="14" t="b">
        <f>OR(Transport_Table[[#This Row],[Data Source]]="All",Transport_Table[[#This Row],[Data Source]]=SelectedDataSource)</f>
        <v>0</v>
      </c>
      <c r="L287" s="14" t="b">
        <f>AND(Transport_Table[[#This Row],[Show Feedstock]:[Show Data Source]],NOT(Transport_Table[[#This Row],[Hide Column]]))</f>
        <v>0</v>
      </c>
      <c r="M287" s="14" t="s">
        <v>14</v>
      </c>
      <c r="N287" s="14" t="s">
        <v>1161</v>
      </c>
      <c r="O287" s="14" t="s">
        <v>1243</v>
      </c>
      <c r="P287" s="178" t="s">
        <v>1700</v>
      </c>
      <c r="Q287" s="241" t="s">
        <v>1944</v>
      </c>
      <c r="R287" s="393">
        <v>0.08</v>
      </c>
      <c r="S287" s="394">
        <v>519.99854667279999</v>
      </c>
      <c r="T287" s="107"/>
    </row>
    <row r="288" spans="1:20" x14ac:dyDescent="0.3">
      <c r="A288" s="190" t="s">
        <v>10</v>
      </c>
      <c r="B288" s="178" t="s">
        <v>30</v>
      </c>
      <c r="C288" s="178" t="s">
        <v>194</v>
      </c>
      <c r="D288" s="178" t="s">
        <v>1349</v>
      </c>
      <c r="E288" s="178" t="s">
        <v>31</v>
      </c>
      <c r="F288" s="14" t="b">
        <f>OR(Transport_Table[[#This Row],[Feedstock]]="All",Transport_Table[[#This Row],[Feedstock]]=SelectedFeedstock)</f>
        <v>0</v>
      </c>
      <c r="G288" s="14" t="b">
        <f>OR(Transport_Table[[#This Row],[Conversion]]="All",Transport_Table[[#This Row],[Conversion]]=SelectedConversion)</f>
        <v>1</v>
      </c>
      <c r="H288" s="14" t="b">
        <f>OR(Transport_Table[[#This Row],[Data Set]]="All",Transport_Table[[#This Row],[Data Set]]=SelectedDataSet)</f>
        <v>0</v>
      </c>
      <c r="I288" s="14" t="b">
        <f>OR(Transport_Table[[#This Row],[Technology]]="All",Transport_Table[[#This Row],[Technology]]=SelectedTechnology)</f>
        <v>1</v>
      </c>
      <c r="J288" s="14" t="b">
        <f>OR(Transport_Table[[#This Row],[Data Source]]="All",Transport_Table[[#This Row],[Data Source]]=SelectedDataSource)</f>
        <v>0</v>
      </c>
      <c r="L288" s="14" t="b">
        <f>AND(Transport_Table[[#This Row],[Show Feedstock]:[Show Data Source]],NOT(Transport_Table[[#This Row],[Hide Column]]))</f>
        <v>0</v>
      </c>
      <c r="M288" s="14" t="s">
        <v>14</v>
      </c>
      <c r="N288" s="14" t="s">
        <v>1162</v>
      </c>
      <c r="O288" s="14" t="s">
        <v>1244</v>
      </c>
      <c r="P288" s="178" t="s">
        <v>1700</v>
      </c>
      <c r="Q288" s="241" t="s">
        <v>1945</v>
      </c>
      <c r="R288" s="393">
        <v>0</v>
      </c>
      <c r="S288" s="394">
        <v>0</v>
      </c>
      <c r="T288" s="107"/>
    </row>
    <row r="289" spans="1:20" x14ac:dyDescent="0.3">
      <c r="A289" s="190" t="s">
        <v>10</v>
      </c>
      <c r="B289" s="178" t="s">
        <v>30</v>
      </c>
      <c r="C289" s="178" t="s">
        <v>194</v>
      </c>
      <c r="D289" s="178" t="s">
        <v>1349</v>
      </c>
      <c r="E289" s="178" t="s">
        <v>31</v>
      </c>
      <c r="F289" s="14" t="b">
        <f>OR(Transport_Table[[#This Row],[Feedstock]]="All",Transport_Table[[#This Row],[Feedstock]]=SelectedFeedstock)</f>
        <v>0</v>
      </c>
      <c r="G289" s="14" t="b">
        <f>OR(Transport_Table[[#This Row],[Conversion]]="All",Transport_Table[[#This Row],[Conversion]]=SelectedConversion)</f>
        <v>1</v>
      </c>
      <c r="H289" s="14" t="b">
        <f>OR(Transport_Table[[#This Row],[Data Set]]="All",Transport_Table[[#This Row],[Data Set]]=SelectedDataSet)</f>
        <v>0</v>
      </c>
      <c r="I289" s="14" t="b">
        <f>OR(Transport_Table[[#This Row],[Technology]]="All",Transport_Table[[#This Row],[Technology]]=SelectedTechnology)</f>
        <v>1</v>
      </c>
      <c r="J289" s="14" t="b">
        <f>OR(Transport_Table[[#This Row],[Data Source]]="All",Transport_Table[[#This Row],[Data Source]]=SelectedDataSource)</f>
        <v>0</v>
      </c>
      <c r="L289" s="14" t="b">
        <f>AND(Transport_Table[[#This Row],[Show Feedstock]:[Show Data Source]],NOT(Transport_Table[[#This Row],[Hide Column]]))</f>
        <v>0</v>
      </c>
      <c r="M289" s="14" t="s">
        <v>14</v>
      </c>
      <c r="N289" s="14" t="s">
        <v>1163</v>
      </c>
      <c r="O289" s="14" t="s">
        <v>1245</v>
      </c>
      <c r="P289" s="178" t="s">
        <v>1700</v>
      </c>
      <c r="Q289" s="241" t="s">
        <v>1946</v>
      </c>
      <c r="R289" s="393">
        <v>0.28999999999999998</v>
      </c>
      <c r="S289" s="394">
        <v>799.99776411200003</v>
      </c>
      <c r="T289" s="107"/>
    </row>
    <row r="290" spans="1:20" x14ac:dyDescent="0.3">
      <c r="A290" s="190" t="s">
        <v>10</v>
      </c>
      <c r="B290" s="178" t="s">
        <v>30</v>
      </c>
      <c r="C290" s="178" t="s">
        <v>194</v>
      </c>
      <c r="D290" s="178" t="s">
        <v>1349</v>
      </c>
      <c r="E290" s="178" t="s">
        <v>31</v>
      </c>
      <c r="F290" s="14" t="b">
        <f>OR(Transport_Table[[#This Row],[Feedstock]]="All",Transport_Table[[#This Row],[Feedstock]]=SelectedFeedstock)</f>
        <v>0</v>
      </c>
      <c r="G290" s="14" t="b">
        <f>OR(Transport_Table[[#This Row],[Conversion]]="All",Transport_Table[[#This Row],[Conversion]]=SelectedConversion)</f>
        <v>1</v>
      </c>
      <c r="H290" s="14" t="b">
        <f>OR(Transport_Table[[#This Row],[Data Set]]="All",Transport_Table[[#This Row],[Data Set]]=SelectedDataSet)</f>
        <v>0</v>
      </c>
      <c r="I290" s="14" t="b">
        <f>OR(Transport_Table[[#This Row],[Technology]]="All",Transport_Table[[#This Row],[Technology]]=SelectedTechnology)</f>
        <v>1</v>
      </c>
      <c r="J290" s="14" t="b">
        <f>OR(Transport_Table[[#This Row],[Data Source]]="All",Transport_Table[[#This Row],[Data Source]]=SelectedDataSource)</f>
        <v>0</v>
      </c>
      <c r="L290" s="14" t="b">
        <f>AND(Transport_Table[[#This Row],[Show Feedstock]:[Show Data Source]],NOT(Transport_Table[[#This Row],[Hide Column]]))</f>
        <v>0</v>
      </c>
      <c r="M290" s="14" t="s">
        <v>14</v>
      </c>
      <c r="N290" s="14" t="s">
        <v>1164</v>
      </c>
      <c r="O290" s="14" t="s">
        <v>1246</v>
      </c>
      <c r="P290" s="178" t="s">
        <v>1700</v>
      </c>
      <c r="Q290" s="241" t="s">
        <v>1943</v>
      </c>
      <c r="R290" s="393">
        <v>0.63</v>
      </c>
      <c r="S290" s="394">
        <v>49.999860257000002</v>
      </c>
      <c r="T290" s="107"/>
    </row>
    <row r="291" spans="1:20" x14ac:dyDescent="0.3">
      <c r="A291" s="190" t="s">
        <v>10</v>
      </c>
      <c r="B291" s="178" t="s">
        <v>30</v>
      </c>
      <c r="C291" s="178" t="s">
        <v>194</v>
      </c>
      <c r="D291" s="178" t="s">
        <v>1349</v>
      </c>
      <c r="E291" s="178" t="s">
        <v>31</v>
      </c>
      <c r="F291" s="14" t="b">
        <f>OR(Transport_Table[[#This Row],[Feedstock]]="All",Transport_Table[[#This Row],[Feedstock]]=SelectedFeedstock)</f>
        <v>0</v>
      </c>
      <c r="G291" s="14" t="b">
        <f>OR(Transport_Table[[#This Row],[Conversion]]="All",Transport_Table[[#This Row],[Conversion]]=SelectedConversion)</f>
        <v>1</v>
      </c>
      <c r="H291" s="14" t="b">
        <f>OR(Transport_Table[[#This Row],[Data Set]]="All",Transport_Table[[#This Row],[Data Set]]=SelectedDataSet)</f>
        <v>0</v>
      </c>
      <c r="I291" s="14" t="b">
        <f>OR(Transport_Table[[#This Row],[Technology]]="All",Transport_Table[[#This Row],[Technology]]=SelectedTechnology)</f>
        <v>1</v>
      </c>
      <c r="J291" s="14" t="b">
        <f>OR(Transport_Table[[#This Row],[Data Source]]="All",Transport_Table[[#This Row],[Data Source]]=SelectedDataSource)</f>
        <v>0</v>
      </c>
      <c r="L291" s="14" t="b">
        <f>AND(Transport_Table[[#This Row],[Show Feedstock]:[Show Data Source]],NOT(Transport_Table[[#This Row],[Hide Column]]))</f>
        <v>0</v>
      </c>
      <c r="M291" s="14" t="s">
        <v>14</v>
      </c>
      <c r="N291" s="14" t="s">
        <v>1165</v>
      </c>
      <c r="O291" s="14" t="s">
        <v>1247</v>
      </c>
      <c r="P291" s="178" t="s">
        <v>1701</v>
      </c>
      <c r="Q291" s="241" t="s">
        <v>1944</v>
      </c>
      <c r="R291" s="393">
        <v>1</v>
      </c>
      <c r="S291" s="394">
        <v>29.999916154200001</v>
      </c>
      <c r="T291" s="107"/>
    </row>
    <row r="292" spans="1:20" x14ac:dyDescent="0.3">
      <c r="A292" s="190" t="s">
        <v>10</v>
      </c>
      <c r="B292" s="178" t="s">
        <v>30</v>
      </c>
      <c r="C292" s="178" t="s">
        <v>194</v>
      </c>
      <c r="D292" s="178" t="s">
        <v>368</v>
      </c>
      <c r="E292" s="178" t="s">
        <v>31</v>
      </c>
      <c r="F292" s="14" t="b">
        <f>OR(Transport_Table[[#This Row],[Feedstock]]="All",Transport_Table[[#This Row],[Feedstock]]=SelectedFeedstock)</f>
        <v>0</v>
      </c>
      <c r="G292" s="14" t="b">
        <f>OR(Transport_Table[[#This Row],[Conversion]]="All",Transport_Table[[#This Row],[Conversion]]=SelectedConversion)</f>
        <v>1</v>
      </c>
      <c r="H292" s="14" t="b">
        <f>OR(Transport_Table[[#This Row],[Data Set]]="All",Transport_Table[[#This Row],[Data Set]]=SelectedDataSet)</f>
        <v>0</v>
      </c>
      <c r="I292" s="14" t="b">
        <f>OR(Transport_Table[[#This Row],[Technology]]="All",Transport_Table[[#This Row],[Technology]]=SelectedTechnology)</f>
        <v>1</v>
      </c>
      <c r="J292" s="14" t="b">
        <f>OR(Transport_Table[[#This Row],[Data Source]]="All",Transport_Table[[#This Row],[Data Source]]=SelectedDataSource)</f>
        <v>0</v>
      </c>
      <c r="K292" s="14" t="b">
        <v>1</v>
      </c>
      <c r="L292" s="14" t="b">
        <f>AND(Transport_Table[[#This Row],[Show Feedstock]:[Show Data Source]],NOT(Transport_Table[[#This Row],[Hide Column]]))</f>
        <v>0</v>
      </c>
      <c r="M292" s="14" t="s">
        <v>14</v>
      </c>
      <c r="N292" s="14" t="s">
        <v>1157</v>
      </c>
      <c r="O292" s="14" t="s">
        <v>1239</v>
      </c>
      <c r="P292" s="178" t="s">
        <v>10</v>
      </c>
      <c r="Q292" s="241" t="s">
        <v>1945</v>
      </c>
      <c r="R292" s="393">
        <v>0</v>
      </c>
      <c r="S292" s="394">
        <v>0</v>
      </c>
      <c r="T292" s="107"/>
    </row>
    <row r="293" spans="1:20" x14ac:dyDescent="0.3">
      <c r="A293" s="190" t="s">
        <v>10</v>
      </c>
      <c r="B293" s="178" t="s">
        <v>30</v>
      </c>
      <c r="C293" s="178" t="s">
        <v>194</v>
      </c>
      <c r="D293" s="178" t="s">
        <v>368</v>
      </c>
      <c r="E293" s="178" t="s">
        <v>31</v>
      </c>
      <c r="F293" s="14" t="b">
        <f>OR(Transport_Table[[#This Row],[Feedstock]]="All",Transport_Table[[#This Row],[Feedstock]]=SelectedFeedstock)</f>
        <v>0</v>
      </c>
      <c r="G293" s="14" t="b">
        <f>OR(Transport_Table[[#This Row],[Conversion]]="All",Transport_Table[[#This Row],[Conversion]]=SelectedConversion)</f>
        <v>1</v>
      </c>
      <c r="H293" s="14" t="b">
        <f>OR(Transport_Table[[#This Row],[Data Set]]="All",Transport_Table[[#This Row],[Data Set]]=SelectedDataSet)</f>
        <v>0</v>
      </c>
      <c r="I293" s="14" t="b">
        <f>OR(Transport_Table[[#This Row],[Technology]]="All",Transport_Table[[#This Row],[Technology]]=SelectedTechnology)</f>
        <v>1</v>
      </c>
      <c r="J293" s="14" t="b">
        <f>OR(Transport_Table[[#This Row],[Data Source]]="All",Transport_Table[[#This Row],[Data Source]]=SelectedDataSource)</f>
        <v>0</v>
      </c>
      <c r="K293" s="14" t="b">
        <v>1</v>
      </c>
      <c r="L293" s="14" t="b">
        <f>AND(Transport_Table[[#This Row],[Show Feedstock]:[Show Data Source]],NOT(Transport_Table[[#This Row],[Hide Column]]))</f>
        <v>0</v>
      </c>
      <c r="M293" s="14" t="s">
        <v>14</v>
      </c>
      <c r="N293" s="14" t="s">
        <v>1158</v>
      </c>
      <c r="O293" s="14" t="s">
        <v>1240</v>
      </c>
      <c r="P293" s="178" t="s">
        <v>10</v>
      </c>
      <c r="Q293" s="241" t="s">
        <v>1946</v>
      </c>
      <c r="R293" s="393">
        <v>0.2</v>
      </c>
      <c r="S293" s="394">
        <v>400.16292400000003</v>
      </c>
      <c r="T293" s="107"/>
    </row>
    <row r="294" spans="1:20" x14ac:dyDescent="0.3">
      <c r="A294" s="190" t="s">
        <v>10</v>
      </c>
      <c r="B294" s="178" t="s">
        <v>30</v>
      </c>
      <c r="C294" s="178" t="s">
        <v>194</v>
      </c>
      <c r="D294" s="178" t="s">
        <v>368</v>
      </c>
      <c r="E294" s="178" t="s">
        <v>31</v>
      </c>
      <c r="F294" s="14" t="b">
        <f>OR(Transport_Table[[#This Row],[Feedstock]]="All",Transport_Table[[#This Row],[Feedstock]]=SelectedFeedstock)</f>
        <v>0</v>
      </c>
      <c r="G294" s="14" t="b">
        <f>OR(Transport_Table[[#This Row],[Conversion]]="All",Transport_Table[[#This Row],[Conversion]]=SelectedConversion)</f>
        <v>1</v>
      </c>
      <c r="H294" s="14" t="b">
        <f>OR(Transport_Table[[#This Row],[Data Set]]="All",Transport_Table[[#This Row],[Data Set]]=SelectedDataSet)</f>
        <v>0</v>
      </c>
      <c r="I294" s="14" t="b">
        <f>OR(Transport_Table[[#This Row],[Technology]]="All",Transport_Table[[#This Row],[Technology]]=SelectedTechnology)</f>
        <v>1</v>
      </c>
      <c r="J294" s="14" t="b">
        <f>OR(Transport_Table[[#This Row],[Data Source]]="All",Transport_Table[[#This Row],[Data Source]]=SelectedDataSource)</f>
        <v>0</v>
      </c>
      <c r="K294" s="14" t="b">
        <v>1</v>
      </c>
      <c r="L294" s="14" t="b">
        <f>AND(Transport_Table[[#This Row],[Show Feedstock]:[Show Data Source]],NOT(Transport_Table[[#This Row],[Hide Column]]))</f>
        <v>0</v>
      </c>
      <c r="M294" s="14" t="s">
        <v>14</v>
      </c>
      <c r="N294" s="14" t="s">
        <v>1159</v>
      </c>
      <c r="O294" s="14" t="s">
        <v>1241</v>
      </c>
      <c r="P294" s="178" t="s">
        <v>10</v>
      </c>
      <c r="Q294" s="241" t="s">
        <v>1943</v>
      </c>
      <c r="R294" s="393">
        <v>0.8</v>
      </c>
      <c r="S294" s="394">
        <v>100.04073100000001</v>
      </c>
      <c r="T294" s="107"/>
    </row>
    <row r="295" spans="1:20" x14ac:dyDescent="0.3">
      <c r="A295" s="190" t="s">
        <v>10</v>
      </c>
      <c r="B295" s="178" t="s">
        <v>30</v>
      </c>
      <c r="C295" s="178" t="s">
        <v>194</v>
      </c>
      <c r="D295" s="178" t="s">
        <v>368</v>
      </c>
      <c r="E295" s="178" t="s">
        <v>31</v>
      </c>
      <c r="F295" s="14" t="b">
        <f>OR(Transport_Table[[#This Row],[Feedstock]]="All",Transport_Table[[#This Row],[Feedstock]]=SelectedFeedstock)</f>
        <v>0</v>
      </c>
      <c r="G295" s="14" t="b">
        <f>OR(Transport_Table[[#This Row],[Conversion]]="All",Transport_Table[[#This Row],[Conversion]]=SelectedConversion)</f>
        <v>1</v>
      </c>
      <c r="H295" s="14" t="b">
        <f>OR(Transport_Table[[#This Row],[Data Set]]="All",Transport_Table[[#This Row],[Data Set]]=SelectedDataSet)</f>
        <v>0</v>
      </c>
      <c r="I295" s="14" t="b">
        <f>OR(Transport_Table[[#This Row],[Technology]]="All",Transport_Table[[#This Row],[Technology]]=SelectedTechnology)</f>
        <v>1</v>
      </c>
      <c r="J295" s="14" t="b">
        <f>OR(Transport_Table[[#This Row],[Data Source]]="All",Transport_Table[[#This Row],[Data Source]]=SelectedDataSource)</f>
        <v>0</v>
      </c>
      <c r="K295" s="14" t="b">
        <v>1</v>
      </c>
      <c r="L295" s="14" t="b">
        <f>AND(Transport_Table[[#This Row],[Show Feedstock]:[Show Data Source]],NOT(Transport_Table[[#This Row],[Hide Column]]))</f>
        <v>0</v>
      </c>
      <c r="M295" s="14" t="s">
        <v>14</v>
      </c>
      <c r="N295" s="14" t="s">
        <v>1160</v>
      </c>
      <c r="O295" s="14" t="s">
        <v>1242</v>
      </c>
      <c r="P295" s="178" t="s">
        <v>10</v>
      </c>
      <c r="Q295" s="241" t="s">
        <v>1944</v>
      </c>
      <c r="R295" s="396">
        <v>0</v>
      </c>
      <c r="S295" s="394">
        <v>0</v>
      </c>
      <c r="T295" s="107"/>
    </row>
    <row r="296" spans="1:20" x14ac:dyDescent="0.3">
      <c r="A296" s="190" t="s">
        <v>10</v>
      </c>
      <c r="B296" s="178" t="s">
        <v>30</v>
      </c>
      <c r="C296" s="178" t="s">
        <v>194</v>
      </c>
      <c r="D296" s="178" t="s">
        <v>368</v>
      </c>
      <c r="E296" s="178" t="s">
        <v>31</v>
      </c>
      <c r="F296" s="14" t="b">
        <f>OR(Transport_Table[[#This Row],[Feedstock]]="All",Transport_Table[[#This Row],[Feedstock]]=SelectedFeedstock)</f>
        <v>0</v>
      </c>
      <c r="G296" s="14" t="b">
        <f>OR(Transport_Table[[#This Row],[Conversion]]="All",Transport_Table[[#This Row],[Conversion]]=SelectedConversion)</f>
        <v>1</v>
      </c>
      <c r="H296" s="14" t="b">
        <f>OR(Transport_Table[[#This Row],[Data Set]]="All",Transport_Table[[#This Row],[Data Set]]=SelectedDataSet)</f>
        <v>0</v>
      </c>
      <c r="I296" s="14" t="b">
        <f>OR(Transport_Table[[#This Row],[Technology]]="All",Transport_Table[[#This Row],[Technology]]=SelectedTechnology)</f>
        <v>1</v>
      </c>
      <c r="J296" s="14" t="b">
        <f>OR(Transport_Table[[#This Row],[Data Source]]="All",Transport_Table[[#This Row],[Data Source]]=SelectedDataSource)</f>
        <v>0</v>
      </c>
      <c r="K296" s="14" t="b">
        <v>1</v>
      </c>
      <c r="L296" s="14" t="b">
        <f>AND(Transport_Table[[#This Row],[Show Feedstock]:[Show Data Source]],NOT(Transport_Table[[#This Row],[Hide Column]]))</f>
        <v>0</v>
      </c>
      <c r="M296" s="14" t="s">
        <v>14</v>
      </c>
      <c r="N296" s="14" t="s">
        <v>1901</v>
      </c>
      <c r="O296" s="14" t="s">
        <v>1902</v>
      </c>
      <c r="P296" s="178" t="s">
        <v>1903</v>
      </c>
      <c r="Q296" s="241" t="s">
        <v>1945</v>
      </c>
      <c r="R296" s="393">
        <v>0.4</v>
      </c>
      <c r="S296" s="394">
        <v>520</v>
      </c>
      <c r="T296" s="107"/>
    </row>
    <row r="297" spans="1:20" x14ac:dyDescent="0.3">
      <c r="A297" s="190" t="s">
        <v>10</v>
      </c>
      <c r="B297" s="178" t="s">
        <v>30</v>
      </c>
      <c r="C297" s="178" t="s">
        <v>194</v>
      </c>
      <c r="D297" s="178" t="s">
        <v>368</v>
      </c>
      <c r="E297" s="178" t="s">
        <v>31</v>
      </c>
      <c r="F297" s="14" t="b">
        <f>OR(Transport_Table[[#This Row],[Feedstock]]="All",Transport_Table[[#This Row],[Feedstock]]=SelectedFeedstock)</f>
        <v>0</v>
      </c>
      <c r="G297" s="14" t="b">
        <f>OR(Transport_Table[[#This Row],[Conversion]]="All",Transport_Table[[#This Row],[Conversion]]=SelectedConversion)</f>
        <v>1</v>
      </c>
      <c r="H297" s="14" t="b">
        <f>OR(Transport_Table[[#This Row],[Data Set]]="All",Transport_Table[[#This Row],[Data Set]]=SelectedDataSet)</f>
        <v>0</v>
      </c>
      <c r="I297" s="14" t="b">
        <f>OR(Transport_Table[[#This Row],[Technology]]="All",Transport_Table[[#This Row],[Technology]]=SelectedTechnology)</f>
        <v>1</v>
      </c>
      <c r="J297" s="14" t="b">
        <f>OR(Transport_Table[[#This Row],[Data Source]]="All",Transport_Table[[#This Row],[Data Source]]=SelectedDataSource)</f>
        <v>0</v>
      </c>
      <c r="K297" s="14" t="b">
        <v>1</v>
      </c>
      <c r="L297" s="14" t="b">
        <f>AND(Transport_Table[[#This Row],[Show Feedstock]:[Show Data Source]],NOT(Transport_Table[[#This Row],[Hide Column]]))</f>
        <v>0</v>
      </c>
      <c r="M297" s="14" t="s">
        <v>14</v>
      </c>
      <c r="N297" s="14" t="s">
        <v>1904</v>
      </c>
      <c r="O297" s="14" t="s">
        <v>1905</v>
      </c>
      <c r="P297" s="178" t="s">
        <v>1903</v>
      </c>
      <c r="Q297" s="241" t="s">
        <v>1946</v>
      </c>
      <c r="R297" s="393">
        <v>0</v>
      </c>
      <c r="S297" s="394">
        <v>0</v>
      </c>
      <c r="T297" s="107"/>
    </row>
    <row r="298" spans="1:20" x14ac:dyDescent="0.3">
      <c r="A298" s="190" t="s">
        <v>10</v>
      </c>
      <c r="B298" s="178" t="s">
        <v>30</v>
      </c>
      <c r="C298" s="178" t="s">
        <v>194</v>
      </c>
      <c r="D298" s="178" t="s">
        <v>368</v>
      </c>
      <c r="E298" s="178" t="s">
        <v>31</v>
      </c>
      <c r="F298" s="14" t="b">
        <f>OR(Transport_Table[[#This Row],[Feedstock]]="All",Transport_Table[[#This Row],[Feedstock]]=SelectedFeedstock)</f>
        <v>0</v>
      </c>
      <c r="G298" s="14" t="b">
        <f>OR(Transport_Table[[#This Row],[Conversion]]="All",Transport_Table[[#This Row],[Conversion]]=SelectedConversion)</f>
        <v>1</v>
      </c>
      <c r="H298" s="14" t="b">
        <f>OR(Transport_Table[[#This Row],[Data Set]]="All",Transport_Table[[#This Row],[Data Set]]=SelectedDataSet)</f>
        <v>0</v>
      </c>
      <c r="I298" s="14" t="b">
        <f>OR(Transport_Table[[#This Row],[Technology]]="All",Transport_Table[[#This Row],[Technology]]=SelectedTechnology)</f>
        <v>1</v>
      </c>
      <c r="J298" s="14" t="b">
        <f>OR(Transport_Table[[#This Row],[Data Source]]="All",Transport_Table[[#This Row],[Data Source]]=SelectedDataSource)</f>
        <v>0</v>
      </c>
      <c r="K298" s="14" t="b">
        <v>1</v>
      </c>
      <c r="L298" s="14" t="b">
        <f>AND(Transport_Table[[#This Row],[Show Feedstock]:[Show Data Source]],NOT(Transport_Table[[#This Row],[Hide Column]]))</f>
        <v>0</v>
      </c>
      <c r="M298" s="14" t="s">
        <v>14</v>
      </c>
      <c r="N298" s="14" t="s">
        <v>1906</v>
      </c>
      <c r="O298" s="14" t="s">
        <v>1907</v>
      </c>
      <c r="P298" s="178" t="s">
        <v>1903</v>
      </c>
      <c r="Q298" s="241" t="s">
        <v>1943</v>
      </c>
      <c r="R298" s="393">
        <v>0.2</v>
      </c>
      <c r="S298" s="394">
        <v>700</v>
      </c>
      <c r="T298" s="107"/>
    </row>
    <row r="299" spans="1:20" x14ac:dyDescent="0.3">
      <c r="A299" s="190" t="s">
        <v>10</v>
      </c>
      <c r="B299" s="178" t="s">
        <v>30</v>
      </c>
      <c r="C299" s="178" t="s">
        <v>194</v>
      </c>
      <c r="D299" s="178" t="s">
        <v>368</v>
      </c>
      <c r="E299" s="178" t="s">
        <v>31</v>
      </c>
      <c r="F299" s="14" t="b">
        <f>OR(Transport_Table[[#This Row],[Feedstock]]="All",Transport_Table[[#This Row],[Feedstock]]=SelectedFeedstock)</f>
        <v>0</v>
      </c>
      <c r="G299" s="14" t="b">
        <f>OR(Transport_Table[[#This Row],[Conversion]]="All",Transport_Table[[#This Row],[Conversion]]=SelectedConversion)</f>
        <v>1</v>
      </c>
      <c r="H299" s="14" t="b">
        <f>OR(Transport_Table[[#This Row],[Data Set]]="All",Transport_Table[[#This Row],[Data Set]]=SelectedDataSet)</f>
        <v>0</v>
      </c>
      <c r="I299" s="14" t="b">
        <f>OR(Transport_Table[[#This Row],[Technology]]="All",Transport_Table[[#This Row],[Technology]]=SelectedTechnology)</f>
        <v>1</v>
      </c>
      <c r="J299" s="14" t="b">
        <f>OR(Transport_Table[[#This Row],[Data Source]]="All",Transport_Table[[#This Row],[Data Source]]=SelectedDataSource)</f>
        <v>0</v>
      </c>
      <c r="K299" s="14" t="b">
        <v>1</v>
      </c>
      <c r="L299" s="14" t="b">
        <f>AND(Transport_Table[[#This Row],[Show Feedstock]:[Show Data Source]],NOT(Transport_Table[[#This Row],[Hide Column]]))</f>
        <v>0</v>
      </c>
      <c r="M299" s="14" t="s">
        <v>14</v>
      </c>
      <c r="N299" s="14" t="s">
        <v>1908</v>
      </c>
      <c r="O299" s="14" t="s">
        <v>1909</v>
      </c>
      <c r="P299" s="178" t="s">
        <v>1903</v>
      </c>
      <c r="Q299" s="241" t="s">
        <v>1944</v>
      </c>
      <c r="R299" s="393">
        <v>0.4</v>
      </c>
      <c r="S299" s="394">
        <v>80</v>
      </c>
      <c r="T299" s="107"/>
    </row>
    <row r="300" spans="1:20" x14ac:dyDescent="0.3">
      <c r="A300" s="190" t="s">
        <v>10</v>
      </c>
      <c r="B300" s="178" t="s">
        <v>30</v>
      </c>
      <c r="C300" s="178" t="s">
        <v>194</v>
      </c>
      <c r="D300" s="178" t="s">
        <v>368</v>
      </c>
      <c r="E300" s="178" t="s">
        <v>31</v>
      </c>
      <c r="F300" s="14" t="b">
        <f>OR(Transport_Table[[#This Row],[Feedstock]]="All",Transport_Table[[#This Row],[Feedstock]]=SelectedFeedstock)</f>
        <v>0</v>
      </c>
      <c r="G300" s="14" t="b">
        <f>OR(Transport_Table[[#This Row],[Conversion]]="All",Transport_Table[[#This Row],[Conversion]]=SelectedConversion)</f>
        <v>1</v>
      </c>
      <c r="H300" s="14" t="b">
        <f>OR(Transport_Table[[#This Row],[Data Set]]="All",Transport_Table[[#This Row],[Data Set]]=SelectedDataSet)</f>
        <v>0</v>
      </c>
      <c r="I300" s="14" t="b">
        <f>OR(Transport_Table[[#This Row],[Technology]]="All",Transport_Table[[#This Row],[Technology]]=SelectedTechnology)</f>
        <v>1</v>
      </c>
      <c r="J300" s="14" t="b">
        <f>OR(Transport_Table[[#This Row],[Data Source]]="All",Transport_Table[[#This Row],[Data Source]]=SelectedDataSource)</f>
        <v>0</v>
      </c>
      <c r="L300" s="14" t="b">
        <f>AND(Transport_Table[[#This Row],[Show Feedstock]:[Show Data Source]],NOT(Transport_Table[[#This Row],[Hide Column]]))</f>
        <v>0</v>
      </c>
      <c r="M300" s="14" t="s">
        <v>14</v>
      </c>
      <c r="N300" s="14" t="s">
        <v>1161</v>
      </c>
      <c r="O300" s="14" t="s">
        <v>1243</v>
      </c>
      <c r="P300" s="178" t="s">
        <v>1700</v>
      </c>
      <c r="Q300" s="241" t="s">
        <v>1945</v>
      </c>
      <c r="R300" s="393">
        <v>0.08</v>
      </c>
      <c r="S300" s="394">
        <v>519.99854667279999</v>
      </c>
      <c r="T300" s="107"/>
    </row>
    <row r="301" spans="1:20" x14ac:dyDescent="0.3">
      <c r="A301" s="190" t="s">
        <v>10</v>
      </c>
      <c r="B301" s="178" t="s">
        <v>30</v>
      </c>
      <c r="C301" s="178" t="s">
        <v>194</v>
      </c>
      <c r="D301" s="178" t="s">
        <v>368</v>
      </c>
      <c r="E301" s="178" t="s">
        <v>31</v>
      </c>
      <c r="F301" s="14" t="b">
        <f>OR(Transport_Table[[#This Row],[Feedstock]]="All",Transport_Table[[#This Row],[Feedstock]]=SelectedFeedstock)</f>
        <v>0</v>
      </c>
      <c r="G301" s="14" t="b">
        <f>OR(Transport_Table[[#This Row],[Conversion]]="All",Transport_Table[[#This Row],[Conversion]]=SelectedConversion)</f>
        <v>1</v>
      </c>
      <c r="H301" s="14" t="b">
        <f>OR(Transport_Table[[#This Row],[Data Set]]="All",Transport_Table[[#This Row],[Data Set]]=SelectedDataSet)</f>
        <v>0</v>
      </c>
      <c r="I301" s="14" t="b">
        <f>OR(Transport_Table[[#This Row],[Technology]]="All",Transport_Table[[#This Row],[Technology]]=SelectedTechnology)</f>
        <v>1</v>
      </c>
      <c r="J301" s="14" t="b">
        <f>OR(Transport_Table[[#This Row],[Data Source]]="All",Transport_Table[[#This Row],[Data Source]]=SelectedDataSource)</f>
        <v>0</v>
      </c>
      <c r="L301" s="14" t="b">
        <f>AND(Transport_Table[[#This Row],[Show Feedstock]:[Show Data Source]],NOT(Transport_Table[[#This Row],[Hide Column]]))</f>
        <v>0</v>
      </c>
      <c r="M301" s="14" t="s">
        <v>14</v>
      </c>
      <c r="N301" s="14" t="s">
        <v>1162</v>
      </c>
      <c r="O301" s="14" t="s">
        <v>1244</v>
      </c>
      <c r="P301" s="178" t="s">
        <v>1700</v>
      </c>
      <c r="Q301" s="241" t="s">
        <v>1946</v>
      </c>
      <c r="R301" s="393">
        <v>0</v>
      </c>
      <c r="S301" s="394">
        <v>0</v>
      </c>
      <c r="T301" s="107"/>
    </row>
    <row r="302" spans="1:20" x14ac:dyDescent="0.3">
      <c r="A302" s="190" t="s">
        <v>10</v>
      </c>
      <c r="B302" s="178" t="s">
        <v>30</v>
      </c>
      <c r="C302" s="178" t="s">
        <v>194</v>
      </c>
      <c r="D302" s="178" t="s">
        <v>368</v>
      </c>
      <c r="E302" s="178" t="s">
        <v>31</v>
      </c>
      <c r="F302" s="14" t="b">
        <f>OR(Transport_Table[[#This Row],[Feedstock]]="All",Transport_Table[[#This Row],[Feedstock]]=SelectedFeedstock)</f>
        <v>0</v>
      </c>
      <c r="G302" s="14" t="b">
        <f>OR(Transport_Table[[#This Row],[Conversion]]="All",Transport_Table[[#This Row],[Conversion]]=SelectedConversion)</f>
        <v>1</v>
      </c>
      <c r="H302" s="14" t="b">
        <f>OR(Transport_Table[[#This Row],[Data Set]]="All",Transport_Table[[#This Row],[Data Set]]=SelectedDataSet)</f>
        <v>0</v>
      </c>
      <c r="I302" s="14" t="b">
        <f>OR(Transport_Table[[#This Row],[Technology]]="All",Transport_Table[[#This Row],[Technology]]=SelectedTechnology)</f>
        <v>1</v>
      </c>
      <c r="J302" s="14" t="b">
        <f>OR(Transport_Table[[#This Row],[Data Source]]="All",Transport_Table[[#This Row],[Data Source]]=SelectedDataSource)</f>
        <v>0</v>
      </c>
      <c r="L302" s="14" t="b">
        <f>AND(Transport_Table[[#This Row],[Show Feedstock]:[Show Data Source]],NOT(Transport_Table[[#This Row],[Hide Column]]))</f>
        <v>0</v>
      </c>
      <c r="M302" s="14" t="s">
        <v>14</v>
      </c>
      <c r="N302" s="14" t="s">
        <v>1163</v>
      </c>
      <c r="O302" s="14" t="s">
        <v>1245</v>
      </c>
      <c r="P302" s="178" t="s">
        <v>1700</v>
      </c>
      <c r="Q302" s="241" t="s">
        <v>1943</v>
      </c>
      <c r="R302" s="393">
        <v>0.28999999999999998</v>
      </c>
      <c r="S302" s="394">
        <v>799.99776411200003</v>
      </c>
      <c r="T302" s="107"/>
    </row>
    <row r="303" spans="1:20" x14ac:dyDescent="0.3">
      <c r="A303" s="190" t="s">
        <v>10</v>
      </c>
      <c r="B303" s="178" t="s">
        <v>30</v>
      </c>
      <c r="C303" s="178" t="s">
        <v>194</v>
      </c>
      <c r="D303" s="178" t="s">
        <v>368</v>
      </c>
      <c r="E303" s="178" t="s">
        <v>31</v>
      </c>
      <c r="F303" s="14" t="b">
        <f>OR(Transport_Table[[#This Row],[Feedstock]]="All",Transport_Table[[#This Row],[Feedstock]]=SelectedFeedstock)</f>
        <v>0</v>
      </c>
      <c r="G303" s="14" t="b">
        <f>OR(Transport_Table[[#This Row],[Conversion]]="All",Transport_Table[[#This Row],[Conversion]]=SelectedConversion)</f>
        <v>1</v>
      </c>
      <c r="H303" s="14" t="b">
        <f>OR(Transport_Table[[#This Row],[Data Set]]="All",Transport_Table[[#This Row],[Data Set]]=SelectedDataSet)</f>
        <v>0</v>
      </c>
      <c r="I303" s="14" t="b">
        <f>OR(Transport_Table[[#This Row],[Technology]]="All",Transport_Table[[#This Row],[Technology]]=SelectedTechnology)</f>
        <v>1</v>
      </c>
      <c r="J303" s="14" t="b">
        <f>OR(Transport_Table[[#This Row],[Data Source]]="All",Transport_Table[[#This Row],[Data Source]]=SelectedDataSource)</f>
        <v>0</v>
      </c>
      <c r="L303" s="14" t="b">
        <f>AND(Transport_Table[[#This Row],[Show Feedstock]:[Show Data Source]],NOT(Transport_Table[[#This Row],[Hide Column]]))</f>
        <v>0</v>
      </c>
      <c r="M303" s="14" t="s">
        <v>14</v>
      </c>
      <c r="N303" s="14" t="s">
        <v>1164</v>
      </c>
      <c r="O303" s="14" t="s">
        <v>1246</v>
      </c>
      <c r="P303" s="178" t="s">
        <v>1700</v>
      </c>
      <c r="Q303" s="241" t="s">
        <v>1944</v>
      </c>
      <c r="R303" s="393">
        <v>0.63</v>
      </c>
      <c r="S303" s="394">
        <v>49.999860257000002</v>
      </c>
      <c r="T303" s="107"/>
    </row>
    <row r="304" spans="1:20" x14ac:dyDescent="0.3">
      <c r="A304" s="190" t="s">
        <v>10</v>
      </c>
      <c r="B304" s="178" t="s">
        <v>30</v>
      </c>
      <c r="C304" s="178" t="s">
        <v>194</v>
      </c>
      <c r="D304" s="178" t="s">
        <v>368</v>
      </c>
      <c r="E304" s="178" t="s">
        <v>31</v>
      </c>
      <c r="F304" s="14" t="b">
        <f>OR(Transport_Table[[#This Row],[Feedstock]]="All",Transport_Table[[#This Row],[Feedstock]]=SelectedFeedstock)</f>
        <v>0</v>
      </c>
      <c r="G304" s="14" t="b">
        <f>OR(Transport_Table[[#This Row],[Conversion]]="All",Transport_Table[[#This Row],[Conversion]]=SelectedConversion)</f>
        <v>1</v>
      </c>
      <c r="H304" s="14" t="b">
        <f>OR(Transport_Table[[#This Row],[Data Set]]="All",Transport_Table[[#This Row],[Data Set]]=SelectedDataSet)</f>
        <v>0</v>
      </c>
      <c r="I304" s="14" t="b">
        <f>OR(Transport_Table[[#This Row],[Technology]]="All",Transport_Table[[#This Row],[Technology]]=SelectedTechnology)</f>
        <v>1</v>
      </c>
      <c r="J304" s="14" t="b">
        <f>OR(Transport_Table[[#This Row],[Data Source]]="All",Transport_Table[[#This Row],[Data Source]]=SelectedDataSource)</f>
        <v>0</v>
      </c>
      <c r="L304" s="14" t="b">
        <f>AND(Transport_Table[[#This Row],[Show Feedstock]:[Show Data Source]],NOT(Transport_Table[[#This Row],[Hide Column]]))</f>
        <v>0</v>
      </c>
      <c r="M304" s="14" t="s">
        <v>14</v>
      </c>
      <c r="N304" s="14" t="s">
        <v>1165</v>
      </c>
      <c r="O304" s="14" t="s">
        <v>1247</v>
      </c>
      <c r="P304" s="178" t="s">
        <v>1701</v>
      </c>
      <c r="Q304" s="241" t="s">
        <v>1945</v>
      </c>
      <c r="R304" s="393">
        <v>1</v>
      </c>
      <c r="S304" s="394">
        <v>29.999916154200001</v>
      </c>
      <c r="T304" s="107"/>
    </row>
    <row r="305" spans="1:20" x14ac:dyDescent="0.3">
      <c r="A305" s="190" t="s">
        <v>10</v>
      </c>
      <c r="B305" s="178" t="s">
        <v>30</v>
      </c>
      <c r="C305" s="178" t="s">
        <v>194</v>
      </c>
      <c r="D305" s="178" t="s">
        <v>369</v>
      </c>
      <c r="E305" s="178" t="s">
        <v>31</v>
      </c>
      <c r="F305" s="14" t="b">
        <f>OR(Transport_Table[[#This Row],[Feedstock]]="All",Transport_Table[[#This Row],[Feedstock]]=SelectedFeedstock)</f>
        <v>0</v>
      </c>
      <c r="G305" s="14" t="b">
        <f>OR(Transport_Table[[#This Row],[Conversion]]="All",Transport_Table[[#This Row],[Conversion]]=SelectedConversion)</f>
        <v>1</v>
      </c>
      <c r="H305" s="14" t="b">
        <f>OR(Transport_Table[[#This Row],[Data Set]]="All",Transport_Table[[#This Row],[Data Set]]=SelectedDataSet)</f>
        <v>0</v>
      </c>
      <c r="I305" s="14" t="b">
        <f>OR(Transport_Table[[#This Row],[Technology]]="All",Transport_Table[[#This Row],[Technology]]=SelectedTechnology)</f>
        <v>1</v>
      </c>
      <c r="J305" s="14" t="b">
        <f>OR(Transport_Table[[#This Row],[Data Source]]="All",Transport_Table[[#This Row],[Data Source]]=SelectedDataSource)</f>
        <v>0</v>
      </c>
      <c r="K305" s="14" t="b">
        <v>1</v>
      </c>
      <c r="L305" s="14" t="b">
        <f>AND(Transport_Table[[#This Row],[Show Feedstock]:[Show Data Source]],NOT(Transport_Table[[#This Row],[Hide Column]]))</f>
        <v>0</v>
      </c>
      <c r="M305" s="14" t="s">
        <v>14</v>
      </c>
      <c r="N305" s="14" t="s">
        <v>1157</v>
      </c>
      <c r="O305" s="14" t="s">
        <v>1239</v>
      </c>
      <c r="P305" s="178" t="s">
        <v>10</v>
      </c>
      <c r="Q305" s="241" t="s">
        <v>1946</v>
      </c>
      <c r="R305" s="393">
        <v>0</v>
      </c>
      <c r="S305" s="394">
        <v>0</v>
      </c>
      <c r="T305" s="107"/>
    </row>
    <row r="306" spans="1:20" x14ac:dyDescent="0.3">
      <c r="A306" s="190" t="s">
        <v>10</v>
      </c>
      <c r="B306" s="178" t="s">
        <v>30</v>
      </c>
      <c r="C306" s="178" t="s">
        <v>194</v>
      </c>
      <c r="D306" s="178" t="s">
        <v>369</v>
      </c>
      <c r="E306" s="178" t="s">
        <v>31</v>
      </c>
      <c r="F306" s="14" t="b">
        <f>OR(Transport_Table[[#This Row],[Feedstock]]="All",Transport_Table[[#This Row],[Feedstock]]=SelectedFeedstock)</f>
        <v>0</v>
      </c>
      <c r="G306" s="14" t="b">
        <f>OR(Transport_Table[[#This Row],[Conversion]]="All",Transport_Table[[#This Row],[Conversion]]=SelectedConversion)</f>
        <v>1</v>
      </c>
      <c r="H306" s="14" t="b">
        <f>OR(Transport_Table[[#This Row],[Data Set]]="All",Transport_Table[[#This Row],[Data Set]]=SelectedDataSet)</f>
        <v>0</v>
      </c>
      <c r="I306" s="14" t="b">
        <f>OR(Transport_Table[[#This Row],[Technology]]="All",Transport_Table[[#This Row],[Technology]]=SelectedTechnology)</f>
        <v>1</v>
      </c>
      <c r="J306" s="14" t="b">
        <f>OR(Transport_Table[[#This Row],[Data Source]]="All",Transport_Table[[#This Row],[Data Source]]=SelectedDataSource)</f>
        <v>0</v>
      </c>
      <c r="K306" s="14" t="b">
        <v>1</v>
      </c>
      <c r="L306" s="14" t="b">
        <f>AND(Transport_Table[[#This Row],[Show Feedstock]:[Show Data Source]],NOT(Transport_Table[[#This Row],[Hide Column]]))</f>
        <v>0</v>
      </c>
      <c r="M306" s="14" t="s">
        <v>14</v>
      </c>
      <c r="N306" s="14" t="s">
        <v>1158</v>
      </c>
      <c r="O306" s="14" t="s">
        <v>1240</v>
      </c>
      <c r="P306" s="178" t="s">
        <v>10</v>
      </c>
      <c r="Q306" s="241" t="s">
        <v>1943</v>
      </c>
      <c r="R306" s="393">
        <v>0.2</v>
      </c>
      <c r="S306" s="394">
        <v>400.16292400000003</v>
      </c>
      <c r="T306" s="107"/>
    </row>
    <row r="307" spans="1:20" x14ac:dyDescent="0.3">
      <c r="A307" s="190" t="s">
        <v>10</v>
      </c>
      <c r="B307" s="178" t="s">
        <v>30</v>
      </c>
      <c r="C307" s="178" t="s">
        <v>194</v>
      </c>
      <c r="D307" s="178" t="s">
        <v>369</v>
      </c>
      <c r="E307" s="178" t="s">
        <v>31</v>
      </c>
      <c r="F307" s="14" t="b">
        <f>OR(Transport_Table[[#This Row],[Feedstock]]="All",Transport_Table[[#This Row],[Feedstock]]=SelectedFeedstock)</f>
        <v>0</v>
      </c>
      <c r="G307" s="14" t="b">
        <f>OR(Transport_Table[[#This Row],[Conversion]]="All",Transport_Table[[#This Row],[Conversion]]=SelectedConversion)</f>
        <v>1</v>
      </c>
      <c r="H307" s="14" t="b">
        <f>OR(Transport_Table[[#This Row],[Data Set]]="All",Transport_Table[[#This Row],[Data Set]]=SelectedDataSet)</f>
        <v>0</v>
      </c>
      <c r="I307" s="14" t="b">
        <f>OR(Transport_Table[[#This Row],[Technology]]="All",Transport_Table[[#This Row],[Technology]]=SelectedTechnology)</f>
        <v>1</v>
      </c>
      <c r="J307" s="14" t="b">
        <f>OR(Transport_Table[[#This Row],[Data Source]]="All",Transport_Table[[#This Row],[Data Source]]=SelectedDataSource)</f>
        <v>0</v>
      </c>
      <c r="K307" s="14" t="b">
        <v>1</v>
      </c>
      <c r="L307" s="14" t="b">
        <f>AND(Transport_Table[[#This Row],[Show Feedstock]:[Show Data Source]],NOT(Transport_Table[[#This Row],[Hide Column]]))</f>
        <v>0</v>
      </c>
      <c r="M307" s="14" t="s">
        <v>14</v>
      </c>
      <c r="N307" s="14" t="s">
        <v>1159</v>
      </c>
      <c r="O307" s="14" t="s">
        <v>1241</v>
      </c>
      <c r="P307" s="178" t="s">
        <v>10</v>
      </c>
      <c r="Q307" s="241" t="s">
        <v>1944</v>
      </c>
      <c r="R307" s="393">
        <v>0.8</v>
      </c>
      <c r="S307" s="394">
        <v>100.04073100000001</v>
      </c>
      <c r="T307" s="107"/>
    </row>
    <row r="308" spans="1:20" x14ac:dyDescent="0.3">
      <c r="A308" s="190" t="s">
        <v>10</v>
      </c>
      <c r="B308" s="178" t="s">
        <v>30</v>
      </c>
      <c r="C308" s="178" t="s">
        <v>194</v>
      </c>
      <c r="D308" s="178" t="s">
        <v>369</v>
      </c>
      <c r="E308" s="178" t="s">
        <v>31</v>
      </c>
      <c r="F308" s="14" t="b">
        <f>OR(Transport_Table[[#This Row],[Feedstock]]="All",Transport_Table[[#This Row],[Feedstock]]=SelectedFeedstock)</f>
        <v>0</v>
      </c>
      <c r="G308" s="14" t="b">
        <f>OR(Transport_Table[[#This Row],[Conversion]]="All",Transport_Table[[#This Row],[Conversion]]=SelectedConversion)</f>
        <v>1</v>
      </c>
      <c r="H308" s="14" t="b">
        <f>OR(Transport_Table[[#This Row],[Data Set]]="All",Transport_Table[[#This Row],[Data Set]]=SelectedDataSet)</f>
        <v>0</v>
      </c>
      <c r="I308" s="14" t="b">
        <f>OR(Transport_Table[[#This Row],[Technology]]="All",Transport_Table[[#This Row],[Technology]]=SelectedTechnology)</f>
        <v>1</v>
      </c>
      <c r="J308" s="14" t="b">
        <f>OR(Transport_Table[[#This Row],[Data Source]]="All",Transport_Table[[#This Row],[Data Source]]=SelectedDataSource)</f>
        <v>0</v>
      </c>
      <c r="K308" s="14" t="b">
        <v>1</v>
      </c>
      <c r="L308" s="14" t="b">
        <f>AND(Transport_Table[[#This Row],[Show Feedstock]:[Show Data Source]],NOT(Transport_Table[[#This Row],[Hide Column]]))</f>
        <v>0</v>
      </c>
      <c r="M308" s="14" t="s">
        <v>14</v>
      </c>
      <c r="N308" s="14" t="s">
        <v>1160</v>
      </c>
      <c r="O308" s="14" t="s">
        <v>1242</v>
      </c>
      <c r="P308" s="178" t="s">
        <v>10</v>
      </c>
      <c r="Q308" s="241" t="s">
        <v>1945</v>
      </c>
      <c r="R308" s="396">
        <v>0</v>
      </c>
      <c r="S308" s="394">
        <v>0</v>
      </c>
      <c r="T308" s="107"/>
    </row>
    <row r="309" spans="1:20" x14ac:dyDescent="0.3">
      <c r="A309" s="190" t="s">
        <v>10</v>
      </c>
      <c r="B309" s="178" t="s">
        <v>30</v>
      </c>
      <c r="C309" s="178" t="s">
        <v>194</v>
      </c>
      <c r="D309" s="178" t="s">
        <v>369</v>
      </c>
      <c r="E309" s="178" t="s">
        <v>31</v>
      </c>
      <c r="F309" s="14" t="b">
        <f>OR(Transport_Table[[#This Row],[Feedstock]]="All",Transport_Table[[#This Row],[Feedstock]]=SelectedFeedstock)</f>
        <v>0</v>
      </c>
      <c r="G309" s="14" t="b">
        <f>OR(Transport_Table[[#This Row],[Conversion]]="All",Transport_Table[[#This Row],[Conversion]]=SelectedConversion)</f>
        <v>1</v>
      </c>
      <c r="H309" s="14" t="b">
        <f>OR(Transport_Table[[#This Row],[Data Set]]="All",Transport_Table[[#This Row],[Data Set]]=SelectedDataSet)</f>
        <v>0</v>
      </c>
      <c r="I309" s="14" t="b">
        <f>OR(Transport_Table[[#This Row],[Technology]]="All",Transport_Table[[#This Row],[Technology]]=SelectedTechnology)</f>
        <v>1</v>
      </c>
      <c r="J309" s="14" t="b">
        <f>OR(Transport_Table[[#This Row],[Data Source]]="All",Transport_Table[[#This Row],[Data Source]]=SelectedDataSource)</f>
        <v>0</v>
      </c>
      <c r="K309" s="14" t="b">
        <v>1</v>
      </c>
      <c r="L309" s="14" t="b">
        <f>AND(Transport_Table[[#This Row],[Show Feedstock]:[Show Data Source]],NOT(Transport_Table[[#This Row],[Hide Column]]))</f>
        <v>0</v>
      </c>
      <c r="M309" s="14" t="s">
        <v>14</v>
      </c>
      <c r="N309" s="14" t="s">
        <v>1901</v>
      </c>
      <c r="O309" s="14" t="s">
        <v>1902</v>
      </c>
      <c r="P309" s="178" t="s">
        <v>1903</v>
      </c>
      <c r="Q309" s="241" t="s">
        <v>1946</v>
      </c>
      <c r="R309" s="393">
        <v>0.4</v>
      </c>
      <c r="S309" s="394">
        <v>520</v>
      </c>
      <c r="T309" s="107"/>
    </row>
    <row r="310" spans="1:20" x14ac:dyDescent="0.3">
      <c r="A310" s="190" t="s">
        <v>10</v>
      </c>
      <c r="B310" s="178" t="s">
        <v>30</v>
      </c>
      <c r="C310" s="178" t="s">
        <v>194</v>
      </c>
      <c r="D310" s="178" t="s">
        <v>369</v>
      </c>
      <c r="E310" s="178" t="s">
        <v>31</v>
      </c>
      <c r="F310" s="14" t="b">
        <f>OR(Transport_Table[[#This Row],[Feedstock]]="All",Transport_Table[[#This Row],[Feedstock]]=SelectedFeedstock)</f>
        <v>0</v>
      </c>
      <c r="G310" s="14" t="b">
        <f>OR(Transport_Table[[#This Row],[Conversion]]="All",Transport_Table[[#This Row],[Conversion]]=SelectedConversion)</f>
        <v>1</v>
      </c>
      <c r="H310" s="14" t="b">
        <f>OR(Transport_Table[[#This Row],[Data Set]]="All",Transport_Table[[#This Row],[Data Set]]=SelectedDataSet)</f>
        <v>0</v>
      </c>
      <c r="I310" s="14" t="b">
        <f>OR(Transport_Table[[#This Row],[Technology]]="All",Transport_Table[[#This Row],[Technology]]=SelectedTechnology)</f>
        <v>1</v>
      </c>
      <c r="J310" s="14" t="b">
        <f>OR(Transport_Table[[#This Row],[Data Source]]="All",Transport_Table[[#This Row],[Data Source]]=SelectedDataSource)</f>
        <v>0</v>
      </c>
      <c r="K310" s="14" t="b">
        <v>1</v>
      </c>
      <c r="L310" s="14" t="b">
        <f>AND(Transport_Table[[#This Row],[Show Feedstock]:[Show Data Source]],NOT(Transport_Table[[#This Row],[Hide Column]]))</f>
        <v>0</v>
      </c>
      <c r="M310" s="14" t="s">
        <v>14</v>
      </c>
      <c r="N310" s="14" t="s">
        <v>1904</v>
      </c>
      <c r="O310" s="14" t="s">
        <v>1905</v>
      </c>
      <c r="P310" s="178" t="s">
        <v>1903</v>
      </c>
      <c r="Q310" s="241" t="s">
        <v>1943</v>
      </c>
      <c r="R310" s="393">
        <v>0</v>
      </c>
      <c r="S310" s="394">
        <v>0</v>
      </c>
      <c r="T310" s="107"/>
    </row>
    <row r="311" spans="1:20" x14ac:dyDescent="0.3">
      <c r="A311" s="190" t="s">
        <v>10</v>
      </c>
      <c r="B311" s="178" t="s">
        <v>30</v>
      </c>
      <c r="C311" s="178" t="s">
        <v>194</v>
      </c>
      <c r="D311" s="178" t="s">
        <v>369</v>
      </c>
      <c r="E311" s="178" t="s">
        <v>31</v>
      </c>
      <c r="F311" s="14" t="b">
        <f>OR(Transport_Table[[#This Row],[Feedstock]]="All",Transport_Table[[#This Row],[Feedstock]]=SelectedFeedstock)</f>
        <v>0</v>
      </c>
      <c r="G311" s="14" t="b">
        <f>OR(Transport_Table[[#This Row],[Conversion]]="All",Transport_Table[[#This Row],[Conversion]]=SelectedConversion)</f>
        <v>1</v>
      </c>
      <c r="H311" s="14" t="b">
        <f>OR(Transport_Table[[#This Row],[Data Set]]="All",Transport_Table[[#This Row],[Data Set]]=SelectedDataSet)</f>
        <v>0</v>
      </c>
      <c r="I311" s="14" t="b">
        <f>OR(Transport_Table[[#This Row],[Technology]]="All",Transport_Table[[#This Row],[Technology]]=SelectedTechnology)</f>
        <v>1</v>
      </c>
      <c r="J311" s="14" t="b">
        <f>OR(Transport_Table[[#This Row],[Data Source]]="All",Transport_Table[[#This Row],[Data Source]]=SelectedDataSource)</f>
        <v>0</v>
      </c>
      <c r="K311" s="14" t="b">
        <v>1</v>
      </c>
      <c r="L311" s="14" t="b">
        <f>AND(Transport_Table[[#This Row],[Show Feedstock]:[Show Data Source]],NOT(Transport_Table[[#This Row],[Hide Column]]))</f>
        <v>0</v>
      </c>
      <c r="M311" s="14" t="s">
        <v>14</v>
      </c>
      <c r="N311" s="14" t="s">
        <v>1906</v>
      </c>
      <c r="O311" s="14" t="s">
        <v>1907</v>
      </c>
      <c r="P311" s="178" t="s">
        <v>1903</v>
      </c>
      <c r="Q311" s="241" t="s">
        <v>1944</v>
      </c>
      <c r="R311" s="393">
        <v>0.2</v>
      </c>
      <c r="S311" s="394">
        <v>700</v>
      </c>
      <c r="T311" s="107"/>
    </row>
    <row r="312" spans="1:20" x14ac:dyDescent="0.3">
      <c r="A312" s="190" t="s">
        <v>10</v>
      </c>
      <c r="B312" s="178" t="s">
        <v>30</v>
      </c>
      <c r="C312" s="178" t="s">
        <v>194</v>
      </c>
      <c r="D312" s="178" t="s">
        <v>369</v>
      </c>
      <c r="E312" s="178" t="s">
        <v>31</v>
      </c>
      <c r="F312" s="14" t="b">
        <f>OR(Transport_Table[[#This Row],[Feedstock]]="All",Transport_Table[[#This Row],[Feedstock]]=SelectedFeedstock)</f>
        <v>0</v>
      </c>
      <c r="G312" s="14" t="b">
        <f>OR(Transport_Table[[#This Row],[Conversion]]="All",Transport_Table[[#This Row],[Conversion]]=SelectedConversion)</f>
        <v>1</v>
      </c>
      <c r="H312" s="14" t="b">
        <f>OR(Transport_Table[[#This Row],[Data Set]]="All",Transport_Table[[#This Row],[Data Set]]=SelectedDataSet)</f>
        <v>0</v>
      </c>
      <c r="I312" s="14" t="b">
        <f>OR(Transport_Table[[#This Row],[Technology]]="All",Transport_Table[[#This Row],[Technology]]=SelectedTechnology)</f>
        <v>1</v>
      </c>
      <c r="J312" s="14" t="b">
        <f>OR(Transport_Table[[#This Row],[Data Source]]="All",Transport_Table[[#This Row],[Data Source]]=SelectedDataSource)</f>
        <v>0</v>
      </c>
      <c r="K312" s="14" t="b">
        <v>1</v>
      </c>
      <c r="L312" s="14" t="b">
        <f>AND(Transport_Table[[#This Row],[Show Feedstock]:[Show Data Source]],NOT(Transport_Table[[#This Row],[Hide Column]]))</f>
        <v>0</v>
      </c>
      <c r="M312" s="14" t="s">
        <v>14</v>
      </c>
      <c r="N312" s="14" t="s">
        <v>1908</v>
      </c>
      <c r="O312" s="14" t="s">
        <v>1909</v>
      </c>
      <c r="P312" s="178" t="s">
        <v>1903</v>
      </c>
      <c r="Q312" s="241" t="s">
        <v>1945</v>
      </c>
      <c r="R312" s="393">
        <v>0.4</v>
      </c>
      <c r="S312" s="394">
        <v>80</v>
      </c>
      <c r="T312" s="107"/>
    </row>
    <row r="313" spans="1:20" x14ac:dyDescent="0.3">
      <c r="A313" s="190" t="s">
        <v>10</v>
      </c>
      <c r="B313" s="178" t="s">
        <v>30</v>
      </c>
      <c r="C313" s="178" t="s">
        <v>194</v>
      </c>
      <c r="D313" s="178" t="s">
        <v>369</v>
      </c>
      <c r="E313" s="178" t="s">
        <v>31</v>
      </c>
      <c r="F313" s="14" t="b">
        <f>OR(Transport_Table[[#This Row],[Feedstock]]="All",Transport_Table[[#This Row],[Feedstock]]=SelectedFeedstock)</f>
        <v>0</v>
      </c>
      <c r="G313" s="14" t="b">
        <f>OR(Transport_Table[[#This Row],[Conversion]]="All",Transport_Table[[#This Row],[Conversion]]=SelectedConversion)</f>
        <v>1</v>
      </c>
      <c r="H313" s="14" t="b">
        <f>OR(Transport_Table[[#This Row],[Data Set]]="All",Transport_Table[[#This Row],[Data Set]]=SelectedDataSet)</f>
        <v>0</v>
      </c>
      <c r="I313" s="14" t="b">
        <f>OR(Transport_Table[[#This Row],[Technology]]="All",Transport_Table[[#This Row],[Technology]]=SelectedTechnology)</f>
        <v>1</v>
      </c>
      <c r="J313" s="14" t="b">
        <f>OR(Transport_Table[[#This Row],[Data Source]]="All",Transport_Table[[#This Row],[Data Source]]=SelectedDataSource)</f>
        <v>0</v>
      </c>
      <c r="L313" s="14" t="b">
        <f>AND(Transport_Table[[#This Row],[Show Feedstock]:[Show Data Source]],NOT(Transport_Table[[#This Row],[Hide Column]]))</f>
        <v>0</v>
      </c>
      <c r="M313" s="14" t="s">
        <v>14</v>
      </c>
      <c r="N313" s="14" t="s">
        <v>1161</v>
      </c>
      <c r="O313" s="14" t="s">
        <v>1243</v>
      </c>
      <c r="P313" s="178" t="s">
        <v>1700</v>
      </c>
      <c r="Q313" s="241" t="s">
        <v>1946</v>
      </c>
      <c r="R313" s="393">
        <v>0.08</v>
      </c>
      <c r="S313" s="394">
        <v>519.99854667279999</v>
      </c>
      <c r="T313" s="107"/>
    </row>
    <row r="314" spans="1:20" x14ac:dyDescent="0.3">
      <c r="A314" s="190" t="s">
        <v>10</v>
      </c>
      <c r="B314" s="178" t="s">
        <v>30</v>
      </c>
      <c r="C314" s="178" t="s">
        <v>194</v>
      </c>
      <c r="D314" s="178" t="s">
        <v>369</v>
      </c>
      <c r="E314" s="178" t="s">
        <v>31</v>
      </c>
      <c r="F314" s="14" t="b">
        <f>OR(Transport_Table[[#This Row],[Feedstock]]="All",Transport_Table[[#This Row],[Feedstock]]=SelectedFeedstock)</f>
        <v>0</v>
      </c>
      <c r="G314" s="14" t="b">
        <f>OR(Transport_Table[[#This Row],[Conversion]]="All",Transport_Table[[#This Row],[Conversion]]=SelectedConversion)</f>
        <v>1</v>
      </c>
      <c r="H314" s="14" t="b">
        <f>OR(Transport_Table[[#This Row],[Data Set]]="All",Transport_Table[[#This Row],[Data Set]]=SelectedDataSet)</f>
        <v>0</v>
      </c>
      <c r="I314" s="14" t="b">
        <f>OR(Transport_Table[[#This Row],[Technology]]="All",Transport_Table[[#This Row],[Technology]]=SelectedTechnology)</f>
        <v>1</v>
      </c>
      <c r="J314" s="14" t="b">
        <f>OR(Transport_Table[[#This Row],[Data Source]]="All",Transport_Table[[#This Row],[Data Source]]=SelectedDataSource)</f>
        <v>0</v>
      </c>
      <c r="L314" s="14" t="b">
        <f>AND(Transport_Table[[#This Row],[Show Feedstock]:[Show Data Source]],NOT(Transport_Table[[#This Row],[Hide Column]]))</f>
        <v>0</v>
      </c>
      <c r="M314" s="14" t="s">
        <v>14</v>
      </c>
      <c r="N314" s="14" t="s">
        <v>1162</v>
      </c>
      <c r="O314" s="14" t="s">
        <v>1244</v>
      </c>
      <c r="P314" s="178" t="s">
        <v>1700</v>
      </c>
      <c r="Q314" s="241" t="s">
        <v>1943</v>
      </c>
      <c r="R314" s="393">
        <v>0</v>
      </c>
      <c r="S314" s="394">
        <v>0</v>
      </c>
      <c r="T314" s="107"/>
    </row>
    <row r="315" spans="1:20" x14ac:dyDescent="0.3">
      <c r="A315" s="190" t="s">
        <v>10</v>
      </c>
      <c r="B315" s="178" t="s">
        <v>30</v>
      </c>
      <c r="C315" s="178" t="s">
        <v>194</v>
      </c>
      <c r="D315" s="178" t="s">
        <v>369</v>
      </c>
      <c r="E315" s="178" t="s">
        <v>31</v>
      </c>
      <c r="F315" s="14" t="b">
        <f>OR(Transport_Table[[#This Row],[Feedstock]]="All",Transport_Table[[#This Row],[Feedstock]]=SelectedFeedstock)</f>
        <v>0</v>
      </c>
      <c r="G315" s="14" t="b">
        <f>OR(Transport_Table[[#This Row],[Conversion]]="All",Transport_Table[[#This Row],[Conversion]]=SelectedConversion)</f>
        <v>1</v>
      </c>
      <c r="H315" s="14" t="b">
        <f>OR(Transport_Table[[#This Row],[Data Set]]="All",Transport_Table[[#This Row],[Data Set]]=SelectedDataSet)</f>
        <v>0</v>
      </c>
      <c r="I315" s="14" t="b">
        <f>OR(Transport_Table[[#This Row],[Technology]]="All",Transport_Table[[#This Row],[Technology]]=SelectedTechnology)</f>
        <v>1</v>
      </c>
      <c r="J315" s="14" t="b">
        <f>OR(Transport_Table[[#This Row],[Data Source]]="All",Transport_Table[[#This Row],[Data Source]]=SelectedDataSource)</f>
        <v>0</v>
      </c>
      <c r="L315" s="14" t="b">
        <f>AND(Transport_Table[[#This Row],[Show Feedstock]:[Show Data Source]],NOT(Transport_Table[[#This Row],[Hide Column]]))</f>
        <v>0</v>
      </c>
      <c r="M315" s="14" t="s">
        <v>14</v>
      </c>
      <c r="N315" s="14" t="s">
        <v>1163</v>
      </c>
      <c r="O315" s="14" t="s">
        <v>1245</v>
      </c>
      <c r="P315" s="178" t="s">
        <v>1700</v>
      </c>
      <c r="Q315" s="241" t="s">
        <v>1944</v>
      </c>
      <c r="R315" s="393">
        <v>0.28999999999999998</v>
      </c>
      <c r="S315" s="394">
        <v>799.99776411200003</v>
      </c>
      <c r="T315" s="107"/>
    </row>
    <row r="316" spans="1:20" x14ac:dyDescent="0.3">
      <c r="A316" s="190" t="s">
        <v>10</v>
      </c>
      <c r="B316" s="178" t="s">
        <v>30</v>
      </c>
      <c r="C316" s="178" t="s">
        <v>194</v>
      </c>
      <c r="D316" s="178" t="s">
        <v>369</v>
      </c>
      <c r="E316" s="178" t="s">
        <v>31</v>
      </c>
      <c r="F316" s="14" t="b">
        <f>OR(Transport_Table[[#This Row],[Feedstock]]="All",Transport_Table[[#This Row],[Feedstock]]=SelectedFeedstock)</f>
        <v>0</v>
      </c>
      <c r="G316" s="14" t="b">
        <f>OR(Transport_Table[[#This Row],[Conversion]]="All",Transport_Table[[#This Row],[Conversion]]=SelectedConversion)</f>
        <v>1</v>
      </c>
      <c r="H316" s="14" t="b">
        <f>OR(Transport_Table[[#This Row],[Data Set]]="All",Transport_Table[[#This Row],[Data Set]]=SelectedDataSet)</f>
        <v>0</v>
      </c>
      <c r="I316" s="14" t="b">
        <f>OR(Transport_Table[[#This Row],[Technology]]="All",Transport_Table[[#This Row],[Technology]]=SelectedTechnology)</f>
        <v>1</v>
      </c>
      <c r="J316" s="14" t="b">
        <f>OR(Transport_Table[[#This Row],[Data Source]]="All",Transport_Table[[#This Row],[Data Source]]=SelectedDataSource)</f>
        <v>0</v>
      </c>
      <c r="L316" s="14" t="b">
        <f>AND(Transport_Table[[#This Row],[Show Feedstock]:[Show Data Source]],NOT(Transport_Table[[#This Row],[Hide Column]]))</f>
        <v>0</v>
      </c>
      <c r="M316" s="14" t="s">
        <v>14</v>
      </c>
      <c r="N316" s="14" t="s">
        <v>1164</v>
      </c>
      <c r="O316" s="14" t="s">
        <v>1246</v>
      </c>
      <c r="P316" s="178" t="s">
        <v>1700</v>
      </c>
      <c r="Q316" s="241" t="s">
        <v>1945</v>
      </c>
      <c r="R316" s="393">
        <v>0.63</v>
      </c>
      <c r="S316" s="394">
        <v>49.999860257000002</v>
      </c>
      <c r="T316" s="107"/>
    </row>
    <row r="317" spans="1:20" x14ac:dyDescent="0.3">
      <c r="A317" s="190" t="s">
        <v>10</v>
      </c>
      <c r="B317" s="178" t="s">
        <v>30</v>
      </c>
      <c r="C317" s="178" t="s">
        <v>194</v>
      </c>
      <c r="D317" s="178" t="s">
        <v>369</v>
      </c>
      <c r="E317" s="178" t="s">
        <v>31</v>
      </c>
      <c r="F317" s="14" t="b">
        <f>OR(Transport_Table[[#This Row],[Feedstock]]="All",Transport_Table[[#This Row],[Feedstock]]=SelectedFeedstock)</f>
        <v>0</v>
      </c>
      <c r="G317" s="14" t="b">
        <f>OR(Transport_Table[[#This Row],[Conversion]]="All",Transport_Table[[#This Row],[Conversion]]=SelectedConversion)</f>
        <v>1</v>
      </c>
      <c r="H317" s="14" t="b">
        <f>OR(Transport_Table[[#This Row],[Data Set]]="All",Transport_Table[[#This Row],[Data Set]]=SelectedDataSet)</f>
        <v>0</v>
      </c>
      <c r="I317" s="14" t="b">
        <f>OR(Transport_Table[[#This Row],[Technology]]="All",Transport_Table[[#This Row],[Technology]]=SelectedTechnology)</f>
        <v>1</v>
      </c>
      <c r="J317" s="14" t="b">
        <f>OR(Transport_Table[[#This Row],[Data Source]]="All",Transport_Table[[#This Row],[Data Source]]=SelectedDataSource)</f>
        <v>0</v>
      </c>
      <c r="L317" s="14" t="b">
        <f>AND(Transport_Table[[#This Row],[Show Feedstock]:[Show Data Source]],NOT(Transport_Table[[#This Row],[Hide Column]]))</f>
        <v>0</v>
      </c>
      <c r="M317" s="14" t="s">
        <v>14</v>
      </c>
      <c r="N317" s="14" t="s">
        <v>1165</v>
      </c>
      <c r="O317" s="14" t="s">
        <v>1247</v>
      </c>
      <c r="P317" s="178" t="s">
        <v>1701</v>
      </c>
      <c r="Q317" s="241" t="s">
        <v>1946</v>
      </c>
      <c r="R317" s="393">
        <v>1</v>
      </c>
      <c r="S317" s="394">
        <v>29.999916154200001</v>
      </c>
      <c r="T317" s="107"/>
    </row>
    <row r="318" spans="1:20" x14ac:dyDescent="0.3">
      <c r="A318" s="190" t="s">
        <v>10</v>
      </c>
      <c r="B318" s="178" t="s">
        <v>30</v>
      </c>
      <c r="C318" s="178" t="s">
        <v>194</v>
      </c>
      <c r="D318" s="178" t="s">
        <v>355</v>
      </c>
      <c r="E318" s="178" t="s">
        <v>31</v>
      </c>
      <c r="F318" s="14" t="b">
        <f>OR(Transport_Table[[#This Row],[Feedstock]]="All",Transport_Table[[#This Row],[Feedstock]]=SelectedFeedstock)</f>
        <v>0</v>
      </c>
      <c r="G318" s="14" t="b">
        <f>OR(Transport_Table[[#This Row],[Conversion]]="All",Transport_Table[[#This Row],[Conversion]]=SelectedConversion)</f>
        <v>1</v>
      </c>
      <c r="H318" s="14" t="b">
        <f>OR(Transport_Table[[#This Row],[Data Set]]="All",Transport_Table[[#This Row],[Data Set]]=SelectedDataSet)</f>
        <v>0</v>
      </c>
      <c r="I318" s="14" t="b">
        <f>OR(Transport_Table[[#This Row],[Technology]]="All",Transport_Table[[#This Row],[Technology]]=SelectedTechnology)</f>
        <v>1</v>
      </c>
      <c r="J318" s="14" t="b">
        <f>OR(Transport_Table[[#This Row],[Data Source]]="All",Transport_Table[[#This Row],[Data Source]]=SelectedDataSource)</f>
        <v>0</v>
      </c>
      <c r="K318" s="14" t="b">
        <v>1</v>
      </c>
      <c r="L318" s="14" t="b">
        <f>AND(Transport_Table[[#This Row],[Show Feedstock]:[Show Data Source]],NOT(Transport_Table[[#This Row],[Hide Column]]))</f>
        <v>0</v>
      </c>
      <c r="M318" s="14" t="s">
        <v>14</v>
      </c>
      <c r="N318" s="14" t="s">
        <v>1157</v>
      </c>
      <c r="O318" s="14" t="s">
        <v>1239</v>
      </c>
      <c r="P318" s="178" t="s">
        <v>10</v>
      </c>
      <c r="Q318" s="241" t="s">
        <v>1943</v>
      </c>
      <c r="R318" s="393">
        <v>0</v>
      </c>
      <c r="S318" s="394">
        <v>0</v>
      </c>
      <c r="T318" s="107"/>
    </row>
    <row r="319" spans="1:20" x14ac:dyDescent="0.3">
      <c r="A319" s="190" t="s">
        <v>10</v>
      </c>
      <c r="B319" s="178" t="s">
        <v>30</v>
      </c>
      <c r="C319" s="178" t="s">
        <v>194</v>
      </c>
      <c r="D319" s="178" t="s">
        <v>355</v>
      </c>
      <c r="E319" s="178" t="s">
        <v>31</v>
      </c>
      <c r="F319" s="14" t="b">
        <f>OR(Transport_Table[[#This Row],[Feedstock]]="All",Transport_Table[[#This Row],[Feedstock]]=SelectedFeedstock)</f>
        <v>0</v>
      </c>
      <c r="G319" s="14" t="b">
        <f>OR(Transport_Table[[#This Row],[Conversion]]="All",Transport_Table[[#This Row],[Conversion]]=SelectedConversion)</f>
        <v>1</v>
      </c>
      <c r="H319" s="14" t="b">
        <f>OR(Transport_Table[[#This Row],[Data Set]]="All",Transport_Table[[#This Row],[Data Set]]=SelectedDataSet)</f>
        <v>0</v>
      </c>
      <c r="I319" s="14" t="b">
        <f>OR(Transport_Table[[#This Row],[Technology]]="All",Transport_Table[[#This Row],[Technology]]=SelectedTechnology)</f>
        <v>1</v>
      </c>
      <c r="J319" s="14" t="b">
        <f>OR(Transport_Table[[#This Row],[Data Source]]="All",Transport_Table[[#This Row],[Data Source]]=SelectedDataSource)</f>
        <v>0</v>
      </c>
      <c r="K319" s="14" t="b">
        <v>1</v>
      </c>
      <c r="L319" s="14" t="b">
        <f>AND(Transport_Table[[#This Row],[Show Feedstock]:[Show Data Source]],NOT(Transport_Table[[#This Row],[Hide Column]]))</f>
        <v>0</v>
      </c>
      <c r="M319" s="14" t="s">
        <v>14</v>
      </c>
      <c r="N319" s="14" t="s">
        <v>1158</v>
      </c>
      <c r="O319" s="14" t="s">
        <v>1240</v>
      </c>
      <c r="P319" s="178" t="s">
        <v>10</v>
      </c>
      <c r="Q319" s="241" t="s">
        <v>1944</v>
      </c>
      <c r="R319" s="393">
        <v>0.2</v>
      </c>
      <c r="S319" s="394">
        <v>400.16292400000003</v>
      </c>
      <c r="T319" s="107"/>
    </row>
    <row r="320" spans="1:20" x14ac:dyDescent="0.3">
      <c r="A320" s="190" t="s">
        <v>10</v>
      </c>
      <c r="B320" s="178" t="s">
        <v>30</v>
      </c>
      <c r="C320" s="178" t="s">
        <v>194</v>
      </c>
      <c r="D320" s="178" t="s">
        <v>355</v>
      </c>
      <c r="E320" s="178" t="s">
        <v>31</v>
      </c>
      <c r="F320" s="14" t="b">
        <f>OR(Transport_Table[[#This Row],[Feedstock]]="All",Transport_Table[[#This Row],[Feedstock]]=SelectedFeedstock)</f>
        <v>0</v>
      </c>
      <c r="G320" s="14" t="b">
        <f>OR(Transport_Table[[#This Row],[Conversion]]="All",Transport_Table[[#This Row],[Conversion]]=SelectedConversion)</f>
        <v>1</v>
      </c>
      <c r="H320" s="14" t="b">
        <f>OR(Transport_Table[[#This Row],[Data Set]]="All",Transport_Table[[#This Row],[Data Set]]=SelectedDataSet)</f>
        <v>0</v>
      </c>
      <c r="I320" s="14" t="b">
        <f>OR(Transport_Table[[#This Row],[Technology]]="All",Transport_Table[[#This Row],[Technology]]=SelectedTechnology)</f>
        <v>1</v>
      </c>
      <c r="J320" s="14" t="b">
        <f>OR(Transport_Table[[#This Row],[Data Source]]="All",Transport_Table[[#This Row],[Data Source]]=SelectedDataSource)</f>
        <v>0</v>
      </c>
      <c r="K320" s="14" t="b">
        <v>1</v>
      </c>
      <c r="L320" s="14" t="b">
        <f>AND(Transport_Table[[#This Row],[Show Feedstock]:[Show Data Source]],NOT(Transport_Table[[#This Row],[Hide Column]]))</f>
        <v>0</v>
      </c>
      <c r="M320" s="14" t="s">
        <v>14</v>
      </c>
      <c r="N320" s="14" t="s">
        <v>1159</v>
      </c>
      <c r="O320" s="14" t="s">
        <v>1241</v>
      </c>
      <c r="P320" s="178" t="s">
        <v>10</v>
      </c>
      <c r="Q320" s="241" t="s">
        <v>1945</v>
      </c>
      <c r="R320" s="393">
        <v>0.8</v>
      </c>
      <c r="S320" s="394">
        <v>100.04073100000001</v>
      </c>
      <c r="T320" s="107"/>
    </row>
    <row r="321" spans="1:20" x14ac:dyDescent="0.3">
      <c r="A321" s="190" t="s">
        <v>10</v>
      </c>
      <c r="B321" s="178" t="s">
        <v>30</v>
      </c>
      <c r="C321" s="178" t="s">
        <v>194</v>
      </c>
      <c r="D321" s="178" t="s">
        <v>355</v>
      </c>
      <c r="E321" s="178" t="s">
        <v>31</v>
      </c>
      <c r="F321" s="14" t="b">
        <f>OR(Transport_Table[[#This Row],[Feedstock]]="All",Transport_Table[[#This Row],[Feedstock]]=SelectedFeedstock)</f>
        <v>0</v>
      </c>
      <c r="G321" s="14" t="b">
        <f>OR(Transport_Table[[#This Row],[Conversion]]="All",Transport_Table[[#This Row],[Conversion]]=SelectedConversion)</f>
        <v>1</v>
      </c>
      <c r="H321" s="14" t="b">
        <f>OR(Transport_Table[[#This Row],[Data Set]]="All",Transport_Table[[#This Row],[Data Set]]=SelectedDataSet)</f>
        <v>0</v>
      </c>
      <c r="I321" s="14" t="b">
        <f>OR(Transport_Table[[#This Row],[Technology]]="All",Transport_Table[[#This Row],[Technology]]=SelectedTechnology)</f>
        <v>1</v>
      </c>
      <c r="J321" s="14" t="b">
        <f>OR(Transport_Table[[#This Row],[Data Source]]="All",Transport_Table[[#This Row],[Data Source]]=SelectedDataSource)</f>
        <v>0</v>
      </c>
      <c r="K321" s="14" t="b">
        <v>1</v>
      </c>
      <c r="L321" s="14" t="b">
        <f>AND(Transport_Table[[#This Row],[Show Feedstock]:[Show Data Source]],NOT(Transport_Table[[#This Row],[Hide Column]]))</f>
        <v>0</v>
      </c>
      <c r="M321" s="14" t="s">
        <v>14</v>
      </c>
      <c r="N321" s="14" t="s">
        <v>1160</v>
      </c>
      <c r="O321" s="14" t="s">
        <v>1242</v>
      </c>
      <c r="P321" s="178" t="s">
        <v>10</v>
      </c>
      <c r="Q321" s="241" t="s">
        <v>1946</v>
      </c>
      <c r="R321" s="396">
        <v>0</v>
      </c>
      <c r="S321" s="394">
        <v>0</v>
      </c>
      <c r="T321" s="107"/>
    </row>
    <row r="322" spans="1:20" x14ac:dyDescent="0.3">
      <c r="A322" s="190" t="s">
        <v>10</v>
      </c>
      <c r="B322" s="178" t="s">
        <v>30</v>
      </c>
      <c r="C322" s="178" t="s">
        <v>194</v>
      </c>
      <c r="D322" s="178" t="s">
        <v>355</v>
      </c>
      <c r="E322" s="178" t="s">
        <v>31</v>
      </c>
      <c r="F322" s="14" t="b">
        <f>OR(Transport_Table[[#This Row],[Feedstock]]="All",Transport_Table[[#This Row],[Feedstock]]=SelectedFeedstock)</f>
        <v>0</v>
      </c>
      <c r="G322" s="14" t="b">
        <f>OR(Transport_Table[[#This Row],[Conversion]]="All",Transport_Table[[#This Row],[Conversion]]=SelectedConversion)</f>
        <v>1</v>
      </c>
      <c r="H322" s="14" t="b">
        <f>OR(Transport_Table[[#This Row],[Data Set]]="All",Transport_Table[[#This Row],[Data Set]]=SelectedDataSet)</f>
        <v>0</v>
      </c>
      <c r="I322" s="14" t="b">
        <f>OR(Transport_Table[[#This Row],[Technology]]="All",Transport_Table[[#This Row],[Technology]]=SelectedTechnology)</f>
        <v>1</v>
      </c>
      <c r="J322" s="14" t="b">
        <f>OR(Transport_Table[[#This Row],[Data Source]]="All",Transport_Table[[#This Row],[Data Source]]=SelectedDataSource)</f>
        <v>0</v>
      </c>
      <c r="K322" s="14" t="b">
        <v>1</v>
      </c>
      <c r="L322" s="14" t="b">
        <f>AND(Transport_Table[[#This Row],[Show Feedstock]:[Show Data Source]],NOT(Transport_Table[[#This Row],[Hide Column]]))</f>
        <v>0</v>
      </c>
      <c r="M322" s="14" t="s">
        <v>14</v>
      </c>
      <c r="N322" s="14" t="s">
        <v>1901</v>
      </c>
      <c r="O322" s="14" t="s">
        <v>1902</v>
      </c>
      <c r="P322" s="178" t="s">
        <v>1903</v>
      </c>
      <c r="Q322" s="241" t="s">
        <v>1943</v>
      </c>
      <c r="R322" s="393">
        <v>0.4</v>
      </c>
      <c r="S322" s="394">
        <v>520</v>
      </c>
      <c r="T322" s="107"/>
    </row>
    <row r="323" spans="1:20" x14ac:dyDescent="0.3">
      <c r="A323" s="190" t="s">
        <v>10</v>
      </c>
      <c r="B323" s="178" t="s">
        <v>30</v>
      </c>
      <c r="C323" s="178" t="s">
        <v>194</v>
      </c>
      <c r="D323" s="178" t="s">
        <v>355</v>
      </c>
      <c r="E323" s="178" t="s">
        <v>31</v>
      </c>
      <c r="F323" s="14" t="b">
        <f>OR(Transport_Table[[#This Row],[Feedstock]]="All",Transport_Table[[#This Row],[Feedstock]]=SelectedFeedstock)</f>
        <v>0</v>
      </c>
      <c r="G323" s="14" t="b">
        <f>OR(Transport_Table[[#This Row],[Conversion]]="All",Transport_Table[[#This Row],[Conversion]]=SelectedConversion)</f>
        <v>1</v>
      </c>
      <c r="H323" s="14" t="b">
        <f>OR(Transport_Table[[#This Row],[Data Set]]="All",Transport_Table[[#This Row],[Data Set]]=SelectedDataSet)</f>
        <v>0</v>
      </c>
      <c r="I323" s="14" t="b">
        <f>OR(Transport_Table[[#This Row],[Technology]]="All",Transport_Table[[#This Row],[Technology]]=SelectedTechnology)</f>
        <v>1</v>
      </c>
      <c r="J323" s="14" t="b">
        <f>OR(Transport_Table[[#This Row],[Data Source]]="All",Transport_Table[[#This Row],[Data Source]]=SelectedDataSource)</f>
        <v>0</v>
      </c>
      <c r="K323" s="14" t="b">
        <v>1</v>
      </c>
      <c r="L323" s="14" t="b">
        <f>AND(Transport_Table[[#This Row],[Show Feedstock]:[Show Data Source]],NOT(Transport_Table[[#This Row],[Hide Column]]))</f>
        <v>0</v>
      </c>
      <c r="M323" s="14" t="s">
        <v>14</v>
      </c>
      <c r="N323" s="14" t="s">
        <v>1904</v>
      </c>
      <c r="O323" s="14" t="s">
        <v>1905</v>
      </c>
      <c r="P323" s="178" t="s">
        <v>1903</v>
      </c>
      <c r="Q323" s="241" t="s">
        <v>1944</v>
      </c>
      <c r="R323" s="393">
        <v>0</v>
      </c>
      <c r="S323" s="394">
        <v>0</v>
      </c>
      <c r="T323" s="107"/>
    </row>
    <row r="324" spans="1:20" x14ac:dyDescent="0.3">
      <c r="A324" s="190" t="s">
        <v>10</v>
      </c>
      <c r="B324" s="178" t="s">
        <v>30</v>
      </c>
      <c r="C324" s="178" t="s">
        <v>194</v>
      </c>
      <c r="D324" s="178" t="s">
        <v>355</v>
      </c>
      <c r="E324" s="178" t="s">
        <v>31</v>
      </c>
      <c r="F324" s="14" t="b">
        <f>OR(Transport_Table[[#This Row],[Feedstock]]="All",Transport_Table[[#This Row],[Feedstock]]=SelectedFeedstock)</f>
        <v>0</v>
      </c>
      <c r="G324" s="14" t="b">
        <f>OR(Transport_Table[[#This Row],[Conversion]]="All",Transport_Table[[#This Row],[Conversion]]=SelectedConversion)</f>
        <v>1</v>
      </c>
      <c r="H324" s="14" t="b">
        <f>OR(Transport_Table[[#This Row],[Data Set]]="All",Transport_Table[[#This Row],[Data Set]]=SelectedDataSet)</f>
        <v>0</v>
      </c>
      <c r="I324" s="14" t="b">
        <f>OR(Transport_Table[[#This Row],[Technology]]="All",Transport_Table[[#This Row],[Technology]]=SelectedTechnology)</f>
        <v>1</v>
      </c>
      <c r="J324" s="14" t="b">
        <f>OR(Transport_Table[[#This Row],[Data Source]]="All",Transport_Table[[#This Row],[Data Source]]=SelectedDataSource)</f>
        <v>0</v>
      </c>
      <c r="K324" s="14" t="b">
        <v>1</v>
      </c>
      <c r="L324" s="14" t="b">
        <f>AND(Transport_Table[[#This Row],[Show Feedstock]:[Show Data Source]],NOT(Transport_Table[[#This Row],[Hide Column]]))</f>
        <v>0</v>
      </c>
      <c r="M324" s="14" t="s">
        <v>14</v>
      </c>
      <c r="N324" s="14" t="s">
        <v>1906</v>
      </c>
      <c r="O324" s="14" t="s">
        <v>1907</v>
      </c>
      <c r="P324" s="178" t="s">
        <v>1903</v>
      </c>
      <c r="Q324" s="241" t="s">
        <v>1945</v>
      </c>
      <c r="R324" s="393">
        <v>0.2</v>
      </c>
      <c r="S324" s="394">
        <v>700</v>
      </c>
      <c r="T324" s="107"/>
    </row>
    <row r="325" spans="1:20" x14ac:dyDescent="0.3">
      <c r="A325" s="190" t="s">
        <v>10</v>
      </c>
      <c r="B325" s="178" t="s">
        <v>30</v>
      </c>
      <c r="C325" s="178" t="s">
        <v>194</v>
      </c>
      <c r="D325" s="178" t="s">
        <v>355</v>
      </c>
      <c r="E325" s="178" t="s">
        <v>31</v>
      </c>
      <c r="F325" s="14" t="b">
        <f>OR(Transport_Table[[#This Row],[Feedstock]]="All",Transport_Table[[#This Row],[Feedstock]]=SelectedFeedstock)</f>
        <v>0</v>
      </c>
      <c r="G325" s="14" t="b">
        <f>OR(Transport_Table[[#This Row],[Conversion]]="All",Transport_Table[[#This Row],[Conversion]]=SelectedConversion)</f>
        <v>1</v>
      </c>
      <c r="H325" s="14" t="b">
        <f>OR(Transport_Table[[#This Row],[Data Set]]="All",Transport_Table[[#This Row],[Data Set]]=SelectedDataSet)</f>
        <v>0</v>
      </c>
      <c r="I325" s="14" t="b">
        <f>OR(Transport_Table[[#This Row],[Technology]]="All",Transport_Table[[#This Row],[Technology]]=SelectedTechnology)</f>
        <v>1</v>
      </c>
      <c r="J325" s="14" t="b">
        <f>OR(Transport_Table[[#This Row],[Data Source]]="All",Transport_Table[[#This Row],[Data Source]]=SelectedDataSource)</f>
        <v>0</v>
      </c>
      <c r="K325" s="14" t="b">
        <v>1</v>
      </c>
      <c r="L325" s="14" t="b">
        <f>AND(Transport_Table[[#This Row],[Show Feedstock]:[Show Data Source]],NOT(Transport_Table[[#This Row],[Hide Column]]))</f>
        <v>0</v>
      </c>
      <c r="M325" s="14" t="s">
        <v>14</v>
      </c>
      <c r="N325" s="14" t="s">
        <v>1908</v>
      </c>
      <c r="O325" s="14" t="s">
        <v>1909</v>
      </c>
      <c r="P325" s="178" t="s">
        <v>1903</v>
      </c>
      <c r="Q325" s="241" t="s">
        <v>1946</v>
      </c>
      <c r="R325" s="393">
        <v>0.4</v>
      </c>
      <c r="S325" s="394">
        <v>80</v>
      </c>
      <c r="T325" s="107"/>
    </row>
    <row r="326" spans="1:20" x14ac:dyDescent="0.3">
      <c r="A326" s="190" t="s">
        <v>10</v>
      </c>
      <c r="B326" s="178" t="s">
        <v>30</v>
      </c>
      <c r="C326" s="178" t="s">
        <v>194</v>
      </c>
      <c r="D326" s="178" t="s">
        <v>355</v>
      </c>
      <c r="E326" s="178" t="s">
        <v>31</v>
      </c>
      <c r="F326" s="14" t="b">
        <f>OR(Transport_Table[[#This Row],[Feedstock]]="All",Transport_Table[[#This Row],[Feedstock]]=SelectedFeedstock)</f>
        <v>0</v>
      </c>
      <c r="G326" s="14" t="b">
        <f>OR(Transport_Table[[#This Row],[Conversion]]="All",Transport_Table[[#This Row],[Conversion]]=SelectedConversion)</f>
        <v>1</v>
      </c>
      <c r="H326" s="14" t="b">
        <f>OR(Transport_Table[[#This Row],[Data Set]]="All",Transport_Table[[#This Row],[Data Set]]=SelectedDataSet)</f>
        <v>0</v>
      </c>
      <c r="I326" s="14" t="b">
        <f>OR(Transport_Table[[#This Row],[Technology]]="All",Transport_Table[[#This Row],[Technology]]=SelectedTechnology)</f>
        <v>1</v>
      </c>
      <c r="J326" s="14" t="b">
        <f>OR(Transport_Table[[#This Row],[Data Source]]="All",Transport_Table[[#This Row],[Data Source]]=SelectedDataSource)</f>
        <v>0</v>
      </c>
      <c r="L326" s="14" t="b">
        <f>AND(Transport_Table[[#This Row],[Show Feedstock]:[Show Data Source]],NOT(Transport_Table[[#This Row],[Hide Column]]))</f>
        <v>0</v>
      </c>
      <c r="M326" s="14" t="s">
        <v>14</v>
      </c>
      <c r="N326" s="14" t="s">
        <v>1161</v>
      </c>
      <c r="O326" s="14" t="s">
        <v>1243</v>
      </c>
      <c r="P326" s="178" t="s">
        <v>1700</v>
      </c>
      <c r="Q326" s="241" t="s">
        <v>1943</v>
      </c>
      <c r="R326" s="393">
        <v>0.08</v>
      </c>
      <c r="S326" s="394">
        <v>519.99854667279999</v>
      </c>
      <c r="T326" s="107"/>
    </row>
    <row r="327" spans="1:20" x14ac:dyDescent="0.3">
      <c r="A327" s="190" t="s">
        <v>10</v>
      </c>
      <c r="B327" s="178" t="s">
        <v>30</v>
      </c>
      <c r="C327" s="178" t="s">
        <v>194</v>
      </c>
      <c r="D327" s="178" t="s">
        <v>355</v>
      </c>
      <c r="E327" s="178" t="s">
        <v>31</v>
      </c>
      <c r="F327" s="14" t="b">
        <f>OR(Transport_Table[[#This Row],[Feedstock]]="All",Transport_Table[[#This Row],[Feedstock]]=SelectedFeedstock)</f>
        <v>0</v>
      </c>
      <c r="G327" s="14" t="b">
        <f>OR(Transport_Table[[#This Row],[Conversion]]="All",Transport_Table[[#This Row],[Conversion]]=SelectedConversion)</f>
        <v>1</v>
      </c>
      <c r="H327" s="14" t="b">
        <f>OR(Transport_Table[[#This Row],[Data Set]]="All",Transport_Table[[#This Row],[Data Set]]=SelectedDataSet)</f>
        <v>0</v>
      </c>
      <c r="I327" s="14" t="b">
        <f>OR(Transport_Table[[#This Row],[Technology]]="All",Transport_Table[[#This Row],[Technology]]=SelectedTechnology)</f>
        <v>1</v>
      </c>
      <c r="J327" s="14" t="b">
        <f>OR(Transport_Table[[#This Row],[Data Source]]="All",Transport_Table[[#This Row],[Data Source]]=SelectedDataSource)</f>
        <v>0</v>
      </c>
      <c r="L327" s="14" t="b">
        <f>AND(Transport_Table[[#This Row],[Show Feedstock]:[Show Data Source]],NOT(Transport_Table[[#This Row],[Hide Column]]))</f>
        <v>0</v>
      </c>
      <c r="M327" s="14" t="s">
        <v>14</v>
      </c>
      <c r="N327" s="14" t="s">
        <v>1162</v>
      </c>
      <c r="O327" s="14" t="s">
        <v>1244</v>
      </c>
      <c r="P327" s="178" t="s">
        <v>1700</v>
      </c>
      <c r="Q327" s="241" t="s">
        <v>1944</v>
      </c>
      <c r="R327" s="393">
        <v>0</v>
      </c>
      <c r="S327" s="394">
        <v>0</v>
      </c>
      <c r="T327" s="107"/>
    </row>
    <row r="328" spans="1:20" x14ac:dyDescent="0.3">
      <c r="A328" s="190" t="s">
        <v>10</v>
      </c>
      <c r="B328" s="178" t="s">
        <v>30</v>
      </c>
      <c r="C328" s="178" t="s">
        <v>194</v>
      </c>
      <c r="D328" s="178" t="s">
        <v>355</v>
      </c>
      <c r="E328" s="178" t="s">
        <v>31</v>
      </c>
      <c r="F328" s="14" t="b">
        <f>OR(Transport_Table[[#This Row],[Feedstock]]="All",Transport_Table[[#This Row],[Feedstock]]=SelectedFeedstock)</f>
        <v>0</v>
      </c>
      <c r="G328" s="14" t="b">
        <f>OR(Transport_Table[[#This Row],[Conversion]]="All",Transport_Table[[#This Row],[Conversion]]=SelectedConversion)</f>
        <v>1</v>
      </c>
      <c r="H328" s="14" t="b">
        <f>OR(Transport_Table[[#This Row],[Data Set]]="All",Transport_Table[[#This Row],[Data Set]]=SelectedDataSet)</f>
        <v>0</v>
      </c>
      <c r="I328" s="14" t="b">
        <f>OR(Transport_Table[[#This Row],[Technology]]="All",Transport_Table[[#This Row],[Technology]]=SelectedTechnology)</f>
        <v>1</v>
      </c>
      <c r="J328" s="14" t="b">
        <f>OR(Transport_Table[[#This Row],[Data Source]]="All",Transport_Table[[#This Row],[Data Source]]=SelectedDataSource)</f>
        <v>0</v>
      </c>
      <c r="L328" s="14" t="b">
        <f>AND(Transport_Table[[#This Row],[Show Feedstock]:[Show Data Source]],NOT(Transport_Table[[#This Row],[Hide Column]]))</f>
        <v>0</v>
      </c>
      <c r="M328" s="14" t="s">
        <v>14</v>
      </c>
      <c r="N328" s="14" t="s">
        <v>1163</v>
      </c>
      <c r="O328" s="14" t="s">
        <v>1245</v>
      </c>
      <c r="P328" s="178" t="s">
        <v>1700</v>
      </c>
      <c r="Q328" s="241" t="s">
        <v>1945</v>
      </c>
      <c r="R328" s="393">
        <v>0.28999999999999998</v>
      </c>
      <c r="S328" s="394">
        <v>799.99776411200003</v>
      </c>
      <c r="T328" s="107"/>
    </row>
    <row r="329" spans="1:20" x14ac:dyDescent="0.3">
      <c r="A329" s="190" t="s">
        <v>10</v>
      </c>
      <c r="B329" s="178" t="s">
        <v>30</v>
      </c>
      <c r="C329" s="178" t="s">
        <v>194</v>
      </c>
      <c r="D329" s="178" t="s">
        <v>355</v>
      </c>
      <c r="E329" s="178" t="s">
        <v>31</v>
      </c>
      <c r="F329" s="14" t="b">
        <f>OR(Transport_Table[[#This Row],[Feedstock]]="All",Transport_Table[[#This Row],[Feedstock]]=SelectedFeedstock)</f>
        <v>0</v>
      </c>
      <c r="G329" s="14" t="b">
        <f>OR(Transport_Table[[#This Row],[Conversion]]="All",Transport_Table[[#This Row],[Conversion]]=SelectedConversion)</f>
        <v>1</v>
      </c>
      <c r="H329" s="14" t="b">
        <f>OR(Transport_Table[[#This Row],[Data Set]]="All",Transport_Table[[#This Row],[Data Set]]=SelectedDataSet)</f>
        <v>0</v>
      </c>
      <c r="I329" s="14" t="b">
        <f>OR(Transport_Table[[#This Row],[Technology]]="All",Transport_Table[[#This Row],[Technology]]=SelectedTechnology)</f>
        <v>1</v>
      </c>
      <c r="J329" s="14" t="b">
        <f>OR(Transport_Table[[#This Row],[Data Source]]="All",Transport_Table[[#This Row],[Data Source]]=SelectedDataSource)</f>
        <v>0</v>
      </c>
      <c r="L329" s="14" t="b">
        <f>AND(Transport_Table[[#This Row],[Show Feedstock]:[Show Data Source]],NOT(Transport_Table[[#This Row],[Hide Column]]))</f>
        <v>0</v>
      </c>
      <c r="M329" s="14" t="s">
        <v>14</v>
      </c>
      <c r="N329" s="14" t="s">
        <v>1164</v>
      </c>
      <c r="O329" s="14" t="s">
        <v>1246</v>
      </c>
      <c r="P329" s="178" t="s">
        <v>1700</v>
      </c>
      <c r="Q329" s="241" t="s">
        <v>1946</v>
      </c>
      <c r="R329" s="393">
        <v>0.63</v>
      </c>
      <c r="S329" s="394">
        <v>49.999860257000002</v>
      </c>
      <c r="T329" s="107"/>
    </row>
    <row r="330" spans="1:20" x14ac:dyDescent="0.3">
      <c r="A330" s="190" t="s">
        <v>10</v>
      </c>
      <c r="B330" s="178" t="s">
        <v>30</v>
      </c>
      <c r="C330" s="178" t="s">
        <v>194</v>
      </c>
      <c r="D330" s="178" t="s">
        <v>355</v>
      </c>
      <c r="E330" s="178" t="s">
        <v>31</v>
      </c>
      <c r="F330" s="14" t="b">
        <f>OR(Transport_Table[[#This Row],[Feedstock]]="All",Transport_Table[[#This Row],[Feedstock]]=SelectedFeedstock)</f>
        <v>0</v>
      </c>
      <c r="G330" s="14" t="b">
        <f>OR(Transport_Table[[#This Row],[Conversion]]="All",Transport_Table[[#This Row],[Conversion]]=SelectedConversion)</f>
        <v>1</v>
      </c>
      <c r="H330" s="14" t="b">
        <f>OR(Transport_Table[[#This Row],[Data Set]]="All",Transport_Table[[#This Row],[Data Set]]=SelectedDataSet)</f>
        <v>0</v>
      </c>
      <c r="I330" s="14" t="b">
        <f>OR(Transport_Table[[#This Row],[Technology]]="All",Transport_Table[[#This Row],[Technology]]=SelectedTechnology)</f>
        <v>1</v>
      </c>
      <c r="J330" s="14" t="b">
        <f>OR(Transport_Table[[#This Row],[Data Source]]="All",Transport_Table[[#This Row],[Data Source]]=SelectedDataSource)</f>
        <v>0</v>
      </c>
      <c r="L330" s="14" t="b">
        <f>AND(Transport_Table[[#This Row],[Show Feedstock]:[Show Data Source]],NOT(Transport_Table[[#This Row],[Hide Column]]))</f>
        <v>0</v>
      </c>
      <c r="M330" s="14" t="s">
        <v>14</v>
      </c>
      <c r="N330" s="14" t="s">
        <v>1165</v>
      </c>
      <c r="O330" s="14" t="s">
        <v>1247</v>
      </c>
      <c r="P330" s="178" t="s">
        <v>1701</v>
      </c>
      <c r="Q330" s="241" t="s">
        <v>1943</v>
      </c>
      <c r="R330" s="393">
        <v>1</v>
      </c>
      <c r="S330" s="394">
        <v>29.999916154200001</v>
      </c>
      <c r="T330" s="107"/>
    </row>
    <row r="331" spans="1:20" x14ac:dyDescent="0.3">
      <c r="A331" t="s">
        <v>1347</v>
      </c>
      <c r="B331" s="178" t="s">
        <v>30</v>
      </c>
      <c r="C331" s="178" t="s">
        <v>194</v>
      </c>
      <c r="D331" s="178" t="s">
        <v>1349</v>
      </c>
      <c r="E331" s="178" t="s">
        <v>31</v>
      </c>
      <c r="F331" s="14" t="b">
        <f>OR(Transport_Table[[#This Row],[Feedstock]]="All",Transport_Table[[#This Row],[Feedstock]]=SelectedFeedstock)</f>
        <v>1</v>
      </c>
      <c r="G331" s="14" t="b">
        <f>OR(Transport_Table[[#This Row],[Conversion]]="All",Transport_Table[[#This Row],[Conversion]]=SelectedConversion)</f>
        <v>1</v>
      </c>
      <c r="H331" s="14" t="b">
        <f>OR(Transport_Table[[#This Row],[Data Set]]="All",Transport_Table[[#This Row],[Data Set]]=SelectedDataSet)</f>
        <v>0</v>
      </c>
      <c r="I331" s="14" t="b">
        <f>OR(Transport_Table[[#This Row],[Technology]]="All",Transport_Table[[#This Row],[Technology]]=SelectedTechnology)</f>
        <v>1</v>
      </c>
      <c r="J331" s="14" t="b">
        <f>OR(Transport_Table[[#This Row],[Data Source]]="All",Transport_Table[[#This Row],[Data Source]]=SelectedDataSource)</f>
        <v>0</v>
      </c>
      <c r="K331" s="14" t="b">
        <v>1</v>
      </c>
      <c r="L331" s="14" t="b">
        <f>AND(Transport_Table[[#This Row],[Show Feedstock]:[Show Data Source]],NOT(Transport_Table[[#This Row],[Hide Column]]))</f>
        <v>0</v>
      </c>
      <c r="M331" s="14" t="s">
        <v>14</v>
      </c>
      <c r="N331" s="14" t="s">
        <v>1170</v>
      </c>
      <c r="O331" s="14" t="s">
        <v>1252</v>
      </c>
      <c r="P331" s="178" t="s">
        <v>125</v>
      </c>
      <c r="Q331" s="241" t="s">
        <v>1944</v>
      </c>
      <c r="R331" s="393">
        <v>0</v>
      </c>
      <c r="S331" s="394">
        <v>0</v>
      </c>
      <c r="T331" s="107"/>
    </row>
    <row r="332" spans="1:20" x14ac:dyDescent="0.3">
      <c r="A332" t="s">
        <v>1347</v>
      </c>
      <c r="B332" s="178" t="s">
        <v>30</v>
      </c>
      <c r="C332" s="178" t="s">
        <v>194</v>
      </c>
      <c r="D332" s="178" t="s">
        <v>1349</v>
      </c>
      <c r="E332" s="178" t="s">
        <v>31</v>
      </c>
      <c r="F332" s="14" t="b">
        <f>OR(Transport_Table[[#This Row],[Feedstock]]="All",Transport_Table[[#This Row],[Feedstock]]=SelectedFeedstock)</f>
        <v>1</v>
      </c>
      <c r="G332" s="14" t="b">
        <f>OR(Transport_Table[[#This Row],[Conversion]]="All",Transport_Table[[#This Row],[Conversion]]=SelectedConversion)</f>
        <v>1</v>
      </c>
      <c r="H332" s="14" t="b">
        <f>OR(Transport_Table[[#This Row],[Data Set]]="All",Transport_Table[[#This Row],[Data Set]]=SelectedDataSet)</f>
        <v>0</v>
      </c>
      <c r="I332" s="14" t="b">
        <f>OR(Transport_Table[[#This Row],[Technology]]="All",Transport_Table[[#This Row],[Technology]]=SelectedTechnology)</f>
        <v>1</v>
      </c>
      <c r="J332" s="14" t="b">
        <f>OR(Transport_Table[[#This Row],[Data Source]]="All",Transport_Table[[#This Row],[Data Source]]=SelectedDataSource)</f>
        <v>0</v>
      </c>
      <c r="K332" s="14" t="b">
        <v>1</v>
      </c>
      <c r="L332" s="14" t="b">
        <f>AND(Transport_Table[[#This Row],[Show Feedstock]:[Show Data Source]],NOT(Transport_Table[[#This Row],[Hide Column]]))</f>
        <v>0</v>
      </c>
      <c r="M332" s="14" t="s">
        <v>14</v>
      </c>
      <c r="N332" s="14" t="s">
        <v>1171</v>
      </c>
      <c r="O332" s="14" t="s">
        <v>1253</v>
      </c>
      <c r="P332" s="178" t="s">
        <v>125</v>
      </c>
      <c r="Q332" s="241" t="s">
        <v>1945</v>
      </c>
      <c r="R332" s="393">
        <v>0.2</v>
      </c>
      <c r="S332" s="394">
        <v>400.16292400000003</v>
      </c>
      <c r="T332" s="107"/>
    </row>
    <row r="333" spans="1:20" x14ac:dyDescent="0.3">
      <c r="A333" t="s">
        <v>1347</v>
      </c>
      <c r="B333" s="178" t="s">
        <v>30</v>
      </c>
      <c r="C333" s="178" t="s">
        <v>194</v>
      </c>
      <c r="D333" s="178" t="s">
        <v>1349</v>
      </c>
      <c r="E333" s="178" t="s">
        <v>31</v>
      </c>
      <c r="F333" s="14" t="b">
        <f>OR(Transport_Table[[#This Row],[Feedstock]]="All",Transport_Table[[#This Row],[Feedstock]]=SelectedFeedstock)</f>
        <v>1</v>
      </c>
      <c r="G333" s="14" t="b">
        <f>OR(Transport_Table[[#This Row],[Conversion]]="All",Transport_Table[[#This Row],[Conversion]]=SelectedConversion)</f>
        <v>1</v>
      </c>
      <c r="H333" s="14" t="b">
        <f>OR(Transport_Table[[#This Row],[Data Set]]="All",Transport_Table[[#This Row],[Data Set]]=SelectedDataSet)</f>
        <v>0</v>
      </c>
      <c r="I333" s="14" t="b">
        <f>OR(Transport_Table[[#This Row],[Technology]]="All",Transport_Table[[#This Row],[Technology]]=SelectedTechnology)</f>
        <v>1</v>
      </c>
      <c r="J333" s="14" t="b">
        <f>OR(Transport_Table[[#This Row],[Data Source]]="All",Transport_Table[[#This Row],[Data Source]]=SelectedDataSource)</f>
        <v>0</v>
      </c>
      <c r="K333" s="14" t="b">
        <v>1</v>
      </c>
      <c r="L333" s="14" t="b">
        <f>AND(Transport_Table[[#This Row],[Show Feedstock]:[Show Data Source]],NOT(Transport_Table[[#This Row],[Hide Column]]))</f>
        <v>0</v>
      </c>
      <c r="M333" s="14" t="s">
        <v>14</v>
      </c>
      <c r="N333" s="14" t="s">
        <v>1172</v>
      </c>
      <c r="O333" s="14" t="s">
        <v>1254</v>
      </c>
      <c r="P333" s="178" t="s">
        <v>125</v>
      </c>
      <c r="Q333" s="241" t="s">
        <v>1946</v>
      </c>
      <c r="R333" s="393">
        <v>0.8</v>
      </c>
      <c r="S333" s="394">
        <v>100.04073100000001</v>
      </c>
      <c r="T333" s="107"/>
    </row>
    <row r="334" spans="1:20" x14ac:dyDescent="0.3">
      <c r="A334" t="s">
        <v>1347</v>
      </c>
      <c r="B334" s="178" t="s">
        <v>30</v>
      </c>
      <c r="C334" s="178" t="s">
        <v>194</v>
      </c>
      <c r="D334" s="178" t="s">
        <v>1349</v>
      </c>
      <c r="E334" s="178" t="s">
        <v>31</v>
      </c>
      <c r="F334" s="14" t="b">
        <f>OR(Transport_Table[[#This Row],[Feedstock]]="All",Transport_Table[[#This Row],[Feedstock]]=SelectedFeedstock)</f>
        <v>1</v>
      </c>
      <c r="G334" s="14" t="b">
        <f>OR(Transport_Table[[#This Row],[Conversion]]="All",Transport_Table[[#This Row],[Conversion]]=SelectedConversion)</f>
        <v>1</v>
      </c>
      <c r="H334" s="14" t="b">
        <f>OR(Transport_Table[[#This Row],[Data Set]]="All",Transport_Table[[#This Row],[Data Set]]=SelectedDataSet)</f>
        <v>0</v>
      </c>
      <c r="I334" s="14" t="b">
        <f>OR(Transport_Table[[#This Row],[Technology]]="All",Transport_Table[[#This Row],[Technology]]=SelectedTechnology)</f>
        <v>1</v>
      </c>
      <c r="J334" s="14" t="b">
        <f>OR(Transport_Table[[#This Row],[Data Source]]="All",Transport_Table[[#This Row],[Data Source]]=SelectedDataSource)</f>
        <v>0</v>
      </c>
      <c r="K334" s="14" t="b">
        <v>1</v>
      </c>
      <c r="L334" s="14" t="b">
        <f>AND(Transport_Table[[#This Row],[Show Feedstock]:[Show Data Source]],NOT(Transport_Table[[#This Row],[Hide Column]]))</f>
        <v>0</v>
      </c>
      <c r="M334" s="14" t="s">
        <v>14</v>
      </c>
      <c r="N334" s="14" t="s">
        <v>1173</v>
      </c>
      <c r="O334" s="14" t="s">
        <v>1255</v>
      </c>
      <c r="P334" s="178" t="s">
        <v>125</v>
      </c>
      <c r="Q334" s="241" t="s">
        <v>1943</v>
      </c>
      <c r="R334" s="396">
        <v>0</v>
      </c>
      <c r="S334" s="394">
        <v>0</v>
      </c>
      <c r="T334" s="107"/>
    </row>
    <row r="335" spans="1:20" x14ac:dyDescent="0.3">
      <c r="A335" t="s">
        <v>1347</v>
      </c>
      <c r="B335" s="178" t="s">
        <v>30</v>
      </c>
      <c r="C335" s="178" t="s">
        <v>194</v>
      </c>
      <c r="D335" s="178" t="s">
        <v>1349</v>
      </c>
      <c r="E335" s="178" t="s">
        <v>31</v>
      </c>
      <c r="F335" s="14" t="b">
        <f>OR(Transport_Table[[#This Row],[Feedstock]]="All",Transport_Table[[#This Row],[Feedstock]]=SelectedFeedstock)</f>
        <v>1</v>
      </c>
      <c r="G335" s="14" t="b">
        <f>OR(Transport_Table[[#This Row],[Conversion]]="All",Transport_Table[[#This Row],[Conversion]]=SelectedConversion)</f>
        <v>1</v>
      </c>
      <c r="H335" s="14" t="b">
        <f>OR(Transport_Table[[#This Row],[Data Set]]="All",Transport_Table[[#This Row],[Data Set]]=SelectedDataSet)</f>
        <v>0</v>
      </c>
      <c r="I335" s="14" t="b">
        <f>OR(Transport_Table[[#This Row],[Technology]]="All",Transport_Table[[#This Row],[Technology]]=SelectedTechnology)</f>
        <v>1</v>
      </c>
      <c r="J335" s="14" t="b">
        <f>OR(Transport_Table[[#This Row],[Data Source]]="All",Transport_Table[[#This Row],[Data Source]]=SelectedDataSource)</f>
        <v>0</v>
      </c>
      <c r="K335" s="14" t="b">
        <v>1</v>
      </c>
      <c r="L335" s="14" t="b">
        <f>AND(Transport_Table[[#This Row],[Show Feedstock]:[Show Data Source]],NOT(Transport_Table[[#This Row],[Hide Column]]))</f>
        <v>0</v>
      </c>
      <c r="M335" s="14" t="s">
        <v>14</v>
      </c>
      <c r="N335" s="14" t="s">
        <v>1174</v>
      </c>
      <c r="O335" s="14" t="s">
        <v>1256</v>
      </c>
      <c r="P335" s="178" t="s">
        <v>400</v>
      </c>
      <c r="Q335" s="241" t="s">
        <v>1944</v>
      </c>
      <c r="R335" s="393">
        <v>0</v>
      </c>
      <c r="S335" s="394">
        <v>0</v>
      </c>
      <c r="T335" s="107"/>
    </row>
    <row r="336" spans="1:20" x14ac:dyDescent="0.3">
      <c r="A336" t="s">
        <v>1347</v>
      </c>
      <c r="B336" s="178" t="s">
        <v>30</v>
      </c>
      <c r="C336" s="178" t="s">
        <v>194</v>
      </c>
      <c r="D336" s="178" t="s">
        <v>1349</v>
      </c>
      <c r="E336" s="178" t="s">
        <v>31</v>
      </c>
      <c r="F336" s="14" t="b">
        <f>OR(Transport_Table[[#This Row],[Feedstock]]="All",Transport_Table[[#This Row],[Feedstock]]=SelectedFeedstock)</f>
        <v>1</v>
      </c>
      <c r="G336" s="14" t="b">
        <f>OR(Transport_Table[[#This Row],[Conversion]]="All",Transport_Table[[#This Row],[Conversion]]=SelectedConversion)</f>
        <v>1</v>
      </c>
      <c r="H336" s="14" t="b">
        <f>OR(Transport_Table[[#This Row],[Data Set]]="All",Transport_Table[[#This Row],[Data Set]]=SelectedDataSet)</f>
        <v>0</v>
      </c>
      <c r="I336" s="14" t="b">
        <f>OR(Transport_Table[[#This Row],[Technology]]="All",Transport_Table[[#This Row],[Technology]]=SelectedTechnology)</f>
        <v>1</v>
      </c>
      <c r="J336" s="14" t="b">
        <f>OR(Transport_Table[[#This Row],[Data Source]]="All",Transport_Table[[#This Row],[Data Source]]=SelectedDataSource)</f>
        <v>0</v>
      </c>
      <c r="K336" s="14" t="b">
        <v>1</v>
      </c>
      <c r="L336" s="14" t="b">
        <f>AND(Transport_Table[[#This Row],[Show Feedstock]:[Show Data Source]],NOT(Transport_Table[[#This Row],[Hide Column]]))</f>
        <v>0</v>
      </c>
      <c r="M336" s="14" t="s">
        <v>14</v>
      </c>
      <c r="N336" s="14" t="s">
        <v>1175</v>
      </c>
      <c r="O336" s="14" t="s">
        <v>1257</v>
      </c>
      <c r="P336" s="178" t="s">
        <v>400</v>
      </c>
      <c r="Q336" s="241" t="s">
        <v>1945</v>
      </c>
      <c r="R336" s="393">
        <v>0</v>
      </c>
      <c r="S336" s="394">
        <v>0</v>
      </c>
      <c r="T336" s="107"/>
    </row>
    <row r="337" spans="1:20" x14ac:dyDescent="0.3">
      <c r="A337" t="s">
        <v>1347</v>
      </c>
      <c r="B337" s="178" t="s">
        <v>30</v>
      </c>
      <c r="C337" s="178" t="s">
        <v>194</v>
      </c>
      <c r="D337" s="178" t="s">
        <v>1349</v>
      </c>
      <c r="E337" s="178" t="s">
        <v>31</v>
      </c>
      <c r="F337" s="14" t="b">
        <f>OR(Transport_Table[[#This Row],[Feedstock]]="All",Transport_Table[[#This Row],[Feedstock]]=SelectedFeedstock)</f>
        <v>1</v>
      </c>
      <c r="G337" s="14" t="b">
        <f>OR(Transport_Table[[#This Row],[Conversion]]="All",Transport_Table[[#This Row],[Conversion]]=SelectedConversion)</f>
        <v>1</v>
      </c>
      <c r="H337" s="14" t="b">
        <f>OR(Transport_Table[[#This Row],[Data Set]]="All",Transport_Table[[#This Row],[Data Set]]=SelectedDataSet)</f>
        <v>0</v>
      </c>
      <c r="I337" s="14" t="b">
        <f>OR(Transport_Table[[#This Row],[Technology]]="All",Transport_Table[[#This Row],[Technology]]=SelectedTechnology)</f>
        <v>1</v>
      </c>
      <c r="J337" s="14" t="b">
        <f>OR(Transport_Table[[#This Row],[Data Source]]="All",Transport_Table[[#This Row],[Data Source]]=SelectedDataSource)</f>
        <v>0</v>
      </c>
      <c r="K337" s="14" t="b">
        <v>1</v>
      </c>
      <c r="L337" s="14" t="b">
        <f>AND(Transport_Table[[#This Row],[Show Feedstock]:[Show Data Source]],NOT(Transport_Table[[#This Row],[Hide Column]]))</f>
        <v>0</v>
      </c>
      <c r="M337" s="14" t="s">
        <v>14</v>
      </c>
      <c r="N337" s="14" t="s">
        <v>1176</v>
      </c>
      <c r="O337" s="14" t="s">
        <v>1258</v>
      </c>
      <c r="P337" s="178" t="s">
        <v>400</v>
      </c>
      <c r="Q337" s="241" t="s">
        <v>1946</v>
      </c>
      <c r="R337" s="393">
        <v>0.33</v>
      </c>
      <c r="S337" s="394">
        <v>700</v>
      </c>
      <c r="T337" s="107"/>
    </row>
    <row r="338" spans="1:20" x14ac:dyDescent="0.3">
      <c r="A338" t="s">
        <v>1347</v>
      </c>
      <c r="B338" s="178" t="s">
        <v>30</v>
      </c>
      <c r="C338" s="178" t="s">
        <v>194</v>
      </c>
      <c r="D338" s="178" t="s">
        <v>1349</v>
      </c>
      <c r="E338" s="178" t="s">
        <v>31</v>
      </c>
      <c r="F338" s="14" t="b">
        <f>OR(Transport_Table[[#This Row],[Feedstock]]="All",Transport_Table[[#This Row],[Feedstock]]=SelectedFeedstock)</f>
        <v>1</v>
      </c>
      <c r="G338" s="14" t="b">
        <f>OR(Transport_Table[[#This Row],[Conversion]]="All",Transport_Table[[#This Row],[Conversion]]=SelectedConversion)</f>
        <v>1</v>
      </c>
      <c r="H338" s="14" t="b">
        <f>OR(Transport_Table[[#This Row],[Data Set]]="All",Transport_Table[[#This Row],[Data Set]]=SelectedDataSet)</f>
        <v>0</v>
      </c>
      <c r="I338" s="14" t="b">
        <f>OR(Transport_Table[[#This Row],[Technology]]="All",Transport_Table[[#This Row],[Technology]]=SelectedTechnology)</f>
        <v>1</v>
      </c>
      <c r="J338" s="14" t="b">
        <f>OR(Transport_Table[[#This Row],[Data Source]]="All",Transport_Table[[#This Row],[Data Source]]=SelectedDataSource)</f>
        <v>0</v>
      </c>
      <c r="K338" s="14" t="b">
        <v>1</v>
      </c>
      <c r="L338" s="14" t="b">
        <f>AND(Transport_Table[[#This Row],[Show Feedstock]:[Show Data Source]],NOT(Transport_Table[[#This Row],[Hide Column]]))</f>
        <v>0</v>
      </c>
      <c r="M338" s="14" t="s">
        <v>14</v>
      </c>
      <c r="N338" s="14" t="s">
        <v>1177</v>
      </c>
      <c r="O338" s="14" t="s">
        <v>1259</v>
      </c>
      <c r="P338" s="178" t="s">
        <v>400</v>
      </c>
      <c r="Q338" s="241" t="s">
        <v>1943</v>
      </c>
      <c r="R338" s="393">
        <v>0.67</v>
      </c>
      <c r="S338" s="394">
        <v>80</v>
      </c>
      <c r="T338" s="107"/>
    </row>
    <row r="339" spans="1:20" x14ac:dyDescent="0.3">
      <c r="A339" t="s">
        <v>1347</v>
      </c>
      <c r="B339" s="178" t="s">
        <v>30</v>
      </c>
      <c r="C339" s="178" t="s">
        <v>194</v>
      </c>
      <c r="D339" s="178" t="s">
        <v>1349</v>
      </c>
      <c r="E339" s="178" t="s">
        <v>31</v>
      </c>
      <c r="F339" s="14" t="b">
        <f>OR(Transport_Table[[#This Row],[Feedstock]]="All",Transport_Table[[#This Row],[Feedstock]]=SelectedFeedstock)</f>
        <v>1</v>
      </c>
      <c r="G339" s="14" t="b">
        <f>OR(Transport_Table[[#This Row],[Conversion]]="All",Transport_Table[[#This Row],[Conversion]]=SelectedConversion)</f>
        <v>1</v>
      </c>
      <c r="H339" s="14" t="b">
        <f>OR(Transport_Table[[#This Row],[Data Set]]="All",Transport_Table[[#This Row],[Data Set]]=SelectedDataSet)</f>
        <v>0</v>
      </c>
      <c r="I339" s="14" t="b">
        <f>OR(Transport_Table[[#This Row],[Technology]]="All",Transport_Table[[#This Row],[Technology]]=SelectedTechnology)</f>
        <v>1</v>
      </c>
      <c r="J339" s="14" t="b">
        <f>OR(Transport_Table[[#This Row],[Data Source]]="All",Transport_Table[[#This Row],[Data Source]]=SelectedDataSource)</f>
        <v>0</v>
      </c>
      <c r="L339" s="14" t="b">
        <f>AND(Transport_Table[[#This Row],[Show Feedstock]:[Show Data Source]],NOT(Transport_Table[[#This Row],[Hide Column]]))</f>
        <v>0</v>
      </c>
      <c r="M339" s="14" t="s">
        <v>14</v>
      </c>
      <c r="N339" s="14" t="s">
        <v>1161</v>
      </c>
      <c r="O339" s="14" t="s">
        <v>1243</v>
      </c>
      <c r="P339" s="178" t="s">
        <v>1700</v>
      </c>
      <c r="Q339" s="241" t="s">
        <v>1944</v>
      </c>
      <c r="R339" s="393">
        <v>0.08</v>
      </c>
      <c r="S339" s="394">
        <v>519.99854667279999</v>
      </c>
      <c r="T339" s="107"/>
    </row>
    <row r="340" spans="1:20" x14ac:dyDescent="0.3">
      <c r="A340" t="s">
        <v>1347</v>
      </c>
      <c r="B340" s="178" t="s">
        <v>30</v>
      </c>
      <c r="C340" s="178" t="s">
        <v>194</v>
      </c>
      <c r="D340" s="178" t="s">
        <v>1349</v>
      </c>
      <c r="E340" s="178" t="s">
        <v>31</v>
      </c>
      <c r="F340" s="14" t="b">
        <f>OR(Transport_Table[[#This Row],[Feedstock]]="All",Transport_Table[[#This Row],[Feedstock]]=SelectedFeedstock)</f>
        <v>1</v>
      </c>
      <c r="G340" s="14" t="b">
        <f>OR(Transport_Table[[#This Row],[Conversion]]="All",Transport_Table[[#This Row],[Conversion]]=SelectedConversion)</f>
        <v>1</v>
      </c>
      <c r="H340" s="14" t="b">
        <f>OR(Transport_Table[[#This Row],[Data Set]]="All",Transport_Table[[#This Row],[Data Set]]=SelectedDataSet)</f>
        <v>0</v>
      </c>
      <c r="I340" s="14" t="b">
        <f>OR(Transport_Table[[#This Row],[Technology]]="All",Transport_Table[[#This Row],[Technology]]=SelectedTechnology)</f>
        <v>1</v>
      </c>
      <c r="J340" s="14" t="b">
        <f>OR(Transport_Table[[#This Row],[Data Source]]="All",Transport_Table[[#This Row],[Data Source]]=SelectedDataSource)</f>
        <v>0</v>
      </c>
      <c r="L340" s="14" t="b">
        <f>AND(Transport_Table[[#This Row],[Show Feedstock]:[Show Data Source]],NOT(Transport_Table[[#This Row],[Hide Column]]))</f>
        <v>0</v>
      </c>
      <c r="M340" s="14" t="s">
        <v>14</v>
      </c>
      <c r="N340" s="14" t="s">
        <v>1162</v>
      </c>
      <c r="O340" s="14" t="s">
        <v>1244</v>
      </c>
      <c r="P340" s="178" t="s">
        <v>1700</v>
      </c>
      <c r="Q340" s="241" t="s">
        <v>1945</v>
      </c>
      <c r="R340" s="393">
        <v>0</v>
      </c>
      <c r="S340" s="394">
        <v>0</v>
      </c>
      <c r="T340" s="107"/>
    </row>
    <row r="341" spans="1:20" x14ac:dyDescent="0.3">
      <c r="A341" t="s">
        <v>1347</v>
      </c>
      <c r="B341" s="178" t="s">
        <v>30</v>
      </c>
      <c r="C341" s="178" t="s">
        <v>194</v>
      </c>
      <c r="D341" s="178" t="s">
        <v>1349</v>
      </c>
      <c r="E341" s="178" t="s">
        <v>31</v>
      </c>
      <c r="F341" s="14" t="b">
        <f>OR(Transport_Table[[#This Row],[Feedstock]]="All",Transport_Table[[#This Row],[Feedstock]]=SelectedFeedstock)</f>
        <v>1</v>
      </c>
      <c r="G341" s="14" t="b">
        <f>OR(Transport_Table[[#This Row],[Conversion]]="All",Transport_Table[[#This Row],[Conversion]]=SelectedConversion)</f>
        <v>1</v>
      </c>
      <c r="H341" s="14" t="b">
        <f>OR(Transport_Table[[#This Row],[Data Set]]="All",Transport_Table[[#This Row],[Data Set]]=SelectedDataSet)</f>
        <v>0</v>
      </c>
      <c r="I341" s="14" t="b">
        <f>OR(Transport_Table[[#This Row],[Technology]]="All",Transport_Table[[#This Row],[Technology]]=SelectedTechnology)</f>
        <v>1</v>
      </c>
      <c r="J341" s="14" t="b">
        <f>OR(Transport_Table[[#This Row],[Data Source]]="All",Transport_Table[[#This Row],[Data Source]]=SelectedDataSource)</f>
        <v>0</v>
      </c>
      <c r="L341" s="14" t="b">
        <f>AND(Transport_Table[[#This Row],[Show Feedstock]:[Show Data Source]],NOT(Transport_Table[[#This Row],[Hide Column]]))</f>
        <v>0</v>
      </c>
      <c r="M341" s="14" t="s">
        <v>14</v>
      </c>
      <c r="N341" s="14" t="s">
        <v>1163</v>
      </c>
      <c r="O341" s="14" t="s">
        <v>1245</v>
      </c>
      <c r="P341" s="178" t="s">
        <v>1700</v>
      </c>
      <c r="Q341" s="241" t="s">
        <v>1946</v>
      </c>
      <c r="R341" s="393">
        <v>0.28999999999999998</v>
      </c>
      <c r="S341" s="394">
        <v>799.99776411200003</v>
      </c>
      <c r="T341" s="107"/>
    </row>
    <row r="342" spans="1:20" x14ac:dyDescent="0.3">
      <c r="A342" t="s">
        <v>1347</v>
      </c>
      <c r="B342" s="178" t="s">
        <v>30</v>
      </c>
      <c r="C342" s="178" t="s">
        <v>194</v>
      </c>
      <c r="D342" s="178" t="s">
        <v>1349</v>
      </c>
      <c r="E342" s="178" t="s">
        <v>31</v>
      </c>
      <c r="F342" s="14" t="b">
        <f>OR(Transport_Table[[#This Row],[Feedstock]]="All",Transport_Table[[#This Row],[Feedstock]]=SelectedFeedstock)</f>
        <v>1</v>
      </c>
      <c r="G342" s="14" t="b">
        <f>OR(Transport_Table[[#This Row],[Conversion]]="All",Transport_Table[[#This Row],[Conversion]]=SelectedConversion)</f>
        <v>1</v>
      </c>
      <c r="H342" s="14" t="b">
        <f>OR(Transport_Table[[#This Row],[Data Set]]="All",Transport_Table[[#This Row],[Data Set]]=SelectedDataSet)</f>
        <v>0</v>
      </c>
      <c r="I342" s="14" t="b">
        <f>OR(Transport_Table[[#This Row],[Technology]]="All",Transport_Table[[#This Row],[Technology]]=SelectedTechnology)</f>
        <v>1</v>
      </c>
      <c r="J342" s="14" t="b">
        <f>OR(Transport_Table[[#This Row],[Data Source]]="All",Transport_Table[[#This Row],[Data Source]]=SelectedDataSource)</f>
        <v>0</v>
      </c>
      <c r="L342" s="14" t="b">
        <f>AND(Transport_Table[[#This Row],[Show Feedstock]:[Show Data Source]],NOT(Transport_Table[[#This Row],[Hide Column]]))</f>
        <v>0</v>
      </c>
      <c r="M342" s="14" t="s">
        <v>14</v>
      </c>
      <c r="N342" s="14" t="s">
        <v>1164</v>
      </c>
      <c r="O342" s="14" t="s">
        <v>1246</v>
      </c>
      <c r="P342" s="178" t="s">
        <v>1700</v>
      </c>
      <c r="Q342" s="241" t="s">
        <v>1943</v>
      </c>
      <c r="R342" s="393">
        <v>0.63</v>
      </c>
      <c r="S342" s="394">
        <v>49.999860257000002</v>
      </c>
      <c r="T342" s="107"/>
    </row>
    <row r="343" spans="1:20" x14ac:dyDescent="0.3">
      <c r="A343" t="s">
        <v>1347</v>
      </c>
      <c r="B343" s="178" t="s">
        <v>30</v>
      </c>
      <c r="C343" s="178" t="s">
        <v>194</v>
      </c>
      <c r="D343" s="178" t="s">
        <v>1349</v>
      </c>
      <c r="E343" s="178" t="s">
        <v>31</v>
      </c>
      <c r="F343" s="14" t="b">
        <f>OR(Transport_Table[[#This Row],[Feedstock]]="All",Transport_Table[[#This Row],[Feedstock]]=SelectedFeedstock)</f>
        <v>1</v>
      </c>
      <c r="G343" s="14" t="b">
        <f>OR(Transport_Table[[#This Row],[Conversion]]="All",Transport_Table[[#This Row],[Conversion]]=SelectedConversion)</f>
        <v>1</v>
      </c>
      <c r="H343" s="14" t="b">
        <f>OR(Transport_Table[[#This Row],[Data Set]]="All",Transport_Table[[#This Row],[Data Set]]=SelectedDataSet)</f>
        <v>0</v>
      </c>
      <c r="I343" s="14" t="b">
        <f>OR(Transport_Table[[#This Row],[Technology]]="All",Transport_Table[[#This Row],[Technology]]=SelectedTechnology)</f>
        <v>1</v>
      </c>
      <c r="J343" s="14" t="b">
        <f>OR(Transport_Table[[#This Row],[Data Source]]="All",Transport_Table[[#This Row],[Data Source]]=SelectedDataSource)</f>
        <v>0</v>
      </c>
      <c r="L343" s="14" t="b">
        <f>AND(Transport_Table[[#This Row],[Show Feedstock]:[Show Data Source]],NOT(Transport_Table[[#This Row],[Hide Column]]))</f>
        <v>0</v>
      </c>
      <c r="M343" s="14" t="s">
        <v>14</v>
      </c>
      <c r="N343" s="14" t="s">
        <v>1165</v>
      </c>
      <c r="O343" s="14" t="s">
        <v>1247</v>
      </c>
      <c r="P343" s="178" t="s">
        <v>1701</v>
      </c>
      <c r="Q343" s="241" t="s">
        <v>1944</v>
      </c>
      <c r="R343" s="393">
        <v>1</v>
      </c>
      <c r="S343" s="394">
        <v>29.999916154200001</v>
      </c>
      <c r="T343" s="107"/>
    </row>
    <row r="344" spans="1:20" x14ac:dyDescent="0.3">
      <c r="A344" t="s">
        <v>1347</v>
      </c>
      <c r="B344" s="178" t="s">
        <v>30</v>
      </c>
      <c r="C344" s="178" t="s">
        <v>194</v>
      </c>
      <c r="D344" s="178" t="s">
        <v>368</v>
      </c>
      <c r="E344" s="178" t="s">
        <v>31</v>
      </c>
      <c r="F344" s="14" t="b">
        <f>OR(Transport_Table[[#This Row],[Feedstock]]="All",Transport_Table[[#This Row],[Feedstock]]=SelectedFeedstock)</f>
        <v>1</v>
      </c>
      <c r="G344" s="14" t="b">
        <f>OR(Transport_Table[[#This Row],[Conversion]]="All",Transport_Table[[#This Row],[Conversion]]=SelectedConversion)</f>
        <v>1</v>
      </c>
      <c r="H344" s="14" t="b">
        <f>OR(Transport_Table[[#This Row],[Data Set]]="All",Transport_Table[[#This Row],[Data Set]]=SelectedDataSet)</f>
        <v>0</v>
      </c>
      <c r="I344" s="14" t="b">
        <f>OR(Transport_Table[[#This Row],[Technology]]="All",Transport_Table[[#This Row],[Technology]]=SelectedTechnology)</f>
        <v>1</v>
      </c>
      <c r="J344" s="14" t="b">
        <f>OR(Transport_Table[[#This Row],[Data Source]]="All",Transport_Table[[#This Row],[Data Source]]=SelectedDataSource)</f>
        <v>0</v>
      </c>
      <c r="K344" s="14" t="b">
        <v>1</v>
      </c>
      <c r="L344" s="14" t="b">
        <f>AND(Transport_Table[[#This Row],[Show Feedstock]:[Show Data Source]],NOT(Transport_Table[[#This Row],[Hide Column]]))</f>
        <v>0</v>
      </c>
      <c r="M344" s="14" t="s">
        <v>14</v>
      </c>
      <c r="N344" s="14" t="s">
        <v>1170</v>
      </c>
      <c r="O344" s="14" t="s">
        <v>1252</v>
      </c>
      <c r="P344" s="178" t="s">
        <v>125</v>
      </c>
      <c r="Q344" s="241" t="s">
        <v>1945</v>
      </c>
      <c r="R344" s="393">
        <v>0</v>
      </c>
      <c r="S344" s="394">
        <v>0</v>
      </c>
      <c r="T344" s="107"/>
    </row>
    <row r="345" spans="1:20" x14ac:dyDescent="0.3">
      <c r="A345" t="s">
        <v>1347</v>
      </c>
      <c r="B345" s="178" t="s">
        <v>30</v>
      </c>
      <c r="C345" s="178" t="s">
        <v>194</v>
      </c>
      <c r="D345" s="178" t="s">
        <v>368</v>
      </c>
      <c r="E345" s="178" t="s">
        <v>31</v>
      </c>
      <c r="F345" s="14" t="b">
        <f>OR(Transport_Table[[#This Row],[Feedstock]]="All",Transport_Table[[#This Row],[Feedstock]]=SelectedFeedstock)</f>
        <v>1</v>
      </c>
      <c r="G345" s="14" t="b">
        <f>OR(Transport_Table[[#This Row],[Conversion]]="All",Transport_Table[[#This Row],[Conversion]]=SelectedConversion)</f>
        <v>1</v>
      </c>
      <c r="H345" s="14" t="b">
        <f>OR(Transport_Table[[#This Row],[Data Set]]="All",Transport_Table[[#This Row],[Data Set]]=SelectedDataSet)</f>
        <v>0</v>
      </c>
      <c r="I345" s="14" t="b">
        <f>OR(Transport_Table[[#This Row],[Technology]]="All",Transport_Table[[#This Row],[Technology]]=SelectedTechnology)</f>
        <v>1</v>
      </c>
      <c r="J345" s="14" t="b">
        <f>OR(Transport_Table[[#This Row],[Data Source]]="All",Transport_Table[[#This Row],[Data Source]]=SelectedDataSource)</f>
        <v>0</v>
      </c>
      <c r="K345" s="14" t="b">
        <v>1</v>
      </c>
      <c r="L345" s="14" t="b">
        <f>AND(Transport_Table[[#This Row],[Show Feedstock]:[Show Data Source]],NOT(Transport_Table[[#This Row],[Hide Column]]))</f>
        <v>0</v>
      </c>
      <c r="M345" s="14" t="s">
        <v>14</v>
      </c>
      <c r="N345" s="14" t="s">
        <v>1171</v>
      </c>
      <c r="O345" s="14" t="s">
        <v>1253</v>
      </c>
      <c r="P345" s="178" t="s">
        <v>125</v>
      </c>
      <c r="Q345" s="241" t="s">
        <v>1946</v>
      </c>
      <c r="R345" s="393">
        <v>0.2</v>
      </c>
      <c r="S345" s="394">
        <v>400.16292400000003</v>
      </c>
      <c r="T345" s="107"/>
    </row>
    <row r="346" spans="1:20" x14ac:dyDescent="0.3">
      <c r="A346" t="s">
        <v>1347</v>
      </c>
      <c r="B346" s="178" t="s">
        <v>30</v>
      </c>
      <c r="C346" s="178" t="s">
        <v>194</v>
      </c>
      <c r="D346" s="178" t="s">
        <v>368</v>
      </c>
      <c r="E346" s="178" t="s">
        <v>31</v>
      </c>
      <c r="F346" s="14" t="b">
        <f>OR(Transport_Table[[#This Row],[Feedstock]]="All",Transport_Table[[#This Row],[Feedstock]]=SelectedFeedstock)</f>
        <v>1</v>
      </c>
      <c r="G346" s="14" t="b">
        <f>OR(Transport_Table[[#This Row],[Conversion]]="All",Transport_Table[[#This Row],[Conversion]]=SelectedConversion)</f>
        <v>1</v>
      </c>
      <c r="H346" s="14" t="b">
        <f>OR(Transport_Table[[#This Row],[Data Set]]="All",Transport_Table[[#This Row],[Data Set]]=SelectedDataSet)</f>
        <v>0</v>
      </c>
      <c r="I346" s="14" t="b">
        <f>OR(Transport_Table[[#This Row],[Technology]]="All",Transport_Table[[#This Row],[Technology]]=SelectedTechnology)</f>
        <v>1</v>
      </c>
      <c r="J346" s="14" t="b">
        <f>OR(Transport_Table[[#This Row],[Data Source]]="All",Transport_Table[[#This Row],[Data Source]]=SelectedDataSource)</f>
        <v>0</v>
      </c>
      <c r="K346" s="14" t="b">
        <v>1</v>
      </c>
      <c r="L346" s="14" t="b">
        <f>AND(Transport_Table[[#This Row],[Show Feedstock]:[Show Data Source]],NOT(Transport_Table[[#This Row],[Hide Column]]))</f>
        <v>0</v>
      </c>
      <c r="M346" s="14" t="s">
        <v>14</v>
      </c>
      <c r="N346" s="14" t="s">
        <v>1172</v>
      </c>
      <c r="O346" s="14" t="s">
        <v>1254</v>
      </c>
      <c r="P346" s="178" t="s">
        <v>125</v>
      </c>
      <c r="Q346" s="241" t="s">
        <v>1943</v>
      </c>
      <c r="R346" s="393">
        <v>0.8</v>
      </c>
      <c r="S346" s="394">
        <v>100.04073100000001</v>
      </c>
      <c r="T346" s="107"/>
    </row>
    <row r="347" spans="1:20" x14ac:dyDescent="0.3">
      <c r="A347" t="s">
        <v>1347</v>
      </c>
      <c r="B347" s="178" t="s">
        <v>30</v>
      </c>
      <c r="C347" s="178" t="s">
        <v>194</v>
      </c>
      <c r="D347" s="178" t="s">
        <v>368</v>
      </c>
      <c r="E347" s="178" t="s">
        <v>31</v>
      </c>
      <c r="F347" s="14" t="b">
        <f>OR(Transport_Table[[#This Row],[Feedstock]]="All",Transport_Table[[#This Row],[Feedstock]]=SelectedFeedstock)</f>
        <v>1</v>
      </c>
      <c r="G347" s="14" t="b">
        <f>OR(Transport_Table[[#This Row],[Conversion]]="All",Transport_Table[[#This Row],[Conversion]]=SelectedConversion)</f>
        <v>1</v>
      </c>
      <c r="H347" s="14" t="b">
        <f>OR(Transport_Table[[#This Row],[Data Set]]="All",Transport_Table[[#This Row],[Data Set]]=SelectedDataSet)</f>
        <v>0</v>
      </c>
      <c r="I347" s="14" t="b">
        <f>OR(Transport_Table[[#This Row],[Technology]]="All",Transport_Table[[#This Row],[Technology]]=SelectedTechnology)</f>
        <v>1</v>
      </c>
      <c r="J347" s="14" t="b">
        <f>OR(Transport_Table[[#This Row],[Data Source]]="All",Transport_Table[[#This Row],[Data Source]]=SelectedDataSource)</f>
        <v>0</v>
      </c>
      <c r="K347" s="14" t="b">
        <v>1</v>
      </c>
      <c r="L347" s="14" t="b">
        <f>AND(Transport_Table[[#This Row],[Show Feedstock]:[Show Data Source]],NOT(Transport_Table[[#This Row],[Hide Column]]))</f>
        <v>0</v>
      </c>
      <c r="M347" s="14" t="s">
        <v>14</v>
      </c>
      <c r="N347" s="14" t="s">
        <v>1173</v>
      </c>
      <c r="O347" s="14" t="s">
        <v>1255</v>
      </c>
      <c r="P347" s="178" t="s">
        <v>125</v>
      </c>
      <c r="Q347" s="241" t="s">
        <v>1944</v>
      </c>
      <c r="R347" s="396">
        <v>0</v>
      </c>
      <c r="S347" s="394">
        <v>0</v>
      </c>
      <c r="T347" s="107"/>
    </row>
    <row r="348" spans="1:20" x14ac:dyDescent="0.3">
      <c r="A348" t="s">
        <v>1347</v>
      </c>
      <c r="B348" s="178" t="s">
        <v>30</v>
      </c>
      <c r="C348" s="178" t="s">
        <v>194</v>
      </c>
      <c r="D348" s="178" t="s">
        <v>368</v>
      </c>
      <c r="E348" s="178" t="s">
        <v>31</v>
      </c>
      <c r="F348" s="14" t="b">
        <f>OR(Transport_Table[[#This Row],[Feedstock]]="All",Transport_Table[[#This Row],[Feedstock]]=SelectedFeedstock)</f>
        <v>1</v>
      </c>
      <c r="G348" s="14" t="b">
        <f>OR(Transport_Table[[#This Row],[Conversion]]="All",Transport_Table[[#This Row],[Conversion]]=SelectedConversion)</f>
        <v>1</v>
      </c>
      <c r="H348" s="14" t="b">
        <f>OR(Transport_Table[[#This Row],[Data Set]]="All",Transport_Table[[#This Row],[Data Set]]=SelectedDataSet)</f>
        <v>0</v>
      </c>
      <c r="I348" s="14" t="b">
        <f>OR(Transport_Table[[#This Row],[Technology]]="All",Transport_Table[[#This Row],[Technology]]=SelectedTechnology)</f>
        <v>1</v>
      </c>
      <c r="J348" s="14" t="b">
        <f>OR(Transport_Table[[#This Row],[Data Source]]="All",Transport_Table[[#This Row],[Data Source]]=SelectedDataSource)</f>
        <v>0</v>
      </c>
      <c r="K348" s="14" t="b">
        <v>1</v>
      </c>
      <c r="L348" s="14" t="b">
        <f>AND(Transport_Table[[#This Row],[Show Feedstock]:[Show Data Source]],NOT(Transport_Table[[#This Row],[Hide Column]]))</f>
        <v>0</v>
      </c>
      <c r="M348" s="14" t="s">
        <v>14</v>
      </c>
      <c r="N348" s="14" t="s">
        <v>1174</v>
      </c>
      <c r="O348" s="14" t="s">
        <v>1256</v>
      </c>
      <c r="P348" s="178" t="s">
        <v>400</v>
      </c>
      <c r="Q348" s="241" t="s">
        <v>1945</v>
      </c>
      <c r="R348" s="393">
        <v>0</v>
      </c>
      <c r="S348" s="394">
        <v>0</v>
      </c>
      <c r="T348" s="107"/>
    </row>
    <row r="349" spans="1:20" x14ac:dyDescent="0.3">
      <c r="A349" t="s">
        <v>1347</v>
      </c>
      <c r="B349" s="178" t="s">
        <v>30</v>
      </c>
      <c r="C349" s="178" t="s">
        <v>194</v>
      </c>
      <c r="D349" s="178" t="s">
        <v>368</v>
      </c>
      <c r="E349" s="178" t="s">
        <v>31</v>
      </c>
      <c r="F349" s="14" t="b">
        <f>OR(Transport_Table[[#This Row],[Feedstock]]="All",Transport_Table[[#This Row],[Feedstock]]=SelectedFeedstock)</f>
        <v>1</v>
      </c>
      <c r="G349" s="14" t="b">
        <f>OR(Transport_Table[[#This Row],[Conversion]]="All",Transport_Table[[#This Row],[Conversion]]=SelectedConversion)</f>
        <v>1</v>
      </c>
      <c r="H349" s="14" t="b">
        <f>OR(Transport_Table[[#This Row],[Data Set]]="All",Transport_Table[[#This Row],[Data Set]]=SelectedDataSet)</f>
        <v>0</v>
      </c>
      <c r="I349" s="14" t="b">
        <f>OR(Transport_Table[[#This Row],[Technology]]="All",Transport_Table[[#This Row],[Technology]]=SelectedTechnology)</f>
        <v>1</v>
      </c>
      <c r="J349" s="14" t="b">
        <f>OR(Transport_Table[[#This Row],[Data Source]]="All",Transport_Table[[#This Row],[Data Source]]=SelectedDataSource)</f>
        <v>0</v>
      </c>
      <c r="K349" s="14" t="b">
        <v>1</v>
      </c>
      <c r="L349" s="14" t="b">
        <f>AND(Transport_Table[[#This Row],[Show Feedstock]:[Show Data Source]],NOT(Transport_Table[[#This Row],[Hide Column]]))</f>
        <v>0</v>
      </c>
      <c r="M349" s="14" t="s">
        <v>14</v>
      </c>
      <c r="N349" s="14" t="s">
        <v>1175</v>
      </c>
      <c r="O349" s="14" t="s">
        <v>1257</v>
      </c>
      <c r="P349" s="178" t="s">
        <v>400</v>
      </c>
      <c r="Q349" s="241" t="s">
        <v>1946</v>
      </c>
      <c r="R349" s="393">
        <v>0</v>
      </c>
      <c r="S349" s="394">
        <v>0</v>
      </c>
      <c r="T349" s="107"/>
    </row>
    <row r="350" spans="1:20" x14ac:dyDescent="0.3">
      <c r="A350" t="s">
        <v>1347</v>
      </c>
      <c r="B350" s="178" t="s">
        <v>30</v>
      </c>
      <c r="C350" s="178" t="s">
        <v>194</v>
      </c>
      <c r="D350" s="178" t="s">
        <v>368</v>
      </c>
      <c r="E350" s="178" t="s">
        <v>31</v>
      </c>
      <c r="F350" s="14" t="b">
        <f>OR(Transport_Table[[#This Row],[Feedstock]]="All",Transport_Table[[#This Row],[Feedstock]]=SelectedFeedstock)</f>
        <v>1</v>
      </c>
      <c r="G350" s="14" t="b">
        <f>OR(Transport_Table[[#This Row],[Conversion]]="All",Transport_Table[[#This Row],[Conversion]]=SelectedConversion)</f>
        <v>1</v>
      </c>
      <c r="H350" s="14" t="b">
        <f>OR(Transport_Table[[#This Row],[Data Set]]="All",Transport_Table[[#This Row],[Data Set]]=SelectedDataSet)</f>
        <v>0</v>
      </c>
      <c r="I350" s="14" t="b">
        <f>OR(Transport_Table[[#This Row],[Technology]]="All",Transport_Table[[#This Row],[Technology]]=SelectedTechnology)</f>
        <v>1</v>
      </c>
      <c r="J350" s="14" t="b">
        <f>OR(Transport_Table[[#This Row],[Data Source]]="All",Transport_Table[[#This Row],[Data Source]]=SelectedDataSource)</f>
        <v>0</v>
      </c>
      <c r="K350" s="14" t="b">
        <v>1</v>
      </c>
      <c r="L350" s="14" t="b">
        <f>AND(Transport_Table[[#This Row],[Show Feedstock]:[Show Data Source]],NOT(Transport_Table[[#This Row],[Hide Column]]))</f>
        <v>0</v>
      </c>
      <c r="M350" s="14" t="s">
        <v>14</v>
      </c>
      <c r="N350" s="14" t="s">
        <v>1176</v>
      </c>
      <c r="O350" s="14" t="s">
        <v>1258</v>
      </c>
      <c r="P350" s="178" t="s">
        <v>400</v>
      </c>
      <c r="Q350" s="241" t="s">
        <v>1943</v>
      </c>
      <c r="R350" s="393">
        <v>0.33</v>
      </c>
      <c r="S350" s="394">
        <v>700</v>
      </c>
      <c r="T350" s="107"/>
    </row>
    <row r="351" spans="1:20" x14ac:dyDescent="0.3">
      <c r="A351" t="s">
        <v>1347</v>
      </c>
      <c r="B351" s="178" t="s">
        <v>30</v>
      </c>
      <c r="C351" s="178" t="s">
        <v>194</v>
      </c>
      <c r="D351" s="178" t="s">
        <v>368</v>
      </c>
      <c r="E351" s="178" t="s">
        <v>31</v>
      </c>
      <c r="F351" s="14" t="b">
        <f>OR(Transport_Table[[#This Row],[Feedstock]]="All",Transport_Table[[#This Row],[Feedstock]]=SelectedFeedstock)</f>
        <v>1</v>
      </c>
      <c r="G351" s="14" t="b">
        <f>OR(Transport_Table[[#This Row],[Conversion]]="All",Transport_Table[[#This Row],[Conversion]]=SelectedConversion)</f>
        <v>1</v>
      </c>
      <c r="H351" s="14" t="b">
        <f>OR(Transport_Table[[#This Row],[Data Set]]="All",Transport_Table[[#This Row],[Data Set]]=SelectedDataSet)</f>
        <v>0</v>
      </c>
      <c r="I351" s="14" t="b">
        <f>OR(Transport_Table[[#This Row],[Technology]]="All",Transport_Table[[#This Row],[Technology]]=SelectedTechnology)</f>
        <v>1</v>
      </c>
      <c r="J351" s="14" t="b">
        <f>OR(Transport_Table[[#This Row],[Data Source]]="All",Transport_Table[[#This Row],[Data Source]]=SelectedDataSource)</f>
        <v>0</v>
      </c>
      <c r="K351" s="14" t="b">
        <v>1</v>
      </c>
      <c r="L351" s="14" t="b">
        <f>AND(Transport_Table[[#This Row],[Show Feedstock]:[Show Data Source]],NOT(Transport_Table[[#This Row],[Hide Column]]))</f>
        <v>0</v>
      </c>
      <c r="M351" s="14" t="s">
        <v>14</v>
      </c>
      <c r="N351" s="14" t="s">
        <v>1177</v>
      </c>
      <c r="O351" s="14" t="s">
        <v>1259</v>
      </c>
      <c r="P351" s="178" t="s">
        <v>400</v>
      </c>
      <c r="Q351" s="241" t="s">
        <v>1944</v>
      </c>
      <c r="R351" s="393">
        <v>0.67</v>
      </c>
      <c r="S351" s="394">
        <v>80</v>
      </c>
      <c r="T351" s="107"/>
    </row>
    <row r="352" spans="1:20" x14ac:dyDescent="0.3">
      <c r="A352" t="s">
        <v>1347</v>
      </c>
      <c r="B352" s="178" t="s">
        <v>30</v>
      </c>
      <c r="C352" s="178" t="s">
        <v>194</v>
      </c>
      <c r="D352" s="178" t="s">
        <v>368</v>
      </c>
      <c r="E352" s="178" t="s">
        <v>31</v>
      </c>
      <c r="F352" s="14" t="b">
        <f>OR(Transport_Table[[#This Row],[Feedstock]]="All",Transport_Table[[#This Row],[Feedstock]]=SelectedFeedstock)</f>
        <v>1</v>
      </c>
      <c r="G352" s="14" t="b">
        <f>OR(Transport_Table[[#This Row],[Conversion]]="All",Transport_Table[[#This Row],[Conversion]]=SelectedConversion)</f>
        <v>1</v>
      </c>
      <c r="H352" s="14" t="b">
        <f>OR(Transport_Table[[#This Row],[Data Set]]="All",Transport_Table[[#This Row],[Data Set]]=SelectedDataSet)</f>
        <v>0</v>
      </c>
      <c r="I352" s="14" t="b">
        <f>OR(Transport_Table[[#This Row],[Technology]]="All",Transport_Table[[#This Row],[Technology]]=SelectedTechnology)</f>
        <v>1</v>
      </c>
      <c r="J352" s="14" t="b">
        <f>OR(Transport_Table[[#This Row],[Data Source]]="All",Transport_Table[[#This Row],[Data Source]]=SelectedDataSource)</f>
        <v>0</v>
      </c>
      <c r="L352" s="14" t="b">
        <f>AND(Transport_Table[[#This Row],[Show Feedstock]:[Show Data Source]],NOT(Transport_Table[[#This Row],[Hide Column]]))</f>
        <v>0</v>
      </c>
      <c r="M352" s="14" t="s">
        <v>14</v>
      </c>
      <c r="N352" s="14" t="s">
        <v>1161</v>
      </c>
      <c r="O352" s="14" t="s">
        <v>1243</v>
      </c>
      <c r="P352" s="178" t="s">
        <v>1700</v>
      </c>
      <c r="Q352" s="241" t="s">
        <v>1945</v>
      </c>
      <c r="R352" s="393">
        <v>0.08</v>
      </c>
      <c r="S352" s="394">
        <v>519.99854667279999</v>
      </c>
      <c r="T352" s="107"/>
    </row>
    <row r="353" spans="1:20" x14ac:dyDescent="0.3">
      <c r="A353" t="s">
        <v>1347</v>
      </c>
      <c r="B353" s="178" t="s">
        <v>30</v>
      </c>
      <c r="C353" s="178" t="s">
        <v>194</v>
      </c>
      <c r="D353" s="178" t="s">
        <v>368</v>
      </c>
      <c r="E353" s="178" t="s">
        <v>31</v>
      </c>
      <c r="F353" s="14" t="b">
        <f>OR(Transport_Table[[#This Row],[Feedstock]]="All",Transport_Table[[#This Row],[Feedstock]]=SelectedFeedstock)</f>
        <v>1</v>
      </c>
      <c r="G353" s="14" t="b">
        <f>OR(Transport_Table[[#This Row],[Conversion]]="All",Transport_Table[[#This Row],[Conversion]]=SelectedConversion)</f>
        <v>1</v>
      </c>
      <c r="H353" s="14" t="b">
        <f>OR(Transport_Table[[#This Row],[Data Set]]="All",Transport_Table[[#This Row],[Data Set]]=SelectedDataSet)</f>
        <v>0</v>
      </c>
      <c r="I353" s="14" t="b">
        <f>OR(Transport_Table[[#This Row],[Technology]]="All",Transport_Table[[#This Row],[Technology]]=SelectedTechnology)</f>
        <v>1</v>
      </c>
      <c r="J353" s="14" t="b">
        <f>OR(Transport_Table[[#This Row],[Data Source]]="All",Transport_Table[[#This Row],[Data Source]]=SelectedDataSource)</f>
        <v>0</v>
      </c>
      <c r="L353" s="14" t="b">
        <f>AND(Transport_Table[[#This Row],[Show Feedstock]:[Show Data Source]],NOT(Transport_Table[[#This Row],[Hide Column]]))</f>
        <v>0</v>
      </c>
      <c r="M353" s="14" t="s">
        <v>14</v>
      </c>
      <c r="N353" s="14" t="s">
        <v>1162</v>
      </c>
      <c r="O353" s="14" t="s">
        <v>1244</v>
      </c>
      <c r="P353" s="178" t="s">
        <v>1700</v>
      </c>
      <c r="Q353" s="241" t="s">
        <v>1946</v>
      </c>
      <c r="R353" s="393">
        <v>0</v>
      </c>
      <c r="S353" s="394">
        <v>0</v>
      </c>
      <c r="T353" s="107"/>
    </row>
    <row r="354" spans="1:20" x14ac:dyDescent="0.3">
      <c r="A354" t="s">
        <v>1347</v>
      </c>
      <c r="B354" s="178" t="s">
        <v>30</v>
      </c>
      <c r="C354" s="178" t="s">
        <v>194</v>
      </c>
      <c r="D354" s="178" t="s">
        <v>368</v>
      </c>
      <c r="E354" s="178" t="s">
        <v>31</v>
      </c>
      <c r="F354" s="14" t="b">
        <f>OR(Transport_Table[[#This Row],[Feedstock]]="All",Transport_Table[[#This Row],[Feedstock]]=SelectedFeedstock)</f>
        <v>1</v>
      </c>
      <c r="G354" s="14" t="b">
        <f>OR(Transport_Table[[#This Row],[Conversion]]="All",Transport_Table[[#This Row],[Conversion]]=SelectedConversion)</f>
        <v>1</v>
      </c>
      <c r="H354" s="14" t="b">
        <f>OR(Transport_Table[[#This Row],[Data Set]]="All",Transport_Table[[#This Row],[Data Set]]=SelectedDataSet)</f>
        <v>0</v>
      </c>
      <c r="I354" s="14" t="b">
        <f>OR(Transport_Table[[#This Row],[Technology]]="All",Transport_Table[[#This Row],[Technology]]=SelectedTechnology)</f>
        <v>1</v>
      </c>
      <c r="J354" s="14" t="b">
        <f>OR(Transport_Table[[#This Row],[Data Source]]="All",Transport_Table[[#This Row],[Data Source]]=SelectedDataSource)</f>
        <v>0</v>
      </c>
      <c r="L354" s="14" t="b">
        <f>AND(Transport_Table[[#This Row],[Show Feedstock]:[Show Data Source]],NOT(Transport_Table[[#This Row],[Hide Column]]))</f>
        <v>0</v>
      </c>
      <c r="M354" s="14" t="s">
        <v>14</v>
      </c>
      <c r="N354" s="14" t="s">
        <v>1163</v>
      </c>
      <c r="O354" s="14" t="s">
        <v>1245</v>
      </c>
      <c r="P354" s="178" t="s">
        <v>1700</v>
      </c>
      <c r="Q354" s="241" t="s">
        <v>1943</v>
      </c>
      <c r="R354" s="393">
        <v>0.28999999999999998</v>
      </c>
      <c r="S354" s="394">
        <v>799.99776411200003</v>
      </c>
      <c r="T354" s="107"/>
    </row>
    <row r="355" spans="1:20" x14ac:dyDescent="0.3">
      <c r="A355" t="s">
        <v>1347</v>
      </c>
      <c r="B355" s="178" t="s">
        <v>30</v>
      </c>
      <c r="C355" s="178" t="s">
        <v>194</v>
      </c>
      <c r="D355" s="178" t="s">
        <v>368</v>
      </c>
      <c r="E355" s="178" t="s">
        <v>31</v>
      </c>
      <c r="F355" s="14" t="b">
        <f>OR(Transport_Table[[#This Row],[Feedstock]]="All",Transport_Table[[#This Row],[Feedstock]]=SelectedFeedstock)</f>
        <v>1</v>
      </c>
      <c r="G355" s="14" t="b">
        <f>OR(Transport_Table[[#This Row],[Conversion]]="All",Transport_Table[[#This Row],[Conversion]]=SelectedConversion)</f>
        <v>1</v>
      </c>
      <c r="H355" s="14" t="b">
        <f>OR(Transport_Table[[#This Row],[Data Set]]="All",Transport_Table[[#This Row],[Data Set]]=SelectedDataSet)</f>
        <v>0</v>
      </c>
      <c r="I355" s="14" t="b">
        <f>OR(Transport_Table[[#This Row],[Technology]]="All",Transport_Table[[#This Row],[Technology]]=SelectedTechnology)</f>
        <v>1</v>
      </c>
      <c r="J355" s="14" t="b">
        <f>OR(Transport_Table[[#This Row],[Data Source]]="All",Transport_Table[[#This Row],[Data Source]]=SelectedDataSource)</f>
        <v>0</v>
      </c>
      <c r="L355" s="14" t="b">
        <f>AND(Transport_Table[[#This Row],[Show Feedstock]:[Show Data Source]],NOT(Transport_Table[[#This Row],[Hide Column]]))</f>
        <v>0</v>
      </c>
      <c r="M355" s="14" t="s">
        <v>14</v>
      </c>
      <c r="N355" s="14" t="s">
        <v>1164</v>
      </c>
      <c r="O355" s="14" t="s">
        <v>1246</v>
      </c>
      <c r="P355" s="178" t="s">
        <v>1700</v>
      </c>
      <c r="Q355" s="241" t="s">
        <v>1944</v>
      </c>
      <c r="R355" s="393">
        <v>0.63</v>
      </c>
      <c r="S355" s="394">
        <v>49.999860257000002</v>
      </c>
      <c r="T355" s="107"/>
    </row>
    <row r="356" spans="1:20" x14ac:dyDescent="0.3">
      <c r="A356" t="s">
        <v>1347</v>
      </c>
      <c r="B356" s="178" t="s">
        <v>30</v>
      </c>
      <c r="C356" s="178" t="s">
        <v>194</v>
      </c>
      <c r="D356" s="178" t="s">
        <v>368</v>
      </c>
      <c r="E356" s="178" t="s">
        <v>31</v>
      </c>
      <c r="F356" s="14" t="b">
        <f>OR(Transport_Table[[#This Row],[Feedstock]]="All",Transport_Table[[#This Row],[Feedstock]]=SelectedFeedstock)</f>
        <v>1</v>
      </c>
      <c r="G356" s="14" t="b">
        <f>OR(Transport_Table[[#This Row],[Conversion]]="All",Transport_Table[[#This Row],[Conversion]]=SelectedConversion)</f>
        <v>1</v>
      </c>
      <c r="H356" s="14" t="b">
        <f>OR(Transport_Table[[#This Row],[Data Set]]="All",Transport_Table[[#This Row],[Data Set]]=SelectedDataSet)</f>
        <v>0</v>
      </c>
      <c r="I356" s="14" t="b">
        <f>OR(Transport_Table[[#This Row],[Technology]]="All",Transport_Table[[#This Row],[Technology]]=SelectedTechnology)</f>
        <v>1</v>
      </c>
      <c r="J356" s="14" t="b">
        <f>OR(Transport_Table[[#This Row],[Data Source]]="All",Transport_Table[[#This Row],[Data Source]]=SelectedDataSource)</f>
        <v>0</v>
      </c>
      <c r="L356" s="14" t="b">
        <f>AND(Transport_Table[[#This Row],[Show Feedstock]:[Show Data Source]],NOT(Transport_Table[[#This Row],[Hide Column]]))</f>
        <v>0</v>
      </c>
      <c r="M356" s="14" t="s">
        <v>14</v>
      </c>
      <c r="N356" s="14" t="s">
        <v>1165</v>
      </c>
      <c r="O356" s="14" t="s">
        <v>1247</v>
      </c>
      <c r="P356" s="178" t="s">
        <v>1701</v>
      </c>
      <c r="Q356" s="241" t="s">
        <v>1945</v>
      </c>
      <c r="R356" s="393">
        <v>1</v>
      </c>
      <c r="S356" s="394">
        <v>29.999916154200001</v>
      </c>
      <c r="T356" s="107"/>
    </row>
    <row r="357" spans="1:20" x14ac:dyDescent="0.3">
      <c r="A357" t="s">
        <v>1347</v>
      </c>
      <c r="B357" s="178" t="s">
        <v>30</v>
      </c>
      <c r="C357" s="178" t="s">
        <v>194</v>
      </c>
      <c r="D357" s="178" t="s">
        <v>370</v>
      </c>
      <c r="E357" s="178" t="s">
        <v>31</v>
      </c>
      <c r="F357" s="14" t="b">
        <f>OR(Transport_Table[[#This Row],[Feedstock]]="All",Transport_Table[[#This Row],[Feedstock]]=SelectedFeedstock)</f>
        <v>1</v>
      </c>
      <c r="G357" s="14" t="b">
        <f>OR(Transport_Table[[#This Row],[Conversion]]="All",Transport_Table[[#This Row],[Conversion]]=SelectedConversion)</f>
        <v>1</v>
      </c>
      <c r="H357" s="14" t="b">
        <f>OR(Transport_Table[[#This Row],[Data Set]]="All",Transport_Table[[#This Row],[Data Set]]=SelectedDataSet)</f>
        <v>0</v>
      </c>
      <c r="I357" s="14" t="b">
        <f>OR(Transport_Table[[#This Row],[Technology]]="All",Transport_Table[[#This Row],[Technology]]=SelectedTechnology)</f>
        <v>1</v>
      </c>
      <c r="J357" s="14" t="b">
        <f>OR(Transport_Table[[#This Row],[Data Source]]="All",Transport_Table[[#This Row],[Data Source]]=SelectedDataSource)</f>
        <v>0</v>
      </c>
      <c r="K357" s="14" t="b">
        <v>1</v>
      </c>
      <c r="L357" s="14" t="b">
        <f>AND(Transport_Table[[#This Row],[Show Feedstock]:[Show Data Source]],NOT(Transport_Table[[#This Row],[Hide Column]]))</f>
        <v>0</v>
      </c>
      <c r="M357" s="14" t="s">
        <v>14</v>
      </c>
      <c r="N357" s="14" t="s">
        <v>1170</v>
      </c>
      <c r="O357" s="14" t="s">
        <v>1252</v>
      </c>
      <c r="P357" s="178" t="s">
        <v>125</v>
      </c>
      <c r="Q357" s="241" t="s">
        <v>1946</v>
      </c>
      <c r="R357" s="393">
        <v>0</v>
      </c>
      <c r="S357" s="394">
        <v>0</v>
      </c>
      <c r="T357" s="107"/>
    </row>
    <row r="358" spans="1:20" x14ac:dyDescent="0.3">
      <c r="A358" t="s">
        <v>1347</v>
      </c>
      <c r="B358" s="178" t="s">
        <v>30</v>
      </c>
      <c r="C358" s="178" t="s">
        <v>194</v>
      </c>
      <c r="D358" s="178" t="s">
        <v>370</v>
      </c>
      <c r="E358" s="178" t="s">
        <v>31</v>
      </c>
      <c r="F358" s="14" t="b">
        <f>OR(Transport_Table[[#This Row],[Feedstock]]="All",Transport_Table[[#This Row],[Feedstock]]=SelectedFeedstock)</f>
        <v>1</v>
      </c>
      <c r="G358" s="14" t="b">
        <f>OR(Transport_Table[[#This Row],[Conversion]]="All",Transport_Table[[#This Row],[Conversion]]=SelectedConversion)</f>
        <v>1</v>
      </c>
      <c r="H358" s="14" t="b">
        <f>OR(Transport_Table[[#This Row],[Data Set]]="All",Transport_Table[[#This Row],[Data Set]]=SelectedDataSet)</f>
        <v>0</v>
      </c>
      <c r="I358" s="14" t="b">
        <f>OR(Transport_Table[[#This Row],[Technology]]="All",Transport_Table[[#This Row],[Technology]]=SelectedTechnology)</f>
        <v>1</v>
      </c>
      <c r="J358" s="14" t="b">
        <f>OR(Transport_Table[[#This Row],[Data Source]]="All",Transport_Table[[#This Row],[Data Source]]=SelectedDataSource)</f>
        <v>0</v>
      </c>
      <c r="K358" s="14" t="b">
        <v>1</v>
      </c>
      <c r="L358" s="14" t="b">
        <f>AND(Transport_Table[[#This Row],[Show Feedstock]:[Show Data Source]],NOT(Transport_Table[[#This Row],[Hide Column]]))</f>
        <v>0</v>
      </c>
      <c r="M358" s="14" t="s">
        <v>14</v>
      </c>
      <c r="N358" s="14" t="s">
        <v>1171</v>
      </c>
      <c r="O358" s="14" t="s">
        <v>1253</v>
      </c>
      <c r="P358" s="178" t="s">
        <v>125</v>
      </c>
      <c r="Q358" s="241" t="s">
        <v>1943</v>
      </c>
      <c r="R358" s="393">
        <v>0.2</v>
      </c>
      <c r="S358" s="394">
        <v>400.16292400000003</v>
      </c>
      <c r="T358" s="107"/>
    </row>
    <row r="359" spans="1:20" x14ac:dyDescent="0.3">
      <c r="A359" t="s">
        <v>1347</v>
      </c>
      <c r="B359" s="178" t="s">
        <v>30</v>
      </c>
      <c r="C359" s="178" t="s">
        <v>194</v>
      </c>
      <c r="D359" s="178" t="s">
        <v>370</v>
      </c>
      <c r="E359" s="178" t="s">
        <v>31</v>
      </c>
      <c r="F359" s="14" t="b">
        <f>OR(Transport_Table[[#This Row],[Feedstock]]="All",Transport_Table[[#This Row],[Feedstock]]=SelectedFeedstock)</f>
        <v>1</v>
      </c>
      <c r="G359" s="14" t="b">
        <f>OR(Transport_Table[[#This Row],[Conversion]]="All",Transport_Table[[#This Row],[Conversion]]=SelectedConversion)</f>
        <v>1</v>
      </c>
      <c r="H359" s="14" t="b">
        <f>OR(Transport_Table[[#This Row],[Data Set]]="All",Transport_Table[[#This Row],[Data Set]]=SelectedDataSet)</f>
        <v>0</v>
      </c>
      <c r="I359" s="14" t="b">
        <f>OR(Transport_Table[[#This Row],[Technology]]="All",Transport_Table[[#This Row],[Technology]]=SelectedTechnology)</f>
        <v>1</v>
      </c>
      <c r="J359" s="14" t="b">
        <f>OR(Transport_Table[[#This Row],[Data Source]]="All",Transport_Table[[#This Row],[Data Source]]=SelectedDataSource)</f>
        <v>0</v>
      </c>
      <c r="K359" s="14" t="b">
        <v>1</v>
      </c>
      <c r="L359" s="14" t="b">
        <f>AND(Transport_Table[[#This Row],[Show Feedstock]:[Show Data Source]],NOT(Transport_Table[[#This Row],[Hide Column]]))</f>
        <v>0</v>
      </c>
      <c r="M359" s="14" t="s">
        <v>14</v>
      </c>
      <c r="N359" s="14" t="s">
        <v>1172</v>
      </c>
      <c r="O359" s="14" t="s">
        <v>1254</v>
      </c>
      <c r="P359" s="178" t="s">
        <v>125</v>
      </c>
      <c r="Q359" s="241" t="s">
        <v>1944</v>
      </c>
      <c r="R359" s="393">
        <v>0.8</v>
      </c>
      <c r="S359" s="394">
        <v>100.04073100000001</v>
      </c>
      <c r="T359" s="107"/>
    </row>
    <row r="360" spans="1:20" x14ac:dyDescent="0.3">
      <c r="A360" t="s">
        <v>1347</v>
      </c>
      <c r="B360" s="178" t="s">
        <v>30</v>
      </c>
      <c r="C360" s="178" t="s">
        <v>194</v>
      </c>
      <c r="D360" s="178" t="s">
        <v>370</v>
      </c>
      <c r="E360" s="178" t="s">
        <v>31</v>
      </c>
      <c r="F360" s="14" t="b">
        <f>OR(Transport_Table[[#This Row],[Feedstock]]="All",Transport_Table[[#This Row],[Feedstock]]=SelectedFeedstock)</f>
        <v>1</v>
      </c>
      <c r="G360" s="14" t="b">
        <f>OR(Transport_Table[[#This Row],[Conversion]]="All",Transport_Table[[#This Row],[Conversion]]=SelectedConversion)</f>
        <v>1</v>
      </c>
      <c r="H360" s="14" t="b">
        <f>OR(Transport_Table[[#This Row],[Data Set]]="All",Transport_Table[[#This Row],[Data Set]]=SelectedDataSet)</f>
        <v>0</v>
      </c>
      <c r="I360" s="14" t="b">
        <f>OR(Transport_Table[[#This Row],[Technology]]="All",Transport_Table[[#This Row],[Technology]]=SelectedTechnology)</f>
        <v>1</v>
      </c>
      <c r="J360" s="14" t="b">
        <f>OR(Transport_Table[[#This Row],[Data Source]]="All",Transport_Table[[#This Row],[Data Source]]=SelectedDataSource)</f>
        <v>0</v>
      </c>
      <c r="K360" s="14" t="b">
        <v>1</v>
      </c>
      <c r="L360" s="14" t="b">
        <f>AND(Transport_Table[[#This Row],[Show Feedstock]:[Show Data Source]],NOT(Transport_Table[[#This Row],[Hide Column]]))</f>
        <v>0</v>
      </c>
      <c r="M360" s="14" t="s">
        <v>14</v>
      </c>
      <c r="N360" s="14" t="s">
        <v>1173</v>
      </c>
      <c r="O360" s="14" t="s">
        <v>1255</v>
      </c>
      <c r="P360" s="178" t="s">
        <v>125</v>
      </c>
      <c r="Q360" s="241" t="s">
        <v>1945</v>
      </c>
      <c r="R360" s="396">
        <v>0</v>
      </c>
      <c r="S360" s="394">
        <v>0</v>
      </c>
      <c r="T360" s="107"/>
    </row>
    <row r="361" spans="1:20" x14ac:dyDescent="0.3">
      <c r="A361" t="s">
        <v>1347</v>
      </c>
      <c r="B361" s="178" t="s">
        <v>30</v>
      </c>
      <c r="C361" s="178" t="s">
        <v>194</v>
      </c>
      <c r="D361" s="178" t="s">
        <v>370</v>
      </c>
      <c r="E361" s="178" t="s">
        <v>31</v>
      </c>
      <c r="F361" s="14" t="b">
        <f>OR(Transport_Table[[#This Row],[Feedstock]]="All",Transport_Table[[#This Row],[Feedstock]]=SelectedFeedstock)</f>
        <v>1</v>
      </c>
      <c r="G361" s="14" t="b">
        <f>OR(Transport_Table[[#This Row],[Conversion]]="All",Transport_Table[[#This Row],[Conversion]]=SelectedConversion)</f>
        <v>1</v>
      </c>
      <c r="H361" s="14" t="b">
        <f>OR(Transport_Table[[#This Row],[Data Set]]="All",Transport_Table[[#This Row],[Data Set]]=SelectedDataSet)</f>
        <v>0</v>
      </c>
      <c r="I361" s="14" t="b">
        <f>OR(Transport_Table[[#This Row],[Technology]]="All",Transport_Table[[#This Row],[Technology]]=SelectedTechnology)</f>
        <v>1</v>
      </c>
      <c r="J361" s="14" t="b">
        <f>OR(Transport_Table[[#This Row],[Data Source]]="All",Transport_Table[[#This Row],[Data Source]]=SelectedDataSource)</f>
        <v>0</v>
      </c>
      <c r="K361" s="14" t="b">
        <v>1</v>
      </c>
      <c r="L361" s="14" t="b">
        <f>AND(Transport_Table[[#This Row],[Show Feedstock]:[Show Data Source]],NOT(Transport_Table[[#This Row],[Hide Column]]))</f>
        <v>0</v>
      </c>
      <c r="M361" s="14" t="s">
        <v>14</v>
      </c>
      <c r="N361" s="14" t="s">
        <v>1174</v>
      </c>
      <c r="O361" s="14" t="s">
        <v>1256</v>
      </c>
      <c r="P361" s="178" t="s">
        <v>400</v>
      </c>
      <c r="Q361" s="241" t="s">
        <v>1946</v>
      </c>
      <c r="R361" s="393">
        <v>0</v>
      </c>
      <c r="S361" s="394">
        <v>0</v>
      </c>
      <c r="T361" s="107"/>
    </row>
    <row r="362" spans="1:20" x14ac:dyDescent="0.3">
      <c r="A362" t="s">
        <v>1347</v>
      </c>
      <c r="B362" s="178" t="s">
        <v>30</v>
      </c>
      <c r="C362" s="178" t="s">
        <v>194</v>
      </c>
      <c r="D362" s="178" t="s">
        <v>370</v>
      </c>
      <c r="E362" s="178" t="s">
        <v>31</v>
      </c>
      <c r="F362" s="14" t="b">
        <f>OR(Transport_Table[[#This Row],[Feedstock]]="All",Transport_Table[[#This Row],[Feedstock]]=SelectedFeedstock)</f>
        <v>1</v>
      </c>
      <c r="G362" s="14" t="b">
        <f>OR(Transport_Table[[#This Row],[Conversion]]="All",Transport_Table[[#This Row],[Conversion]]=SelectedConversion)</f>
        <v>1</v>
      </c>
      <c r="H362" s="14" t="b">
        <f>OR(Transport_Table[[#This Row],[Data Set]]="All",Transport_Table[[#This Row],[Data Set]]=SelectedDataSet)</f>
        <v>0</v>
      </c>
      <c r="I362" s="14" t="b">
        <f>OR(Transport_Table[[#This Row],[Technology]]="All",Transport_Table[[#This Row],[Technology]]=SelectedTechnology)</f>
        <v>1</v>
      </c>
      <c r="J362" s="14" t="b">
        <f>OR(Transport_Table[[#This Row],[Data Source]]="All",Transport_Table[[#This Row],[Data Source]]=SelectedDataSource)</f>
        <v>0</v>
      </c>
      <c r="K362" s="14" t="b">
        <v>1</v>
      </c>
      <c r="L362" s="14" t="b">
        <f>AND(Transport_Table[[#This Row],[Show Feedstock]:[Show Data Source]],NOT(Transport_Table[[#This Row],[Hide Column]]))</f>
        <v>0</v>
      </c>
      <c r="M362" s="14" t="s">
        <v>14</v>
      </c>
      <c r="N362" s="14" t="s">
        <v>1175</v>
      </c>
      <c r="O362" s="14" t="s">
        <v>1257</v>
      </c>
      <c r="P362" s="178" t="s">
        <v>400</v>
      </c>
      <c r="Q362" s="241" t="s">
        <v>1944</v>
      </c>
      <c r="R362" s="393">
        <v>0</v>
      </c>
      <c r="S362" s="394">
        <v>0</v>
      </c>
      <c r="T362" s="107"/>
    </row>
    <row r="363" spans="1:20" x14ac:dyDescent="0.3">
      <c r="A363" t="s">
        <v>1347</v>
      </c>
      <c r="B363" s="178" t="s">
        <v>30</v>
      </c>
      <c r="C363" s="178" t="s">
        <v>194</v>
      </c>
      <c r="D363" s="178" t="s">
        <v>370</v>
      </c>
      <c r="E363" s="178" t="s">
        <v>31</v>
      </c>
      <c r="F363" s="14" t="b">
        <f>OR(Transport_Table[[#This Row],[Feedstock]]="All",Transport_Table[[#This Row],[Feedstock]]=SelectedFeedstock)</f>
        <v>1</v>
      </c>
      <c r="G363" s="14" t="b">
        <f>OR(Transport_Table[[#This Row],[Conversion]]="All",Transport_Table[[#This Row],[Conversion]]=SelectedConversion)</f>
        <v>1</v>
      </c>
      <c r="H363" s="14" t="b">
        <f>OR(Transport_Table[[#This Row],[Data Set]]="All",Transport_Table[[#This Row],[Data Set]]=SelectedDataSet)</f>
        <v>0</v>
      </c>
      <c r="I363" s="14" t="b">
        <f>OR(Transport_Table[[#This Row],[Technology]]="All",Transport_Table[[#This Row],[Technology]]=SelectedTechnology)</f>
        <v>1</v>
      </c>
      <c r="J363" s="14" t="b">
        <f>OR(Transport_Table[[#This Row],[Data Source]]="All",Transport_Table[[#This Row],[Data Source]]=SelectedDataSource)</f>
        <v>0</v>
      </c>
      <c r="K363" s="14" t="b">
        <v>1</v>
      </c>
      <c r="L363" s="14" t="b">
        <f>AND(Transport_Table[[#This Row],[Show Feedstock]:[Show Data Source]],NOT(Transport_Table[[#This Row],[Hide Column]]))</f>
        <v>0</v>
      </c>
      <c r="M363" s="14" t="s">
        <v>14</v>
      </c>
      <c r="N363" s="14" t="s">
        <v>1176</v>
      </c>
      <c r="O363" s="14" t="s">
        <v>1258</v>
      </c>
      <c r="P363" s="178" t="s">
        <v>400</v>
      </c>
      <c r="Q363" s="241" t="s">
        <v>1945</v>
      </c>
      <c r="R363" s="393">
        <v>0.33</v>
      </c>
      <c r="S363" s="394">
        <v>700</v>
      </c>
      <c r="T363" s="107"/>
    </row>
    <row r="364" spans="1:20" x14ac:dyDescent="0.3">
      <c r="A364" t="s">
        <v>1347</v>
      </c>
      <c r="B364" s="178" t="s">
        <v>30</v>
      </c>
      <c r="C364" s="178" t="s">
        <v>194</v>
      </c>
      <c r="D364" s="178" t="s">
        <v>370</v>
      </c>
      <c r="E364" s="178" t="s">
        <v>31</v>
      </c>
      <c r="F364" s="14" t="b">
        <f>OR(Transport_Table[[#This Row],[Feedstock]]="All",Transport_Table[[#This Row],[Feedstock]]=SelectedFeedstock)</f>
        <v>1</v>
      </c>
      <c r="G364" s="14" t="b">
        <f>OR(Transport_Table[[#This Row],[Conversion]]="All",Transport_Table[[#This Row],[Conversion]]=SelectedConversion)</f>
        <v>1</v>
      </c>
      <c r="H364" s="14" t="b">
        <f>OR(Transport_Table[[#This Row],[Data Set]]="All",Transport_Table[[#This Row],[Data Set]]=SelectedDataSet)</f>
        <v>0</v>
      </c>
      <c r="I364" s="14" t="b">
        <f>OR(Transport_Table[[#This Row],[Technology]]="All",Transport_Table[[#This Row],[Technology]]=SelectedTechnology)</f>
        <v>1</v>
      </c>
      <c r="J364" s="14" t="b">
        <f>OR(Transport_Table[[#This Row],[Data Source]]="All",Transport_Table[[#This Row],[Data Source]]=SelectedDataSource)</f>
        <v>0</v>
      </c>
      <c r="K364" s="14" t="b">
        <v>1</v>
      </c>
      <c r="L364" s="14" t="b">
        <f>AND(Transport_Table[[#This Row],[Show Feedstock]:[Show Data Source]],NOT(Transport_Table[[#This Row],[Hide Column]]))</f>
        <v>0</v>
      </c>
      <c r="M364" s="14" t="s">
        <v>14</v>
      </c>
      <c r="N364" s="14" t="s">
        <v>1177</v>
      </c>
      <c r="O364" s="14" t="s">
        <v>1259</v>
      </c>
      <c r="P364" s="178" t="s">
        <v>400</v>
      </c>
      <c r="Q364" s="241" t="s">
        <v>1946</v>
      </c>
      <c r="R364" s="393">
        <v>0.67</v>
      </c>
      <c r="S364" s="394">
        <v>80</v>
      </c>
      <c r="T364" s="107"/>
    </row>
    <row r="365" spans="1:20" x14ac:dyDescent="0.3">
      <c r="A365" t="s">
        <v>1347</v>
      </c>
      <c r="B365" s="178" t="s">
        <v>30</v>
      </c>
      <c r="C365" s="178" t="s">
        <v>194</v>
      </c>
      <c r="D365" s="178" t="s">
        <v>370</v>
      </c>
      <c r="E365" s="178" t="s">
        <v>31</v>
      </c>
      <c r="F365" s="14" t="b">
        <f>OR(Transport_Table[[#This Row],[Feedstock]]="All",Transport_Table[[#This Row],[Feedstock]]=SelectedFeedstock)</f>
        <v>1</v>
      </c>
      <c r="G365" s="14" t="b">
        <f>OR(Transport_Table[[#This Row],[Conversion]]="All",Transport_Table[[#This Row],[Conversion]]=SelectedConversion)</f>
        <v>1</v>
      </c>
      <c r="H365" s="14" t="b">
        <f>OR(Transport_Table[[#This Row],[Data Set]]="All",Transport_Table[[#This Row],[Data Set]]=SelectedDataSet)</f>
        <v>0</v>
      </c>
      <c r="I365" s="14" t="b">
        <f>OR(Transport_Table[[#This Row],[Technology]]="All",Transport_Table[[#This Row],[Technology]]=SelectedTechnology)</f>
        <v>1</v>
      </c>
      <c r="J365" s="14" t="b">
        <f>OR(Transport_Table[[#This Row],[Data Source]]="All",Transport_Table[[#This Row],[Data Source]]=SelectedDataSource)</f>
        <v>0</v>
      </c>
      <c r="L365" s="14" t="b">
        <f>AND(Transport_Table[[#This Row],[Show Feedstock]:[Show Data Source]],NOT(Transport_Table[[#This Row],[Hide Column]]))</f>
        <v>0</v>
      </c>
      <c r="M365" s="14" t="s">
        <v>14</v>
      </c>
      <c r="N365" s="14" t="s">
        <v>1161</v>
      </c>
      <c r="O365" s="14" t="s">
        <v>1243</v>
      </c>
      <c r="P365" s="178" t="s">
        <v>1700</v>
      </c>
      <c r="Q365" s="241" t="s">
        <v>1943</v>
      </c>
      <c r="R365" s="393">
        <v>0.08</v>
      </c>
      <c r="S365" s="394">
        <v>519.99854667279999</v>
      </c>
      <c r="T365" s="107"/>
    </row>
    <row r="366" spans="1:20" x14ac:dyDescent="0.3">
      <c r="A366" t="s">
        <v>1347</v>
      </c>
      <c r="B366" s="178" t="s">
        <v>30</v>
      </c>
      <c r="C366" s="178" t="s">
        <v>194</v>
      </c>
      <c r="D366" s="178" t="s">
        <v>370</v>
      </c>
      <c r="E366" s="178" t="s">
        <v>31</v>
      </c>
      <c r="F366" s="14" t="b">
        <f>OR(Transport_Table[[#This Row],[Feedstock]]="All",Transport_Table[[#This Row],[Feedstock]]=SelectedFeedstock)</f>
        <v>1</v>
      </c>
      <c r="G366" s="14" t="b">
        <f>OR(Transport_Table[[#This Row],[Conversion]]="All",Transport_Table[[#This Row],[Conversion]]=SelectedConversion)</f>
        <v>1</v>
      </c>
      <c r="H366" s="14" t="b">
        <f>OR(Transport_Table[[#This Row],[Data Set]]="All",Transport_Table[[#This Row],[Data Set]]=SelectedDataSet)</f>
        <v>0</v>
      </c>
      <c r="I366" s="14" t="b">
        <f>OR(Transport_Table[[#This Row],[Technology]]="All",Transport_Table[[#This Row],[Technology]]=SelectedTechnology)</f>
        <v>1</v>
      </c>
      <c r="J366" s="14" t="b">
        <f>OR(Transport_Table[[#This Row],[Data Source]]="All",Transport_Table[[#This Row],[Data Source]]=SelectedDataSource)</f>
        <v>0</v>
      </c>
      <c r="L366" s="14" t="b">
        <f>AND(Transport_Table[[#This Row],[Show Feedstock]:[Show Data Source]],NOT(Transport_Table[[#This Row],[Hide Column]]))</f>
        <v>0</v>
      </c>
      <c r="M366" s="14" t="s">
        <v>14</v>
      </c>
      <c r="N366" s="14" t="s">
        <v>1162</v>
      </c>
      <c r="O366" s="14" t="s">
        <v>1244</v>
      </c>
      <c r="P366" s="178" t="s">
        <v>1700</v>
      </c>
      <c r="Q366" s="241" t="s">
        <v>1944</v>
      </c>
      <c r="R366" s="393">
        <v>0</v>
      </c>
      <c r="S366" s="394">
        <v>0</v>
      </c>
      <c r="T366" s="107"/>
    </row>
    <row r="367" spans="1:20" x14ac:dyDescent="0.3">
      <c r="A367" t="s">
        <v>1347</v>
      </c>
      <c r="B367" s="178" t="s">
        <v>30</v>
      </c>
      <c r="C367" s="178" t="s">
        <v>194</v>
      </c>
      <c r="D367" s="178" t="s">
        <v>370</v>
      </c>
      <c r="E367" s="178" t="s">
        <v>31</v>
      </c>
      <c r="F367" s="14" t="b">
        <f>OR(Transport_Table[[#This Row],[Feedstock]]="All",Transport_Table[[#This Row],[Feedstock]]=SelectedFeedstock)</f>
        <v>1</v>
      </c>
      <c r="G367" s="14" t="b">
        <f>OR(Transport_Table[[#This Row],[Conversion]]="All",Transport_Table[[#This Row],[Conversion]]=SelectedConversion)</f>
        <v>1</v>
      </c>
      <c r="H367" s="14" t="b">
        <f>OR(Transport_Table[[#This Row],[Data Set]]="All",Transport_Table[[#This Row],[Data Set]]=SelectedDataSet)</f>
        <v>0</v>
      </c>
      <c r="I367" s="14" t="b">
        <f>OR(Transport_Table[[#This Row],[Technology]]="All",Transport_Table[[#This Row],[Technology]]=SelectedTechnology)</f>
        <v>1</v>
      </c>
      <c r="J367" s="14" t="b">
        <f>OR(Transport_Table[[#This Row],[Data Source]]="All",Transport_Table[[#This Row],[Data Source]]=SelectedDataSource)</f>
        <v>0</v>
      </c>
      <c r="L367" s="14" t="b">
        <f>AND(Transport_Table[[#This Row],[Show Feedstock]:[Show Data Source]],NOT(Transport_Table[[#This Row],[Hide Column]]))</f>
        <v>0</v>
      </c>
      <c r="M367" s="14" t="s">
        <v>14</v>
      </c>
      <c r="N367" s="14" t="s">
        <v>1163</v>
      </c>
      <c r="O367" s="14" t="s">
        <v>1245</v>
      </c>
      <c r="P367" s="178" t="s">
        <v>1700</v>
      </c>
      <c r="Q367" s="241" t="s">
        <v>1945</v>
      </c>
      <c r="R367" s="393">
        <v>0.28999999999999998</v>
      </c>
      <c r="S367" s="394">
        <v>799.99776411200003</v>
      </c>
      <c r="T367" s="107"/>
    </row>
    <row r="368" spans="1:20" x14ac:dyDescent="0.3">
      <c r="A368" t="s">
        <v>1347</v>
      </c>
      <c r="B368" s="178" t="s">
        <v>30</v>
      </c>
      <c r="C368" s="178" t="s">
        <v>194</v>
      </c>
      <c r="D368" s="178" t="s">
        <v>370</v>
      </c>
      <c r="E368" s="178" t="s">
        <v>31</v>
      </c>
      <c r="F368" s="14" t="b">
        <f>OR(Transport_Table[[#This Row],[Feedstock]]="All",Transport_Table[[#This Row],[Feedstock]]=SelectedFeedstock)</f>
        <v>1</v>
      </c>
      <c r="G368" s="14" t="b">
        <f>OR(Transport_Table[[#This Row],[Conversion]]="All",Transport_Table[[#This Row],[Conversion]]=SelectedConversion)</f>
        <v>1</v>
      </c>
      <c r="H368" s="14" t="b">
        <f>OR(Transport_Table[[#This Row],[Data Set]]="All",Transport_Table[[#This Row],[Data Set]]=SelectedDataSet)</f>
        <v>0</v>
      </c>
      <c r="I368" s="14" t="b">
        <f>OR(Transport_Table[[#This Row],[Technology]]="All",Transport_Table[[#This Row],[Technology]]=SelectedTechnology)</f>
        <v>1</v>
      </c>
      <c r="J368" s="14" t="b">
        <f>OR(Transport_Table[[#This Row],[Data Source]]="All",Transport_Table[[#This Row],[Data Source]]=SelectedDataSource)</f>
        <v>0</v>
      </c>
      <c r="L368" s="14" t="b">
        <f>AND(Transport_Table[[#This Row],[Show Feedstock]:[Show Data Source]],NOT(Transport_Table[[#This Row],[Hide Column]]))</f>
        <v>0</v>
      </c>
      <c r="M368" s="14" t="s">
        <v>14</v>
      </c>
      <c r="N368" s="14" t="s">
        <v>1164</v>
      </c>
      <c r="O368" s="14" t="s">
        <v>1246</v>
      </c>
      <c r="P368" s="178" t="s">
        <v>1700</v>
      </c>
      <c r="Q368" s="241" t="s">
        <v>1946</v>
      </c>
      <c r="R368" s="393">
        <v>0.63</v>
      </c>
      <c r="S368" s="394">
        <v>49.999860257000002</v>
      </c>
      <c r="T368" s="107"/>
    </row>
    <row r="369" spans="1:20" x14ac:dyDescent="0.3">
      <c r="A369" t="s">
        <v>1347</v>
      </c>
      <c r="B369" s="178" t="s">
        <v>30</v>
      </c>
      <c r="C369" s="178" t="s">
        <v>194</v>
      </c>
      <c r="D369" s="178" t="s">
        <v>370</v>
      </c>
      <c r="E369" s="178" t="s">
        <v>31</v>
      </c>
      <c r="F369" s="14" t="b">
        <f>OR(Transport_Table[[#This Row],[Feedstock]]="All",Transport_Table[[#This Row],[Feedstock]]=SelectedFeedstock)</f>
        <v>1</v>
      </c>
      <c r="G369" s="14" t="b">
        <f>OR(Transport_Table[[#This Row],[Conversion]]="All",Transport_Table[[#This Row],[Conversion]]=SelectedConversion)</f>
        <v>1</v>
      </c>
      <c r="H369" s="14" t="b">
        <f>OR(Transport_Table[[#This Row],[Data Set]]="All",Transport_Table[[#This Row],[Data Set]]=SelectedDataSet)</f>
        <v>0</v>
      </c>
      <c r="I369" s="14" t="b">
        <f>OR(Transport_Table[[#This Row],[Technology]]="All",Transport_Table[[#This Row],[Technology]]=SelectedTechnology)</f>
        <v>1</v>
      </c>
      <c r="J369" s="14" t="b">
        <f>OR(Transport_Table[[#This Row],[Data Source]]="All",Transport_Table[[#This Row],[Data Source]]=SelectedDataSource)</f>
        <v>0</v>
      </c>
      <c r="L369" s="14" t="b">
        <f>AND(Transport_Table[[#This Row],[Show Feedstock]:[Show Data Source]],NOT(Transport_Table[[#This Row],[Hide Column]]))</f>
        <v>0</v>
      </c>
      <c r="M369" s="14" t="s">
        <v>14</v>
      </c>
      <c r="N369" s="14" t="s">
        <v>1165</v>
      </c>
      <c r="O369" s="14" t="s">
        <v>1247</v>
      </c>
      <c r="P369" s="178" t="s">
        <v>1701</v>
      </c>
      <c r="Q369" s="241" t="s">
        <v>1943</v>
      </c>
      <c r="R369" s="393">
        <v>1</v>
      </c>
      <c r="S369" s="394">
        <v>29.999916154200001</v>
      </c>
      <c r="T369" s="107"/>
    </row>
    <row r="370" spans="1:20" x14ac:dyDescent="0.3">
      <c r="A370" t="s">
        <v>1347</v>
      </c>
      <c r="B370" s="178" t="s">
        <v>30</v>
      </c>
      <c r="C370" s="178" t="s">
        <v>194</v>
      </c>
      <c r="D370" s="178" t="s">
        <v>355</v>
      </c>
      <c r="E370" s="178" t="s">
        <v>31</v>
      </c>
      <c r="F370" s="14" t="b">
        <f>OR(Transport_Table[[#This Row],[Feedstock]]="All",Transport_Table[[#This Row],[Feedstock]]=SelectedFeedstock)</f>
        <v>1</v>
      </c>
      <c r="G370" s="14" t="b">
        <f>OR(Transport_Table[[#This Row],[Conversion]]="All",Transport_Table[[#This Row],[Conversion]]=SelectedConversion)</f>
        <v>1</v>
      </c>
      <c r="H370" s="14" t="b">
        <f>OR(Transport_Table[[#This Row],[Data Set]]="All",Transport_Table[[#This Row],[Data Set]]=SelectedDataSet)</f>
        <v>0</v>
      </c>
      <c r="I370" s="14" t="b">
        <f>OR(Transport_Table[[#This Row],[Technology]]="All",Transport_Table[[#This Row],[Technology]]=SelectedTechnology)</f>
        <v>1</v>
      </c>
      <c r="J370" s="14" t="b">
        <f>OR(Transport_Table[[#This Row],[Data Source]]="All",Transport_Table[[#This Row],[Data Source]]=SelectedDataSource)</f>
        <v>0</v>
      </c>
      <c r="K370" s="14" t="b">
        <v>1</v>
      </c>
      <c r="L370" s="14" t="b">
        <f>AND(Transport_Table[[#This Row],[Show Feedstock]:[Show Data Source]],NOT(Transport_Table[[#This Row],[Hide Column]]))</f>
        <v>0</v>
      </c>
      <c r="M370" s="14" t="s">
        <v>14</v>
      </c>
      <c r="N370" s="14" t="s">
        <v>1170</v>
      </c>
      <c r="O370" s="14" t="s">
        <v>1252</v>
      </c>
      <c r="P370" s="178" t="s">
        <v>125</v>
      </c>
      <c r="Q370" s="241" t="s">
        <v>1944</v>
      </c>
      <c r="R370" s="393">
        <v>0</v>
      </c>
      <c r="S370" s="394">
        <v>0</v>
      </c>
      <c r="T370" s="107"/>
    </row>
    <row r="371" spans="1:20" x14ac:dyDescent="0.3">
      <c r="A371" t="s">
        <v>1347</v>
      </c>
      <c r="B371" s="178" t="s">
        <v>30</v>
      </c>
      <c r="C371" s="178" t="s">
        <v>194</v>
      </c>
      <c r="D371" s="178" t="s">
        <v>355</v>
      </c>
      <c r="E371" s="178" t="s">
        <v>31</v>
      </c>
      <c r="F371" s="14" t="b">
        <f>OR(Transport_Table[[#This Row],[Feedstock]]="All",Transport_Table[[#This Row],[Feedstock]]=SelectedFeedstock)</f>
        <v>1</v>
      </c>
      <c r="G371" s="14" t="b">
        <f>OR(Transport_Table[[#This Row],[Conversion]]="All",Transport_Table[[#This Row],[Conversion]]=SelectedConversion)</f>
        <v>1</v>
      </c>
      <c r="H371" s="14" t="b">
        <f>OR(Transport_Table[[#This Row],[Data Set]]="All",Transport_Table[[#This Row],[Data Set]]=SelectedDataSet)</f>
        <v>0</v>
      </c>
      <c r="I371" s="14" t="b">
        <f>OR(Transport_Table[[#This Row],[Technology]]="All",Transport_Table[[#This Row],[Technology]]=SelectedTechnology)</f>
        <v>1</v>
      </c>
      <c r="J371" s="14" t="b">
        <f>OR(Transport_Table[[#This Row],[Data Source]]="All",Transport_Table[[#This Row],[Data Source]]=SelectedDataSource)</f>
        <v>0</v>
      </c>
      <c r="K371" s="14" t="b">
        <v>1</v>
      </c>
      <c r="L371" s="14" t="b">
        <f>AND(Transport_Table[[#This Row],[Show Feedstock]:[Show Data Source]],NOT(Transport_Table[[#This Row],[Hide Column]]))</f>
        <v>0</v>
      </c>
      <c r="M371" s="14" t="s">
        <v>14</v>
      </c>
      <c r="N371" s="14" t="s">
        <v>1171</v>
      </c>
      <c r="O371" s="14" t="s">
        <v>1253</v>
      </c>
      <c r="P371" s="178" t="s">
        <v>125</v>
      </c>
      <c r="Q371" s="241" t="s">
        <v>1945</v>
      </c>
      <c r="R371" s="393">
        <v>0.2</v>
      </c>
      <c r="S371" s="394">
        <v>400.16292400000003</v>
      </c>
      <c r="T371" s="107"/>
    </row>
    <row r="372" spans="1:20" x14ac:dyDescent="0.3">
      <c r="A372" t="s">
        <v>1347</v>
      </c>
      <c r="B372" s="178" t="s">
        <v>30</v>
      </c>
      <c r="C372" s="178" t="s">
        <v>194</v>
      </c>
      <c r="D372" s="178" t="s">
        <v>355</v>
      </c>
      <c r="E372" s="178" t="s">
        <v>31</v>
      </c>
      <c r="F372" s="14" t="b">
        <f>OR(Transport_Table[[#This Row],[Feedstock]]="All",Transport_Table[[#This Row],[Feedstock]]=SelectedFeedstock)</f>
        <v>1</v>
      </c>
      <c r="G372" s="14" t="b">
        <f>OR(Transport_Table[[#This Row],[Conversion]]="All",Transport_Table[[#This Row],[Conversion]]=SelectedConversion)</f>
        <v>1</v>
      </c>
      <c r="H372" s="14" t="b">
        <f>OR(Transport_Table[[#This Row],[Data Set]]="All",Transport_Table[[#This Row],[Data Set]]=SelectedDataSet)</f>
        <v>0</v>
      </c>
      <c r="I372" s="14" t="b">
        <f>OR(Transport_Table[[#This Row],[Technology]]="All",Transport_Table[[#This Row],[Technology]]=SelectedTechnology)</f>
        <v>1</v>
      </c>
      <c r="J372" s="14" t="b">
        <f>OR(Transport_Table[[#This Row],[Data Source]]="All",Transport_Table[[#This Row],[Data Source]]=SelectedDataSource)</f>
        <v>0</v>
      </c>
      <c r="K372" s="14" t="b">
        <v>1</v>
      </c>
      <c r="L372" s="14" t="b">
        <f>AND(Transport_Table[[#This Row],[Show Feedstock]:[Show Data Source]],NOT(Transport_Table[[#This Row],[Hide Column]]))</f>
        <v>0</v>
      </c>
      <c r="M372" s="14" t="s">
        <v>14</v>
      </c>
      <c r="N372" s="14" t="s">
        <v>1172</v>
      </c>
      <c r="O372" s="14" t="s">
        <v>1254</v>
      </c>
      <c r="P372" s="178" t="s">
        <v>125</v>
      </c>
      <c r="Q372" s="241" t="s">
        <v>1946</v>
      </c>
      <c r="R372" s="393">
        <v>0.8</v>
      </c>
      <c r="S372" s="394">
        <v>100.04073100000001</v>
      </c>
      <c r="T372" s="107"/>
    </row>
    <row r="373" spans="1:20" x14ac:dyDescent="0.3">
      <c r="A373" t="s">
        <v>1347</v>
      </c>
      <c r="B373" s="178" t="s">
        <v>30</v>
      </c>
      <c r="C373" s="178" t="s">
        <v>194</v>
      </c>
      <c r="D373" s="178" t="s">
        <v>355</v>
      </c>
      <c r="E373" s="178" t="s">
        <v>31</v>
      </c>
      <c r="F373" s="14" t="b">
        <f>OR(Transport_Table[[#This Row],[Feedstock]]="All",Transport_Table[[#This Row],[Feedstock]]=SelectedFeedstock)</f>
        <v>1</v>
      </c>
      <c r="G373" s="14" t="b">
        <f>OR(Transport_Table[[#This Row],[Conversion]]="All",Transport_Table[[#This Row],[Conversion]]=SelectedConversion)</f>
        <v>1</v>
      </c>
      <c r="H373" s="14" t="b">
        <f>OR(Transport_Table[[#This Row],[Data Set]]="All",Transport_Table[[#This Row],[Data Set]]=SelectedDataSet)</f>
        <v>0</v>
      </c>
      <c r="I373" s="14" t="b">
        <f>OR(Transport_Table[[#This Row],[Technology]]="All",Transport_Table[[#This Row],[Technology]]=SelectedTechnology)</f>
        <v>1</v>
      </c>
      <c r="J373" s="14" t="b">
        <f>OR(Transport_Table[[#This Row],[Data Source]]="All",Transport_Table[[#This Row],[Data Source]]=SelectedDataSource)</f>
        <v>0</v>
      </c>
      <c r="K373" s="14" t="b">
        <v>1</v>
      </c>
      <c r="L373" s="14" t="b">
        <f>AND(Transport_Table[[#This Row],[Show Feedstock]:[Show Data Source]],NOT(Transport_Table[[#This Row],[Hide Column]]))</f>
        <v>0</v>
      </c>
      <c r="M373" s="14" t="s">
        <v>14</v>
      </c>
      <c r="N373" s="14" t="s">
        <v>1173</v>
      </c>
      <c r="O373" s="14" t="s">
        <v>1255</v>
      </c>
      <c r="P373" s="178" t="s">
        <v>125</v>
      </c>
      <c r="Q373" s="165" t="s">
        <v>1943</v>
      </c>
      <c r="R373" s="396">
        <v>0</v>
      </c>
      <c r="S373" s="394">
        <v>0</v>
      </c>
      <c r="T373" s="107"/>
    </row>
    <row r="374" spans="1:20" x14ac:dyDescent="0.3">
      <c r="A374" t="s">
        <v>1347</v>
      </c>
      <c r="B374" s="178" t="s">
        <v>30</v>
      </c>
      <c r="C374" s="178" t="s">
        <v>194</v>
      </c>
      <c r="D374" s="178" t="s">
        <v>355</v>
      </c>
      <c r="E374" s="178" t="s">
        <v>31</v>
      </c>
      <c r="F374" s="14" t="b">
        <f>OR(Transport_Table[[#This Row],[Feedstock]]="All",Transport_Table[[#This Row],[Feedstock]]=SelectedFeedstock)</f>
        <v>1</v>
      </c>
      <c r="G374" s="14" t="b">
        <f>OR(Transport_Table[[#This Row],[Conversion]]="All",Transport_Table[[#This Row],[Conversion]]=SelectedConversion)</f>
        <v>1</v>
      </c>
      <c r="H374" s="14" t="b">
        <f>OR(Transport_Table[[#This Row],[Data Set]]="All",Transport_Table[[#This Row],[Data Set]]=SelectedDataSet)</f>
        <v>0</v>
      </c>
      <c r="I374" s="14" t="b">
        <f>OR(Transport_Table[[#This Row],[Technology]]="All",Transport_Table[[#This Row],[Technology]]=SelectedTechnology)</f>
        <v>1</v>
      </c>
      <c r="J374" s="14" t="b">
        <f>OR(Transport_Table[[#This Row],[Data Source]]="All",Transport_Table[[#This Row],[Data Source]]=SelectedDataSource)</f>
        <v>0</v>
      </c>
      <c r="K374" s="14" t="b">
        <v>1</v>
      </c>
      <c r="L374" s="14" t="b">
        <f>AND(Transport_Table[[#This Row],[Show Feedstock]:[Show Data Source]],NOT(Transport_Table[[#This Row],[Hide Column]]))</f>
        <v>0</v>
      </c>
      <c r="M374" s="14" t="s">
        <v>14</v>
      </c>
      <c r="N374" s="14" t="s">
        <v>1174</v>
      </c>
      <c r="O374" s="14" t="s">
        <v>1256</v>
      </c>
      <c r="P374" s="178" t="s">
        <v>400</v>
      </c>
      <c r="Q374" s="165" t="s">
        <v>1944</v>
      </c>
      <c r="R374" s="393">
        <v>0</v>
      </c>
      <c r="S374" s="394">
        <v>0</v>
      </c>
      <c r="T374" s="107"/>
    </row>
    <row r="375" spans="1:20" x14ac:dyDescent="0.3">
      <c r="A375" t="s">
        <v>1347</v>
      </c>
      <c r="B375" s="178" t="s">
        <v>30</v>
      </c>
      <c r="C375" s="178" t="s">
        <v>194</v>
      </c>
      <c r="D375" s="178" t="s">
        <v>355</v>
      </c>
      <c r="E375" s="178" t="s">
        <v>31</v>
      </c>
      <c r="F375" s="14" t="b">
        <f>OR(Transport_Table[[#This Row],[Feedstock]]="All",Transport_Table[[#This Row],[Feedstock]]=SelectedFeedstock)</f>
        <v>1</v>
      </c>
      <c r="G375" s="14" t="b">
        <f>OR(Transport_Table[[#This Row],[Conversion]]="All",Transport_Table[[#This Row],[Conversion]]=SelectedConversion)</f>
        <v>1</v>
      </c>
      <c r="H375" s="14" t="b">
        <f>OR(Transport_Table[[#This Row],[Data Set]]="All",Transport_Table[[#This Row],[Data Set]]=SelectedDataSet)</f>
        <v>0</v>
      </c>
      <c r="I375" s="14" t="b">
        <f>OR(Transport_Table[[#This Row],[Technology]]="All",Transport_Table[[#This Row],[Technology]]=SelectedTechnology)</f>
        <v>1</v>
      </c>
      <c r="J375" s="14" t="b">
        <f>OR(Transport_Table[[#This Row],[Data Source]]="All",Transport_Table[[#This Row],[Data Source]]=SelectedDataSource)</f>
        <v>0</v>
      </c>
      <c r="K375" s="14" t="b">
        <v>1</v>
      </c>
      <c r="L375" s="14" t="b">
        <f>AND(Transport_Table[[#This Row],[Show Feedstock]:[Show Data Source]],NOT(Transport_Table[[#This Row],[Hide Column]]))</f>
        <v>0</v>
      </c>
      <c r="M375" s="14" t="s">
        <v>14</v>
      </c>
      <c r="N375" s="14" t="s">
        <v>1175</v>
      </c>
      <c r="O375" s="14" t="s">
        <v>1257</v>
      </c>
      <c r="P375" s="178" t="s">
        <v>400</v>
      </c>
      <c r="Q375" s="165" t="s">
        <v>1945</v>
      </c>
      <c r="R375" s="393">
        <v>0</v>
      </c>
      <c r="S375" s="394">
        <v>0</v>
      </c>
      <c r="T375" s="107"/>
    </row>
    <row r="376" spans="1:20" x14ac:dyDescent="0.3">
      <c r="A376" t="s">
        <v>1347</v>
      </c>
      <c r="B376" s="178" t="s">
        <v>30</v>
      </c>
      <c r="C376" s="178" t="s">
        <v>194</v>
      </c>
      <c r="D376" s="178" t="s">
        <v>355</v>
      </c>
      <c r="E376" s="178" t="s">
        <v>31</v>
      </c>
      <c r="F376" s="14" t="b">
        <f>OR(Transport_Table[[#This Row],[Feedstock]]="All",Transport_Table[[#This Row],[Feedstock]]=SelectedFeedstock)</f>
        <v>1</v>
      </c>
      <c r="G376" s="14" t="b">
        <f>OR(Transport_Table[[#This Row],[Conversion]]="All",Transport_Table[[#This Row],[Conversion]]=SelectedConversion)</f>
        <v>1</v>
      </c>
      <c r="H376" s="14" t="b">
        <f>OR(Transport_Table[[#This Row],[Data Set]]="All",Transport_Table[[#This Row],[Data Set]]=SelectedDataSet)</f>
        <v>0</v>
      </c>
      <c r="I376" s="14" t="b">
        <f>OR(Transport_Table[[#This Row],[Technology]]="All",Transport_Table[[#This Row],[Technology]]=SelectedTechnology)</f>
        <v>1</v>
      </c>
      <c r="J376" s="14" t="b">
        <f>OR(Transport_Table[[#This Row],[Data Source]]="All",Transport_Table[[#This Row],[Data Source]]=SelectedDataSource)</f>
        <v>0</v>
      </c>
      <c r="K376" s="14" t="b">
        <v>1</v>
      </c>
      <c r="L376" s="14" t="b">
        <f>AND(Transport_Table[[#This Row],[Show Feedstock]:[Show Data Source]],NOT(Transport_Table[[#This Row],[Hide Column]]))</f>
        <v>0</v>
      </c>
      <c r="M376" s="14" t="s">
        <v>14</v>
      </c>
      <c r="N376" s="14" t="s">
        <v>1176</v>
      </c>
      <c r="O376" s="14" t="s">
        <v>1258</v>
      </c>
      <c r="P376" s="178" t="s">
        <v>400</v>
      </c>
      <c r="Q376" s="165" t="s">
        <v>1946</v>
      </c>
      <c r="R376" s="393">
        <v>0.33</v>
      </c>
      <c r="S376" s="394">
        <v>700</v>
      </c>
      <c r="T376" s="107"/>
    </row>
    <row r="377" spans="1:20" x14ac:dyDescent="0.3">
      <c r="A377" t="s">
        <v>1347</v>
      </c>
      <c r="B377" s="178" t="s">
        <v>30</v>
      </c>
      <c r="C377" s="178" t="s">
        <v>194</v>
      </c>
      <c r="D377" s="178" t="s">
        <v>355</v>
      </c>
      <c r="E377" s="178" t="s">
        <v>31</v>
      </c>
      <c r="F377" s="14" t="b">
        <f>OR(Transport_Table[[#This Row],[Feedstock]]="All",Transport_Table[[#This Row],[Feedstock]]=SelectedFeedstock)</f>
        <v>1</v>
      </c>
      <c r="G377" s="14" t="b">
        <f>OR(Transport_Table[[#This Row],[Conversion]]="All",Transport_Table[[#This Row],[Conversion]]=SelectedConversion)</f>
        <v>1</v>
      </c>
      <c r="H377" s="14" t="b">
        <f>OR(Transport_Table[[#This Row],[Data Set]]="All",Transport_Table[[#This Row],[Data Set]]=SelectedDataSet)</f>
        <v>0</v>
      </c>
      <c r="I377" s="14" t="b">
        <f>OR(Transport_Table[[#This Row],[Technology]]="All",Transport_Table[[#This Row],[Technology]]=SelectedTechnology)</f>
        <v>1</v>
      </c>
      <c r="J377" s="14" t="b">
        <f>OR(Transport_Table[[#This Row],[Data Source]]="All",Transport_Table[[#This Row],[Data Source]]=SelectedDataSource)</f>
        <v>0</v>
      </c>
      <c r="K377" s="14" t="b">
        <v>1</v>
      </c>
      <c r="L377" s="14" t="b">
        <f>AND(Transport_Table[[#This Row],[Show Feedstock]:[Show Data Source]],NOT(Transport_Table[[#This Row],[Hide Column]]))</f>
        <v>0</v>
      </c>
      <c r="M377" s="14" t="s">
        <v>14</v>
      </c>
      <c r="N377" s="14" t="s">
        <v>1177</v>
      </c>
      <c r="O377" s="14" t="s">
        <v>1259</v>
      </c>
      <c r="P377" s="178" t="s">
        <v>400</v>
      </c>
      <c r="Q377" s="165" t="s">
        <v>1947</v>
      </c>
      <c r="R377" s="393">
        <v>0.67</v>
      </c>
      <c r="S377" s="394">
        <v>80</v>
      </c>
      <c r="T377" s="107"/>
    </row>
    <row r="378" spans="1:20" x14ac:dyDescent="0.3">
      <c r="A378" t="s">
        <v>1347</v>
      </c>
      <c r="B378" s="178" t="s">
        <v>30</v>
      </c>
      <c r="C378" s="178" t="s">
        <v>194</v>
      </c>
      <c r="D378" s="178" t="s">
        <v>355</v>
      </c>
      <c r="E378" s="178" t="s">
        <v>31</v>
      </c>
      <c r="F378" s="14" t="b">
        <f>OR(Transport_Table[[#This Row],[Feedstock]]="All",Transport_Table[[#This Row],[Feedstock]]=SelectedFeedstock)</f>
        <v>1</v>
      </c>
      <c r="G378" s="14" t="b">
        <f>OR(Transport_Table[[#This Row],[Conversion]]="All",Transport_Table[[#This Row],[Conversion]]=SelectedConversion)</f>
        <v>1</v>
      </c>
      <c r="H378" s="14" t="b">
        <f>OR(Transport_Table[[#This Row],[Data Set]]="All",Transport_Table[[#This Row],[Data Set]]=SelectedDataSet)</f>
        <v>0</v>
      </c>
      <c r="I378" s="14" t="b">
        <f>OR(Transport_Table[[#This Row],[Technology]]="All",Transport_Table[[#This Row],[Technology]]=SelectedTechnology)</f>
        <v>1</v>
      </c>
      <c r="J378" s="14" t="b">
        <f>OR(Transport_Table[[#This Row],[Data Source]]="All",Transport_Table[[#This Row],[Data Source]]=SelectedDataSource)</f>
        <v>0</v>
      </c>
      <c r="L378" s="14" t="b">
        <f>AND(Transport_Table[[#This Row],[Show Feedstock]:[Show Data Source]],NOT(Transport_Table[[#This Row],[Hide Column]]))</f>
        <v>0</v>
      </c>
      <c r="M378" s="14" t="s">
        <v>14</v>
      </c>
      <c r="N378" s="14" t="s">
        <v>1161</v>
      </c>
      <c r="O378" s="14" t="s">
        <v>1243</v>
      </c>
      <c r="P378" s="178" t="s">
        <v>1700</v>
      </c>
      <c r="Q378" s="165" t="s">
        <v>1943</v>
      </c>
      <c r="R378" s="393">
        <v>0.08</v>
      </c>
      <c r="S378" s="394">
        <v>519.99854667279999</v>
      </c>
      <c r="T378" s="107"/>
    </row>
    <row r="379" spans="1:20" x14ac:dyDescent="0.3">
      <c r="A379" t="s">
        <v>1347</v>
      </c>
      <c r="B379" s="178" t="s">
        <v>30</v>
      </c>
      <c r="C379" s="178" t="s">
        <v>194</v>
      </c>
      <c r="D379" s="178" t="s">
        <v>355</v>
      </c>
      <c r="E379" s="178" t="s">
        <v>31</v>
      </c>
      <c r="F379" s="14" t="b">
        <f>OR(Transport_Table[[#This Row],[Feedstock]]="All",Transport_Table[[#This Row],[Feedstock]]=SelectedFeedstock)</f>
        <v>1</v>
      </c>
      <c r="G379" s="14" t="b">
        <f>OR(Transport_Table[[#This Row],[Conversion]]="All",Transport_Table[[#This Row],[Conversion]]=SelectedConversion)</f>
        <v>1</v>
      </c>
      <c r="H379" s="14" t="b">
        <f>OR(Transport_Table[[#This Row],[Data Set]]="All",Transport_Table[[#This Row],[Data Set]]=SelectedDataSet)</f>
        <v>0</v>
      </c>
      <c r="I379" s="14" t="b">
        <f>OR(Transport_Table[[#This Row],[Technology]]="All",Transport_Table[[#This Row],[Technology]]=SelectedTechnology)</f>
        <v>1</v>
      </c>
      <c r="J379" s="14" t="b">
        <f>OR(Transport_Table[[#This Row],[Data Source]]="All",Transport_Table[[#This Row],[Data Source]]=SelectedDataSource)</f>
        <v>0</v>
      </c>
      <c r="L379" s="14" t="b">
        <f>AND(Transport_Table[[#This Row],[Show Feedstock]:[Show Data Source]],NOT(Transport_Table[[#This Row],[Hide Column]]))</f>
        <v>0</v>
      </c>
      <c r="M379" s="14" t="s">
        <v>14</v>
      </c>
      <c r="N379" s="14" t="s">
        <v>1162</v>
      </c>
      <c r="O379" s="14" t="s">
        <v>1244</v>
      </c>
      <c r="P379" s="178" t="s">
        <v>1700</v>
      </c>
      <c r="Q379" s="165" t="s">
        <v>1944</v>
      </c>
      <c r="R379" s="393">
        <v>0</v>
      </c>
      <c r="S379" s="394">
        <v>0</v>
      </c>
      <c r="T379" s="107"/>
    </row>
    <row r="380" spans="1:20" x14ac:dyDescent="0.3">
      <c r="A380" t="s">
        <v>1347</v>
      </c>
      <c r="B380" s="178" t="s">
        <v>30</v>
      </c>
      <c r="C380" s="178" t="s">
        <v>194</v>
      </c>
      <c r="D380" s="178" t="s">
        <v>355</v>
      </c>
      <c r="E380" s="178" t="s">
        <v>31</v>
      </c>
      <c r="F380" s="14" t="b">
        <f>OR(Transport_Table[[#This Row],[Feedstock]]="All",Transport_Table[[#This Row],[Feedstock]]=SelectedFeedstock)</f>
        <v>1</v>
      </c>
      <c r="G380" s="14" t="b">
        <f>OR(Transport_Table[[#This Row],[Conversion]]="All",Transport_Table[[#This Row],[Conversion]]=SelectedConversion)</f>
        <v>1</v>
      </c>
      <c r="H380" s="14" t="b">
        <f>OR(Transport_Table[[#This Row],[Data Set]]="All",Transport_Table[[#This Row],[Data Set]]=SelectedDataSet)</f>
        <v>0</v>
      </c>
      <c r="I380" s="14" t="b">
        <f>OR(Transport_Table[[#This Row],[Technology]]="All",Transport_Table[[#This Row],[Technology]]=SelectedTechnology)</f>
        <v>1</v>
      </c>
      <c r="J380" s="14" t="b">
        <f>OR(Transport_Table[[#This Row],[Data Source]]="All",Transport_Table[[#This Row],[Data Source]]=SelectedDataSource)</f>
        <v>0</v>
      </c>
      <c r="L380" s="14" t="b">
        <f>AND(Transport_Table[[#This Row],[Show Feedstock]:[Show Data Source]],NOT(Transport_Table[[#This Row],[Hide Column]]))</f>
        <v>0</v>
      </c>
      <c r="M380" s="14" t="s">
        <v>14</v>
      </c>
      <c r="N380" s="14" t="s">
        <v>1163</v>
      </c>
      <c r="O380" s="14" t="s">
        <v>1245</v>
      </c>
      <c r="P380" s="178" t="s">
        <v>1700</v>
      </c>
      <c r="Q380" s="165" t="s">
        <v>1945</v>
      </c>
      <c r="R380" s="393">
        <v>0.28999999999999998</v>
      </c>
      <c r="S380" s="394">
        <v>799.99776411200003</v>
      </c>
      <c r="T380" s="107"/>
    </row>
    <row r="381" spans="1:20" x14ac:dyDescent="0.3">
      <c r="A381" t="s">
        <v>1347</v>
      </c>
      <c r="B381" s="178" t="s">
        <v>30</v>
      </c>
      <c r="C381" s="178" t="s">
        <v>194</v>
      </c>
      <c r="D381" s="178" t="s">
        <v>355</v>
      </c>
      <c r="E381" s="178" t="s">
        <v>31</v>
      </c>
      <c r="F381" s="14" t="b">
        <f>OR(Transport_Table[[#This Row],[Feedstock]]="All",Transport_Table[[#This Row],[Feedstock]]=SelectedFeedstock)</f>
        <v>1</v>
      </c>
      <c r="G381" s="14" t="b">
        <f>OR(Transport_Table[[#This Row],[Conversion]]="All",Transport_Table[[#This Row],[Conversion]]=SelectedConversion)</f>
        <v>1</v>
      </c>
      <c r="H381" s="14" t="b">
        <f>OR(Transport_Table[[#This Row],[Data Set]]="All",Transport_Table[[#This Row],[Data Set]]=SelectedDataSet)</f>
        <v>0</v>
      </c>
      <c r="I381" s="14" t="b">
        <f>OR(Transport_Table[[#This Row],[Technology]]="All",Transport_Table[[#This Row],[Technology]]=SelectedTechnology)</f>
        <v>1</v>
      </c>
      <c r="J381" s="14" t="b">
        <f>OR(Transport_Table[[#This Row],[Data Source]]="All",Transport_Table[[#This Row],[Data Source]]=SelectedDataSource)</f>
        <v>0</v>
      </c>
      <c r="L381" s="14" t="b">
        <f>AND(Transport_Table[[#This Row],[Show Feedstock]:[Show Data Source]],NOT(Transport_Table[[#This Row],[Hide Column]]))</f>
        <v>0</v>
      </c>
      <c r="M381" s="14" t="s">
        <v>14</v>
      </c>
      <c r="N381" s="14" t="s">
        <v>1164</v>
      </c>
      <c r="O381" s="14" t="s">
        <v>1246</v>
      </c>
      <c r="P381" s="178" t="s">
        <v>1700</v>
      </c>
      <c r="Q381" s="165" t="s">
        <v>1946</v>
      </c>
      <c r="R381" s="393">
        <v>0.63</v>
      </c>
      <c r="S381" s="394">
        <v>49.999860257000002</v>
      </c>
      <c r="T381" s="107"/>
    </row>
    <row r="382" spans="1:20" x14ac:dyDescent="0.3">
      <c r="A382" t="s">
        <v>1347</v>
      </c>
      <c r="B382" s="178" t="s">
        <v>30</v>
      </c>
      <c r="C382" s="178" t="s">
        <v>194</v>
      </c>
      <c r="D382" s="178" t="s">
        <v>355</v>
      </c>
      <c r="E382" s="178" t="s">
        <v>31</v>
      </c>
      <c r="F382" s="14" t="b">
        <f>OR(Transport_Table[[#This Row],[Feedstock]]="All",Transport_Table[[#This Row],[Feedstock]]=SelectedFeedstock)</f>
        <v>1</v>
      </c>
      <c r="G382" s="14" t="b">
        <f>OR(Transport_Table[[#This Row],[Conversion]]="All",Transport_Table[[#This Row],[Conversion]]=SelectedConversion)</f>
        <v>1</v>
      </c>
      <c r="H382" s="14" t="b">
        <f>OR(Transport_Table[[#This Row],[Data Set]]="All",Transport_Table[[#This Row],[Data Set]]=SelectedDataSet)</f>
        <v>0</v>
      </c>
      <c r="I382" s="14" t="b">
        <f>OR(Transport_Table[[#This Row],[Technology]]="All",Transport_Table[[#This Row],[Technology]]=SelectedTechnology)</f>
        <v>1</v>
      </c>
      <c r="J382" s="14" t="b">
        <f>OR(Transport_Table[[#This Row],[Data Source]]="All",Transport_Table[[#This Row],[Data Source]]=SelectedDataSource)</f>
        <v>0</v>
      </c>
      <c r="L382" s="14" t="b">
        <f>AND(Transport_Table[[#This Row],[Show Feedstock]:[Show Data Source]],NOT(Transport_Table[[#This Row],[Hide Column]]))</f>
        <v>0</v>
      </c>
      <c r="M382" s="14" t="s">
        <v>14</v>
      </c>
      <c r="N382" s="14" t="s">
        <v>1165</v>
      </c>
      <c r="O382" s="14" t="s">
        <v>1247</v>
      </c>
      <c r="P382" s="178" t="s">
        <v>1701</v>
      </c>
      <c r="Q382" s="165" t="s">
        <v>1947</v>
      </c>
      <c r="R382" s="393">
        <v>1</v>
      </c>
      <c r="S382" s="394">
        <v>29.999916154200001</v>
      </c>
      <c r="T382" s="107"/>
    </row>
    <row r="383" spans="1:20" x14ac:dyDescent="0.3">
      <c r="A383" s="190" t="s">
        <v>127</v>
      </c>
      <c r="B383" s="178" t="s">
        <v>30</v>
      </c>
      <c r="C383" s="178" t="s">
        <v>194</v>
      </c>
      <c r="D383" s="178" t="s">
        <v>1349</v>
      </c>
      <c r="E383" s="178" t="s">
        <v>31</v>
      </c>
      <c r="F383" s="14" t="b">
        <f>OR(Transport_Table[[#This Row],[Feedstock]]="All",Transport_Table[[#This Row],[Feedstock]]=SelectedFeedstock)</f>
        <v>0</v>
      </c>
      <c r="G383" s="14" t="b">
        <f>OR(Transport_Table[[#This Row],[Conversion]]="All",Transport_Table[[#This Row],[Conversion]]=SelectedConversion)</f>
        <v>1</v>
      </c>
      <c r="H383" s="14" t="b">
        <f>OR(Transport_Table[[#This Row],[Data Set]]="All",Transport_Table[[#This Row],[Data Set]]=SelectedDataSet)</f>
        <v>0</v>
      </c>
      <c r="I383" s="14" t="b">
        <f>OR(Transport_Table[[#This Row],[Technology]]="All",Transport_Table[[#This Row],[Technology]]=SelectedTechnology)</f>
        <v>1</v>
      </c>
      <c r="J383" s="14" t="b">
        <f>OR(Transport_Table[[#This Row],[Data Source]]="All",Transport_Table[[#This Row],[Data Source]]=SelectedDataSource)</f>
        <v>0</v>
      </c>
      <c r="K383" s="14" t="b">
        <v>1</v>
      </c>
      <c r="L383" s="14" t="b">
        <f>AND(Transport_Table[[#This Row],[Show Feedstock]:[Show Data Source]],NOT(Transport_Table[[#This Row],[Hide Column]]))</f>
        <v>0</v>
      </c>
      <c r="M383" s="14" t="s">
        <v>14</v>
      </c>
      <c r="N383" s="14" t="s">
        <v>1186</v>
      </c>
      <c r="O383" s="14" t="s">
        <v>1268</v>
      </c>
      <c r="P383" s="178" t="s">
        <v>127</v>
      </c>
      <c r="Q383" s="165" t="s">
        <v>1943</v>
      </c>
      <c r="R383" s="393">
        <v>0</v>
      </c>
      <c r="S383" s="394">
        <v>0</v>
      </c>
      <c r="T383" s="107"/>
    </row>
    <row r="384" spans="1:20" x14ac:dyDescent="0.3">
      <c r="A384" s="190" t="s">
        <v>127</v>
      </c>
      <c r="B384" s="178" t="s">
        <v>30</v>
      </c>
      <c r="C384" s="178" t="s">
        <v>194</v>
      </c>
      <c r="D384" s="178" t="s">
        <v>1349</v>
      </c>
      <c r="E384" s="178" t="s">
        <v>31</v>
      </c>
      <c r="F384" s="14" t="b">
        <f>OR(Transport_Table[[#This Row],[Feedstock]]="All",Transport_Table[[#This Row],[Feedstock]]=SelectedFeedstock)</f>
        <v>0</v>
      </c>
      <c r="G384" s="14" t="b">
        <f>OR(Transport_Table[[#This Row],[Conversion]]="All",Transport_Table[[#This Row],[Conversion]]=SelectedConversion)</f>
        <v>1</v>
      </c>
      <c r="H384" s="14" t="b">
        <f>OR(Transport_Table[[#This Row],[Data Set]]="All",Transport_Table[[#This Row],[Data Set]]=SelectedDataSet)</f>
        <v>0</v>
      </c>
      <c r="I384" s="14" t="b">
        <f>OR(Transport_Table[[#This Row],[Technology]]="All",Transport_Table[[#This Row],[Technology]]=SelectedTechnology)</f>
        <v>1</v>
      </c>
      <c r="J384" s="14" t="b">
        <f>OR(Transport_Table[[#This Row],[Data Source]]="All",Transport_Table[[#This Row],[Data Source]]=SelectedDataSource)</f>
        <v>0</v>
      </c>
      <c r="K384" s="14" t="b">
        <v>1</v>
      </c>
      <c r="L384" s="14" t="b">
        <f>AND(Transport_Table[[#This Row],[Show Feedstock]:[Show Data Source]],NOT(Transport_Table[[#This Row],[Hide Column]]))</f>
        <v>0</v>
      </c>
      <c r="M384" s="14" t="s">
        <v>14</v>
      </c>
      <c r="N384" s="14" t="s">
        <v>1187</v>
      </c>
      <c r="O384" s="14" t="s">
        <v>1269</v>
      </c>
      <c r="P384" s="178" t="s">
        <v>127</v>
      </c>
      <c r="Q384" s="165" t="s">
        <v>1944</v>
      </c>
      <c r="R384" s="393">
        <v>0.2</v>
      </c>
      <c r="S384" s="394">
        <v>400.16292400000003</v>
      </c>
      <c r="T384" s="107"/>
    </row>
    <row r="385" spans="1:20" x14ac:dyDescent="0.3">
      <c r="A385" s="190" t="s">
        <v>127</v>
      </c>
      <c r="B385" s="178" t="s">
        <v>30</v>
      </c>
      <c r="C385" s="178" t="s">
        <v>194</v>
      </c>
      <c r="D385" s="178" t="s">
        <v>1349</v>
      </c>
      <c r="E385" s="178" t="s">
        <v>31</v>
      </c>
      <c r="F385" s="14" t="b">
        <f>OR(Transport_Table[[#This Row],[Feedstock]]="All",Transport_Table[[#This Row],[Feedstock]]=SelectedFeedstock)</f>
        <v>0</v>
      </c>
      <c r="G385" s="14" t="b">
        <f>OR(Transport_Table[[#This Row],[Conversion]]="All",Transport_Table[[#This Row],[Conversion]]=SelectedConversion)</f>
        <v>1</v>
      </c>
      <c r="H385" s="14" t="b">
        <f>OR(Transport_Table[[#This Row],[Data Set]]="All",Transport_Table[[#This Row],[Data Set]]=SelectedDataSet)</f>
        <v>0</v>
      </c>
      <c r="I385" s="14" t="b">
        <f>OR(Transport_Table[[#This Row],[Technology]]="All",Transport_Table[[#This Row],[Technology]]=SelectedTechnology)</f>
        <v>1</v>
      </c>
      <c r="J385" s="14" t="b">
        <f>OR(Transport_Table[[#This Row],[Data Source]]="All",Transport_Table[[#This Row],[Data Source]]=SelectedDataSource)</f>
        <v>0</v>
      </c>
      <c r="K385" s="14" t="b">
        <v>1</v>
      </c>
      <c r="L385" s="14" t="b">
        <f>AND(Transport_Table[[#This Row],[Show Feedstock]:[Show Data Source]],NOT(Transport_Table[[#This Row],[Hide Column]]))</f>
        <v>0</v>
      </c>
      <c r="M385" s="14" t="s">
        <v>14</v>
      </c>
      <c r="N385" s="14" t="s">
        <v>1188</v>
      </c>
      <c r="O385" s="14" t="s">
        <v>1270</v>
      </c>
      <c r="P385" s="178" t="s">
        <v>127</v>
      </c>
      <c r="Q385" s="165" t="s">
        <v>1945</v>
      </c>
      <c r="R385" s="393">
        <v>0.8</v>
      </c>
      <c r="S385" s="394">
        <v>100.04073100000001</v>
      </c>
      <c r="T385" s="107"/>
    </row>
    <row r="386" spans="1:20" x14ac:dyDescent="0.3">
      <c r="A386" s="190" t="s">
        <v>127</v>
      </c>
      <c r="B386" s="178" t="s">
        <v>30</v>
      </c>
      <c r="C386" s="178" t="s">
        <v>194</v>
      </c>
      <c r="D386" s="178" t="s">
        <v>1349</v>
      </c>
      <c r="E386" s="178" t="s">
        <v>31</v>
      </c>
      <c r="F386" s="14" t="b">
        <f>OR(Transport_Table[[#This Row],[Feedstock]]="All",Transport_Table[[#This Row],[Feedstock]]=SelectedFeedstock)</f>
        <v>0</v>
      </c>
      <c r="G386" s="14" t="b">
        <f>OR(Transport_Table[[#This Row],[Conversion]]="All",Transport_Table[[#This Row],[Conversion]]=SelectedConversion)</f>
        <v>1</v>
      </c>
      <c r="H386" s="14" t="b">
        <f>OR(Transport_Table[[#This Row],[Data Set]]="All",Transport_Table[[#This Row],[Data Set]]=SelectedDataSet)</f>
        <v>0</v>
      </c>
      <c r="I386" s="14" t="b">
        <f>OR(Transport_Table[[#This Row],[Technology]]="All",Transport_Table[[#This Row],[Technology]]=SelectedTechnology)</f>
        <v>1</v>
      </c>
      <c r="J386" s="14" t="b">
        <f>OR(Transport_Table[[#This Row],[Data Source]]="All",Transport_Table[[#This Row],[Data Source]]=SelectedDataSource)</f>
        <v>0</v>
      </c>
      <c r="K386" s="14" t="b">
        <v>1</v>
      </c>
      <c r="L386" s="14" t="b">
        <f>AND(Transport_Table[[#This Row],[Show Feedstock]:[Show Data Source]],NOT(Transport_Table[[#This Row],[Hide Column]]))</f>
        <v>0</v>
      </c>
      <c r="M386" s="14" t="s">
        <v>14</v>
      </c>
      <c r="N386" s="14" t="s">
        <v>1189</v>
      </c>
      <c r="O386" s="14" t="s">
        <v>1271</v>
      </c>
      <c r="P386" s="178" t="s">
        <v>127</v>
      </c>
      <c r="Q386" s="165" t="s">
        <v>1946</v>
      </c>
      <c r="R386" s="396">
        <v>0</v>
      </c>
      <c r="S386" s="394">
        <v>0</v>
      </c>
      <c r="T386" s="107"/>
    </row>
    <row r="387" spans="1:20" x14ac:dyDescent="0.3">
      <c r="A387" s="190" t="s">
        <v>127</v>
      </c>
      <c r="B387" s="178" t="s">
        <v>30</v>
      </c>
      <c r="C387" s="178" t="s">
        <v>194</v>
      </c>
      <c r="D387" s="178" t="s">
        <v>1349</v>
      </c>
      <c r="E387" s="178" t="s">
        <v>31</v>
      </c>
      <c r="F387" s="14" t="b">
        <f>OR(Transport_Table[[#This Row],[Feedstock]]="All",Transport_Table[[#This Row],[Feedstock]]=SelectedFeedstock)</f>
        <v>0</v>
      </c>
      <c r="G387" s="14" t="b">
        <f>OR(Transport_Table[[#This Row],[Conversion]]="All",Transport_Table[[#This Row],[Conversion]]=SelectedConversion)</f>
        <v>1</v>
      </c>
      <c r="H387" s="14" t="b">
        <f>OR(Transport_Table[[#This Row],[Data Set]]="All",Transport_Table[[#This Row],[Data Set]]=SelectedDataSet)</f>
        <v>0</v>
      </c>
      <c r="I387" s="14" t="b">
        <f>OR(Transport_Table[[#This Row],[Technology]]="All",Transport_Table[[#This Row],[Technology]]=SelectedTechnology)</f>
        <v>1</v>
      </c>
      <c r="J387" s="14" t="b">
        <f>OR(Transport_Table[[#This Row],[Data Source]]="All",Transport_Table[[#This Row],[Data Source]]=SelectedDataSource)</f>
        <v>0</v>
      </c>
      <c r="K387" s="14" t="b">
        <v>1</v>
      </c>
      <c r="L387" s="14" t="b">
        <f>AND(Transport_Table[[#This Row],[Show Feedstock]:[Show Data Source]],NOT(Transport_Table[[#This Row],[Hide Column]]))</f>
        <v>0</v>
      </c>
      <c r="M387" s="14" t="s">
        <v>14</v>
      </c>
      <c r="N387" s="14" t="s">
        <v>1190</v>
      </c>
      <c r="O387" s="14" t="s">
        <v>1272</v>
      </c>
      <c r="P387" s="178" t="s">
        <v>380</v>
      </c>
      <c r="Q387" s="165" t="s">
        <v>1947</v>
      </c>
      <c r="R387" s="393">
        <v>0</v>
      </c>
      <c r="S387" s="394">
        <v>0</v>
      </c>
      <c r="T387" s="107"/>
    </row>
    <row r="388" spans="1:20" x14ac:dyDescent="0.3">
      <c r="A388" s="190" t="s">
        <v>127</v>
      </c>
      <c r="B388" s="178" t="s">
        <v>30</v>
      </c>
      <c r="C388" s="178" t="s">
        <v>194</v>
      </c>
      <c r="D388" s="178" t="s">
        <v>1349</v>
      </c>
      <c r="E388" s="178" t="s">
        <v>31</v>
      </c>
      <c r="F388" s="14" t="b">
        <f>OR(Transport_Table[[#This Row],[Feedstock]]="All",Transport_Table[[#This Row],[Feedstock]]=SelectedFeedstock)</f>
        <v>0</v>
      </c>
      <c r="G388" s="14" t="b">
        <f>OR(Transport_Table[[#This Row],[Conversion]]="All",Transport_Table[[#This Row],[Conversion]]=SelectedConversion)</f>
        <v>1</v>
      </c>
      <c r="H388" s="14" t="b">
        <f>OR(Transport_Table[[#This Row],[Data Set]]="All",Transport_Table[[#This Row],[Data Set]]=SelectedDataSet)</f>
        <v>0</v>
      </c>
      <c r="I388" s="14" t="b">
        <f>OR(Transport_Table[[#This Row],[Technology]]="All",Transport_Table[[#This Row],[Technology]]=SelectedTechnology)</f>
        <v>1</v>
      </c>
      <c r="J388" s="14" t="b">
        <f>OR(Transport_Table[[#This Row],[Data Source]]="All",Transport_Table[[#This Row],[Data Source]]=SelectedDataSource)</f>
        <v>0</v>
      </c>
      <c r="K388" s="14" t="b">
        <v>1</v>
      </c>
      <c r="L388" s="14" t="b">
        <f>AND(Transport_Table[[#This Row],[Show Feedstock]:[Show Data Source]],NOT(Transport_Table[[#This Row],[Hide Column]]))</f>
        <v>0</v>
      </c>
      <c r="M388" s="14" t="s">
        <v>14</v>
      </c>
      <c r="N388" s="14" t="s">
        <v>1191</v>
      </c>
      <c r="O388" s="14" t="s">
        <v>1273</v>
      </c>
      <c r="P388" s="178" t="s">
        <v>380</v>
      </c>
      <c r="Q388" s="165" t="s">
        <v>1943</v>
      </c>
      <c r="R388" s="393">
        <v>0</v>
      </c>
      <c r="S388" s="394">
        <v>0</v>
      </c>
      <c r="T388" s="107"/>
    </row>
    <row r="389" spans="1:20" x14ac:dyDescent="0.3">
      <c r="A389" s="190" t="s">
        <v>127</v>
      </c>
      <c r="B389" s="178" t="s">
        <v>30</v>
      </c>
      <c r="C389" s="178" t="s">
        <v>194</v>
      </c>
      <c r="D389" s="178" t="s">
        <v>1349</v>
      </c>
      <c r="E389" s="178" t="s">
        <v>31</v>
      </c>
      <c r="F389" s="14" t="b">
        <f>OR(Transport_Table[[#This Row],[Feedstock]]="All",Transport_Table[[#This Row],[Feedstock]]=SelectedFeedstock)</f>
        <v>0</v>
      </c>
      <c r="G389" s="14" t="b">
        <f>OR(Transport_Table[[#This Row],[Conversion]]="All",Transport_Table[[#This Row],[Conversion]]=SelectedConversion)</f>
        <v>1</v>
      </c>
      <c r="H389" s="14" t="b">
        <f>OR(Transport_Table[[#This Row],[Data Set]]="All",Transport_Table[[#This Row],[Data Set]]=SelectedDataSet)</f>
        <v>0</v>
      </c>
      <c r="I389" s="14" t="b">
        <f>OR(Transport_Table[[#This Row],[Technology]]="All",Transport_Table[[#This Row],[Technology]]=SelectedTechnology)</f>
        <v>1</v>
      </c>
      <c r="J389" s="14" t="b">
        <f>OR(Transport_Table[[#This Row],[Data Source]]="All",Transport_Table[[#This Row],[Data Source]]=SelectedDataSource)</f>
        <v>0</v>
      </c>
      <c r="K389" s="14" t="b">
        <v>1</v>
      </c>
      <c r="L389" s="14" t="b">
        <f>AND(Transport_Table[[#This Row],[Show Feedstock]:[Show Data Source]],NOT(Transport_Table[[#This Row],[Hide Column]]))</f>
        <v>0</v>
      </c>
      <c r="M389" s="14" t="s">
        <v>14</v>
      </c>
      <c r="N389" s="14" t="s">
        <v>1192</v>
      </c>
      <c r="O389" s="14" t="s">
        <v>1274</v>
      </c>
      <c r="P389" s="178" t="s">
        <v>380</v>
      </c>
      <c r="Q389" s="165" t="s">
        <v>1944</v>
      </c>
      <c r="R389" s="393">
        <v>0.33</v>
      </c>
      <c r="S389" s="394">
        <v>700</v>
      </c>
      <c r="T389" s="107"/>
    </row>
    <row r="390" spans="1:20" x14ac:dyDescent="0.3">
      <c r="A390" s="190" t="s">
        <v>127</v>
      </c>
      <c r="B390" s="178" t="s">
        <v>30</v>
      </c>
      <c r="C390" s="178" t="s">
        <v>194</v>
      </c>
      <c r="D390" s="178" t="s">
        <v>1349</v>
      </c>
      <c r="E390" s="178" t="s">
        <v>31</v>
      </c>
      <c r="F390" s="14" t="b">
        <f>OR(Transport_Table[[#This Row],[Feedstock]]="All",Transport_Table[[#This Row],[Feedstock]]=SelectedFeedstock)</f>
        <v>0</v>
      </c>
      <c r="G390" s="14" t="b">
        <f>OR(Transport_Table[[#This Row],[Conversion]]="All",Transport_Table[[#This Row],[Conversion]]=SelectedConversion)</f>
        <v>1</v>
      </c>
      <c r="H390" s="14" t="b">
        <f>OR(Transport_Table[[#This Row],[Data Set]]="All",Transport_Table[[#This Row],[Data Set]]=SelectedDataSet)</f>
        <v>0</v>
      </c>
      <c r="I390" s="14" t="b">
        <f>OR(Transport_Table[[#This Row],[Technology]]="All",Transport_Table[[#This Row],[Technology]]=SelectedTechnology)</f>
        <v>1</v>
      </c>
      <c r="J390" s="14" t="b">
        <f>OR(Transport_Table[[#This Row],[Data Source]]="All",Transport_Table[[#This Row],[Data Source]]=SelectedDataSource)</f>
        <v>0</v>
      </c>
      <c r="K390" s="14" t="b">
        <v>1</v>
      </c>
      <c r="L390" s="14" t="b">
        <f>AND(Transport_Table[[#This Row],[Show Feedstock]:[Show Data Source]],NOT(Transport_Table[[#This Row],[Hide Column]]))</f>
        <v>0</v>
      </c>
      <c r="M390" s="14" t="s">
        <v>14</v>
      </c>
      <c r="N390" s="14" t="s">
        <v>1193</v>
      </c>
      <c r="O390" s="14" t="s">
        <v>1275</v>
      </c>
      <c r="P390" s="178" t="s">
        <v>380</v>
      </c>
      <c r="Q390" s="165" t="s">
        <v>1945</v>
      </c>
      <c r="R390" s="393">
        <v>0.67</v>
      </c>
      <c r="S390" s="394">
        <v>80</v>
      </c>
      <c r="T390" s="107"/>
    </row>
    <row r="391" spans="1:20" x14ac:dyDescent="0.3">
      <c r="A391" s="190" t="s">
        <v>127</v>
      </c>
      <c r="B391" s="178" t="s">
        <v>30</v>
      </c>
      <c r="C391" s="178" t="s">
        <v>194</v>
      </c>
      <c r="D391" s="178" t="s">
        <v>1349</v>
      </c>
      <c r="E391" s="178" t="s">
        <v>31</v>
      </c>
      <c r="F391" s="14" t="b">
        <f>OR(Transport_Table[[#This Row],[Feedstock]]="All",Transport_Table[[#This Row],[Feedstock]]=SelectedFeedstock)</f>
        <v>0</v>
      </c>
      <c r="G391" s="14" t="b">
        <f>OR(Transport_Table[[#This Row],[Conversion]]="All",Transport_Table[[#This Row],[Conversion]]=SelectedConversion)</f>
        <v>1</v>
      </c>
      <c r="H391" s="14" t="b">
        <f>OR(Transport_Table[[#This Row],[Data Set]]="All",Transport_Table[[#This Row],[Data Set]]=SelectedDataSet)</f>
        <v>0</v>
      </c>
      <c r="I391" s="14" t="b">
        <f>OR(Transport_Table[[#This Row],[Technology]]="All",Transport_Table[[#This Row],[Technology]]=SelectedTechnology)</f>
        <v>1</v>
      </c>
      <c r="J391" s="14" t="b">
        <f>OR(Transport_Table[[#This Row],[Data Source]]="All",Transport_Table[[#This Row],[Data Source]]=SelectedDataSource)</f>
        <v>0</v>
      </c>
      <c r="L391" s="14" t="b">
        <f>AND(Transport_Table[[#This Row],[Show Feedstock]:[Show Data Source]],NOT(Transport_Table[[#This Row],[Hide Column]]))</f>
        <v>0</v>
      </c>
      <c r="M391" s="14" t="s">
        <v>14</v>
      </c>
      <c r="N391" s="14" t="s">
        <v>1161</v>
      </c>
      <c r="O391" s="14" t="s">
        <v>1243</v>
      </c>
      <c r="P391" s="178" t="s">
        <v>1700</v>
      </c>
      <c r="Q391" s="165" t="s">
        <v>1946</v>
      </c>
      <c r="R391" s="393">
        <v>0.08</v>
      </c>
      <c r="S391" s="394">
        <v>519.99854667279999</v>
      </c>
      <c r="T391" s="107"/>
    </row>
    <row r="392" spans="1:20" x14ac:dyDescent="0.3">
      <c r="A392" s="190" t="s">
        <v>127</v>
      </c>
      <c r="B392" s="178" t="s">
        <v>30</v>
      </c>
      <c r="C392" s="178" t="s">
        <v>194</v>
      </c>
      <c r="D392" s="178" t="s">
        <v>1349</v>
      </c>
      <c r="E392" s="178" t="s">
        <v>31</v>
      </c>
      <c r="F392" s="14" t="b">
        <f>OR(Transport_Table[[#This Row],[Feedstock]]="All",Transport_Table[[#This Row],[Feedstock]]=SelectedFeedstock)</f>
        <v>0</v>
      </c>
      <c r="G392" s="14" t="b">
        <f>OR(Transport_Table[[#This Row],[Conversion]]="All",Transport_Table[[#This Row],[Conversion]]=SelectedConversion)</f>
        <v>1</v>
      </c>
      <c r="H392" s="14" t="b">
        <f>OR(Transport_Table[[#This Row],[Data Set]]="All",Transport_Table[[#This Row],[Data Set]]=SelectedDataSet)</f>
        <v>0</v>
      </c>
      <c r="I392" s="14" t="b">
        <f>OR(Transport_Table[[#This Row],[Technology]]="All",Transport_Table[[#This Row],[Technology]]=SelectedTechnology)</f>
        <v>1</v>
      </c>
      <c r="J392" s="14" t="b">
        <f>OR(Transport_Table[[#This Row],[Data Source]]="All",Transport_Table[[#This Row],[Data Source]]=SelectedDataSource)</f>
        <v>0</v>
      </c>
      <c r="L392" s="14" t="b">
        <f>AND(Transport_Table[[#This Row],[Show Feedstock]:[Show Data Source]],NOT(Transport_Table[[#This Row],[Hide Column]]))</f>
        <v>0</v>
      </c>
      <c r="M392" s="14" t="s">
        <v>14</v>
      </c>
      <c r="N392" s="14" t="s">
        <v>1162</v>
      </c>
      <c r="O392" s="14" t="s">
        <v>1244</v>
      </c>
      <c r="P392" s="178" t="s">
        <v>1700</v>
      </c>
      <c r="Q392" s="165" t="s">
        <v>1943</v>
      </c>
      <c r="R392" s="393">
        <v>0</v>
      </c>
      <c r="S392" s="394">
        <v>0</v>
      </c>
      <c r="T392" s="107"/>
    </row>
    <row r="393" spans="1:20" x14ac:dyDescent="0.3">
      <c r="A393" s="190" t="s">
        <v>127</v>
      </c>
      <c r="B393" s="178" t="s">
        <v>30</v>
      </c>
      <c r="C393" s="178" t="s">
        <v>194</v>
      </c>
      <c r="D393" s="178" t="s">
        <v>1349</v>
      </c>
      <c r="E393" s="178" t="s">
        <v>31</v>
      </c>
      <c r="F393" s="14" t="b">
        <f>OR(Transport_Table[[#This Row],[Feedstock]]="All",Transport_Table[[#This Row],[Feedstock]]=SelectedFeedstock)</f>
        <v>0</v>
      </c>
      <c r="G393" s="14" t="b">
        <f>OR(Transport_Table[[#This Row],[Conversion]]="All",Transport_Table[[#This Row],[Conversion]]=SelectedConversion)</f>
        <v>1</v>
      </c>
      <c r="H393" s="14" t="b">
        <f>OR(Transport_Table[[#This Row],[Data Set]]="All",Transport_Table[[#This Row],[Data Set]]=SelectedDataSet)</f>
        <v>0</v>
      </c>
      <c r="I393" s="14" t="b">
        <f>OR(Transport_Table[[#This Row],[Technology]]="All",Transport_Table[[#This Row],[Technology]]=SelectedTechnology)</f>
        <v>1</v>
      </c>
      <c r="J393" s="14" t="b">
        <f>OR(Transport_Table[[#This Row],[Data Source]]="All",Transport_Table[[#This Row],[Data Source]]=SelectedDataSource)</f>
        <v>0</v>
      </c>
      <c r="L393" s="14" t="b">
        <f>AND(Transport_Table[[#This Row],[Show Feedstock]:[Show Data Source]],NOT(Transport_Table[[#This Row],[Hide Column]]))</f>
        <v>0</v>
      </c>
      <c r="M393" s="14" t="s">
        <v>14</v>
      </c>
      <c r="N393" s="14" t="s">
        <v>1163</v>
      </c>
      <c r="O393" s="14" t="s">
        <v>1245</v>
      </c>
      <c r="P393" s="178" t="s">
        <v>1700</v>
      </c>
      <c r="Q393" s="165" t="s">
        <v>1944</v>
      </c>
      <c r="R393" s="393">
        <v>0.28999999999999998</v>
      </c>
      <c r="S393" s="394">
        <v>799.99776411200003</v>
      </c>
      <c r="T393" s="107"/>
    </row>
    <row r="394" spans="1:20" x14ac:dyDescent="0.3">
      <c r="A394" s="190" t="s">
        <v>127</v>
      </c>
      <c r="B394" s="178" t="s">
        <v>30</v>
      </c>
      <c r="C394" s="178" t="s">
        <v>194</v>
      </c>
      <c r="D394" s="178" t="s">
        <v>1349</v>
      </c>
      <c r="E394" s="178" t="s">
        <v>31</v>
      </c>
      <c r="F394" s="14" t="b">
        <f>OR(Transport_Table[[#This Row],[Feedstock]]="All",Transport_Table[[#This Row],[Feedstock]]=SelectedFeedstock)</f>
        <v>0</v>
      </c>
      <c r="G394" s="14" t="b">
        <f>OR(Transport_Table[[#This Row],[Conversion]]="All",Transport_Table[[#This Row],[Conversion]]=SelectedConversion)</f>
        <v>1</v>
      </c>
      <c r="H394" s="14" t="b">
        <f>OR(Transport_Table[[#This Row],[Data Set]]="All",Transport_Table[[#This Row],[Data Set]]=SelectedDataSet)</f>
        <v>0</v>
      </c>
      <c r="I394" s="14" t="b">
        <f>OR(Transport_Table[[#This Row],[Technology]]="All",Transport_Table[[#This Row],[Technology]]=SelectedTechnology)</f>
        <v>1</v>
      </c>
      <c r="J394" s="14" t="b">
        <f>OR(Transport_Table[[#This Row],[Data Source]]="All",Transport_Table[[#This Row],[Data Source]]=SelectedDataSource)</f>
        <v>0</v>
      </c>
      <c r="L394" s="14" t="b">
        <f>AND(Transport_Table[[#This Row],[Show Feedstock]:[Show Data Source]],NOT(Transport_Table[[#This Row],[Hide Column]]))</f>
        <v>0</v>
      </c>
      <c r="M394" s="14" t="s">
        <v>14</v>
      </c>
      <c r="N394" s="14" t="s">
        <v>1164</v>
      </c>
      <c r="O394" s="14" t="s">
        <v>1246</v>
      </c>
      <c r="P394" s="178" t="s">
        <v>1700</v>
      </c>
      <c r="Q394" s="165" t="s">
        <v>1945</v>
      </c>
      <c r="R394" s="393">
        <v>0.63</v>
      </c>
      <c r="S394" s="394">
        <v>49.999860257000002</v>
      </c>
      <c r="T394" s="107"/>
    </row>
    <row r="395" spans="1:20" x14ac:dyDescent="0.3">
      <c r="A395" s="190" t="s">
        <v>127</v>
      </c>
      <c r="B395" s="178" t="s">
        <v>30</v>
      </c>
      <c r="C395" s="178" t="s">
        <v>194</v>
      </c>
      <c r="D395" s="178" t="s">
        <v>1349</v>
      </c>
      <c r="E395" s="178" t="s">
        <v>31</v>
      </c>
      <c r="F395" s="14" t="b">
        <f>OR(Transport_Table[[#This Row],[Feedstock]]="All",Transport_Table[[#This Row],[Feedstock]]=SelectedFeedstock)</f>
        <v>0</v>
      </c>
      <c r="G395" s="14" t="b">
        <f>OR(Transport_Table[[#This Row],[Conversion]]="All",Transport_Table[[#This Row],[Conversion]]=SelectedConversion)</f>
        <v>1</v>
      </c>
      <c r="H395" s="14" t="b">
        <f>OR(Transport_Table[[#This Row],[Data Set]]="All",Transport_Table[[#This Row],[Data Set]]=SelectedDataSet)</f>
        <v>0</v>
      </c>
      <c r="I395" s="14" t="b">
        <f>OR(Transport_Table[[#This Row],[Technology]]="All",Transport_Table[[#This Row],[Technology]]=SelectedTechnology)</f>
        <v>1</v>
      </c>
      <c r="J395" s="14" t="b">
        <f>OR(Transport_Table[[#This Row],[Data Source]]="All",Transport_Table[[#This Row],[Data Source]]=SelectedDataSource)</f>
        <v>0</v>
      </c>
      <c r="L395" s="14" t="b">
        <f>AND(Transport_Table[[#This Row],[Show Feedstock]:[Show Data Source]],NOT(Transport_Table[[#This Row],[Hide Column]]))</f>
        <v>0</v>
      </c>
      <c r="M395" s="14" t="s">
        <v>14</v>
      </c>
      <c r="N395" s="14" t="s">
        <v>1165</v>
      </c>
      <c r="O395" s="14" t="s">
        <v>1247</v>
      </c>
      <c r="P395" s="178" t="s">
        <v>1701</v>
      </c>
      <c r="Q395" s="165" t="s">
        <v>1946</v>
      </c>
      <c r="R395" s="393">
        <v>1</v>
      </c>
      <c r="S395" s="394">
        <v>29.999916154200001</v>
      </c>
      <c r="T395" s="107"/>
    </row>
    <row r="396" spans="1:20" x14ac:dyDescent="0.3">
      <c r="A396" s="190" t="s">
        <v>127</v>
      </c>
      <c r="B396" s="178" t="s">
        <v>30</v>
      </c>
      <c r="C396" s="178" t="s">
        <v>194</v>
      </c>
      <c r="D396" s="178" t="s">
        <v>370</v>
      </c>
      <c r="E396" s="178" t="s">
        <v>31</v>
      </c>
      <c r="F396" s="14" t="b">
        <f>OR(Transport_Table[[#This Row],[Feedstock]]="All",Transport_Table[[#This Row],[Feedstock]]=SelectedFeedstock)</f>
        <v>0</v>
      </c>
      <c r="G396" s="14" t="b">
        <f>OR(Transport_Table[[#This Row],[Conversion]]="All",Transport_Table[[#This Row],[Conversion]]=SelectedConversion)</f>
        <v>1</v>
      </c>
      <c r="H396" s="14" t="b">
        <f>OR(Transport_Table[[#This Row],[Data Set]]="All",Transport_Table[[#This Row],[Data Set]]=SelectedDataSet)</f>
        <v>0</v>
      </c>
      <c r="I396" s="14" t="b">
        <f>OR(Transport_Table[[#This Row],[Technology]]="All",Transport_Table[[#This Row],[Technology]]=SelectedTechnology)</f>
        <v>1</v>
      </c>
      <c r="J396" s="14" t="b">
        <f>OR(Transport_Table[[#This Row],[Data Source]]="All",Transport_Table[[#This Row],[Data Source]]=SelectedDataSource)</f>
        <v>0</v>
      </c>
      <c r="K396" s="14" t="b">
        <v>1</v>
      </c>
      <c r="L396" s="14" t="b">
        <f>AND(Transport_Table[[#This Row],[Show Feedstock]:[Show Data Source]],NOT(Transport_Table[[#This Row],[Hide Column]]))</f>
        <v>0</v>
      </c>
      <c r="M396" s="14" t="s">
        <v>14</v>
      </c>
      <c r="N396" s="14" t="s">
        <v>1186</v>
      </c>
      <c r="O396" s="14" t="s">
        <v>1268</v>
      </c>
      <c r="P396" s="178" t="s">
        <v>127</v>
      </c>
      <c r="Q396" s="165" t="s">
        <v>1943</v>
      </c>
      <c r="R396" s="393">
        <v>0</v>
      </c>
      <c r="S396" s="394">
        <v>0</v>
      </c>
      <c r="T396" s="107"/>
    </row>
    <row r="397" spans="1:20" x14ac:dyDescent="0.3">
      <c r="A397" s="190" t="s">
        <v>127</v>
      </c>
      <c r="B397" s="178" t="s">
        <v>30</v>
      </c>
      <c r="C397" s="178" t="s">
        <v>194</v>
      </c>
      <c r="D397" s="178" t="s">
        <v>370</v>
      </c>
      <c r="E397" s="178" t="s">
        <v>31</v>
      </c>
      <c r="F397" s="14" t="b">
        <f>OR(Transport_Table[[#This Row],[Feedstock]]="All",Transport_Table[[#This Row],[Feedstock]]=SelectedFeedstock)</f>
        <v>0</v>
      </c>
      <c r="G397" s="14" t="b">
        <f>OR(Transport_Table[[#This Row],[Conversion]]="All",Transport_Table[[#This Row],[Conversion]]=SelectedConversion)</f>
        <v>1</v>
      </c>
      <c r="H397" s="14" t="b">
        <f>OR(Transport_Table[[#This Row],[Data Set]]="All",Transport_Table[[#This Row],[Data Set]]=SelectedDataSet)</f>
        <v>0</v>
      </c>
      <c r="I397" s="14" t="b">
        <f>OR(Transport_Table[[#This Row],[Technology]]="All",Transport_Table[[#This Row],[Technology]]=SelectedTechnology)</f>
        <v>1</v>
      </c>
      <c r="J397" s="14" t="b">
        <f>OR(Transport_Table[[#This Row],[Data Source]]="All",Transport_Table[[#This Row],[Data Source]]=SelectedDataSource)</f>
        <v>0</v>
      </c>
      <c r="K397" s="14" t="b">
        <v>1</v>
      </c>
      <c r="L397" s="14" t="b">
        <f>AND(Transport_Table[[#This Row],[Show Feedstock]:[Show Data Source]],NOT(Transport_Table[[#This Row],[Hide Column]]))</f>
        <v>0</v>
      </c>
      <c r="M397" s="14" t="s">
        <v>14</v>
      </c>
      <c r="N397" s="14" t="s">
        <v>1187</v>
      </c>
      <c r="O397" s="14" t="s">
        <v>1269</v>
      </c>
      <c r="P397" s="178" t="s">
        <v>127</v>
      </c>
      <c r="Q397" s="165" t="s">
        <v>1944</v>
      </c>
      <c r="R397" s="393">
        <v>0.2</v>
      </c>
      <c r="S397" s="394">
        <v>400.16292400000003</v>
      </c>
      <c r="T397" s="107"/>
    </row>
    <row r="398" spans="1:20" x14ac:dyDescent="0.3">
      <c r="A398" s="190" t="s">
        <v>127</v>
      </c>
      <c r="B398" s="178" t="s">
        <v>30</v>
      </c>
      <c r="C398" s="178" t="s">
        <v>194</v>
      </c>
      <c r="D398" s="178" t="s">
        <v>370</v>
      </c>
      <c r="E398" s="178" t="s">
        <v>31</v>
      </c>
      <c r="F398" s="14" t="b">
        <f>OR(Transport_Table[[#This Row],[Feedstock]]="All",Transport_Table[[#This Row],[Feedstock]]=SelectedFeedstock)</f>
        <v>0</v>
      </c>
      <c r="G398" s="14" t="b">
        <f>OR(Transport_Table[[#This Row],[Conversion]]="All",Transport_Table[[#This Row],[Conversion]]=SelectedConversion)</f>
        <v>1</v>
      </c>
      <c r="H398" s="14" t="b">
        <f>OR(Transport_Table[[#This Row],[Data Set]]="All",Transport_Table[[#This Row],[Data Set]]=SelectedDataSet)</f>
        <v>0</v>
      </c>
      <c r="I398" s="14" t="b">
        <f>OR(Transport_Table[[#This Row],[Technology]]="All",Transport_Table[[#This Row],[Technology]]=SelectedTechnology)</f>
        <v>1</v>
      </c>
      <c r="J398" s="14" t="b">
        <f>OR(Transport_Table[[#This Row],[Data Source]]="All",Transport_Table[[#This Row],[Data Source]]=SelectedDataSource)</f>
        <v>0</v>
      </c>
      <c r="K398" s="14" t="b">
        <v>1</v>
      </c>
      <c r="L398" s="14" t="b">
        <f>AND(Transport_Table[[#This Row],[Show Feedstock]:[Show Data Source]],NOT(Transport_Table[[#This Row],[Hide Column]]))</f>
        <v>0</v>
      </c>
      <c r="M398" s="14" t="s">
        <v>14</v>
      </c>
      <c r="N398" s="14" t="s">
        <v>1188</v>
      </c>
      <c r="O398" s="14" t="s">
        <v>1270</v>
      </c>
      <c r="P398" s="178" t="s">
        <v>127</v>
      </c>
      <c r="Q398" s="165" t="s">
        <v>1945</v>
      </c>
      <c r="R398" s="393">
        <v>0.8</v>
      </c>
      <c r="S398" s="394">
        <v>100.04073100000001</v>
      </c>
      <c r="T398" s="107"/>
    </row>
    <row r="399" spans="1:20" x14ac:dyDescent="0.3">
      <c r="A399" s="190" t="s">
        <v>127</v>
      </c>
      <c r="B399" s="178" t="s">
        <v>30</v>
      </c>
      <c r="C399" s="178" t="s">
        <v>194</v>
      </c>
      <c r="D399" s="178" t="s">
        <v>370</v>
      </c>
      <c r="E399" s="178" t="s">
        <v>31</v>
      </c>
      <c r="F399" s="14" t="b">
        <f>OR(Transport_Table[[#This Row],[Feedstock]]="All",Transport_Table[[#This Row],[Feedstock]]=SelectedFeedstock)</f>
        <v>0</v>
      </c>
      <c r="G399" s="14" t="b">
        <f>OR(Transport_Table[[#This Row],[Conversion]]="All",Transport_Table[[#This Row],[Conversion]]=SelectedConversion)</f>
        <v>1</v>
      </c>
      <c r="H399" s="14" t="b">
        <f>OR(Transport_Table[[#This Row],[Data Set]]="All",Transport_Table[[#This Row],[Data Set]]=SelectedDataSet)</f>
        <v>0</v>
      </c>
      <c r="I399" s="14" t="b">
        <f>OR(Transport_Table[[#This Row],[Technology]]="All",Transport_Table[[#This Row],[Technology]]=SelectedTechnology)</f>
        <v>1</v>
      </c>
      <c r="J399" s="14" t="b">
        <f>OR(Transport_Table[[#This Row],[Data Source]]="All",Transport_Table[[#This Row],[Data Source]]=SelectedDataSource)</f>
        <v>0</v>
      </c>
      <c r="K399" s="14" t="b">
        <v>1</v>
      </c>
      <c r="L399" s="14" t="b">
        <f>AND(Transport_Table[[#This Row],[Show Feedstock]:[Show Data Source]],NOT(Transport_Table[[#This Row],[Hide Column]]))</f>
        <v>0</v>
      </c>
      <c r="M399" s="14" t="s">
        <v>14</v>
      </c>
      <c r="N399" s="14" t="s">
        <v>1189</v>
      </c>
      <c r="O399" s="14" t="s">
        <v>1271</v>
      </c>
      <c r="P399" s="178" t="s">
        <v>127</v>
      </c>
      <c r="Q399" s="165" t="s">
        <v>1946</v>
      </c>
      <c r="R399" s="396">
        <v>0</v>
      </c>
      <c r="S399" s="394">
        <v>0</v>
      </c>
      <c r="T399" s="107"/>
    </row>
    <row r="400" spans="1:20" x14ac:dyDescent="0.3">
      <c r="A400" s="190" t="s">
        <v>127</v>
      </c>
      <c r="B400" s="178" t="s">
        <v>30</v>
      </c>
      <c r="C400" s="178" t="s">
        <v>194</v>
      </c>
      <c r="D400" s="178" t="s">
        <v>370</v>
      </c>
      <c r="E400" s="178" t="s">
        <v>31</v>
      </c>
      <c r="F400" s="14" t="b">
        <f>OR(Transport_Table[[#This Row],[Feedstock]]="All",Transport_Table[[#This Row],[Feedstock]]=SelectedFeedstock)</f>
        <v>0</v>
      </c>
      <c r="G400" s="14" t="b">
        <f>OR(Transport_Table[[#This Row],[Conversion]]="All",Transport_Table[[#This Row],[Conversion]]=SelectedConversion)</f>
        <v>1</v>
      </c>
      <c r="H400" s="14" t="b">
        <f>OR(Transport_Table[[#This Row],[Data Set]]="All",Transport_Table[[#This Row],[Data Set]]=SelectedDataSet)</f>
        <v>0</v>
      </c>
      <c r="I400" s="14" t="b">
        <f>OR(Transport_Table[[#This Row],[Technology]]="All",Transport_Table[[#This Row],[Technology]]=SelectedTechnology)</f>
        <v>1</v>
      </c>
      <c r="J400" s="14" t="b">
        <f>OR(Transport_Table[[#This Row],[Data Source]]="All",Transport_Table[[#This Row],[Data Source]]=SelectedDataSource)</f>
        <v>0</v>
      </c>
      <c r="K400" s="14" t="b">
        <v>1</v>
      </c>
      <c r="L400" s="14" t="b">
        <f>AND(Transport_Table[[#This Row],[Show Feedstock]:[Show Data Source]],NOT(Transport_Table[[#This Row],[Hide Column]]))</f>
        <v>0</v>
      </c>
      <c r="M400" s="14" t="s">
        <v>14</v>
      </c>
      <c r="N400" s="14" t="s">
        <v>1190</v>
      </c>
      <c r="O400" s="14" t="s">
        <v>1272</v>
      </c>
      <c r="P400" s="178" t="s">
        <v>380</v>
      </c>
      <c r="Q400" s="165" t="s">
        <v>1943</v>
      </c>
      <c r="R400" s="393">
        <v>0</v>
      </c>
      <c r="S400" s="394">
        <v>0</v>
      </c>
      <c r="T400" s="107"/>
    </row>
    <row r="401" spans="1:20" x14ac:dyDescent="0.3">
      <c r="A401" s="190" t="s">
        <v>127</v>
      </c>
      <c r="B401" s="178" t="s">
        <v>30</v>
      </c>
      <c r="C401" s="178" t="s">
        <v>194</v>
      </c>
      <c r="D401" s="178" t="s">
        <v>370</v>
      </c>
      <c r="E401" s="178" t="s">
        <v>31</v>
      </c>
      <c r="F401" s="14" t="b">
        <f>OR(Transport_Table[[#This Row],[Feedstock]]="All",Transport_Table[[#This Row],[Feedstock]]=SelectedFeedstock)</f>
        <v>0</v>
      </c>
      <c r="G401" s="14" t="b">
        <f>OR(Transport_Table[[#This Row],[Conversion]]="All",Transport_Table[[#This Row],[Conversion]]=SelectedConversion)</f>
        <v>1</v>
      </c>
      <c r="H401" s="14" t="b">
        <f>OR(Transport_Table[[#This Row],[Data Set]]="All",Transport_Table[[#This Row],[Data Set]]=SelectedDataSet)</f>
        <v>0</v>
      </c>
      <c r="I401" s="14" t="b">
        <f>OR(Transport_Table[[#This Row],[Technology]]="All",Transport_Table[[#This Row],[Technology]]=SelectedTechnology)</f>
        <v>1</v>
      </c>
      <c r="J401" s="14" t="b">
        <f>OR(Transport_Table[[#This Row],[Data Source]]="All",Transport_Table[[#This Row],[Data Source]]=SelectedDataSource)</f>
        <v>0</v>
      </c>
      <c r="K401" s="14" t="b">
        <v>1</v>
      </c>
      <c r="L401" s="14" t="b">
        <f>AND(Transport_Table[[#This Row],[Show Feedstock]:[Show Data Source]],NOT(Transport_Table[[#This Row],[Hide Column]]))</f>
        <v>0</v>
      </c>
      <c r="M401" s="14" t="s">
        <v>14</v>
      </c>
      <c r="N401" s="14" t="s">
        <v>1191</v>
      </c>
      <c r="O401" s="14" t="s">
        <v>1273</v>
      </c>
      <c r="P401" s="178" t="s">
        <v>380</v>
      </c>
      <c r="Q401" s="165" t="s">
        <v>1945</v>
      </c>
      <c r="R401" s="393">
        <v>0</v>
      </c>
      <c r="S401" s="394">
        <v>0</v>
      </c>
      <c r="T401" s="107"/>
    </row>
    <row r="402" spans="1:20" x14ac:dyDescent="0.3">
      <c r="A402" s="190" t="s">
        <v>127</v>
      </c>
      <c r="B402" s="178" t="s">
        <v>30</v>
      </c>
      <c r="C402" s="178" t="s">
        <v>194</v>
      </c>
      <c r="D402" s="178" t="s">
        <v>370</v>
      </c>
      <c r="E402" s="178" t="s">
        <v>31</v>
      </c>
      <c r="F402" s="14" t="b">
        <f>OR(Transport_Table[[#This Row],[Feedstock]]="All",Transport_Table[[#This Row],[Feedstock]]=SelectedFeedstock)</f>
        <v>0</v>
      </c>
      <c r="G402" s="14" t="b">
        <f>OR(Transport_Table[[#This Row],[Conversion]]="All",Transport_Table[[#This Row],[Conversion]]=SelectedConversion)</f>
        <v>1</v>
      </c>
      <c r="H402" s="14" t="b">
        <f>OR(Transport_Table[[#This Row],[Data Set]]="All",Transport_Table[[#This Row],[Data Set]]=SelectedDataSet)</f>
        <v>0</v>
      </c>
      <c r="I402" s="14" t="b">
        <f>OR(Transport_Table[[#This Row],[Technology]]="All",Transport_Table[[#This Row],[Technology]]=SelectedTechnology)</f>
        <v>1</v>
      </c>
      <c r="J402" s="14" t="b">
        <f>OR(Transport_Table[[#This Row],[Data Source]]="All",Transport_Table[[#This Row],[Data Source]]=SelectedDataSource)</f>
        <v>0</v>
      </c>
      <c r="K402" s="14" t="b">
        <v>1</v>
      </c>
      <c r="L402" s="14" t="b">
        <f>AND(Transport_Table[[#This Row],[Show Feedstock]:[Show Data Source]],NOT(Transport_Table[[#This Row],[Hide Column]]))</f>
        <v>0</v>
      </c>
      <c r="M402" s="14" t="s">
        <v>14</v>
      </c>
      <c r="N402" s="14" t="s">
        <v>1192</v>
      </c>
      <c r="O402" s="14" t="s">
        <v>1274</v>
      </c>
      <c r="P402" s="178" t="s">
        <v>380</v>
      </c>
      <c r="Q402" s="165" t="s">
        <v>1946</v>
      </c>
      <c r="R402" s="393">
        <v>0.33</v>
      </c>
      <c r="S402" s="394">
        <v>700</v>
      </c>
      <c r="T402" s="107"/>
    </row>
    <row r="403" spans="1:20" x14ac:dyDescent="0.3">
      <c r="A403" s="190" t="s">
        <v>127</v>
      </c>
      <c r="B403" s="178" t="s">
        <v>30</v>
      </c>
      <c r="C403" s="178" t="s">
        <v>194</v>
      </c>
      <c r="D403" s="178" t="s">
        <v>370</v>
      </c>
      <c r="E403" s="178" t="s">
        <v>31</v>
      </c>
      <c r="F403" s="14" t="b">
        <f>OR(Transport_Table[[#This Row],[Feedstock]]="All",Transport_Table[[#This Row],[Feedstock]]=SelectedFeedstock)</f>
        <v>0</v>
      </c>
      <c r="G403" s="14" t="b">
        <f>OR(Transport_Table[[#This Row],[Conversion]]="All",Transport_Table[[#This Row],[Conversion]]=SelectedConversion)</f>
        <v>1</v>
      </c>
      <c r="H403" s="14" t="b">
        <f>OR(Transport_Table[[#This Row],[Data Set]]="All",Transport_Table[[#This Row],[Data Set]]=SelectedDataSet)</f>
        <v>0</v>
      </c>
      <c r="I403" s="14" t="b">
        <f>OR(Transport_Table[[#This Row],[Technology]]="All",Transport_Table[[#This Row],[Technology]]=SelectedTechnology)</f>
        <v>1</v>
      </c>
      <c r="J403" s="14" t="b">
        <f>OR(Transport_Table[[#This Row],[Data Source]]="All",Transport_Table[[#This Row],[Data Source]]=SelectedDataSource)</f>
        <v>0</v>
      </c>
      <c r="K403" s="14" t="b">
        <v>1</v>
      </c>
      <c r="L403" s="14" t="b">
        <f>AND(Transport_Table[[#This Row],[Show Feedstock]:[Show Data Source]],NOT(Transport_Table[[#This Row],[Hide Column]]))</f>
        <v>0</v>
      </c>
      <c r="M403" s="14" t="s">
        <v>14</v>
      </c>
      <c r="N403" s="14" t="s">
        <v>1193</v>
      </c>
      <c r="O403" s="14" t="s">
        <v>1275</v>
      </c>
      <c r="P403" s="178" t="s">
        <v>380</v>
      </c>
      <c r="Q403" s="165" t="s">
        <v>1946</v>
      </c>
      <c r="R403" s="393">
        <v>0.67</v>
      </c>
      <c r="S403" s="394">
        <v>80</v>
      </c>
      <c r="T403" s="107"/>
    </row>
    <row r="404" spans="1:20" x14ac:dyDescent="0.3">
      <c r="A404" s="190" t="s">
        <v>127</v>
      </c>
      <c r="B404" s="178" t="s">
        <v>30</v>
      </c>
      <c r="C404" s="178" t="s">
        <v>194</v>
      </c>
      <c r="D404" s="178" t="s">
        <v>370</v>
      </c>
      <c r="E404" s="178" t="s">
        <v>31</v>
      </c>
      <c r="F404" s="14" t="b">
        <f>OR(Transport_Table[[#This Row],[Feedstock]]="All",Transport_Table[[#This Row],[Feedstock]]=SelectedFeedstock)</f>
        <v>0</v>
      </c>
      <c r="G404" s="14" t="b">
        <f>OR(Transport_Table[[#This Row],[Conversion]]="All",Transport_Table[[#This Row],[Conversion]]=SelectedConversion)</f>
        <v>1</v>
      </c>
      <c r="H404" s="14" t="b">
        <f>OR(Transport_Table[[#This Row],[Data Set]]="All",Transport_Table[[#This Row],[Data Set]]=SelectedDataSet)</f>
        <v>0</v>
      </c>
      <c r="I404" s="14" t="b">
        <f>OR(Transport_Table[[#This Row],[Technology]]="All",Transport_Table[[#This Row],[Technology]]=SelectedTechnology)</f>
        <v>1</v>
      </c>
      <c r="J404" s="14" t="b">
        <f>OR(Transport_Table[[#This Row],[Data Source]]="All",Transport_Table[[#This Row],[Data Source]]=SelectedDataSource)</f>
        <v>0</v>
      </c>
      <c r="L404" s="14" t="b">
        <f>AND(Transport_Table[[#This Row],[Show Feedstock]:[Show Data Source]],NOT(Transport_Table[[#This Row],[Hide Column]]))</f>
        <v>0</v>
      </c>
      <c r="M404" s="14" t="s">
        <v>14</v>
      </c>
      <c r="N404" s="14" t="s">
        <v>1161</v>
      </c>
      <c r="O404" s="14" t="s">
        <v>1243</v>
      </c>
      <c r="P404" s="178" t="s">
        <v>1700</v>
      </c>
      <c r="Q404" s="165" t="s">
        <v>1943</v>
      </c>
      <c r="R404" s="393">
        <v>0.08</v>
      </c>
      <c r="S404" s="394">
        <v>519.99854667279999</v>
      </c>
      <c r="T404" s="107"/>
    </row>
    <row r="405" spans="1:20" x14ac:dyDescent="0.3">
      <c r="A405" s="190" t="s">
        <v>127</v>
      </c>
      <c r="B405" s="178" t="s">
        <v>30</v>
      </c>
      <c r="C405" s="178" t="s">
        <v>194</v>
      </c>
      <c r="D405" s="178" t="s">
        <v>370</v>
      </c>
      <c r="E405" s="178" t="s">
        <v>31</v>
      </c>
      <c r="F405" s="14" t="b">
        <f>OR(Transport_Table[[#This Row],[Feedstock]]="All",Transport_Table[[#This Row],[Feedstock]]=SelectedFeedstock)</f>
        <v>0</v>
      </c>
      <c r="G405" s="14" t="b">
        <f>OR(Transport_Table[[#This Row],[Conversion]]="All",Transport_Table[[#This Row],[Conversion]]=SelectedConversion)</f>
        <v>1</v>
      </c>
      <c r="H405" s="14" t="b">
        <f>OR(Transport_Table[[#This Row],[Data Set]]="All",Transport_Table[[#This Row],[Data Set]]=SelectedDataSet)</f>
        <v>0</v>
      </c>
      <c r="I405" s="14" t="b">
        <f>OR(Transport_Table[[#This Row],[Technology]]="All",Transport_Table[[#This Row],[Technology]]=SelectedTechnology)</f>
        <v>1</v>
      </c>
      <c r="J405" s="14" t="b">
        <f>OR(Transport_Table[[#This Row],[Data Source]]="All",Transport_Table[[#This Row],[Data Source]]=SelectedDataSource)</f>
        <v>0</v>
      </c>
      <c r="L405" s="14" t="b">
        <f>AND(Transport_Table[[#This Row],[Show Feedstock]:[Show Data Source]],NOT(Transport_Table[[#This Row],[Hide Column]]))</f>
        <v>0</v>
      </c>
      <c r="M405" s="14" t="s">
        <v>14</v>
      </c>
      <c r="N405" s="14" t="s">
        <v>1162</v>
      </c>
      <c r="O405" s="14" t="s">
        <v>1244</v>
      </c>
      <c r="P405" s="178" t="s">
        <v>1700</v>
      </c>
      <c r="Q405" s="165" t="s">
        <v>1945</v>
      </c>
      <c r="R405" s="393">
        <v>0</v>
      </c>
      <c r="S405" s="394">
        <v>0</v>
      </c>
      <c r="T405" s="107"/>
    </row>
    <row r="406" spans="1:20" x14ac:dyDescent="0.3">
      <c r="A406" s="190" t="s">
        <v>127</v>
      </c>
      <c r="B406" s="178" t="s">
        <v>30</v>
      </c>
      <c r="C406" s="178" t="s">
        <v>194</v>
      </c>
      <c r="D406" s="178" t="s">
        <v>370</v>
      </c>
      <c r="E406" s="178" t="s">
        <v>31</v>
      </c>
      <c r="F406" s="14" t="b">
        <f>OR(Transport_Table[[#This Row],[Feedstock]]="All",Transport_Table[[#This Row],[Feedstock]]=SelectedFeedstock)</f>
        <v>0</v>
      </c>
      <c r="G406" s="14" t="b">
        <f>OR(Transport_Table[[#This Row],[Conversion]]="All",Transport_Table[[#This Row],[Conversion]]=SelectedConversion)</f>
        <v>1</v>
      </c>
      <c r="H406" s="14" t="b">
        <f>OR(Transport_Table[[#This Row],[Data Set]]="All",Transport_Table[[#This Row],[Data Set]]=SelectedDataSet)</f>
        <v>0</v>
      </c>
      <c r="I406" s="14" t="b">
        <f>OR(Transport_Table[[#This Row],[Technology]]="All",Transport_Table[[#This Row],[Technology]]=SelectedTechnology)</f>
        <v>1</v>
      </c>
      <c r="J406" s="14" t="b">
        <f>OR(Transport_Table[[#This Row],[Data Source]]="All",Transport_Table[[#This Row],[Data Source]]=SelectedDataSource)</f>
        <v>0</v>
      </c>
      <c r="L406" s="14" t="b">
        <f>AND(Transport_Table[[#This Row],[Show Feedstock]:[Show Data Source]],NOT(Transport_Table[[#This Row],[Hide Column]]))</f>
        <v>0</v>
      </c>
      <c r="M406" s="14" t="s">
        <v>14</v>
      </c>
      <c r="N406" s="14" t="s">
        <v>1163</v>
      </c>
      <c r="O406" s="14" t="s">
        <v>1245</v>
      </c>
      <c r="P406" s="178" t="s">
        <v>1700</v>
      </c>
      <c r="Q406" s="165" t="s">
        <v>1946</v>
      </c>
      <c r="R406" s="393">
        <v>0.28999999999999998</v>
      </c>
      <c r="S406" s="394">
        <v>799.99776411200003</v>
      </c>
      <c r="T406" s="107"/>
    </row>
    <row r="407" spans="1:20" x14ac:dyDescent="0.3">
      <c r="A407" s="190" t="s">
        <v>127</v>
      </c>
      <c r="B407" s="178" t="s">
        <v>30</v>
      </c>
      <c r="C407" s="178" t="s">
        <v>194</v>
      </c>
      <c r="D407" s="178" t="s">
        <v>370</v>
      </c>
      <c r="E407" s="178" t="s">
        <v>31</v>
      </c>
      <c r="F407" s="14" t="b">
        <f>OR(Transport_Table[[#This Row],[Feedstock]]="All",Transport_Table[[#This Row],[Feedstock]]=SelectedFeedstock)</f>
        <v>0</v>
      </c>
      <c r="G407" s="14" t="b">
        <f>OR(Transport_Table[[#This Row],[Conversion]]="All",Transport_Table[[#This Row],[Conversion]]=SelectedConversion)</f>
        <v>1</v>
      </c>
      <c r="H407" s="14" t="b">
        <f>OR(Transport_Table[[#This Row],[Data Set]]="All",Transport_Table[[#This Row],[Data Set]]=SelectedDataSet)</f>
        <v>0</v>
      </c>
      <c r="I407" s="14" t="b">
        <f>OR(Transport_Table[[#This Row],[Technology]]="All",Transport_Table[[#This Row],[Technology]]=SelectedTechnology)</f>
        <v>1</v>
      </c>
      <c r="J407" s="14" t="b">
        <f>OR(Transport_Table[[#This Row],[Data Source]]="All",Transport_Table[[#This Row],[Data Source]]=SelectedDataSource)</f>
        <v>0</v>
      </c>
      <c r="L407" s="14" t="b">
        <f>AND(Transport_Table[[#This Row],[Show Feedstock]:[Show Data Source]],NOT(Transport_Table[[#This Row],[Hide Column]]))</f>
        <v>0</v>
      </c>
      <c r="M407" s="14" t="s">
        <v>14</v>
      </c>
      <c r="N407" s="14" t="s">
        <v>1164</v>
      </c>
      <c r="O407" s="14" t="s">
        <v>1246</v>
      </c>
      <c r="P407" s="178" t="s">
        <v>1700</v>
      </c>
      <c r="Q407" s="165" t="s">
        <v>1946</v>
      </c>
      <c r="R407" s="393">
        <v>0.63</v>
      </c>
      <c r="S407" s="394">
        <v>49.999860257000002</v>
      </c>
      <c r="T407" s="107"/>
    </row>
    <row r="408" spans="1:20" x14ac:dyDescent="0.3">
      <c r="A408" s="190" t="s">
        <v>127</v>
      </c>
      <c r="B408" s="178" t="s">
        <v>30</v>
      </c>
      <c r="C408" s="178" t="s">
        <v>194</v>
      </c>
      <c r="D408" s="178" t="s">
        <v>370</v>
      </c>
      <c r="E408" s="178" t="s">
        <v>31</v>
      </c>
      <c r="F408" s="14" t="b">
        <f>OR(Transport_Table[[#This Row],[Feedstock]]="All",Transport_Table[[#This Row],[Feedstock]]=SelectedFeedstock)</f>
        <v>0</v>
      </c>
      <c r="G408" s="14" t="b">
        <f>OR(Transport_Table[[#This Row],[Conversion]]="All",Transport_Table[[#This Row],[Conversion]]=SelectedConversion)</f>
        <v>1</v>
      </c>
      <c r="H408" s="14" t="b">
        <f>OR(Transport_Table[[#This Row],[Data Set]]="All",Transport_Table[[#This Row],[Data Set]]=SelectedDataSet)</f>
        <v>0</v>
      </c>
      <c r="I408" s="14" t="b">
        <f>OR(Transport_Table[[#This Row],[Technology]]="All",Transport_Table[[#This Row],[Technology]]=SelectedTechnology)</f>
        <v>1</v>
      </c>
      <c r="J408" s="14" t="b">
        <f>OR(Transport_Table[[#This Row],[Data Source]]="All",Transport_Table[[#This Row],[Data Source]]=SelectedDataSource)</f>
        <v>0</v>
      </c>
      <c r="L408" s="14" t="b">
        <f>AND(Transport_Table[[#This Row],[Show Feedstock]:[Show Data Source]],NOT(Transport_Table[[#This Row],[Hide Column]]))</f>
        <v>0</v>
      </c>
      <c r="M408" s="14" t="s">
        <v>14</v>
      </c>
      <c r="N408" s="14" t="s">
        <v>1165</v>
      </c>
      <c r="O408" s="14" t="s">
        <v>1247</v>
      </c>
      <c r="P408" s="178" t="s">
        <v>1701</v>
      </c>
      <c r="Q408" s="165" t="s">
        <v>1943</v>
      </c>
      <c r="R408" s="393">
        <v>1</v>
      </c>
      <c r="S408" s="394">
        <v>29.999916154200001</v>
      </c>
      <c r="T408" s="107"/>
    </row>
    <row r="409" spans="1:20" x14ac:dyDescent="0.3">
      <c r="A409" s="190" t="s">
        <v>127</v>
      </c>
      <c r="B409" s="178" t="s">
        <v>30</v>
      </c>
      <c r="C409" s="178" t="s">
        <v>194</v>
      </c>
      <c r="D409" s="178" t="s">
        <v>355</v>
      </c>
      <c r="E409" s="178" t="s">
        <v>31</v>
      </c>
      <c r="F409" s="14" t="b">
        <f>OR(Transport_Table[[#This Row],[Feedstock]]="All",Transport_Table[[#This Row],[Feedstock]]=SelectedFeedstock)</f>
        <v>0</v>
      </c>
      <c r="G409" s="14" t="b">
        <f>OR(Transport_Table[[#This Row],[Conversion]]="All",Transport_Table[[#This Row],[Conversion]]=SelectedConversion)</f>
        <v>1</v>
      </c>
      <c r="H409" s="14" t="b">
        <f>OR(Transport_Table[[#This Row],[Data Set]]="All",Transport_Table[[#This Row],[Data Set]]=SelectedDataSet)</f>
        <v>0</v>
      </c>
      <c r="I409" s="14" t="b">
        <f>OR(Transport_Table[[#This Row],[Technology]]="All",Transport_Table[[#This Row],[Technology]]=SelectedTechnology)</f>
        <v>1</v>
      </c>
      <c r="J409" s="14" t="b">
        <f>OR(Transport_Table[[#This Row],[Data Source]]="All",Transport_Table[[#This Row],[Data Source]]=SelectedDataSource)</f>
        <v>0</v>
      </c>
      <c r="K409" s="14" t="b">
        <v>1</v>
      </c>
      <c r="L409" s="14" t="b">
        <f>AND(Transport_Table[[#This Row],[Show Feedstock]:[Show Data Source]],NOT(Transport_Table[[#This Row],[Hide Column]]))</f>
        <v>0</v>
      </c>
      <c r="M409" s="14" t="s">
        <v>14</v>
      </c>
      <c r="N409" s="14" t="s">
        <v>1186</v>
      </c>
      <c r="O409" s="14" t="s">
        <v>1268</v>
      </c>
      <c r="P409" s="178" t="s">
        <v>127</v>
      </c>
      <c r="Q409" s="165" t="s">
        <v>1945</v>
      </c>
      <c r="R409" s="393">
        <v>0</v>
      </c>
      <c r="S409" s="394">
        <v>0</v>
      </c>
      <c r="T409" s="107"/>
    </row>
    <row r="410" spans="1:20" x14ac:dyDescent="0.3">
      <c r="A410" s="190" t="s">
        <v>127</v>
      </c>
      <c r="B410" s="178" t="s">
        <v>30</v>
      </c>
      <c r="C410" s="178" t="s">
        <v>194</v>
      </c>
      <c r="D410" s="178" t="s">
        <v>355</v>
      </c>
      <c r="E410" s="178" t="s">
        <v>31</v>
      </c>
      <c r="F410" s="14" t="b">
        <f>OR(Transport_Table[[#This Row],[Feedstock]]="All",Transport_Table[[#This Row],[Feedstock]]=SelectedFeedstock)</f>
        <v>0</v>
      </c>
      <c r="G410" s="14" t="b">
        <f>OR(Transport_Table[[#This Row],[Conversion]]="All",Transport_Table[[#This Row],[Conversion]]=SelectedConversion)</f>
        <v>1</v>
      </c>
      <c r="H410" s="14" t="b">
        <f>OR(Transport_Table[[#This Row],[Data Set]]="All",Transport_Table[[#This Row],[Data Set]]=SelectedDataSet)</f>
        <v>0</v>
      </c>
      <c r="I410" s="14" t="b">
        <f>OR(Transport_Table[[#This Row],[Technology]]="All",Transport_Table[[#This Row],[Technology]]=SelectedTechnology)</f>
        <v>1</v>
      </c>
      <c r="J410" s="14" t="b">
        <f>OR(Transport_Table[[#This Row],[Data Source]]="All",Transport_Table[[#This Row],[Data Source]]=SelectedDataSource)</f>
        <v>0</v>
      </c>
      <c r="K410" s="14" t="b">
        <v>1</v>
      </c>
      <c r="L410" s="14" t="b">
        <f>AND(Transport_Table[[#This Row],[Show Feedstock]:[Show Data Source]],NOT(Transport_Table[[#This Row],[Hide Column]]))</f>
        <v>0</v>
      </c>
      <c r="M410" s="14" t="s">
        <v>14</v>
      </c>
      <c r="N410" s="14" t="s">
        <v>1187</v>
      </c>
      <c r="O410" s="14" t="s">
        <v>1269</v>
      </c>
      <c r="P410" s="178" t="s">
        <v>127</v>
      </c>
      <c r="Q410" s="165" t="s">
        <v>1946</v>
      </c>
      <c r="R410" s="393">
        <v>0.2</v>
      </c>
      <c r="S410" s="394">
        <v>400.16292400000003</v>
      </c>
      <c r="T410" s="107"/>
    </row>
    <row r="411" spans="1:20" x14ac:dyDescent="0.3">
      <c r="A411" s="190" t="s">
        <v>127</v>
      </c>
      <c r="B411" s="178" t="s">
        <v>30</v>
      </c>
      <c r="C411" s="178" t="s">
        <v>194</v>
      </c>
      <c r="D411" s="178" t="s">
        <v>355</v>
      </c>
      <c r="E411" s="178" t="s">
        <v>31</v>
      </c>
      <c r="F411" s="14" t="b">
        <f>OR(Transport_Table[[#This Row],[Feedstock]]="All",Transport_Table[[#This Row],[Feedstock]]=SelectedFeedstock)</f>
        <v>0</v>
      </c>
      <c r="G411" s="14" t="b">
        <f>OR(Transport_Table[[#This Row],[Conversion]]="All",Transport_Table[[#This Row],[Conversion]]=SelectedConversion)</f>
        <v>1</v>
      </c>
      <c r="H411" s="14" t="b">
        <f>OR(Transport_Table[[#This Row],[Data Set]]="All",Transport_Table[[#This Row],[Data Set]]=SelectedDataSet)</f>
        <v>0</v>
      </c>
      <c r="I411" s="14" t="b">
        <f>OR(Transport_Table[[#This Row],[Technology]]="All",Transport_Table[[#This Row],[Technology]]=SelectedTechnology)</f>
        <v>1</v>
      </c>
      <c r="J411" s="14" t="b">
        <f>OR(Transport_Table[[#This Row],[Data Source]]="All",Transport_Table[[#This Row],[Data Source]]=SelectedDataSource)</f>
        <v>0</v>
      </c>
      <c r="K411" s="14" t="b">
        <v>1</v>
      </c>
      <c r="L411" s="14" t="b">
        <f>AND(Transport_Table[[#This Row],[Show Feedstock]:[Show Data Source]],NOT(Transport_Table[[#This Row],[Hide Column]]))</f>
        <v>0</v>
      </c>
      <c r="M411" s="14" t="s">
        <v>14</v>
      </c>
      <c r="N411" s="14" t="s">
        <v>1188</v>
      </c>
      <c r="O411" s="14" t="s">
        <v>1270</v>
      </c>
      <c r="P411" s="178" t="s">
        <v>127</v>
      </c>
      <c r="Q411" s="165" t="s">
        <v>1946</v>
      </c>
      <c r="R411" s="393">
        <v>0.8</v>
      </c>
      <c r="S411" s="394">
        <v>100.04073100000001</v>
      </c>
      <c r="T411" s="107"/>
    </row>
    <row r="412" spans="1:20" x14ac:dyDescent="0.3">
      <c r="A412" s="190" t="s">
        <v>127</v>
      </c>
      <c r="B412" s="178" t="s">
        <v>30</v>
      </c>
      <c r="C412" s="178" t="s">
        <v>194</v>
      </c>
      <c r="D412" s="178" t="s">
        <v>355</v>
      </c>
      <c r="E412" s="178" t="s">
        <v>31</v>
      </c>
      <c r="F412" s="14" t="b">
        <f>OR(Transport_Table[[#This Row],[Feedstock]]="All",Transport_Table[[#This Row],[Feedstock]]=SelectedFeedstock)</f>
        <v>0</v>
      </c>
      <c r="G412" s="14" t="b">
        <f>OR(Transport_Table[[#This Row],[Conversion]]="All",Transport_Table[[#This Row],[Conversion]]=SelectedConversion)</f>
        <v>1</v>
      </c>
      <c r="H412" s="14" t="b">
        <f>OR(Transport_Table[[#This Row],[Data Set]]="All",Transport_Table[[#This Row],[Data Set]]=SelectedDataSet)</f>
        <v>0</v>
      </c>
      <c r="I412" s="14" t="b">
        <f>OR(Transport_Table[[#This Row],[Technology]]="All",Transport_Table[[#This Row],[Technology]]=SelectedTechnology)</f>
        <v>1</v>
      </c>
      <c r="J412" s="14" t="b">
        <f>OR(Transport_Table[[#This Row],[Data Source]]="All",Transport_Table[[#This Row],[Data Source]]=SelectedDataSource)</f>
        <v>0</v>
      </c>
      <c r="K412" s="14" t="b">
        <v>1</v>
      </c>
      <c r="L412" s="14" t="b">
        <f>AND(Transport_Table[[#This Row],[Show Feedstock]:[Show Data Source]],NOT(Transport_Table[[#This Row],[Hide Column]]))</f>
        <v>0</v>
      </c>
      <c r="M412" s="14" t="s">
        <v>14</v>
      </c>
      <c r="N412" s="14" t="s">
        <v>1189</v>
      </c>
      <c r="O412" s="14" t="s">
        <v>1271</v>
      </c>
      <c r="P412" s="178" t="s">
        <v>127</v>
      </c>
      <c r="Q412" s="165" t="s">
        <v>1943</v>
      </c>
      <c r="R412" s="396">
        <v>0</v>
      </c>
      <c r="S412" s="394">
        <v>0</v>
      </c>
      <c r="T412" s="107"/>
    </row>
    <row r="413" spans="1:20" x14ac:dyDescent="0.3">
      <c r="A413" s="190" t="s">
        <v>127</v>
      </c>
      <c r="B413" s="178" t="s">
        <v>30</v>
      </c>
      <c r="C413" s="178" t="s">
        <v>194</v>
      </c>
      <c r="D413" s="178" t="s">
        <v>355</v>
      </c>
      <c r="E413" s="178" t="s">
        <v>31</v>
      </c>
      <c r="F413" s="14" t="b">
        <f>OR(Transport_Table[[#This Row],[Feedstock]]="All",Transport_Table[[#This Row],[Feedstock]]=SelectedFeedstock)</f>
        <v>0</v>
      </c>
      <c r="G413" s="14" t="b">
        <f>OR(Transport_Table[[#This Row],[Conversion]]="All",Transport_Table[[#This Row],[Conversion]]=SelectedConversion)</f>
        <v>1</v>
      </c>
      <c r="H413" s="14" t="b">
        <f>OR(Transport_Table[[#This Row],[Data Set]]="All",Transport_Table[[#This Row],[Data Set]]=SelectedDataSet)</f>
        <v>0</v>
      </c>
      <c r="I413" s="14" t="b">
        <f>OR(Transport_Table[[#This Row],[Technology]]="All",Transport_Table[[#This Row],[Technology]]=SelectedTechnology)</f>
        <v>1</v>
      </c>
      <c r="J413" s="14" t="b">
        <f>OR(Transport_Table[[#This Row],[Data Source]]="All",Transport_Table[[#This Row],[Data Source]]=SelectedDataSource)</f>
        <v>0</v>
      </c>
      <c r="K413" s="14" t="b">
        <v>1</v>
      </c>
      <c r="L413" s="14" t="b">
        <f>AND(Transport_Table[[#This Row],[Show Feedstock]:[Show Data Source]],NOT(Transport_Table[[#This Row],[Hide Column]]))</f>
        <v>0</v>
      </c>
      <c r="M413" s="14" t="s">
        <v>14</v>
      </c>
      <c r="N413" s="14" t="s">
        <v>1190</v>
      </c>
      <c r="O413" s="14" t="s">
        <v>1272</v>
      </c>
      <c r="P413" s="178" t="s">
        <v>380</v>
      </c>
      <c r="Q413" s="165" t="s">
        <v>1944</v>
      </c>
      <c r="R413" s="393">
        <v>0</v>
      </c>
      <c r="S413" s="394">
        <v>0</v>
      </c>
      <c r="T413" s="107"/>
    </row>
    <row r="414" spans="1:20" x14ac:dyDescent="0.3">
      <c r="A414" s="190" t="s">
        <v>127</v>
      </c>
      <c r="B414" s="178" t="s">
        <v>30</v>
      </c>
      <c r="C414" s="178" t="s">
        <v>194</v>
      </c>
      <c r="D414" s="178" t="s">
        <v>355</v>
      </c>
      <c r="E414" s="178" t="s">
        <v>31</v>
      </c>
      <c r="F414" s="14" t="b">
        <f>OR(Transport_Table[[#This Row],[Feedstock]]="All",Transport_Table[[#This Row],[Feedstock]]=SelectedFeedstock)</f>
        <v>0</v>
      </c>
      <c r="G414" s="14" t="b">
        <f>OR(Transport_Table[[#This Row],[Conversion]]="All",Transport_Table[[#This Row],[Conversion]]=SelectedConversion)</f>
        <v>1</v>
      </c>
      <c r="H414" s="14" t="b">
        <f>OR(Transport_Table[[#This Row],[Data Set]]="All",Transport_Table[[#This Row],[Data Set]]=SelectedDataSet)</f>
        <v>0</v>
      </c>
      <c r="I414" s="14" t="b">
        <f>OR(Transport_Table[[#This Row],[Technology]]="All",Transport_Table[[#This Row],[Technology]]=SelectedTechnology)</f>
        <v>1</v>
      </c>
      <c r="J414" s="14" t="b">
        <f>OR(Transport_Table[[#This Row],[Data Source]]="All",Transport_Table[[#This Row],[Data Source]]=SelectedDataSource)</f>
        <v>0</v>
      </c>
      <c r="K414" s="14" t="b">
        <v>1</v>
      </c>
      <c r="L414" s="14" t="b">
        <f>AND(Transport_Table[[#This Row],[Show Feedstock]:[Show Data Source]],NOT(Transport_Table[[#This Row],[Hide Column]]))</f>
        <v>0</v>
      </c>
      <c r="M414" s="14" t="s">
        <v>14</v>
      </c>
      <c r="N414" s="14" t="s">
        <v>1191</v>
      </c>
      <c r="O414" s="14" t="s">
        <v>1273</v>
      </c>
      <c r="P414" s="178" t="s">
        <v>380</v>
      </c>
      <c r="Q414" s="165" t="s">
        <v>1945</v>
      </c>
      <c r="R414" s="393">
        <v>0</v>
      </c>
      <c r="S414" s="394">
        <v>0</v>
      </c>
      <c r="T414" s="107"/>
    </row>
    <row r="415" spans="1:20" x14ac:dyDescent="0.3">
      <c r="A415" s="190" t="s">
        <v>127</v>
      </c>
      <c r="B415" s="178" t="s">
        <v>30</v>
      </c>
      <c r="C415" s="178" t="s">
        <v>194</v>
      </c>
      <c r="D415" s="178" t="s">
        <v>355</v>
      </c>
      <c r="E415" s="178" t="s">
        <v>31</v>
      </c>
      <c r="F415" s="14" t="b">
        <f>OR(Transport_Table[[#This Row],[Feedstock]]="All",Transport_Table[[#This Row],[Feedstock]]=SelectedFeedstock)</f>
        <v>0</v>
      </c>
      <c r="G415" s="14" t="b">
        <f>OR(Transport_Table[[#This Row],[Conversion]]="All",Transport_Table[[#This Row],[Conversion]]=SelectedConversion)</f>
        <v>1</v>
      </c>
      <c r="H415" s="14" t="b">
        <f>OR(Transport_Table[[#This Row],[Data Set]]="All",Transport_Table[[#This Row],[Data Set]]=SelectedDataSet)</f>
        <v>0</v>
      </c>
      <c r="I415" s="14" t="b">
        <f>OR(Transport_Table[[#This Row],[Technology]]="All",Transport_Table[[#This Row],[Technology]]=SelectedTechnology)</f>
        <v>1</v>
      </c>
      <c r="J415" s="14" t="b">
        <f>OR(Transport_Table[[#This Row],[Data Source]]="All",Transport_Table[[#This Row],[Data Source]]=SelectedDataSource)</f>
        <v>0</v>
      </c>
      <c r="K415" s="14" t="b">
        <v>1</v>
      </c>
      <c r="L415" s="14" t="b">
        <f>AND(Transport_Table[[#This Row],[Show Feedstock]:[Show Data Source]],NOT(Transport_Table[[#This Row],[Hide Column]]))</f>
        <v>0</v>
      </c>
      <c r="M415" s="14" t="s">
        <v>14</v>
      </c>
      <c r="N415" s="14" t="s">
        <v>1192</v>
      </c>
      <c r="O415" s="14" t="s">
        <v>1274</v>
      </c>
      <c r="P415" s="178" t="s">
        <v>380</v>
      </c>
      <c r="Q415" s="165" t="s">
        <v>1946</v>
      </c>
      <c r="R415" s="393">
        <v>0.33</v>
      </c>
      <c r="S415" s="394">
        <v>700</v>
      </c>
      <c r="T415" s="107"/>
    </row>
    <row r="416" spans="1:20" x14ac:dyDescent="0.3">
      <c r="A416" s="190" t="s">
        <v>127</v>
      </c>
      <c r="B416" s="178" t="s">
        <v>30</v>
      </c>
      <c r="C416" s="178" t="s">
        <v>194</v>
      </c>
      <c r="D416" s="178" t="s">
        <v>355</v>
      </c>
      <c r="E416" s="178" t="s">
        <v>31</v>
      </c>
      <c r="F416" s="14" t="b">
        <f>OR(Transport_Table[[#This Row],[Feedstock]]="All",Transport_Table[[#This Row],[Feedstock]]=SelectedFeedstock)</f>
        <v>0</v>
      </c>
      <c r="G416" s="14" t="b">
        <f>OR(Transport_Table[[#This Row],[Conversion]]="All",Transport_Table[[#This Row],[Conversion]]=SelectedConversion)</f>
        <v>1</v>
      </c>
      <c r="H416" s="14" t="b">
        <f>OR(Transport_Table[[#This Row],[Data Set]]="All",Transport_Table[[#This Row],[Data Set]]=SelectedDataSet)</f>
        <v>0</v>
      </c>
      <c r="I416" s="14" t="b">
        <f>OR(Transport_Table[[#This Row],[Technology]]="All",Transport_Table[[#This Row],[Technology]]=SelectedTechnology)</f>
        <v>1</v>
      </c>
      <c r="J416" s="14" t="b">
        <f>OR(Transport_Table[[#This Row],[Data Source]]="All",Transport_Table[[#This Row],[Data Source]]=SelectedDataSource)</f>
        <v>0</v>
      </c>
      <c r="K416" s="14" t="b">
        <v>1</v>
      </c>
      <c r="L416" s="14" t="b">
        <f>AND(Transport_Table[[#This Row],[Show Feedstock]:[Show Data Source]],NOT(Transport_Table[[#This Row],[Hide Column]]))</f>
        <v>0</v>
      </c>
      <c r="M416" s="14" t="s">
        <v>14</v>
      </c>
      <c r="N416" s="14" t="s">
        <v>1193</v>
      </c>
      <c r="O416" s="14" t="s">
        <v>1275</v>
      </c>
      <c r="P416" s="178" t="s">
        <v>380</v>
      </c>
      <c r="Q416" s="165" t="s">
        <v>1947</v>
      </c>
      <c r="R416" s="393">
        <v>0.67</v>
      </c>
      <c r="S416" s="394">
        <v>80</v>
      </c>
      <c r="T416" s="107"/>
    </row>
    <row r="417" spans="1:20" x14ac:dyDescent="0.3">
      <c r="A417" s="190" t="s">
        <v>127</v>
      </c>
      <c r="B417" s="178" t="s">
        <v>30</v>
      </c>
      <c r="C417" s="178" t="s">
        <v>194</v>
      </c>
      <c r="D417" s="178" t="s">
        <v>355</v>
      </c>
      <c r="E417" s="178" t="s">
        <v>31</v>
      </c>
      <c r="F417" s="14" t="b">
        <f>OR(Transport_Table[[#This Row],[Feedstock]]="All",Transport_Table[[#This Row],[Feedstock]]=SelectedFeedstock)</f>
        <v>0</v>
      </c>
      <c r="G417" s="14" t="b">
        <f>OR(Transport_Table[[#This Row],[Conversion]]="All",Transport_Table[[#This Row],[Conversion]]=SelectedConversion)</f>
        <v>1</v>
      </c>
      <c r="H417" s="14" t="b">
        <f>OR(Transport_Table[[#This Row],[Data Set]]="All",Transport_Table[[#This Row],[Data Set]]=SelectedDataSet)</f>
        <v>0</v>
      </c>
      <c r="I417" s="14" t="b">
        <f>OR(Transport_Table[[#This Row],[Technology]]="All",Transport_Table[[#This Row],[Technology]]=SelectedTechnology)</f>
        <v>1</v>
      </c>
      <c r="J417" s="14" t="b">
        <f>OR(Transport_Table[[#This Row],[Data Source]]="All",Transport_Table[[#This Row],[Data Source]]=SelectedDataSource)</f>
        <v>0</v>
      </c>
      <c r="L417" s="14" t="b">
        <f>AND(Transport_Table[[#This Row],[Show Feedstock]:[Show Data Source]],NOT(Transport_Table[[#This Row],[Hide Column]]))</f>
        <v>0</v>
      </c>
      <c r="M417" s="14" t="s">
        <v>14</v>
      </c>
      <c r="N417" s="14" t="s">
        <v>1161</v>
      </c>
      <c r="O417" s="14" t="s">
        <v>1243</v>
      </c>
      <c r="P417" s="178" t="s">
        <v>1700</v>
      </c>
      <c r="Q417" s="165" t="s">
        <v>1943</v>
      </c>
      <c r="R417" s="393">
        <v>0.08</v>
      </c>
      <c r="S417" s="394">
        <v>519.99854667279999</v>
      </c>
      <c r="T417" s="107"/>
    </row>
    <row r="418" spans="1:20" x14ac:dyDescent="0.3">
      <c r="A418" s="190" t="s">
        <v>127</v>
      </c>
      <c r="B418" s="178" t="s">
        <v>30</v>
      </c>
      <c r="C418" s="178" t="s">
        <v>194</v>
      </c>
      <c r="D418" s="178" t="s">
        <v>355</v>
      </c>
      <c r="E418" s="178" t="s">
        <v>31</v>
      </c>
      <c r="F418" s="14" t="b">
        <f>OR(Transport_Table[[#This Row],[Feedstock]]="All",Transport_Table[[#This Row],[Feedstock]]=SelectedFeedstock)</f>
        <v>0</v>
      </c>
      <c r="G418" s="14" t="b">
        <f>OR(Transport_Table[[#This Row],[Conversion]]="All",Transport_Table[[#This Row],[Conversion]]=SelectedConversion)</f>
        <v>1</v>
      </c>
      <c r="H418" s="14" t="b">
        <f>OR(Transport_Table[[#This Row],[Data Set]]="All",Transport_Table[[#This Row],[Data Set]]=SelectedDataSet)</f>
        <v>0</v>
      </c>
      <c r="I418" s="14" t="b">
        <f>OR(Transport_Table[[#This Row],[Technology]]="All",Transport_Table[[#This Row],[Technology]]=SelectedTechnology)</f>
        <v>1</v>
      </c>
      <c r="J418" s="14" t="b">
        <f>OR(Transport_Table[[#This Row],[Data Source]]="All",Transport_Table[[#This Row],[Data Source]]=SelectedDataSource)</f>
        <v>0</v>
      </c>
      <c r="L418" s="14" t="b">
        <f>AND(Transport_Table[[#This Row],[Show Feedstock]:[Show Data Source]],NOT(Transport_Table[[#This Row],[Hide Column]]))</f>
        <v>0</v>
      </c>
      <c r="M418" s="14" t="s">
        <v>14</v>
      </c>
      <c r="N418" s="14" t="s">
        <v>1162</v>
      </c>
      <c r="O418" s="14" t="s">
        <v>1244</v>
      </c>
      <c r="P418" s="178" t="s">
        <v>1700</v>
      </c>
      <c r="Q418" s="165" t="s">
        <v>1944</v>
      </c>
      <c r="R418" s="393">
        <v>0</v>
      </c>
      <c r="S418" s="394">
        <v>0</v>
      </c>
      <c r="T418" s="107"/>
    </row>
    <row r="419" spans="1:20" x14ac:dyDescent="0.3">
      <c r="A419" s="190" t="s">
        <v>127</v>
      </c>
      <c r="B419" s="178" t="s">
        <v>30</v>
      </c>
      <c r="C419" s="178" t="s">
        <v>194</v>
      </c>
      <c r="D419" s="178" t="s">
        <v>355</v>
      </c>
      <c r="E419" s="178" t="s">
        <v>31</v>
      </c>
      <c r="F419" s="14" t="b">
        <f>OR(Transport_Table[[#This Row],[Feedstock]]="All",Transport_Table[[#This Row],[Feedstock]]=SelectedFeedstock)</f>
        <v>0</v>
      </c>
      <c r="G419" s="14" t="b">
        <f>OR(Transport_Table[[#This Row],[Conversion]]="All",Transport_Table[[#This Row],[Conversion]]=SelectedConversion)</f>
        <v>1</v>
      </c>
      <c r="H419" s="14" t="b">
        <f>OR(Transport_Table[[#This Row],[Data Set]]="All",Transport_Table[[#This Row],[Data Set]]=SelectedDataSet)</f>
        <v>0</v>
      </c>
      <c r="I419" s="14" t="b">
        <f>OR(Transport_Table[[#This Row],[Technology]]="All",Transport_Table[[#This Row],[Technology]]=SelectedTechnology)</f>
        <v>1</v>
      </c>
      <c r="J419" s="14" t="b">
        <f>OR(Transport_Table[[#This Row],[Data Source]]="All",Transport_Table[[#This Row],[Data Source]]=SelectedDataSource)</f>
        <v>0</v>
      </c>
      <c r="L419" s="14" t="b">
        <f>AND(Transport_Table[[#This Row],[Show Feedstock]:[Show Data Source]],NOT(Transport_Table[[#This Row],[Hide Column]]))</f>
        <v>0</v>
      </c>
      <c r="M419" s="14" t="s">
        <v>14</v>
      </c>
      <c r="N419" s="14" t="s">
        <v>1163</v>
      </c>
      <c r="O419" s="14" t="s">
        <v>1245</v>
      </c>
      <c r="P419" s="178" t="s">
        <v>1700</v>
      </c>
      <c r="Q419" s="165" t="s">
        <v>1945</v>
      </c>
      <c r="R419" s="393">
        <v>0.28999999999999998</v>
      </c>
      <c r="S419" s="394">
        <v>799.99776411200003</v>
      </c>
      <c r="T419" s="107"/>
    </row>
    <row r="420" spans="1:20" x14ac:dyDescent="0.3">
      <c r="A420" s="190" t="s">
        <v>127</v>
      </c>
      <c r="B420" s="178" t="s">
        <v>30</v>
      </c>
      <c r="C420" s="178" t="s">
        <v>194</v>
      </c>
      <c r="D420" s="178" t="s">
        <v>355</v>
      </c>
      <c r="E420" s="178" t="s">
        <v>31</v>
      </c>
      <c r="F420" s="14" t="b">
        <f>OR(Transport_Table[[#This Row],[Feedstock]]="All",Transport_Table[[#This Row],[Feedstock]]=SelectedFeedstock)</f>
        <v>0</v>
      </c>
      <c r="G420" s="14" t="b">
        <f>OR(Transport_Table[[#This Row],[Conversion]]="All",Transport_Table[[#This Row],[Conversion]]=SelectedConversion)</f>
        <v>1</v>
      </c>
      <c r="H420" s="14" t="b">
        <f>OR(Transport_Table[[#This Row],[Data Set]]="All",Transport_Table[[#This Row],[Data Set]]=SelectedDataSet)</f>
        <v>0</v>
      </c>
      <c r="I420" s="14" t="b">
        <f>OR(Transport_Table[[#This Row],[Technology]]="All",Transport_Table[[#This Row],[Technology]]=SelectedTechnology)</f>
        <v>1</v>
      </c>
      <c r="J420" s="14" t="b">
        <f>OR(Transport_Table[[#This Row],[Data Source]]="All",Transport_Table[[#This Row],[Data Source]]=SelectedDataSource)</f>
        <v>0</v>
      </c>
      <c r="L420" s="14" t="b">
        <f>AND(Transport_Table[[#This Row],[Show Feedstock]:[Show Data Source]],NOT(Transport_Table[[#This Row],[Hide Column]]))</f>
        <v>0</v>
      </c>
      <c r="M420" s="14" t="s">
        <v>14</v>
      </c>
      <c r="N420" s="14" t="s">
        <v>1164</v>
      </c>
      <c r="O420" s="14" t="s">
        <v>1246</v>
      </c>
      <c r="P420" s="178" t="s">
        <v>1700</v>
      </c>
      <c r="Q420" s="165" t="s">
        <v>1946</v>
      </c>
      <c r="R420" s="393">
        <v>0.63</v>
      </c>
      <c r="S420" s="394">
        <v>49.999860257000002</v>
      </c>
      <c r="T420" s="107"/>
    </row>
    <row r="421" spans="1:20" x14ac:dyDescent="0.3">
      <c r="A421" s="190" t="s">
        <v>127</v>
      </c>
      <c r="B421" s="178" t="s">
        <v>30</v>
      </c>
      <c r="C421" s="178" t="s">
        <v>194</v>
      </c>
      <c r="D421" s="178" t="s">
        <v>355</v>
      </c>
      <c r="E421" s="178" t="s">
        <v>31</v>
      </c>
      <c r="F421" s="14" t="b">
        <f>OR(Transport_Table[[#This Row],[Feedstock]]="All",Transport_Table[[#This Row],[Feedstock]]=SelectedFeedstock)</f>
        <v>0</v>
      </c>
      <c r="G421" s="14" t="b">
        <f>OR(Transport_Table[[#This Row],[Conversion]]="All",Transport_Table[[#This Row],[Conversion]]=SelectedConversion)</f>
        <v>1</v>
      </c>
      <c r="H421" s="14" t="b">
        <f>OR(Transport_Table[[#This Row],[Data Set]]="All",Transport_Table[[#This Row],[Data Set]]=SelectedDataSet)</f>
        <v>0</v>
      </c>
      <c r="I421" s="14" t="b">
        <f>OR(Transport_Table[[#This Row],[Technology]]="All",Transport_Table[[#This Row],[Technology]]=SelectedTechnology)</f>
        <v>1</v>
      </c>
      <c r="J421" s="14" t="b">
        <f>OR(Transport_Table[[#This Row],[Data Source]]="All",Transport_Table[[#This Row],[Data Source]]=SelectedDataSource)</f>
        <v>0</v>
      </c>
      <c r="L421" s="14" t="b">
        <f>AND(Transport_Table[[#This Row],[Show Feedstock]:[Show Data Source]],NOT(Transport_Table[[#This Row],[Hide Column]]))</f>
        <v>0</v>
      </c>
      <c r="M421" s="14" t="s">
        <v>14</v>
      </c>
      <c r="N421" s="14" t="s">
        <v>1165</v>
      </c>
      <c r="O421" s="14" t="s">
        <v>1247</v>
      </c>
      <c r="P421" s="178" t="s">
        <v>1701</v>
      </c>
      <c r="Q421" s="165" t="s">
        <v>1947</v>
      </c>
      <c r="R421" s="393">
        <v>1</v>
      </c>
      <c r="S421" s="394">
        <v>29.999916154200001</v>
      </c>
      <c r="T421" s="107"/>
    </row>
    <row r="422" spans="1:20" x14ac:dyDescent="0.3">
      <c r="A422" s="195" t="s">
        <v>122</v>
      </c>
      <c r="B422" s="196" t="s">
        <v>30</v>
      </c>
      <c r="C422" s="196" t="s">
        <v>194</v>
      </c>
      <c r="D422" s="196" t="s">
        <v>367</v>
      </c>
      <c r="E422" s="196" t="s">
        <v>1357</v>
      </c>
      <c r="F422" s="14" t="b">
        <f>OR(Transport_Table[[#This Row],[Feedstock]]="All",Transport_Table[[#This Row],[Feedstock]]=SelectedFeedstock)</f>
        <v>0</v>
      </c>
      <c r="G422" s="14" t="b">
        <f>OR(Transport_Table[[#This Row],[Conversion]]="All",Transport_Table[[#This Row],[Conversion]]=SelectedConversion)</f>
        <v>1</v>
      </c>
      <c r="H422" s="14" t="b">
        <f>OR(Transport_Table[[#This Row],[Data Set]]="All",Transport_Table[[#This Row],[Data Set]]=SelectedDataSet)</f>
        <v>0</v>
      </c>
      <c r="I422" s="14" t="b">
        <f>OR(Transport_Table[[#This Row],[Technology]]="All",Transport_Table[[#This Row],[Technology]]=SelectedTechnology)</f>
        <v>0</v>
      </c>
      <c r="J422" s="14" t="b">
        <f>OR(Transport_Table[[#This Row],[Data Source]]="All",Transport_Table[[#This Row],[Data Source]]=SelectedDataSource)</f>
        <v>0</v>
      </c>
      <c r="K422" s="14" t="b">
        <v>1</v>
      </c>
      <c r="L422" s="14" t="b">
        <f>AND(Transport_Table[[#This Row],[Show Feedstock]:[Show Data Source]],NOT(Transport_Table[[#This Row],[Hide Column]]))</f>
        <v>0</v>
      </c>
      <c r="M422" s="14" t="s">
        <v>14</v>
      </c>
      <c r="N422" s="14" t="s">
        <v>1166</v>
      </c>
      <c r="O422" s="14" t="s">
        <v>1248</v>
      </c>
      <c r="P422" s="196" t="s">
        <v>360</v>
      </c>
      <c r="Q422" s="165" t="s">
        <v>1943</v>
      </c>
      <c r="R422" s="197">
        <v>0.2</v>
      </c>
      <c r="S422" s="198">
        <v>400.16292400000003</v>
      </c>
      <c r="T422" s="107"/>
    </row>
    <row r="423" spans="1:20" x14ac:dyDescent="0.3">
      <c r="A423" s="195" t="s">
        <v>122</v>
      </c>
      <c r="B423" s="196" t="s">
        <v>30</v>
      </c>
      <c r="C423" s="196" t="s">
        <v>194</v>
      </c>
      <c r="D423" s="196" t="s">
        <v>367</v>
      </c>
      <c r="E423" s="196" t="s">
        <v>1357</v>
      </c>
      <c r="F423" s="14" t="b">
        <f>OR(Transport_Table[[#This Row],[Feedstock]]="All",Transport_Table[[#This Row],[Feedstock]]=SelectedFeedstock)</f>
        <v>0</v>
      </c>
      <c r="G423" s="14" t="b">
        <f>OR(Transport_Table[[#This Row],[Conversion]]="All",Transport_Table[[#This Row],[Conversion]]=SelectedConversion)</f>
        <v>1</v>
      </c>
      <c r="H423" s="14" t="b">
        <f>OR(Transport_Table[[#This Row],[Data Set]]="All",Transport_Table[[#This Row],[Data Set]]=SelectedDataSet)</f>
        <v>0</v>
      </c>
      <c r="I423" s="14" t="b">
        <f>OR(Transport_Table[[#This Row],[Technology]]="All",Transport_Table[[#This Row],[Technology]]=SelectedTechnology)</f>
        <v>0</v>
      </c>
      <c r="J423" s="14" t="b">
        <f>OR(Transport_Table[[#This Row],[Data Source]]="All",Transport_Table[[#This Row],[Data Source]]=SelectedDataSource)</f>
        <v>0</v>
      </c>
      <c r="K423" s="14" t="b">
        <v>1</v>
      </c>
      <c r="L423" s="14" t="b">
        <f>AND(Transport_Table[[#This Row],[Show Feedstock]:[Show Data Source]],NOT(Transport_Table[[#This Row],[Hide Column]]))</f>
        <v>0</v>
      </c>
      <c r="M423" s="14" t="s">
        <v>14</v>
      </c>
      <c r="N423" s="14" t="s">
        <v>1167</v>
      </c>
      <c r="O423" s="14" t="s">
        <v>1249</v>
      </c>
      <c r="P423" s="196" t="s">
        <v>360</v>
      </c>
      <c r="Q423" s="165" t="s">
        <v>1944</v>
      </c>
      <c r="R423" s="197">
        <v>0.8</v>
      </c>
      <c r="S423" s="198">
        <v>100.04073100000001</v>
      </c>
      <c r="T423" s="107"/>
    </row>
    <row r="424" spans="1:20" x14ac:dyDescent="0.3">
      <c r="A424" s="190" t="s">
        <v>122</v>
      </c>
      <c r="B424" s="178" t="s">
        <v>30</v>
      </c>
      <c r="C424" s="178" t="s">
        <v>194</v>
      </c>
      <c r="D424" s="196" t="s">
        <v>367</v>
      </c>
      <c r="E424" s="178" t="s">
        <v>1357</v>
      </c>
      <c r="F424" s="14" t="b">
        <f>OR(Transport_Table[[#This Row],[Feedstock]]="All",Transport_Table[[#This Row],[Feedstock]]=SelectedFeedstock)</f>
        <v>0</v>
      </c>
      <c r="G424" s="14" t="b">
        <f>OR(Transport_Table[[#This Row],[Conversion]]="All",Transport_Table[[#This Row],[Conversion]]=SelectedConversion)</f>
        <v>1</v>
      </c>
      <c r="H424" s="14" t="b">
        <f>OR(Transport_Table[[#This Row],[Data Set]]="All",Transport_Table[[#This Row],[Data Set]]=SelectedDataSet)</f>
        <v>0</v>
      </c>
      <c r="I424" s="14" t="b">
        <f>OR(Transport_Table[[#This Row],[Technology]]="All",Transport_Table[[#This Row],[Technology]]=SelectedTechnology)</f>
        <v>0</v>
      </c>
      <c r="J424" s="14" t="b">
        <f>OR(Transport_Table[[#This Row],[Data Source]]="All",Transport_Table[[#This Row],[Data Source]]=SelectedDataSource)</f>
        <v>0</v>
      </c>
      <c r="K424" s="14" t="b">
        <v>1</v>
      </c>
      <c r="L424" s="14" t="b">
        <f>AND(Transport_Table[[#This Row],[Show Feedstock]:[Show Data Source]],NOT(Transport_Table[[#This Row],[Hide Column]]))</f>
        <v>0</v>
      </c>
      <c r="M424" s="14" t="s">
        <v>14</v>
      </c>
      <c r="N424" s="14" t="s">
        <v>1168</v>
      </c>
      <c r="O424" s="14" t="s">
        <v>1250</v>
      </c>
      <c r="P424" s="178" t="s">
        <v>360</v>
      </c>
      <c r="Q424" s="165" t="s">
        <v>1945</v>
      </c>
      <c r="R424" s="396">
        <v>0</v>
      </c>
      <c r="S424" s="394">
        <v>0</v>
      </c>
      <c r="T424" s="107"/>
    </row>
    <row r="425" spans="1:20" x14ac:dyDescent="0.3">
      <c r="A425" s="190" t="s">
        <v>122</v>
      </c>
      <c r="B425" s="178" t="s">
        <v>30</v>
      </c>
      <c r="C425" s="178" t="s">
        <v>194</v>
      </c>
      <c r="D425" s="196" t="s">
        <v>367</v>
      </c>
      <c r="E425" s="178" t="s">
        <v>1357</v>
      </c>
      <c r="F425" s="14" t="b">
        <f>OR(Transport_Table[[#This Row],[Feedstock]]="All",Transport_Table[[#This Row],[Feedstock]]=SelectedFeedstock)</f>
        <v>0</v>
      </c>
      <c r="G425" s="14" t="b">
        <f>OR(Transport_Table[[#This Row],[Conversion]]="All",Transport_Table[[#This Row],[Conversion]]=SelectedConversion)</f>
        <v>1</v>
      </c>
      <c r="H425" s="14" t="b">
        <f>OR(Transport_Table[[#This Row],[Data Set]]="All",Transport_Table[[#This Row],[Data Set]]=SelectedDataSet)</f>
        <v>0</v>
      </c>
      <c r="I425" s="14" t="b">
        <f>OR(Transport_Table[[#This Row],[Technology]]="All",Transport_Table[[#This Row],[Technology]]=SelectedTechnology)</f>
        <v>0</v>
      </c>
      <c r="J425" s="14" t="b">
        <f>OR(Transport_Table[[#This Row],[Data Source]]="All",Transport_Table[[#This Row],[Data Source]]=SelectedDataSource)</f>
        <v>0</v>
      </c>
      <c r="K425" s="14" t="b">
        <v>1</v>
      </c>
      <c r="L425" s="14" t="b">
        <f>AND(Transport_Table[[#This Row],[Show Feedstock]:[Show Data Source]],NOT(Transport_Table[[#This Row],[Hide Column]]))</f>
        <v>0</v>
      </c>
      <c r="M425" s="14" t="s">
        <v>14</v>
      </c>
      <c r="N425" s="14" t="s">
        <v>1169</v>
      </c>
      <c r="O425" s="14" t="s">
        <v>1251</v>
      </c>
      <c r="P425" s="178" t="s">
        <v>360</v>
      </c>
      <c r="Q425" s="165" t="s">
        <v>1946</v>
      </c>
      <c r="R425" s="393">
        <v>1</v>
      </c>
      <c r="S425" s="394">
        <v>11750</v>
      </c>
      <c r="T425" s="107"/>
    </row>
    <row r="426" spans="1:20" x14ac:dyDescent="0.3">
      <c r="A426" s="190" t="s">
        <v>122</v>
      </c>
      <c r="B426" s="178" t="s">
        <v>30</v>
      </c>
      <c r="C426" s="178" t="s">
        <v>194</v>
      </c>
      <c r="D426" s="196" t="s">
        <v>367</v>
      </c>
      <c r="E426" s="178" t="s">
        <v>1357</v>
      </c>
      <c r="F426" s="14" t="b">
        <f>OR(Transport_Table[[#This Row],[Feedstock]]="All",Transport_Table[[#This Row],[Feedstock]]=SelectedFeedstock)</f>
        <v>0</v>
      </c>
      <c r="G426" s="14" t="b">
        <f>OR(Transport_Table[[#This Row],[Conversion]]="All",Transport_Table[[#This Row],[Conversion]]=SelectedConversion)</f>
        <v>1</v>
      </c>
      <c r="H426" s="14" t="b">
        <f>OR(Transport_Table[[#This Row],[Data Set]]="All",Transport_Table[[#This Row],[Data Set]]=SelectedDataSet)</f>
        <v>0</v>
      </c>
      <c r="I426" s="14" t="b">
        <f>OR(Transport_Table[[#This Row],[Technology]]="All",Transport_Table[[#This Row],[Technology]]=SelectedTechnology)</f>
        <v>0</v>
      </c>
      <c r="J426" s="14" t="b">
        <f>OR(Transport_Table[[#This Row],[Data Source]]="All",Transport_Table[[#This Row],[Data Source]]=SelectedDataSource)</f>
        <v>0</v>
      </c>
      <c r="L426" s="14" t="b">
        <f>AND(Transport_Table[[#This Row],[Show Feedstock]:[Show Data Source]],NOT(Transport_Table[[#This Row],[Hide Column]]))</f>
        <v>0</v>
      </c>
      <c r="M426" s="14" t="s">
        <v>14</v>
      </c>
      <c r="N426" s="14" t="s">
        <v>1161</v>
      </c>
      <c r="O426" s="14" t="s">
        <v>1243</v>
      </c>
      <c r="P426" s="178" t="s">
        <v>1700</v>
      </c>
      <c r="Q426" s="165" t="s">
        <v>1947</v>
      </c>
      <c r="R426" s="393">
        <v>0.08</v>
      </c>
      <c r="S426" s="394">
        <v>519.99854667279999</v>
      </c>
      <c r="T426" s="107"/>
    </row>
    <row r="427" spans="1:20" x14ac:dyDescent="0.3">
      <c r="A427" s="190" t="s">
        <v>122</v>
      </c>
      <c r="B427" s="178" t="s">
        <v>30</v>
      </c>
      <c r="C427" s="178" t="s">
        <v>194</v>
      </c>
      <c r="D427" s="196" t="s">
        <v>367</v>
      </c>
      <c r="E427" s="178" t="s">
        <v>1357</v>
      </c>
      <c r="F427" s="14" t="b">
        <f>OR(Transport_Table[[#This Row],[Feedstock]]="All",Transport_Table[[#This Row],[Feedstock]]=SelectedFeedstock)</f>
        <v>0</v>
      </c>
      <c r="G427" s="14" t="b">
        <f>OR(Transport_Table[[#This Row],[Conversion]]="All",Transport_Table[[#This Row],[Conversion]]=SelectedConversion)</f>
        <v>1</v>
      </c>
      <c r="H427" s="14" t="b">
        <f>OR(Transport_Table[[#This Row],[Data Set]]="All",Transport_Table[[#This Row],[Data Set]]=SelectedDataSet)</f>
        <v>0</v>
      </c>
      <c r="I427" s="14" t="b">
        <f>OR(Transport_Table[[#This Row],[Technology]]="All",Transport_Table[[#This Row],[Technology]]=SelectedTechnology)</f>
        <v>0</v>
      </c>
      <c r="J427" s="14" t="b">
        <f>OR(Transport_Table[[#This Row],[Data Source]]="All",Transport_Table[[#This Row],[Data Source]]=SelectedDataSource)</f>
        <v>0</v>
      </c>
      <c r="L427" s="14" t="b">
        <f>AND(Transport_Table[[#This Row],[Show Feedstock]:[Show Data Source]],NOT(Transport_Table[[#This Row],[Hide Column]]))</f>
        <v>0</v>
      </c>
      <c r="M427" s="14" t="s">
        <v>14</v>
      </c>
      <c r="N427" s="14" t="s">
        <v>1162</v>
      </c>
      <c r="O427" s="14" t="s">
        <v>1244</v>
      </c>
      <c r="P427" s="178" t="s">
        <v>1700</v>
      </c>
      <c r="Q427" s="165" t="s">
        <v>1943</v>
      </c>
      <c r="R427" s="393">
        <v>0</v>
      </c>
      <c r="S427" s="394">
        <v>0</v>
      </c>
      <c r="T427" s="107"/>
    </row>
    <row r="428" spans="1:20" x14ac:dyDescent="0.3">
      <c r="A428" s="190" t="s">
        <v>122</v>
      </c>
      <c r="B428" s="178" t="s">
        <v>30</v>
      </c>
      <c r="C428" s="178" t="s">
        <v>194</v>
      </c>
      <c r="D428" s="196" t="s">
        <v>367</v>
      </c>
      <c r="E428" s="178" t="s">
        <v>1357</v>
      </c>
      <c r="F428" s="14" t="b">
        <f>OR(Transport_Table[[#This Row],[Feedstock]]="All",Transport_Table[[#This Row],[Feedstock]]=SelectedFeedstock)</f>
        <v>0</v>
      </c>
      <c r="G428" s="14" t="b">
        <f>OR(Transport_Table[[#This Row],[Conversion]]="All",Transport_Table[[#This Row],[Conversion]]=SelectedConversion)</f>
        <v>1</v>
      </c>
      <c r="H428" s="14" t="b">
        <f>OR(Transport_Table[[#This Row],[Data Set]]="All",Transport_Table[[#This Row],[Data Set]]=SelectedDataSet)</f>
        <v>0</v>
      </c>
      <c r="I428" s="14" t="b">
        <f>OR(Transport_Table[[#This Row],[Technology]]="All",Transport_Table[[#This Row],[Technology]]=SelectedTechnology)</f>
        <v>0</v>
      </c>
      <c r="J428" s="14" t="b">
        <f>OR(Transport_Table[[#This Row],[Data Source]]="All",Transport_Table[[#This Row],[Data Source]]=SelectedDataSource)</f>
        <v>0</v>
      </c>
      <c r="L428" s="14" t="b">
        <f>AND(Transport_Table[[#This Row],[Show Feedstock]:[Show Data Source]],NOT(Transport_Table[[#This Row],[Hide Column]]))</f>
        <v>0</v>
      </c>
      <c r="M428" s="14" t="s">
        <v>14</v>
      </c>
      <c r="N428" s="14" t="s">
        <v>1163</v>
      </c>
      <c r="O428" s="14" t="s">
        <v>1245</v>
      </c>
      <c r="P428" s="178" t="s">
        <v>1700</v>
      </c>
      <c r="Q428" s="165" t="s">
        <v>1944</v>
      </c>
      <c r="R428" s="393">
        <v>0.28999999999999998</v>
      </c>
      <c r="S428" s="394">
        <v>799.99776411200003</v>
      </c>
      <c r="T428" s="107"/>
    </row>
    <row r="429" spans="1:20" x14ac:dyDescent="0.3">
      <c r="A429" s="190" t="s">
        <v>122</v>
      </c>
      <c r="B429" s="178" t="s">
        <v>30</v>
      </c>
      <c r="C429" s="178" t="s">
        <v>194</v>
      </c>
      <c r="D429" s="196" t="s">
        <v>367</v>
      </c>
      <c r="E429" s="178" t="s">
        <v>1357</v>
      </c>
      <c r="F429" s="14" t="b">
        <f>OR(Transport_Table[[#This Row],[Feedstock]]="All",Transport_Table[[#This Row],[Feedstock]]=SelectedFeedstock)</f>
        <v>0</v>
      </c>
      <c r="G429" s="14" t="b">
        <f>OR(Transport_Table[[#This Row],[Conversion]]="All",Transport_Table[[#This Row],[Conversion]]=SelectedConversion)</f>
        <v>1</v>
      </c>
      <c r="H429" s="14" t="b">
        <f>OR(Transport_Table[[#This Row],[Data Set]]="All",Transport_Table[[#This Row],[Data Set]]=SelectedDataSet)</f>
        <v>0</v>
      </c>
      <c r="I429" s="14" t="b">
        <f>OR(Transport_Table[[#This Row],[Technology]]="All",Transport_Table[[#This Row],[Technology]]=SelectedTechnology)</f>
        <v>0</v>
      </c>
      <c r="J429" s="14" t="b">
        <f>OR(Transport_Table[[#This Row],[Data Source]]="All",Transport_Table[[#This Row],[Data Source]]=SelectedDataSource)</f>
        <v>0</v>
      </c>
      <c r="L429" s="14" t="b">
        <f>AND(Transport_Table[[#This Row],[Show Feedstock]:[Show Data Source]],NOT(Transport_Table[[#This Row],[Hide Column]]))</f>
        <v>0</v>
      </c>
      <c r="M429" s="14" t="s">
        <v>14</v>
      </c>
      <c r="N429" s="14" t="s">
        <v>1164</v>
      </c>
      <c r="O429" s="14" t="s">
        <v>1246</v>
      </c>
      <c r="P429" s="178" t="s">
        <v>1700</v>
      </c>
      <c r="Q429" s="165" t="s">
        <v>1945</v>
      </c>
      <c r="R429" s="393">
        <v>0.63</v>
      </c>
      <c r="S429" s="394">
        <v>49.999860257000002</v>
      </c>
      <c r="T429" s="107"/>
    </row>
    <row r="430" spans="1:20" x14ac:dyDescent="0.3">
      <c r="A430" s="190" t="s">
        <v>122</v>
      </c>
      <c r="B430" s="178" t="s">
        <v>30</v>
      </c>
      <c r="C430" s="178" t="s">
        <v>194</v>
      </c>
      <c r="D430" s="196" t="s">
        <v>367</v>
      </c>
      <c r="E430" s="178" t="s">
        <v>1357</v>
      </c>
      <c r="F430" s="14" t="b">
        <f>OR(Transport_Table[[#This Row],[Feedstock]]="All",Transport_Table[[#This Row],[Feedstock]]=SelectedFeedstock)</f>
        <v>0</v>
      </c>
      <c r="G430" s="14" t="b">
        <f>OR(Transport_Table[[#This Row],[Conversion]]="All",Transport_Table[[#This Row],[Conversion]]=SelectedConversion)</f>
        <v>1</v>
      </c>
      <c r="H430" s="14" t="b">
        <f>OR(Transport_Table[[#This Row],[Data Set]]="All",Transport_Table[[#This Row],[Data Set]]=SelectedDataSet)</f>
        <v>0</v>
      </c>
      <c r="I430" s="14" t="b">
        <f>OR(Transport_Table[[#This Row],[Technology]]="All",Transport_Table[[#This Row],[Technology]]=SelectedTechnology)</f>
        <v>0</v>
      </c>
      <c r="J430" s="14" t="b">
        <f>OR(Transport_Table[[#This Row],[Data Source]]="All",Transport_Table[[#This Row],[Data Source]]=SelectedDataSource)</f>
        <v>0</v>
      </c>
      <c r="L430" s="14" t="b">
        <f>AND(Transport_Table[[#This Row],[Show Feedstock]:[Show Data Source]],NOT(Transport_Table[[#This Row],[Hide Column]]))</f>
        <v>0</v>
      </c>
      <c r="M430" s="14" t="s">
        <v>14</v>
      </c>
      <c r="N430" s="14" t="s">
        <v>1165</v>
      </c>
      <c r="O430" s="14" t="s">
        <v>1247</v>
      </c>
      <c r="P430" s="178" t="s">
        <v>1701</v>
      </c>
      <c r="Q430" s="165" t="s">
        <v>1946</v>
      </c>
      <c r="R430" s="393">
        <v>1</v>
      </c>
      <c r="S430" s="394">
        <v>29.999916154200001</v>
      </c>
      <c r="T430" s="107"/>
    </row>
    <row r="431" spans="1:20" x14ac:dyDescent="0.3">
      <c r="A431" s="195" t="s">
        <v>122</v>
      </c>
      <c r="B431" s="196" t="s">
        <v>30</v>
      </c>
      <c r="C431" s="196" t="s">
        <v>194</v>
      </c>
      <c r="D431" s="196" t="s">
        <v>367</v>
      </c>
      <c r="E431" s="196" t="s">
        <v>1358</v>
      </c>
      <c r="F431" s="14" t="b">
        <f>OR(Transport_Table[[#This Row],[Feedstock]]="All",Transport_Table[[#This Row],[Feedstock]]=SelectedFeedstock)</f>
        <v>0</v>
      </c>
      <c r="G431" s="14" t="b">
        <f>OR(Transport_Table[[#This Row],[Conversion]]="All",Transport_Table[[#This Row],[Conversion]]=SelectedConversion)</f>
        <v>1</v>
      </c>
      <c r="H431" s="14" t="b">
        <f>OR(Transport_Table[[#This Row],[Data Set]]="All",Transport_Table[[#This Row],[Data Set]]=SelectedDataSet)</f>
        <v>0</v>
      </c>
      <c r="I431" s="14" t="b">
        <f>OR(Transport_Table[[#This Row],[Technology]]="All",Transport_Table[[#This Row],[Technology]]=SelectedTechnology)</f>
        <v>0</v>
      </c>
      <c r="J431" s="14" t="b">
        <f>OR(Transport_Table[[#This Row],[Data Source]]="All",Transport_Table[[#This Row],[Data Source]]=SelectedDataSource)</f>
        <v>0</v>
      </c>
      <c r="K431" s="14" t="b">
        <v>1</v>
      </c>
      <c r="L431" s="14" t="b">
        <f>AND(Transport_Table[[#This Row],[Show Feedstock]:[Show Data Source]],NOT(Transport_Table[[#This Row],[Hide Column]]))</f>
        <v>0</v>
      </c>
      <c r="M431" s="14" t="s">
        <v>14</v>
      </c>
      <c r="N431" s="14" t="s">
        <v>1166</v>
      </c>
      <c r="O431" s="14" t="s">
        <v>1248</v>
      </c>
      <c r="P431" s="196" t="s">
        <v>360</v>
      </c>
      <c r="Q431" s="165" t="s">
        <v>1947</v>
      </c>
      <c r="R431" s="197">
        <v>0.2</v>
      </c>
      <c r="S431" s="198">
        <v>400.16292400000003</v>
      </c>
      <c r="T431" s="107"/>
    </row>
    <row r="432" spans="1:20" x14ac:dyDescent="0.3">
      <c r="A432" s="195" t="s">
        <v>122</v>
      </c>
      <c r="B432" s="196" t="s">
        <v>30</v>
      </c>
      <c r="C432" s="196" t="s">
        <v>194</v>
      </c>
      <c r="D432" s="196" t="s">
        <v>367</v>
      </c>
      <c r="E432" s="196" t="s">
        <v>1358</v>
      </c>
      <c r="F432" s="14" t="b">
        <f>OR(Transport_Table[[#This Row],[Feedstock]]="All",Transport_Table[[#This Row],[Feedstock]]=SelectedFeedstock)</f>
        <v>0</v>
      </c>
      <c r="G432" s="14" t="b">
        <f>OR(Transport_Table[[#This Row],[Conversion]]="All",Transport_Table[[#This Row],[Conversion]]=SelectedConversion)</f>
        <v>1</v>
      </c>
      <c r="H432" s="14" t="b">
        <f>OR(Transport_Table[[#This Row],[Data Set]]="All",Transport_Table[[#This Row],[Data Set]]=SelectedDataSet)</f>
        <v>0</v>
      </c>
      <c r="I432" s="14" t="b">
        <f>OR(Transport_Table[[#This Row],[Technology]]="All",Transport_Table[[#This Row],[Technology]]=SelectedTechnology)</f>
        <v>0</v>
      </c>
      <c r="J432" s="14" t="b">
        <f>OR(Transport_Table[[#This Row],[Data Source]]="All",Transport_Table[[#This Row],[Data Source]]=SelectedDataSource)</f>
        <v>0</v>
      </c>
      <c r="K432" s="14" t="b">
        <v>1</v>
      </c>
      <c r="L432" s="14" t="b">
        <f>AND(Transport_Table[[#This Row],[Show Feedstock]:[Show Data Source]],NOT(Transport_Table[[#This Row],[Hide Column]]))</f>
        <v>0</v>
      </c>
      <c r="M432" s="14" t="s">
        <v>14</v>
      </c>
      <c r="N432" s="14" t="s">
        <v>1167</v>
      </c>
      <c r="O432" s="14" t="s">
        <v>1249</v>
      </c>
      <c r="P432" s="196" t="s">
        <v>360</v>
      </c>
      <c r="Q432" s="165" t="s">
        <v>1943</v>
      </c>
      <c r="R432" s="197">
        <v>0.8</v>
      </c>
      <c r="S432" s="198">
        <v>100.04073100000001</v>
      </c>
      <c r="T432" s="107"/>
    </row>
    <row r="433" spans="1:20" x14ac:dyDescent="0.3">
      <c r="A433" s="190" t="s">
        <v>122</v>
      </c>
      <c r="B433" s="178" t="s">
        <v>30</v>
      </c>
      <c r="C433" s="178" t="s">
        <v>194</v>
      </c>
      <c r="D433" s="196" t="s">
        <v>367</v>
      </c>
      <c r="E433" s="178" t="s">
        <v>1358</v>
      </c>
      <c r="F433" s="14" t="b">
        <f>OR(Transport_Table[[#This Row],[Feedstock]]="All",Transport_Table[[#This Row],[Feedstock]]=SelectedFeedstock)</f>
        <v>0</v>
      </c>
      <c r="G433" s="14" t="b">
        <f>OR(Transport_Table[[#This Row],[Conversion]]="All",Transport_Table[[#This Row],[Conversion]]=SelectedConversion)</f>
        <v>1</v>
      </c>
      <c r="H433" s="14" t="b">
        <f>OR(Transport_Table[[#This Row],[Data Set]]="All",Transport_Table[[#This Row],[Data Set]]=SelectedDataSet)</f>
        <v>0</v>
      </c>
      <c r="I433" s="14" t="b">
        <f>OR(Transport_Table[[#This Row],[Technology]]="All",Transport_Table[[#This Row],[Technology]]=SelectedTechnology)</f>
        <v>0</v>
      </c>
      <c r="J433" s="14" t="b">
        <f>OR(Transport_Table[[#This Row],[Data Source]]="All",Transport_Table[[#This Row],[Data Source]]=SelectedDataSource)</f>
        <v>0</v>
      </c>
      <c r="K433" s="14" t="b">
        <v>1</v>
      </c>
      <c r="L433" s="14" t="b">
        <f>AND(Transport_Table[[#This Row],[Show Feedstock]:[Show Data Source]],NOT(Transport_Table[[#This Row],[Hide Column]]))</f>
        <v>0</v>
      </c>
      <c r="M433" s="14" t="s">
        <v>14</v>
      </c>
      <c r="N433" s="14" t="s">
        <v>1168</v>
      </c>
      <c r="O433" s="14" t="s">
        <v>1250</v>
      </c>
      <c r="P433" s="178" t="s">
        <v>360</v>
      </c>
      <c r="Q433" s="165" t="s">
        <v>1944</v>
      </c>
      <c r="R433" s="396">
        <v>0</v>
      </c>
      <c r="S433" s="394">
        <v>0</v>
      </c>
      <c r="T433" s="107"/>
    </row>
    <row r="434" spans="1:20" x14ac:dyDescent="0.3">
      <c r="A434" s="190" t="s">
        <v>122</v>
      </c>
      <c r="B434" s="178" t="s">
        <v>30</v>
      </c>
      <c r="C434" s="178" t="s">
        <v>194</v>
      </c>
      <c r="D434" s="196" t="s">
        <v>367</v>
      </c>
      <c r="E434" s="178" t="s">
        <v>1358</v>
      </c>
      <c r="F434" s="14" t="b">
        <f>OR(Transport_Table[[#This Row],[Feedstock]]="All",Transport_Table[[#This Row],[Feedstock]]=SelectedFeedstock)</f>
        <v>0</v>
      </c>
      <c r="G434" s="14" t="b">
        <f>OR(Transport_Table[[#This Row],[Conversion]]="All",Transport_Table[[#This Row],[Conversion]]=SelectedConversion)</f>
        <v>1</v>
      </c>
      <c r="H434" s="14" t="b">
        <f>OR(Transport_Table[[#This Row],[Data Set]]="All",Transport_Table[[#This Row],[Data Set]]=SelectedDataSet)</f>
        <v>0</v>
      </c>
      <c r="I434" s="14" t="b">
        <f>OR(Transport_Table[[#This Row],[Technology]]="All",Transport_Table[[#This Row],[Technology]]=SelectedTechnology)</f>
        <v>0</v>
      </c>
      <c r="J434" s="14" t="b">
        <f>OR(Transport_Table[[#This Row],[Data Source]]="All",Transport_Table[[#This Row],[Data Source]]=SelectedDataSource)</f>
        <v>0</v>
      </c>
      <c r="K434" s="14" t="b">
        <v>1</v>
      </c>
      <c r="L434" s="14" t="b">
        <f>AND(Transport_Table[[#This Row],[Show Feedstock]:[Show Data Source]],NOT(Transport_Table[[#This Row],[Hide Column]]))</f>
        <v>0</v>
      </c>
      <c r="M434" s="14" t="s">
        <v>14</v>
      </c>
      <c r="N434" s="14" t="s">
        <v>1169</v>
      </c>
      <c r="O434" s="14" t="s">
        <v>1251</v>
      </c>
      <c r="P434" s="178" t="s">
        <v>360</v>
      </c>
      <c r="Q434" s="165" t="s">
        <v>1945</v>
      </c>
      <c r="R434" s="393">
        <v>1</v>
      </c>
      <c r="S434" s="394">
        <v>11750</v>
      </c>
      <c r="T434" s="107"/>
    </row>
    <row r="435" spans="1:20" x14ac:dyDescent="0.3">
      <c r="A435" s="190" t="s">
        <v>122</v>
      </c>
      <c r="B435" s="178" t="s">
        <v>30</v>
      </c>
      <c r="C435" s="178" t="s">
        <v>194</v>
      </c>
      <c r="D435" s="196" t="s">
        <v>367</v>
      </c>
      <c r="E435" s="178" t="s">
        <v>1358</v>
      </c>
      <c r="F435" s="14" t="b">
        <f>OR(Transport_Table[[#This Row],[Feedstock]]="All",Transport_Table[[#This Row],[Feedstock]]=SelectedFeedstock)</f>
        <v>0</v>
      </c>
      <c r="G435" s="14" t="b">
        <f>OR(Transport_Table[[#This Row],[Conversion]]="All",Transport_Table[[#This Row],[Conversion]]=SelectedConversion)</f>
        <v>1</v>
      </c>
      <c r="H435" s="14" t="b">
        <f>OR(Transport_Table[[#This Row],[Data Set]]="All",Transport_Table[[#This Row],[Data Set]]=SelectedDataSet)</f>
        <v>0</v>
      </c>
      <c r="I435" s="14" t="b">
        <f>OR(Transport_Table[[#This Row],[Technology]]="All",Transport_Table[[#This Row],[Technology]]=SelectedTechnology)</f>
        <v>0</v>
      </c>
      <c r="J435" s="14" t="b">
        <f>OR(Transport_Table[[#This Row],[Data Source]]="All",Transport_Table[[#This Row],[Data Source]]=SelectedDataSource)</f>
        <v>0</v>
      </c>
      <c r="L435" s="14" t="b">
        <f>AND(Transport_Table[[#This Row],[Show Feedstock]:[Show Data Source]],NOT(Transport_Table[[#This Row],[Hide Column]]))</f>
        <v>0</v>
      </c>
      <c r="M435" s="14" t="s">
        <v>14</v>
      </c>
      <c r="N435" s="14" t="s">
        <v>1161</v>
      </c>
      <c r="O435" s="14" t="s">
        <v>1243</v>
      </c>
      <c r="P435" s="178" t="s">
        <v>1700</v>
      </c>
      <c r="Q435" s="165" t="s">
        <v>1946</v>
      </c>
      <c r="R435" s="393">
        <v>0.08</v>
      </c>
      <c r="S435" s="394">
        <v>519.99854667279999</v>
      </c>
      <c r="T435" s="107"/>
    </row>
    <row r="436" spans="1:20" x14ac:dyDescent="0.3">
      <c r="A436" s="190" t="s">
        <v>122</v>
      </c>
      <c r="B436" s="178" t="s">
        <v>30</v>
      </c>
      <c r="C436" s="178" t="s">
        <v>194</v>
      </c>
      <c r="D436" s="196" t="s">
        <v>367</v>
      </c>
      <c r="E436" s="178" t="s">
        <v>1358</v>
      </c>
      <c r="F436" s="14" t="b">
        <f>OR(Transport_Table[[#This Row],[Feedstock]]="All",Transport_Table[[#This Row],[Feedstock]]=SelectedFeedstock)</f>
        <v>0</v>
      </c>
      <c r="G436" s="14" t="b">
        <f>OR(Transport_Table[[#This Row],[Conversion]]="All",Transport_Table[[#This Row],[Conversion]]=SelectedConversion)</f>
        <v>1</v>
      </c>
      <c r="H436" s="14" t="b">
        <f>OR(Transport_Table[[#This Row],[Data Set]]="All",Transport_Table[[#This Row],[Data Set]]=SelectedDataSet)</f>
        <v>0</v>
      </c>
      <c r="I436" s="14" t="b">
        <f>OR(Transport_Table[[#This Row],[Technology]]="All",Transport_Table[[#This Row],[Technology]]=SelectedTechnology)</f>
        <v>0</v>
      </c>
      <c r="J436" s="14" t="b">
        <f>OR(Transport_Table[[#This Row],[Data Source]]="All",Transport_Table[[#This Row],[Data Source]]=SelectedDataSource)</f>
        <v>0</v>
      </c>
      <c r="L436" s="14" t="b">
        <f>AND(Transport_Table[[#This Row],[Show Feedstock]:[Show Data Source]],NOT(Transport_Table[[#This Row],[Hide Column]]))</f>
        <v>0</v>
      </c>
      <c r="M436" s="14" t="s">
        <v>14</v>
      </c>
      <c r="N436" s="14" t="s">
        <v>1162</v>
      </c>
      <c r="O436" s="14" t="s">
        <v>1244</v>
      </c>
      <c r="P436" s="178" t="s">
        <v>1700</v>
      </c>
      <c r="Q436" s="165" t="s">
        <v>1947</v>
      </c>
      <c r="R436" s="393">
        <v>0</v>
      </c>
      <c r="S436" s="394">
        <v>0</v>
      </c>
      <c r="T436" s="107"/>
    </row>
    <row r="437" spans="1:20" x14ac:dyDescent="0.3">
      <c r="A437" s="190" t="s">
        <v>122</v>
      </c>
      <c r="B437" s="178" t="s">
        <v>30</v>
      </c>
      <c r="C437" s="178" t="s">
        <v>194</v>
      </c>
      <c r="D437" s="196" t="s">
        <v>367</v>
      </c>
      <c r="E437" s="178" t="s">
        <v>1358</v>
      </c>
      <c r="F437" s="14" t="b">
        <f>OR(Transport_Table[[#This Row],[Feedstock]]="All",Transport_Table[[#This Row],[Feedstock]]=SelectedFeedstock)</f>
        <v>0</v>
      </c>
      <c r="G437" s="14" t="b">
        <f>OR(Transport_Table[[#This Row],[Conversion]]="All",Transport_Table[[#This Row],[Conversion]]=SelectedConversion)</f>
        <v>1</v>
      </c>
      <c r="H437" s="14" t="b">
        <f>OR(Transport_Table[[#This Row],[Data Set]]="All",Transport_Table[[#This Row],[Data Set]]=SelectedDataSet)</f>
        <v>0</v>
      </c>
      <c r="I437" s="14" t="b">
        <f>OR(Transport_Table[[#This Row],[Technology]]="All",Transport_Table[[#This Row],[Technology]]=SelectedTechnology)</f>
        <v>0</v>
      </c>
      <c r="J437" s="14" t="b">
        <f>OR(Transport_Table[[#This Row],[Data Source]]="All",Transport_Table[[#This Row],[Data Source]]=SelectedDataSource)</f>
        <v>0</v>
      </c>
      <c r="L437" s="14" t="b">
        <f>AND(Transport_Table[[#This Row],[Show Feedstock]:[Show Data Source]],NOT(Transport_Table[[#This Row],[Hide Column]]))</f>
        <v>0</v>
      </c>
      <c r="M437" s="14" t="s">
        <v>14</v>
      </c>
      <c r="N437" s="14" t="s">
        <v>1163</v>
      </c>
      <c r="O437" s="14" t="s">
        <v>1245</v>
      </c>
      <c r="P437" s="178" t="s">
        <v>1700</v>
      </c>
      <c r="Q437" s="165" t="s">
        <v>1943</v>
      </c>
      <c r="R437" s="393">
        <v>0.28999999999999998</v>
      </c>
      <c r="S437" s="394">
        <v>799.99776411200003</v>
      </c>
      <c r="T437" s="107"/>
    </row>
    <row r="438" spans="1:20" x14ac:dyDescent="0.3">
      <c r="A438" s="190" t="s">
        <v>122</v>
      </c>
      <c r="B438" s="178" t="s">
        <v>30</v>
      </c>
      <c r="C438" s="178" t="s">
        <v>194</v>
      </c>
      <c r="D438" s="196" t="s">
        <v>367</v>
      </c>
      <c r="E438" s="178" t="s">
        <v>1358</v>
      </c>
      <c r="F438" s="14" t="b">
        <f>OR(Transport_Table[[#This Row],[Feedstock]]="All",Transport_Table[[#This Row],[Feedstock]]=SelectedFeedstock)</f>
        <v>0</v>
      </c>
      <c r="G438" s="14" t="b">
        <f>OR(Transport_Table[[#This Row],[Conversion]]="All",Transport_Table[[#This Row],[Conversion]]=SelectedConversion)</f>
        <v>1</v>
      </c>
      <c r="H438" s="14" t="b">
        <f>OR(Transport_Table[[#This Row],[Data Set]]="All",Transport_Table[[#This Row],[Data Set]]=SelectedDataSet)</f>
        <v>0</v>
      </c>
      <c r="I438" s="14" t="b">
        <f>OR(Transport_Table[[#This Row],[Technology]]="All",Transport_Table[[#This Row],[Technology]]=SelectedTechnology)</f>
        <v>0</v>
      </c>
      <c r="J438" s="14" t="b">
        <f>OR(Transport_Table[[#This Row],[Data Source]]="All",Transport_Table[[#This Row],[Data Source]]=SelectedDataSource)</f>
        <v>0</v>
      </c>
      <c r="L438" s="14" t="b">
        <f>AND(Transport_Table[[#This Row],[Show Feedstock]:[Show Data Source]],NOT(Transport_Table[[#This Row],[Hide Column]]))</f>
        <v>0</v>
      </c>
      <c r="M438" s="14" t="s">
        <v>14</v>
      </c>
      <c r="N438" s="14" t="s">
        <v>1164</v>
      </c>
      <c r="O438" s="14" t="s">
        <v>1246</v>
      </c>
      <c r="P438" s="178" t="s">
        <v>1700</v>
      </c>
      <c r="Q438" s="165" t="s">
        <v>1944</v>
      </c>
      <c r="R438" s="393">
        <v>0.63</v>
      </c>
      <c r="S438" s="394">
        <v>49.999860257000002</v>
      </c>
      <c r="T438" s="107"/>
    </row>
    <row r="439" spans="1:20" x14ac:dyDescent="0.3">
      <c r="A439" s="190" t="s">
        <v>122</v>
      </c>
      <c r="B439" s="178" t="s">
        <v>30</v>
      </c>
      <c r="C439" s="178" t="s">
        <v>194</v>
      </c>
      <c r="D439" s="196" t="s">
        <v>367</v>
      </c>
      <c r="E439" s="178" t="s">
        <v>1358</v>
      </c>
      <c r="F439" s="14" t="b">
        <f>OR(Transport_Table[[#This Row],[Feedstock]]="All",Transport_Table[[#This Row],[Feedstock]]=SelectedFeedstock)</f>
        <v>0</v>
      </c>
      <c r="G439" s="14" t="b">
        <f>OR(Transport_Table[[#This Row],[Conversion]]="All",Transport_Table[[#This Row],[Conversion]]=SelectedConversion)</f>
        <v>1</v>
      </c>
      <c r="H439" s="14" t="b">
        <f>OR(Transport_Table[[#This Row],[Data Set]]="All",Transport_Table[[#This Row],[Data Set]]=SelectedDataSet)</f>
        <v>0</v>
      </c>
      <c r="I439" s="14" t="b">
        <f>OR(Transport_Table[[#This Row],[Technology]]="All",Transport_Table[[#This Row],[Technology]]=SelectedTechnology)</f>
        <v>0</v>
      </c>
      <c r="J439" s="14" t="b">
        <f>OR(Transport_Table[[#This Row],[Data Source]]="All",Transport_Table[[#This Row],[Data Source]]=SelectedDataSource)</f>
        <v>0</v>
      </c>
      <c r="L439" s="14" t="b">
        <f>AND(Transport_Table[[#This Row],[Show Feedstock]:[Show Data Source]],NOT(Transport_Table[[#This Row],[Hide Column]]))</f>
        <v>0</v>
      </c>
      <c r="M439" s="14" t="s">
        <v>14</v>
      </c>
      <c r="N439" s="14" t="s">
        <v>1165</v>
      </c>
      <c r="O439" s="14" t="s">
        <v>1247</v>
      </c>
      <c r="P439" s="178" t="s">
        <v>1701</v>
      </c>
      <c r="Q439" s="165" t="s">
        <v>1945</v>
      </c>
      <c r="R439" s="393">
        <v>1</v>
      </c>
      <c r="S439" s="394">
        <v>29.999916154200001</v>
      </c>
      <c r="T439" s="107"/>
    </row>
    <row r="440" spans="1:20" x14ac:dyDescent="0.3">
      <c r="A440" s="190" t="s">
        <v>128</v>
      </c>
      <c r="B440" s="178" t="s">
        <v>30</v>
      </c>
      <c r="C440" s="178" t="s">
        <v>194</v>
      </c>
      <c r="D440" t="s">
        <v>1360</v>
      </c>
      <c r="E440" s="178" t="s">
        <v>31</v>
      </c>
      <c r="F440" s="14" t="b">
        <f>OR(Transport_Table[[#This Row],[Feedstock]]="All",Transport_Table[[#This Row],[Feedstock]]=SelectedFeedstock)</f>
        <v>0</v>
      </c>
      <c r="G440" s="14" t="b">
        <f>OR(Transport_Table[[#This Row],[Conversion]]="All",Transport_Table[[#This Row],[Conversion]]=SelectedConversion)</f>
        <v>1</v>
      </c>
      <c r="H440" s="14" t="b">
        <f>OR(Transport_Table[[#This Row],[Data Set]]="All",Transport_Table[[#This Row],[Data Set]]=SelectedDataSet)</f>
        <v>0</v>
      </c>
      <c r="I440" s="14" t="b">
        <f>OR(Transport_Table[[#This Row],[Technology]]="All",Transport_Table[[#This Row],[Technology]]=SelectedTechnology)</f>
        <v>1</v>
      </c>
      <c r="J440" s="14" t="b">
        <f>OR(Transport_Table[[#This Row],[Data Source]]="All",Transport_Table[[#This Row],[Data Source]]=SelectedDataSource)</f>
        <v>0</v>
      </c>
      <c r="K440" s="14" t="b">
        <v>1</v>
      </c>
      <c r="L440" s="14" t="b">
        <f>AND(Transport_Table[[#This Row],[Show Feedstock]:[Show Data Source]],NOT(Transport_Table[[#This Row],[Hide Column]]))</f>
        <v>0</v>
      </c>
      <c r="M440" s="14" t="s">
        <v>14</v>
      </c>
      <c r="N440" s="14" t="s">
        <v>1170</v>
      </c>
      <c r="O440" s="14" t="s">
        <v>1252</v>
      </c>
      <c r="P440" s="178" t="s">
        <v>128</v>
      </c>
      <c r="Q440" s="165" t="s">
        <v>1946</v>
      </c>
      <c r="R440" s="393">
        <v>0</v>
      </c>
      <c r="S440" s="394">
        <v>0</v>
      </c>
      <c r="T440" s="107"/>
    </row>
    <row r="441" spans="1:20" x14ac:dyDescent="0.3">
      <c r="A441" s="190" t="s">
        <v>128</v>
      </c>
      <c r="B441" s="178" t="s">
        <v>30</v>
      </c>
      <c r="C441" s="178" t="s">
        <v>194</v>
      </c>
      <c r="D441" t="s">
        <v>1360</v>
      </c>
      <c r="E441" s="178" t="s">
        <v>31</v>
      </c>
      <c r="F441" s="14" t="b">
        <f>OR(Transport_Table[[#This Row],[Feedstock]]="All",Transport_Table[[#This Row],[Feedstock]]=SelectedFeedstock)</f>
        <v>0</v>
      </c>
      <c r="G441" s="14" t="b">
        <f>OR(Transport_Table[[#This Row],[Conversion]]="All",Transport_Table[[#This Row],[Conversion]]=SelectedConversion)</f>
        <v>1</v>
      </c>
      <c r="H441" s="14" t="b">
        <f>OR(Transport_Table[[#This Row],[Data Set]]="All",Transport_Table[[#This Row],[Data Set]]=SelectedDataSet)</f>
        <v>0</v>
      </c>
      <c r="I441" s="14" t="b">
        <f>OR(Transport_Table[[#This Row],[Technology]]="All",Transport_Table[[#This Row],[Technology]]=SelectedTechnology)</f>
        <v>1</v>
      </c>
      <c r="J441" s="14" t="b">
        <f>OR(Transport_Table[[#This Row],[Data Source]]="All",Transport_Table[[#This Row],[Data Source]]=SelectedDataSource)</f>
        <v>0</v>
      </c>
      <c r="K441" s="14" t="b">
        <v>1</v>
      </c>
      <c r="L441" s="14" t="b">
        <f>AND(Transport_Table[[#This Row],[Show Feedstock]:[Show Data Source]],NOT(Transport_Table[[#This Row],[Hide Column]]))</f>
        <v>0</v>
      </c>
      <c r="M441" s="14" t="s">
        <v>14</v>
      </c>
      <c r="N441" s="14" t="s">
        <v>1171</v>
      </c>
      <c r="O441" s="14" t="s">
        <v>1253</v>
      </c>
      <c r="P441" s="178" t="s">
        <v>128</v>
      </c>
      <c r="Q441" s="165" t="s">
        <v>1947</v>
      </c>
      <c r="R441" s="393">
        <v>0.2</v>
      </c>
      <c r="S441" s="394">
        <v>400.16292400000003</v>
      </c>
      <c r="T441" s="107"/>
    </row>
    <row r="442" spans="1:20" x14ac:dyDescent="0.3">
      <c r="A442" s="190" t="s">
        <v>128</v>
      </c>
      <c r="B442" s="178" t="s">
        <v>30</v>
      </c>
      <c r="C442" s="178" t="s">
        <v>194</v>
      </c>
      <c r="D442" t="s">
        <v>1360</v>
      </c>
      <c r="E442" s="178" t="s">
        <v>31</v>
      </c>
      <c r="F442" s="14" t="b">
        <f>OR(Transport_Table[[#This Row],[Feedstock]]="All",Transport_Table[[#This Row],[Feedstock]]=SelectedFeedstock)</f>
        <v>0</v>
      </c>
      <c r="G442" s="14" t="b">
        <f>OR(Transport_Table[[#This Row],[Conversion]]="All",Transport_Table[[#This Row],[Conversion]]=SelectedConversion)</f>
        <v>1</v>
      </c>
      <c r="H442" s="14" t="b">
        <f>OR(Transport_Table[[#This Row],[Data Set]]="All",Transport_Table[[#This Row],[Data Set]]=SelectedDataSet)</f>
        <v>0</v>
      </c>
      <c r="I442" s="14" t="b">
        <f>OR(Transport_Table[[#This Row],[Technology]]="All",Transport_Table[[#This Row],[Technology]]=SelectedTechnology)</f>
        <v>1</v>
      </c>
      <c r="J442" s="14" t="b">
        <f>OR(Transport_Table[[#This Row],[Data Source]]="All",Transport_Table[[#This Row],[Data Source]]=SelectedDataSource)</f>
        <v>0</v>
      </c>
      <c r="K442" s="14" t="b">
        <v>1</v>
      </c>
      <c r="L442" s="14" t="b">
        <f>AND(Transport_Table[[#This Row],[Show Feedstock]:[Show Data Source]],NOT(Transport_Table[[#This Row],[Hide Column]]))</f>
        <v>0</v>
      </c>
      <c r="M442" s="14" t="s">
        <v>14</v>
      </c>
      <c r="N442" s="14" t="s">
        <v>1172</v>
      </c>
      <c r="O442" s="14" t="s">
        <v>1254</v>
      </c>
      <c r="P442" s="178" t="s">
        <v>128</v>
      </c>
      <c r="Q442" s="165" t="s">
        <v>1943</v>
      </c>
      <c r="R442" s="393">
        <v>0.8</v>
      </c>
      <c r="S442" s="394">
        <v>100.04073100000001</v>
      </c>
      <c r="T442" s="107"/>
    </row>
    <row r="443" spans="1:20" x14ac:dyDescent="0.3">
      <c r="A443" s="190" t="s">
        <v>128</v>
      </c>
      <c r="B443" s="178" t="s">
        <v>30</v>
      </c>
      <c r="C443" s="178" t="s">
        <v>194</v>
      </c>
      <c r="D443" t="s">
        <v>1360</v>
      </c>
      <c r="E443" s="178" t="s">
        <v>31</v>
      </c>
      <c r="F443" s="14" t="b">
        <f>OR(Transport_Table[[#This Row],[Feedstock]]="All",Transport_Table[[#This Row],[Feedstock]]=SelectedFeedstock)</f>
        <v>0</v>
      </c>
      <c r="G443" s="14" t="b">
        <f>OR(Transport_Table[[#This Row],[Conversion]]="All",Transport_Table[[#This Row],[Conversion]]=SelectedConversion)</f>
        <v>1</v>
      </c>
      <c r="H443" s="14" t="b">
        <f>OR(Transport_Table[[#This Row],[Data Set]]="All",Transport_Table[[#This Row],[Data Set]]=SelectedDataSet)</f>
        <v>0</v>
      </c>
      <c r="I443" s="14" t="b">
        <f>OR(Transport_Table[[#This Row],[Technology]]="All",Transport_Table[[#This Row],[Technology]]=SelectedTechnology)</f>
        <v>1</v>
      </c>
      <c r="J443" s="14" t="b">
        <f>OR(Transport_Table[[#This Row],[Data Source]]="All",Transport_Table[[#This Row],[Data Source]]=SelectedDataSource)</f>
        <v>0</v>
      </c>
      <c r="K443" s="14" t="b">
        <v>1</v>
      </c>
      <c r="L443" s="14" t="b">
        <f>AND(Transport_Table[[#This Row],[Show Feedstock]:[Show Data Source]],NOT(Transport_Table[[#This Row],[Hide Column]]))</f>
        <v>0</v>
      </c>
      <c r="M443" s="14" t="s">
        <v>14</v>
      </c>
      <c r="N443" s="14" t="s">
        <v>1173</v>
      </c>
      <c r="O443" s="14" t="s">
        <v>1255</v>
      </c>
      <c r="P443" s="178" t="s">
        <v>128</v>
      </c>
      <c r="Q443" s="165" t="s">
        <v>1944</v>
      </c>
      <c r="R443" s="396">
        <v>0</v>
      </c>
      <c r="S443" s="394">
        <v>0</v>
      </c>
      <c r="T443" s="107"/>
    </row>
    <row r="444" spans="1:20" x14ac:dyDescent="0.3">
      <c r="A444" s="190" t="s">
        <v>128</v>
      </c>
      <c r="B444" s="178" t="s">
        <v>30</v>
      </c>
      <c r="C444" s="178" t="s">
        <v>194</v>
      </c>
      <c r="D444" t="s">
        <v>1360</v>
      </c>
      <c r="E444" s="178" t="s">
        <v>31</v>
      </c>
      <c r="F444" s="14" t="b">
        <f>OR(Transport_Table[[#This Row],[Feedstock]]="All",Transport_Table[[#This Row],[Feedstock]]=SelectedFeedstock)</f>
        <v>0</v>
      </c>
      <c r="G444" s="14" t="b">
        <f>OR(Transport_Table[[#This Row],[Conversion]]="All",Transport_Table[[#This Row],[Conversion]]=SelectedConversion)</f>
        <v>1</v>
      </c>
      <c r="H444" s="14" t="b">
        <f>OR(Transport_Table[[#This Row],[Data Set]]="All",Transport_Table[[#This Row],[Data Set]]=SelectedDataSet)</f>
        <v>0</v>
      </c>
      <c r="I444" s="14" t="b">
        <f>OR(Transport_Table[[#This Row],[Technology]]="All",Transport_Table[[#This Row],[Technology]]=SelectedTechnology)</f>
        <v>1</v>
      </c>
      <c r="J444" s="14" t="b">
        <f>OR(Transport_Table[[#This Row],[Data Source]]="All",Transport_Table[[#This Row],[Data Source]]=SelectedDataSource)</f>
        <v>0</v>
      </c>
      <c r="K444" s="14" t="b">
        <v>1</v>
      </c>
      <c r="L444" s="14" t="b">
        <f>AND(Transport_Table[[#This Row],[Show Feedstock]:[Show Data Source]],NOT(Transport_Table[[#This Row],[Hide Column]]))</f>
        <v>0</v>
      </c>
      <c r="M444" s="14" t="s">
        <v>14</v>
      </c>
      <c r="N444" s="14" t="s">
        <v>1174</v>
      </c>
      <c r="O444" s="14" t="s">
        <v>1256</v>
      </c>
      <c r="P444" s="178" t="s">
        <v>381</v>
      </c>
      <c r="Q444" s="165" t="s">
        <v>1945</v>
      </c>
      <c r="R444" s="393">
        <v>0</v>
      </c>
      <c r="S444" s="394">
        <v>0</v>
      </c>
      <c r="T444" s="107"/>
    </row>
    <row r="445" spans="1:20" x14ac:dyDescent="0.3">
      <c r="A445" s="190" t="s">
        <v>128</v>
      </c>
      <c r="B445" s="178" t="s">
        <v>30</v>
      </c>
      <c r="C445" s="178" t="s">
        <v>194</v>
      </c>
      <c r="D445" t="s">
        <v>1360</v>
      </c>
      <c r="E445" s="178" t="s">
        <v>31</v>
      </c>
      <c r="F445" s="14" t="b">
        <f>OR(Transport_Table[[#This Row],[Feedstock]]="All",Transport_Table[[#This Row],[Feedstock]]=SelectedFeedstock)</f>
        <v>0</v>
      </c>
      <c r="G445" s="14" t="b">
        <f>OR(Transport_Table[[#This Row],[Conversion]]="All",Transport_Table[[#This Row],[Conversion]]=SelectedConversion)</f>
        <v>1</v>
      </c>
      <c r="H445" s="14" t="b">
        <f>OR(Transport_Table[[#This Row],[Data Set]]="All",Transport_Table[[#This Row],[Data Set]]=SelectedDataSet)</f>
        <v>0</v>
      </c>
      <c r="I445" s="14" t="b">
        <f>OR(Transport_Table[[#This Row],[Technology]]="All",Transport_Table[[#This Row],[Technology]]=SelectedTechnology)</f>
        <v>1</v>
      </c>
      <c r="J445" s="14" t="b">
        <f>OR(Transport_Table[[#This Row],[Data Source]]="All",Transport_Table[[#This Row],[Data Source]]=SelectedDataSource)</f>
        <v>0</v>
      </c>
      <c r="K445" s="14" t="b">
        <v>1</v>
      </c>
      <c r="L445" s="14" t="b">
        <f>AND(Transport_Table[[#This Row],[Show Feedstock]:[Show Data Source]],NOT(Transport_Table[[#This Row],[Hide Column]]))</f>
        <v>0</v>
      </c>
      <c r="M445" s="14" t="s">
        <v>14</v>
      </c>
      <c r="N445" s="14" t="s">
        <v>1175</v>
      </c>
      <c r="O445" s="14" t="s">
        <v>1257</v>
      </c>
      <c r="P445" s="178" t="s">
        <v>381</v>
      </c>
      <c r="Q445" s="165" t="s">
        <v>1946</v>
      </c>
      <c r="R445" s="393">
        <v>0</v>
      </c>
      <c r="S445" s="394">
        <v>0</v>
      </c>
      <c r="T445" s="107"/>
    </row>
    <row r="446" spans="1:20" x14ac:dyDescent="0.3">
      <c r="A446" s="190" t="s">
        <v>128</v>
      </c>
      <c r="B446" s="178" t="s">
        <v>30</v>
      </c>
      <c r="C446" s="178" t="s">
        <v>194</v>
      </c>
      <c r="D446" t="s">
        <v>1360</v>
      </c>
      <c r="E446" s="178" t="s">
        <v>31</v>
      </c>
      <c r="F446" s="14" t="b">
        <f>OR(Transport_Table[[#This Row],[Feedstock]]="All",Transport_Table[[#This Row],[Feedstock]]=SelectedFeedstock)</f>
        <v>0</v>
      </c>
      <c r="G446" s="14" t="b">
        <f>OR(Transport_Table[[#This Row],[Conversion]]="All",Transport_Table[[#This Row],[Conversion]]=SelectedConversion)</f>
        <v>1</v>
      </c>
      <c r="H446" s="14" t="b">
        <f>OR(Transport_Table[[#This Row],[Data Set]]="All",Transport_Table[[#This Row],[Data Set]]=SelectedDataSet)</f>
        <v>0</v>
      </c>
      <c r="I446" s="14" t="b">
        <f>OR(Transport_Table[[#This Row],[Technology]]="All",Transport_Table[[#This Row],[Technology]]=SelectedTechnology)</f>
        <v>1</v>
      </c>
      <c r="J446" s="14" t="b">
        <f>OR(Transport_Table[[#This Row],[Data Source]]="All",Transport_Table[[#This Row],[Data Source]]=SelectedDataSource)</f>
        <v>0</v>
      </c>
      <c r="K446" s="14" t="b">
        <v>1</v>
      </c>
      <c r="L446" s="14" t="b">
        <f>AND(Transport_Table[[#This Row],[Show Feedstock]:[Show Data Source]],NOT(Transport_Table[[#This Row],[Hide Column]]))</f>
        <v>0</v>
      </c>
      <c r="M446" s="14" t="s">
        <v>14</v>
      </c>
      <c r="N446" s="14" t="s">
        <v>1176</v>
      </c>
      <c r="O446" s="14" t="s">
        <v>1258</v>
      </c>
      <c r="P446" s="178" t="s">
        <v>381</v>
      </c>
      <c r="Q446" s="165" t="s">
        <v>1947</v>
      </c>
      <c r="R446" s="393">
        <v>0.33</v>
      </c>
      <c r="S446" s="394">
        <v>700</v>
      </c>
      <c r="T446" s="107"/>
    </row>
    <row r="447" spans="1:20" x14ac:dyDescent="0.3">
      <c r="A447" s="190" t="s">
        <v>128</v>
      </c>
      <c r="B447" s="178" t="s">
        <v>30</v>
      </c>
      <c r="C447" s="178" t="s">
        <v>194</v>
      </c>
      <c r="D447" t="s">
        <v>1360</v>
      </c>
      <c r="E447" s="178" t="s">
        <v>31</v>
      </c>
      <c r="F447" s="14" t="b">
        <f>OR(Transport_Table[[#This Row],[Feedstock]]="All",Transport_Table[[#This Row],[Feedstock]]=SelectedFeedstock)</f>
        <v>0</v>
      </c>
      <c r="G447" s="14" t="b">
        <f>OR(Transport_Table[[#This Row],[Conversion]]="All",Transport_Table[[#This Row],[Conversion]]=SelectedConversion)</f>
        <v>1</v>
      </c>
      <c r="H447" s="14" t="b">
        <f>OR(Transport_Table[[#This Row],[Data Set]]="All",Transport_Table[[#This Row],[Data Set]]=SelectedDataSet)</f>
        <v>0</v>
      </c>
      <c r="I447" s="14" t="b">
        <f>OR(Transport_Table[[#This Row],[Technology]]="All",Transport_Table[[#This Row],[Technology]]=SelectedTechnology)</f>
        <v>1</v>
      </c>
      <c r="J447" s="14" t="b">
        <f>OR(Transport_Table[[#This Row],[Data Source]]="All",Transport_Table[[#This Row],[Data Source]]=SelectedDataSource)</f>
        <v>0</v>
      </c>
      <c r="K447" s="14" t="b">
        <v>1</v>
      </c>
      <c r="L447" s="14" t="b">
        <f>AND(Transport_Table[[#This Row],[Show Feedstock]:[Show Data Source]],NOT(Transport_Table[[#This Row],[Hide Column]]))</f>
        <v>0</v>
      </c>
      <c r="M447" s="14" t="s">
        <v>14</v>
      </c>
      <c r="N447" s="14" t="s">
        <v>1177</v>
      </c>
      <c r="O447" s="14" t="s">
        <v>1259</v>
      </c>
      <c r="P447" s="178" t="s">
        <v>381</v>
      </c>
      <c r="Q447" s="165" t="s">
        <v>1943</v>
      </c>
      <c r="R447" s="393">
        <v>0.67</v>
      </c>
      <c r="S447" s="394">
        <v>80</v>
      </c>
      <c r="T447" s="107"/>
    </row>
    <row r="448" spans="1:20" x14ac:dyDescent="0.3">
      <c r="A448" s="190" t="s">
        <v>128</v>
      </c>
      <c r="B448" s="178" t="s">
        <v>30</v>
      </c>
      <c r="C448" s="178" t="s">
        <v>194</v>
      </c>
      <c r="D448" t="s">
        <v>1360</v>
      </c>
      <c r="E448" s="178" t="s">
        <v>31</v>
      </c>
      <c r="F448" s="14" t="b">
        <f>OR(Transport_Table[[#This Row],[Feedstock]]="All",Transport_Table[[#This Row],[Feedstock]]=SelectedFeedstock)</f>
        <v>0</v>
      </c>
      <c r="G448" s="14" t="b">
        <f>OR(Transport_Table[[#This Row],[Conversion]]="All",Transport_Table[[#This Row],[Conversion]]=SelectedConversion)</f>
        <v>1</v>
      </c>
      <c r="H448" s="14" t="b">
        <f>OR(Transport_Table[[#This Row],[Data Set]]="All",Transport_Table[[#This Row],[Data Set]]=SelectedDataSet)</f>
        <v>0</v>
      </c>
      <c r="I448" s="14" t="b">
        <f>OR(Transport_Table[[#This Row],[Technology]]="All",Transport_Table[[#This Row],[Technology]]=SelectedTechnology)</f>
        <v>1</v>
      </c>
      <c r="J448" s="14" t="b">
        <f>OR(Transport_Table[[#This Row],[Data Source]]="All",Transport_Table[[#This Row],[Data Source]]=SelectedDataSource)</f>
        <v>0</v>
      </c>
      <c r="L448" s="14" t="b">
        <f>AND(Transport_Table[[#This Row],[Show Feedstock]:[Show Data Source]],NOT(Transport_Table[[#This Row],[Hide Column]]))</f>
        <v>0</v>
      </c>
      <c r="M448" s="14" t="s">
        <v>14</v>
      </c>
      <c r="N448" s="14" t="s">
        <v>1161</v>
      </c>
      <c r="O448" s="14" t="s">
        <v>1243</v>
      </c>
      <c r="P448" s="178" t="s">
        <v>1700</v>
      </c>
      <c r="Q448" s="165" t="s">
        <v>1944</v>
      </c>
      <c r="R448" s="393">
        <v>0.08</v>
      </c>
      <c r="S448" s="394">
        <v>519.99854667279999</v>
      </c>
      <c r="T448" s="107"/>
    </row>
    <row r="449" spans="1:20" x14ac:dyDescent="0.3">
      <c r="A449" s="190" t="s">
        <v>128</v>
      </c>
      <c r="B449" s="178" t="s">
        <v>30</v>
      </c>
      <c r="C449" s="178" t="s">
        <v>194</v>
      </c>
      <c r="D449" t="s">
        <v>1360</v>
      </c>
      <c r="E449" s="178" t="s">
        <v>31</v>
      </c>
      <c r="F449" s="14" t="b">
        <f>OR(Transport_Table[[#This Row],[Feedstock]]="All",Transport_Table[[#This Row],[Feedstock]]=SelectedFeedstock)</f>
        <v>0</v>
      </c>
      <c r="G449" s="14" t="b">
        <f>OR(Transport_Table[[#This Row],[Conversion]]="All",Transport_Table[[#This Row],[Conversion]]=SelectedConversion)</f>
        <v>1</v>
      </c>
      <c r="H449" s="14" t="b">
        <f>OR(Transport_Table[[#This Row],[Data Set]]="All",Transport_Table[[#This Row],[Data Set]]=SelectedDataSet)</f>
        <v>0</v>
      </c>
      <c r="I449" s="14" t="b">
        <f>OR(Transport_Table[[#This Row],[Technology]]="All",Transport_Table[[#This Row],[Technology]]=SelectedTechnology)</f>
        <v>1</v>
      </c>
      <c r="J449" s="14" t="b">
        <f>OR(Transport_Table[[#This Row],[Data Source]]="All",Transport_Table[[#This Row],[Data Source]]=SelectedDataSource)</f>
        <v>0</v>
      </c>
      <c r="L449" s="14" t="b">
        <f>AND(Transport_Table[[#This Row],[Show Feedstock]:[Show Data Source]],NOT(Transport_Table[[#This Row],[Hide Column]]))</f>
        <v>0</v>
      </c>
      <c r="M449" s="14" t="s">
        <v>14</v>
      </c>
      <c r="N449" s="14" t="s">
        <v>1162</v>
      </c>
      <c r="O449" s="14" t="s">
        <v>1244</v>
      </c>
      <c r="P449" s="178" t="s">
        <v>1700</v>
      </c>
      <c r="Q449" s="165" t="s">
        <v>1945</v>
      </c>
      <c r="R449" s="393">
        <v>0</v>
      </c>
      <c r="S449" s="394">
        <v>0</v>
      </c>
      <c r="T449" s="107"/>
    </row>
    <row r="450" spans="1:20" x14ac:dyDescent="0.3">
      <c r="A450" s="190" t="s">
        <v>128</v>
      </c>
      <c r="B450" s="178" t="s">
        <v>30</v>
      </c>
      <c r="C450" s="178" t="s">
        <v>194</v>
      </c>
      <c r="D450" t="s">
        <v>1360</v>
      </c>
      <c r="E450" s="178" t="s">
        <v>31</v>
      </c>
      <c r="F450" s="14" t="b">
        <f>OR(Transport_Table[[#This Row],[Feedstock]]="All",Transport_Table[[#This Row],[Feedstock]]=SelectedFeedstock)</f>
        <v>0</v>
      </c>
      <c r="G450" s="14" t="b">
        <f>OR(Transport_Table[[#This Row],[Conversion]]="All",Transport_Table[[#This Row],[Conversion]]=SelectedConversion)</f>
        <v>1</v>
      </c>
      <c r="H450" s="14" t="b">
        <f>OR(Transport_Table[[#This Row],[Data Set]]="All",Transport_Table[[#This Row],[Data Set]]=SelectedDataSet)</f>
        <v>0</v>
      </c>
      <c r="I450" s="14" t="b">
        <f>OR(Transport_Table[[#This Row],[Technology]]="All",Transport_Table[[#This Row],[Technology]]=SelectedTechnology)</f>
        <v>1</v>
      </c>
      <c r="J450" s="14" t="b">
        <f>OR(Transport_Table[[#This Row],[Data Source]]="All",Transport_Table[[#This Row],[Data Source]]=SelectedDataSource)</f>
        <v>0</v>
      </c>
      <c r="L450" s="14" t="b">
        <f>AND(Transport_Table[[#This Row],[Show Feedstock]:[Show Data Source]],NOT(Transport_Table[[#This Row],[Hide Column]]))</f>
        <v>0</v>
      </c>
      <c r="M450" s="14" t="s">
        <v>14</v>
      </c>
      <c r="N450" s="14" t="s">
        <v>1163</v>
      </c>
      <c r="O450" s="14" t="s">
        <v>1245</v>
      </c>
      <c r="P450" s="178" t="s">
        <v>1700</v>
      </c>
      <c r="Q450" s="165" t="s">
        <v>1946</v>
      </c>
      <c r="R450" s="393">
        <v>0.28999999999999998</v>
      </c>
      <c r="S450" s="394">
        <v>799.99776411200003</v>
      </c>
      <c r="T450" s="107"/>
    </row>
    <row r="451" spans="1:20" x14ac:dyDescent="0.3">
      <c r="A451" s="190" t="s">
        <v>128</v>
      </c>
      <c r="B451" s="178" t="s">
        <v>30</v>
      </c>
      <c r="C451" s="178" t="s">
        <v>194</v>
      </c>
      <c r="D451" t="s">
        <v>1360</v>
      </c>
      <c r="E451" s="178" t="s">
        <v>31</v>
      </c>
      <c r="F451" s="14" t="b">
        <f>OR(Transport_Table[[#This Row],[Feedstock]]="All",Transport_Table[[#This Row],[Feedstock]]=SelectedFeedstock)</f>
        <v>0</v>
      </c>
      <c r="G451" s="14" t="b">
        <f>OR(Transport_Table[[#This Row],[Conversion]]="All",Transport_Table[[#This Row],[Conversion]]=SelectedConversion)</f>
        <v>1</v>
      </c>
      <c r="H451" s="14" t="b">
        <f>OR(Transport_Table[[#This Row],[Data Set]]="All",Transport_Table[[#This Row],[Data Set]]=SelectedDataSet)</f>
        <v>0</v>
      </c>
      <c r="I451" s="14" t="b">
        <f>OR(Transport_Table[[#This Row],[Technology]]="All",Transport_Table[[#This Row],[Technology]]=SelectedTechnology)</f>
        <v>1</v>
      </c>
      <c r="J451" s="14" t="b">
        <f>OR(Transport_Table[[#This Row],[Data Source]]="All",Transport_Table[[#This Row],[Data Source]]=SelectedDataSource)</f>
        <v>0</v>
      </c>
      <c r="L451" s="14" t="b">
        <f>AND(Transport_Table[[#This Row],[Show Feedstock]:[Show Data Source]],NOT(Transport_Table[[#This Row],[Hide Column]]))</f>
        <v>0</v>
      </c>
      <c r="M451" s="14" t="s">
        <v>14</v>
      </c>
      <c r="N451" s="14" t="s">
        <v>1164</v>
      </c>
      <c r="O451" s="14" t="s">
        <v>1246</v>
      </c>
      <c r="P451" s="178" t="s">
        <v>1700</v>
      </c>
      <c r="Q451" s="165" t="s">
        <v>1947</v>
      </c>
      <c r="R451" s="393">
        <v>0.63</v>
      </c>
      <c r="S451" s="394">
        <v>49.999860257000002</v>
      </c>
      <c r="T451" s="107"/>
    </row>
    <row r="452" spans="1:20" x14ac:dyDescent="0.3">
      <c r="A452" s="190" t="s">
        <v>128</v>
      </c>
      <c r="B452" s="178" t="s">
        <v>30</v>
      </c>
      <c r="C452" s="178" t="s">
        <v>194</v>
      </c>
      <c r="D452" t="s">
        <v>1360</v>
      </c>
      <c r="E452" s="178" t="s">
        <v>31</v>
      </c>
      <c r="F452" s="14" t="b">
        <f>OR(Transport_Table[[#This Row],[Feedstock]]="All",Transport_Table[[#This Row],[Feedstock]]=SelectedFeedstock)</f>
        <v>0</v>
      </c>
      <c r="G452" s="14" t="b">
        <f>OR(Transport_Table[[#This Row],[Conversion]]="All",Transport_Table[[#This Row],[Conversion]]=SelectedConversion)</f>
        <v>1</v>
      </c>
      <c r="H452" s="14" t="b">
        <f>OR(Transport_Table[[#This Row],[Data Set]]="All",Transport_Table[[#This Row],[Data Set]]=SelectedDataSet)</f>
        <v>0</v>
      </c>
      <c r="I452" s="14" t="b">
        <f>OR(Transport_Table[[#This Row],[Technology]]="All",Transport_Table[[#This Row],[Technology]]=SelectedTechnology)</f>
        <v>1</v>
      </c>
      <c r="J452" s="14" t="b">
        <f>OR(Transport_Table[[#This Row],[Data Source]]="All",Transport_Table[[#This Row],[Data Source]]=SelectedDataSource)</f>
        <v>0</v>
      </c>
      <c r="L452" s="14" t="b">
        <f>AND(Transport_Table[[#This Row],[Show Feedstock]:[Show Data Source]],NOT(Transport_Table[[#This Row],[Hide Column]]))</f>
        <v>0</v>
      </c>
      <c r="M452" s="14" t="s">
        <v>14</v>
      </c>
      <c r="N452" s="14" t="s">
        <v>1165</v>
      </c>
      <c r="O452" s="14" t="s">
        <v>1247</v>
      </c>
      <c r="P452" s="178" t="s">
        <v>1701</v>
      </c>
      <c r="Q452" s="165" t="s">
        <v>1943</v>
      </c>
      <c r="R452" s="393">
        <v>1</v>
      </c>
      <c r="S452" s="394">
        <v>29.999916154200001</v>
      </c>
      <c r="T452" s="107"/>
    </row>
    <row r="453" spans="1:20" x14ac:dyDescent="0.3">
      <c r="A453" s="190" t="s">
        <v>374</v>
      </c>
      <c r="B453" s="178" t="s">
        <v>30</v>
      </c>
      <c r="C453" s="178" t="s">
        <v>194</v>
      </c>
      <c r="D453" s="178" t="s">
        <v>1343</v>
      </c>
      <c r="E453" s="178" t="s">
        <v>31</v>
      </c>
      <c r="F453" s="14" t="b">
        <f>OR(Transport_Table[[#This Row],[Feedstock]]="All",Transport_Table[[#This Row],[Feedstock]]=SelectedFeedstock)</f>
        <v>0</v>
      </c>
      <c r="G453" s="14" t="b">
        <f>OR(Transport_Table[[#This Row],[Conversion]]="All",Transport_Table[[#This Row],[Conversion]]=SelectedConversion)</f>
        <v>1</v>
      </c>
      <c r="H453" s="14" t="b">
        <f>OR(Transport_Table[[#This Row],[Data Set]]="All",Transport_Table[[#This Row],[Data Set]]=SelectedDataSet)</f>
        <v>0</v>
      </c>
      <c r="I453" s="14" t="b">
        <f>OR(Transport_Table[[#This Row],[Technology]]="All",Transport_Table[[#This Row],[Technology]]=SelectedTechnology)</f>
        <v>1</v>
      </c>
      <c r="J453" s="14" t="b">
        <f>OR(Transport_Table[[#This Row],[Data Source]]="All",Transport_Table[[#This Row],[Data Source]]=SelectedDataSource)</f>
        <v>0</v>
      </c>
      <c r="K453" s="14" t="b">
        <v>1</v>
      </c>
      <c r="L453" s="14" t="b">
        <f>AND(Transport_Table[[#This Row],[Show Feedstock]:[Show Data Source]],NOT(Transport_Table[[#This Row],[Hide Column]]))</f>
        <v>0</v>
      </c>
      <c r="M453" s="14" t="s">
        <v>429</v>
      </c>
      <c r="N453" s="14" t="s">
        <v>1202</v>
      </c>
      <c r="O453" s="14" t="s">
        <v>1284</v>
      </c>
      <c r="P453" s="178" t="s">
        <v>374</v>
      </c>
      <c r="Q453" s="165" t="s">
        <v>1944</v>
      </c>
      <c r="R453" s="393">
        <v>0</v>
      </c>
      <c r="S453" s="394">
        <v>0</v>
      </c>
      <c r="T453" s="107"/>
    </row>
    <row r="454" spans="1:20" x14ac:dyDescent="0.3">
      <c r="A454" s="190" t="s">
        <v>374</v>
      </c>
      <c r="B454" s="178" t="s">
        <v>30</v>
      </c>
      <c r="C454" s="178" t="s">
        <v>194</v>
      </c>
      <c r="D454" s="178" t="s">
        <v>1343</v>
      </c>
      <c r="E454" s="178" t="s">
        <v>31</v>
      </c>
      <c r="F454" s="14" t="b">
        <f>OR(Transport_Table[[#This Row],[Feedstock]]="All",Transport_Table[[#This Row],[Feedstock]]=SelectedFeedstock)</f>
        <v>0</v>
      </c>
      <c r="G454" s="14" t="b">
        <f>OR(Transport_Table[[#This Row],[Conversion]]="All",Transport_Table[[#This Row],[Conversion]]=SelectedConversion)</f>
        <v>1</v>
      </c>
      <c r="H454" s="14" t="b">
        <f>OR(Transport_Table[[#This Row],[Data Set]]="All",Transport_Table[[#This Row],[Data Set]]=SelectedDataSet)</f>
        <v>0</v>
      </c>
      <c r="I454" s="14" t="b">
        <f>OR(Transport_Table[[#This Row],[Technology]]="All",Transport_Table[[#This Row],[Technology]]=SelectedTechnology)</f>
        <v>1</v>
      </c>
      <c r="J454" s="14" t="b">
        <f>OR(Transport_Table[[#This Row],[Data Source]]="All",Transport_Table[[#This Row],[Data Source]]=SelectedDataSource)</f>
        <v>0</v>
      </c>
      <c r="K454" s="14" t="b">
        <v>1</v>
      </c>
      <c r="L454" s="14" t="b">
        <f>AND(Transport_Table[[#This Row],[Show Feedstock]:[Show Data Source]],NOT(Transport_Table[[#This Row],[Hide Column]]))</f>
        <v>0</v>
      </c>
      <c r="M454" s="14" t="s">
        <v>429</v>
      </c>
      <c r="N454" s="14" t="s">
        <v>1203</v>
      </c>
      <c r="O454" s="14" t="s">
        <v>1285</v>
      </c>
      <c r="P454" s="178" t="s">
        <v>374</v>
      </c>
      <c r="Q454" s="165" t="s">
        <v>1945</v>
      </c>
      <c r="R454" s="393">
        <v>0</v>
      </c>
      <c r="S454" s="394">
        <v>0</v>
      </c>
      <c r="T454" s="107"/>
    </row>
    <row r="455" spans="1:20" x14ac:dyDescent="0.3">
      <c r="A455" s="190" t="s">
        <v>374</v>
      </c>
      <c r="B455" s="178" t="s">
        <v>30</v>
      </c>
      <c r="C455" s="178" t="s">
        <v>194</v>
      </c>
      <c r="D455" s="178" t="s">
        <v>1343</v>
      </c>
      <c r="E455" s="178" t="s">
        <v>31</v>
      </c>
      <c r="F455" s="14" t="b">
        <f>OR(Transport_Table[[#This Row],[Feedstock]]="All",Transport_Table[[#This Row],[Feedstock]]=SelectedFeedstock)</f>
        <v>0</v>
      </c>
      <c r="G455" s="14" t="b">
        <f>OR(Transport_Table[[#This Row],[Conversion]]="All",Transport_Table[[#This Row],[Conversion]]=SelectedConversion)</f>
        <v>1</v>
      </c>
      <c r="H455" s="14" t="b">
        <f>OR(Transport_Table[[#This Row],[Data Set]]="All",Transport_Table[[#This Row],[Data Set]]=SelectedDataSet)</f>
        <v>0</v>
      </c>
      <c r="I455" s="14" t="b">
        <f>OR(Transport_Table[[#This Row],[Technology]]="All",Transport_Table[[#This Row],[Technology]]=SelectedTechnology)</f>
        <v>1</v>
      </c>
      <c r="J455" s="14" t="b">
        <f>OR(Transport_Table[[#This Row],[Data Source]]="All",Transport_Table[[#This Row],[Data Source]]=SelectedDataSource)</f>
        <v>0</v>
      </c>
      <c r="K455" s="14" t="b">
        <v>1</v>
      </c>
      <c r="L455" s="14" t="b">
        <f>AND(Transport_Table[[#This Row],[Show Feedstock]:[Show Data Source]],NOT(Transport_Table[[#This Row],[Hide Column]]))</f>
        <v>0</v>
      </c>
      <c r="M455" s="14" t="s">
        <v>429</v>
      </c>
      <c r="N455" s="14" t="s">
        <v>1204</v>
      </c>
      <c r="O455" s="14" t="s">
        <v>1286</v>
      </c>
      <c r="P455" s="178" t="s">
        <v>374</v>
      </c>
      <c r="Q455" s="165" t="s">
        <v>1946</v>
      </c>
      <c r="R455" s="393">
        <v>0.2</v>
      </c>
      <c r="S455" s="394">
        <v>399.99888205600001</v>
      </c>
      <c r="T455" s="107"/>
    </row>
    <row r="456" spans="1:20" x14ac:dyDescent="0.3">
      <c r="A456" s="190" t="s">
        <v>374</v>
      </c>
      <c r="B456" s="178" t="s">
        <v>30</v>
      </c>
      <c r="C456" s="178" t="s">
        <v>194</v>
      </c>
      <c r="D456" s="178" t="s">
        <v>1343</v>
      </c>
      <c r="E456" s="178" t="s">
        <v>31</v>
      </c>
      <c r="F456" s="14" t="b">
        <f>OR(Transport_Table[[#This Row],[Feedstock]]="All",Transport_Table[[#This Row],[Feedstock]]=SelectedFeedstock)</f>
        <v>0</v>
      </c>
      <c r="G456" s="14" t="b">
        <f>OR(Transport_Table[[#This Row],[Conversion]]="All",Transport_Table[[#This Row],[Conversion]]=SelectedConversion)</f>
        <v>1</v>
      </c>
      <c r="H456" s="14" t="b">
        <f>OR(Transport_Table[[#This Row],[Data Set]]="All",Transport_Table[[#This Row],[Data Set]]=SelectedDataSet)</f>
        <v>0</v>
      </c>
      <c r="I456" s="14" t="b">
        <f>OR(Transport_Table[[#This Row],[Technology]]="All",Transport_Table[[#This Row],[Technology]]=SelectedTechnology)</f>
        <v>1</v>
      </c>
      <c r="J456" s="14" t="b">
        <f>OR(Transport_Table[[#This Row],[Data Source]]="All",Transport_Table[[#This Row],[Data Source]]=SelectedDataSource)</f>
        <v>0</v>
      </c>
      <c r="K456" s="14" t="b">
        <v>1</v>
      </c>
      <c r="L456" s="14" t="b">
        <f>AND(Transport_Table[[#This Row],[Show Feedstock]:[Show Data Source]],NOT(Transport_Table[[#This Row],[Hide Column]]))</f>
        <v>0</v>
      </c>
      <c r="M456" s="14" t="s">
        <v>429</v>
      </c>
      <c r="N456" s="14" t="s">
        <v>1205</v>
      </c>
      <c r="O456" s="14" t="s">
        <v>1287</v>
      </c>
      <c r="P456" s="178" t="s">
        <v>374</v>
      </c>
      <c r="Q456" s="165" t="s">
        <v>1947</v>
      </c>
      <c r="R456" s="393">
        <v>0.8</v>
      </c>
      <c r="S456" s="394">
        <v>99.999720514000003</v>
      </c>
      <c r="T456" s="107"/>
    </row>
    <row r="457" spans="1:20" x14ac:dyDescent="0.3">
      <c r="A457" s="190" t="s">
        <v>374</v>
      </c>
      <c r="B457" s="178" t="s">
        <v>30</v>
      </c>
      <c r="C457" s="178" t="s">
        <v>194</v>
      </c>
      <c r="D457" s="178" t="s">
        <v>1343</v>
      </c>
      <c r="E457" s="178" t="s">
        <v>31</v>
      </c>
      <c r="F457" s="14" t="b">
        <f>OR(Transport_Table[[#This Row],[Feedstock]]="All",Transport_Table[[#This Row],[Feedstock]]=SelectedFeedstock)</f>
        <v>0</v>
      </c>
      <c r="G457" s="14" t="b">
        <f>OR(Transport_Table[[#This Row],[Conversion]]="All",Transport_Table[[#This Row],[Conversion]]=SelectedConversion)</f>
        <v>1</v>
      </c>
      <c r="H457" s="14" t="b">
        <f>OR(Transport_Table[[#This Row],[Data Set]]="All",Transport_Table[[#This Row],[Data Set]]=SelectedDataSet)</f>
        <v>0</v>
      </c>
      <c r="I457" s="14" t="b">
        <f>OR(Transport_Table[[#This Row],[Technology]]="All",Transport_Table[[#This Row],[Technology]]=SelectedTechnology)</f>
        <v>1</v>
      </c>
      <c r="J457" s="14" t="b">
        <f>OR(Transport_Table[[#This Row],[Data Source]]="All",Transport_Table[[#This Row],[Data Source]]=SelectedDataSource)</f>
        <v>0</v>
      </c>
      <c r="L457" s="14" t="b">
        <f>AND(Transport_Table[[#This Row],[Show Feedstock]:[Show Data Source]],NOT(Transport_Table[[#This Row],[Hide Column]]))</f>
        <v>0</v>
      </c>
      <c r="M457" s="14" t="s">
        <v>429</v>
      </c>
      <c r="N457" s="14" t="s">
        <v>1161</v>
      </c>
      <c r="O457" s="14" t="s">
        <v>1243</v>
      </c>
      <c r="P457" s="178" t="s">
        <v>1700</v>
      </c>
      <c r="Q457" s="165" t="s">
        <v>1943</v>
      </c>
      <c r="R457" s="393">
        <v>0.08</v>
      </c>
      <c r="S457" s="394">
        <v>519.99854667279999</v>
      </c>
      <c r="T457" s="107"/>
    </row>
    <row r="458" spans="1:20" x14ac:dyDescent="0.3">
      <c r="A458" s="190" t="s">
        <v>374</v>
      </c>
      <c r="B458" s="178" t="s">
        <v>30</v>
      </c>
      <c r="C458" s="178" t="s">
        <v>194</v>
      </c>
      <c r="D458" s="178" t="s">
        <v>1343</v>
      </c>
      <c r="E458" s="178" t="s">
        <v>31</v>
      </c>
      <c r="F458" s="14" t="b">
        <f>OR(Transport_Table[[#This Row],[Feedstock]]="All",Transport_Table[[#This Row],[Feedstock]]=SelectedFeedstock)</f>
        <v>0</v>
      </c>
      <c r="G458" s="14" t="b">
        <f>OR(Transport_Table[[#This Row],[Conversion]]="All",Transport_Table[[#This Row],[Conversion]]=SelectedConversion)</f>
        <v>1</v>
      </c>
      <c r="H458" s="14" t="b">
        <f>OR(Transport_Table[[#This Row],[Data Set]]="All",Transport_Table[[#This Row],[Data Set]]=SelectedDataSet)</f>
        <v>0</v>
      </c>
      <c r="I458" s="14" t="b">
        <f>OR(Transport_Table[[#This Row],[Technology]]="All",Transport_Table[[#This Row],[Technology]]=SelectedTechnology)</f>
        <v>1</v>
      </c>
      <c r="J458" s="14" t="b">
        <f>OR(Transport_Table[[#This Row],[Data Source]]="All",Transport_Table[[#This Row],[Data Source]]=SelectedDataSource)</f>
        <v>0</v>
      </c>
      <c r="L458" s="14" t="b">
        <f>AND(Transport_Table[[#This Row],[Show Feedstock]:[Show Data Source]],NOT(Transport_Table[[#This Row],[Hide Column]]))</f>
        <v>0</v>
      </c>
      <c r="M458" s="14" t="s">
        <v>429</v>
      </c>
      <c r="N458" s="14" t="s">
        <v>1162</v>
      </c>
      <c r="O458" s="14" t="s">
        <v>1244</v>
      </c>
      <c r="P458" s="178" t="s">
        <v>1700</v>
      </c>
      <c r="Q458" s="165" t="s">
        <v>1944</v>
      </c>
      <c r="R458" s="393">
        <v>0</v>
      </c>
      <c r="S458" s="394">
        <v>0</v>
      </c>
      <c r="T458" s="107"/>
    </row>
    <row r="459" spans="1:20" x14ac:dyDescent="0.3">
      <c r="A459" s="190" t="s">
        <v>374</v>
      </c>
      <c r="B459" s="178" t="s">
        <v>30</v>
      </c>
      <c r="C459" s="178" t="s">
        <v>194</v>
      </c>
      <c r="D459" s="178" t="s">
        <v>1343</v>
      </c>
      <c r="E459" s="178" t="s">
        <v>31</v>
      </c>
      <c r="F459" s="14" t="b">
        <f>OR(Transport_Table[[#This Row],[Feedstock]]="All",Transport_Table[[#This Row],[Feedstock]]=SelectedFeedstock)</f>
        <v>0</v>
      </c>
      <c r="G459" s="14" t="b">
        <f>OR(Transport_Table[[#This Row],[Conversion]]="All",Transport_Table[[#This Row],[Conversion]]=SelectedConversion)</f>
        <v>1</v>
      </c>
      <c r="H459" s="14" t="b">
        <f>OR(Transport_Table[[#This Row],[Data Set]]="All",Transport_Table[[#This Row],[Data Set]]=SelectedDataSet)</f>
        <v>0</v>
      </c>
      <c r="I459" s="14" t="b">
        <f>OR(Transport_Table[[#This Row],[Technology]]="All",Transport_Table[[#This Row],[Technology]]=SelectedTechnology)</f>
        <v>1</v>
      </c>
      <c r="J459" s="14" t="b">
        <f>OR(Transport_Table[[#This Row],[Data Source]]="All",Transport_Table[[#This Row],[Data Source]]=SelectedDataSource)</f>
        <v>0</v>
      </c>
      <c r="L459" s="14" t="b">
        <f>AND(Transport_Table[[#This Row],[Show Feedstock]:[Show Data Source]],NOT(Transport_Table[[#This Row],[Hide Column]]))</f>
        <v>0</v>
      </c>
      <c r="M459" s="14" t="s">
        <v>429</v>
      </c>
      <c r="N459" s="14" t="s">
        <v>1163</v>
      </c>
      <c r="O459" s="14" t="s">
        <v>1245</v>
      </c>
      <c r="P459" s="178" t="s">
        <v>1700</v>
      </c>
      <c r="Q459" s="165" t="s">
        <v>1945</v>
      </c>
      <c r="R459" s="393">
        <v>0.28999999999999998</v>
      </c>
      <c r="S459" s="394">
        <v>799.99776411200003</v>
      </c>
      <c r="T459" s="107"/>
    </row>
    <row r="460" spans="1:20" x14ac:dyDescent="0.3">
      <c r="A460" s="190" t="s">
        <v>374</v>
      </c>
      <c r="B460" s="178" t="s">
        <v>30</v>
      </c>
      <c r="C460" s="178" t="s">
        <v>194</v>
      </c>
      <c r="D460" s="178" t="s">
        <v>1343</v>
      </c>
      <c r="E460" s="178" t="s">
        <v>31</v>
      </c>
      <c r="F460" s="14" t="b">
        <f>OR(Transport_Table[[#This Row],[Feedstock]]="All",Transport_Table[[#This Row],[Feedstock]]=SelectedFeedstock)</f>
        <v>0</v>
      </c>
      <c r="G460" s="14" t="b">
        <f>OR(Transport_Table[[#This Row],[Conversion]]="All",Transport_Table[[#This Row],[Conversion]]=SelectedConversion)</f>
        <v>1</v>
      </c>
      <c r="H460" s="14" t="b">
        <f>OR(Transport_Table[[#This Row],[Data Set]]="All",Transport_Table[[#This Row],[Data Set]]=SelectedDataSet)</f>
        <v>0</v>
      </c>
      <c r="I460" s="14" t="b">
        <f>OR(Transport_Table[[#This Row],[Technology]]="All",Transport_Table[[#This Row],[Technology]]=SelectedTechnology)</f>
        <v>1</v>
      </c>
      <c r="J460" s="14" t="b">
        <f>OR(Transport_Table[[#This Row],[Data Source]]="All",Transport_Table[[#This Row],[Data Source]]=SelectedDataSource)</f>
        <v>0</v>
      </c>
      <c r="L460" s="14" t="b">
        <f>AND(Transport_Table[[#This Row],[Show Feedstock]:[Show Data Source]],NOT(Transport_Table[[#This Row],[Hide Column]]))</f>
        <v>0</v>
      </c>
      <c r="M460" s="14" t="s">
        <v>429</v>
      </c>
      <c r="N460" s="14" t="s">
        <v>1164</v>
      </c>
      <c r="O460" s="14" t="s">
        <v>1246</v>
      </c>
      <c r="P460" s="178" t="s">
        <v>1700</v>
      </c>
      <c r="Q460" s="165" t="s">
        <v>1946</v>
      </c>
      <c r="R460" s="393">
        <v>0.63</v>
      </c>
      <c r="S460" s="394">
        <v>49.999860257000002</v>
      </c>
      <c r="T460" s="107"/>
    </row>
    <row r="461" spans="1:20" x14ac:dyDescent="0.3">
      <c r="A461" s="190" t="s">
        <v>374</v>
      </c>
      <c r="B461" s="178" t="s">
        <v>30</v>
      </c>
      <c r="C461" s="178" t="s">
        <v>194</v>
      </c>
      <c r="D461" s="178" t="s">
        <v>1343</v>
      </c>
      <c r="E461" s="178" t="s">
        <v>31</v>
      </c>
      <c r="F461" s="14" t="b">
        <f>OR(Transport_Table[[#This Row],[Feedstock]]="All",Transport_Table[[#This Row],[Feedstock]]=SelectedFeedstock)</f>
        <v>0</v>
      </c>
      <c r="G461" s="14" t="b">
        <f>OR(Transport_Table[[#This Row],[Conversion]]="All",Transport_Table[[#This Row],[Conversion]]=SelectedConversion)</f>
        <v>1</v>
      </c>
      <c r="H461" s="14" t="b">
        <f>OR(Transport_Table[[#This Row],[Data Set]]="All",Transport_Table[[#This Row],[Data Set]]=SelectedDataSet)</f>
        <v>0</v>
      </c>
      <c r="I461" s="14" t="b">
        <f>OR(Transport_Table[[#This Row],[Technology]]="All",Transport_Table[[#This Row],[Technology]]=SelectedTechnology)</f>
        <v>1</v>
      </c>
      <c r="J461" s="14" t="b">
        <f>OR(Transport_Table[[#This Row],[Data Source]]="All",Transport_Table[[#This Row],[Data Source]]=SelectedDataSource)</f>
        <v>0</v>
      </c>
      <c r="L461" s="14" t="b">
        <f>AND(Transport_Table[[#This Row],[Show Feedstock]:[Show Data Source]],NOT(Transport_Table[[#This Row],[Hide Column]]))</f>
        <v>0</v>
      </c>
      <c r="M461" s="14" t="s">
        <v>429</v>
      </c>
      <c r="N461" s="14" t="s">
        <v>1165</v>
      </c>
      <c r="O461" s="14" t="s">
        <v>1247</v>
      </c>
      <c r="P461" s="178" t="s">
        <v>1701</v>
      </c>
      <c r="Q461" s="165" t="s">
        <v>1947</v>
      </c>
      <c r="R461" s="393">
        <v>1</v>
      </c>
      <c r="S461" s="394">
        <v>29.999916154200001</v>
      </c>
      <c r="T461" s="107"/>
    </row>
    <row r="462" spans="1:20" x14ac:dyDescent="0.3">
      <c r="A462" s="190" t="s">
        <v>133</v>
      </c>
      <c r="B462" s="178" t="s">
        <v>129</v>
      </c>
      <c r="C462" s="178" t="s">
        <v>194</v>
      </c>
      <c r="D462" s="178" t="s">
        <v>1335</v>
      </c>
      <c r="E462" s="178" t="s">
        <v>31</v>
      </c>
      <c r="F462" s="14" t="b">
        <f>OR(Transport_Table[[#This Row],[Feedstock]]="All",Transport_Table[[#This Row],[Feedstock]]=SelectedFeedstock)</f>
        <v>0</v>
      </c>
      <c r="G462" s="14" t="b">
        <f>OR(Transport_Table[[#This Row],[Conversion]]="All",Transport_Table[[#This Row],[Conversion]]=SelectedConversion)</f>
        <v>0</v>
      </c>
      <c r="H462" s="14" t="b">
        <f>OR(Transport_Table[[#This Row],[Data Set]]="All",Transport_Table[[#This Row],[Data Set]]=SelectedDataSet)</f>
        <v>0</v>
      </c>
      <c r="I462" s="14" t="b">
        <f>OR(Transport_Table[[#This Row],[Technology]]="All",Transport_Table[[#This Row],[Technology]]=SelectedTechnology)</f>
        <v>1</v>
      </c>
      <c r="J462" s="14" t="b">
        <f>OR(Transport_Table[[#This Row],[Data Source]]="All",Transport_Table[[#This Row],[Data Source]]=SelectedDataSource)</f>
        <v>0</v>
      </c>
      <c r="K462" s="14" t="b">
        <v>1</v>
      </c>
      <c r="L462" s="14" t="b">
        <f>AND(Transport_Table[[#This Row],[Show Feedstock]:[Show Data Source]],NOT(Transport_Table[[#This Row],[Hide Column]]))</f>
        <v>0</v>
      </c>
      <c r="M462" s="14" t="s">
        <v>14</v>
      </c>
      <c r="N462" s="14" t="s">
        <v>1212</v>
      </c>
      <c r="O462" s="14" t="s">
        <v>1294</v>
      </c>
      <c r="P462" s="178" t="s">
        <v>133</v>
      </c>
      <c r="Q462" s="165" t="s">
        <v>1943</v>
      </c>
      <c r="R462" s="393">
        <v>1</v>
      </c>
      <c r="S462" s="394">
        <v>65.616777599999992</v>
      </c>
      <c r="T462" s="107"/>
    </row>
    <row r="463" spans="1:20" x14ac:dyDescent="0.3">
      <c r="A463" s="190" t="s">
        <v>133</v>
      </c>
      <c r="B463" s="178" t="s">
        <v>129</v>
      </c>
      <c r="C463" s="178" t="s">
        <v>194</v>
      </c>
      <c r="D463" s="178" t="s">
        <v>1335</v>
      </c>
      <c r="E463" s="178" t="s">
        <v>31</v>
      </c>
      <c r="F463" s="14" t="b">
        <f>OR(Transport_Table[[#This Row],[Feedstock]]="All",Transport_Table[[#This Row],[Feedstock]]=SelectedFeedstock)</f>
        <v>0</v>
      </c>
      <c r="G463" s="14" t="b">
        <f>OR(Transport_Table[[#This Row],[Conversion]]="All",Transport_Table[[#This Row],[Conversion]]=SelectedConversion)</f>
        <v>0</v>
      </c>
      <c r="H463" s="14" t="b">
        <f>OR(Transport_Table[[#This Row],[Data Set]]="All",Transport_Table[[#This Row],[Data Set]]=SelectedDataSet)</f>
        <v>0</v>
      </c>
      <c r="I463" s="14" t="b">
        <f>OR(Transport_Table[[#This Row],[Technology]]="All",Transport_Table[[#This Row],[Technology]]=SelectedTechnology)</f>
        <v>1</v>
      </c>
      <c r="J463" s="14" t="b">
        <f>OR(Transport_Table[[#This Row],[Data Source]]="All",Transport_Table[[#This Row],[Data Source]]=SelectedDataSource)</f>
        <v>0</v>
      </c>
      <c r="L463" s="14" t="b">
        <f>AND(Transport_Table[[#This Row],[Show Feedstock]:[Show Data Source]],NOT(Transport_Table[[#This Row],[Hide Column]]))</f>
        <v>0</v>
      </c>
      <c r="M463" s="14" t="s">
        <v>14</v>
      </c>
      <c r="N463" s="14" t="s">
        <v>1207</v>
      </c>
      <c r="O463" s="14" t="s">
        <v>1289</v>
      </c>
      <c r="P463" s="178" t="s">
        <v>1700</v>
      </c>
      <c r="Q463" s="165" t="s">
        <v>1944</v>
      </c>
      <c r="R463" s="393">
        <v>0.33</v>
      </c>
      <c r="S463" s="394">
        <v>519.99854667279999</v>
      </c>
      <c r="T463" s="107"/>
    </row>
    <row r="464" spans="1:20" x14ac:dyDescent="0.3">
      <c r="A464" s="190" t="s">
        <v>133</v>
      </c>
      <c r="B464" s="178" t="s">
        <v>129</v>
      </c>
      <c r="C464" s="178" t="s">
        <v>194</v>
      </c>
      <c r="D464" s="178" t="s">
        <v>1335</v>
      </c>
      <c r="E464" s="178" t="s">
        <v>31</v>
      </c>
      <c r="F464" s="14" t="b">
        <f>OR(Transport_Table[[#This Row],[Feedstock]]="All",Transport_Table[[#This Row],[Feedstock]]=SelectedFeedstock)</f>
        <v>0</v>
      </c>
      <c r="G464" s="14" t="b">
        <f>OR(Transport_Table[[#This Row],[Conversion]]="All",Transport_Table[[#This Row],[Conversion]]=SelectedConversion)</f>
        <v>0</v>
      </c>
      <c r="H464" s="14" t="b">
        <f>OR(Transport_Table[[#This Row],[Data Set]]="All",Transport_Table[[#This Row],[Data Set]]=SelectedDataSet)</f>
        <v>0</v>
      </c>
      <c r="I464" s="14" t="b">
        <f>OR(Transport_Table[[#This Row],[Technology]]="All",Transport_Table[[#This Row],[Technology]]=SelectedTechnology)</f>
        <v>1</v>
      </c>
      <c r="J464" s="14" t="b">
        <f>OR(Transport_Table[[#This Row],[Data Source]]="All",Transport_Table[[#This Row],[Data Source]]=SelectedDataSource)</f>
        <v>0</v>
      </c>
      <c r="L464" s="14" t="b">
        <f>AND(Transport_Table[[#This Row],[Show Feedstock]:[Show Data Source]],NOT(Transport_Table[[#This Row],[Hide Column]]))</f>
        <v>0</v>
      </c>
      <c r="M464" s="14" t="s">
        <v>14</v>
      </c>
      <c r="N464" s="14" t="s">
        <v>1208</v>
      </c>
      <c r="O464" s="14" t="s">
        <v>1290</v>
      </c>
      <c r="P464" s="178" t="s">
        <v>1700</v>
      </c>
      <c r="Q464" s="165" t="s">
        <v>1945</v>
      </c>
      <c r="R464" s="393">
        <v>0.6</v>
      </c>
      <c r="S464" s="394">
        <v>799.99776411200003</v>
      </c>
      <c r="T464" s="107"/>
    </row>
    <row r="465" spans="1:20" x14ac:dyDescent="0.3">
      <c r="A465" s="190" t="s">
        <v>133</v>
      </c>
      <c r="B465" s="178" t="s">
        <v>129</v>
      </c>
      <c r="C465" s="178" t="s">
        <v>194</v>
      </c>
      <c r="D465" s="178" t="s">
        <v>1335</v>
      </c>
      <c r="E465" s="178" t="s">
        <v>31</v>
      </c>
      <c r="F465" s="14" t="b">
        <f>OR(Transport_Table[[#This Row],[Feedstock]]="All",Transport_Table[[#This Row],[Feedstock]]=SelectedFeedstock)</f>
        <v>0</v>
      </c>
      <c r="G465" s="14" t="b">
        <f>OR(Transport_Table[[#This Row],[Conversion]]="All",Transport_Table[[#This Row],[Conversion]]=SelectedConversion)</f>
        <v>0</v>
      </c>
      <c r="H465" s="14" t="b">
        <f>OR(Transport_Table[[#This Row],[Data Set]]="All",Transport_Table[[#This Row],[Data Set]]=SelectedDataSet)</f>
        <v>0</v>
      </c>
      <c r="I465" s="14" t="b">
        <f>OR(Transport_Table[[#This Row],[Technology]]="All",Transport_Table[[#This Row],[Technology]]=SelectedTechnology)</f>
        <v>1</v>
      </c>
      <c r="J465" s="14" t="b">
        <f>OR(Transport_Table[[#This Row],[Data Source]]="All",Transport_Table[[#This Row],[Data Source]]=SelectedDataSource)</f>
        <v>0</v>
      </c>
      <c r="L465" s="14" t="b">
        <f>AND(Transport_Table[[#This Row],[Show Feedstock]:[Show Data Source]],NOT(Transport_Table[[#This Row],[Hide Column]]))</f>
        <v>0</v>
      </c>
      <c r="M465" s="14" t="s">
        <v>14</v>
      </c>
      <c r="N465" s="14" t="s">
        <v>1209</v>
      </c>
      <c r="O465" s="14" t="s">
        <v>1291</v>
      </c>
      <c r="P465" s="178" t="s">
        <v>1700</v>
      </c>
      <c r="Q465" s="165" t="s">
        <v>1946</v>
      </c>
      <c r="R465" s="393">
        <v>7.0000000000000007E-2</v>
      </c>
      <c r="S465" s="394">
        <v>49.999860257000002</v>
      </c>
      <c r="T465" s="107"/>
    </row>
    <row r="466" spans="1:20" x14ac:dyDescent="0.3">
      <c r="A466" s="190" t="s">
        <v>133</v>
      </c>
      <c r="B466" s="178" t="s">
        <v>129</v>
      </c>
      <c r="C466" s="178" t="s">
        <v>194</v>
      </c>
      <c r="D466" s="178" t="s">
        <v>1335</v>
      </c>
      <c r="E466" s="178" t="s">
        <v>31</v>
      </c>
      <c r="F466" s="14" t="b">
        <f>OR(Transport_Table[[#This Row],[Feedstock]]="All",Transport_Table[[#This Row],[Feedstock]]=SelectedFeedstock)</f>
        <v>0</v>
      </c>
      <c r="G466" s="14" t="b">
        <f>OR(Transport_Table[[#This Row],[Conversion]]="All",Transport_Table[[#This Row],[Conversion]]=SelectedConversion)</f>
        <v>0</v>
      </c>
      <c r="H466" s="14" t="b">
        <f>OR(Transport_Table[[#This Row],[Data Set]]="All",Transport_Table[[#This Row],[Data Set]]=SelectedDataSet)</f>
        <v>0</v>
      </c>
      <c r="I466" s="14" t="b">
        <f>OR(Transport_Table[[#This Row],[Technology]]="All",Transport_Table[[#This Row],[Technology]]=SelectedTechnology)</f>
        <v>1</v>
      </c>
      <c r="J466" s="14" t="b">
        <f>OR(Transport_Table[[#This Row],[Data Source]]="All",Transport_Table[[#This Row],[Data Source]]=SelectedDataSource)</f>
        <v>0</v>
      </c>
      <c r="L466" s="14" t="b">
        <f>AND(Transport_Table[[#This Row],[Show Feedstock]:[Show Data Source]],NOT(Transport_Table[[#This Row],[Hide Column]]))</f>
        <v>0</v>
      </c>
      <c r="M466" s="14" t="s">
        <v>14</v>
      </c>
      <c r="N466" s="14" t="s">
        <v>1210</v>
      </c>
      <c r="O466" s="14" t="s">
        <v>1292</v>
      </c>
      <c r="P466" s="178" t="s">
        <v>1700</v>
      </c>
      <c r="Q466" s="165" t="s">
        <v>1947</v>
      </c>
      <c r="R466" s="393">
        <v>1</v>
      </c>
      <c r="S466" s="394">
        <v>29.999916154200001</v>
      </c>
      <c r="T466" s="107"/>
    </row>
    <row r="467" spans="1:20" x14ac:dyDescent="0.3">
      <c r="A467" s="190" t="s">
        <v>133</v>
      </c>
      <c r="B467" s="178" t="s">
        <v>129</v>
      </c>
      <c r="C467" s="178" t="s">
        <v>194</v>
      </c>
      <c r="D467" s="178" t="s">
        <v>1338</v>
      </c>
      <c r="E467" s="178" t="s">
        <v>31</v>
      </c>
      <c r="F467" s="14" t="b">
        <f>OR(Transport_Table[[#This Row],[Feedstock]]="All",Transport_Table[[#This Row],[Feedstock]]=SelectedFeedstock)</f>
        <v>0</v>
      </c>
      <c r="G467" s="14" t="b">
        <f>OR(Transport_Table[[#This Row],[Conversion]]="All",Transport_Table[[#This Row],[Conversion]]=SelectedConversion)</f>
        <v>0</v>
      </c>
      <c r="H467" s="14" t="b">
        <f>OR(Transport_Table[[#This Row],[Data Set]]="All",Transport_Table[[#This Row],[Data Set]]=SelectedDataSet)</f>
        <v>0</v>
      </c>
      <c r="I467" s="14" t="b">
        <f>OR(Transport_Table[[#This Row],[Technology]]="All",Transport_Table[[#This Row],[Technology]]=SelectedTechnology)</f>
        <v>1</v>
      </c>
      <c r="J467" s="14" t="b">
        <f>OR(Transport_Table[[#This Row],[Data Source]]="All",Transport_Table[[#This Row],[Data Source]]=SelectedDataSource)</f>
        <v>0</v>
      </c>
      <c r="K467" s="14" t="b">
        <v>1</v>
      </c>
      <c r="L467" s="14" t="b">
        <f>AND(Transport_Table[[#This Row],[Show Feedstock]:[Show Data Source]],NOT(Transport_Table[[#This Row],[Hide Column]]))</f>
        <v>0</v>
      </c>
      <c r="M467" s="14" t="s">
        <v>14</v>
      </c>
      <c r="N467" s="14" t="s">
        <v>1212</v>
      </c>
      <c r="O467" s="14" t="s">
        <v>1294</v>
      </c>
      <c r="P467" s="178" t="s">
        <v>133</v>
      </c>
      <c r="Q467" s="241" t="s">
        <v>1943</v>
      </c>
      <c r="R467" s="393">
        <v>1</v>
      </c>
      <c r="S467" s="394">
        <v>65.616777599999992</v>
      </c>
      <c r="T467" s="107"/>
    </row>
    <row r="468" spans="1:20" x14ac:dyDescent="0.3">
      <c r="A468" s="190" t="s">
        <v>133</v>
      </c>
      <c r="B468" s="178" t="s">
        <v>129</v>
      </c>
      <c r="C468" s="178" t="s">
        <v>194</v>
      </c>
      <c r="D468" s="178" t="s">
        <v>1338</v>
      </c>
      <c r="E468" s="178" t="s">
        <v>31</v>
      </c>
      <c r="F468" s="14" t="b">
        <f>OR(Transport_Table[[#This Row],[Feedstock]]="All",Transport_Table[[#This Row],[Feedstock]]=SelectedFeedstock)</f>
        <v>0</v>
      </c>
      <c r="G468" s="14" t="b">
        <f>OR(Transport_Table[[#This Row],[Conversion]]="All",Transport_Table[[#This Row],[Conversion]]=SelectedConversion)</f>
        <v>0</v>
      </c>
      <c r="H468" s="14" t="b">
        <f>OR(Transport_Table[[#This Row],[Data Set]]="All",Transport_Table[[#This Row],[Data Set]]=SelectedDataSet)</f>
        <v>0</v>
      </c>
      <c r="I468" s="14" t="b">
        <f>OR(Transport_Table[[#This Row],[Technology]]="All",Transport_Table[[#This Row],[Technology]]=SelectedTechnology)</f>
        <v>1</v>
      </c>
      <c r="J468" s="14" t="b">
        <f>OR(Transport_Table[[#This Row],[Data Source]]="All",Transport_Table[[#This Row],[Data Source]]=SelectedDataSource)</f>
        <v>0</v>
      </c>
      <c r="L468" s="14" t="b">
        <f>AND(Transport_Table[[#This Row],[Show Feedstock]:[Show Data Source]],NOT(Transport_Table[[#This Row],[Hide Column]]))</f>
        <v>0</v>
      </c>
      <c r="M468" s="14" t="s">
        <v>14</v>
      </c>
      <c r="N468" s="14" t="s">
        <v>1207</v>
      </c>
      <c r="O468" s="14" t="s">
        <v>1289</v>
      </c>
      <c r="P468" s="178" t="s">
        <v>1700</v>
      </c>
      <c r="Q468" s="241" t="s">
        <v>1944</v>
      </c>
      <c r="R468" s="393">
        <v>0.33</v>
      </c>
      <c r="S468" s="394">
        <v>520.08752700000002</v>
      </c>
      <c r="T468" s="107"/>
    </row>
    <row r="469" spans="1:20" x14ac:dyDescent="0.3">
      <c r="A469" s="190" t="s">
        <v>133</v>
      </c>
      <c r="B469" s="178" t="s">
        <v>129</v>
      </c>
      <c r="C469" s="178" t="s">
        <v>194</v>
      </c>
      <c r="D469" s="178" t="s">
        <v>1338</v>
      </c>
      <c r="E469" s="178" t="s">
        <v>31</v>
      </c>
      <c r="F469" s="14" t="b">
        <f>OR(Transport_Table[[#This Row],[Feedstock]]="All",Transport_Table[[#This Row],[Feedstock]]=SelectedFeedstock)</f>
        <v>0</v>
      </c>
      <c r="G469" s="14" t="b">
        <f>OR(Transport_Table[[#This Row],[Conversion]]="All",Transport_Table[[#This Row],[Conversion]]=SelectedConversion)</f>
        <v>0</v>
      </c>
      <c r="H469" s="14" t="b">
        <f>OR(Transport_Table[[#This Row],[Data Set]]="All",Transport_Table[[#This Row],[Data Set]]=SelectedDataSet)</f>
        <v>0</v>
      </c>
      <c r="I469" s="14" t="b">
        <f>OR(Transport_Table[[#This Row],[Technology]]="All",Transport_Table[[#This Row],[Technology]]=SelectedTechnology)</f>
        <v>1</v>
      </c>
      <c r="J469" s="14" t="b">
        <f>OR(Transport_Table[[#This Row],[Data Source]]="All",Transport_Table[[#This Row],[Data Source]]=SelectedDataSource)</f>
        <v>0</v>
      </c>
      <c r="L469" s="14" t="b">
        <f>AND(Transport_Table[[#This Row],[Show Feedstock]:[Show Data Source]],NOT(Transport_Table[[#This Row],[Hide Column]]))</f>
        <v>0</v>
      </c>
      <c r="M469" s="14" t="s">
        <v>14</v>
      </c>
      <c r="N469" s="14" t="s">
        <v>1208</v>
      </c>
      <c r="O469" s="14" t="s">
        <v>1290</v>
      </c>
      <c r="P469" s="178" t="s">
        <v>1700</v>
      </c>
      <c r="Q469" s="241" t="s">
        <v>1945</v>
      </c>
      <c r="R469" s="393">
        <v>0.6</v>
      </c>
      <c r="S469" s="394">
        <v>400.16292400000003</v>
      </c>
      <c r="T469" s="107"/>
    </row>
    <row r="470" spans="1:20" x14ac:dyDescent="0.3">
      <c r="A470" s="190" t="s">
        <v>133</v>
      </c>
      <c r="B470" s="178" t="s">
        <v>129</v>
      </c>
      <c r="C470" s="178" t="s">
        <v>194</v>
      </c>
      <c r="D470" s="178" t="s">
        <v>1338</v>
      </c>
      <c r="E470" s="178" t="s">
        <v>31</v>
      </c>
      <c r="F470" s="14" t="b">
        <f>OR(Transport_Table[[#This Row],[Feedstock]]="All",Transport_Table[[#This Row],[Feedstock]]=SelectedFeedstock)</f>
        <v>0</v>
      </c>
      <c r="G470" s="14" t="b">
        <f>OR(Transport_Table[[#This Row],[Conversion]]="All",Transport_Table[[#This Row],[Conversion]]=SelectedConversion)</f>
        <v>0</v>
      </c>
      <c r="H470" s="14" t="b">
        <f>OR(Transport_Table[[#This Row],[Data Set]]="All",Transport_Table[[#This Row],[Data Set]]=SelectedDataSet)</f>
        <v>0</v>
      </c>
      <c r="I470" s="14" t="b">
        <f>OR(Transport_Table[[#This Row],[Technology]]="All",Transport_Table[[#This Row],[Technology]]=SelectedTechnology)</f>
        <v>1</v>
      </c>
      <c r="J470" s="14" t="b">
        <f>OR(Transport_Table[[#This Row],[Data Source]]="All",Transport_Table[[#This Row],[Data Source]]=SelectedDataSource)</f>
        <v>0</v>
      </c>
      <c r="L470" s="14" t="b">
        <f>AND(Transport_Table[[#This Row],[Show Feedstock]:[Show Data Source]],NOT(Transport_Table[[#This Row],[Hide Column]]))</f>
        <v>0</v>
      </c>
      <c r="M470" s="14" t="s">
        <v>14</v>
      </c>
      <c r="N470" s="14" t="s">
        <v>1209</v>
      </c>
      <c r="O470" s="14" t="s">
        <v>1291</v>
      </c>
      <c r="P470" s="178" t="s">
        <v>1700</v>
      </c>
      <c r="Q470" s="241" t="s">
        <v>1946</v>
      </c>
      <c r="R470" s="393">
        <v>7.0000000000000007E-2</v>
      </c>
      <c r="S470" s="394">
        <v>800.32584800000006</v>
      </c>
      <c r="T470" s="107"/>
    </row>
    <row r="471" spans="1:20" x14ac:dyDescent="0.3">
      <c r="A471" s="190" t="s">
        <v>133</v>
      </c>
      <c r="B471" s="178" t="s">
        <v>129</v>
      </c>
      <c r="C471" s="178" t="s">
        <v>194</v>
      </c>
      <c r="D471" s="178" t="s">
        <v>1338</v>
      </c>
      <c r="E471" s="178" t="s">
        <v>31</v>
      </c>
      <c r="F471" s="14" t="b">
        <f>OR(Transport_Table[[#This Row],[Feedstock]]="All",Transport_Table[[#This Row],[Feedstock]]=SelectedFeedstock)</f>
        <v>0</v>
      </c>
      <c r="G471" s="14" t="b">
        <f>OR(Transport_Table[[#This Row],[Conversion]]="All",Transport_Table[[#This Row],[Conversion]]=SelectedConversion)</f>
        <v>0</v>
      </c>
      <c r="H471" s="14" t="b">
        <f>OR(Transport_Table[[#This Row],[Data Set]]="All",Transport_Table[[#This Row],[Data Set]]=SelectedDataSet)</f>
        <v>0</v>
      </c>
      <c r="I471" s="14" t="b">
        <f>OR(Transport_Table[[#This Row],[Technology]]="All",Transport_Table[[#This Row],[Technology]]=SelectedTechnology)</f>
        <v>1</v>
      </c>
      <c r="J471" s="14" t="b">
        <f>OR(Transport_Table[[#This Row],[Data Source]]="All",Transport_Table[[#This Row],[Data Source]]=SelectedDataSource)</f>
        <v>0</v>
      </c>
      <c r="L471" s="14" t="b">
        <f>AND(Transport_Table[[#This Row],[Show Feedstock]:[Show Data Source]],NOT(Transport_Table[[#This Row],[Hide Column]]))</f>
        <v>0</v>
      </c>
      <c r="M471" s="14" t="s">
        <v>14</v>
      </c>
      <c r="N471" s="14" t="s">
        <v>1210</v>
      </c>
      <c r="O471" s="14" t="s">
        <v>1292</v>
      </c>
      <c r="P471" s="178" t="s">
        <v>1700</v>
      </c>
      <c r="Q471" s="400" t="s">
        <v>1947</v>
      </c>
      <c r="R471" s="393">
        <v>1</v>
      </c>
      <c r="S471" s="394">
        <v>29.999916154200001</v>
      </c>
      <c r="T471" s="107"/>
    </row>
    <row r="472" spans="1:20" x14ac:dyDescent="0.3">
      <c r="A472" s="190" t="s">
        <v>133</v>
      </c>
      <c r="B472" s="178" t="s">
        <v>129</v>
      </c>
      <c r="C472" s="178" t="s">
        <v>194</v>
      </c>
      <c r="D472" s="178" t="s">
        <v>1336</v>
      </c>
      <c r="E472" s="178" t="s">
        <v>31</v>
      </c>
      <c r="F472" s="14" t="b">
        <f>OR(Transport_Table[[#This Row],[Feedstock]]="All",Transport_Table[[#This Row],[Feedstock]]=SelectedFeedstock)</f>
        <v>0</v>
      </c>
      <c r="G472" s="14" t="b">
        <f>OR(Transport_Table[[#This Row],[Conversion]]="All",Transport_Table[[#This Row],[Conversion]]=SelectedConversion)</f>
        <v>0</v>
      </c>
      <c r="H472" s="14" t="b">
        <f>OR(Transport_Table[[#This Row],[Data Set]]="All",Transport_Table[[#This Row],[Data Set]]=SelectedDataSet)</f>
        <v>0</v>
      </c>
      <c r="I472" s="14" t="b">
        <f>OR(Transport_Table[[#This Row],[Technology]]="All",Transport_Table[[#This Row],[Technology]]=SelectedTechnology)</f>
        <v>1</v>
      </c>
      <c r="J472" s="14" t="b">
        <f>OR(Transport_Table[[#This Row],[Data Source]]="All",Transport_Table[[#This Row],[Data Source]]=SelectedDataSource)</f>
        <v>0</v>
      </c>
      <c r="K472" s="14" t="b">
        <v>1</v>
      </c>
      <c r="L472" s="14" t="b">
        <f>AND(Transport_Table[[#This Row],[Show Feedstock]:[Show Data Source]],NOT(Transport_Table[[#This Row],[Hide Column]]))</f>
        <v>0</v>
      </c>
      <c r="M472" s="14" t="s">
        <v>14</v>
      </c>
      <c r="N472" s="14" t="s">
        <v>1212</v>
      </c>
      <c r="O472" s="14" t="s">
        <v>1294</v>
      </c>
      <c r="P472" s="178" t="s">
        <v>133</v>
      </c>
      <c r="Q472" s="241" t="s">
        <v>1943</v>
      </c>
      <c r="R472" s="393">
        <v>1</v>
      </c>
      <c r="S472" s="394">
        <v>99.978593900000007</v>
      </c>
      <c r="T472" s="107"/>
    </row>
    <row r="473" spans="1:20" x14ac:dyDescent="0.3">
      <c r="A473" s="190" t="s">
        <v>133</v>
      </c>
      <c r="B473" s="178" t="s">
        <v>129</v>
      </c>
      <c r="C473" s="178" t="s">
        <v>194</v>
      </c>
      <c r="D473" s="178" t="s">
        <v>1336</v>
      </c>
      <c r="E473" s="178" t="s">
        <v>31</v>
      </c>
      <c r="F473" s="14" t="b">
        <f>OR(Transport_Table[[#This Row],[Feedstock]]="All",Transport_Table[[#This Row],[Feedstock]]=SelectedFeedstock)</f>
        <v>0</v>
      </c>
      <c r="G473" s="14" t="b">
        <f>OR(Transport_Table[[#This Row],[Conversion]]="All",Transport_Table[[#This Row],[Conversion]]=SelectedConversion)</f>
        <v>0</v>
      </c>
      <c r="H473" s="14" t="b">
        <f>OR(Transport_Table[[#This Row],[Data Set]]="All",Transport_Table[[#This Row],[Data Set]]=SelectedDataSet)</f>
        <v>0</v>
      </c>
      <c r="I473" s="14" t="b">
        <f>OR(Transport_Table[[#This Row],[Technology]]="All",Transport_Table[[#This Row],[Technology]]=SelectedTechnology)</f>
        <v>1</v>
      </c>
      <c r="J473" s="14" t="b">
        <f>OR(Transport_Table[[#This Row],[Data Source]]="All",Transport_Table[[#This Row],[Data Source]]=SelectedDataSource)</f>
        <v>0</v>
      </c>
      <c r="L473" s="14" t="b">
        <f>AND(Transport_Table[[#This Row],[Show Feedstock]:[Show Data Source]],NOT(Transport_Table[[#This Row],[Hide Column]]))</f>
        <v>0</v>
      </c>
      <c r="M473" s="14" t="s">
        <v>14</v>
      </c>
      <c r="N473" s="14" t="s">
        <v>1207</v>
      </c>
      <c r="O473" s="14" t="s">
        <v>1289</v>
      </c>
      <c r="P473" s="178" t="s">
        <v>1700</v>
      </c>
      <c r="Q473" s="241" t="s">
        <v>1944</v>
      </c>
      <c r="R473" s="393">
        <v>0.33</v>
      </c>
      <c r="S473" s="394">
        <v>520.08752700000002</v>
      </c>
      <c r="T473" s="107"/>
    </row>
    <row r="474" spans="1:20" x14ac:dyDescent="0.3">
      <c r="A474" s="190" t="s">
        <v>133</v>
      </c>
      <c r="B474" s="178" t="s">
        <v>129</v>
      </c>
      <c r="C474" s="178" t="s">
        <v>194</v>
      </c>
      <c r="D474" s="178" t="s">
        <v>1336</v>
      </c>
      <c r="E474" s="178" t="s">
        <v>31</v>
      </c>
      <c r="F474" s="14" t="b">
        <f>OR(Transport_Table[[#This Row],[Feedstock]]="All",Transport_Table[[#This Row],[Feedstock]]=SelectedFeedstock)</f>
        <v>0</v>
      </c>
      <c r="G474" s="14" t="b">
        <f>OR(Transport_Table[[#This Row],[Conversion]]="All",Transport_Table[[#This Row],[Conversion]]=SelectedConversion)</f>
        <v>0</v>
      </c>
      <c r="H474" s="14" t="b">
        <f>OR(Transport_Table[[#This Row],[Data Set]]="All",Transport_Table[[#This Row],[Data Set]]=SelectedDataSet)</f>
        <v>0</v>
      </c>
      <c r="I474" s="14" t="b">
        <f>OR(Transport_Table[[#This Row],[Technology]]="All",Transport_Table[[#This Row],[Technology]]=SelectedTechnology)</f>
        <v>1</v>
      </c>
      <c r="J474" s="14" t="b">
        <f>OR(Transport_Table[[#This Row],[Data Source]]="All",Transport_Table[[#This Row],[Data Source]]=SelectedDataSource)</f>
        <v>0</v>
      </c>
      <c r="L474" s="14" t="b">
        <f>AND(Transport_Table[[#This Row],[Show Feedstock]:[Show Data Source]],NOT(Transport_Table[[#This Row],[Hide Column]]))</f>
        <v>0</v>
      </c>
      <c r="M474" s="14" t="s">
        <v>14</v>
      </c>
      <c r="N474" s="14" t="s">
        <v>1208</v>
      </c>
      <c r="O474" s="14" t="s">
        <v>1290</v>
      </c>
      <c r="P474" s="178" t="s">
        <v>1700</v>
      </c>
      <c r="Q474" s="241" t="s">
        <v>1945</v>
      </c>
      <c r="R474" s="393">
        <v>0.6</v>
      </c>
      <c r="S474" s="394">
        <v>400.16292400000003</v>
      </c>
      <c r="T474" s="107"/>
    </row>
    <row r="475" spans="1:20" x14ac:dyDescent="0.3">
      <c r="A475" s="190" t="s">
        <v>133</v>
      </c>
      <c r="B475" s="178" t="s">
        <v>129</v>
      </c>
      <c r="C475" s="178" t="s">
        <v>194</v>
      </c>
      <c r="D475" s="178" t="s">
        <v>1336</v>
      </c>
      <c r="E475" s="178" t="s">
        <v>31</v>
      </c>
      <c r="F475" s="14" t="b">
        <f>OR(Transport_Table[[#This Row],[Feedstock]]="All",Transport_Table[[#This Row],[Feedstock]]=SelectedFeedstock)</f>
        <v>0</v>
      </c>
      <c r="G475" s="14" t="b">
        <f>OR(Transport_Table[[#This Row],[Conversion]]="All",Transport_Table[[#This Row],[Conversion]]=SelectedConversion)</f>
        <v>0</v>
      </c>
      <c r="H475" s="14" t="b">
        <f>OR(Transport_Table[[#This Row],[Data Set]]="All",Transport_Table[[#This Row],[Data Set]]=SelectedDataSet)</f>
        <v>0</v>
      </c>
      <c r="I475" s="14" t="b">
        <f>OR(Transport_Table[[#This Row],[Technology]]="All",Transport_Table[[#This Row],[Technology]]=SelectedTechnology)</f>
        <v>1</v>
      </c>
      <c r="J475" s="14" t="b">
        <f>OR(Transport_Table[[#This Row],[Data Source]]="All",Transport_Table[[#This Row],[Data Source]]=SelectedDataSource)</f>
        <v>0</v>
      </c>
      <c r="L475" s="14" t="b">
        <f>AND(Transport_Table[[#This Row],[Show Feedstock]:[Show Data Source]],NOT(Transport_Table[[#This Row],[Hide Column]]))</f>
        <v>0</v>
      </c>
      <c r="M475" s="14" t="s">
        <v>14</v>
      </c>
      <c r="N475" s="14" t="s">
        <v>1209</v>
      </c>
      <c r="O475" s="14" t="s">
        <v>1291</v>
      </c>
      <c r="P475" s="178" t="s">
        <v>1700</v>
      </c>
      <c r="Q475" s="241" t="s">
        <v>1946</v>
      </c>
      <c r="R475" s="393">
        <v>7.0000000000000007E-2</v>
      </c>
      <c r="S475" s="394">
        <v>800.32584800000006</v>
      </c>
      <c r="T475" s="107"/>
    </row>
    <row r="476" spans="1:20" x14ac:dyDescent="0.3">
      <c r="A476" s="190" t="s">
        <v>133</v>
      </c>
      <c r="B476" s="178" t="s">
        <v>129</v>
      </c>
      <c r="C476" s="178" t="s">
        <v>194</v>
      </c>
      <c r="D476" s="178" t="s">
        <v>1336</v>
      </c>
      <c r="E476" s="178" t="s">
        <v>31</v>
      </c>
      <c r="F476" s="14" t="b">
        <f>OR(Transport_Table[[#This Row],[Feedstock]]="All",Transport_Table[[#This Row],[Feedstock]]=SelectedFeedstock)</f>
        <v>0</v>
      </c>
      <c r="G476" s="14" t="b">
        <f>OR(Transport_Table[[#This Row],[Conversion]]="All",Transport_Table[[#This Row],[Conversion]]=SelectedConversion)</f>
        <v>0</v>
      </c>
      <c r="H476" s="14" t="b">
        <f>OR(Transport_Table[[#This Row],[Data Set]]="All",Transport_Table[[#This Row],[Data Set]]=SelectedDataSet)</f>
        <v>0</v>
      </c>
      <c r="I476" s="14" t="b">
        <f>OR(Transport_Table[[#This Row],[Technology]]="All",Transport_Table[[#This Row],[Technology]]=SelectedTechnology)</f>
        <v>1</v>
      </c>
      <c r="J476" s="14" t="b">
        <f>OR(Transport_Table[[#This Row],[Data Source]]="All",Transport_Table[[#This Row],[Data Source]]=SelectedDataSource)</f>
        <v>0</v>
      </c>
      <c r="L476" s="14" t="b">
        <f>AND(Transport_Table[[#This Row],[Show Feedstock]:[Show Data Source]],NOT(Transport_Table[[#This Row],[Hide Column]]))</f>
        <v>0</v>
      </c>
      <c r="M476" s="14" t="s">
        <v>14</v>
      </c>
      <c r="N476" s="14" t="s">
        <v>1210</v>
      </c>
      <c r="O476" s="14" t="s">
        <v>1292</v>
      </c>
      <c r="P476" s="178" t="s">
        <v>1700</v>
      </c>
      <c r="Q476" s="400" t="s">
        <v>1947</v>
      </c>
      <c r="R476" s="393">
        <v>1</v>
      </c>
      <c r="S476" s="394">
        <v>29.999916154200001</v>
      </c>
      <c r="T476" s="107"/>
    </row>
    <row r="477" spans="1:20" x14ac:dyDescent="0.3">
      <c r="A477" s="190" t="s">
        <v>134</v>
      </c>
      <c r="B477" s="178" t="s">
        <v>129</v>
      </c>
      <c r="C477" s="178" t="s">
        <v>194</v>
      </c>
      <c r="D477" s="178" t="s">
        <v>1335</v>
      </c>
      <c r="E477" s="178" t="s">
        <v>31</v>
      </c>
      <c r="F477" s="14" t="b">
        <f>OR(Transport_Table[[#This Row],[Feedstock]]="All",Transport_Table[[#This Row],[Feedstock]]=SelectedFeedstock)</f>
        <v>0</v>
      </c>
      <c r="G477" s="14" t="b">
        <f>OR(Transport_Table[[#This Row],[Conversion]]="All",Transport_Table[[#This Row],[Conversion]]=SelectedConversion)</f>
        <v>0</v>
      </c>
      <c r="H477" s="14" t="b">
        <f>OR(Transport_Table[[#This Row],[Data Set]]="All",Transport_Table[[#This Row],[Data Set]]=SelectedDataSet)</f>
        <v>0</v>
      </c>
      <c r="I477" s="14" t="b">
        <f>OR(Transport_Table[[#This Row],[Technology]]="All",Transport_Table[[#This Row],[Technology]]=SelectedTechnology)</f>
        <v>1</v>
      </c>
      <c r="J477" s="14" t="b">
        <f>OR(Transport_Table[[#This Row],[Data Source]]="All",Transport_Table[[#This Row],[Data Source]]=SelectedDataSource)</f>
        <v>0</v>
      </c>
      <c r="K477" s="14" t="b">
        <v>1</v>
      </c>
      <c r="L477" s="14" t="b">
        <f>AND(Transport_Table[[#This Row],[Show Feedstock]:[Show Data Source]],NOT(Transport_Table[[#This Row],[Hide Column]]))</f>
        <v>0</v>
      </c>
      <c r="M477" s="14" t="s">
        <v>14</v>
      </c>
      <c r="N477" s="14" t="s">
        <v>1213</v>
      </c>
      <c r="O477" s="14" t="s">
        <v>1295</v>
      </c>
      <c r="P477" s="178" t="s">
        <v>134</v>
      </c>
      <c r="Q477" s="241" t="s">
        <v>1943</v>
      </c>
      <c r="R477" s="393">
        <v>1</v>
      </c>
      <c r="S477" s="394">
        <v>74.321028046209406</v>
      </c>
      <c r="T477" s="107"/>
    </row>
    <row r="478" spans="1:20" x14ac:dyDescent="0.3">
      <c r="A478" s="190" t="s">
        <v>134</v>
      </c>
      <c r="B478" s="178" t="s">
        <v>129</v>
      </c>
      <c r="C478" s="178" t="s">
        <v>194</v>
      </c>
      <c r="D478" s="178" t="s">
        <v>1335</v>
      </c>
      <c r="E478" s="178" t="s">
        <v>31</v>
      </c>
      <c r="F478" s="14" t="b">
        <f>OR(Transport_Table[[#This Row],[Feedstock]]="All",Transport_Table[[#This Row],[Feedstock]]=SelectedFeedstock)</f>
        <v>0</v>
      </c>
      <c r="G478" s="14" t="b">
        <f>OR(Transport_Table[[#This Row],[Conversion]]="All",Transport_Table[[#This Row],[Conversion]]=SelectedConversion)</f>
        <v>0</v>
      </c>
      <c r="H478" s="14" t="b">
        <f>OR(Transport_Table[[#This Row],[Data Set]]="All",Transport_Table[[#This Row],[Data Set]]=SelectedDataSet)</f>
        <v>0</v>
      </c>
      <c r="I478" s="14" t="b">
        <f>OR(Transport_Table[[#This Row],[Technology]]="All",Transport_Table[[#This Row],[Technology]]=SelectedTechnology)</f>
        <v>1</v>
      </c>
      <c r="J478" s="14" t="b">
        <f>OR(Transport_Table[[#This Row],[Data Source]]="All",Transport_Table[[#This Row],[Data Source]]=SelectedDataSource)</f>
        <v>0</v>
      </c>
      <c r="L478" s="14" t="b">
        <f>AND(Transport_Table[[#This Row],[Show Feedstock]:[Show Data Source]],NOT(Transport_Table[[#This Row],[Hide Column]]))</f>
        <v>0</v>
      </c>
      <c r="M478" s="14" t="s">
        <v>14</v>
      </c>
      <c r="N478" s="14" t="s">
        <v>1207</v>
      </c>
      <c r="O478" s="14" t="s">
        <v>1289</v>
      </c>
      <c r="P478" s="178" t="s">
        <v>1700</v>
      </c>
      <c r="Q478" s="241" t="s">
        <v>1944</v>
      </c>
      <c r="R478" s="393">
        <v>0.33</v>
      </c>
      <c r="S478" s="394">
        <v>520.08752700000002</v>
      </c>
      <c r="T478" s="107"/>
    </row>
    <row r="479" spans="1:20" x14ac:dyDescent="0.3">
      <c r="A479" s="190" t="s">
        <v>134</v>
      </c>
      <c r="B479" s="178" t="s">
        <v>129</v>
      </c>
      <c r="C479" s="178" t="s">
        <v>194</v>
      </c>
      <c r="D479" s="178" t="s">
        <v>1335</v>
      </c>
      <c r="E479" s="178" t="s">
        <v>31</v>
      </c>
      <c r="F479" s="14" t="b">
        <f>OR(Transport_Table[[#This Row],[Feedstock]]="All",Transport_Table[[#This Row],[Feedstock]]=SelectedFeedstock)</f>
        <v>0</v>
      </c>
      <c r="G479" s="14" t="b">
        <f>OR(Transport_Table[[#This Row],[Conversion]]="All",Transport_Table[[#This Row],[Conversion]]=SelectedConversion)</f>
        <v>0</v>
      </c>
      <c r="H479" s="14" t="b">
        <f>OR(Transport_Table[[#This Row],[Data Set]]="All",Transport_Table[[#This Row],[Data Set]]=SelectedDataSet)</f>
        <v>0</v>
      </c>
      <c r="I479" s="14" t="b">
        <f>OR(Transport_Table[[#This Row],[Technology]]="All",Transport_Table[[#This Row],[Technology]]=SelectedTechnology)</f>
        <v>1</v>
      </c>
      <c r="J479" s="14" t="b">
        <f>OR(Transport_Table[[#This Row],[Data Source]]="All",Transport_Table[[#This Row],[Data Source]]=SelectedDataSource)</f>
        <v>0</v>
      </c>
      <c r="L479" s="14" t="b">
        <f>AND(Transport_Table[[#This Row],[Show Feedstock]:[Show Data Source]],NOT(Transport_Table[[#This Row],[Hide Column]]))</f>
        <v>0</v>
      </c>
      <c r="M479" s="14" t="s">
        <v>14</v>
      </c>
      <c r="N479" s="14" t="s">
        <v>1208</v>
      </c>
      <c r="O479" s="14" t="s">
        <v>1290</v>
      </c>
      <c r="P479" s="178" t="s">
        <v>1700</v>
      </c>
      <c r="Q479" s="241" t="s">
        <v>1945</v>
      </c>
      <c r="R479" s="393">
        <v>0.6</v>
      </c>
      <c r="S479" s="394">
        <v>400.16292400000003</v>
      </c>
      <c r="T479" s="107"/>
    </row>
    <row r="480" spans="1:20" x14ac:dyDescent="0.3">
      <c r="A480" s="190" t="s">
        <v>134</v>
      </c>
      <c r="B480" s="178" t="s">
        <v>129</v>
      </c>
      <c r="C480" s="178" t="s">
        <v>194</v>
      </c>
      <c r="D480" s="178" t="s">
        <v>1335</v>
      </c>
      <c r="E480" s="178" t="s">
        <v>31</v>
      </c>
      <c r="F480" s="14" t="b">
        <f>OR(Transport_Table[[#This Row],[Feedstock]]="All",Transport_Table[[#This Row],[Feedstock]]=SelectedFeedstock)</f>
        <v>0</v>
      </c>
      <c r="G480" s="14" t="b">
        <f>OR(Transport_Table[[#This Row],[Conversion]]="All",Transport_Table[[#This Row],[Conversion]]=SelectedConversion)</f>
        <v>0</v>
      </c>
      <c r="H480" s="14" t="b">
        <f>OR(Transport_Table[[#This Row],[Data Set]]="All",Transport_Table[[#This Row],[Data Set]]=SelectedDataSet)</f>
        <v>0</v>
      </c>
      <c r="I480" s="14" t="b">
        <f>OR(Transport_Table[[#This Row],[Technology]]="All",Transport_Table[[#This Row],[Technology]]=SelectedTechnology)</f>
        <v>1</v>
      </c>
      <c r="J480" s="14" t="b">
        <f>OR(Transport_Table[[#This Row],[Data Source]]="All",Transport_Table[[#This Row],[Data Source]]=SelectedDataSource)</f>
        <v>0</v>
      </c>
      <c r="L480" s="14" t="b">
        <f>AND(Transport_Table[[#This Row],[Show Feedstock]:[Show Data Source]],NOT(Transport_Table[[#This Row],[Hide Column]]))</f>
        <v>0</v>
      </c>
      <c r="M480" s="14" t="s">
        <v>14</v>
      </c>
      <c r="N480" s="14" t="s">
        <v>1209</v>
      </c>
      <c r="O480" s="14" t="s">
        <v>1291</v>
      </c>
      <c r="P480" s="178" t="s">
        <v>1700</v>
      </c>
      <c r="Q480" s="241" t="s">
        <v>1946</v>
      </c>
      <c r="R480" s="393">
        <v>7.0000000000000007E-2</v>
      </c>
      <c r="S480" s="394">
        <v>800.32584800000006</v>
      </c>
      <c r="T480" s="107"/>
    </row>
    <row r="481" spans="1:20" x14ac:dyDescent="0.3">
      <c r="A481" s="190" t="s">
        <v>134</v>
      </c>
      <c r="B481" s="178" t="s">
        <v>129</v>
      </c>
      <c r="C481" s="178" t="s">
        <v>194</v>
      </c>
      <c r="D481" s="178" t="s">
        <v>1335</v>
      </c>
      <c r="E481" s="178" t="s">
        <v>31</v>
      </c>
      <c r="F481" s="14" t="b">
        <f>OR(Transport_Table[[#This Row],[Feedstock]]="All",Transport_Table[[#This Row],[Feedstock]]=SelectedFeedstock)</f>
        <v>0</v>
      </c>
      <c r="G481" s="14" t="b">
        <f>OR(Transport_Table[[#This Row],[Conversion]]="All",Transport_Table[[#This Row],[Conversion]]=SelectedConversion)</f>
        <v>0</v>
      </c>
      <c r="H481" s="14" t="b">
        <f>OR(Transport_Table[[#This Row],[Data Set]]="All",Transport_Table[[#This Row],[Data Set]]=SelectedDataSet)</f>
        <v>0</v>
      </c>
      <c r="I481" s="14" t="b">
        <f>OR(Transport_Table[[#This Row],[Technology]]="All",Transport_Table[[#This Row],[Technology]]=SelectedTechnology)</f>
        <v>1</v>
      </c>
      <c r="J481" s="14" t="b">
        <f>OR(Transport_Table[[#This Row],[Data Source]]="All",Transport_Table[[#This Row],[Data Source]]=SelectedDataSource)</f>
        <v>0</v>
      </c>
      <c r="L481" s="14" t="b">
        <f>AND(Transport_Table[[#This Row],[Show Feedstock]:[Show Data Source]],NOT(Transport_Table[[#This Row],[Hide Column]]))</f>
        <v>0</v>
      </c>
      <c r="M481" s="14" t="s">
        <v>14</v>
      </c>
      <c r="N481" s="14" t="s">
        <v>1210</v>
      </c>
      <c r="O481" s="14" t="s">
        <v>1292</v>
      </c>
      <c r="P481" s="178" t="s">
        <v>1700</v>
      </c>
      <c r="Q481" s="400" t="s">
        <v>1947</v>
      </c>
      <c r="R481" s="393">
        <v>1</v>
      </c>
      <c r="S481" s="394">
        <v>29.999916154200001</v>
      </c>
      <c r="T481" s="107"/>
    </row>
    <row r="482" spans="1:20" x14ac:dyDescent="0.3">
      <c r="A482" s="190" t="s">
        <v>134</v>
      </c>
      <c r="B482" s="178" t="s">
        <v>129</v>
      </c>
      <c r="C482" s="178" t="s">
        <v>194</v>
      </c>
      <c r="D482" s="178" t="s">
        <v>1338</v>
      </c>
      <c r="E482" s="178" t="s">
        <v>31</v>
      </c>
      <c r="F482" s="14" t="b">
        <f>OR(Transport_Table[[#This Row],[Feedstock]]="All",Transport_Table[[#This Row],[Feedstock]]=SelectedFeedstock)</f>
        <v>0</v>
      </c>
      <c r="G482" s="14" t="b">
        <f>OR(Transport_Table[[#This Row],[Conversion]]="All",Transport_Table[[#This Row],[Conversion]]=SelectedConversion)</f>
        <v>0</v>
      </c>
      <c r="H482" s="14" t="b">
        <f>OR(Transport_Table[[#This Row],[Data Set]]="All",Transport_Table[[#This Row],[Data Set]]=SelectedDataSet)</f>
        <v>0</v>
      </c>
      <c r="I482" s="14" t="b">
        <f>OR(Transport_Table[[#This Row],[Technology]]="All",Transport_Table[[#This Row],[Technology]]=SelectedTechnology)</f>
        <v>1</v>
      </c>
      <c r="J482" s="14" t="b">
        <f>OR(Transport_Table[[#This Row],[Data Source]]="All",Transport_Table[[#This Row],[Data Source]]=SelectedDataSource)</f>
        <v>0</v>
      </c>
      <c r="K482" s="14" t="b">
        <v>1</v>
      </c>
      <c r="L482" s="14" t="b">
        <f>AND(Transport_Table[[#This Row],[Show Feedstock]:[Show Data Source]],NOT(Transport_Table[[#This Row],[Hide Column]]))</f>
        <v>0</v>
      </c>
      <c r="M482" s="14" t="s">
        <v>14</v>
      </c>
      <c r="N482" s="14" t="s">
        <v>1213</v>
      </c>
      <c r="O482" s="14" t="s">
        <v>1295</v>
      </c>
      <c r="P482" s="178" t="s">
        <v>134</v>
      </c>
      <c r="Q482" s="241" t="s">
        <v>1943</v>
      </c>
      <c r="R482" s="393">
        <v>1</v>
      </c>
      <c r="S482" s="394">
        <v>74.321028046209406</v>
      </c>
      <c r="T482" s="107"/>
    </row>
    <row r="483" spans="1:20" x14ac:dyDescent="0.3">
      <c r="A483" s="190" t="s">
        <v>134</v>
      </c>
      <c r="B483" s="178" t="s">
        <v>129</v>
      </c>
      <c r="C483" s="178" t="s">
        <v>194</v>
      </c>
      <c r="D483" s="178" t="s">
        <v>1338</v>
      </c>
      <c r="E483" s="178" t="s">
        <v>31</v>
      </c>
      <c r="F483" s="14" t="b">
        <f>OR(Transport_Table[[#This Row],[Feedstock]]="All",Transport_Table[[#This Row],[Feedstock]]=SelectedFeedstock)</f>
        <v>0</v>
      </c>
      <c r="G483" s="14" t="b">
        <f>OR(Transport_Table[[#This Row],[Conversion]]="All",Transport_Table[[#This Row],[Conversion]]=SelectedConversion)</f>
        <v>0</v>
      </c>
      <c r="H483" s="14" t="b">
        <f>OR(Transport_Table[[#This Row],[Data Set]]="All",Transport_Table[[#This Row],[Data Set]]=SelectedDataSet)</f>
        <v>0</v>
      </c>
      <c r="I483" s="14" t="b">
        <f>OR(Transport_Table[[#This Row],[Technology]]="All",Transport_Table[[#This Row],[Technology]]=SelectedTechnology)</f>
        <v>1</v>
      </c>
      <c r="J483" s="14" t="b">
        <f>OR(Transport_Table[[#This Row],[Data Source]]="All",Transport_Table[[#This Row],[Data Source]]=SelectedDataSource)</f>
        <v>0</v>
      </c>
      <c r="L483" s="14" t="b">
        <f>AND(Transport_Table[[#This Row],[Show Feedstock]:[Show Data Source]],NOT(Transport_Table[[#This Row],[Hide Column]]))</f>
        <v>0</v>
      </c>
      <c r="M483" s="14" t="s">
        <v>14</v>
      </c>
      <c r="N483" s="14" t="s">
        <v>1207</v>
      </c>
      <c r="O483" s="14" t="s">
        <v>1289</v>
      </c>
      <c r="P483" s="178" t="s">
        <v>1700</v>
      </c>
      <c r="Q483" s="241" t="s">
        <v>1944</v>
      </c>
      <c r="R483" s="393">
        <v>0.33</v>
      </c>
      <c r="S483" s="394">
        <v>520.08752700000002</v>
      </c>
      <c r="T483" s="107"/>
    </row>
    <row r="484" spans="1:20" x14ac:dyDescent="0.3">
      <c r="A484" s="190" t="s">
        <v>134</v>
      </c>
      <c r="B484" s="178" t="s">
        <v>129</v>
      </c>
      <c r="C484" s="178" t="s">
        <v>194</v>
      </c>
      <c r="D484" s="178" t="s">
        <v>1338</v>
      </c>
      <c r="E484" s="178" t="s">
        <v>31</v>
      </c>
      <c r="F484" s="14" t="b">
        <f>OR(Transport_Table[[#This Row],[Feedstock]]="All",Transport_Table[[#This Row],[Feedstock]]=SelectedFeedstock)</f>
        <v>0</v>
      </c>
      <c r="G484" s="14" t="b">
        <f>OR(Transport_Table[[#This Row],[Conversion]]="All",Transport_Table[[#This Row],[Conversion]]=SelectedConversion)</f>
        <v>0</v>
      </c>
      <c r="H484" s="14" t="b">
        <f>OR(Transport_Table[[#This Row],[Data Set]]="All",Transport_Table[[#This Row],[Data Set]]=SelectedDataSet)</f>
        <v>0</v>
      </c>
      <c r="I484" s="14" t="b">
        <f>OR(Transport_Table[[#This Row],[Technology]]="All",Transport_Table[[#This Row],[Technology]]=SelectedTechnology)</f>
        <v>1</v>
      </c>
      <c r="J484" s="14" t="b">
        <f>OR(Transport_Table[[#This Row],[Data Source]]="All",Transport_Table[[#This Row],[Data Source]]=SelectedDataSource)</f>
        <v>0</v>
      </c>
      <c r="L484" s="14" t="b">
        <f>AND(Transport_Table[[#This Row],[Show Feedstock]:[Show Data Source]],NOT(Transport_Table[[#This Row],[Hide Column]]))</f>
        <v>0</v>
      </c>
      <c r="M484" s="14" t="s">
        <v>14</v>
      </c>
      <c r="N484" s="14" t="s">
        <v>1208</v>
      </c>
      <c r="O484" s="14" t="s">
        <v>1290</v>
      </c>
      <c r="P484" s="178" t="s">
        <v>1700</v>
      </c>
      <c r="Q484" s="241" t="s">
        <v>1945</v>
      </c>
      <c r="R484" s="393">
        <v>0.6</v>
      </c>
      <c r="S484" s="394">
        <v>400.16292400000003</v>
      </c>
      <c r="T484" s="107"/>
    </row>
    <row r="485" spans="1:20" x14ac:dyDescent="0.3">
      <c r="A485" s="190" t="s">
        <v>134</v>
      </c>
      <c r="B485" s="178" t="s">
        <v>129</v>
      </c>
      <c r="C485" s="178" t="s">
        <v>194</v>
      </c>
      <c r="D485" s="178" t="s">
        <v>1338</v>
      </c>
      <c r="E485" s="178" t="s">
        <v>31</v>
      </c>
      <c r="F485" s="14" t="b">
        <f>OR(Transport_Table[[#This Row],[Feedstock]]="All",Transport_Table[[#This Row],[Feedstock]]=SelectedFeedstock)</f>
        <v>0</v>
      </c>
      <c r="G485" s="14" t="b">
        <f>OR(Transport_Table[[#This Row],[Conversion]]="All",Transport_Table[[#This Row],[Conversion]]=SelectedConversion)</f>
        <v>0</v>
      </c>
      <c r="H485" s="14" t="b">
        <f>OR(Transport_Table[[#This Row],[Data Set]]="All",Transport_Table[[#This Row],[Data Set]]=SelectedDataSet)</f>
        <v>0</v>
      </c>
      <c r="I485" s="14" t="b">
        <f>OR(Transport_Table[[#This Row],[Technology]]="All",Transport_Table[[#This Row],[Technology]]=SelectedTechnology)</f>
        <v>1</v>
      </c>
      <c r="J485" s="14" t="b">
        <f>OR(Transport_Table[[#This Row],[Data Source]]="All",Transport_Table[[#This Row],[Data Source]]=SelectedDataSource)</f>
        <v>0</v>
      </c>
      <c r="L485" s="14" t="b">
        <f>AND(Transport_Table[[#This Row],[Show Feedstock]:[Show Data Source]],NOT(Transport_Table[[#This Row],[Hide Column]]))</f>
        <v>0</v>
      </c>
      <c r="M485" s="14" t="s">
        <v>14</v>
      </c>
      <c r="N485" s="14" t="s">
        <v>1209</v>
      </c>
      <c r="O485" s="14" t="s">
        <v>1291</v>
      </c>
      <c r="P485" s="178" t="s">
        <v>1700</v>
      </c>
      <c r="Q485" s="241" t="s">
        <v>1946</v>
      </c>
      <c r="R485" s="393">
        <v>7.0000000000000007E-2</v>
      </c>
      <c r="S485" s="394">
        <v>800.32584800000006</v>
      </c>
      <c r="T485" s="107"/>
    </row>
    <row r="486" spans="1:20" x14ac:dyDescent="0.3">
      <c r="A486" s="190" t="s">
        <v>134</v>
      </c>
      <c r="B486" s="178" t="s">
        <v>129</v>
      </c>
      <c r="C486" s="178" t="s">
        <v>194</v>
      </c>
      <c r="D486" s="178" t="s">
        <v>1338</v>
      </c>
      <c r="E486" s="178" t="s">
        <v>31</v>
      </c>
      <c r="F486" s="14" t="b">
        <f>OR(Transport_Table[[#This Row],[Feedstock]]="All",Transport_Table[[#This Row],[Feedstock]]=SelectedFeedstock)</f>
        <v>0</v>
      </c>
      <c r="G486" s="14" t="b">
        <f>OR(Transport_Table[[#This Row],[Conversion]]="All",Transport_Table[[#This Row],[Conversion]]=SelectedConversion)</f>
        <v>0</v>
      </c>
      <c r="H486" s="14" t="b">
        <f>OR(Transport_Table[[#This Row],[Data Set]]="All",Transport_Table[[#This Row],[Data Set]]=SelectedDataSet)</f>
        <v>0</v>
      </c>
      <c r="I486" s="14" t="b">
        <f>OR(Transport_Table[[#This Row],[Technology]]="All",Transport_Table[[#This Row],[Technology]]=SelectedTechnology)</f>
        <v>1</v>
      </c>
      <c r="J486" s="14" t="b">
        <f>OR(Transport_Table[[#This Row],[Data Source]]="All",Transport_Table[[#This Row],[Data Source]]=SelectedDataSource)</f>
        <v>0</v>
      </c>
      <c r="L486" s="14" t="b">
        <f>AND(Transport_Table[[#This Row],[Show Feedstock]:[Show Data Source]],NOT(Transport_Table[[#This Row],[Hide Column]]))</f>
        <v>0</v>
      </c>
      <c r="M486" s="14" t="s">
        <v>14</v>
      </c>
      <c r="N486" s="14" t="s">
        <v>1210</v>
      </c>
      <c r="O486" s="14" t="s">
        <v>1292</v>
      </c>
      <c r="P486" s="178" t="s">
        <v>1700</v>
      </c>
      <c r="Q486" s="400" t="s">
        <v>1947</v>
      </c>
      <c r="R486" s="393">
        <v>1</v>
      </c>
      <c r="S486" s="394">
        <v>29.999916154200001</v>
      </c>
      <c r="T486" s="107"/>
    </row>
    <row r="487" spans="1:20" x14ac:dyDescent="0.3">
      <c r="A487" s="190" t="s">
        <v>132</v>
      </c>
      <c r="B487" s="178" t="s">
        <v>129</v>
      </c>
      <c r="C487" s="178" t="s">
        <v>194</v>
      </c>
      <c r="D487" s="178" t="s">
        <v>1335</v>
      </c>
      <c r="E487" s="178" t="s">
        <v>31</v>
      </c>
      <c r="F487" s="14" t="b">
        <f>OR(Transport_Table[[#This Row],[Feedstock]]="All",Transport_Table[[#This Row],[Feedstock]]=SelectedFeedstock)</f>
        <v>0</v>
      </c>
      <c r="G487" s="14" t="b">
        <f>OR(Transport_Table[[#This Row],[Conversion]]="All",Transport_Table[[#This Row],[Conversion]]=SelectedConversion)</f>
        <v>0</v>
      </c>
      <c r="H487" s="14" t="b">
        <f>OR(Transport_Table[[#This Row],[Data Set]]="All",Transport_Table[[#This Row],[Data Set]]=SelectedDataSet)</f>
        <v>0</v>
      </c>
      <c r="I487" s="14" t="b">
        <f>OR(Transport_Table[[#This Row],[Technology]]="All",Transport_Table[[#This Row],[Technology]]=SelectedTechnology)</f>
        <v>1</v>
      </c>
      <c r="J487" s="14" t="b">
        <f>OR(Transport_Table[[#This Row],[Data Source]]="All",Transport_Table[[#This Row],[Data Source]]=SelectedDataSource)</f>
        <v>0</v>
      </c>
      <c r="K487" s="14" t="b">
        <v>1</v>
      </c>
      <c r="L487" s="14" t="b">
        <f>AND(Transport_Table[[#This Row],[Show Feedstock]:[Show Data Source]],NOT(Transport_Table[[#This Row],[Hide Column]]))</f>
        <v>0</v>
      </c>
      <c r="M487" s="14" t="s">
        <v>14</v>
      </c>
      <c r="N487" s="14" t="s">
        <v>1211</v>
      </c>
      <c r="O487" s="14" t="s">
        <v>1293</v>
      </c>
      <c r="P487" s="178" t="s">
        <v>132</v>
      </c>
      <c r="Q487" s="241" t="s">
        <v>1943</v>
      </c>
      <c r="R487" s="393">
        <v>1</v>
      </c>
      <c r="S487" s="394">
        <v>50.020365500000004</v>
      </c>
      <c r="T487" s="107"/>
    </row>
    <row r="488" spans="1:20" x14ac:dyDescent="0.3">
      <c r="A488" s="190" t="s">
        <v>132</v>
      </c>
      <c r="B488" s="178" t="s">
        <v>129</v>
      </c>
      <c r="C488" s="178" t="s">
        <v>194</v>
      </c>
      <c r="D488" s="178" t="s">
        <v>1335</v>
      </c>
      <c r="E488" s="178" t="s">
        <v>31</v>
      </c>
      <c r="F488" s="14" t="b">
        <f>OR(Transport_Table[[#This Row],[Feedstock]]="All",Transport_Table[[#This Row],[Feedstock]]=SelectedFeedstock)</f>
        <v>0</v>
      </c>
      <c r="G488" s="14" t="b">
        <f>OR(Transport_Table[[#This Row],[Conversion]]="All",Transport_Table[[#This Row],[Conversion]]=SelectedConversion)</f>
        <v>0</v>
      </c>
      <c r="H488" s="14" t="b">
        <f>OR(Transport_Table[[#This Row],[Data Set]]="All",Transport_Table[[#This Row],[Data Set]]=SelectedDataSet)</f>
        <v>0</v>
      </c>
      <c r="I488" s="14" t="b">
        <f>OR(Transport_Table[[#This Row],[Technology]]="All",Transport_Table[[#This Row],[Technology]]=SelectedTechnology)</f>
        <v>1</v>
      </c>
      <c r="J488" s="14" t="b">
        <f>OR(Transport_Table[[#This Row],[Data Source]]="All",Transport_Table[[#This Row],[Data Source]]=SelectedDataSource)</f>
        <v>0</v>
      </c>
      <c r="L488" s="14" t="b">
        <f>AND(Transport_Table[[#This Row],[Show Feedstock]:[Show Data Source]],NOT(Transport_Table[[#This Row],[Hide Column]]))</f>
        <v>0</v>
      </c>
      <c r="M488" s="14" t="s">
        <v>14</v>
      </c>
      <c r="N488" s="14" t="s">
        <v>1207</v>
      </c>
      <c r="O488" s="14" t="s">
        <v>1289</v>
      </c>
      <c r="P488" s="178" t="s">
        <v>1700</v>
      </c>
      <c r="Q488" s="241" t="s">
        <v>1944</v>
      </c>
      <c r="R488" s="393">
        <v>0.33</v>
      </c>
      <c r="S488" s="394">
        <v>520.08752700000002</v>
      </c>
      <c r="T488" s="107"/>
    </row>
    <row r="489" spans="1:20" x14ac:dyDescent="0.3">
      <c r="A489" s="190" t="s">
        <v>132</v>
      </c>
      <c r="B489" s="178" t="s">
        <v>129</v>
      </c>
      <c r="C489" s="178" t="s">
        <v>194</v>
      </c>
      <c r="D489" s="178" t="s">
        <v>1335</v>
      </c>
      <c r="E489" s="178" t="s">
        <v>31</v>
      </c>
      <c r="F489" s="14" t="b">
        <f>OR(Transport_Table[[#This Row],[Feedstock]]="All",Transport_Table[[#This Row],[Feedstock]]=SelectedFeedstock)</f>
        <v>0</v>
      </c>
      <c r="G489" s="14" t="b">
        <f>OR(Transport_Table[[#This Row],[Conversion]]="All",Transport_Table[[#This Row],[Conversion]]=SelectedConversion)</f>
        <v>0</v>
      </c>
      <c r="H489" s="14" t="b">
        <f>OR(Transport_Table[[#This Row],[Data Set]]="All",Transport_Table[[#This Row],[Data Set]]=SelectedDataSet)</f>
        <v>0</v>
      </c>
      <c r="I489" s="14" t="b">
        <f>OR(Transport_Table[[#This Row],[Technology]]="All",Transport_Table[[#This Row],[Technology]]=SelectedTechnology)</f>
        <v>1</v>
      </c>
      <c r="J489" s="14" t="b">
        <f>OR(Transport_Table[[#This Row],[Data Source]]="All",Transport_Table[[#This Row],[Data Source]]=SelectedDataSource)</f>
        <v>0</v>
      </c>
      <c r="L489" s="14" t="b">
        <f>AND(Transport_Table[[#This Row],[Show Feedstock]:[Show Data Source]],NOT(Transport_Table[[#This Row],[Hide Column]]))</f>
        <v>0</v>
      </c>
      <c r="M489" s="14" t="s">
        <v>14</v>
      </c>
      <c r="N489" s="14" t="s">
        <v>1208</v>
      </c>
      <c r="O489" s="14" t="s">
        <v>1290</v>
      </c>
      <c r="P489" s="178" t="s">
        <v>1700</v>
      </c>
      <c r="Q489" s="241" t="s">
        <v>1945</v>
      </c>
      <c r="R489" s="393">
        <v>0.6</v>
      </c>
      <c r="S489" s="394">
        <v>400.16292400000003</v>
      </c>
      <c r="T489" s="107"/>
    </row>
    <row r="490" spans="1:20" x14ac:dyDescent="0.3">
      <c r="A490" s="190" t="s">
        <v>132</v>
      </c>
      <c r="B490" s="178" t="s">
        <v>129</v>
      </c>
      <c r="C490" s="178" t="s">
        <v>194</v>
      </c>
      <c r="D490" s="178" t="s">
        <v>1335</v>
      </c>
      <c r="E490" s="178" t="s">
        <v>31</v>
      </c>
      <c r="F490" s="14" t="b">
        <f>OR(Transport_Table[[#This Row],[Feedstock]]="All",Transport_Table[[#This Row],[Feedstock]]=SelectedFeedstock)</f>
        <v>0</v>
      </c>
      <c r="G490" s="14" t="b">
        <f>OR(Transport_Table[[#This Row],[Conversion]]="All",Transport_Table[[#This Row],[Conversion]]=SelectedConversion)</f>
        <v>0</v>
      </c>
      <c r="H490" s="14" t="b">
        <f>OR(Transport_Table[[#This Row],[Data Set]]="All",Transport_Table[[#This Row],[Data Set]]=SelectedDataSet)</f>
        <v>0</v>
      </c>
      <c r="I490" s="14" t="b">
        <f>OR(Transport_Table[[#This Row],[Technology]]="All",Transport_Table[[#This Row],[Technology]]=SelectedTechnology)</f>
        <v>1</v>
      </c>
      <c r="J490" s="14" t="b">
        <f>OR(Transport_Table[[#This Row],[Data Source]]="All",Transport_Table[[#This Row],[Data Source]]=SelectedDataSource)</f>
        <v>0</v>
      </c>
      <c r="L490" s="14" t="b">
        <f>AND(Transport_Table[[#This Row],[Show Feedstock]:[Show Data Source]],NOT(Transport_Table[[#This Row],[Hide Column]]))</f>
        <v>0</v>
      </c>
      <c r="M490" s="14" t="s">
        <v>14</v>
      </c>
      <c r="N490" s="14" t="s">
        <v>1209</v>
      </c>
      <c r="O490" s="14" t="s">
        <v>1291</v>
      </c>
      <c r="P490" s="178" t="s">
        <v>1700</v>
      </c>
      <c r="Q490" s="241" t="s">
        <v>1946</v>
      </c>
      <c r="R490" s="393">
        <v>7.0000000000000007E-2</v>
      </c>
      <c r="S490" s="394">
        <v>800.32584800000006</v>
      </c>
      <c r="T490" s="107"/>
    </row>
    <row r="491" spans="1:20" x14ac:dyDescent="0.3">
      <c r="A491" s="190" t="s">
        <v>132</v>
      </c>
      <c r="B491" s="178" t="s">
        <v>129</v>
      </c>
      <c r="C491" s="178" t="s">
        <v>194</v>
      </c>
      <c r="D491" s="178" t="s">
        <v>1335</v>
      </c>
      <c r="E491" s="178" t="s">
        <v>31</v>
      </c>
      <c r="F491" s="14" t="b">
        <f>OR(Transport_Table[[#This Row],[Feedstock]]="All",Transport_Table[[#This Row],[Feedstock]]=SelectedFeedstock)</f>
        <v>0</v>
      </c>
      <c r="G491" s="14" t="b">
        <f>OR(Transport_Table[[#This Row],[Conversion]]="All",Transport_Table[[#This Row],[Conversion]]=SelectedConversion)</f>
        <v>0</v>
      </c>
      <c r="H491" s="14" t="b">
        <f>OR(Transport_Table[[#This Row],[Data Set]]="All",Transport_Table[[#This Row],[Data Set]]=SelectedDataSet)</f>
        <v>0</v>
      </c>
      <c r="I491" s="14" t="b">
        <f>OR(Transport_Table[[#This Row],[Technology]]="All",Transport_Table[[#This Row],[Technology]]=SelectedTechnology)</f>
        <v>1</v>
      </c>
      <c r="J491" s="14" t="b">
        <f>OR(Transport_Table[[#This Row],[Data Source]]="All",Transport_Table[[#This Row],[Data Source]]=SelectedDataSource)</f>
        <v>0</v>
      </c>
      <c r="L491" s="14" t="b">
        <f>AND(Transport_Table[[#This Row],[Show Feedstock]:[Show Data Source]],NOT(Transport_Table[[#This Row],[Hide Column]]))</f>
        <v>0</v>
      </c>
      <c r="M491" s="14" t="s">
        <v>14</v>
      </c>
      <c r="N491" s="14" t="s">
        <v>1210</v>
      </c>
      <c r="O491" s="14" t="s">
        <v>1292</v>
      </c>
      <c r="P491" s="178" t="s">
        <v>1700</v>
      </c>
      <c r="Q491" s="400" t="s">
        <v>1947</v>
      </c>
      <c r="R491" s="393">
        <v>1</v>
      </c>
      <c r="S491" s="394">
        <v>29.999916154200001</v>
      </c>
      <c r="T491" s="107"/>
    </row>
    <row r="492" spans="1:20" x14ac:dyDescent="0.3">
      <c r="A492" s="190" t="s">
        <v>132</v>
      </c>
      <c r="B492" s="178" t="s">
        <v>129</v>
      </c>
      <c r="C492" s="178" t="s">
        <v>194</v>
      </c>
      <c r="D492" s="178" t="s">
        <v>1338</v>
      </c>
      <c r="E492" s="178" t="s">
        <v>31</v>
      </c>
      <c r="F492" s="14" t="b">
        <f>OR(Transport_Table[[#This Row],[Feedstock]]="All",Transport_Table[[#This Row],[Feedstock]]=SelectedFeedstock)</f>
        <v>0</v>
      </c>
      <c r="G492" s="14" t="b">
        <f>OR(Transport_Table[[#This Row],[Conversion]]="All",Transport_Table[[#This Row],[Conversion]]=SelectedConversion)</f>
        <v>0</v>
      </c>
      <c r="H492" s="14" t="b">
        <f>OR(Transport_Table[[#This Row],[Data Set]]="All",Transport_Table[[#This Row],[Data Set]]=SelectedDataSet)</f>
        <v>0</v>
      </c>
      <c r="I492" s="14" t="b">
        <f>OR(Transport_Table[[#This Row],[Technology]]="All",Transport_Table[[#This Row],[Technology]]=SelectedTechnology)</f>
        <v>1</v>
      </c>
      <c r="J492" s="14" t="b">
        <f>OR(Transport_Table[[#This Row],[Data Source]]="All",Transport_Table[[#This Row],[Data Source]]=SelectedDataSource)</f>
        <v>0</v>
      </c>
      <c r="K492" s="14" t="b">
        <v>1</v>
      </c>
      <c r="L492" s="14" t="b">
        <f>AND(Transport_Table[[#This Row],[Show Feedstock]:[Show Data Source]],NOT(Transport_Table[[#This Row],[Hide Column]]))</f>
        <v>0</v>
      </c>
      <c r="M492" s="14" t="s">
        <v>14</v>
      </c>
      <c r="N492" s="14" t="s">
        <v>1211</v>
      </c>
      <c r="O492" s="14" t="s">
        <v>1293</v>
      </c>
      <c r="P492" s="178" t="s">
        <v>132</v>
      </c>
      <c r="Q492" s="241" t="s">
        <v>1943</v>
      </c>
      <c r="R492" s="393">
        <v>1</v>
      </c>
      <c r="S492" s="394">
        <v>50.020365500000004</v>
      </c>
      <c r="T492" s="107"/>
    </row>
    <row r="493" spans="1:20" x14ac:dyDescent="0.3">
      <c r="A493" s="190" t="s">
        <v>132</v>
      </c>
      <c r="B493" s="178" t="s">
        <v>129</v>
      </c>
      <c r="C493" s="178" t="s">
        <v>194</v>
      </c>
      <c r="D493" s="178" t="s">
        <v>1338</v>
      </c>
      <c r="E493" s="178" t="s">
        <v>31</v>
      </c>
      <c r="F493" s="14" t="b">
        <f>OR(Transport_Table[[#This Row],[Feedstock]]="All",Transport_Table[[#This Row],[Feedstock]]=SelectedFeedstock)</f>
        <v>0</v>
      </c>
      <c r="G493" s="14" t="b">
        <f>OR(Transport_Table[[#This Row],[Conversion]]="All",Transport_Table[[#This Row],[Conversion]]=SelectedConversion)</f>
        <v>0</v>
      </c>
      <c r="H493" s="14" t="b">
        <f>OR(Transport_Table[[#This Row],[Data Set]]="All",Transport_Table[[#This Row],[Data Set]]=SelectedDataSet)</f>
        <v>0</v>
      </c>
      <c r="I493" s="14" t="b">
        <f>OR(Transport_Table[[#This Row],[Technology]]="All",Transport_Table[[#This Row],[Technology]]=SelectedTechnology)</f>
        <v>1</v>
      </c>
      <c r="J493" s="14" t="b">
        <f>OR(Transport_Table[[#This Row],[Data Source]]="All",Transport_Table[[#This Row],[Data Source]]=SelectedDataSource)</f>
        <v>0</v>
      </c>
      <c r="L493" s="14" t="b">
        <f>AND(Transport_Table[[#This Row],[Show Feedstock]:[Show Data Source]],NOT(Transport_Table[[#This Row],[Hide Column]]))</f>
        <v>0</v>
      </c>
      <c r="M493" s="14" t="s">
        <v>14</v>
      </c>
      <c r="N493" s="14" t="s">
        <v>1207</v>
      </c>
      <c r="O493" s="14" t="s">
        <v>1289</v>
      </c>
      <c r="P493" s="178" t="s">
        <v>1700</v>
      </c>
      <c r="Q493" s="241" t="s">
        <v>1944</v>
      </c>
      <c r="R493" s="393">
        <v>0.33</v>
      </c>
      <c r="S493" s="394">
        <v>520.08752700000002</v>
      </c>
      <c r="T493" s="107"/>
    </row>
    <row r="494" spans="1:20" x14ac:dyDescent="0.3">
      <c r="A494" s="190" t="s">
        <v>132</v>
      </c>
      <c r="B494" s="178" t="s">
        <v>129</v>
      </c>
      <c r="C494" s="178" t="s">
        <v>194</v>
      </c>
      <c r="D494" s="178" t="s">
        <v>1338</v>
      </c>
      <c r="E494" s="178" t="s">
        <v>31</v>
      </c>
      <c r="F494" s="14" t="b">
        <f>OR(Transport_Table[[#This Row],[Feedstock]]="All",Transport_Table[[#This Row],[Feedstock]]=SelectedFeedstock)</f>
        <v>0</v>
      </c>
      <c r="G494" s="14" t="b">
        <f>OR(Transport_Table[[#This Row],[Conversion]]="All",Transport_Table[[#This Row],[Conversion]]=SelectedConversion)</f>
        <v>0</v>
      </c>
      <c r="H494" s="14" t="b">
        <f>OR(Transport_Table[[#This Row],[Data Set]]="All",Transport_Table[[#This Row],[Data Set]]=SelectedDataSet)</f>
        <v>0</v>
      </c>
      <c r="I494" s="14" t="b">
        <f>OR(Transport_Table[[#This Row],[Technology]]="All",Transport_Table[[#This Row],[Technology]]=SelectedTechnology)</f>
        <v>1</v>
      </c>
      <c r="J494" s="14" t="b">
        <f>OR(Transport_Table[[#This Row],[Data Source]]="All",Transport_Table[[#This Row],[Data Source]]=SelectedDataSource)</f>
        <v>0</v>
      </c>
      <c r="L494" s="14" t="b">
        <f>AND(Transport_Table[[#This Row],[Show Feedstock]:[Show Data Source]],NOT(Transport_Table[[#This Row],[Hide Column]]))</f>
        <v>0</v>
      </c>
      <c r="M494" s="14" t="s">
        <v>14</v>
      </c>
      <c r="N494" s="14" t="s">
        <v>1208</v>
      </c>
      <c r="O494" s="14" t="s">
        <v>1290</v>
      </c>
      <c r="P494" s="178" t="s">
        <v>1700</v>
      </c>
      <c r="Q494" s="241" t="s">
        <v>1945</v>
      </c>
      <c r="R494" s="393">
        <v>0.6</v>
      </c>
      <c r="S494" s="394">
        <v>400.16292400000003</v>
      </c>
      <c r="T494" s="107"/>
    </row>
    <row r="495" spans="1:20" x14ac:dyDescent="0.3">
      <c r="A495" s="190" t="s">
        <v>132</v>
      </c>
      <c r="B495" s="178" t="s">
        <v>129</v>
      </c>
      <c r="C495" s="178" t="s">
        <v>194</v>
      </c>
      <c r="D495" s="178" t="s">
        <v>1338</v>
      </c>
      <c r="E495" s="178" t="s">
        <v>31</v>
      </c>
      <c r="F495" s="14" t="b">
        <f>OR(Transport_Table[[#This Row],[Feedstock]]="All",Transport_Table[[#This Row],[Feedstock]]=SelectedFeedstock)</f>
        <v>0</v>
      </c>
      <c r="G495" s="14" t="b">
        <f>OR(Transport_Table[[#This Row],[Conversion]]="All",Transport_Table[[#This Row],[Conversion]]=SelectedConversion)</f>
        <v>0</v>
      </c>
      <c r="H495" s="14" t="b">
        <f>OR(Transport_Table[[#This Row],[Data Set]]="All",Transport_Table[[#This Row],[Data Set]]=SelectedDataSet)</f>
        <v>0</v>
      </c>
      <c r="I495" s="14" t="b">
        <f>OR(Transport_Table[[#This Row],[Technology]]="All",Transport_Table[[#This Row],[Technology]]=SelectedTechnology)</f>
        <v>1</v>
      </c>
      <c r="J495" s="14" t="b">
        <f>OR(Transport_Table[[#This Row],[Data Source]]="All",Transport_Table[[#This Row],[Data Source]]=SelectedDataSource)</f>
        <v>0</v>
      </c>
      <c r="L495" s="14" t="b">
        <f>AND(Transport_Table[[#This Row],[Show Feedstock]:[Show Data Source]],NOT(Transport_Table[[#This Row],[Hide Column]]))</f>
        <v>0</v>
      </c>
      <c r="M495" s="14" t="s">
        <v>14</v>
      </c>
      <c r="N495" s="14" t="s">
        <v>1209</v>
      </c>
      <c r="O495" s="14" t="s">
        <v>1291</v>
      </c>
      <c r="P495" s="178" t="s">
        <v>1700</v>
      </c>
      <c r="Q495" s="241" t="s">
        <v>1946</v>
      </c>
      <c r="R495" s="393">
        <v>7.0000000000000007E-2</v>
      </c>
      <c r="S495" s="394">
        <v>800.32584800000006</v>
      </c>
      <c r="T495" s="107"/>
    </row>
    <row r="496" spans="1:20" x14ac:dyDescent="0.3">
      <c r="A496" s="190" t="s">
        <v>132</v>
      </c>
      <c r="B496" s="178" t="s">
        <v>129</v>
      </c>
      <c r="C496" s="178" t="s">
        <v>194</v>
      </c>
      <c r="D496" s="178" t="s">
        <v>1338</v>
      </c>
      <c r="E496" s="178" t="s">
        <v>31</v>
      </c>
      <c r="F496" s="14" t="b">
        <f>OR(Transport_Table[[#This Row],[Feedstock]]="All",Transport_Table[[#This Row],[Feedstock]]=SelectedFeedstock)</f>
        <v>0</v>
      </c>
      <c r="G496" s="14" t="b">
        <f>OR(Transport_Table[[#This Row],[Conversion]]="All",Transport_Table[[#This Row],[Conversion]]=SelectedConversion)</f>
        <v>0</v>
      </c>
      <c r="H496" s="14" t="b">
        <f>OR(Transport_Table[[#This Row],[Data Set]]="All",Transport_Table[[#This Row],[Data Set]]=SelectedDataSet)</f>
        <v>0</v>
      </c>
      <c r="I496" s="14" t="b">
        <f>OR(Transport_Table[[#This Row],[Technology]]="All",Transport_Table[[#This Row],[Technology]]=SelectedTechnology)</f>
        <v>1</v>
      </c>
      <c r="J496" s="14" t="b">
        <f>OR(Transport_Table[[#This Row],[Data Source]]="All",Transport_Table[[#This Row],[Data Source]]=SelectedDataSource)</f>
        <v>0</v>
      </c>
      <c r="L496" s="14" t="b">
        <f>AND(Transport_Table[[#This Row],[Show Feedstock]:[Show Data Source]],NOT(Transport_Table[[#This Row],[Hide Column]]))</f>
        <v>0</v>
      </c>
      <c r="M496" s="14" t="s">
        <v>14</v>
      </c>
      <c r="N496" s="14" t="s">
        <v>1210</v>
      </c>
      <c r="O496" s="14" t="s">
        <v>1292</v>
      </c>
      <c r="P496" s="178" t="s">
        <v>1700</v>
      </c>
      <c r="Q496" s="400" t="s">
        <v>1947</v>
      </c>
      <c r="R496" s="393">
        <v>1</v>
      </c>
      <c r="S496" s="394">
        <v>29.999916154200001</v>
      </c>
      <c r="T496" s="107"/>
    </row>
    <row r="497" spans="1:20" x14ac:dyDescent="0.3">
      <c r="A497" s="190" t="s">
        <v>132</v>
      </c>
      <c r="B497" s="178" t="s">
        <v>129</v>
      </c>
      <c r="C497" s="178" t="s">
        <v>194</v>
      </c>
      <c r="D497" s="178" t="s">
        <v>1336</v>
      </c>
      <c r="E497" s="178" t="s">
        <v>31</v>
      </c>
      <c r="F497" s="14" t="b">
        <f>OR(Transport_Table[[#This Row],[Feedstock]]="All",Transport_Table[[#This Row],[Feedstock]]=SelectedFeedstock)</f>
        <v>0</v>
      </c>
      <c r="G497" s="14" t="b">
        <f>OR(Transport_Table[[#This Row],[Conversion]]="All",Transport_Table[[#This Row],[Conversion]]=SelectedConversion)</f>
        <v>0</v>
      </c>
      <c r="H497" s="14" t="b">
        <f>OR(Transport_Table[[#This Row],[Data Set]]="All",Transport_Table[[#This Row],[Data Set]]=SelectedDataSet)</f>
        <v>0</v>
      </c>
      <c r="I497" s="14" t="b">
        <f>OR(Transport_Table[[#This Row],[Technology]]="All",Transport_Table[[#This Row],[Technology]]=SelectedTechnology)</f>
        <v>1</v>
      </c>
      <c r="J497" s="14" t="b">
        <f>OR(Transport_Table[[#This Row],[Data Source]]="All",Transport_Table[[#This Row],[Data Source]]=SelectedDataSource)</f>
        <v>0</v>
      </c>
      <c r="K497" s="14" t="b">
        <v>1</v>
      </c>
      <c r="L497" s="14" t="b">
        <f>AND(Transport_Table[[#This Row],[Show Feedstock]:[Show Data Source]],NOT(Transport_Table[[#This Row],[Hide Column]]))</f>
        <v>0</v>
      </c>
      <c r="M497" s="14" t="s">
        <v>14</v>
      </c>
      <c r="N497" s="14" t="s">
        <v>1211</v>
      </c>
      <c r="O497" s="14" t="s">
        <v>1293</v>
      </c>
      <c r="P497" s="178" t="s">
        <v>132</v>
      </c>
      <c r="Q497" s="241" t="s">
        <v>1943</v>
      </c>
      <c r="R497" s="393">
        <v>1</v>
      </c>
      <c r="S497" s="394">
        <v>31.068550000000002</v>
      </c>
      <c r="T497" s="107"/>
    </row>
    <row r="498" spans="1:20" x14ac:dyDescent="0.3">
      <c r="A498" s="190" t="s">
        <v>132</v>
      </c>
      <c r="B498" s="178" t="s">
        <v>129</v>
      </c>
      <c r="C498" s="178" t="s">
        <v>194</v>
      </c>
      <c r="D498" s="178" t="s">
        <v>1336</v>
      </c>
      <c r="E498" s="178" t="s">
        <v>31</v>
      </c>
      <c r="F498" s="14" t="b">
        <f>OR(Transport_Table[[#This Row],[Feedstock]]="All",Transport_Table[[#This Row],[Feedstock]]=SelectedFeedstock)</f>
        <v>0</v>
      </c>
      <c r="G498" s="14" t="b">
        <f>OR(Transport_Table[[#This Row],[Conversion]]="All",Transport_Table[[#This Row],[Conversion]]=SelectedConversion)</f>
        <v>0</v>
      </c>
      <c r="H498" s="14" t="b">
        <f>OR(Transport_Table[[#This Row],[Data Set]]="All",Transport_Table[[#This Row],[Data Set]]=SelectedDataSet)</f>
        <v>0</v>
      </c>
      <c r="I498" s="14" t="b">
        <f>OR(Transport_Table[[#This Row],[Technology]]="All",Transport_Table[[#This Row],[Technology]]=SelectedTechnology)</f>
        <v>1</v>
      </c>
      <c r="J498" s="14" t="b">
        <f>OR(Transport_Table[[#This Row],[Data Source]]="All",Transport_Table[[#This Row],[Data Source]]=SelectedDataSource)</f>
        <v>0</v>
      </c>
      <c r="L498" s="14" t="b">
        <f>AND(Transport_Table[[#This Row],[Show Feedstock]:[Show Data Source]],NOT(Transport_Table[[#This Row],[Hide Column]]))</f>
        <v>0</v>
      </c>
      <c r="M498" s="14" t="s">
        <v>14</v>
      </c>
      <c r="N498" s="14" t="s">
        <v>1207</v>
      </c>
      <c r="O498" s="14" t="s">
        <v>1289</v>
      </c>
      <c r="P498" s="178" t="s">
        <v>1700</v>
      </c>
      <c r="Q498" s="241" t="s">
        <v>1944</v>
      </c>
      <c r="R498" s="393">
        <v>0.33</v>
      </c>
      <c r="S498" s="394">
        <v>520.08752700000002</v>
      </c>
      <c r="T498" s="107"/>
    </row>
    <row r="499" spans="1:20" x14ac:dyDescent="0.3">
      <c r="A499" s="190" t="s">
        <v>132</v>
      </c>
      <c r="B499" s="178" t="s">
        <v>129</v>
      </c>
      <c r="C499" s="178" t="s">
        <v>194</v>
      </c>
      <c r="D499" s="178" t="s">
        <v>1336</v>
      </c>
      <c r="E499" s="178" t="s">
        <v>31</v>
      </c>
      <c r="F499" s="14" t="b">
        <f>OR(Transport_Table[[#This Row],[Feedstock]]="All",Transport_Table[[#This Row],[Feedstock]]=SelectedFeedstock)</f>
        <v>0</v>
      </c>
      <c r="G499" s="14" t="b">
        <f>OR(Transport_Table[[#This Row],[Conversion]]="All",Transport_Table[[#This Row],[Conversion]]=SelectedConversion)</f>
        <v>0</v>
      </c>
      <c r="H499" s="14" t="b">
        <f>OR(Transport_Table[[#This Row],[Data Set]]="All",Transport_Table[[#This Row],[Data Set]]=SelectedDataSet)</f>
        <v>0</v>
      </c>
      <c r="I499" s="14" t="b">
        <f>OR(Transport_Table[[#This Row],[Technology]]="All",Transport_Table[[#This Row],[Technology]]=SelectedTechnology)</f>
        <v>1</v>
      </c>
      <c r="J499" s="14" t="b">
        <f>OR(Transport_Table[[#This Row],[Data Source]]="All",Transport_Table[[#This Row],[Data Source]]=SelectedDataSource)</f>
        <v>0</v>
      </c>
      <c r="L499" s="14" t="b">
        <f>AND(Transport_Table[[#This Row],[Show Feedstock]:[Show Data Source]],NOT(Transport_Table[[#This Row],[Hide Column]]))</f>
        <v>0</v>
      </c>
      <c r="M499" s="14" t="s">
        <v>14</v>
      </c>
      <c r="N499" s="14" t="s">
        <v>1208</v>
      </c>
      <c r="O499" s="14" t="s">
        <v>1290</v>
      </c>
      <c r="P499" s="178" t="s">
        <v>1700</v>
      </c>
      <c r="Q499" s="241" t="s">
        <v>1945</v>
      </c>
      <c r="R499" s="393">
        <v>0.6</v>
      </c>
      <c r="S499" s="394">
        <v>400.16292400000003</v>
      </c>
      <c r="T499" s="107"/>
    </row>
    <row r="500" spans="1:20" x14ac:dyDescent="0.3">
      <c r="A500" s="190" t="s">
        <v>132</v>
      </c>
      <c r="B500" s="178" t="s">
        <v>129</v>
      </c>
      <c r="C500" s="178" t="s">
        <v>194</v>
      </c>
      <c r="D500" s="178" t="s">
        <v>1336</v>
      </c>
      <c r="E500" s="178" t="s">
        <v>31</v>
      </c>
      <c r="F500" s="14" t="b">
        <f>OR(Transport_Table[[#This Row],[Feedstock]]="All",Transport_Table[[#This Row],[Feedstock]]=SelectedFeedstock)</f>
        <v>0</v>
      </c>
      <c r="G500" s="14" t="b">
        <f>OR(Transport_Table[[#This Row],[Conversion]]="All",Transport_Table[[#This Row],[Conversion]]=SelectedConversion)</f>
        <v>0</v>
      </c>
      <c r="H500" s="14" t="b">
        <f>OR(Transport_Table[[#This Row],[Data Set]]="All",Transport_Table[[#This Row],[Data Set]]=SelectedDataSet)</f>
        <v>0</v>
      </c>
      <c r="I500" s="14" t="b">
        <f>OR(Transport_Table[[#This Row],[Technology]]="All",Transport_Table[[#This Row],[Technology]]=SelectedTechnology)</f>
        <v>1</v>
      </c>
      <c r="J500" s="14" t="b">
        <f>OR(Transport_Table[[#This Row],[Data Source]]="All",Transport_Table[[#This Row],[Data Source]]=SelectedDataSource)</f>
        <v>0</v>
      </c>
      <c r="L500" s="14" t="b">
        <f>AND(Transport_Table[[#This Row],[Show Feedstock]:[Show Data Source]],NOT(Transport_Table[[#This Row],[Hide Column]]))</f>
        <v>0</v>
      </c>
      <c r="M500" s="14" t="s">
        <v>14</v>
      </c>
      <c r="N500" s="14" t="s">
        <v>1209</v>
      </c>
      <c r="O500" s="14" t="s">
        <v>1291</v>
      </c>
      <c r="P500" s="178" t="s">
        <v>1700</v>
      </c>
      <c r="Q500" s="241" t="s">
        <v>1946</v>
      </c>
      <c r="R500" s="393">
        <v>7.0000000000000007E-2</v>
      </c>
      <c r="S500" s="394">
        <v>800.32584800000006</v>
      </c>
      <c r="T500" s="107"/>
    </row>
    <row r="501" spans="1:20" x14ac:dyDescent="0.3">
      <c r="A501" s="190" t="s">
        <v>132</v>
      </c>
      <c r="B501" s="178" t="s">
        <v>129</v>
      </c>
      <c r="C501" s="178" t="s">
        <v>194</v>
      </c>
      <c r="D501" s="178" t="s">
        <v>1336</v>
      </c>
      <c r="E501" s="178" t="s">
        <v>31</v>
      </c>
      <c r="F501" s="14" t="b">
        <f>OR(Transport_Table[[#This Row],[Feedstock]]="All",Transport_Table[[#This Row],[Feedstock]]=SelectedFeedstock)</f>
        <v>0</v>
      </c>
      <c r="G501" s="14" t="b">
        <f>OR(Transport_Table[[#This Row],[Conversion]]="All",Transport_Table[[#This Row],[Conversion]]=SelectedConversion)</f>
        <v>0</v>
      </c>
      <c r="H501" s="14" t="b">
        <f>OR(Transport_Table[[#This Row],[Data Set]]="All",Transport_Table[[#This Row],[Data Set]]=SelectedDataSet)</f>
        <v>0</v>
      </c>
      <c r="I501" s="14" t="b">
        <f>OR(Transport_Table[[#This Row],[Technology]]="All",Transport_Table[[#This Row],[Technology]]=SelectedTechnology)</f>
        <v>1</v>
      </c>
      <c r="J501" s="14" t="b">
        <f>OR(Transport_Table[[#This Row],[Data Source]]="All",Transport_Table[[#This Row],[Data Source]]=SelectedDataSource)</f>
        <v>0</v>
      </c>
      <c r="L501" s="14" t="b">
        <f>AND(Transport_Table[[#This Row],[Show Feedstock]:[Show Data Source]],NOT(Transport_Table[[#This Row],[Hide Column]]))</f>
        <v>0</v>
      </c>
      <c r="M501" s="14" t="s">
        <v>14</v>
      </c>
      <c r="N501" s="14" t="s">
        <v>1210</v>
      </c>
      <c r="O501" s="14" t="s">
        <v>1292</v>
      </c>
      <c r="P501" s="178" t="s">
        <v>1700</v>
      </c>
      <c r="Q501" s="400" t="s">
        <v>1947</v>
      </c>
      <c r="R501" s="393">
        <v>1</v>
      </c>
      <c r="S501" s="394">
        <v>29.999916154200001</v>
      </c>
      <c r="T501" s="107"/>
    </row>
    <row r="502" spans="1:20" x14ac:dyDescent="0.3">
      <c r="A502" s="190" t="s">
        <v>131</v>
      </c>
      <c r="B502" s="178" t="s">
        <v>129</v>
      </c>
      <c r="C502" s="178" t="s">
        <v>194</v>
      </c>
      <c r="D502" s="178" t="s">
        <v>1335</v>
      </c>
      <c r="E502" s="178" t="s">
        <v>31</v>
      </c>
      <c r="F502" s="14" t="b">
        <f>OR(Transport_Table[[#This Row],[Feedstock]]="All",Transport_Table[[#This Row],[Feedstock]]=SelectedFeedstock)</f>
        <v>0</v>
      </c>
      <c r="G502" s="14" t="b">
        <f>OR(Transport_Table[[#This Row],[Conversion]]="All",Transport_Table[[#This Row],[Conversion]]=SelectedConversion)</f>
        <v>0</v>
      </c>
      <c r="H502" s="14" t="b">
        <f>OR(Transport_Table[[#This Row],[Data Set]]="All",Transport_Table[[#This Row],[Data Set]]=SelectedDataSet)</f>
        <v>0</v>
      </c>
      <c r="I502" s="14" t="b">
        <f>OR(Transport_Table[[#This Row],[Technology]]="All",Transport_Table[[#This Row],[Technology]]=SelectedTechnology)</f>
        <v>1</v>
      </c>
      <c r="J502" s="14" t="b">
        <f>OR(Transport_Table[[#This Row],[Data Source]]="All",Transport_Table[[#This Row],[Data Source]]=SelectedDataSource)</f>
        <v>0</v>
      </c>
      <c r="K502" s="14" t="b">
        <v>1</v>
      </c>
      <c r="L502" s="14" t="b">
        <f>AND(Transport_Table[[#This Row],[Show Feedstock]:[Show Data Source]],NOT(Transport_Table[[#This Row],[Hide Column]]))</f>
        <v>0</v>
      </c>
      <c r="M502" s="14" t="s">
        <v>14</v>
      </c>
      <c r="N502" s="14" t="s">
        <v>1211</v>
      </c>
      <c r="O502" s="14" t="s">
        <v>1293</v>
      </c>
      <c r="P502" s="178" t="s">
        <v>131</v>
      </c>
      <c r="Q502" s="241" t="s">
        <v>1943</v>
      </c>
      <c r="R502" s="393">
        <v>1</v>
      </c>
      <c r="S502" s="394">
        <v>50.020365500000004</v>
      </c>
      <c r="T502" s="107"/>
    </row>
    <row r="503" spans="1:20" x14ac:dyDescent="0.3">
      <c r="A503" s="190" t="s">
        <v>131</v>
      </c>
      <c r="B503" s="178" t="s">
        <v>129</v>
      </c>
      <c r="C503" s="178" t="s">
        <v>194</v>
      </c>
      <c r="D503" s="178" t="s">
        <v>1335</v>
      </c>
      <c r="E503" s="178" t="s">
        <v>31</v>
      </c>
      <c r="F503" s="14" t="b">
        <f>OR(Transport_Table[[#This Row],[Feedstock]]="All",Transport_Table[[#This Row],[Feedstock]]=SelectedFeedstock)</f>
        <v>0</v>
      </c>
      <c r="G503" s="14" t="b">
        <f>OR(Transport_Table[[#This Row],[Conversion]]="All",Transport_Table[[#This Row],[Conversion]]=SelectedConversion)</f>
        <v>0</v>
      </c>
      <c r="H503" s="14" t="b">
        <f>OR(Transport_Table[[#This Row],[Data Set]]="All",Transport_Table[[#This Row],[Data Set]]=SelectedDataSet)</f>
        <v>0</v>
      </c>
      <c r="I503" s="14" t="b">
        <f>OR(Transport_Table[[#This Row],[Technology]]="All",Transport_Table[[#This Row],[Technology]]=SelectedTechnology)</f>
        <v>1</v>
      </c>
      <c r="J503" s="14" t="b">
        <f>OR(Transport_Table[[#This Row],[Data Source]]="All",Transport_Table[[#This Row],[Data Source]]=SelectedDataSource)</f>
        <v>0</v>
      </c>
      <c r="L503" s="14" t="b">
        <f>AND(Transport_Table[[#This Row],[Show Feedstock]:[Show Data Source]],NOT(Transport_Table[[#This Row],[Hide Column]]))</f>
        <v>0</v>
      </c>
      <c r="M503" s="14" t="s">
        <v>14</v>
      </c>
      <c r="N503" s="14" t="s">
        <v>1207</v>
      </c>
      <c r="O503" s="14" t="s">
        <v>1289</v>
      </c>
      <c r="P503" s="178" t="s">
        <v>1700</v>
      </c>
      <c r="Q503" s="241" t="s">
        <v>1944</v>
      </c>
      <c r="R503" s="393">
        <v>0.33</v>
      </c>
      <c r="S503" s="394">
        <v>520.08752700000002</v>
      </c>
      <c r="T503" s="107"/>
    </row>
    <row r="504" spans="1:20" x14ac:dyDescent="0.3">
      <c r="A504" s="190" t="s">
        <v>131</v>
      </c>
      <c r="B504" s="178" t="s">
        <v>129</v>
      </c>
      <c r="C504" s="178" t="s">
        <v>194</v>
      </c>
      <c r="D504" s="178" t="s">
        <v>1335</v>
      </c>
      <c r="E504" s="178" t="s">
        <v>31</v>
      </c>
      <c r="F504" s="14" t="b">
        <f>OR(Transport_Table[[#This Row],[Feedstock]]="All",Transport_Table[[#This Row],[Feedstock]]=SelectedFeedstock)</f>
        <v>0</v>
      </c>
      <c r="G504" s="14" t="b">
        <f>OR(Transport_Table[[#This Row],[Conversion]]="All",Transport_Table[[#This Row],[Conversion]]=SelectedConversion)</f>
        <v>0</v>
      </c>
      <c r="H504" s="14" t="b">
        <f>OR(Transport_Table[[#This Row],[Data Set]]="All",Transport_Table[[#This Row],[Data Set]]=SelectedDataSet)</f>
        <v>0</v>
      </c>
      <c r="I504" s="14" t="b">
        <f>OR(Transport_Table[[#This Row],[Technology]]="All",Transport_Table[[#This Row],[Technology]]=SelectedTechnology)</f>
        <v>1</v>
      </c>
      <c r="J504" s="14" t="b">
        <f>OR(Transport_Table[[#This Row],[Data Source]]="All",Transport_Table[[#This Row],[Data Source]]=SelectedDataSource)</f>
        <v>0</v>
      </c>
      <c r="L504" s="14" t="b">
        <f>AND(Transport_Table[[#This Row],[Show Feedstock]:[Show Data Source]],NOT(Transport_Table[[#This Row],[Hide Column]]))</f>
        <v>0</v>
      </c>
      <c r="M504" s="14" t="s">
        <v>14</v>
      </c>
      <c r="N504" s="14" t="s">
        <v>1208</v>
      </c>
      <c r="O504" s="14" t="s">
        <v>1290</v>
      </c>
      <c r="P504" s="178" t="s">
        <v>1700</v>
      </c>
      <c r="Q504" s="241" t="s">
        <v>1945</v>
      </c>
      <c r="R504" s="393">
        <v>0.6</v>
      </c>
      <c r="S504" s="394">
        <v>400.16292400000003</v>
      </c>
      <c r="T504" s="107"/>
    </row>
    <row r="505" spans="1:20" x14ac:dyDescent="0.3">
      <c r="A505" s="190" t="s">
        <v>131</v>
      </c>
      <c r="B505" s="178" t="s">
        <v>129</v>
      </c>
      <c r="C505" s="178" t="s">
        <v>194</v>
      </c>
      <c r="D505" s="178" t="s">
        <v>1335</v>
      </c>
      <c r="E505" s="178" t="s">
        <v>31</v>
      </c>
      <c r="F505" s="14" t="b">
        <f>OR(Transport_Table[[#This Row],[Feedstock]]="All",Transport_Table[[#This Row],[Feedstock]]=SelectedFeedstock)</f>
        <v>0</v>
      </c>
      <c r="G505" s="14" t="b">
        <f>OR(Transport_Table[[#This Row],[Conversion]]="All",Transport_Table[[#This Row],[Conversion]]=SelectedConversion)</f>
        <v>0</v>
      </c>
      <c r="H505" s="14" t="b">
        <f>OR(Transport_Table[[#This Row],[Data Set]]="All",Transport_Table[[#This Row],[Data Set]]=SelectedDataSet)</f>
        <v>0</v>
      </c>
      <c r="I505" s="14" t="b">
        <f>OR(Transport_Table[[#This Row],[Technology]]="All",Transport_Table[[#This Row],[Technology]]=SelectedTechnology)</f>
        <v>1</v>
      </c>
      <c r="J505" s="14" t="b">
        <f>OR(Transport_Table[[#This Row],[Data Source]]="All",Transport_Table[[#This Row],[Data Source]]=SelectedDataSource)</f>
        <v>0</v>
      </c>
      <c r="L505" s="14" t="b">
        <f>AND(Transport_Table[[#This Row],[Show Feedstock]:[Show Data Source]],NOT(Transport_Table[[#This Row],[Hide Column]]))</f>
        <v>0</v>
      </c>
      <c r="M505" s="14" t="s">
        <v>14</v>
      </c>
      <c r="N505" s="14" t="s">
        <v>1209</v>
      </c>
      <c r="O505" s="14" t="s">
        <v>1291</v>
      </c>
      <c r="P505" s="178" t="s">
        <v>1700</v>
      </c>
      <c r="Q505" s="241" t="s">
        <v>1946</v>
      </c>
      <c r="R505" s="393">
        <v>7.0000000000000007E-2</v>
      </c>
      <c r="S505" s="394">
        <v>800.32584800000006</v>
      </c>
      <c r="T505" s="107"/>
    </row>
    <row r="506" spans="1:20" x14ac:dyDescent="0.3">
      <c r="A506" s="190" t="s">
        <v>131</v>
      </c>
      <c r="B506" s="178" t="s">
        <v>129</v>
      </c>
      <c r="C506" s="178" t="s">
        <v>194</v>
      </c>
      <c r="D506" s="178" t="s">
        <v>1335</v>
      </c>
      <c r="E506" s="178" t="s">
        <v>31</v>
      </c>
      <c r="F506" s="14" t="b">
        <f>OR(Transport_Table[[#This Row],[Feedstock]]="All",Transport_Table[[#This Row],[Feedstock]]=SelectedFeedstock)</f>
        <v>0</v>
      </c>
      <c r="G506" s="14" t="b">
        <f>OR(Transport_Table[[#This Row],[Conversion]]="All",Transport_Table[[#This Row],[Conversion]]=SelectedConversion)</f>
        <v>0</v>
      </c>
      <c r="H506" s="14" t="b">
        <f>OR(Transport_Table[[#This Row],[Data Set]]="All",Transport_Table[[#This Row],[Data Set]]=SelectedDataSet)</f>
        <v>0</v>
      </c>
      <c r="I506" s="14" t="b">
        <f>OR(Transport_Table[[#This Row],[Technology]]="All",Transport_Table[[#This Row],[Technology]]=SelectedTechnology)</f>
        <v>1</v>
      </c>
      <c r="J506" s="14" t="b">
        <f>OR(Transport_Table[[#This Row],[Data Source]]="All",Transport_Table[[#This Row],[Data Source]]=SelectedDataSource)</f>
        <v>0</v>
      </c>
      <c r="L506" s="14" t="b">
        <f>AND(Transport_Table[[#This Row],[Show Feedstock]:[Show Data Source]],NOT(Transport_Table[[#This Row],[Hide Column]]))</f>
        <v>0</v>
      </c>
      <c r="M506" s="14" t="s">
        <v>14</v>
      </c>
      <c r="N506" s="14" t="s">
        <v>1210</v>
      </c>
      <c r="O506" s="14" t="s">
        <v>1292</v>
      </c>
      <c r="P506" s="178" t="s">
        <v>1700</v>
      </c>
      <c r="Q506" s="400" t="s">
        <v>1947</v>
      </c>
      <c r="R506" s="393">
        <v>1</v>
      </c>
      <c r="S506" s="394">
        <v>29.999916154200001</v>
      </c>
      <c r="T506" s="107"/>
    </row>
    <row r="507" spans="1:20" x14ac:dyDescent="0.3">
      <c r="A507" s="190" t="s">
        <v>131</v>
      </c>
      <c r="B507" s="178" t="s">
        <v>129</v>
      </c>
      <c r="C507" s="178" t="s">
        <v>194</v>
      </c>
      <c r="D507" s="178" t="s">
        <v>1338</v>
      </c>
      <c r="E507" s="178" t="s">
        <v>31</v>
      </c>
      <c r="F507" s="14" t="b">
        <f>OR(Transport_Table[[#This Row],[Feedstock]]="All",Transport_Table[[#This Row],[Feedstock]]=SelectedFeedstock)</f>
        <v>0</v>
      </c>
      <c r="G507" s="14" t="b">
        <f>OR(Transport_Table[[#This Row],[Conversion]]="All",Transport_Table[[#This Row],[Conversion]]=SelectedConversion)</f>
        <v>0</v>
      </c>
      <c r="H507" s="14" t="b">
        <f>OR(Transport_Table[[#This Row],[Data Set]]="All",Transport_Table[[#This Row],[Data Set]]=SelectedDataSet)</f>
        <v>0</v>
      </c>
      <c r="I507" s="14" t="b">
        <f>OR(Transport_Table[[#This Row],[Technology]]="All",Transport_Table[[#This Row],[Technology]]=SelectedTechnology)</f>
        <v>1</v>
      </c>
      <c r="J507" s="14" t="b">
        <f>OR(Transport_Table[[#This Row],[Data Source]]="All",Transport_Table[[#This Row],[Data Source]]=SelectedDataSource)</f>
        <v>0</v>
      </c>
      <c r="K507" s="14" t="b">
        <v>1</v>
      </c>
      <c r="L507" s="14" t="b">
        <f>AND(Transport_Table[[#This Row],[Show Feedstock]:[Show Data Source]],NOT(Transport_Table[[#This Row],[Hide Column]]))</f>
        <v>0</v>
      </c>
      <c r="M507" s="14" t="s">
        <v>14</v>
      </c>
      <c r="N507" s="14" t="s">
        <v>1211</v>
      </c>
      <c r="O507" s="14" t="s">
        <v>1293</v>
      </c>
      <c r="P507" s="178" t="s">
        <v>131</v>
      </c>
      <c r="Q507" s="241" t="s">
        <v>1943</v>
      </c>
      <c r="R507" s="393">
        <v>1</v>
      </c>
      <c r="S507" s="394">
        <v>50.020365500000004</v>
      </c>
      <c r="T507" s="107"/>
    </row>
    <row r="508" spans="1:20" x14ac:dyDescent="0.3">
      <c r="A508" s="190" t="s">
        <v>131</v>
      </c>
      <c r="B508" s="178" t="s">
        <v>129</v>
      </c>
      <c r="C508" s="178" t="s">
        <v>194</v>
      </c>
      <c r="D508" s="178" t="s">
        <v>1338</v>
      </c>
      <c r="E508" s="178" t="s">
        <v>31</v>
      </c>
      <c r="F508" s="14" t="b">
        <f>OR(Transport_Table[[#This Row],[Feedstock]]="All",Transport_Table[[#This Row],[Feedstock]]=SelectedFeedstock)</f>
        <v>0</v>
      </c>
      <c r="G508" s="14" t="b">
        <f>OR(Transport_Table[[#This Row],[Conversion]]="All",Transport_Table[[#This Row],[Conversion]]=SelectedConversion)</f>
        <v>0</v>
      </c>
      <c r="H508" s="14" t="b">
        <f>OR(Transport_Table[[#This Row],[Data Set]]="All",Transport_Table[[#This Row],[Data Set]]=SelectedDataSet)</f>
        <v>0</v>
      </c>
      <c r="I508" s="14" t="b">
        <f>OR(Transport_Table[[#This Row],[Technology]]="All",Transport_Table[[#This Row],[Technology]]=SelectedTechnology)</f>
        <v>1</v>
      </c>
      <c r="J508" s="14" t="b">
        <f>OR(Transport_Table[[#This Row],[Data Source]]="All",Transport_Table[[#This Row],[Data Source]]=SelectedDataSource)</f>
        <v>0</v>
      </c>
      <c r="L508" s="14" t="b">
        <f>AND(Transport_Table[[#This Row],[Show Feedstock]:[Show Data Source]],NOT(Transport_Table[[#This Row],[Hide Column]]))</f>
        <v>0</v>
      </c>
      <c r="M508" s="14" t="s">
        <v>14</v>
      </c>
      <c r="N508" s="14" t="s">
        <v>1207</v>
      </c>
      <c r="O508" s="14" t="s">
        <v>1289</v>
      </c>
      <c r="P508" s="178" t="s">
        <v>1700</v>
      </c>
      <c r="Q508" s="241" t="s">
        <v>1944</v>
      </c>
      <c r="R508" s="393">
        <v>0.33</v>
      </c>
      <c r="S508" s="394">
        <v>520.08752700000002</v>
      </c>
      <c r="T508" s="107"/>
    </row>
    <row r="509" spans="1:20" x14ac:dyDescent="0.3">
      <c r="A509" s="190" t="s">
        <v>131</v>
      </c>
      <c r="B509" s="178" t="s">
        <v>129</v>
      </c>
      <c r="C509" s="178" t="s">
        <v>194</v>
      </c>
      <c r="D509" s="178" t="s">
        <v>1338</v>
      </c>
      <c r="E509" s="178" t="s">
        <v>31</v>
      </c>
      <c r="F509" s="14" t="b">
        <f>OR(Transport_Table[[#This Row],[Feedstock]]="All",Transport_Table[[#This Row],[Feedstock]]=SelectedFeedstock)</f>
        <v>0</v>
      </c>
      <c r="G509" s="14" t="b">
        <f>OR(Transport_Table[[#This Row],[Conversion]]="All",Transport_Table[[#This Row],[Conversion]]=SelectedConversion)</f>
        <v>0</v>
      </c>
      <c r="H509" s="14" t="b">
        <f>OR(Transport_Table[[#This Row],[Data Set]]="All",Transport_Table[[#This Row],[Data Set]]=SelectedDataSet)</f>
        <v>0</v>
      </c>
      <c r="I509" s="14" t="b">
        <f>OR(Transport_Table[[#This Row],[Technology]]="All",Transport_Table[[#This Row],[Technology]]=SelectedTechnology)</f>
        <v>1</v>
      </c>
      <c r="J509" s="14" t="b">
        <f>OR(Transport_Table[[#This Row],[Data Source]]="All",Transport_Table[[#This Row],[Data Source]]=SelectedDataSource)</f>
        <v>0</v>
      </c>
      <c r="L509" s="14" t="b">
        <f>AND(Transport_Table[[#This Row],[Show Feedstock]:[Show Data Source]],NOT(Transport_Table[[#This Row],[Hide Column]]))</f>
        <v>0</v>
      </c>
      <c r="M509" s="14" t="s">
        <v>14</v>
      </c>
      <c r="N509" s="14" t="s">
        <v>1208</v>
      </c>
      <c r="O509" s="14" t="s">
        <v>1290</v>
      </c>
      <c r="P509" s="178" t="s">
        <v>1700</v>
      </c>
      <c r="Q509" s="241" t="s">
        <v>1945</v>
      </c>
      <c r="R509" s="393">
        <v>0.6</v>
      </c>
      <c r="S509" s="394">
        <v>400.16292400000003</v>
      </c>
      <c r="T509" s="107"/>
    </row>
    <row r="510" spans="1:20" x14ac:dyDescent="0.3">
      <c r="A510" s="190" t="s">
        <v>131</v>
      </c>
      <c r="B510" s="178" t="s">
        <v>129</v>
      </c>
      <c r="C510" s="178" t="s">
        <v>194</v>
      </c>
      <c r="D510" s="178" t="s">
        <v>1338</v>
      </c>
      <c r="E510" s="178" t="s">
        <v>31</v>
      </c>
      <c r="F510" s="14" t="b">
        <f>OR(Transport_Table[[#This Row],[Feedstock]]="All",Transport_Table[[#This Row],[Feedstock]]=SelectedFeedstock)</f>
        <v>0</v>
      </c>
      <c r="G510" s="14" t="b">
        <f>OR(Transport_Table[[#This Row],[Conversion]]="All",Transport_Table[[#This Row],[Conversion]]=SelectedConversion)</f>
        <v>0</v>
      </c>
      <c r="H510" s="14" t="b">
        <f>OR(Transport_Table[[#This Row],[Data Set]]="All",Transport_Table[[#This Row],[Data Set]]=SelectedDataSet)</f>
        <v>0</v>
      </c>
      <c r="I510" s="14" t="b">
        <f>OR(Transport_Table[[#This Row],[Technology]]="All",Transport_Table[[#This Row],[Technology]]=SelectedTechnology)</f>
        <v>1</v>
      </c>
      <c r="J510" s="14" t="b">
        <f>OR(Transport_Table[[#This Row],[Data Source]]="All",Transport_Table[[#This Row],[Data Source]]=SelectedDataSource)</f>
        <v>0</v>
      </c>
      <c r="L510" s="14" t="b">
        <f>AND(Transport_Table[[#This Row],[Show Feedstock]:[Show Data Source]],NOT(Transport_Table[[#This Row],[Hide Column]]))</f>
        <v>0</v>
      </c>
      <c r="M510" s="14" t="s">
        <v>14</v>
      </c>
      <c r="N510" s="14" t="s">
        <v>1209</v>
      </c>
      <c r="O510" s="14" t="s">
        <v>1291</v>
      </c>
      <c r="P510" s="178" t="s">
        <v>1700</v>
      </c>
      <c r="Q510" s="241" t="s">
        <v>1946</v>
      </c>
      <c r="R510" s="393">
        <v>7.0000000000000007E-2</v>
      </c>
      <c r="S510" s="394">
        <v>800.32584800000006</v>
      </c>
      <c r="T510" s="107"/>
    </row>
    <row r="511" spans="1:20" x14ac:dyDescent="0.3">
      <c r="A511" s="190" t="s">
        <v>131</v>
      </c>
      <c r="B511" s="178" t="s">
        <v>129</v>
      </c>
      <c r="C511" s="178" t="s">
        <v>194</v>
      </c>
      <c r="D511" s="178" t="s">
        <v>1338</v>
      </c>
      <c r="E511" s="178" t="s">
        <v>31</v>
      </c>
      <c r="F511" s="14" t="b">
        <f>OR(Transport_Table[[#This Row],[Feedstock]]="All",Transport_Table[[#This Row],[Feedstock]]=SelectedFeedstock)</f>
        <v>0</v>
      </c>
      <c r="G511" s="14" t="b">
        <f>OR(Transport_Table[[#This Row],[Conversion]]="All",Transport_Table[[#This Row],[Conversion]]=SelectedConversion)</f>
        <v>0</v>
      </c>
      <c r="H511" s="14" t="b">
        <f>OR(Transport_Table[[#This Row],[Data Set]]="All",Transport_Table[[#This Row],[Data Set]]=SelectedDataSet)</f>
        <v>0</v>
      </c>
      <c r="I511" s="14" t="b">
        <f>OR(Transport_Table[[#This Row],[Technology]]="All",Transport_Table[[#This Row],[Technology]]=SelectedTechnology)</f>
        <v>1</v>
      </c>
      <c r="J511" s="14" t="b">
        <f>OR(Transport_Table[[#This Row],[Data Source]]="All",Transport_Table[[#This Row],[Data Source]]=SelectedDataSource)</f>
        <v>0</v>
      </c>
      <c r="L511" s="14" t="b">
        <f>AND(Transport_Table[[#This Row],[Show Feedstock]:[Show Data Source]],NOT(Transport_Table[[#This Row],[Hide Column]]))</f>
        <v>0</v>
      </c>
      <c r="M511" s="14" t="s">
        <v>14</v>
      </c>
      <c r="N511" s="14" t="s">
        <v>1210</v>
      </c>
      <c r="O511" s="14" t="s">
        <v>1292</v>
      </c>
      <c r="P511" s="178" t="s">
        <v>1700</v>
      </c>
      <c r="Q511" s="400" t="s">
        <v>1947</v>
      </c>
      <c r="R511" s="393">
        <v>1</v>
      </c>
      <c r="S511" s="394">
        <v>29.999916154200001</v>
      </c>
      <c r="T511" s="107"/>
    </row>
    <row r="512" spans="1:20" x14ac:dyDescent="0.3">
      <c r="A512" s="190" t="s">
        <v>135</v>
      </c>
      <c r="B512" s="178" t="s">
        <v>129</v>
      </c>
      <c r="C512" s="178" t="s">
        <v>194</v>
      </c>
      <c r="D512" s="178" t="s">
        <v>1335</v>
      </c>
      <c r="E512" s="178" t="s">
        <v>31</v>
      </c>
      <c r="F512" s="14" t="b">
        <f>OR(Transport_Table[[#This Row],[Feedstock]]="All",Transport_Table[[#This Row],[Feedstock]]=SelectedFeedstock)</f>
        <v>0</v>
      </c>
      <c r="G512" s="14" t="b">
        <f>OR(Transport_Table[[#This Row],[Conversion]]="All",Transport_Table[[#This Row],[Conversion]]=SelectedConversion)</f>
        <v>0</v>
      </c>
      <c r="H512" s="14" t="b">
        <f>OR(Transport_Table[[#This Row],[Data Set]]="All",Transport_Table[[#This Row],[Data Set]]=SelectedDataSet)</f>
        <v>0</v>
      </c>
      <c r="I512" s="14" t="b">
        <f>OR(Transport_Table[[#This Row],[Technology]]="All",Transport_Table[[#This Row],[Technology]]=SelectedTechnology)</f>
        <v>1</v>
      </c>
      <c r="J512" s="14" t="b">
        <f>OR(Transport_Table[[#This Row],[Data Source]]="All",Transport_Table[[#This Row],[Data Source]]=SelectedDataSource)</f>
        <v>0</v>
      </c>
      <c r="K512" s="14" t="b">
        <v>1</v>
      </c>
      <c r="L512" s="14" t="b">
        <f>AND(Transport_Table[[#This Row],[Show Feedstock]:[Show Data Source]],NOT(Transport_Table[[#This Row],[Hide Column]]))</f>
        <v>0</v>
      </c>
      <c r="M512" s="14" t="s">
        <v>147</v>
      </c>
      <c r="N512" s="14" t="s">
        <v>1214</v>
      </c>
      <c r="O512" s="14" t="s">
        <v>1296</v>
      </c>
      <c r="P512" s="178" t="s">
        <v>135</v>
      </c>
      <c r="Q512" s="241" t="s">
        <v>1943</v>
      </c>
      <c r="R512" s="393">
        <v>1</v>
      </c>
      <c r="S512" s="394">
        <f>153.2*0.621371</f>
        <v>95.194037199999997</v>
      </c>
      <c r="T512" s="107"/>
    </row>
    <row r="513" spans="1:20" x14ac:dyDescent="0.3">
      <c r="A513" s="190" t="s">
        <v>135</v>
      </c>
      <c r="B513" s="178" t="s">
        <v>129</v>
      </c>
      <c r="C513" s="178" t="s">
        <v>194</v>
      </c>
      <c r="D513" s="178" t="s">
        <v>1335</v>
      </c>
      <c r="E513" s="178" t="s">
        <v>31</v>
      </c>
      <c r="F513" s="14" t="b">
        <f>OR(Transport_Table[[#This Row],[Feedstock]]="All",Transport_Table[[#This Row],[Feedstock]]=SelectedFeedstock)</f>
        <v>0</v>
      </c>
      <c r="G513" s="14" t="b">
        <f>OR(Transport_Table[[#This Row],[Conversion]]="All",Transport_Table[[#This Row],[Conversion]]=SelectedConversion)</f>
        <v>0</v>
      </c>
      <c r="H513" s="14" t="b">
        <f>OR(Transport_Table[[#This Row],[Data Set]]="All",Transport_Table[[#This Row],[Data Set]]=SelectedDataSet)</f>
        <v>0</v>
      </c>
      <c r="I513" s="14" t="b">
        <f>OR(Transport_Table[[#This Row],[Technology]]="All",Transport_Table[[#This Row],[Technology]]=SelectedTechnology)</f>
        <v>1</v>
      </c>
      <c r="J513" s="14" t="b">
        <f>OR(Transport_Table[[#This Row],[Data Source]]="All",Transport_Table[[#This Row],[Data Source]]=SelectedDataSource)</f>
        <v>0</v>
      </c>
      <c r="L513" s="14" t="b">
        <f>AND(Transport_Table[[#This Row],[Show Feedstock]:[Show Data Source]],NOT(Transport_Table[[#This Row],[Hide Column]]))</f>
        <v>0</v>
      </c>
      <c r="M513" s="14" t="s">
        <v>147</v>
      </c>
      <c r="N513" s="14" t="s">
        <v>1207</v>
      </c>
      <c r="O513" s="14" t="s">
        <v>1289</v>
      </c>
      <c r="P513" s="178" t="s">
        <v>1700</v>
      </c>
      <c r="Q513" s="241" t="s">
        <v>1944</v>
      </c>
      <c r="R513" s="393">
        <v>0.33</v>
      </c>
      <c r="S513" s="394">
        <v>520.08752700000002</v>
      </c>
      <c r="T513" s="107"/>
    </row>
    <row r="514" spans="1:20" x14ac:dyDescent="0.3">
      <c r="A514" s="190" t="s">
        <v>135</v>
      </c>
      <c r="B514" s="178" t="s">
        <v>129</v>
      </c>
      <c r="C514" s="178" t="s">
        <v>194</v>
      </c>
      <c r="D514" s="178" t="s">
        <v>1335</v>
      </c>
      <c r="E514" s="178" t="s">
        <v>31</v>
      </c>
      <c r="F514" s="14" t="b">
        <f>OR(Transport_Table[[#This Row],[Feedstock]]="All",Transport_Table[[#This Row],[Feedstock]]=SelectedFeedstock)</f>
        <v>0</v>
      </c>
      <c r="G514" s="14" t="b">
        <f>OR(Transport_Table[[#This Row],[Conversion]]="All",Transport_Table[[#This Row],[Conversion]]=SelectedConversion)</f>
        <v>0</v>
      </c>
      <c r="H514" s="14" t="b">
        <f>OR(Transport_Table[[#This Row],[Data Set]]="All",Transport_Table[[#This Row],[Data Set]]=SelectedDataSet)</f>
        <v>0</v>
      </c>
      <c r="I514" s="14" t="b">
        <f>OR(Transport_Table[[#This Row],[Technology]]="All",Transport_Table[[#This Row],[Technology]]=SelectedTechnology)</f>
        <v>1</v>
      </c>
      <c r="J514" s="14" t="b">
        <f>OR(Transport_Table[[#This Row],[Data Source]]="All",Transport_Table[[#This Row],[Data Source]]=SelectedDataSource)</f>
        <v>0</v>
      </c>
      <c r="L514" s="14" t="b">
        <f>AND(Transport_Table[[#This Row],[Show Feedstock]:[Show Data Source]],NOT(Transport_Table[[#This Row],[Hide Column]]))</f>
        <v>0</v>
      </c>
      <c r="M514" s="14" t="s">
        <v>147</v>
      </c>
      <c r="N514" s="14" t="s">
        <v>1208</v>
      </c>
      <c r="O514" s="14" t="s">
        <v>1290</v>
      </c>
      <c r="P514" s="178" t="s">
        <v>1700</v>
      </c>
      <c r="Q514" s="241" t="s">
        <v>1945</v>
      </c>
      <c r="R514" s="393">
        <v>0.6</v>
      </c>
      <c r="S514" s="394">
        <v>400.16292400000003</v>
      </c>
      <c r="T514" s="107"/>
    </row>
    <row r="515" spans="1:20" x14ac:dyDescent="0.3">
      <c r="A515" s="190" t="s">
        <v>135</v>
      </c>
      <c r="B515" s="178" t="s">
        <v>129</v>
      </c>
      <c r="C515" s="178" t="s">
        <v>194</v>
      </c>
      <c r="D515" s="178" t="s">
        <v>1335</v>
      </c>
      <c r="E515" s="178" t="s">
        <v>31</v>
      </c>
      <c r="F515" s="14" t="b">
        <f>OR(Transport_Table[[#This Row],[Feedstock]]="All",Transport_Table[[#This Row],[Feedstock]]=SelectedFeedstock)</f>
        <v>0</v>
      </c>
      <c r="G515" s="14" t="b">
        <f>OR(Transport_Table[[#This Row],[Conversion]]="All",Transport_Table[[#This Row],[Conversion]]=SelectedConversion)</f>
        <v>0</v>
      </c>
      <c r="H515" s="14" t="b">
        <f>OR(Transport_Table[[#This Row],[Data Set]]="All",Transport_Table[[#This Row],[Data Set]]=SelectedDataSet)</f>
        <v>0</v>
      </c>
      <c r="I515" s="14" t="b">
        <f>OR(Transport_Table[[#This Row],[Technology]]="All",Transport_Table[[#This Row],[Technology]]=SelectedTechnology)</f>
        <v>1</v>
      </c>
      <c r="J515" s="14" t="b">
        <f>OR(Transport_Table[[#This Row],[Data Source]]="All",Transport_Table[[#This Row],[Data Source]]=SelectedDataSource)</f>
        <v>0</v>
      </c>
      <c r="L515" s="14" t="b">
        <f>AND(Transport_Table[[#This Row],[Show Feedstock]:[Show Data Source]],NOT(Transport_Table[[#This Row],[Hide Column]]))</f>
        <v>0</v>
      </c>
      <c r="M515" s="14" t="s">
        <v>147</v>
      </c>
      <c r="N515" s="14" t="s">
        <v>1209</v>
      </c>
      <c r="O515" s="14" t="s">
        <v>1291</v>
      </c>
      <c r="P515" s="178" t="s">
        <v>1700</v>
      </c>
      <c r="Q515" s="241" t="s">
        <v>1946</v>
      </c>
      <c r="R515" s="393">
        <v>7.0000000000000007E-2</v>
      </c>
      <c r="S515" s="394">
        <v>800.32584800000006</v>
      </c>
      <c r="T515" s="107"/>
    </row>
    <row r="516" spans="1:20" x14ac:dyDescent="0.3">
      <c r="A516" s="190" t="s">
        <v>135</v>
      </c>
      <c r="B516" s="178" t="s">
        <v>129</v>
      </c>
      <c r="C516" s="178" t="s">
        <v>194</v>
      </c>
      <c r="D516" s="178" t="s">
        <v>1335</v>
      </c>
      <c r="E516" s="178" t="s">
        <v>31</v>
      </c>
      <c r="F516" s="14" t="b">
        <f>OR(Transport_Table[[#This Row],[Feedstock]]="All",Transport_Table[[#This Row],[Feedstock]]=SelectedFeedstock)</f>
        <v>0</v>
      </c>
      <c r="G516" s="14" t="b">
        <f>OR(Transport_Table[[#This Row],[Conversion]]="All",Transport_Table[[#This Row],[Conversion]]=SelectedConversion)</f>
        <v>0</v>
      </c>
      <c r="H516" s="14" t="b">
        <f>OR(Transport_Table[[#This Row],[Data Set]]="All",Transport_Table[[#This Row],[Data Set]]=SelectedDataSet)</f>
        <v>0</v>
      </c>
      <c r="I516" s="14" t="b">
        <f>OR(Transport_Table[[#This Row],[Technology]]="All",Transport_Table[[#This Row],[Technology]]=SelectedTechnology)</f>
        <v>1</v>
      </c>
      <c r="J516" s="14" t="b">
        <f>OR(Transport_Table[[#This Row],[Data Source]]="All",Transport_Table[[#This Row],[Data Source]]=SelectedDataSource)</f>
        <v>0</v>
      </c>
      <c r="L516" s="14" t="b">
        <f>AND(Transport_Table[[#This Row],[Show Feedstock]:[Show Data Source]],NOT(Transport_Table[[#This Row],[Hide Column]]))</f>
        <v>0</v>
      </c>
      <c r="M516" s="14" t="s">
        <v>147</v>
      </c>
      <c r="N516" s="14" t="s">
        <v>1210</v>
      </c>
      <c r="O516" s="14" t="s">
        <v>1292</v>
      </c>
      <c r="P516" s="178" t="s">
        <v>1700</v>
      </c>
      <c r="Q516" s="400" t="s">
        <v>1947</v>
      </c>
      <c r="R516" s="393">
        <v>1</v>
      </c>
      <c r="S516" s="394">
        <v>29.999916154200001</v>
      </c>
      <c r="T516" s="107"/>
    </row>
    <row r="517" spans="1:20" x14ac:dyDescent="0.3">
      <c r="A517" s="190" t="s">
        <v>135</v>
      </c>
      <c r="B517" s="178" t="s">
        <v>129</v>
      </c>
      <c r="C517" s="178" t="s">
        <v>194</v>
      </c>
      <c r="D517" s="178" t="s">
        <v>1336</v>
      </c>
      <c r="E517" s="178" t="s">
        <v>31</v>
      </c>
      <c r="F517" s="14" t="b">
        <f>OR(Transport_Table[[#This Row],[Feedstock]]="All",Transport_Table[[#This Row],[Feedstock]]=SelectedFeedstock)</f>
        <v>0</v>
      </c>
      <c r="G517" s="14" t="b">
        <f>OR(Transport_Table[[#This Row],[Conversion]]="All",Transport_Table[[#This Row],[Conversion]]=SelectedConversion)</f>
        <v>0</v>
      </c>
      <c r="H517" s="14" t="b">
        <f>OR(Transport_Table[[#This Row],[Data Set]]="All",Transport_Table[[#This Row],[Data Set]]=SelectedDataSet)</f>
        <v>0</v>
      </c>
      <c r="I517" s="14" t="b">
        <f>OR(Transport_Table[[#This Row],[Technology]]="All",Transport_Table[[#This Row],[Technology]]=SelectedTechnology)</f>
        <v>1</v>
      </c>
      <c r="J517" s="14" t="b">
        <f>OR(Transport_Table[[#This Row],[Data Source]]="All",Transport_Table[[#This Row],[Data Source]]=SelectedDataSource)</f>
        <v>0</v>
      </c>
      <c r="K517" s="14" t="b">
        <v>1</v>
      </c>
      <c r="L517" s="14" t="b">
        <f>AND(Transport_Table[[#This Row],[Show Feedstock]:[Show Data Source]],NOT(Transport_Table[[#This Row],[Hide Column]]))</f>
        <v>0</v>
      </c>
      <c r="M517" s="14" t="s">
        <v>147</v>
      </c>
      <c r="N517" s="14" t="s">
        <v>1214</v>
      </c>
      <c r="O517" s="14" t="s">
        <v>1296</v>
      </c>
      <c r="P517" s="178" t="s">
        <v>135</v>
      </c>
      <c r="Q517" s="241" t="s">
        <v>1943</v>
      </c>
      <c r="R517" s="393">
        <v>1</v>
      </c>
      <c r="S517" s="394">
        <v>310.68549999999999</v>
      </c>
      <c r="T517" s="107"/>
    </row>
    <row r="518" spans="1:20" x14ac:dyDescent="0.3">
      <c r="A518" s="190" t="s">
        <v>135</v>
      </c>
      <c r="B518" s="178" t="s">
        <v>129</v>
      </c>
      <c r="C518" s="178" t="s">
        <v>194</v>
      </c>
      <c r="D518" s="178" t="s">
        <v>1336</v>
      </c>
      <c r="E518" s="178" t="s">
        <v>31</v>
      </c>
      <c r="F518" s="14" t="b">
        <f>OR(Transport_Table[[#This Row],[Feedstock]]="All",Transport_Table[[#This Row],[Feedstock]]=SelectedFeedstock)</f>
        <v>0</v>
      </c>
      <c r="G518" s="14" t="b">
        <f>OR(Transport_Table[[#This Row],[Conversion]]="All",Transport_Table[[#This Row],[Conversion]]=SelectedConversion)</f>
        <v>0</v>
      </c>
      <c r="H518" s="14" t="b">
        <f>OR(Transport_Table[[#This Row],[Data Set]]="All",Transport_Table[[#This Row],[Data Set]]=SelectedDataSet)</f>
        <v>0</v>
      </c>
      <c r="I518" s="14" t="b">
        <f>OR(Transport_Table[[#This Row],[Technology]]="All",Transport_Table[[#This Row],[Technology]]=SelectedTechnology)</f>
        <v>1</v>
      </c>
      <c r="J518" s="14" t="b">
        <f>OR(Transport_Table[[#This Row],[Data Source]]="All",Transport_Table[[#This Row],[Data Source]]=SelectedDataSource)</f>
        <v>0</v>
      </c>
      <c r="L518" s="14" t="b">
        <f>AND(Transport_Table[[#This Row],[Show Feedstock]:[Show Data Source]],NOT(Transport_Table[[#This Row],[Hide Column]]))</f>
        <v>0</v>
      </c>
      <c r="M518" s="14" t="s">
        <v>147</v>
      </c>
      <c r="N518" s="14" t="s">
        <v>1207</v>
      </c>
      <c r="O518" s="14" t="s">
        <v>1289</v>
      </c>
      <c r="P518" s="178" t="s">
        <v>1700</v>
      </c>
      <c r="Q518" s="241" t="s">
        <v>1944</v>
      </c>
      <c r="R518" s="393">
        <v>0</v>
      </c>
      <c r="S518" s="394">
        <v>0</v>
      </c>
      <c r="T518" s="107"/>
    </row>
    <row r="519" spans="1:20" x14ac:dyDescent="0.3">
      <c r="A519" s="190" t="s">
        <v>135</v>
      </c>
      <c r="B519" s="178" t="s">
        <v>129</v>
      </c>
      <c r="C519" s="178" t="s">
        <v>194</v>
      </c>
      <c r="D519" s="178" t="s">
        <v>1336</v>
      </c>
      <c r="E519" s="178" t="s">
        <v>31</v>
      </c>
      <c r="F519" s="14" t="b">
        <f>OR(Transport_Table[[#This Row],[Feedstock]]="All",Transport_Table[[#This Row],[Feedstock]]=SelectedFeedstock)</f>
        <v>0</v>
      </c>
      <c r="G519" s="14" t="b">
        <f>OR(Transport_Table[[#This Row],[Conversion]]="All",Transport_Table[[#This Row],[Conversion]]=SelectedConversion)</f>
        <v>0</v>
      </c>
      <c r="H519" s="14" t="b">
        <f>OR(Transport_Table[[#This Row],[Data Set]]="All",Transport_Table[[#This Row],[Data Set]]=SelectedDataSet)</f>
        <v>0</v>
      </c>
      <c r="I519" s="14" t="b">
        <f>OR(Transport_Table[[#This Row],[Technology]]="All",Transport_Table[[#This Row],[Technology]]=SelectedTechnology)</f>
        <v>1</v>
      </c>
      <c r="J519" s="14" t="b">
        <f>OR(Transport_Table[[#This Row],[Data Source]]="All",Transport_Table[[#This Row],[Data Source]]=SelectedDataSource)</f>
        <v>0</v>
      </c>
      <c r="L519" s="14" t="b">
        <f>AND(Transport_Table[[#This Row],[Show Feedstock]:[Show Data Source]],NOT(Transport_Table[[#This Row],[Hide Column]]))</f>
        <v>0</v>
      </c>
      <c r="M519" s="14" t="s">
        <v>147</v>
      </c>
      <c r="N519" s="14" t="s">
        <v>1208</v>
      </c>
      <c r="O519" s="14" t="s">
        <v>1290</v>
      </c>
      <c r="P519" s="178" t="s">
        <v>1700</v>
      </c>
      <c r="Q519" s="241" t="s">
        <v>1945</v>
      </c>
      <c r="R519" s="393">
        <v>0</v>
      </c>
      <c r="S519" s="394">
        <v>0</v>
      </c>
      <c r="T519" s="107"/>
    </row>
    <row r="520" spans="1:20" x14ac:dyDescent="0.3">
      <c r="A520" s="190" t="s">
        <v>135</v>
      </c>
      <c r="B520" s="178" t="s">
        <v>129</v>
      </c>
      <c r="C520" s="178" t="s">
        <v>194</v>
      </c>
      <c r="D520" s="178" t="s">
        <v>1336</v>
      </c>
      <c r="E520" s="178" t="s">
        <v>31</v>
      </c>
      <c r="F520" s="14" t="b">
        <f>OR(Transport_Table[[#This Row],[Feedstock]]="All",Transport_Table[[#This Row],[Feedstock]]=SelectedFeedstock)</f>
        <v>0</v>
      </c>
      <c r="G520" s="14" t="b">
        <f>OR(Transport_Table[[#This Row],[Conversion]]="All",Transport_Table[[#This Row],[Conversion]]=SelectedConversion)</f>
        <v>0</v>
      </c>
      <c r="H520" s="14" t="b">
        <f>OR(Transport_Table[[#This Row],[Data Set]]="All",Transport_Table[[#This Row],[Data Set]]=SelectedDataSet)</f>
        <v>0</v>
      </c>
      <c r="I520" s="14" t="b">
        <f>OR(Transport_Table[[#This Row],[Technology]]="All",Transport_Table[[#This Row],[Technology]]=SelectedTechnology)</f>
        <v>1</v>
      </c>
      <c r="J520" s="14" t="b">
        <f>OR(Transport_Table[[#This Row],[Data Source]]="All",Transport_Table[[#This Row],[Data Source]]=SelectedDataSource)</f>
        <v>0</v>
      </c>
      <c r="L520" s="14" t="b">
        <f>AND(Transport_Table[[#This Row],[Show Feedstock]:[Show Data Source]],NOT(Transport_Table[[#This Row],[Hide Column]]))</f>
        <v>0</v>
      </c>
      <c r="M520" s="14" t="s">
        <v>147</v>
      </c>
      <c r="N520" s="14" t="s">
        <v>1209</v>
      </c>
      <c r="O520" s="14" t="s">
        <v>1291</v>
      </c>
      <c r="P520" s="178" t="s">
        <v>1700</v>
      </c>
      <c r="Q520" s="241" t="s">
        <v>1946</v>
      </c>
      <c r="R520" s="393">
        <v>1</v>
      </c>
      <c r="S520" s="394">
        <v>155.34299999999999</v>
      </c>
      <c r="T520" s="107"/>
    </row>
    <row r="521" spans="1:20" x14ac:dyDescent="0.3">
      <c r="A521" s="190" t="s">
        <v>135</v>
      </c>
      <c r="B521" s="178" t="s">
        <v>129</v>
      </c>
      <c r="C521" s="178" t="s">
        <v>194</v>
      </c>
      <c r="D521" s="178" t="s">
        <v>1336</v>
      </c>
      <c r="E521" s="178" t="s">
        <v>31</v>
      </c>
      <c r="F521" s="14" t="b">
        <f>OR(Transport_Table[[#This Row],[Feedstock]]="All",Transport_Table[[#This Row],[Feedstock]]=SelectedFeedstock)</f>
        <v>0</v>
      </c>
      <c r="G521" s="14" t="b">
        <f>OR(Transport_Table[[#This Row],[Conversion]]="All",Transport_Table[[#This Row],[Conversion]]=SelectedConversion)</f>
        <v>0</v>
      </c>
      <c r="H521" s="14" t="b">
        <f>OR(Transport_Table[[#This Row],[Data Set]]="All",Transport_Table[[#This Row],[Data Set]]=SelectedDataSet)</f>
        <v>0</v>
      </c>
      <c r="I521" s="14" t="b">
        <f>OR(Transport_Table[[#This Row],[Technology]]="All",Transport_Table[[#This Row],[Technology]]=SelectedTechnology)</f>
        <v>1</v>
      </c>
      <c r="J521" s="14" t="b">
        <f>OR(Transport_Table[[#This Row],[Data Source]]="All",Transport_Table[[#This Row],[Data Source]]=SelectedDataSource)</f>
        <v>0</v>
      </c>
      <c r="L521" s="14" t="b">
        <f>AND(Transport_Table[[#This Row],[Show Feedstock]:[Show Data Source]],NOT(Transport_Table[[#This Row],[Hide Column]]))</f>
        <v>0</v>
      </c>
      <c r="M521" s="14" t="s">
        <v>147</v>
      </c>
      <c r="N521" s="14" t="s">
        <v>1210</v>
      </c>
      <c r="O521" s="14" t="s">
        <v>1292</v>
      </c>
      <c r="P521" s="178" t="s">
        <v>1700</v>
      </c>
      <c r="Q521" s="400" t="s">
        <v>1947</v>
      </c>
      <c r="R521" s="393">
        <v>0</v>
      </c>
      <c r="S521" s="394">
        <v>0</v>
      </c>
      <c r="T521" s="107"/>
    </row>
    <row r="522" spans="1:20" x14ac:dyDescent="0.3">
      <c r="A522" s="190" t="s">
        <v>316</v>
      </c>
      <c r="B522" s="178" t="s">
        <v>129</v>
      </c>
      <c r="C522" s="178" t="s">
        <v>194</v>
      </c>
      <c r="D522" s="178" t="s">
        <v>1335</v>
      </c>
      <c r="E522" s="178" t="s">
        <v>31</v>
      </c>
      <c r="F522" s="14" t="b">
        <f>OR(Transport_Table[[#This Row],[Feedstock]]="All",Transport_Table[[#This Row],[Feedstock]]=SelectedFeedstock)</f>
        <v>0</v>
      </c>
      <c r="G522" s="14" t="b">
        <f>OR(Transport_Table[[#This Row],[Conversion]]="All",Transport_Table[[#This Row],[Conversion]]=SelectedConversion)</f>
        <v>0</v>
      </c>
      <c r="H522" s="14" t="b">
        <f>OR(Transport_Table[[#This Row],[Data Set]]="All",Transport_Table[[#This Row],[Data Set]]=SelectedDataSet)</f>
        <v>0</v>
      </c>
      <c r="I522" s="14" t="b">
        <f>OR(Transport_Table[[#This Row],[Technology]]="All",Transport_Table[[#This Row],[Technology]]=SelectedTechnology)</f>
        <v>1</v>
      </c>
      <c r="J522" s="14" t="b">
        <f>OR(Transport_Table[[#This Row],[Data Source]]="All",Transport_Table[[#This Row],[Data Source]]=SelectedDataSource)</f>
        <v>0</v>
      </c>
      <c r="K522" s="14" t="b">
        <v>1</v>
      </c>
      <c r="L522" s="14" t="b">
        <f>AND(Transport_Table[[#This Row],[Show Feedstock]:[Show Data Source]],NOT(Transport_Table[[#This Row],[Hide Column]]))</f>
        <v>0</v>
      </c>
      <c r="M522" s="14" t="s">
        <v>147</v>
      </c>
      <c r="N522" s="14" t="s">
        <v>1206</v>
      </c>
      <c r="O522" s="14" t="s">
        <v>1288</v>
      </c>
      <c r="P522" s="178" t="s">
        <v>316</v>
      </c>
      <c r="Q522" s="241" t="s">
        <v>1943</v>
      </c>
      <c r="R522" s="393">
        <v>1</v>
      </c>
      <c r="S522" s="394">
        <v>90.098799999999997</v>
      </c>
      <c r="T522" s="107"/>
    </row>
    <row r="523" spans="1:20" x14ac:dyDescent="0.3">
      <c r="A523" s="190" t="s">
        <v>316</v>
      </c>
      <c r="B523" s="178" t="s">
        <v>129</v>
      </c>
      <c r="C523" s="178" t="s">
        <v>194</v>
      </c>
      <c r="D523" s="178" t="s">
        <v>1335</v>
      </c>
      <c r="E523" s="178" t="s">
        <v>31</v>
      </c>
      <c r="F523" s="14" t="b">
        <f>OR(Transport_Table[[#This Row],[Feedstock]]="All",Transport_Table[[#This Row],[Feedstock]]=SelectedFeedstock)</f>
        <v>0</v>
      </c>
      <c r="G523" s="14" t="b">
        <f>OR(Transport_Table[[#This Row],[Conversion]]="All",Transport_Table[[#This Row],[Conversion]]=SelectedConversion)</f>
        <v>0</v>
      </c>
      <c r="H523" s="14" t="b">
        <f>OR(Transport_Table[[#This Row],[Data Set]]="All",Transport_Table[[#This Row],[Data Set]]=SelectedDataSet)</f>
        <v>0</v>
      </c>
      <c r="I523" s="14" t="b">
        <f>OR(Transport_Table[[#This Row],[Technology]]="All",Transport_Table[[#This Row],[Technology]]=SelectedTechnology)</f>
        <v>1</v>
      </c>
      <c r="J523" s="14" t="b">
        <f>OR(Transport_Table[[#This Row],[Data Source]]="All",Transport_Table[[#This Row],[Data Source]]=SelectedDataSource)</f>
        <v>0</v>
      </c>
      <c r="L523" s="14" t="b">
        <f>AND(Transport_Table[[#This Row],[Show Feedstock]:[Show Data Source]],NOT(Transport_Table[[#This Row],[Hide Column]]))</f>
        <v>0</v>
      </c>
      <c r="M523" s="14" t="s">
        <v>147</v>
      </c>
      <c r="N523" s="14" t="s">
        <v>1207</v>
      </c>
      <c r="O523" s="14" t="s">
        <v>1289</v>
      </c>
      <c r="P523" s="178" t="s">
        <v>1700</v>
      </c>
      <c r="Q523" s="241" t="s">
        <v>1944</v>
      </c>
      <c r="R523" s="393">
        <v>0.33</v>
      </c>
      <c r="S523" s="394">
        <v>520.08752700000002</v>
      </c>
      <c r="T523" s="107"/>
    </row>
    <row r="524" spans="1:20" x14ac:dyDescent="0.3">
      <c r="A524" s="190" t="s">
        <v>316</v>
      </c>
      <c r="B524" s="178" t="s">
        <v>129</v>
      </c>
      <c r="C524" s="178" t="s">
        <v>194</v>
      </c>
      <c r="D524" s="178" t="s">
        <v>1335</v>
      </c>
      <c r="E524" s="178" t="s">
        <v>31</v>
      </c>
      <c r="F524" s="14" t="b">
        <f>OR(Transport_Table[[#This Row],[Feedstock]]="All",Transport_Table[[#This Row],[Feedstock]]=SelectedFeedstock)</f>
        <v>0</v>
      </c>
      <c r="G524" s="14" t="b">
        <f>OR(Transport_Table[[#This Row],[Conversion]]="All",Transport_Table[[#This Row],[Conversion]]=SelectedConversion)</f>
        <v>0</v>
      </c>
      <c r="H524" s="14" t="b">
        <f>OR(Transport_Table[[#This Row],[Data Set]]="All",Transport_Table[[#This Row],[Data Set]]=SelectedDataSet)</f>
        <v>0</v>
      </c>
      <c r="I524" s="14" t="b">
        <f>OR(Transport_Table[[#This Row],[Technology]]="All",Transport_Table[[#This Row],[Technology]]=SelectedTechnology)</f>
        <v>1</v>
      </c>
      <c r="J524" s="14" t="b">
        <f>OR(Transport_Table[[#This Row],[Data Source]]="All",Transport_Table[[#This Row],[Data Source]]=SelectedDataSource)</f>
        <v>0</v>
      </c>
      <c r="L524" s="14" t="b">
        <f>AND(Transport_Table[[#This Row],[Show Feedstock]:[Show Data Source]],NOT(Transport_Table[[#This Row],[Hide Column]]))</f>
        <v>0</v>
      </c>
      <c r="M524" s="14" t="s">
        <v>147</v>
      </c>
      <c r="N524" s="14" t="s">
        <v>1208</v>
      </c>
      <c r="O524" s="14" t="s">
        <v>1290</v>
      </c>
      <c r="P524" s="178" t="s">
        <v>1700</v>
      </c>
      <c r="Q524" s="241" t="s">
        <v>1945</v>
      </c>
      <c r="R524" s="393">
        <v>0.6</v>
      </c>
      <c r="S524" s="394">
        <v>400.16292400000003</v>
      </c>
      <c r="T524" s="107"/>
    </row>
    <row r="525" spans="1:20" x14ac:dyDescent="0.3">
      <c r="A525" s="190" t="s">
        <v>316</v>
      </c>
      <c r="B525" s="178" t="s">
        <v>129</v>
      </c>
      <c r="C525" s="178" t="s">
        <v>194</v>
      </c>
      <c r="D525" s="178" t="s">
        <v>1335</v>
      </c>
      <c r="E525" s="178" t="s">
        <v>31</v>
      </c>
      <c r="F525" s="14" t="b">
        <f>OR(Transport_Table[[#This Row],[Feedstock]]="All",Transport_Table[[#This Row],[Feedstock]]=SelectedFeedstock)</f>
        <v>0</v>
      </c>
      <c r="G525" s="14" t="b">
        <f>OR(Transport_Table[[#This Row],[Conversion]]="All",Transport_Table[[#This Row],[Conversion]]=SelectedConversion)</f>
        <v>0</v>
      </c>
      <c r="H525" s="14" t="b">
        <f>OR(Transport_Table[[#This Row],[Data Set]]="All",Transport_Table[[#This Row],[Data Set]]=SelectedDataSet)</f>
        <v>0</v>
      </c>
      <c r="I525" s="14" t="b">
        <f>OR(Transport_Table[[#This Row],[Technology]]="All",Transport_Table[[#This Row],[Technology]]=SelectedTechnology)</f>
        <v>1</v>
      </c>
      <c r="J525" s="14" t="b">
        <f>OR(Transport_Table[[#This Row],[Data Source]]="All",Transport_Table[[#This Row],[Data Source]]=SelectedDataSource)</f>
        <v>0</v>
      </c>
      <c r="L525" s="14" t="b">
        <f>AND(Transport_Table[[#This Row],[Show Feedstock]:[Show Data Source]],NOT(Transport_Table[[#This Row],[Hide Column]]))</f>
        <v>0</v>
      </c>
      <c r="M525" s="14" t="s">
        <v>147</v>
      </c>
      <c r="N525" s="14" t="s">
        <v>1209</v>
      </c>
      <c r="O525" s="14" t="s">
        <v>1291</v>
      </c>
      <c r="P525" s="178" t="s">
        <v>1700</v>
      </c>
      <c r="Q525" s="241" t="s">
        <v>1946</v>
      </c>
      <c r="R525" s="393">
        <v>7.0000000000000007E-2</v>
      </c>
      <c r="S525" s="394">
        <v>800.32584800000006</v>
      </c>
      <c r="T525" s="107"/>
    </row>
    <row r="526" spans="1:20" x14ac:dyDescent="0.3">
      <c r="A526" s="190" t="s">
        <v>316</v>
      </c>
      <c r="B526" s="178" t="s">
        <v>129</v>
      </c>
      <c r="C526" s="178" t="s">
        <v>194</v>
      </c>
      <c r="D526" s="178" t="s">
        <v>1335</v>
      </c>
      <c r="E526" s="178" t="s">
        <v>31</v>
      </c>
      <c r="F526" s="14" t="b">
        <f>OR(Transport_Table[[#This Row],[Feedstock]]="All",Transport_Table[[#This Row],[Feedstock]]=SelectedFeedstock)</f>
        <v>0</v>
      </c>
      <c r="G526" s="14" t="b">
        <f>OR(Transport_Table[[#This Row],[Conversion]]="All",Transport_Table[[#This Row],[Conversion]]=SelectedConversion)</f>
        <v>0</v>
      </c>
      <c r="H526" s="14" t="b">
        <f>OR(Transport_Table[[#This Row],[Data Set]]="All",Transport_Table[[#This Row],[Data Set]]=SelectedDataSet)</f>
        <v>0</v>
      </c>
      <c r="I526" s="14" t="b">
        <f>OR(Transport_Table[[#This Row],[Technology]]="All",Transport_Table[[#This Row],[Technology]]=SelectedTechnology)</f>
        <v>1</v>
      </c>
      <c r="J526" s="14" t="b">
        <f>OR(Transport_Table[[#This Row],[Data Source]]="All",Transport_Table[[#This Row],[Data Source]]=SelectedDataSource)</f>
        <v>0</v>
      </c>
      <c r="L526" s="14" t="b">
        <f>AND(Transport_Table[[#This Row],[Show Feedstock]:[Show Data Source]],NOT(Transport_Table[[#This Row],[Hide Column]]))</f>
        <v>0</v>
      </c>
      <c r="M526" s="14" t="s">
        <v>147</v>
      </c>
      <c r="N526" s="14" t="s">
        <v>1210</v>
      </c>
      <c r="O526" s="14" t="s">
        <v>1292</v>
      </c>
      <c r="P526" s="178" t="s">
        <v>1700</v>
      </c>
      <c r="Q526" s="400" t="s">
        <v>1947</v>
      </c>
      <c r="R526" s="393">
        <v>1</v>
      </c>
      <c r="S526" s="394">
        <v>29.999916154200001</v>
      </c>
      <c r="T526" s="107"/>
    </row>
    <row r="527" spans="1:20" x14ac:dyDescent="0.3">
      <c r="A527" s="190" t="s">
        <v>316</v>
      </c>
      <c r="B527" s="178" t="s">
        <v>129</v>
      </c>
      <c r="C527" s="178" t="s">
        <v>194</v>
      </c>
      <c r="D527" s="178" t="s">
        <v>1336</v>
      </c>
      <c r="E527" s="178" t="s">
        <v>31</v>
      </c>
      <c r="F527" s="14" t="b">
        <f>OR(Transport_Table[[#This Row],[Feedstock]]="All",Transport_Table[[#This Row],[Feedstock]]=SelectedFeedstock)</f>
        <v>0</v>
      </c>
      <c r="G527" s="14" t="b">
        <f>OR(Transport_Table[[#This Row],[Conversion]]="All",Transport_Table[[#This Row],[Conversion]]=SelectedConversion)</f>
        <v>0</v>
      </c>
      <c r="H527" s="14" t="b">
        <f>OR(Transport_Table[[#This Row],[Data Set]]="All",Transport_Table[[#This Row],[Data Set]]=SelectedDataSet)</f>
        <v>0</v>
      </c>
      <c r="I527" s="14" t="b">
        <f>OR(Transport_Table[[#This Row],[Technology]]="All",Transport_Table[[#This Row],[Technology]]=SelectedTechnology)</f>
        <v>1</v>
      </c>
      <c r="J527" s="14" t="b">
        <f>OR(Transport_Table[[#This Row],[Data Source]]="All",Transport_Table[[#This Row],[Data Source]]=SelectedDataSource)</f>
        <v>0</v>
      </c>
      <c r="K527" s="14" t="b">
        <v>1</v>
      </c>
      <c r="L527" s="14" t="b">
        <f>AND(Transport_Table[[#This Row],[Show Feedstock]:[Show Data Source]],NOT(Transport_Table[[#This Row],[Hide Column]]))</f>
        <v>0</v>
      </c>
      <c r="M527" s="14" t="s">
        <v>147</v>
      </c>
      <c r="N527" s="14" t="s">
        <v>1206</v>
      </c>
      <c r="O527" s="14" t="s">
        <v>1288</v>
      </c>
      <c r="P527" s="178" t="s">
        <v>316</v>
      </c>
      <c r="Q527" s="241" t="s">
        <v>1943</v>
      </c>
      <c r="R527" s="393">
        <v>1</v>
      </c>
      <c r="S527" s="394">
        <v>31.0686</v>
      </c>
      <c r="T527" s="107"/>
    </row>
    <row r="528" spans="1:20" x14ac:dyDescent="0.3">
      <c r="A528" s="190" t="s">
        <v>316</v>
      </c>
      <c r="B528" s="178" t="s">
        <v>129</v>
      </c>
      <c r="C528" s="178" t="s">
        <v>194</v>
      </c>
      <c r="D528" s="178" t="s">
        <v>1336</v>
      </c>
      <c r="E528" s="178" t="s">
        <v>31</v>
      </c>
      <c r="F528" s="14" t="b">
        <f>OR(Transport_Table[[#This Row],[Feedstock]]="All",Transport_Table[[#This Row],[Feedstock]]=SelectedFeedstock)</f>
        <v>0</v>
      </c>
      <c r="G528" s="14" t="b">
        <f>OR(Transport_Table[[#This Row],[Conversion]]="All",Transport_Table[[#This Row],[Conversion]]=SelectedConversion)</f>
        <v>0</v>
      </c>
      <c r="H528" s="14" t="b">
        <f>OR(Transport_Table[[#This Row],[Data Set]]="All",Transport_Table[[#This Row],[Data Set]]=SelectedDataSet)</f>
        <v>0</v>
      </c>
      <c r="I528" s="14" t="b">
        <f>OR(Transport_Table[[#This Row],[Technology]]="All",Transport_Table[[#This Row],[Technology]]=SelectedTechnology)</f>
        <v>1</v>
      </c>
      <c r="J528" s="14" t="b">
        <f>OR(Transport_Table[[#This Row],[Data Source]]="All",Transport_Table[[#This Row],[Data Source]]=SelectedDataSource)</f>
        <v>0</v>
      </c>
      <c r="L528" s="14" t="b">
        <f>AND(Transport_Table[[#This Row],[Show Feedstock]:[Show Data Source]],NOT(Transport_Table[[#This Row],[Hide Column]]))</f>
        <v>0</v>
      </c>
      <c r="M528" s="14" t="s">
        <v>147</v>
      </c>
      <c r="N528" s="14" t="s">
        <v>1207</v>
      </c>
      <c r="O528" s="14" t="s">
        <v>1289</v>
      </c>
      <c r="P528" s="178" t="s">
        <v>1700</v>
      </c>
      <c r="Q528" s="241" t="s">
        <v>1944</v>
      </c>
      <c r="R528" s="393">
        <v>0</v>
      </c>
      <c r="S528" s="394">
        <v>0</v>
      </c>
      <c r="T528" s="107"/>
    </row>
    <row r="529" spans="1:20" x14ac:dyDescent="0.3">
      <c r="A529" s="190" t="s">
        <v>316</v>
      </c>
      <c r="B529" s="178" t="s">
        <v>129</v>
      </c>
      <c r="C529" s="178" t="s">
        <v>194</v>
      </c>
      <c r="D529" s="178" t="s">
        <v>1336</v>
      </c>
      <c r="E529" s="178" t="s">
        <v>31</v>
      </c>
      <c r="F529" s="14" t="b">
        <f>OR(Transport_Table[[#This Row],[Feedstock]]="All",Transport_Table[[#This Row],[Feedstock]]=SelectedFeedstock)</f>
        <v>0</v>
      </c>
      <c r="G529" s="14" t="b">
        <f>OR(Transport_Table[[#This Row],[Conversion]]="All",Transport_Table[[#This Row],[Conversion]]=SelectedConversion)</f>
        <v>0</v>
      </c>
      <c r="H529" s="14" t="b">
        <f>OR(Transport_Table[[#This Row],[Data Set]]="All",Transport_Table[[#This Row],[Data Set]]=SelectedDataSet)</f>
        <v>0</v>
      </c>
      <c r="I529" s="14" t="b">
        <f>OR(Transport_Table[[#This Row],[Technology]]="All",Transport_Table[[#This Row],[Technology]]=SelectedTechnology)</f>
        <v>1</v>
      </c>
      <c r="J529" s="14" t="b">
        <f>OR(Transport_Table[[#This Row],[Data Source]]="All",Transport_Table[[#This Row],[Data Source]]=SelectedDataSource)</f>
        <v>0</v>
      </c>
      <c r="L529" s="14" t="b">
        <f>AND(Transport_Table[[#This Row],[Show Feedstock]:[Show Data Source]],NOT(Transport_Table[[#This Row],[Hide Column]]))</f>
        <v>0</v>
      </c>
      <c r="M529" s="14" t="s">
        <v>147</v>
      </c>
      <c r="N529" s="14" t="s">
        <v>1208</v>
      </c>
      <c r="O529" s="14" t="s">
        <v>1290</v>
      </c>
      <c r="P529" s="178" t="s">
        <v>1700</v>
      </c>
      <c r="Q529" s="241" t="s">
        <v>1945</v>
      </c>
      <c r="R529" s="393">
        <v>0</v>
      </c>
      <c r="S529" s="394">
        <v>0</v>
      </c>
      <c r="T529" s="107"/>
    </row>
    <row r="530" spans="1:20" x14ac:dyDescent="0.3">
      <c r="A530" s="190" t="s">
        <v>316</v>
      </c>
      <c r="B530" s="178" t="s">
        <v>129</v>
      </c>
      <c r="C530" s="178" t="s">
        <v>194</v>
      </c>
      <c r="D530" s="178" t="s">
        <v>1336</v>
      </c>
      <c r="E530" s="178" t="s">
        <v>31</v>
      </c>
      <c r="F530" s="14" t="b">
        <f>OR(Transport_Table[[#This Row],[Feedstock]]="All",Transport_Table[[#This Row],[Feedstock]]=SelectedFeedstock)</f>
        <v>0</v>
      </c>
      <c r="G530" s="14" t="b">
        <f>OR(Transport_Table[[#This Row],[Conversion]]="All",Transport_Table[[#This Row],[Conversion]]=SelectedConversion)</f>
        <v>0</v>
      </c>
      <c r="H530" s="14" t="b">
        <f>OR(Transport_Table[[#This Row],[Data Set]]="All",Transport_Table[[#This Row],[Data Set]]=SelectedDataSet)</f>
        <v>0</v>
      </c>
      <c r="I530" s="14" t="b">
        <f>OR(Transport_Table[[#This Row],[Technology]]="All",Transport_Table[[#This Row],[Technology]]=SelectedTechnology)</f>
        <v>1</v>
      </c>
      <c r="J530" s="14" t="b">
        <f>OR(Transport_Table[[#This Row],[Data Source]]="All",Transport_Table[[#This Row],[Data Source]]=SelectedDataSource)</f>
        <v>0</v>
      </c>
      <c r="L530" s="14" t="b">
        <f>AND(Transport_Table[[#This Row],[Show Feedstock]:[Show Data Source]],NOT(Transport_Table[[#This Row],[Hide Column]]))</f>
        <v>0</v>
      </c>
      <c r="M530" s="14" t="s">
        <v>147</v>
      </c>
      <c r="N530" s="14" t="s">
        <v>1209</v>
      </c>
      <c r="O530" s="14" t="s">
        <v>1291</v>
      </c>
      <c r="P530" s="178" t="s">
        <v>1700</v>
      </c>
      <c r="Q530" s="400" t="s">
        <v>1946</v>
      </c>
      <c r="R530" s="393">
        <v>1</v>
      </c>
      <c r="S530" s="394">
        <v>155.34299999999999</v>
      </c>
      <c r="T530" s="107"/>
    </row>
    <row r="531" spans="1:20" x14ac:dyDescent="0.3">
      <c r="A531" s="190" t="s">
        <v>316</v>
      </c>
      <c r="B531" s="178" t="s">
        <v>129</v>
      </c>
      <c r="C531" s="178" t="s">
        <v>194</v>
      </c>
      <c r="D531" s="178" t="s">
        <v>1336</v>
      </c>
      <c r="E531" s="178" t="s">
        <v>31</v>
      </c>
      <c r="F531" s="14" t="b">
        <f>OR(Transport_Table[[#This Row],[Feedstock]]="All",Transport_Table[[#This Row],[Feedstock]]=SelectedFeedstock)</f>
        <v>0</v>
      </c>
      <c r="G531" s="14" t="b">
        <f>OR(Transport_Table[[#This Row],[Conversion]]="All",Transport_Table[[#This Row],[Conversion]]=SelectedConversion)</f>
        <v>0</v>
      </c>
      <c r="H531" s="14" t="b">
        <f>OR(Transport_Table[[#This Row],[Data Set]]="All",Transport_Table[[#This Row],[Data Set]]=SelectedDataSet)</f>
        <v>0</v>
      </c>
      <c r="I531" s="14" t="b">
        <f>OR(Transport_Table[[#This Row],[Technology]]="All",Transport_Table[[#This Row],[Technology]]=SelectedTechnology)</f>
        <v>1</v>
      </c>
      <c r="J531" s="14" t="b">
        <f>OR(Transport_Table[[#This Row],[Data Source]]="All",Transport_Table[[#This Row],[Data Source]]=SelectedDataSource)</f>
        <v>0</v>
      </c>
      <c r="L531" s="14" t="b">
        <f>AND(Transport_Table[[#This Row],[Show Feedstock]:[Show Data Source]],NOT(Transport_Table[[#This Row],[Hide Column]]))</f>
        <v>0</v>
      </c>
      <c r="M531" s="14" t="s">
        <v>147</v>
      </c>
      <c r="N531" s="14" t="s">
        <v>1210</v>
      </c>
      <c r="O531" s="14" t="s">
        <v>1292</v>
      </c>
      <c r="P531" s="178" t="s">
        <v>1700</v>
      </c>
      <c r="Q531" s="241" t="s">
        <v>1943</v>
      </c>
      <c r="R531" s="393">
        <v>0</v>
      </c>
      <c r="S531" s="394">
        <v>0</v>
      </c>
      <c r="T531" s="107"/>
    </row>
    <row r="532" spans="1:20" x14ac:dyDescent="0.3">
      <c r="A532" s="190" t="s">
        <v>136</v>
      </c>
      <c r="B532" s="178" t="s">
        <v>1964</v>
      </c>
      <c r="C532" s="178" t="s">
        <v>194</v>
      </c>
      <c r="D532" s="178" t="s">
        <v>377</v>
      </c>
      <c r="E532" s="178" t="s">
        <v>31</v>
      </c>
      <c r="F532" s="14" t="b">
        <f>OR(Transport_Table[[#This Row],[Feedstock]]="All",Transport_Table[[#This Row],[Feedstock]]=SelectedFeedstock)</f>
        <v>0</v>
      </c>
      <c r="G532" s="14" t="b">
        <f>OR(Transport_Table[[#This Row],[Conversion]]="All",Transport_Table[[#This Row],[Conversion]]=SelectedConversion)</f>
        <v>0</v>
      </c>
      <c r="H532" s="14" t="b">
        <f>OR(Transport_Table[[#This Row],[Data Set]]="All",Transport_Table[[#This Row],[Data Set]]=SelectedDataSet)</f>
        <v>0</v>
      </c>
      <c r="I532" s="14" t="b">
        <f>OR(Transport_Table[[#This Row],[Technology]]="All",Transport_Table[[#This Row],[Technology]]=SelectedTechnology)</f>
        <v>1</v>
      </c>
      <c r="J532" s="14" t="b">
        <f>OR(Transport_Table[[#This Row],[Data Source]]="All",Transport_Table[[#This Row],[Data Source]]=SelectedDataSource)</f>
        <v>0</v>
      </c>
      <c r="K532" s="14" t="b">
        <v>1</v>
      </c>
      <c r="L532" s="14" t="b">
        <f>AND(Transport_Table[[#This Row],[Show Feedstock]:[Show Data Source]],NOT(Transport_Table[[#This Row],[Hide Column]]))</f>
        <v>0</v>
      </c>
      <c r="M532" s="14" t="s">
        <v>14</v>
      </c>
      <c r="N532" s="14" t="s">
        <v>1215</v>
      </c>
      <c r="O532" s="14" t="s">
        <v>1297</v>
      </c>
      <c r="P532" s="178" t="s">
        <v>136</v>
      </c>
      <c r="Q532" s="241" t="s">
        <v>1944</v>
      </c>
      <c r="R532" s="393">
        <v>0</v>
      </c>
      <c r="S532" s="394">
        <v>0</v>
      </c>
      <c r="T532" s="107"/>
    </row>
    <row r="533" spans="1:20" x14ac:dyDescent="0.3">
      <c r="A533" s="190" t="s">
        <v>136</v>
      </c>
      <c r="B533" s="178" t="s">
        <v>1964</v>
      </c>
      <c r="C533" s="178" t="s">
        <v>194</v>
      </c>
      <c r="D533" s="178" t="s">
        <v>377</v>
      </c>
      <c r="E533" s="178" t="s">
        <v>31</v>
      </c>
      <c r="F533" s="14" t="b">
        <f>OR(Transport_Table[[#This Row],[Feedstock]]="All",Transport_Table[[#This Row],[Feedstock]]=SelectedFeedstock)</f>
        <v>0</v>
      </c>
      <c r="G533" s="14" t="b">
        <f>OR(Transport_Table[[#This Row],[Conversion]]="All",Transport_Table[[#This Row],[Conversion]]=SelectedConversion)</f>
        <v>0</v>
      </c>
      <c r="H533" s="14" t="b">
        <f>OR(Transport_Table[[#This Row],[Data Set]]="All",Transport_Table[[#This Row],[Data Set]]=SelectedDataSet)</f>
        <v>0</v>
      </c>
      <c r="I533" s="14" t="b">
        <f>OR(Transport_Table[[#This Row],[Technology]]="All",Transport_Table[[#This Row],[Technology]]=SelectedTechnology)</f>
        <v>1</v>
      </c>
      <c r="J533" s="14" t="b">
        <f>OR(Transport_Table[[#This Row],[Data Source]]="All",Transport_Table[[#This Row],[Data Source]]=SelectedDataSource)</f>
        <v>0</v>
      </c>
      <c r="K533" s="14" t="b">
        <v>1</v>
      </c>
      <c r="L533" s="14" t="b">
        <f>AND(Transport_Table[[#This Row],[Show Feedstock]:[Show Data Source]],NOT(Transport_Table[[#This Row],[Hide Column]]))</f>
        <v>0</v>
      </c>
      <c r="M533" s="14" t="s">
        <v>14</v>
      </c>
      <c r="N533" s="14" t="s">
        <v>1216</v>
      </c>
      <c r="O533" s="14" t="s">
        <v>1298</v>
      </c>
      <c r="P533" s="178" t="s">
        <v>136</v>
      </c>
      <c r="Q533" s="241" t="s">
        <v>1945</v>
      </c>
      <c r="R533" s="393">
        <v>0</v>
      </c>
      <c r="S533" s="394">
        <v>0</v>
      </c>
      <c r="T533" s="107"/>
    </row>
    <row r="534" spans="1:20" x14ac:dyDescent="0.3">
      <c r="A534" s="190" t="s">
        <v>136</v>
      </c>
      <c r="B534" s="178" t="s">
        <v>1964</v>
      </c>
      <c r="C534" s="178" t="s">
        <v>194</v>
      </c>
      <c r="D534" s="178" t="s">
        <v>377</v>
      </c>
      <c r="E534" s="178" t="s">
        <v>31</v>
      </c>
      <c r="F534" s="14" t="b">
        <f>OR(Transport_Table[[#This Row],[Feedstock]]="All",Transport_Table[[#This Row],[Feedstock]]=SelectedFeedstock)</f>
        <v>0</v>
      </c>
      <c r="G534" s="14" t="b">
        <f>OR(Transport_Table[[#This Row],[Conversion]]="All",Transport_Table[[#This Row],[Conversion]]=SelectedConversion)</f>
        <v>0</v>
      </c>
      <c r="H534" s="14" t="b">
        <f>OR(Transport_Table[[#This Row],[Data Set]]="All",Transport_Table[[#This Row],[Data Set]]=SelectedDataSet)</f>
        <v>0</v>
      </c>
      <c r="I534" s="14" t="b">
        <f>OR(Transport_Table[[#This Row],[Technology]]="All",Transport_Table[[#This Row],[Technology]]=SelectedTechnology)</f>
        <v>1</v>
      </c>
      <c r="J534" s="14" t="b">
        <f>OR(Transport_Table[[#This Row],[Data Source]]="All",Transport_Table[[#This Row],[Data Source]]=SelectedDataSource)</f>
        <v>0</v>
      </c>
      <c r="K534" s="14" t="b">
        <v>1</v>
      </c>
      <c r="L534" s="14" t="b">
        <f>AND(Transport_Table[[#This Row],[Show Feedstock]:[Show Data Source]],NOT(Transport_Table[[#This Row],[Hide Column]]))</f>
        <v>0</v>
      </c>
      <c r="M534" s="14" t="s">
        <v>14</v>
      </c>
      <c r="N534" s="14" t="s">
        <v>1217</v>
      </c>
      <c r="O534" s="14" t="s">
        <v>1299</v>
      </c>
      <c r="P534" s="178" t="s">
        <v>136</v>
      </c>
      <c r="Q534" s="400" t="s">
        <v>1946</v>
      </c>
      <c r="R534" s="393">
        <v>0</v>
      </c>
      <c r="S534" s="394">
        <v>0</v>
      </c>
      <c r="T534" s="107"/>
    </row>
    <row r="535" spans="1:20" x14ac:dyDescent="0.3">
      <c r="A535" s="190" t="s">
        <v>136</v>
      </c>
      <c r="B535" s="178" t="s">
        <v>1964</v>
      </c>
      <c r="C535" s="178" t="s">
        <v>194</v>
      </c>
      <c r="D535" s="178" t="s">
        <v>377</v>
      </c>
      <c r="E535" s="178" t="s">
        <v>31</v>
      </c>
      <c r="F535" s="14" t="b">
        <f>OR(Transport_Table[[#This Row],[Feedstock]]="All",Transport_Table[[#This Row],[Feedstock]]=SelectedFeedstock)</f>
        <v>0</v>
      </c>
      <c r="G535" s="14" t="b">
        <f>OR(Transport_Table[[#This Row],[Conversion]]="All",Transport_Table[[#This Row],[Conversion]]=SelectedConversion)</f>
        <v>0</v>
      </c>
      <c r="H535" s="14" t="b">
        <f>OR(Transport_Table[[#This Row],[Data Set]]="All",Transport_Table[[#This Row],[Data Set]]=SelectedDataSet)</f>
        <v>0</v>
      </c>
      <c r="I535" s="14" t="b">
        <f>OR(Transport_Table[[#This Row],[Technology]]="All",Transport_Table[[#This Row],[Technology]]=SelectedTechnology)</f>
        <v>1</v>
      </c>
      <c r="J535" s="14" t="b">
        <f>OR(Transport_Table[[#This Row],[Data Source]]="All",Transport_Table[[#This Row],[Data Source]]=SelectedDataSource)</f>
        <v>0</v>
      </c>
      <c r="K535" s="14" t="b">
        <v>1</v>
      </c>
      <c r="L535" s="14" t="b">
        <f>AND(Transport_Table[[#This Row],[Show Feedstock]:[Show Data Source]],NOT(Transport_Table[[#This Row],[Hide Column]]))</f>
        <v>0</v>
      </c>
      <c r="M535" s="14" t="s">
        <v>14</v>
      </c>
      <c r="N535" s="14" t="s">
        <v>1218</v>
      </c>
      <c r="O535" s="14" t="s">
        <v>1300</v>
      </c>
      <c r="P535" s="178" t="s">
        <v>136</v>
      </c>
      <c r="Q535" s="241" t="s">
        <v>1943</v>
      </c>
      <c r="R535" s="393">
        <v>1</v>
      </c>
      <c r="S535" s="394">
        <v>11.999966461680001</v>
      </c>
      <c r="T535" s="107"/>
    </row>
    <row r="536" spans="1:20" x14ac:dyDescent="0.3">
      <c r="A536" s="190" t="s">
        <v>136</v>
      </c>
      <c r="B536" s="178" t="s">
        <v>1964</v>
      </c>
      <c r="C536" s="178" t="s">
        <v>194</v>
      </c>
      <c r="D536" s="178" t="s">
        <v>377</v>
      </c>
      <c r="E536" s="178" t="s">
        <v>31</v>
      </c>
      <c r="F536" s="14" t="b">
        <f>OR(Transport_Table[[#This Row],[Feedstock]]="All",Transport_Table[[#This Row],[Feedstock]]=SelectedFeedstock)</f>
        <v>0</v>
      </c>
      <c r="G536" s="14" t="b">
        <f>OR(Transport_Table[[#This Row],[Conversion]]="All",Transport_Table[[#This Row],[Conversion]]=SelectedConversion)</f>
        <v>0</v>
      </c>
      <c r="H536" s="14" t="b">
        <f>OR(Transport_Table[[#This Row],[Data Set]]="All",Transport_Table[[#This Row],[Data Set]]=SelectedDataSet)</f>
        <v>0</v>
      </c>
      <c r="I536" s="14" t="b">
        <f>OR(Transport_Table[[#This Row],[Technology]]="All",Transport_Table[[#This Row],[Technology]]=SelectedTechnology)</f>
        <v>1</v>
      </c>
      <c r="J536" s="14" t="b">
        <f>OR(Transport_Table[[#This Row],[Data Source]]="All",Transport_Table[[#This Row],[Data Source]]=SelectedDataSource)</f>
        <v>0</v>
      </c>
      <c r="L536" s="14" t="b">
        <f>AND(Transport_Table[[#This Row],[Show Feedstock]:[Show Data Source]],NOT(Transport_Table[[#This Row],[Hide Column]]))</f>
        <v>0</v>
      </c>
      <c r="M536" s="14" t="s">
        <v>14</v>
      </c>
      <c r="N536" s="14" t="s">
        <v>1219</v>
      </c>
      <c r="O536" s="14" t="s">
        <v>1301</v>
      </c>
      <c r="P536" s="178" t="s">
        <v>1700</v>
      </c>
      <c r="Q536" s="241" t="s">
        <v>1944</v>
      </c>
      <c r="R536" s="393">
        <v>0.33</v>
      </c>
      <c r="S536" s="394">
        <v>520</v>
      </c>
      <c r="T536" s="107"/>
    </row>
    <row r="537" spans="1:20" x14ac:dyDescent="0.3">
      <c r="A537" s="190" t="s">
        <v>136</v>
      </c>
      <c r="B537" s="178" t="s">
        <v>1964</v>
      </c>
      <c r="C537" s="178" t="s">
        <v>194</v>
      </c>
      <c r="D537" s="178" t="s">
        <v>377</v>
      </c>
      <c r="E537" s="178" t="s">
        <v>31</v>
      </c>
      <c r="F537" s="14" t="b">
        <f>OR(Transport_Table[[#This Row],[Feedstock]]="All",Transport_Table[[#This Row],[Feedstock]]=SelectedFeedstock)</f>
        <v>0</v>
      </c>
      <c r="G537" s="14" t="b">
        <f>OR(Transport_Table[[#This Row],[Conversion]]="All",Transport_Table[[#This Row],[Conversion]]=SelectedConversion)</f>
        <v>0</v>
      </c>
      <c r="H537" s="14" t="b">
        <f>OR(Transport_Table[[#This Row],[Data Set]]="All",Transport_Table[[#This Row],[Data Set]]=SelectedDataSet)</f>
        <v>0</v>
      </c>
      <c r="I537" s="14" t="b">
        <f>OR(Transport_Table[[#This Row],[Technology]]="All",Transport_Table[[#This Row],[Technology]]=SelectedTechnology)</f>
        <v>1</v>
      </c>
      <c r="J537" s="14" t="b">
        <f>OR(Transport_Table[[#This Row],[Data Source]]="All",Transport_Table[[#This Row],[Data Source]]=SelectedDataSource)</f>
        <v>0</v>
      </c>
      <c r="L537" s="14" t="b">
        <f>AND(Transport_Table[[#This Row],[Show Feedstock]:[Show Data Source]],NOT(Transport_Table[[#This Row],[Hide Column]]))</f>
        <v>0</v>
      </c>
      <c r="M537" s="14" t="s">
        <v>14</v>
      </c>
      <c r="N537" s="14" t="s">
        <v>1220</v>
      </c>
      <c r="O537" s="14" t="s">
        <v>1302</v>
      </c>
      <c r="P537" s="178" t="s">
        <v>1700</v>
      </c>
      <c r="Q537" s="241" t="s">
        <v>1945</v>
      </c>
      <c r="R537" s="393">
        <v>0.6</v>
      </c>
      <c r="S537" s="394">
        <v>400</v>
      </c>
      <c r="T537" s="107"/>
    </row>
    <row r="538" spans="1:20" x14ac:dyDescent="0.3">
      <c r="A538" s="190" t="s">
        <v>136</v>
      </c>
      <c r="B538" s="178" t="s">
        <v>1964</v>
      </c>
      <c r="C538" s="178" t="s">
        <v>194</v>
      </c>
      <c r="D538" s="178" t="s">
        <v>377</v>
      </c>
      <c r="E538" s="178" t="s">
        <v>31</v>
      </c>
      <c r="F538" s="14" t="b">
        <f>OR(Transport_Table[[#This Row],[Feedstock]]="All",Transport_Table[[#This Row],[Feedstock]]=SelectedFeedstock)</f>
        <v>0</v>
      </c>
      <c r="G538" s="14" t="b">
        <f>OR(Transport_Table[[#This Row],[Conversion]]="All",Transport_Table[[#This Row],[Conversion]]=SelectedConversion)</f>
        <v>0</v>
      </c>
      <c r="H538" s="14" t="b">
        <f>OR(Transport_Table[[#This Row],[Data Set]]="All",Transport_Table[[#This Row],[Data Set]]=SelectedDataSet)</f>
        <v>0</v>
      </c>
      <c r="I538" s="14" t="b">
        <f>OR(Transport_Table[[#This Row],[Technology]]="All",Transport_Table[[#This Row],[Technology]]=SelectedTechnology)</f>
        <v>1</v>
      </c>
      <c r="J538" s="14" t="b">
        <f>OR(Transport_Table[[#This Row],[Data Source]]="All",Transport_Table[[#This Row],[Data Source]]=SelectedDataSource)</f>
        <v>0</v>
      </c>
      <c r="L538" s="14" t="b">
        <f>AND(Transport_Table[[#This Row],[Show Feedstock]:[Show Data Source]],NOT(Transport_Table[[#This Row],[Hide Column]]))</f>
        <v>0</v>
      </c>
      <c r="M538" s="14" t="s">
        <v>14</v>
      </c>
      <c r="N538" s="14" t="s">
        <v>1221</v>
      </c>
      <c r="O538" s="14" t="s">
        <v>1303</v>
      </c>
      <c r="P538" s="178" t="s">
        <v>1700</v>
      </c>
      <c r="Q538" s="400" t="s">
        <v>1946</v>
      </c>
      <c r="R538" s="393">
        <v>6.9999999999999951E-2</v>
      </c>
      <c r="S538" s="394">
        <v>800</v>
      </c>
      <c r="T538" s="107"/>
    </row>
    <row r="539" spans="1:20" x14ac:dyDescent="0.3">
      <c r="A539" s="190" t="s">
        <v>136</v>
      </c>
      <c r="B539" s="178" t="s">
        <v>1964</v>
      </c>
      <c r="C539" s="178" t="s">
        <v>194</v>
      </c>
      <c r="D539" s="178" t="s">
        <v>377</v>
      </c>
      <c r="E539" s="178" t="s">
        <v>31</v>
      </c>
      <c r="F539" s="14" t="b">
        <f>OR(Transport_Table[[#This Row],[Feedstock]]="All",Transport_Table[[#This Row],[Feedstock]]=SelectedFeedstock)</f>
        <v>0</v>
      </c>
      <c r="G539" s="14" t="b">
        <f>OR(Transport_Table[[#This Row],[Conversion]]="All",Transport_Table[[#This Row],[Conversion]]=SelectedConversion)</f>
        <v>0</v>
      </c>
      <c r="H539" s="14" t="b">
        <f>OR(Transport_Table[[#This Row],[Data Set]]="All",Transport_Table[[#This Row],[Data Set]]=SelectedDataSet)</f>
        <v>0</v>
      </c>
      <c r="I539" s="14" t="b">
        <f>OR(Transport_Table[[#This Row],[Technology]]="All",Transport_Table[[#This Row],[Technology]]=SelectedTechnology)</f>
        <v>1</v>
      </c>
      <c r="J539" s="14" t="b">
        <f>OR(Transport_Table[[#This Row],[Data Source]]="All",Transport_Table[[#This Row],[Data Source]]=SelectedDataSource)</f>
        <v>0</v>
      </c>
      <c r="L539" s="14" t="b">
        <f>AND(Transport_Table[[#This Row],[Show Feedstock]:[Show Data Source]],NOT(Transport_Table[[#This Row],[Hide Column]]))</f>
        <v>0</v>
      </c>
      <c r="M539" s="14" t="s">
        <v>14</v>
      </c>
      <c r="N539" s="14" t="s">
        <v>1222</v>
      </c>
      <c r="O539" s="14" t="s">
        <v>1304</v>
      </c>
      <c r="P539" s="178" t="s">
        <v>1700</v>
      </c>
      <c r="Q539" s="241" t="s">
        <v>1943</v>
      </c>
      <c r="R539" s="393">
        <v>1</v>
      </c>
      <c r="S539" s="394">
        <v>30</v>
      </c>
      <c r="T539" s="107"/>
    </row>
    <row r="540" spans="1:20" x14ac:dyDescent="0.3">
      <c r="A540" s="190" t="s">
        <v>135</v>
      </c>
      <c r="B540" s="178" t="s">
        <v>1964</v>
      </c>
      <c r="C540" s="178" t="s">
        <v>194</v>
      </c>
      <c r="D540" s="178" t="s">
        <v>1399</v>
      </c>
      <c r="E540" s="178" t="s">
        <v>1398</v>
      </c>
      <c r="F540" s="14" t="b">
        <f>OR(Transport_Table[[#This Row],[Feedstock]]="All",Transport_Table[[#This Row],[Feedstock]]=SelectedFeedstock)</f>
        <v>0</v>
      </c>
      <c r="G540" s="14" t="b">
        <f>OR(Transport_Table[[#This Row],[Conversion]]="All",Transport_Table[[#This Row],[Conversion]]=SelectedConversion)</f>
        <v>0</v>
      </c>
      <c r="H540" s="14" t="b">
        <f>OR(Transport_Table[[#This Row],[Data Set]]="All",Transport_Table[[#This Row],[Data Set]]=SelectedDataSet)</f>
        <v>0</v>
      </c>
      <c r="I540" s="14" t="b">
        <f>OR(Transport_Table[[#This Row],[Technology]]="All",Transport_Table[[#This Row],[Technology]]=SelectedTechnology)</f>
        <v>0</v>
      </c>
      <c r="J540" s="14" t="b">
        <f>OR(Transport_Table[[#This Row],[Data Source]]="All",Transport_Table[[#This Row],[Data Source]]=SelectedDataSource)</f>
        <v>0</v>
      </c>
      <c r="K540" s="14" t="b">
        <v>1</v>
      </c>
      <c r="L540" s="14" t="b">
        <f>AND(Transport_Table[[#This Row],[Show Feedstock]:[Show Data Source]],NOT(Transport_Table[[#This Row],[Hide Column]]))</f>
        <v>0</v>
      </c>
      <c r="M540" s="14" t="s">
        <v>147</v>
      </c>
      <c r="N540" s="14" t="s">
        <v>1214</v>
      </c>
      <c r="O540" s="14" t="s">
        <v>1296</v>
      </c>
      <c r="P540" s="178" t="s">
        <v>135</v>
      </c>
      <c r="Q540" s="241" t="s">
        <v>1944</v>
      </c>
      <c r="R540" s="393">
        <v>1</v>
      </c>
      <c r="S540" s="394">
        <v>169.66159342806424</v>
      </c>
      <c r="T540" s="107"/>
    </row>
    <row r="541" spans="1:20" x14ac:dyDescent="0.3">
      <c r="A541" s="190" t="s">
        <v>135</v>
      </c>
      <c r="B541" s="178" t="s">
        <v>1964</v>
      </c>
      <c r="C541" s="178" t="s">
        <v>194</v>
      </c>
      <c r="D541" s="178" t="s">
        <v>1399</v>
      </c>
      <c r="E541" s="178" t="s">
        <v>1398</v>
      </c>
      <c r="F541" s="14" t="b">
        <f>OR(Transport_Table[[#This Row],[Feedstock]]="All",Transport_Table[[#This Row],[Feedstock]]=SelectedFeedstock)</f>
        <v>0</v>
      </c>
      <c r="G541" s="14" t="b">
        <f>OR(Transport_Table[[#This Row],[Conversion]]="All",Transport_Table[[#This Row],[Conversion]]=SelectedConversion)</f>
        <v>0</v>
      </c>
      <c r="H541" s="14" t="b">
        <f>OR(Transport_Table[[#This Row],[Data Set]]="All",Transport_Table[[#This Row],[Data Set]]=SelectedDataSet)</f>
        <v>0</v>
      </c>
      <c r="I541" s="14" t="b">
        <f>OR(Transport_Table[[#This Row],[Technology]]="All",Transport_Table[[#This Row],[Technology]]=SelectedTechnology)</f>
        <v>0</v>
      </c>
      <c r="J541" s="14" t="b">
        <f>OR(Transport_Table[[#This Row],[Data Source]]="All",Transport_Table[[#This Row],[Data Source]]=SelectedDataSource)</f>
        <v>0</v>
      </c>
      <c r="L541" s="14" t="b">
        <f>AND(Transport_Table[[#This Row],[Show Feedstock]:[Show Data Source]],NOT(Transport_Table[[#This Row],[Hide Column]]))</f>
        <v>0</v>
      </c>
      <c r="M541" s="14" t="s">
        <v>147</v>
      </c>
      <c r="N541" s="14" t="s">
        <v>1219</v>
      </c>
      <c r="O541" s="14" t="s">
        <v>1301</v>
      </c>
      <c r="P541" s="178" t="s">
        <v>1700</v>
      </c>
      <c r="Q541" s="241" t="s">
        <v>1945</v>
      </c>
      <c r="R541" s="393">
        <v>0.33</v>
      </c>
      <c r="S541" s="394">
        <v>520</v>
      </c>
      <c r="T541" s="107"/>
    </row>
    <row r="542" spans="1:20" x14ac:dyDescent="0.3">
      <c r="A542" s="190" t="s">
        <v>135</v>
      </c>
      <c r="B542" s="178" t="s">
        <v>1964</v>
      </c>
      <c r="C542" s="178" t="s">
        <v>194</v>
      </c>
      <c r="D542" s="178" t="s">
        <v>1399</v>
      </c>
      <c r="E542" s="178" t="s">
        <v>1398</v>
      </c>
      <c r="F542" s="14" t="b">
        <f>OR(Transport_Table[[#This Row],[Feedstock]]="All",Transport_Table[[#This Row],[Feedstock]]=SelectedFeedstock)</f>
        <v>0</v>
      </c>
      <c r="G542" s="14" t="b">
        <f>OR(Transport_Table[[#This Row],[Conversion]]="All",Transport_Table[[#This Row],[Conversion]]=SelectedConversion)</f>
        <v>0</v>
      </c>
      <c r="H542" s="14" t="b">
        <f>OR(Transport_Table[[#This Row],[Data Set]]="All",Transport_Table[[#This Row],[Data Set]]=SelectedDataSet)</f>
        <v>0</v>
      </c>
      <c r="I542" s="14" t="b">
        <f>OR(Transport_Table[[#This Row],[Technology]]="All",Transport_Table[[#This Row],[Technology]]=SelectedTechnology)</f>
        <v>0</v>
      </c>
      <c r="J542" s="14" t="b">
        <f>OR(Transport_Table[[#This Row],[Data Source]]="All",Transport_Table[[#This Row],[Data Source]]=SelectedDataSource)</f>
        <v>0</v>
      </c>
      <c r="L542" s="14" t="b">
        <f>AND(Transport_Table[[#This Row],[Show Feedstock]:[Show Data Source]],NOT(Transport_Table[[#This Row],[Hide Column]]))</f>
        <v>0</v>
      </c>
      <c r="M542" s="14" t="s">
        <v>147</v>
      </c>
      <c r="N542" s="14" t="s">
        <v>1220</v>
      </c>
      <c r="O542" s="14" t="s">
        <v>1302</v>
      </c>
      <c r="P542" s="178" t="s">
        <v>1700</v>
      </c>
      <c r="Q542" s="241" t="s">
        <v>1946</v>
      </c>
      <c r="R542" s="393">
        <v>0.6</v>
      </c>
      <c r="S542" s="394">
        <v>400</v>
      </c>
      <c r="T542" s="107"/>
    </row>
    <row r="543" spans="1:20" x14ac:dyDescent="0.3">
      <c r="A543" s="190" t="s">
        <v>135</v>
      </c>
      <c r="B543" s="178" t="s">
        <v>1964</v>
      </c>
      <c r="C543" s="178" t="s">
        <v>194</v>
      </c>
      <c r="D543" s="178" t="s">
        <v>1399</v>
      </c>
      <c r="E543" s="178" t="s">
        <v>1398</v>
      </c>
      <c r="F543" s="14" t="b">
        <f>OR(Transport_Table[[#This Row],[Feedstock]]="All",Transport_Table[[#This Row],[Feedstock]]=SelectedFeedstock)</f>
        <v>0</v>
      </c>
      <c r="G543" s="14" t="b">
        <f>OR(Transport_Table[[#This Row],[Conversion]]="All",Transport_Table[[#This Row],[Conversion]]=SelectedConversion)</f>
        <v>0</v>
      </c>
      <c r="H543" s="14" t="b">
        <f>OR(Transport_Table[[#This Row],[Data Set]]="All",Transport_Table[[#This Row],[Data Set]]=SelectedDataSet)</f>
        <v>0</v>
      </c>
      <c r="I543" s="14" t="b">
        <f>OR(Transport_Table[[#This Row],[Technology]]="All",Transport_Table[[#This Row],[Technology]]=SelectedTechnology)</f>
        <v>0</v>
      </c>
      <c r="J543" s="14" t="b">
        <f>OR(Transport_Table[[#This Row],[Data Source]]="All",Transport_Table[[#This Row],[Data Source]]=SelectedDataSource)</f>
        <v>0</v>
      </c>
      <c r="L543" s="14" t="b">
        <f>AND(Transport_Table[[#This Row],[Show Feedstock]:[Show Data Source]],NOT(Transport_Table[[#This Row],[Hide Column]]))</f>
        <v>0</v>
      </c>
      <c r="M543" s="14" t="s">
        <v>147</v>
      </c>
      <c r="N543" s="14" t="s">
        <v>1221</v>
      </c>
      <c r="O543" s="14" t="s">
        <v>1303</v>
      </c>
      <c r="P543" s="178" t="s">
        <v>1700</v>
      </c>
      <c r="Q543" s="400" t="s">
        <v>1947</v>
      </c>
      <c r="R543" s="393">
        <v>6.9999999999999951E-2</v>
      </c>
      <c r="S543" s="394">
        <v>800</v>
      </c>
      <c r="T543" s="107"/>
    </row>
    <row r="544" spans="1:20" x14ac:dyDescent="0.3">
      <c r="A544" s="190" t="s">
        <v>135</v>
      </c>
      <c r="B544" s="178" t="s">
        <v>1964</v>
      </c>
      <c r="C544" s="178" t="s">
        <v>194</v>
      </c>
      <c r="D544" s="178" t="s">
        <v>1399</v>
      </c>
      <c r="E544" s="178" t="s">
        <v>1398</v>
      </c>
      <c r="F544" s="14" t="b">
        <f>OR(Transport_Table[[#This Row],[Feedstock]]="All",Transport_Table[[#This Row],[Feedstock]]=SelectedFeedstock)</f>
        <v>0</v>
      </c>
      <c r="G544" s="14" t="b">
        <f>OR(Transport_Table[[#This Row],[Conversion]]="All",Transport_Table[[#This Row],[Conversion]]=SelectedConversion)</f>
        <v>0</v>
      </c>
      <c r="H544" s="14" t="b">
        <f>OR(Transport_Table[[#This Row],[Data Set]]="All",Transport_Table[[#This Row],[Data Set]]=SelectedDataSet)</f>
        <v>0</v>
      </c>
      <c r="I544" s="14" t="b">
        <f>OR(Transport_Table[[#This Row],[Technology]]="All",Transport_Table[[#This Row],[Technology]]=SelectedTechnology)</f>
        <v>0</v>
      </c>
      <c r="J544" s="14" t="b">
        <f>OR(Transport_Table[[#This Row],[Data Source]]="All",Transport_Table[[#This Row],[Data Source]]=SelectedDataSource)</f>
        <v>0</v>
      </c>
      <c r="L544" s="14" t="b">
        <f>AND(Transport_Table[[#This Row],[Show Feedstock]:[Show Data Source]],NOT(Transport_Table[[#This Row],[Hide Column]]))</f>
        <v>0</v>
      </c>
      <c r="M544" s="14" t="s">
        <v>147</v>
      </c>
      <c r="N544" s="14" t="s">
        <v>1222</v>
      </c>
      <c r="O544" s="14" t="s">
        <v>1304</v>
      </c>
      <c r="P544" s="178" t="s">
        <v>1700</v>
      </c>
      <c r="Q544" s="241" t="s">
        <v>1943</v>
      </c>
      <c r="R544" s="393">
        <v>1</v>
      </c>
      <c r="S544" s="394">
        <v>30</v>
      </c>
      <c r="T544" s="107"/>
    </row>
    <row r="545" spans="1:20" x14ac:dyDescent="0.3">
      <c r="A545" s="190" t="s">
        <v>135</v>
      </c>
      <c r="B545" s="178" t="s">
        <v>1964</v>
      </c>
      <c r="C545" s="178" t="s">
        <v>194</v>
      </c>
      <c r="D545" s="178" t="s">
        <v>1399</v>
      </c>
      <c r="E545" s="178" t="s">
        <v>137</v>
      </c>
      <c r="F545" s="14" t="b">
        <f>OR(Transport_Table[[#This Row],[Feedstock]]="All",Transport_Table[[#This Row],[Feedstock]]=SelectedFeedstock)</f>
        <v>0</v>
      </c>
      <c r="G545" s="14" t="b">
        <f>OR(Transport_Table[[#This Row],[Conversion]]="All",Transport_Table[[#This Row],[Conversion]]=SelectedConversion)</f>
        <v>0</v>
      </c>
      <c r="H545" s="14" t="b">
        <f>OR(Transport_Table[[#This Row],[Data Set]]="All",Transport_Table[[#This Row],[Data Set]]=SelectedDataSet)</f>
        <v>0</v>
      </c>
      <c r="I545" s="14" t="b">
        <f>OR(Transport_Table[[#This Row],[Technology]]="All",Transport_Table[[#This Row],[Technology]]=SelectedTechnology)</f>
        <v>0</v>
      </c>
      <c r="J545" s="14" t="b">
        <f>OR(Transport_Table[[#This Row],[Data Source]]="All",Transport_Table[[#This Row],[Data Source]]=SelectedDataSource)</f>
        <v>0</v>
      </c>
      <c r="K545" s="14" t="b">
        <v>1</v>
      </c>
      <c r="L545" s="14" t="b">
        <f>AND(Transport_Table[[#This Row],[Show Feedstock]:[Show Data Source]],NOT(Transport_Table[[#This Row],[Hide Column]]))</f>
        <v>0</v>
      </c>
      <c r="M545" s="14" t="s">
        <v>147</v>
      </c>
      <c r="N545" s="14" t="s">
        <v>1214</v>
      </c>
      <c r="O545" s="14" t="s">
        <v>1296</v>
      </c>
      <c r="P545" s="178" t="s">
        <v>135</v>
      </c>
      <c r="Q545" s="241" t="s">
        <v>1944</v>
      </c>
      <c r="R545" s="393">
        <v>1</v>
      </c>
      <c r="S545" s="394">
        <v>169.66159342806424</v>
      </c>
      <c r="T545" s="107"/>
    </row>
    <row r="546" spans="1:20" x14ac:dyDescent="0.3">
      <c r="A546" s="190" t="s">
        <v>135</v>
      </c>
      <c r="B546" s="178" t="s">
        <v>1964</v>
      </c>
      <c r="C546" s="178" t="s">
        <v>194</v>
      </c>
      <c r="D546" s="178" t="s">
        <v>1399</v>
      </c>
      <c r="E546" s="178" t="s">
        <v>137</v>
      </c>
      <c r="F546" s="14" t="b">
        <f>OR(Transport_Table[[#This Row],[Feedstock]]="All",Transport_Table[[#This Row],[Feedstock]]=SelectedFeedstock)</f>
        <v>0</v>
      </c>
      <c r="G546" s="14" t="b">
        <f>OR(Transport_Table[[#This Row],[Conversion]]="All",Transport_Table[[#This Row],[Conversion]]=SelectedConversion)</f>
        <v>0</v>
      </c>
      <c r="H546" s="14" t="b">
        <f>OR(Transport_Table[[#This Row],[Data Set]]="All",Transport_Table[[#This Row],[Data Set]]=SelectedDataSet)</f>
        <v>0</v>
      </c>
      <c r="I546" s="14" t="b">
        <f>OR(Transport_Table[[#This Row],[Technology]]="All",Transport_Table[[#This Row],[Technology]]=SelectedTechnology)</f>
        <v>0</v>
      </c>
      <c r="J546" s="14" t="b">
        <f>OR(Transport_Table[[#This Row],[Data Source]]="All",Transport_Table[[#This Row],[Data Source]]=SelectedDataSource)</f>
        <v>0</v>
      </c>
      <c r="K546" s="14" t="b">
        <v>1</v>
      </c>
      <c r="L546" s="14" t="b">
        <f>AND(Transport_Table[[#This Row],[Show Feedstock]:[Show Data Source]],NOT(Transport_Table[[#This Row],[Hide Column]]))</f>
        <v>0</v>
      </c>
      <c r="M546" s="14" t="s">
        <v>147</v>
      </c>
      <c r="N546" s="14" t="s">
        <v>1223</v>
      </c>
      <c r="O546" s="14" t="s">
        <v>1305</v>
      </c>
      <c r="P546" s="178" t="s">
        <v>138</v>
      </c>
      <c r="Q546" s="241" t="s">
        <v>1945</v>
      </c>
      <c r="R546" s="393">
        <v>0.13200000000000001</v>
      </c>
      <c r="S546" s="394">
        <v>520</v>
      </c>
      <c r="T546" s="107"/>
    </row>
    <row r="547" spans="1:20" x14ac:dyDescent="0.3">
      <c r="A547" s="190" t="s">
        <v>135</v>
      </c>
      <c r="B547" s="178" t="s">
        <v>1964</v>
      </c>
      <c r="C547" s="178" t="s">
        <v>194</v>
      </c>
      <c r="D547" s="178" t="s">
        <v>1399</v>
      </c>
      <c r="E547" s="178" t="s">
        <v>137</v>
      </c>
      <c r="F547" s="14" t="b">
        <f>OR(Transport_Table[[#This Row],[Feedstock]]="All",Transport_Table[[#This Row],[Feedstock]]=SelectedFeedstock)</f>
        <v>0</v>
      </c>
      <c r="G547" s="14" t="b">
        <f>OR(Transport_Table[[#This Row],[Conversion]]="All",Transport_Table[[#This Row],[Conversion]]=SelectedConversion)</f>
        <v>0</v>
      </c>
      <c r="H547" s="14" t="b">
        <f>OR(Transport_Table[[#This Row],[Data Set]]="All",Transport_Table[[#This Row],[Data Set]]=SelectedDataSet)</f>
        <v>0</v>
      </c>
      <c r="I547" s="14" t="b">
        <f>OR(Transport_Table[[#This Row],[Technology]]="All",Transport_Table[[#This Row],[Technology]]=SelectedTechnology)</f>
        <v>0</v>
      </c>
      <c r="J547" s="14" t="b">
        <f>OR(Transport_Table[[#This Row],[Data Source]]="All",Transport_Table[[#This Row],[Data Source]]=SelectedDataSource)</f>
        <v>0</v>
      </c>
      <c r="K547" s="14" t="b">
        <v>1</v>
      </c>
      <c r="L547" s="14" t="b">
        <f>AND(Transport_Table[[#This Row],[Show Feedstock]:[Show Data Source]],NOT(Transport_Table[[#This Row],[Hide Column]]))</f>
        <v>0</v>
      </c>
      <c r="M547" s="14" t="s">
        <v>147</v>
      </c>
      <c r="N547" s="14" t="s">
        <v>1224</v>
      </c>
      <c r="O547" s="14" t="s">
        <v>1306</v>
      </c>
      <c r="P547" s="178" t="s">
        <v>138</v>
      </c>
      <c r="Q547" s="400" t="s">
        <v>1946</v>
      </c>
      <c r="R547" s="393">
        <v>0</v>
      </c>
      <c r="S547" s="394">
        <v>0</v>
      </c>
      <c r="T547" s="107"/>
    </row>
    <row r="548" spans="1:20" x14ac:dyDescent="0.3">
      <c r="A548" s="190" t="s">
        <v>135</v>
      </c>
      <c r="B548" s="178" t="s">
        <v>1964</v>
      </c>
      <c r="C548" s="178" t="s">
        <v>194</v>
      </c>
      <c r="D548" s="178" t="s">
        <v>1399</v>
      </c>
      <c r="E548" s="178" t="s">
        <v>137</v>
      </c>
      <c r="F548" s="14" t="b">
        <f>OR(Transport_Table[[#This Row],[Feedstock]]="All",Transport_Table[[#This Row],[Feedstock]]=SelectedFeedstock)</f>
        <v>0</v>
      </c>
      <c r="G548" s="14" t="b">
        <f>OR(Transport_Table[[#This Row],[Conversion]]="All",Transport_Table[[#This Row],[Conversion]]=SelectedConversion)</f>
        <v>0</v>
      </c>
      <c r="H548" s="14" t="b">
        <f>OR(Transport_Table[[#This Row],[Data Set]]="All",Transport_Table[[#This Row],[Data Set]]=SelectedDataSet)</f>
        <v>0</v>
      </c>
      <c r="I548" s="14" t="b">
        <f>OR(Transport_Table[[#This Row],[Technology]]="All",Transport_Table[[#This Row],[Technology]]=SelectedTechnology)</f>
        <v>0</v>
      </c>
      <c r="J548" s="14" t="b">
        <f>OR(Transport_Table[[#This Row],[Data Source]]="All",Transport_Table[[#This Row],[Data Source]]=SelectedDataSource)</f>
        <v>0</v>
      </c>
      <c r="K548" s="14" t="b">
        <v>1</v>
      </c>
      <c r="L548" s="14" t="b">
        <f>AND(Transport_Table[[#This Row],[Show Feedstock]:[Show Data Source]],NOT(Transport_Table[[#This Row],[Hide Column]]))</f>
        <v>0</v>
      </c>
      <c r="M548" s="14" t="s">
        <v>147</v>
      </c>
      <c r="N548" s="14" t="s">
        <v>1225</v>
      </c>
      <c r="O548" s="14" t="s">
        <v>1307</v>
      </c>
      <c r="P548" s="178" t="s">
        <v>138</v>
      </c>
      <c r="Q548" s="241" t="s">
        <v>1939</v>
      </c>
      <c r="R548" s="393">
        <v>0.78900000000000003</v>
      </c>
      <c r="S548" s="394">
        <v>800</v>
      </c>
      <c r="T548" s="107"/>
    </row>
    <row r="549" spans="1:20" x14ac:dyDescent="0.3">
      <c r="A549" s="190" t="s">
        <v>135</v>
      </c>
      <c r="B549" s="178" t="s">
        <v>1964</v>
      </c>
      <c r="C549" s="178" t="s">
        <v>194</v>
      </c>
      <c r="D549" s="178" t="s">
        <v>1399</v>
      </c>
      <c r="E549" s="178" t="s">
        <v>137</v>
      </c>
      <c r="F549" s="14" t="b">
        <f>OR(Transport_Table[[#This Row],[Feedstock]]="All",Transport_Table[[#This Row],[Feedstock]]=SelectedFeedstock)</f>
        <v>0</v>
      </c>
      <c r="G549" s="14" t="b">
        <f>OR(Transport_Table[[#This Row],[Conversion]]="All",Transport_Table[[#This Row],[Conversion]]=SelectedConversion)</f>
        <v>0</v>
      </c>
      <c r="H549" s="14" t="b">
        <f>OR(Transport_Table[[#This Row],[Data Set]]="All",Transport_Table[[#This Row],[Data Set]]=SelectedDataSet)</f>
        <v>0</v>
      </c>
      <c r="I549" s="14" t="b">
        <f>OR(Transport_Table[[#This Row],[Technology]]="All",Transport_Table[[#This Row],[Technology]]=SelectedTechnology)</f>
        <v>0</v>
      </c>
      <c r="J549" s="14" t="b">
        <f>OR(Transport_Table[[#This Row],[Data Source]]="All",Transport_Table[[#This Row],[Data Source]]=SelectedDataSource)</f>
        <v>0</v>
      </c>
      <c r="K549" s="14" t="b">
        <v>1</v>
      </c>
      <c r="L549" s="14" t="b">
        <f>AND(Transport_Table[[#This Row],[Show Feedstock]:[Show Data Source]],NOT(Transport_Table[[#This Row],[Hide Column]]))</f>
        <v>0</v>
      </c>
      <c r="M549" s="14" t="s">
        <v>147</v>
      </c>
      <c r="N549" s="14" t="s">
        <v>1226</v>
      </c>
      <c r="O549" s="14" t="s">
        <v>1308</v>
      </c>
      <c r="P549" s="178" t="s">
        <v>138</v>
      </c>
      <c r="Q549" s="241" t="s">
        <v>1940</v>
      </c>
      <c r="R549" s="393">
        <v>7.8999999999999959E-2</v>
      </c>
      <c r="S549" s="394">
        <v>80</v>
      </c>
      <c r="T549" s="107"/>
    </row>
    <row r="550" spans="1:20" x14ac:dyDescent="0.3">
      <c r="A550" s="190" t="s">
        <v>135</v>
      </c>
      <c r="B550" s="178" t="s">
        <v>1964</v>
      </c>
      <c r="C550" s="178" t="s">
        <v>194</v>
      </c>
      <c r="D550" s="178" t="s">
        <v>1399</v>
      </c>
      <c r="E550" s="178" t="s">
        <v>137</v>
      </c>
      <c r="F550" s="14" t="b">
        <f>OR(Transport_Table[[#This Row],[Feedstock]]="All",Transport_Table[[#This Row],[Feedstock]]=SelectedFeedstock)</f>
        <v>0</v>
      </c>
      <c r="G550" s="14" t="b">
        <f>OR(Transport_Table[[#This Row],[Conversion]]="All",Transport_Table[[#This Row],[Conversion]]=SelectedConversion)</f>
        <v>0</v>
      </c>
      <c r="H550" s="14" t="b">
        <f>OR(Transport_Table[[#This Row],[Data Set]]="All",Transport_Table[[#This Row],[Data Set]]=SelectedDataSet)</f>
        <v>0</v>
      </c>
      <c r="I550" s="14" t="b">
        <f>OR(Transport_Table[[#This Row],[Technology]]="All",Transport_Table[[#This Row],[Technology]]=SelectedTechnology)</f>
        <v>0</v>
      </c>
      <c r="J550" s="14" t="b">
        <f>OR(Transport_Table[[#This Row],[Data Source]]="All",Transport_Table[[#This Row],[Data Source]]=SelectedDataSource)</f>
        <v>0</v>
      </c>
      <c r="K550" s="14" t="b">
        <v>1</v>
      </c>
      <c r="L550" s="14" t="b">
        <f>AND(Transport_Table[[#This Row],[Show Feedstock]:[Show Data Source]],NOT(Transport_Table[[#This Row],[Hide Column]]))</f>
        <v>0</v>
      </c>
      <c r="M550" s="14" t="s">
        <v>147</v>
      </c>
      <c r="N550" s="14" t="s">
        <v>1227</v>
      </c>
      <c r="O550" s="14" t="s">
        <v>1309</v>
      </c>
      <c r="P550" s="178" t="s">
        <v>138</v>
      </c>
      <c r="Q550" s="241" t="s">
        <v>1940</v>
      </c>
      <c r="R550" s="393">
        <v>1</v>
      </c>
      <c r="S550" s="394">
        <v>30</v>
      </c>
      <c r="T550" s="107"/>
    </row>
    <row r="551" spans="1:20" x14ac:dyDescent="0.3">
      <c r="A551" s="190" t="s">
        <v>135</v>
      </c>
      <c r="B551" s="178" t="s">
        <v>1964</v>
      </c>
      <c r="C551" s="178" t="s">
        <v>194</v>
      </c>
      <c r="D551" s="178" t="s">
        <v>1399</v>
      </c>
      <c r="E551" s="178" t="s">
        <v>137</v>
      </c>
      <c r="F551" s="14" t="b">
        <f>OR(Transport_Table[[#This Row],[Feedstock]]="All",Transport_Table[[#This Row],[Feedstock]]=SelectedFeedstock)</f>
        <v>0</v>
      </c>
      <c r="G551" s="14" t="b">
        <f>OR(Transport_Table[[#This Row],[Conversion]]="All",Transport_Table[[#This Row],[Conversion]]=SelectedConversion)</f>
        <v>0</v>
      </c>
      <c r="H551" s="14" t="b">
        <f>OR(Transport_Table[[#This Row],[Data Set]]="All",Transport_Table[[#This Row],[Data Set]]=SelectedDataSet)</f>
        <v>0</v>
      </c>
      <c r="I551" s="14" t="b">
        <f>OR(Transport_Table[[#This Row],[Technology]]="All",Transport_Table[[#This Row],[Technology]]=SelectedTechnology)</f>
        <v>0</v>
      </c>
      <c r="J551" s="14" t="b">
        <f>OR(Transport_Table[[#This Row],[Data Source]]="All",Transport_Table[[#This Row],[Data Source]]=SelectedDataSource)</f>
        <v>0</v>
      </c>
      <c r="L551" s="14" t="b">
        <f>AND(Transport_Table[[#This Row],[Show Feedstock]:[Show Data Source]],NOT(Transport_Table[[#This Row],[Hide Column]]))</f>
        <v>0</v>
      </c>
      <c r="M551" s="14" t="s">
        <v>147</v>
      </c>
      <c r="N551" s="14" t="s">
        <v>1219</v>
      </c>
      <c r="O551" s="14" t="s">
        <v>1301</v>
      </c>
      <c r="P551" s="178" t="s">
        <v>1700</v>
      </c>
      <c r="Q551" s="241" t="s">
        <v>1938</v>
      </c>
      <c r="R551" s="393">
        <v>0.33</v>
      </c>
      <c r="S551" s="394">
        <v>520</v>
      </c>
      <c r="T551" s="107"/>
    </row>
    <row r="552" spans="1:20" x14ac:dyDescent="0.3">
      <c r="A552" s="190" t="s">
        <v>135</v>
      </c>
      <c r="B552" s="178" t="s">
        <v>1964</v>
      </c>
      <c r="C552" s="178" t="s">
        <v>194</v>
      </c>
      <c r="D552" s="178" t="s">
        <v>1399</v>
      </c>
      <c r="E552" s="178" t="s">
        <v>137</v>
      </c>
      <c r="F552" s="14" t="b">
        <f>OR(Transport_Table[[#This Row],[Feedstock]]="All",Transport_Table[[#This Row],[Feedstock]]=SelectedFeedstock)</f>
        <v>0</v>
      </c>
      <c r="G552" s="14" t="b">
        <f>OR(Transport_Table[[#This Row],[Conversion]]="All",Transport_Table[[#This Row],[Conversion]]=SelectedConversion)</f>
        <v>0</v>
      </c>
      <c r="H552" s="14" t="b">
        <f>OR(Transport_Table[[#This Row],[Data Set]]="All",Transport_Table[[#This Row],[Data Set]]=SelectedDataSet)</f>
        <v>0</v>
      </c>
      <c r="I552" s="14" t="b">
        <f>OR(Transport_Table[[#This Row],[Technology]]="All",Transport_Table[[#This Row],[Technology]]=SelectedTechnology)</f>
        <v>0</v>
      </c>
      <c r="J552" s="14" t="b">
        <f>OR(Transport_Table[[#This Row],[Data Source]]="All",Transport_Table[[#This Row],[Data Source]]=SelectedDataSource)</f>
        <v>0</v>
      </c>
      <c r="L552" s="14" t="b">
        <f>AND(Transport_Table[[#This Row],[Show Feedstock]:[Show Data Source]],NOT(Transport_Table[[#This Row],[Hide Column]]))</f>
        <v>0</v>
      </c>
      <c r="M552" s="14" t="s">
        <v>147</v>
      </c>
      <c r="N552" s="14" t="s">
        <v>1220</v>
      </c>
      <c r="O552" s="14" t="s">
        <v>1302</v>
      </c>
      <c r="P552" s="178" t="s">
        <v>1700</v>
      </c>
      <c r="Q552" s="241" t="s">
        <v>1942</v>
      </c>
      <c r="R552" s="393">
        <v>0.6</v>
      </c>
      <c r="S552" s="394">
        <v>400</v>
      </c>
      <c r="T552" s="107"/>
    </row>
    <row r="553" spans="1:20" x14ac:dyDescent="0.3">
      <c r="A553" s="190" t="s">
        <v>135</v>
      </c>
      <c r="B553" s="178" t="s">
        <v>1964</v>
      </c>
      <c r="C553" s="178" t="s">
        <v>194</v>
      </c>
      <c r="D553" s="178" t="s">
        <v>1399</v>
      </c>
      <c r="E553" s="178" t="s">
        <v>137</v>
      </c>
      <c r="F553" s="14" t="b">
        <f>OR(Transport_Table[[#This Row],[Feedstock]]="All",Transport_Table[[#This Row],[Feedstock]]=SelectedFeedstock)</f>
        <v>0</v>
      </c>
      <c r="G553" s="14" t="b">
        <f>OR(Transport_Table[[#This Row],[Conversion]]="All",Transport_Table[[#This Row],[Conversion]]=SelectedConversion)</f>
        <v>0</v>
      </c>
      <c r="H553" s="14" t="b">
        <f>OR(Transport_Table[[#This Row],[Data Set]]="All",Transport_Table[[#This Row],[Data Set]]=SelectedDataSet)</f>
        <v>0</v>
      </c>
      <c r="I553" s="14" t="b">
        <f>OR(Transport_Table[[#This Row],[Technology]]="All",Transport_Table[[#This Row],[Technology]]=SelectedTechnology)</f>
        <v>0</v>
      </c>
      <c r="J553" s="14" t="b">
        <f>OR(Transport_Table[[#This Row],[Data Source]]="All",Transport_Table[[#This Row],[Data Source]]=SelectedDataSource)</f>
        <v>0</v>
      </c>
      <c r="L553" s="14" t="b">
        <f>AND(Transport_Table[[#This Row],[Show Feedstock]:[Show Data Source]],NOT(Transport_Table[[#This Row],[Hide Column]]))</f>
        <v>0</v>
      </c>
      <c r="M553" s="14" t="s">
        <v>147</v>
      </c>
      <c r="N553" s="14" t="s">
        <v>1221</v>
      </c>
      <c r="O553" s="14" t="s">
        <v>1303</v>
      </c>
      <c r="P553" s="178" t="s">
        <v>1700</v>
      </c>
      <c r="Q553" s="241" t="s">
        <v>1939</v>
      </c>
      <c r="R553" s="393">
        <v>6.9999999999999951E-2</v>
      </c>
      <c r="S553" s="394">
        <v>800</v>
      </c>
      <c r="T553" s="107"/>
    </row>
    <row r="554" spans="1:20" x14ac:dyDescent="0.3">
      <c r="A554" s="190" t="s">
        <v>135</v>
      </c>
      <c r="B554" s="178" t="s">
        <v>1964</v>
      </c>
      <c r="C554" s="178" t="s">
        <v>194</v>
      </c>
      <c r="D554" s="178" t="s">
        <v>1399</v>
      </c>
      <c r="E554" s="178" t="s">
        <v>137</v>
      </c>
      <c r="F554" s="14" t="b">
        <f>OR(Transport_Table[[#This Row],[Feedstock]]="All",Transport_Table[[#This Row],[Feedstock]]=SelectedFeedstock)</f>
        <v>0</v>
      </c>
      <c r="G554" s="14" t="b">
        <f>OR(Transport_Table[[#This Row],[Conversion]]="All",Transport_Table[[#This Row],[Conversion]]=SelectedConversion)</f>
        <v>0</v>
      </c>
      <c r="H554" s="14" t="b">
        <f>OR(Transport_Table[[#This Row],[Data Set]]="All",Transport_Table[[#This Row],[Data Set]]=SelectedDataSet)</f>
        <v>0</v>
      </c>
      <c r="I554" s="14" t="b">
        <f>OR(Transport_Table[[#This Row],[Technology]]="All",Transport_Table[[#This Row],[Technology]]=SelectedTechnology)</f>
        <v>0</v>
      </c>
      <c r="J554" s="14" t="b">
        <f>OR(Transport_Table[[#This Row],[Data Source]]="All",Transport_Table[[#This Row],[Data Source]]=SelectedDataSource)</f>
        <v>0</v>
      </c>
      <c r="L554" s="14" t="b">
        <f>AND(Transport_Table[[#This Row],[Show Feedstock]:[Show Data Source]],NOT(Transport_Table[[#This Row],[Hide Column]]))</f>
        <v>0</v>
      </c>
      <c r="M554" s="14" t="s">
        <v>147</v>
      </c>
      <c r="N554" s="14" t="s">
        <v>1222</v>
      </c>
      <c r="O554" s="14" t="s">
        <v>1304</v>
      </c>
      <c r="P554" s="178" t="s">
        <v>1700</v>
      </c>
      <c r="Q554" s="241" t="s">
        <v>1940</v>
      </c>
      <c r="R554" s="393">
        <v>1</v>
      </c>
      <c r="S554" s="394">
        <v>30</v>
      </c>
      <c r="T554" s="107"/>
    </row>
    <row r="555" spans="1:20" x14ac:dyDescent="0.3">
      <c r="A555" s="190" t="s">
        <v>316</v>
      </c>
      <c r="B555" s="178" t="s">
        <v>1964</v>
      </c>
      <c r="C555" s="178" t="s">
        <v>194</v>
      </c>
      <c r="D555" s="178" t="s">
        <v>1399</v>
      </c>
      <c r="E555" s="178" t="s">
        <v>1398</v>
      </c>
      <c r="F555" s="14" t="b">
        <f>OR(Transport_Table[[#This Row],[Feedstock]]="All",Transport_Table[[#This Row],[Feedstock]]=SelectedFeedstock)</f>
        <v>0</v>
      </c>
      <c r="G555" s="14" t="b">
        <f>OR(Transport_Table[[#This Row],[Conversion]]="All",Transport_Table[[#This Row],[Conversion]]=SelectedConversion)</f>
        <v>0</v>
      </c>
      <c r="H555" s="14" t="b">
        <f>OR(Transport_Table[[#This Row],[Data Set]]="All",Transport_Table[[#This Row],[Data Set]]=SelectedDataSet)</f>
        <v>0</v>
      </c>
      <c r="I555" s="14" t="b">
        <f>OR(Transport_Table[[#This Row],[Technology]]="All",Transport_Table[[#This Row],[Technology]]=SelectedTechnology)</f>
        <v>0</v>
      </c>
      <c r="J555" s="14" t="b">
        <f>OR(Transport_Table[[#This Row],[Data Source]]="All",Transport_Table[[#This Row],[Data Source]]=SelectedDataSource)</f>
        <v>0</v>
      </c>
      <c r="K555" s="14" t="b">
        <v>1</v>
      </c>
      <c r="L555" s="14" t="b">
        <f>AND(Transport_Table[[#This Row],[Show Feedstock]:[Show Data Source]],NOT(Transport_Table[[#This Row],[Hide Column]]))</f>
        <v>0</v>
      </c>
      <c r="M555" s="14" t="s">
        <v>147</v>
      </c>
      <c r="N555" s="14" t="s">
        <v>1206</v>
      </c>
      <c r="O555" s="14" t="s">
        <v>1288</v>
      </c>
      <c r="P555" s="178" t="s">
        <v>316</v>
      </c>
      <c r="Q555" s="241" t="s">
        <v>1940</v>
      </c>
      <c r="R555" s="393">
        <v>1</v>
      </c>
      <c r="S555" s="394">
        <v>89.974520800000008</v>
      </c>
      <c r="T555" s="107"/>
    </row>
    <row r="556" spans="1:20" x14ac:dyDescent="0.3">
      <c r="A556" s="190" t="s">
        <v>316</v>
      </c>
      <c r="B556" s="178" t="s">
        <v>1964</v>
      </c>
      <c r="C556" s="178" t="s">
        <v>194</v>
      </c>
      <c r="D556" s="178" t="s">
        <v>1399</v>
      </c>
      <c r="E556" s="178" t="s">
        <v>1398</v>
      </c>
      <c r="F556" s="14" t="b">
        <f>OR(Transport_Table[[#This Row],[Feedstock]]="All",Transport_Table[[#This Row],[Feedstock]]=SelectedFeedstock)</f>
        <v>0</v>
      </c>
      <c r="G556" s="14" t="b">
        <f>OR(Transport_Table[[#This Row],[Conversion]]="All",Transport_Table[[#This Row],[Conversion]]=SelectedConversion)</f>
        <v>0</v>
      </c>
      <c r="H556" s="14" t="b">
        <f>OR(Transport_Table[[#This Row],[Data Set]]="All",Transport_Table[[#This Row],[Data Set]]=SelectedDataSet)</f>
        <v>0</v>
      </c>
      <c r="I556" s="14" t="b">
        <f>OR(Transport_Table[[#This Row],[Technology]]="All",Transport_Table[[#This Row],[Technology]]=SelectedTechnology)</f>
        <v>0</v>
      </c>
      <c r="J556" s="14" t="b">
        <f>OR(Transport_Table[[#This Row],[Data Source]]="All",Transport_Table[[#This Row],[Data Source]]=SelectedDataSource)</f>
        <v>0</v>
      </c>
      <c r="L556" s="14" t="b">
        <f>AND(Transport_Table[[#This Row],[Show Feedstock]:[Show Data Source]],NOT(Transport_Table[[#This Row],[Hide Column]]))</f>
        <v>0</v>
      </c>
      <c r="M556" s="14" t="s">
        <v>147</v>
      </c>
      <c r="N556" s="14" t="s">
        <v>1219</v>
      </c>
      <c r="O556" s="14" t="s">
        <v>1301</v>
      </c>
      <c r="P556" s="178" t="s">
        <v>1700</v>
      </c>
      <c r="Q556" s="241" t="s">
        <v>1938</v>
      </c>
      <c r="R556" s="393">
        <v>0.33</v>
      </c>
      <c r="S556" s="394">
        <v>520</v>
      </c>
      <c r="T556" s="107"/>
    </row>
    <row r="557" spans="1:20" x14ac:dyDescent="0.3">
      <c r="A557" s="190" t="s">
        <v>316</v>
      </c>
      <c r="B557" s="178" t="s">
        <v>1964</v>
      </c>
      <c r="C557" s="178" t="s">
        <v>194</v>
      </c>
      <c r="D557" s="178" t="s">
        <v>1399</v>
      </c>
      <c r="E557" s="178" t="s">
        <v>1398</v>
      </c>
      <c r="F557" s="14" t="b">
        <f>OR(Transport_Table[[#This Row],[Feedstock]]="All",Transport_Table[[#This Row],[Feedstock]]=SelectedFeedstock)</f>
        <v>0</v>
      </c>
      <c r="G557" s="14" t="b">
        <f>OR(Transport_Table[[#This Row],[Conversion]]="All",Transport_Table[[#This Row],[Conversion]]=SelectedConversion)</f>
        <v>0</v>
      </c>
      <c r="H557" s="14" t="b">
        <f>OR(Transport_Table[[#This Row],[Data Set]]="All",Transport_Table[[#This Row],[Data Set]]=SelectedDataSet)</f>
        <v>0</v>
      </c>
      <c r="I557" s="14" t="b">
        <f>OR(Transport_Table[[#This Row],[Technology]]="All",Transport_Table[[#This Row],[Technology]]=SelectedTechnology)</f>
        <v>0</v>
      </c>
      <c r="J557" s="14" t="b">
        <f>OR(Transport_Table[[#This Row],[Data Source]]="All",Transport_Table[[#This Row],[Data Source]]=SelectedDataSource)</f>
        <v>0</v>
      </c>
      <c r="L557" s="14" t="b">
        <f>AND(Transport_Table[[#This Row],[Show Feedstock]:[Show Data Source]],NOT(Transport_Table[[#This Row],[Hide Column]]))</f>
        <v>0</v>
      </c>
      <c r="M557" s="14" t="s">
        <v>147</v>
      </c>
      <c r="N557" s="14" t="s">
        <v>1220</v>
      </c>
      <c r="O557" s="14" t="s">
        <v>1302</v>
      </c>
      <c r="P557" s="178" t="s">
        <v>1700</v>
      </c>
      <c r="Q557" s="241" t="s">
        <v>1942</v>
      </c>
      <c r="R557" s="393">
        <v>0.6</v>
      </c>
      <c r="S557" s="394">
        <v>400</v>
      </c>
      <c r="T557" s="107"/>
    </row>
    <row r="558" spans="1:20" x14ac:dyDescent="0.3">
      <c r="A558" s="190" t="s">
        <v>316</v>
      </c>
      <c r="B558" s="178" t="s">
        <v>1964</v>
      </c>
      <c r="C558" s="178" t="s">
        <v>194</v>
      </c>
      <c r="D558" s="178" t="s">
        <v>1399</v>
      </c>
      <c r="E558" s="178" t="s">
        <v>1398</v>
      </c>
      <c r="F558" s="14" t="b">
        <f>OR(Transport_Table[[#This Row],[Feedstock]]="All",Transport_Table[[#This Row],[Feedstock]]=SelectedFeedstock)</f>
        <v>0</v>
      </c>
      <c r="G558" s="14" t="b">
        <f>OR(Transport_Table[[#This Row],[Conversion]]="All",Transport_Table[[#This Row],[Conversion]]=SelectedConversion)</f>
        <v>0</v>
      </c>
      <c r="H558" s="14" t="b">
        <f>OR(Transport_Table[[#This Row],[Data Set]]="All",Transport_Table[[#This Row],[Data Set]]=SelectedDataSet)</f>
        <v>0</v>
      </c>
      <c r="I558" s="14" t="b">
        <f>OR(Transport_Table[[#This Row],[Technology]]="All",Transport_Table[[#This Row],[Technology]]=SelectedTechnology)</f>
        <v>0</v>
      </c>
      <c r="J558" s="14" t="b">
        <f>OR(Transport_Table[[#This Row],[Data Source]]="All",Transport_Table[[#This Row],[Data Source]]=SelectedDataSource)</f>
        <v>0</v>
      </c>
      <c r="L558" s="14" t="b">
        <f>AND(Transport_Table[[#This Row],[Show Feedstock]:[Show Data Source]],NOT(Transport_Table[[#This Row],[Hide Column]]))</f>
        <v>0</v>
      </c>
      <c r="M558" s="14" t="s">
        <v>147</v>
      </c>
      <c r="N558" s="14" t="s">
        <v>1221</v>
      </c>
      <c r="O558" s="14" t="s">
        <v>1303</v>
      </c>
      <c r="P558" s="178" t="s">
        <v>1700</v>
      </c>
      <c r="Q558" s="241" t="s">
        <v>1939</v>
      </c>
      <c r="R558" s="393">
        <v>6.9999999999999951E-2</v>
      </c>
      <c r="S558" s="394">
        <v>800</v>
      </c>
      <c r="T558" s="107"/>
    </row>
    <row r="559" spans="1:20" x14ac:dyDescent="0.3">
      <c r="A559" s="190" t="s">
        <v>316</v>
      </c>
      <c r="B559" s="178" t="s">
        <v>1964</v>
      </c>
      <c r="C559" s="178" t="s">
        <v>194</v>
      </c>
      <c r="D559" s="178" t="s">
        <v>1399</v>
      </c>
      <c r="E559" s="178" t="s">
        <v>1398</v>
      </c>
      <c r="F559" s="14" t="b">
        <f>OR(Transport_Table[[#This Row],[Feedstock]]="All",Transport_Table[[#This Row],[Feedstock]]=SelectedFeedstock)</f>
        <v>0</v>
      </c>
      <c r="G559" s="14" t="b">
        <f>OR(Transport_Table[[#This Row],[Conversion]]="All",Transport_Table[[#This Row],[Conversion]]=SelectedConversion)</f>
        <v>0</v>
      </c>
      <c r="H559" s="14" t="b">
        <f>OR(Transport_Table[[#This Row],[Data Set]]="All",Transport_Table[[#This Row],[Data Set]]=SelectedDataSet)</f>
        <v>0</v>
      </c>
      <c r="I559" s="14" t="b">
        <f>OR(Transport_Table[[#This Row],[Technology]]="All",Transport_Table[[#This Row],[Technology]]=SelectedTechnology)</f>
        <v>0</v>
      </c>
      <c r="J559" s="14" t="b">
        <f>OR(Transport_Table[[#This Row],[Data Source]]="All",Transport_Table[[#This Row],[Data Source]]=SelectedDataSource)</f>
        <v>0</v>
      </c>
      <c r="L559" s="14" t="b">
        <f>AND(Transport_Table[[#This Row],[Show Feedstock]:[Show Data Source]],NOT(Transport_Table[[#This Row],[Hide Column]]))</f>
        <v>0</v>
      </c>
      <c r="M559" s="14" t="s">
        <v>147</v>
      </c>
      <c r="N559" s="14" t="s">
        <v>1222</v>
      </c>
      <c r="O559" s="14" t="s">
        <v>1304</v>
      </c>
      <c r="P559" s="178" t="s">
        <v>1700</v>
      </c>
      <c r="Q559" s="241" t="s">
        <v>1940</v>
      </c>
      <c r="R559" s="393">
        <v>1</v>
      </c>
      <c r="S559" s="394">
        <v>30</v>
      </c>
      <c r="T559" s="107"/>
    </row>
    <row r="560" spans="1:20" x14ac:dyDescent="0.3">
      <c r="A560" s="190" t="s">
        <v>316</v>
      </c>
      <c r="B560" s="178" t="s">
        <v>1964</v>
      </c>
      <c r="C560" s="178" t="s">
        <v>194</v>
      </c>
      <c r="D560" s="178" t="s">
        <v>1399</v>
      </c>
      <c r="E560" s="178" t="s">
        <v>137</v>
      </c>
      <c r="F560" s="14" t="b">
        <f>OR(Transport_Table[[#This Row],[Feedstock]]="All",Transport_Table[[#This Row],[Feedstock]]=SelectedFeedstock)</f>
        <v>0</v>
      </c>
      <c r="G560" s="14" t="b">
        <f>OR(Transport_Table[[#This Row],[Conversion]]="All",Transport_Table[[#This Row],[Conversion]]=SelectedConversion)</f>
        <v>0</v>
      </c>
      <c r="H560" s="14" t="b">
        <f>OR(Transport_Table[[#This Row],[Data Set]]="All",Transport_Table[[#This Row],[Data Set]]=SelectedDataSet)</f>
        <v>0</v>
      </c>
      <c r="I560" s="14" t="b">
        <f>OR(Transport_Table[[#This Row],[Technology]]="All",Transport_Table[[#This Row],[Technology]]=SelectedTechnology)</f>
        <v>0</v>
      </c>
      <c r="J560" s="14" t="b">
        <f>OR(Transport_Table[[#This Row],[Data Source]]="All",Transport_Table[[#This Row],[Data Source]]=SelectedDataSource)</f>
        <v>0</v>
      </c>
      <c r="K560" s="14" t="b">
        <v>1</v>
      </c>
      <c r="L560" s="14" t="b">
        <f>AND(Transport_Table[[#This Row],[Show Feedstock]:[Show Data Source]],NOT(Transport_Table[[#This Row],[Hide Column]]))</f>
        <v>0</v>
      </c>
      <c r="M560" s="14" t="s">
        <v>147</v>
      </c>
      <c r="N560" s="14" t="s">
        <v>1206</v>
      </c>
      <c r="O560" s="14" t="s">
        <v>1288</v>
      </c>
      <c r="P560" s="178" t="s">
        <v>316</v>
      </c>
      <c r="Q560" s="241" t="s">
        <v>1940</v>
      </c>
      <c r="R560" s="393">
        <v>1</v>
      </c>
      <c r="S560" s="394">
        <v>89.974520800000008</v>
      </c>
      <c r="T560" s="107"/>
    </row>
    <row r="561" spans="1:20" x14ac:dyDescent="0.3">
      <c r="A561" s="190" t="s">
        <v>316</v>
      </c>
      <c r="B561" s="178" t="s">
        <v>1964</v>
      </c>
      <c r="C561" s="178" t="s">
        <v>194</v>
      </c>
      <c r="D561" s="178" t="s">
        <v>1399</v>
      </c>
      <c r="E561" s="178" t="s">
        <v>137</v>
      </c>
      <c r="F561" s="14" t="b">
        <f>OR(Transport_Table[[#This Row],[Feedstock]]="All",Transport_Table[[#This Row],[Feedstock]]=SelectedFeedstock)</f>
        <v>0</v>
      </c>
      <c r="G561" s="14" t="b">
        <f>OR(Transport_Table[[#This Row],[Conversion]]="All",Transport_Table[[#This Row],[Conversion]]=SelectedConversion)</f>
        <v>0</v>
      </c>
      <c r="H561" s="14" t="b">
        <f>OR(Transport_Table[[#This Row],[Data Set]]="All",Transport_Table[[#This Row],[Data Set]]=SelectedDataSet)</f>
        <v>0</v>
      </c>
      <c r="I561" s="14" t="b">
        <f>OR(Transport_Table[[#This Row],[Technology]]="All",Transport_Table[[#This Row],[Technology]]=SelectedTechnology)</f>
        <v>0</v>
      </c>
      <c r="J561" s="14" t="b">
        <f>OR(Transport_Table[[#This Row],[Data Source]]="All",Transport_Table[[#This Row],[Data Source]]=SelectedDataSource)</f>
        <v>0</v>
      </c>
      <c r="K561" s="14" t="b">
        <v>1</v>
      </c>
      <c r="L561" s="14" t="b">
        <f>AND(Transport_Table[[#This Row],[Show Feedstock]:[Show Data Source]],NOT(Transport_Table[[#This Row],[Hide Column]]))</f>
        <v>0</v>
      </c>
      <c r="M561" s="14" t="s">
        <v>147</v>
      </c>
      <c r="N561" s="14" t="s">
        <v>1223</v>
      </c>
      <c r="O561" s="14" t="s">
        <v>1305</v>
      </c>
      <c r="P561" s="178" t="s">
        <v>138</v>
      </c>
      <c r="Q561" s="241" t="s">
        <v>1938</v>
      </c>
      <c r="R561" s="393">
        <v>0.13200000000000001</v>
      </c>
      <c r="S561" s="394">
        <v>520</v>
      </c>
      <c r="T561" s="107"/>
    </row>
    <row r="562" spans="1:20" x14ac:dyDescent="0.3">
      <c r="A562" s="190" t="s">
        <v>316</v>
      </c>
      <c r="B562" s="178" t="s">
        <v>1964</v>
      </c>
      <c r="C562" s="178" t="s">
        <v>194</v>
      </c>
      <c r="D562" s="178" t="s">
        <v>1399</v>
      </c>
      <c r="E562" s="178" t="s">
        <v>137</v>
      </c>
      <c r="F562" s="14" t="b">
        <f>OR(Transport_Table[[#This Row],[Feedstock]]="All",Transport_Table[[#This Row],[Feedstock]]=SelectedFeedstock)</f>
        <v>0</v>
      </c>
      <c r="G562" s="14" t="b">
        <f>OR(Transport_Table[[#This Row],[Conversion]]="All",Transport_Table[[#This Row],[Conversion]]=SelectedConversion)</f>
        <v>0</v>
      </c>
      <c r="H562" s="14" t="b">
        <f>OR(Transport_Table[[#This Row],[Data Set]]="All",Transport_Table[[#This Row],[Data Set]]=SelectedDataSet)</f>
        <v>0</v>
      </c>
      <c r="I562" s="14" t="b">
        <f>OR(Transport_Table[[#This Row],[Technology]]="All",Transport_Table[[#This Row],[Technology]]=SelectedTechnology)</f>
        <v>0</v>
      </c>
      <c r="J562" s="14" t="b">
        <f>OR(Transport_Table[[#This Row],[Data Source]]="All",Transport_Table[[#This Row],[Data Source]]=SelectedDataSource)</f>
        <v>0</v>
      </c>
      <c r="K562" s="14" t="b">
        <v>1</v>
      </c>
      <c r="L562" s="14" t="b">
        <f>AND(Transport_Table[[#This Row],[Show Feedstock]:[Show Data Source]],NOT(Transport_Table[[#This Row],[Hide Column]]))</f>
        <v>0</v>
      </c>
      <c r="M562" s="14" t="s">
        <v>147</v>
      </c>
      <c r="N562" s="14" t="s">
        <v>1224</v>
      </c>
      <c r="O562" s="14" t="s">
        <v>1306</v>
      </c>
      <c r="P562" s="178" t="s">
        <v>138</v>
      </c>
      <c r="Q562" s="241" t="s">
        <v>1942</v>
      </c>
      <c r="R562" s="393">
        <v>0</v>
      </c>
      <c r="S562" s="394">
        <v>0</v>
      </c>
      <c r="T562" s="107"/>
    </row>
    <row r="563" spans="1:20" x14ac:dyDescent="0.3">
      <c r="A563" s="190" t="s">
        <v>316</v>
      </c>
      <c r="B563" s="178" t="s">
        <v>1964</v>
      </c>
      <c r="C563" s="178" t="s">
        <v>194</v>
      </c>
      <c r="D563" s="178" t="s">
        <v>1399</v>
      </c>
      <c r="E563" s="178" t="s">
        <v>137</v>
      </c>
      <c r="F563" s="14" t="b">
        <f>OR(Transport_Table[[#This Row],[Feedstock]]="All",Transport_Table[[#This Row],[Feedstock]]=SelectedFeedstock)</f>
        <v>0</v>
      </c>
      <c r="G563" s="14" t="b">
        <f>OR(Transport_Table[[#This Row],[Conversion]]="All",Transport_Table[[#This Row],[Conversion]]=SelectedConversion)</f>
        <v>0</v>
      </c>
      <c r="H563" s="14" t="b">
        <f>OR(Transport_Table[[#This Row],[Data Set]]="All",Transport_Table[[#This Row],[Data Set]]=SelectedDataSet)</f>
        <v>0</v>
      </c>
      <c r="I563" s="14" t="b">
        <f>OR(Transport_Table[[#This Row],[Technology]]="All",Transport_Table[[#This Row],[Technology]]=SelectedTechnology)</f>
        <v>0</v>
      </c>
      <c r="J563" s="14" t="b">
        <f>OR(Transport_Table[[#This Row],[Data Source]]="All",Transport_Table[[#This Row],[Data Source]]=SelectedDataSource)</f>
        <v>0</v>
      </c>
      <c r="K563" s="14" t="b">
        <v>1</v>
      </c>
      <c r="L563" s="14" t="b">
        <f>AND(Transport_Table[[#This Row],[Show Feedstock]:[Show Data Source]],NOT(Transport_Table[[#This Row],[Hide Column]]))</f>
        <v>0</v>
      </c>
      <c r="M563" s="14" t="s">
        <v>147</v>
      </c>
      <c r="N563" s="14" t="s">
        <v>1225</v>
      </c>
      <c r="O563" s="14" t="s">
        <v>1307</v>
      </c>
      <c r="P563" s="178" t="s">
        <v>138</v>
      </c>
      <c r="Q563" s="241" t="s">
        <v>1939</v>
      </c>
      <c r="R563" s="393">
        <v>0.78900000000000003</v>
      </c>
      <c r="S563" s="394">
        <v>800</v>
      </c>
      <c r="T563" s="107"/>
    </row>
    <row r="564" spans="1:20" x14ac:dyDescent="0.3">
      <c r="A564" s="190" t="s">
        <v>316</v>
      </c>
      <c r="B564" s="178" t="s">
        <v>1964</v>
      </c>
      <c r="C564" s="178" t="s">
        <v>194</v>
      </c>
      <c r="D564" s="178" t="s">
        <v>1399</v>
      </c>
      <c r="E564" s="178" t="s">
        <v>137</v>
      </c>
      <c r="F564" s="14" t="b">
        <f>OR(Transport_Table[[#This Row],[Feedstock]]="All",Transport_Table[[#This Row],[Feedstock]]=SelectedFeedstock)</f>
        <v>0</v>
      </c>
      <c r="G564" s="14" t="b">
        <f>OR(Transport_Table[[#This Row],[Conversion]]="All",Transport_Table[[#This Row],[Conversion]]=SelectedConversion)</f>
        <v>0</v>
      </c>
      <c r="H564" s="14" t="b">
        <f>OR(Transport_Table[[#This Row],[Data Set]]="All",Transport_Table[[#This Row],[Data Set]]=SelectedDataSet)</f>
        <v>0</v>
      </c>
      <c r="I564" s="14" t="b">
        <f>OR(Transport_Table[[#This Row],[Technology]]="All",Transport_Table[[#This Row],[Technology]]=SelectedTechnology)</f>
        <v>0</v>
      </c>
      <c r="J564" s="14" t="b">
        <f>OR(Transport_Table[[#This Row],[Data Source]]="All",Transport_Table[[#This Row],[Data Source]]=SelectedDataSource)</f>
        <v>0</v>
      </c>
      <c r="K564" s="14" t="b">
        <v>1</v>
      </c>
      <c r="L564" s="14" t="b">
        <f>AND(Transport_Table[[#This Row],[Show Feedstock]:[Show Data Source]],NOT(Transport_Table[[#This Row],[Hide Column]]))</f>
        <v>0</v>
      </c>
      <c r="M564" s="14" t="s">
        <v>147</v>
      </c>
      <c r="N564" s="14" t="s">
        <v>1226</v>
      </c>
      <c r="O564" s="14" t="s">
        <v>1308</v>
      </c>
      <c r="P564" s="178" t="s">
        <v>138</v>
      </c>
      <c r="Q564" s="241" t="s">
        <v>1940</v>
      </c>
      <c r="R564" s="393">
        <v>7.8999999999999959E-2</v>
      </c>
      <c r="S564" s="394">
        <v>80</v>
      </c>
      <c r="T564" s="107"/>
    </row>
    <row r="565" spans="1:20" x14ac:dyDescent="0.3">
      <c r="A565" s="190" t="s">
        <v>316</v>
      </c>
      <c r="B565" s="178" t="s">
        <v>1964</v>
      </c>
      <c r="C565" s="178" t="s">
        <v>194</v>
      </c>
      <c r="D565" s="178" t="s">
        <v>1399</v>
      </c>
      <c r="E565" s="178" t="s">
        <v>137</v>
      </c>
      <c r="F565" s="14" t="b">
        <f>OR(Transport_Table[[#This Row],[Feedstock]]="All",Transport_Table[[#This Row],[Feedstock]]=SelectedFeedstock)</f>
        <v>0</v>
      </c>
      <c r="G565" s="14" t="b">
        <f>OR(Transport_Table[[#This Row],[Conversion]]="All",Transport_Table[[#This Row],[Conversion]]=SelectedConversion)</f>
        <v>0</v>
      </c>
      <c r="H565" s="14" t="b">
        <f>OR(Transport_Table[[#This Row],[Data Set]]="All",Transport_Table[[#This Row],[Data Set]]=SelectedDataSet)</f>
        <v>0</v>
      </c>
      <c r="I565" s="14" t="b">
        <f>OR(Transport_Table[[#This Row],[Technology]]="All",Transport_Table[[#This Row],[Technology]]=SelectedTechnology)</f>
        <v>0</v>
      </c>
      <c r="J565" s="14" t="b">
        <f>OR(Transport_Table[[#This Row],[Data Source]]="All",Transport_Table[[#This Row],[Data Source]]=SelectedDataSource)</f>
        <v>0</v>
      </c>
      <c r="K565" s="14" t="b">
        <v>1</v>
      </c>
      <c r="L565" s="14" t="b">
        <f>AND(Transport_Table[[#This Row],[Show Feedstock]:[Show Data Source]],NOT(Transport_Table[[#This Row],[Hide Column]]))</f>
        <v>0</v>
      </c>
      <c r="M565" s="14" t="s">
        <v>147</v>
      </c>
      <c r="N565" s="14" t="s">
        <v>1227</v>
      </c>
      <c r="O565" s="14" t="s">
        <v>1309</v>
      </c>
      <c r="P565" s="178" t="s">
        <v>138</v>
      </c>
      <c r="Q565" s="241" t="s">
        <v>1940</v>
      </c>
      <c r="R565" s="393">
        <v>1</v>
      </c>
      <c r="S565" s="394">
        <v>30</v>
      </c>
      <c r="T565" s="107"/>
    </row>
    <row r="566" spans="1:20" x14ac:dyDescent="0.3">
      <c r="A566" s="190" t="s">
        <v>316</v>
      </c>
      <c r="B566" s="178" t="s">
        <v>1964</v>
      </c>
      <c r="C566" s="178" t="s">
        <v>194</v>
      </c>
      <c r="D566" s="178" t="s">
        <v>1399</v>
      </c>
      <c r="E566" s="178" t="s">
        <v>137</v>
      </c>
      <c r="F566" s="14" t="b">
        <f>OR(Transport_Table[[#This Row],[Feedstock]]="All",Transport_Table[[#This Row],[Feedstock]]=SelectedFeedstock)</f>
        <v>0</v>
      </c>
      <c r="G566" s="14" t="b">
        <f>OR(Transport_Table[[#This Row],[Conversion]]="All",Transport_Table[[#This Row],[Conversion]]=SelectedConversion)</f>
        <v>0</v>
      </c>
      <c r="H566" s="14" t="b">
        <f>OR(Transport_Table[[#This Row],[Data Set]]="All",Transport_Table[[#This Row],[Data Set]]=SelectedDataSet)</f>
        <v>0</v>
      </c>
      <c r="I566" s="14" t="b">
        <f>OR(Transport_Table[[#This Row],[Technology]]="All",Transport_Table[[#This Row],[Technology]]=SelectedTechnology)</f>
        <v>0</v>
      </c>
      <c r="J566" s="14" t="b">
        <f>OR(Transport_Table[[#This Row],[Data Source]]="All",Transport_Table[[#This Row],[Data Source]]=SelectedDataSource)</f>
        <v>0</v>
      </c>
      <c r="L566" s="14" t="b">
        <f>AND(Transport_Table[[#This Row],[Show Feedstock]:[Show Data Source]],NOT(Transport_Table[[#This Row],[Hide Column]]))</f>
        <v>0</v>
      </c>
      <c r="M566" s="14" t="s">
        <v>147</v>
      </c>
      <c r="N566" s="14" t="s">
        <v>1219</v>
      </c>
      <c r="O566" s="14" t="s">
        <v>1301</v>
      </c>
      <c r="P566" s="178" t="s">
        <v>1700</v>
      </c>
      <c r="Q566" s="241" t="s">
        <v>1938</v>
      </c>
      <c r="R566" s="393">
        <v>0.33</v>
      </c>
      <c r="S566" s="394">
        <v>520</v>
      </c>
      <c r="T566" s="107"/>
    </row>
    <row r="567" spans="1:20" x14ac:dyDescent="0.3">
      <c r="A567" s="190" t="s">
        <v>316</v>
      </c>
      <c r="B567" s="178" t="s">
        <v>1964</v>
      </c>
      <c r="C567" s="178" t="s">
        <v>194</v>
      </c>
      <c r="D567" s="178" t="s">
        <v>1399</v>
      </c>
      <c r="E567" s="178" t="s">
        <v>137</v>
      </c>
      <c r="F567" s="14" t="b">
        <f>OR(Transport_Table[[#This Row],[Feedstock]]="All",Transport_Table[[#This Row],[Feedstock]]=SelectedFeedstock)</f>
        <v>0</v>
      </c>
      <c r="G567" s="14" t="b">
        <f>OR(Transport_Table[[#This Row],[Conversion]]="All",Transport_Table[[#This Row],[Conversion]]=SelectedConversion)</f>
        <v>0</v>
      </c>
      <c r="H567" s="14" t="b">
        <f>OR(Transport_Table[[#This Row],[Data Set]]="All",Transport_Table[[#This Row],[Data Set]]=SelectedDataSet)</f>
        <v>0</v>
      </c>
      <c r="I567" s="14" t="b">
        <f>OR(Transport_Table[[#This Row],[Technology]]="All",Transport_Table[[#This Row],[Technology]]=SelectedTechnology)</f>
        <v>0</v>
      </c>
      <c r="J567" s="14" t="b">
        <f>OR(Transport_Table[[#This Row],[Data Source]]="All",Transport_Table[[#This Row],[Data Source]]=SelectedDataSource)</f>
        <v>0</v>
      </c>
      <c r="L567" s="14" t="b">
        <f>AND(Transport_Table[[#This Row],[Show Feedstock]:[Show Data Source]],NOT(Transport_Table[[#This Row],[Hide Column]]))</f>
        <v>0</v>
      </c>
      <c r="M567" s="14" t="s">
        <v>147</v>
      </c>
      <c r="N567" s="14" t="s">
        <v>1220</v>
      </c>
      <c r="O567" s="14" t="s">
        <v>1302</v>
      </c>
      <c r="P567" s="178" t="s">
        <v>1700</v>
      </c>
      <c r="Q567" s="241" t="s">
        <v>1942</v>
      </c>
      <c r="R567" s="393">
        <v>0.6</v>
      </c>
      <c r="S567" s="394">
        <v>400</v>
      </c>
      <c r="T567" s="107"/>
    </row>
    <row r="568" spans="1:20" x14ac:dyDescent="0.3">
      <c r="A568" s="190" t="s">
        <v>316</v>
      </c>
      <c r="B568" s="178" t="s">
        <v>1964</v>
      </c>
      <c r="C568" s="178" t="s">
        <v>194</v>
      </c>
      <c r="D568" s="178" t="s">
        <v>1399</v>
      </c>
      <c r="E568" s="178" t="s">
        <v>137</v>
      </c>
      <c r="F568" s="14" t="b">
        <f>OR(Transport_Table[[#This Row],[Feedstock]]="All",Transport_Table[[#This Row],[Feedstock]]=SelectedFeedstock)</f>
        <v>0</v>
      </c>
      <c r="G568" s="14" t="b">
        <f>OR(Transport_Table[[#This Row],[Conversion]]="All",Transport_Table[[#This Row],[Conversion]]=SelectedConversion)</f>
        <v>0</v>
      </c>
      <c r="H568" s="14" t="b">
        <f>OR(Transport_Table[[#This Row],[Data Set]]="All",Transport_Table[[#This Row],[Data Set]]=SelectedDataSet)</f>
        <v>0</v>
      </c>
      <c r="I568" s="14" t="b">
        <f>OR(Transport_Table[[#This Row],[Technology]]="All",Transport_Table[[#This Row],[Technology]]=SelectedTechnology)</f>
        <v>0</v>
      </c>
      <c r="J568" s="14" t="b">
        <f>OR(Transport_Table[[#This Row],[Data Source]]="All",Transport_Table[[#This Row],[Data Source]]=SelectedDataSource)</f>
        <v>0</v>
      </c>
      <c r="L568" s="14" t="b">
        <f>AND(Transport_Table[[#This Row],[Show Feedstock]:[Show Data Source]],NOT(Transport_Table[[#This Row],[Hide Column]]))</f>
        <v>0</v>
      </c>
      <c r="M568" s="14" t="s">
        <v>147</v>
      </c>
      <c r="N568" s="14" t="s">
        <v>1221</v>
      </c>
      <c r="O568" s="14" t="s">
        <v>1303</v>
      </c>
      <c r="P568" s="178" t="s">
        <v>1700</v>
      </c>
      <c r="Q568" s="241" t="s">
        <v>1939</v>
      </c>
      <c r="R568" s="393">
        <v>6.9999999999999951E-2</v>
      </c>
      <c r="S568" s="394">
        <v>800</v>
      </c>
      <c r="T568" s="107"/>
    </row>
    <row r="569" spans="1:20" x14ac:dyDescent="0.3">
      <c r="A569" s="190" t="s">
        <v>316</v>
      </c>
      <c r="B569" s="178" t="s">
        <v>1964</v>
      </c>
      <c r="C569" s="178" t="s">
        <v>194</v>
      </c>
      <c r="D569" s="178" t="s">
        <v>1399</v>
      </c>
      <c r="E569" s="178" t="s">
        <v>137</v>
      </c>
      <c r="F569" s="14" t="b">
        <f>OR(Transport_Table[[#This Row],[Feedstock]]="All",Transport_Table[[#This Row],[Feedstock]]=SelectedFeedstock)</f>
        <v>0</v>
      </c>
      <c r="G569" s="14" t="b">
        <f>OR(Transport_Table[[#This Row],[Conversion]]="All",Transport_Table[[#This Row],[Conversion]]=SelectedConversion)</f>
        <v>0</v>
      </c>
      <c r="H569" s="14" t="b">
        <f>OR(Transport_Table[[#This Row],[Data Set]]="All",Transport_Table[[#This Row],[Data Set]]=SelectedDataSet)</f>
        <v>0</v>
      </c>
      <c r="I569" s="14" t="b">
        <f>OR(Transport_Table[[#This Row],[Technology]]="All",Transport_Table[[#This Row],[Technology]]=SelectedTechnology)</f>
        <v>0</v>
      </c>
      <c r="J569" s="14" t="b">
        <f>OR(Transport_Table[[#This Row],[Data Source]]="All",Transport_Table[[#This Row],[Data Source]]=SelectedDataSource)</f>
        <v>0</v>
      </c>
      <c r="L569" s="14" t="b">
        <f>AND(Transport_Table[[#This Row],[Show Feedstock]:[Show Data Source]],NOT(Transport_Table[[#This Row],[Hide Column]]))</f>
        <v>0</v>
      </c>
      <c r="M569" s="14" t="s">
        <v>147</v>
      </c>
      <c r="N569" s="14" t="s">
        <v>1222</v>
      </c>
      <c r="O569" s="14" t="s">
        <v>1304</v>
      </c>
      <c r="P569" s="178" t="s">
        <v>1700</v>
      </c>
      <c r="Q569" s="241" t="s">
        <v>1940</v>
      </c>
      <c r="R569" s="393">
        <v>1</v>
      </c>
      <c r="S569" s="394">
        <v>30</v>
      </c>
      <c r="T569" s="107"/>
    </row>
    <row r="570" spans="1:20" x14ac:dyDescent="0.3">
      <c r="A570" s="190" t="s">
        <v>134</v>
      </c>
      <c r="B570" s="178" t="s">
        <v>1964</v>
      </c>
      <c r="C570" s="178" t="s">
        <v>194</v>
      </c>
      <c r="D570" s="177" t="s">
        <v>1399</v>
      </c>
      <c r="E570" s="177" t="s">
        <v>1398</v>
      </c>
      <c r="F570" s="14" t="b">
        <f>OR(Transport_Table[[#This Row],[Feedstock]]="All",Transport_Table[[#This Row],[Feedstock]]=SelectedFeedstock)</f>
        <v>0</v>
      </c>
      <c r="G570" s="14" t="b">
        <f>OR(Transport_Table[[#This Row],[Conversion]]="All",Transport_Table[[#This Row],[Conversion]]=SelectedConversion)</f>
        <v>0</v>
      </c>
      <c r="H570" s="14" t="b">
        <f>OR(Transport_Table[[#This Row],[Data Set]]="All",Transport_Table[[#This Row],[Data Set]]=SelectedDataSet)</f>
        <v>0</v>
      </c>
      <c r="I570" s="14" t="b">
        <f>OR(Transport_Table[[#This Row],[Technology]]="All",Transport_Table[[#This Row],[Technology]]=SelectedTechnology)</f>
        <v>0</v>
      </c>
      <c r="J570" s="14" t="b">
        <f>OR(Transport_Table[[#This Row],[Data Source]]="All",Transport_Table[[#This Row],[Data Source]]=SelectedDataSource)</f>
        <v>0</v>
      </c>
      <c r="K570" s="14" t="b">
        <v>1</v>
      </c>
      <c r="L570" s="14" t="b">
        <f>AND(Transport_Table[[#This Row],[Show Feedstock]:[Show Data Source]],NOT(Transport_Table[[#This Row],[Hide Column]]))</f>
        <v>0</v>
      </c>
      <c r="M570" s="14" t="s">
        <v>14</v>
      </c>
      <c r="N570" s="14" t="s">
        <v>1213</v>
      </c>
      <c r="O570" s="14" t="s">
        <v>1295</v>
      </c>
      <c r="P570" s="178" t="s">
        <v>134</v>
      </c>
      <c r="Q570" s="241" t="s">
        <v>1940</v>
      </c>
      <c r="R570" s="393">
        <v>1</v>
      </c>
      <c r="S570" s="394">
        <v>74.321028046209406</v>
      </c>
      <c r="T570" s="107"/>
    </row>
    <row r="571" spans="1:20" x14ac:dyDescent="0.3">
      <c r="A571" s="190" t="s">
        <v>134</v>
      </c>
      <c r="B571" s="178" t="s">
        <v>1964</v>
      </c>
      <c r="C571" s="178" t="s">
        <v>194</v>
      </c>
      <c r="D571" s="177" t="s">
        <v>1399</v>
      </c>
      <c r="E571" s="177" t="s">
        <v>1398</v>
      </c>
      <c r="F571" s="14" t="b">
        <f>OR(Transport_Table[[#This Row],[Feedstock]]="All",Transport_Table[[#This Row],[Feedstock]]=SelectedFeedstock)</f>
        <v>0</v>
      </c>
      <c r="G571" s="14" t="b">
        <f>OR(Transport_Table[[#This Row],[Conversion]]="All",Transport_Table[[#This Row],[Conversion]]=SelectedConversion)</f>
        <v>0</v>
      </c>
      <c r="H571" s="14" t="b">
        <f>OR(Transport_Table[[#This Row],[Data Set]]="All",Transport_Table[[#This Row],[Data Set]]=SelectedDataSet)</f>
        <v>0</v>
      </c>
      <c r="I571" s="14" t="b">
        <f>OR(Transport_Table[[#This Row],[Technology]]="All",Transport_Table[[#This Row],[Technology]]=SelectedTechnology)</f>
        <v>0</v>
      </c>
      <c r="J571" s="14" t="b">
        <f>OR(Transport_Table[[#This Row],[Data Source]]="All",Transport_Table[[#This Row],[Data Source]]=SelectedDataSource)</f>
        <v>0</v>
      </c>
      <c r="L571" s="14" t="b">
        <f>AND(Transport_Table[[#This Row],[Show Feedstock]:[Show Data Source]],NOT(Transport_Table[[#This Row],[Hide Column]]))</f>
        <v>0</v>
      </c>
      <c r="M571" s="14" t="s">
        <v>14</v>
      </c>
      <c r="N571" s="14" t="s">
        <v>1219</v>
      </c>
      <c r="O571" s="14" t="s">
        <v>1301</v>
      </c>
      <c r="P571" s="178" t="s">
        <v>1700</v>
      </c>
      <c r="Q571" s="241" t="s">
        <v>1938</v>
      </c>
      <c r="R571" s="393">
        <v>0.08</v>
      </c>
      <c r="S571" s="394">
        <v>520</v>
      </c>
      <c r="T571" s="107"/>
    </row>
    <row r="572" spans="1:20" x14ac:dyDescent="0.3">
      <c r="A572" s="190" t="s">
        <v>134</v>
      </c>
      <c r="B572" s="178" t="s">
        <v>1964</v>
      </c>
      <c r="C572" s="178" t="s">
        <v>194</v>
      </c>
      <c r="D572" s="177" t="s">
        <v>1399</v>
      </c>
      <c r="E572" s="177" t="s">
        <v>1398</v>
      </c>
      <c r="F572" s="14" t="b">
        <f>OR(Transport_Table[[#This Row],[Feedstock]]="All",Transport_Table[[#This Row],[Feedstock]]=SelectedFeedstock)</f>
        <v>0</v>
      </c>
      <c r="G572" s="14" t="b">
        <f>OR(Transport_Table[[#This Row],[Conversion]]="All",Transport_Table[[#This Row],[Conversion]]=SelectedConversion)</f>
        <v>0</v>
      </c>
      <c r="H572" s="14" t="b">
        <f>OR(Transport_Table[[#This Row],[Data Set]]="All",Transport_Table[[#This Row],[Data Set]]=SelectedDataSet)</f>
        <v>0</v>
      </c>
      <c r="I572" s="14" t="b">
        <f>OR(Transport_Table[[#This Row],[Technology]]="All",Transport_Table[[#This Row],[Technology]]=SelectedTechnology)</f>
        <v>0</v>
      </c>
      <c r="J572" s="14" t="b">
        <f>OR(Transport_Table[[#This Row],[Data Source]]="All",Transport_Table[[#This Row],[Data Source]]=SelectedDataSource)</f>
        <v>0</v>
      </c>
      <c r="L572" s="14" t="b">
        <f>AND(Transport_Table[[#This Row],[Show Feedstock]:[Show Data Source]],NOT(Transport_Table[[#This Row],[Hide Column]]))</f>
        <v>0</v>
      </c>
      <c r="M572" s="14" t="s">
        <v>14</v>
      </c>
      <c r="N572" s="14" t="s">
        <v>1220</v>
      </c>
      <c r="O572" s="14" t="s">
        <v>1302</v>
      </c>
      <c r="P572" s="178" t="s">
        <v>1700</v>
      </c>
      <c r="Q572" s="241" t="s">
        <v>1942</v>
      </c>
      <c r="R572" s="393">
        <v>0</v>
      </c>
      <c r="S572" s="394">
        <v>0</v>
      </c>
      <c r="T572" s="107"/>
    </row>
    <row r="573" spans="1:20" x14ac:dyDescent="0.3">
      <c r="A573" s="190" t="s">
        <v>134</v>
      </c>
      <c r="B573" s="178" t="s">
        <v>1964</v>
      </c>
      <c r="C573" s="178" t="s">
        <v>194</v>
      </c>
      <c r="D573" s="177" t="s">
        <v>1399</v>
      </c>
      <c r="E573" s="177" t="s">
        <v>1398</v>
      </c>
      <c r="F573" s="14" t="b">
        <f>OR(Transport_Table[[#This Row],[Feedstock]]="All",Transport_Table[[#This Row],[Feedstock]]=SelectedFeedstock)</f>
        <v>0</v>
      </c>
      <c r="G573" s="14" t="b">
        <f>OR(Transport_Table[[#This Row],[Conversion]]="All",Transport_Table[[#This Row],[Conversion]]=SelectedConversion)</f>
        <v>0</v>
      </c>
      <c r="H573" s="14" t="b">
        <f>OR(Transport_Table[[#This Row],[Data Set]]="All",Transport_Table[[#This Row],[Data Set]]=SelectedDataSet)</f>
        <v>0</v>
      </c>
      <c r="I573" s="14" t="b">
        <f>OR(Transport_Table[[#This Row],[Technology]]="All",Transport_Table[[#This Row],[Technology]]=SelectedTechnology)</f>
        <v>0</v>
      </c>
      <c r="J573" s="14" t="b">
        <f>OR(Transport_Table[[#This Row],[Data Source]]="All",Transport_Table[[#This Row],[Data Source]]=SelectedDataSource)</f>
        <v>0</v>
      </c>
      <c r="L573" s="14" t="b">
        <f>AND(Transport_Table[[#This Row],[Show Feedstock]:[Show Data Source]],NOT(Transport_Table[[#This Row],[Hide Column]]))</f>
        <v>0</v>
      </c>
      <c r="M573" s="14" t="s">
        <v>14</v>
      </c>
      <c r="N573" s="14" t="s">
        <v>1221</v>
      </c>
      <c r="O573" s="14" t="s">
        <v>1303</v>
      </c>
      <c r="P573" s="178" t="s">
        <v>1700</v>
      </c>
      <c r="Q573" s="241" t="s">
        <v>1939</v>
      </c>
      <c r="R573" s="393">
        <v>0.28999999999999998</v>
      </c>
      <c r="S573" s="394">
        <v>800</v>
      </c>
      <c r="T573" s="107"/>
    </row>
    <row r="574" spans="1:20" x14ac:dyDescent="0.3">
      <c r="A574" s="190" t="s">
        <v>134</v>
      </c>
      <c r="B574" s="178" t="s">
        <v>1964</v>
      </c>
      <c r="C574" s="178" t="s">
        <v>194</v>
      </c>
      <c r="D574" s="177" t="s">
        <v>1399</v>
      </c>
      <c r="E574" s="177" t="s">
        <v>1398</v>
      </c>
      <c r="F574" s="14" t="b">
        <f>OR(Transport_Table[[#This Row],[Feedstock]]="All",Transport_Table[[#This Row],[Feedstock]]=SelectedFeedstock)</f>
        <v>0</v>
      </c>
      <c r="G574" s="14" t="b">
        <f>OR(Transport_Table[[#This Row],[Conversion]]="All",Transport_Table[[#This Row],[Conversion]]=SelectedConversion)</f>
        <v>0</v>
      </c>
      <c r="H574" s="14" t="b">
        <f>OR(Transport_Table[[#This Row],[Data Set]]="All",Transport_Table[[#This Row],[Data Set]]=SelectedDataSet)</f>
        <v>0</v>
      </c>
      <c r="I574" s="14" t="b">
        <f>OR(Transport_Table[[#This Row],[Technology]]="All",Transport_Table[[#This Row],[Technology]]=SelectedTechnology)</f>
        <v>0</v>
      </c>
      <c r="J574" s="14" t="b">
        <f>OR(Transport_Table[[#This Row],[Data Source]]="All",Transport_Table[[#This Row],[Data Source]]=SelectedDataSource)</f>
        <v>0</v>
      </c>
      <c r="L574" s="14" t="b">
        <f>AND(Transport_Table[[#This Row],[Show Feedstock]:[Show Data Source]],NOT(Transport_Table[[#This Row],[Hide Column]]))</f>
        <v>0</v>
      </c>
      <c r="M574" s="14" t="s">
        <v>14</v>
      </c>
      <c r="N574" s="14" t="s">
        <v>1222</v>
      </c>
      <c r="O574" s="14" t="s">
        <v>1304</v>
      </c>
      <c r="P574" s="178" t="s">
        <v>1700</v>
      </c>
      <c r="Q574" s="241" t="s">
        <v>1940</v>
      </c>
      <c r="R574" s="393">
        <v>0.63</v>
      </c>
      <c r="S574" s="394">
        <v>50</v>
      </c>
      <c r="T574" s="107"/>
    </row>
    <row r="575" spans="1:20" x14ac:dyDescent="0.3">
      <c r="A575" s="190" t="s">
        <v>134</v>
      </c>
      <c r="B575" s="178" t="s">
        <v>1964</v>
      </c>
      <c r="C575" s="178" t="s">
        <v>194</v>
      </c>
      <c r="D575" t="s">
        <v>1399</v>
      </c>
      <c r="E575" t="s">
        <v>137</v>
      </c>
      <c r="F575" s="14" t="b">
        <f>OR(Transport_Table[[#This Row],[Feedstock]]="All",Transport_Table[[#This Row],[Feedstock]]=SelectedFeedstock)</f>
        <v>0</v>
      </c>
      <c r="G575" s="14" t="b">
        <f>OR(Transport_Table[[#This Row],[Conversion]]="All",Transport_Table[[#This Row],[Conversion]]=SelectedConversion)</f>
        <v>0</v>
      </c>
      <c r="H575" s="14" t="b">
        <f>OR(Transport_Table[[#This Row],[Data Set]]="All",Transport_Table[[#This Row],[Data Set]]=SelectedDataSet)</f>
        <v>0</v>
      </c>
      <c r="I575" s="14" t="b">
        <f>OR(Transport_Table[[#This Row],[Technology]]="All",Transport_Table[[#This Row],[Technology]]=SelectedTechnology)</f>
        <v>0</v>
      </c>
      <c r="J575" s="14" t="b">
        <f>OR(Transport_Table[[#This Row],[Data Source]]="All",Transport_Table[[#This Row],[Data Source]]=SelectedDataSource)</f>
        <v>0</v>
      </c>
      <c r="K575" s="14" t="b">
        <v>1</v>
      </c>
      <c r="L575" s="14" t="b">
        <f>AND(Transport_Table[[#This Row],[Show Feedstock]:[Show Data Source]],NOT(Transport_Table[[#This Row],[Hide Column]]))</f>
        <v>0</v>
      </c>
      <c r="M575" s="14" t="s">
        <v>14</v>
      </c>
      <c r="N575" s="14" t="s">
        <v>1213</v>
      </c>
      <c r="O575" s="14" t="s">
        <v>1295</v>
      </c>
      <c r="P575" s="178" t="s">
        <v>134</v>
      </c>
      <c r="Q575" s="241" t="s">
        <v>1940</v>
      </c>
      <c r="R575" s="393">
        <v>1</v>
      </c>
      <c r="S575" s="394">
        <v>74.321028046209406</v>
      </c>
      <c r="T575" s="107"/>
    </row>
    <row r="576" spans="1:20" x14ac:dyDescent="0.3">
      <c r="A576" s="190" t="s">
        <v>134</v>
      </c>
      <c r="B576" s="178" t="s">
        <v>1964</v>
      </c>
      <c r="C576" s="178" t="s">
        <v>194</v>
      </c>
      <c r="D576" t="s">
        <v>1399</v>
      </c>
      <c r="E576" t="s">
        <v>137</v>
      </c>
      <c r="F576" s="14" t="b">
        <f>OR(Transport_Table[[#This Row],[Feedstock]]="All",Transport_Table[[#This Row],[Feedstock]]=SelectedFeedstock)</f>
        <v>0</v>
      </c>
      <c r="G576" s="14" t="b">
        <f>OR(Transport_Table[[#This Row],[Conversion]]="All",Transport_Table[[#This Row],[Conversion]]=SelectedConversion)</f>
        <v>0</v>
      </c>
      <c r="H576" s="14" t="b">
        <f>OR(Transport_Table[[#This Row],[Data Set]]="All",Transport_Table[[#This Row],[Data Set]]=SelectedDataSet)</f>
        <v>0</v>
      </c>
      <c r="I576" s="14" t="b">
        <f>OR(Transport_Table[[#This Row],[Technology]]="All",Transport_Table[[#This Row],[Technology]]=SelectedTechnology)</f>
        <v>0</v>
      </c>
      <c r="J576" s="14" t="b">
        <f>OR(Transport_Table[[#This Row],[Data Source]]="All",Transport_Table[[#This Row],[Data Source]]=SelectedDataSource)</f>
        <v>0</v>
      </c>
      <c r="K576" s="14" t="b">
        <v>1</v>
      </c>
      <c r="L576" s="14" t="b">
        <f>AND(Transport_Table[[#This Row],[Show Feedstock]:[Show Data Source]],NOT(Transport_Table[[#This Row],[Hide Column]]))</f>
        <v>0</v>
      </c>
      <c r="M576" s="14" t="s">
        <v>14</v>
      </c>
      <c r="N576" s="14" t="s">
        <v>1213</v>
      </c>
      <c r="O576" s="14" t="s">
        <v>1295</v>
      </c>
      <c r="P576" s="178" t="s">
        <v>138</v>
      </c>
      <c r="Q576" s="241" t="s">
        <v>1938</v>
      </c>
      <c r="R576" s="393">
        <v>0.13200000000000001</v>
      </c>
      <c r="S576" s="394">
        <v>520</v>
      </c>
      <c r="T576" s="107"/>
    </row>
    <row r="577" spans="1:20" x14ac:dyDescent="0.3">
      <c r="A577" s="190" t="s">
        <v>134</v>
      </c>
      <c r="B577" s="178" t="s">
        <v>1964</v>
      </c>
      <c r="C577" s="178" t="s">
        <v>194</v>
      </c>
      <c r="D577" t="s">
        <v>1399</v>
      </c>
      <c r="E577" t="s">
        <v>137</v>
      </c>
      <c r="F577" s="14" t="b">
        <f>OR(Transport_Table[[#This Row],[Feedstock]]="All",Transport_Table[[#This Row],[Feedstock]]=SelectedFeedstock)</f>
        <v>0</v>
      </c>
      <c r="G577" s="14" t="b">
        <f>OR(Transport_Table[[#This Row],[Conversion]]="All",Transport_Table[[#This Row],[Conversion]]=SelectedConversion)</f>
        <v>0</v>
      </c>
      <c r="H577" s="14" t="b">
        <f>OR(Transport_Table[[#This Row],[Data Set]]="All",Transport_Table[[#This Row],[Data Set]]=SelectedDataSet)</f>
        <v>0</v>
      </c>
      <c r="I577" s="14" t="b">
        <f>OR(Transport_Table[[#This Row],[Technology]]="All",Transport_Table[[#This Row],[Technology]]=SelectedTechnology)</f>
        <v>0</v>
      </c>
      <c r="J577" s="14" t="b">
        <f>OR(Transport_Table[[#This Row],[Data Source]]="All",Transport_Table[[#This Row],[Data Source]]=SelectedDataSource)</f>
        <v>0</v>
      </c>
      <c r="K577" s="14" t="b">
        <v>1</v>
      </c>
      <c r="L577" s="14" t="b">
        <f>AND(Transport_Table[[#This Row],[Show Feedstock]:[Show Data Source]],NOT(Transport_Table[[#This Row],[Hide Column]]))</f>
        <v>0</v>
      </c>
      <c r="M577" s="14" t="s">
        <v>14</v>
      </c>
      <c r="N577" s="14" t="s">
        <v>1223</v>
      </c>
      <c r="O577" s="14" t="s">
        <v>1305</v>
      </c>
      <c r="P577" s="178" t="s">
        <v>138</v>
      </c>
      <c r="Q577" s="241" t="s">
        <v>1942</v>
      </c>
      <c r="R577" s="393">
        <v>0</v>
      </c>
      <c r="S577" s="394">
        <v>0</v>
      </c>
      <c r="T577" s="107"/>
    </row>
    <row r="578" spans="1:20" x14ac:dyDescent="0.3">
      <c r="A578" s="190" t="s">
        <v>134</v>
      </c>
      <c r="B578" s="178" t="s">
        <v>1964</v>
      </c>
      <c r="C578" s="178" t="s">
        <v>194</v>
      </c>
      <c r="D578" t="s">
        <v>1399</v>
      </c>
      <c r="E578" t="s">
        <v>137</v>
      </c>
      <c r="F578" s="14" t="b">
        <f>OR(Transport_Table[[#This Row],[Feedstock]]="All",Transport_Table[[#This Row],[Feedstock]]=SelectedFeedstock)</f>
        <v>0</v>
      </c>
      <c r="G578" s="14" t="b">
        <f>OR(Transport_Table[[#This Row],[Conversion]]="All",Transport_Table[[#This Row],[Conversion]]=SelectedConversion)</f>
        <v>0</v>
      </c>
      <c r="H578" s="14" t="b">
        <f>OR(Transport_Table[[#This Row],[Data Set]]="All",Transport_Table[[#This Row],[Data Set]]=SelectedDataSet)</f>
        <v>0</v>
      </c>
      <c r="I578" s="14" t="b">
        <f>OR(Transport_Table[[#This Row],[Technology]]="All",Transport_Table[[#This Row],[Technology]]=SelectedTechnology)</f>
        <v>0</v>
      </c>
      <c r="J578" s="14" t="b">
        <f>OR(Transport_Table[[#This Row],[Data Source]]="All",Transport_Table[[#This Row],[Data Source]]=SelectedDataSource)</f>
        <v>0</v>
      </c>
      <c r="K578" s="14" t="b">
        <v>1</v>
      </c>
      <c r="L578" s="14" t="b">
        <f>AND(Transport_Table[[#This Row],[Show Feedstock]:[Show Data Source]],NOT(Transport_Table[[#This Row],[Hide Column]]))</f>
        <v>0</v>
      </c>
      <c r="M578" s="14" t="s">
        <v>14</v>
      </c>
      <c r="N578" s="14" t="s">
        <v>1224</v>
      </c>
      <c r="O578" s="14" t="s">
        <v>1306</v>
      </c>
      <c r="P578" s="178" t="s">
        <v>138</v>
      </c>
      <c r="Q578" s="241" t="s">
        <v>1939</v>
      </c>
      <c r="R578" s="393">
        <v>0.78900000000000003</v>
      </c>
      <c r="S578" s="394">
        <v>800</v>
      </c>
      <c r="T578" s="107"/>
    </row>
    <row r="579" spans="1:20" x14ac:dyDescent="0.3">
      <c r="A579" s="190" t="s">
        <v>134</v>
      </c>
      <c r="B579" s="178" t="s">
        <v>1964</v>
      </c>
      <c r="C579" s="178" t="s">
        <v>194</v>
      </c>
      <c r="D579" t="s">
        <v>1399</v>
      </c>
      <c r="E579" t="s">
        <v>137</v>
      </c>
      <c r="F579" s="14" t="b">
        <f>OR(Transport_Table[[#This Row],[Feedstock]]="All",Transport_Table[[#This Row],[Feedstock]]=SelectedFeedstock)</f>
        <v>0</v>
      </c>
      <c r="G579" s="14" t="b">
        <f>OR(Transport_Table[[#This Row],[Conversion]]="All",Transport_Table[[#This Row],[Conversion]]=SelectedConversion)</f>
        <v>0</v>
      </c>
      <c r="H579" s="14" t="b">
        <f>OR(Transport_Table[[#This Row],[Data Set]]="All",Transport_Table[[#This Row],[Data Set]]=SelectedDataSet)</f>
        <v>0</v>
      </c>
      <c r="I579" s="14" t="b">
        <f>OR(Transport_Table[[#This Row],[Technology]]="All",Transport_Table[[#This Row],[Technology]]=SelectedTechnology)</f>
        <v>0</v>
      </c>
      <c r="J579" s="14" t="b">
        <f>OR(Transport_Table[[#This Row],[Data Source]]="All",Transport_Table[[#This Row],[Data Source]]=SelectedDataSource)</f>
        <v>0</v>
      </c>
      <c r="K579" s="14" t="b">
        <v>1</v>
      </c>
      <c r="L579" s="14" t="b">
        <f>AND(Transport_Table[[#This Row],[Show Feedstock]:[Show Data Source]],NOT(Transport_Table[[#This Row],[Hide Column]]))</f>
        <v>0</v>
      </c>
      <c r="M579" s="14" t="s">
        <v>14</v>
      </c>
      <c r="N579" s="14" t="s">
        <v>1225</v>
      </c>
      <c r="O579" s="14" t="s">
        <v>1307</v>
      </c>
      <c r="P579" s="178" t="s">
        <v>138</v>
      </c>
      <c r="Q579" s="241" t="s">
        <v>1940</v>
      </c>
      <c r="R579" s="393">
        <v>7.8999999999999959E-2</v>
      </c>
      <c r="S579" s="394">
        <v>80</v>
      </c>
      <c r="T579" s="107"/>
    </row>
    <row r="580" spans="1:20" x14ac:dyDescent="0.3">
      <c r="A580" s="190" t="s">
        <v>134</v>
      </c>
      <c r="B580" s="178" t="s">
        <v>1964</v>
      </c>
      <c r="C580" s="178" t="s">
        <v>194</v>
      </c>
      <c r="D580" t="s">
        <v>1399</v>
      </c>
      <c r="E580" t="s">
        <v>137</v>
      </c>
      <c r="F580" s="14" t="b">
        <f>OR(Transport_Table[[#This Row],[Feedstock]]="All",Transport_Table[[#This Row],[Feedstock]]=SelectedFeedstock)</f>
        <v>0</v>
      </c>
      <c r="G580" s="14" t="b">
        <f>OR(Transport_Table[[#This Row],[Conversion]]="All",Transport_Table[[#This Row],[Conversion]]=SelectedConversion)</f>
        <v>0</v>
      </c>
      <c r="H580" s="14" t="b">
        <f>OR(Transport_Table[[#This Row],[Data Set]]="All",Transport_Table[[#This Row],[Data Set]]=SelectedDataSet)</f>
        <v>0</v>
      </c>
      <c r="I580" s="14" t="b">
        <f>OR(Transport_Table[[#This Row],[Technology]]="All",Transport_Table[[#This Row],[Technology]]=SelectedTechnology)</f>
        <v>0</v>
      </c>
      <c r="J580" s="14" t="b">
        <f>OR(Transport_Table[[#This Row],[Data Source]]="All",Transport_Table[[#This Row],[Data Source]]=SelectedDataSource)</f>
        <v>0</v>
      </c>
      <c r="K580" s="14" t="b">
        <v>1</v>
      </c>
      <c r="L580" s="14" t="b">
        <f>AND(Transport_Table[[#This Row],[Show Feedstock]:[Show Data Source]],NOT(Transport_Table[[#This Row],[Hide Column]]))</f>
        <v>0</v>
      </c>
      <c r="M580" s="14" t="s">
        <v>14</v>
      </c>
      <c r="N580" s="14" t="s">
        <v>1227</v>
      </c>
      <c r="O580" s="14" t="s">
        <v>1309</v>
      </c>
      <c r="P580" s="178" t="s">
        <v>138</v>
      </c>
      <c r="Q580" s="241" t="s">
        <v>1940</v>
      </c>
      <c r="R580" s="393">
        <v>1</v>
      </c>
      <c r="S580" s="394">
        <v>30</v>
      </c>
      <c r="T580" s="107"/>
    </row>
    <row r="581" spans="1:20" x14ac:dyDescent="0.3">
      <c r="A581" s="190" t="s">
        <v>134</v>
      </c>
      <c r="B581" s="178" t="s">
        <v>1964</v>
      </c>
      <c r="C581" s="178" t="s">
        <v>194</v>
      </c>
      <c r="D581" t="s">
        <v>1399</v>
      </c>
      <c r="E581" t="s">
        <v>137</v>
      </c>
      <c r="F581" s="14" t="b">
        <f>OR(Transport_Table[[#This Row],[Feedstock]]="All",Transport_Table[[#This Row],[Feedstock]]=SelectedFeedstock)</f>
        <v>0</v>
      </c>
      <c r="G581" s="14" t="b">
        <f>OR(Transport_Table[[#This Row],[Conversion]]="All",Transport_Table[[#This Row],[Conversion]]=SelectedConversion)</f>
        <v>0</v>
      </c>
      <c r="H581" s="14" t="b">
        <f>OR(Transport_Table[[#This Row],[Data Set]]="All",Transport_Table[[#This Row],[Data Set]]=SelectedDataSet)</f>
        <v>0</v>
      </c>
      <c r="I581" s="14" t="b">
        <f>OR(Transport_Table[[#This Row],[Technology]]="All",Transport_Table[[#This Row],[Technology]]=SelectedTechnology)</f>
        <v>0</v>
      </c>
      <c r="J581" s="14" t="b">
        <f>OR(Transport_Table[[#This Row],[Data Source]]="All",Transport_Table[[#This Row],[Data Source]]=SelectedDataSource)</f>
        <v>0</v>
      </c>
      <c r="K581" s="14" t="b">
        <v>1</v>
      </c>
      <c r="L581" s="14" t="b">
        <f>AND(Transport_Table[[#This Row],[Show Feedstock]:[Show Data Source]],NOT(Transport_Table[[#This Row],[Hide Column]]))</f>
        <v>0</v>
      </c>
      <c r="M581" s="14" t="s">
        <v>14</v>
      </c>
      <c r="N581" s="14" t="s">
        <v>1219</v>
      </c>
      <c r="O581" s="14" t="s">
        <v>1301</v>
      </c>
      <c r="P581" s="178" t="s">
        <v>138</v>
      </c>
      <c r="Q581" s="241" t="s">
        <v>1938</v>
      </c>
      <c r="R581" s="393">
        <v>0.08</v>
      </c>
      <c r="S581" s="394">
        <v>520</v>
      </c>
      <c r="T581" s="107"/>
    </row>
    <row r="582" spans="1:20" x14ac:dyDescent="0.3">
      <c r="A582" s="190" t="s">
        <v>134</v>
      </c>
      <c r="B582" s="178" t="s">
        <v>1964</v>
      </c>
      <c r="C582" s="178" t="s">
        <v>194</v>
      </c>
      <c r="D582" t="s">
        <v>1399</v>
      </c>
      <c r="E582" t="s">
        <v>137</v>
      </c>
      <c r="F582" s="14" t="b">
        <f>OR(Transport_Table[[#This Row],[Feedstock]]="All",Transport_Table[[#This Row],[Feedstock]]=SelectedFeedstock)</f>
        <v>0</v>
      </c>
      <c r="G582" s="14" t="b">
        <f>OR(Transport_Table[[#This Row],[Conversion]]="All",Transport_Table[[#This Row],[Conversion]]=SelectedConversion)</f>
        <v>0</v>
      </c>
      <c r="H582" s="14" t="b">
        <f>OR(Transport_Table[[#This Row],[Data Set]]="All",Transport_Table[[#This Row],[Data Set]]=SelectedDataSet)</f>
        <v>0</v>
      </c>
      <c r="I582" s="14" t="b">
        <f>OR(Transport_Table[[#This Row],[Technology]]="All",Transport_Table[[#This Row],[Technology]]=SelectedTechnology)</f>
        <v>0</v>
      </c>
      <c r="J582" s="14" t="b">
        <f>OR(Transport_Table[[#This Row],[Data Source]]="All",Transport_Table[[#This Row],[Data Source]]=SelectedDataSource)</f>
        <v>0</v>
      </c>
      <c r="L582" s="14" t="b">
        <f>AND(Transport_Table[[#This Row],[Show Feedstock]:[Show Data Source]],NOT(Transport_Table[[#This Row],[Hide Column]]))</f>
        <v>0</v>
      </c>
      <c r="M582" s="14" t="s">
        <v>14</v>
      </c>
      <c r="N582" s="14" t="s">
        <v>1220</v>
      </c>
      <c r="O582" s="14" t="s">
        <v>1302</v>
      </c>
      <c r="P582" s="178" t="s">
        <v>1700</v>
      </c>
      <c r="Q582" s="241" t="s">
        <v>1942</v>
      </c>
      <c r="R582" s="393">
        <v>0</v>
      </c>
      <c r="S582" s="394">
        <v>0</v>
      </c>
      <c r="T582" s="107"/>
    </row>
    <row r="583" spans="1:20" x14ac:dyDescent="0.3">
      <c r="A583" s="190" t="s">
        <v>134</v>
      </c>
      <c r="B583" s="178" t="s">
        <v>1964</v>
      </c>
      <c r="C583" s="178" t="s">
        <v>194</v>
      </c>
      <c r="D583" t="s">
        <v>1399</v>
      </c>
      <c r="E583" t="s">
        <v>137</v>
      </c>
      <c r="F583" s="14" t="b">
        <f>OR(Transport_Table[[#This Row],[Feedstock]]="All",Transport_Table[[#This Row],[Feedstock]]=SelectedFeedstock)</f>
        <v>0</v>
      </c>
      <c r="G583" s="14" t="b">
        <f>OR(Transport_Table[[#This Row],[Conversion]]="All",Transport_Table[[#This Row],[Conversion]]=SelectedConversion)</f>
        <v>0</v>
      </c>
      <c r="H583" s="14" t="b">
        <f>OR(Transport_Table[[#This Row],[Data Set]]="All",Transport_Table[[#This Row],[Data Set]]=SelectedDataSet)</f>
        <v>0</v>
      </c>
      <c r="I583" s="14" t="b">
        <f>OR(Transport_Table[[#This Row],[Technology]]="All",Transport_Table[[#This Row],[Technology]]=SelectedTechnology)</f>
        <v>0</v>
      </c>
      <c r="J583" s="14" t="b">
        <f>OR(Transport_Table[[#This Row],[Data Source]]="All",Transport_Table[[#This Row],[Data Source]]=SelectedDataSource)</f>
        <v>0</v>
      </c>
      <c r="L583" s="14" t="b">
        <f>AND(Transport_Table[[#This Row],[Show Feedstock]:[Show Data Source]],NOT(Transport_Table[[#This Row],[Hide Column]]))</f>
        <v>0</v>
      </c>
      <c r="M583" s="14" t="s">
        <v>14</v>
      </c>
      <c r="N583" s="14" t="s">
        <v>1221</v>
      </c>
      <c r="O583" s="14" t="s">
        <v>1303</v>
      </c>
      <c r="P583" s="178" t="s">
        <v>1700</v>
      </c>
      <c r="Q583" s="241" t="s">
        <v>1939</v>
      </c>
      <c r="R583" s="393">
        <v>0.28999999999999998</v>
      </c>
      <c r="S583" s="394">
        <v>800</v>
      </c>
      <c r="T583" s="107"/>
    </row>
    <row r="584" spans="1:20" x14ac:dyDescent="0.3">
      <c r="A584" s="190" t="s">
        <v>134</v>
      </c>
      <c r="B584" s="178" t="s">
        <v>1964</v>
      </c>
      <c r="C584" s="178" t="s">
        <v>194</v>
      </c>
      <c r="D584" t="s">
        <v>1399</v>
      </c>
      <c r="E584" t="s">
        <v>137</v>
      </c>
      <c r="F584" s="14" t="b">
        <f>OR(Transport_Table[[#This Row],[Feedstock]]="All",Transport_Table[[#This Row],[Feedstock]]=SelectedFeedstock)</f>
        <v>0</v>
      </c>
      <c r="G584" s="14" t="b">
        <f>OR(Transport_Table[[#This Row],[Conversion]]="All",Transport_Table[[#This Row],[Conversion]]=SelectedConversion)</f>
        <v>0</v>
      </c>
      <c r="H584" s="14" t="b">
        <f>OR(Transport_Table[[#This Row],[Data Set]]="All",Transport_Table[[#This Row],[Data Set]]=SelectedDataSet)</f>
        <v>0</v>
      </c>
      <c r="I584" s="14" t="b">
        <f>OR(Transport_Table[[#This Row],[Technology]]="All",Transport_Table[[#This Row],[Technology]]=SelectedTechnology)</f>
        <v>0</v>
      </c>
      <c r="J584" s="14" t="b">
        <f>OR(Transport_Table[[#This Row],[Data Source]]="All",Transport_Table[[#This Row],[Data Source]]=SelectedDataSource)</f>
        <v>0</v>
      </c>
      <c r="L584" s="14" t="b">
        <f>AND(Transport_Table[[#This Row],[Show Feedstock]:[Show Data Source]],NOT(Transport_Table[[#This Row],[Hide Column]]))</f>
        <v>0</v>
      </c>
      <c r="M584" s="14" t="s">
        <v>14</v>
      </c>
      <c r="N584" s="14" t="s">
        <v>1222</v>
      </c>
      <c r="O584" s="14" t="s">
        <v>1304</v>
      </c>
      <c r="P584" s="178" t="s">
        <v>1700</v>
      </c>
      <c r="Q584" s="241" t="s">
        <v>1940</v>
      </c>
      <c r="R584" s="393">
        <v>0.63</v>
      </c>
      <c r="S584" s="394">
        <v>50</v>
      </c>
      <c r="T584" s="107"/>
    </row>
    <row r="585" spans="1:20" x14ac:dyDescent="0.3">
      <c r="A585" s="190" t="s">
        <v>133</v>
      </c>
      <c r="B585" s="178" t="s">
        <v>1964</v>
      </c>
      <c r="C585" s="178" t="s">
        <v>194</v>
      </c>
      <c r="D585" s="177" t="s">
        <v>1399</v>
      </c>
      <c r="E585" s="177" t="s">
        <v>1398</v>
      </c>
      <c r="F585" s="14" t="b">
        <f>OR(Transport_Table[[#This Row],[Feedstock]]="All",Transport_Table[[#This Row],[Feedstock]]=SelectedFeedstock)</f>
        <v>0</v>
      </c>
      <c r="G585" s="14" t="b">
        <f>OR(Transport_Table[[#This Row],[Conversion]]="All",Transport_Table[[#This Row],[Conversion]]=SelectedConversion)</f>
        <v>0</v>
      </c>
      <c r="H585" s="14" t="b">
        <f>OR(Transport_Table[[#This Row],[Data Set]]="All",Transport_Table[[#This Row],[Data Set]]=SelectedDataSet)</f>
        <v>0</v>
      </c>
      <c r="I585" s="14" t="b">
        <f>OR(Transport_Table[[#This Row],[Technology]]="All",Transport_Table[[#This Row],[Technology]]=SelectedTechnology)</f>
        <v>0</v>
      </c>
      <c r="J585" s="14" t="b">
        <f>OR(Transport_Table[[#This Row],[Data Source]]="All",Transport_Table[[#This Row],[Data Source]]=SelectedDataSource)</f>
        <v>0</v>
      </c>
      <c r="K585" s="14" t="b">
        <v>1</v>
      </c>
      <c r="L585" s="14" t="b">
        <f>AND(Transport_Table[[#This Row],[Show Feedstock]:[Show Data Source]],NOT(Transport_Table[[#This Row],[Hide Column]]))</f>
        <v>0</v>
      </c>
      <c r="M585" s="14" t="s">
        <v>14</v>
      </c>
      <c r="N585" s="14" t="s">
        <v>1212</v>
      </c>
      <c r="O585" s="14" t="s">
        <v>1294</v>
      </c>
      <c r="P585" s="178" t="s">
        <v>133</v>
      </c>
      <c r="Q585" s="241" t="s">
        <v>1940</v>
      </c>
      <c r="R585" s="393">
        <v>1</v>
      </c>
      <c r="S585" s="394">
        <v>65.616777599999992</v>
      </c>
      <c r="T585" s="107"/>
    </row>
    <row r="586" spans="1:20" x14ac:dyDescent="0.3">
      <c r="A586" s="190" t="s">
        <v>133</v>
      </c>
      <c r="B586" s="178" t="s">
        <v>1964</v>
      </c>
      <c r="C586" s="178" t="s">
        <v>194</v>
      </c>
      <c r="D586" s="177" t="s">
        <v>1399</v>
      </c>
      <c r="E586" s="177" t="s">
        <v>1398</v>
      </c>
      <c r="F586" s="14" t="b">
        <f>OR(Transport_Table[[#This Row],[Feedstock]]="All",Transport_Table[[#This Row],[Feedstock]]=SelectedFeedstock)</f>
        <v>0</v>
      </c>
      <c r="G586" s="14" t="b">
        <f>OR(Transport_Table[[#This Row],[Conversion]]="All",Transport_Table[[#This Row],[Conversion]]=SelectedConversion)</f>
        <v>0</v>
      </c>
      <c r="H586" s="14" t="b">
        <f>OR(Transport_Table[[#This Row],[Data Set]]="All",Transport_Table[[#This Row],[Data Set]]=SelectedDataSet)</f>
        <v>0</v>
      </c>
      <c r="I586" s="14" t="b">
        <f>OR(Transport_Table[[#This Row],[Technology]]="All",Transport_Table[[#This Row],[Technology]]=SelectedTechnology)</f>
        <v>0</v>
      </c>
      <c r="J586" s="14" t="b">
        <f>OR(Transport_Table[[#This Row],[Data Source]]="All",Transport_Table[[#This Row],[Data Source]]=SelectedDataSource)</f>
        <v>0</v>
      </c>
      <c r="L586" s="14" t="b">
        <f>AND(Transport_Table[[#This Row],[Show Feedstock]:[Show Data Source]],NOT(Transport_Table[[#This Row],[Hide Column]]))</f>
        <v>0</v>
      </c>
      <c r="M586" s="14" t="s">
        <v>14</v>
      </c>
      <c r="N586" s="14" t="s">
        <v>1219</v>
      </c>
      <c r="O586" s="14" t="s">
        <v>1301</v>
      </c>
      <c r="P586" s="178" t="s">
        <v>1700</v>
      </c>
      <c r="Q586" s="241" t="s">
        <v>1938</v>
      </c>
      <c r="R586" s="393">
        <v>0.33</v>
      </c>
      <c r="S586" s="394">
        <v>520</v>
      </c>
      <c r="T586" s="107"/>
    </row>
    <row r="587" spans="1:20" x14ac:dyDescent="0.3">
      <c r="A587" s="190" t="s">
        <v>133</v>
      </c>
      <c r="B587" s="178" t="s">
        <v>1964</v>
      </c>
      <c r="C587" s="178" t="s">
        <v>194</v>
      </c>
      <c r="D587" s="177" t="s">
        <v>1399</v>
      </c>
      <c r="E587" s="177" t="s">
        <v>1398</v>
      </c>
      <c r="F587" s="14" t="b">
        <f>OR(Transport_Table[[#This Row],[Feedstock]]="All",Transport_Table[[#This Row],[Feedstock]]=SelectedFeedstock)</f>
        <v>0</v>
      </c>
      <c r="G587" s="14" t="b">
        <f>OR(Transport_Table[[#This Row],[Conversion]]="All",Transport_Table[[#This Row],[Conversion]]=SelectedConversion)</f>
        <v>0</v>
      </c>
      <c r="H587" s="14" t="b">
        <f>OR(Transport_Table[[#This Row],[Data Set]]="All",Transport_Table[[#This Row],[Data Set]]=SelectedDataSet)</f>
        <v>0</v>
      </c>
      <c r="I587" s="14" t="b">
        <f>OR(Transport_Table[[#This Row],[Technology]]="All",Transport_Table[[#This Row],[Technology]]=SelectedTechnology)</f>
        <v>0</v>
      </c>
      <c r="J587" s="14" t="b">
        <f>OR(Transport_Table[[#This Row],[Data Source]]="All",Transport_Table[[#This Row],[Data Source]]=SelectedDataSource)</f>
        <v>0</v>
      </c>
      <c r="L587" s="14" t="b">
        <f>AND(Transport_Table[[#This Row],[Show Feedstock]:[Show Data Source]],NOT(Transport_Table[[#This Row],[Hide Column]]))</f>
        <v>0</v>
      </c>
      <c r="M587" s="14" t="s">
        <v>14</v>
      </c>
      <c r="N587" s="14" t="s">
        <v>1220</v>
      </c>
      <c r="O587" s="14" t="s">
        <v>1302</v>
      </c>
      <c r="P587" s="178" t="s">
        <v>1700</v>
      </c>
      <c r="Q587" s="241" t="s">
        <v>1942</v>
      </c>
      <c r="R587" s="393">
        <v>0.6</v>
      </c>
      <c r="S587" s="394">
        <v>400</v>
      </c>
      <c r="T587" s="107"/>
    </row>
    <row r="588" spans="1:20" x14ac:dyDescent="0.3">
      <c r="A588" s="190" t="s">
        <v>133</v>
      </c>
      <c r="B588" s="178" t="s">
        <v>1964</v>
      </c>
      <c r="C588" s="178" t="s">
        <v>194</v>
      </c>
      <c r="D588" s="177" t="s">
        <v>1399</v>
      </c>
      <c r="E588" s="177" t="s">
        <v>1398</v>
      </c>
      <c r="F588" s="14" t="b">
        <f>OR(Transport_Table[[#This Row],[Feedstock]]="All",Transport_Table[[#This Row],[Feedstock]]=SelectedFeedstock)</f>
        <v>0</v>
      </c>
      <c r="G588" s="14" t="b">
        <f>OR(Transport_Table[[#This Row],[Conversion]]="All",Transport_Table[[#This Row],[Conversion]]=SelectedConversion)</f>
        <v>0</v>
      </c>
      <c r="H588" s="14" t="b">
        <f>OR(Transport_Table[[#This Row],[Data Set]]="All",Transport_Table[[#This Row],[Data Set]]=SelectedDataSet)</f>
        <v>0</v>
      </c>
      <c r="I588" s="14" t="b">
        <f>OR(Transport_Table[[#This Row],[Technology]]="All",Transport_Table[[#This Row],[Technology]]=SelectedTechnology)</f>
        <v>0</v>
      </c>
      <c r="J588" s="14" t="b">
        <f>OR(Transport_Table[[#This Row],[Data Source]]="All",Transport_Table[[#This Row],[Data Source]]=SelectedDataSource)</f>
        <v>0</v>
      </c>
      <c r="L588" s="14" t="b">
        <f>AND(Transport_Table[[#This Row],[Show Feedstock]:[Show Data Source]],NOT(Transport_Table[[#This Row],[Hide Column]]))</f>
        <v>0</v>
      </c>
      <c r="M588" s="14" t="s">
        <v>14</v>
      </c>
      <c r="N588" s="14" t="s">
        <v>1221</v>
      </c>
      <c r="O588" s="14" t="s">
        <v>1303</v>
      </c>
      <c r="P588" s="178" t="s">
        <v>1700</v>
      </c>
      <c r="Q588" s="241" t="s">
        <v>1939</v>
      </c>
      <c r="R588" s="393">
        <v>6.9999999999999951E-2</v>
      </c>
      <c r="S588" s="394">
        <v>800</v>
      </c>
      <c r="T588" s="107"/>
    </row>
    <row r="589" spans="1:20" x14ac:dyDescent="0.3">
      <c r="A589" s="190" t="s">
        <v>133</v>
      </c>
      <c r="B589" s="178" t="s">
        <v>1964</v>
      </c>
      <c r="C589" s="178" t="s">
        <v>194</v>
      </c>
      <c r="D589" s="177" t="s">
        <v>1399</v>
      </c>
      <c r="E589" s="177" t="s">
        <v>1398</v>
      </c>
      <c r="F589" s="14" t="b">
        <f>OR(Transport_Table[[#This Row],[Feedstock]]="All",Transport_Table[[#This Row],[Feedstock]]=SelectedFeedstock)</f>
        <v>0</v>
      </c>
      <c r="G589" s="14" t="b">
        <f>OR(Transport_Table[[#This Row],[Conversion]]="All",Transport_Table[[#This Row],[Conversion]]=SelectedConversion)</f>
        <v>0</v>
      </c>
      <c r="H589" s="14" t="b">
        <f>OR(Transport_Table[[#This Row],[Data Set]]="All",Transport_Table[[#This Row],[Data Set]]=SelectedDataSet)</f>
        <v>0</v>
      </c>
      <c r="I589" s="14" t="b">
        <f>OR(Transport_Table[[#This Row],[Technology]]="All",Transport_Table[[#This Row],[Technology]]=SelectedTechnology)</f>
        <v>0</v>
      </c>
      <c r="J589" s="14" t="b">
        <f>OR(Transport_Table[[#This Row],[Data Source]]="All",Transport_Table[[#This Row],[Data Source]]=SelectedDataSource)</f>
        <v>0</v>
      </c>
      <c r="L589" s="14" t="b">
        <f>AND(Transport_Table[[#This Row],[Show Feedstock]:[Show Data Source]],NOT(Transport_Table[[#This Row],[Hide Column]]))</f>
        <v>0</v>
      </c>
      <c r="M589" s="14" t="s">
        <v>14</v>
      </c>
      <c r="N589" s="14" t="s">
        <v>1222</v>
      </c>
      <c r="O589" s="14" t="s">
        <v>1304</v>
      </c>
      <c r="P589" s="178" t="s">
        <v>1700</v>
      </c>
      <c r="Q589" s="241" t="s">
        <v>1940</v>
      </c>
      <c r="R589" s="393">
        <v>1</v>
      </c>
      <c r="S589" s="394">
        <v>30</v>
      </c>
      <c r="T589" s="107"/>
    </row>
    <row r="590" spans="1:20" x14ac:dyDescent="0.3">
      <c r="A590" s="190" t="s">
        <v>133</v>
      </c>
      <c r="B590" s="178" t="s">
        <v>1964</v>
      </c>
      <c r="C590" s="178" t="s">
        <v>194</v>
      </c>
      <c r="D590" s="177" t="s">
        <v>1399</v>
      </c>
      <c r="E590" s="177" t="s">
        <v>137</v>
      </c>
      <c r="F590" s="14" t="b">
        <f>OR(Transport_Table[[#This Row],[Feedstock]]="All",Transport_Table[[#This Row],[Feedstock]]=SelectedFeedstock)</f>
        <v>0</v>
      </c>
      <c r="G590" s="14" t="b">
        <f>OR(Transport_Table[[#This Row],[Conversion]]="All",Transport_Table[[#This Row],[Conversion]]=SelectedConversion)</f>
        <v>0</v>
      </c>
      <c r="H590" s="14" t="b">
        <f>OR(Transport_Table[[#This Row],[Data Set]]="All",Transport_Table[[#This Row],[Data Set]]=SelectedDataSet)</f>
        <v>0</v>
      </c>
      <c r="I590" s="14" t="b">
        <f>OR(Transport_Table[[#This Row],[Technology]]="All",Transport_Table[[#This Row],[Technology]]=SelectedTechnology)</f>
        <v>0</v>
      </c>
      <c r="J590" s="14" t="b">
        <f>OR(Transport_Table[[#This Row],[Data Source]]="All",Transport_Table[[#This Row],[Data Source]]=SelectedDataSource)</f>
        <v>0</v>
      </c>
      <c r="K590" s="14" t="b">
        <v>1</v>
      </c>
      <c r="L590" s="14" t="b">
        <f>AND(Transport_Table[[#This Row],[Show Feedstock]:[Show Data Source]],NOT(Transport_Table[[#This Row],[Hide Column]]))</f>
        <v>0</v>
      </c>
      <c r="M590" s="14" t="s">
        <v>14</v>
      </c>
      <c r="N590" s="14" t="s">
        <v>1212</v>
      </c>
      <c r="O590" s="14" t="s">
        <v>1294</v>
      </c>
      <c r="P590" s="178" t="s">
        <v>133</v>
      </c>
      <c r="Q590" s="241" t="s">
        <v>1940</v>
      </c>
      <c r="R590" s="393">
        <v>1</v>
      </c>
      <c r="S590" s="394">
        <v>65.616777599999992</v>
      </c>
      <c r="T590" s="107"/>
    </row>
    <row r="591" spans="1:20" x14ac:dyDescent="0.3">
      <c r="A591" s="190" t="s">
        <v>133</v>
      </c>
      <c r="B591" s="178" t="s">
        <v>1964</v>
      </c>
      <c r="C591" s="178" t="s">
        <v>194</v>
      </c>
      <c r="D591" s="177" t="s">
        <v>1399</v>
      </c>
      <c r="E591" s="177" t="s">
        <v>137</v>
      </c>
      <c r="F591" s="14" t="b">
        <f>OR(Transport_Table[[#This Row],[Feedstock]]="All",Transport_Table[[#This Row],[Feedstock]]=SelectedFeedstock)</f>
        <v>0</v>
      </c>
      <c r="G591" s="14" t="b">
        <f>OR(Transport_Table[[#This Row],[Conversion]]="All",Transport_Table[[#This Row],[Conversion]]=SelectedConversion)</f>
        <v>0</v>
      </c>
      <c r="H591" s="14" t="b">
        <f>OR(Transport_Table[[#This Row],[Data Set]]="All",Transport_Table[[#This Row],[Data Set]]=SelectedDataSet)</f>
        <v>0</v>
      </c>
      <c r="I591" s="14" t="b">
        <f>OR(Transport_Table[[#This Row],[Technology]]="All",Transport_Table[[#This Row],[Technology]]=SelectedTechnology)</f>
        <v>0</v>
      </c>
      <c r="J591" s="14" t="b">
        <f>OR(Transport_Table[[#This Row],[Data Source]]="All",Transport_Table[[#This Row],[Data Source]]=SelectedDataSource)</f>
        <v>0</v>
      </c>
      <c r="K591" s="14" t="b">
        <v>1</v>
      </c>
      <c r="L591" s="14" t="b">
        <f>AND(Transport_Table[[#This Row],[Show Feedstock]:[Show Data Source]],NOT(Transport_Table[[#This Row],[Hide Column]]))</f>
        <v>0</v>
      </c>
      <c r="M591" s="14" t="s">
        <v>14</v>
      </c>
      <c r="N591" s="14" t="s">
        <v>1223</v>
      </c>
      <c r="O591" s="14" t="s">
        <v>1305</v>
      </c>
      <c r="P591" s="178" t="s">
        <v>138</v>
      </c>
      <c r="Q591" s="241" t="s">
        <v>1938</v>
      </c>
      <c r="R591" s="393">
        <v>0.13200000000000001</v>
      </c>
      <c r="S591" s="394">
        <v>520</v>
      </c>
      <c r="T591" s="107"/>
    </row>
    <row r="592" spans="1:20" x14ac:dyDescent="0.3">
      <c r="A592" s="190" t="s">
        <v>133</v>
      </c>
      <c r="B592" s="178" t="s">
        <v>1964</v>
      </c>
      <c r="C592" s="178" t="s">
        <v>194</v>
      </c>
      <c r="D592" s="177" t="s">
        <v>1399</v>
      </c>
      <c r="E592" s="177" t="s">
        <v>137</v>
      </c>
      <c r="F592" s="14" t="b">
        <f>OR(Transport_Table[[#This Row],[Feedstock]]="All",Transport_Table[[#This Row],[Feedstock]]=SelectedFeedstock)</f>
        <v>0</v>
      </c>
      <c r="G592" s="14" t="b">
        <f>OR(Transport_Table[[#This Row],[Conversion]]="All",Transport_Table[[#This Row],[Conversion]]=SelectedConversion)</f>
        <v>0</v>
      </c>
      <c r="H592" s="14" t="b">
        <f>OR(Transport_Table[[#This Row],[Data Set]]="All",Transport_Table[[#This Row],[Data Set]]=SelectedDataSet)</f>
        <v>0</v>
      </c>
      <c r="I592" s="14" t="b">
        <f>OR(Transport_Table[[#This Row],[Technology]]="All",Transport_Table[[#This Row],[Technology]]=SelectedTechnology)</f>
        <v>0</v>
      </c>
      <c r="J592" s="14" t="b">
        <f>OR(Transport_Table[[#This Row],[Data Source]]="All",Transport_Table[[#This Row],[Data Source]]=SelectedDataSource)</f>
        <v>0</v>
      </c>
      <c r="K592" s="14" t="b">
        <v>1</v>
      </c>
      <c r="L592" s="14" t="b">
        <f>AND(Transport_Table[[#This Row],[Show Feedstock]:[Show Data Source]],NOT(Transport_Table[[#This Row],[Hide Column]]))</f>
        <v>0</v>
      </c>
      <c r="M592" s="14" t="s">
        <v>14</v>
      </c>
      <c r="N592" s="14" t="s">
        <v>1224</v>
      </c>
      <c r="O592" s="14" t="s">
        <v>1306</v>
      </c>
      <c r="P592" s="178" t="s">
        <v>138</v>
      </c>
      <c r="Q592" s="241" t="s">
        <v>1942</v>
      </c>
      <c r="R592" s="393">
        <v>0</v>
      </c>
      <c r="S592" s="394">
        <v>0</v>
      </c>
      <c r="T592" s="107"/>
    </row>
    <row r="593" spans="1:20" x14ac:dyDescent="0.3">
      <c r="A593" s="190" t="s">
        <v>133</v>
      </c>
      <c r="B593" s="178" t="s">
        <v>1964</v>
      </c>
      <c r="C593" s="178" t="s">
        <v>194</v>
      </c>
      <c r="D593" s="177" t="s">
        <v>1399</v>
      </c>
      <c r="E593" s="177" t="s">
        <v>137</v>
      </c>
      <c r="F593" s="14" t="b">
        <f>OR(Transport_Table[[#This Row],[Feedstock]]="All",Transport_Table[[#This Row],[Feedstock]]=SelectedFeedstock)</f>
        <v>0</v>
      </c>
      <c r="G593" s="14" t="b">
        <f>OR(Transport_Table[[#This Row],[Conversion]]="All",Transport_Table[[#This Row],[Conversion]]=SelectedConversion)</f>
        <v>0</v>
      </c>
      <c r="H593" s="14" t="b">
        <f>OR(Transport_Table[[#This Row],[Data Set]]="All",Transport_Table[[#This Row],[Data Set]]=SelectedDataSet)</f>
        <v>0</v>
      </c>
      <c r="I593" s="14" t="b">
        <f>OR(Transport_Table[[#This Row],[Technology]]="All",Transport_Table[[#This Row],[Technology]]=SelectedTechnology)</f>
        <v>0</v>
      </c>
      <c r="J593" s="14" t="b">
        <f>OR(Transport_Table[[#This Row],[Data Source]]="All",Transport_Table[[#This Row],[Data Source]]=SelectedDataSource)</f>
        <v>0</v>
      </c>
      <c r="K593" s="14" t="b">
        <v>1</v>
      </c>
      <c r="L593" s="14" t="b">
        <f>AND(Transport_Table[[#This Row],[Show Feedstock]:[Show Data Source]],NOT(Transport_Table[[#This Row],[Hide Column]]))</f>
        <v>0</v>
      </c>
      <c r="M593" s="14" t="s">
        <v>14</v>
      </c>
      <c r="N593" s="14" t="s">
        <v>1225</v>
      </c>
      <c r="O593" s="14" t="s">
        <v>1307</v>
      </c>
      <c r="P593" s="178" t="s">
        <v>138</v>
      </c>
      <c r="Q593" s="241" t="s">
        <v>1939</v>
      </c>
      <c r="R593" s="393">
        <v>0.78900000000000003</v>
      </c>
      <c r="S593" s="394">
        <v>800</v>
      </c>
      <c r="T593" s="107"/>
    </row>
    <row r="594" spans="1:20" x14ac:dyDescent="0.3">
      <c r="A594" s="190" t="s">
        <v>133</v>
      </c>
      <c r="B594" s="178" t="s">
        <v>1964</v>
      </c>
      <c r="C594" s="178" t="s">
        <v>194</v>
      </c>
      <c r="D594" s="177" t="s">
        <v>1399</v>
      </c>
      <c r="E594" s="177" t="s">
        <v>137</v>
      </c>
      <c r="F594" s="14" t="b">
        <f>OR(Transport_Table[[#This Row],[Feedstock]]="All",Transport_Table[[#This Row],[Feedstock]]=SelectedFeedstock)</f>
        <v>0</v>
      </c>
      <c r="G594" s="14" t="b">
        <f>OR(Transport_Table[[#This Row],[Conversion]]="All",Transport_Table[[#This Row],[Conversion]]=SelectedConversion)</f>
        <v>0</v>
      </c>
      <c r="H594" s="14" t="b">
        <f>OR(Transport_Table[[#This Row],[Data Set]]="All",Transport_Table[[#This Row],[Data Set]]=SelectedDataSet)</f>
        <v>0</v>
      </c>
      <c r="I594" s="14" t="b">
        <f>OR(Transport_Table[[#This Row],[Technology]]="All",Transport_Table[[#This Row],[Technology]]=SelectedTechnology)</f>
        <v>0</v>
      </c>
      <c r="J594" s="14" t="b">
        <f>OR(Transport_Table[[#This Row],[Data Source]]="All",Transport_Table[[#This Row],[Data Source]]=SelectedDataSource)</f>
        <v>0</v>
      </c>
      <c r="K594" s="14" t="b">
        <v>1</v>
      </c>
      <c r="L594" s="14" t="b">
        <f>AND(Transport_Table[[#This Row],[Show Feedstock]:[Show Data Source]],NOT(Transport_Table[[#This Row],[Hide Column]]))</f>
        <v>0</v>
      </c>
      <c r="M594" s="14" t="s">
        <v>14</v>
      </c>
      <c r="N594" s="14" t="s">
        <v>1226</v>
      </c>
      <c r="O594" s="14" t="s">
        <v>1308</v>
      </c>
      <c r="P594" s="178" t="s">
        <v>138</v>
      </c>
      <c r="Q594" s="241" t="s">
        <v>1940</v>
      </c>
      <c r="R594" s="393">
        <v>7.8999999999999959E-2</v>
      </c>
      <c r="S594" s="394">
        <v>80</v>
      </c>
      <c r="T594" s="107"/>
    </row>
    <row r="595" spans="1:20" x14ac:dyDescent="0.3">
      <c r="A595" s="190" t="s">
        <v>133</v>
      </c>
      <c r="B595" s="178" t="s">
        <v>1964</v>
      </c>
      <c r="C595" s="178" t="s">
        <v>194</v>
      </c>
      <c r="D595" s="177" t="s">
        <v>1399</v>
      </c>
      <c r="E595" s="177" t="s">
        <v>137</v>
      </c>
      <c r="F595" s="14" t="b">
        <f>OR(Transport_Table[[#This Row],[Feedstock]]="All",Transport_Table[[#This Row],[Feedstock]]=SelectedFeedstock)</f>
        <v>0</v>
      </c>
      <c r="G595" s="14" t="b">
        <f>OR(Transport_Table[[#This Row],[Conversion]]="All",Transport_Table[[#This Row],[Conversion]]=SelectedConversion)</f>
        <v>0</v>
      </c>
      <c r="H595" s="14" t="b">
        <f>OR(Transport_Table[[#This Row],[Data Set]]="All",Transport_Table[[#This Row],[Data Set]]=SelectedDataSet)</f>
        <v>0</v>
      </c>
      <c r="I595" s="14" t="b">
        <f>OR(Transport_Table[[#This Row],[Technology]]="All",Transport_Table[[#This Row],[Technology]]=SelectedTechnology)</f>
        <v>0</v>
      </c>
      <c r="J595" s="14" t="b">
        <f>OR(Transport_Table[[#This Row],[Data Source]]="All",Transport_Table[[#This Row],[Data Source]]=SelectedDataSource)</f>
        <v>0</v>
      </c>
      <c r="K595" s="14" t="b">
        <v>1</v>
      </c>
      <c r="L595" s="14" t="b">
        <f>AND(Transport_Table[[#This Row],[Show Feedstock]:[Show Data Source]],NOT(Transport_Table[[#This Row],[Hide Column]]))</f>
        <v>0</v>
      </c>
      <c r="M595" s="14" t="s">
        <v>14</v>
      </c>
      <c r="N595" s="14" t="s">
        <v>1227</v>
      </c>
      <c r="O595" s="14" t="s">
        <v>1309</v>
      </c>
      <c r="P595" s="178" t="s">
        <v>138</v>
      </c>
      <c r="Q595" s="241" t="s">
        <v>1940</v>
      </c>
      <c r="R595" s="393">
        <v>1</v>
      </c>
      <c r="S595" s="394">
        <v>30</v>
      </c>
      <c r="T595" s="107"/>
    </row>
    <row r="596" spans="1:20" x14ac:dyDescent="0.3">
      <c r="A596" s="190" t="s">
        <v>133</v>
      </c>
      <c r="B596" s="178" t="s">
        <v>1964</v>
      </c>
      <c r="C596" s="178" t="s">
        <v>194</v>
      </c>
      <c r="D596" s="177" t="s">
        <v>1399</v>
      </c>
      <c r="E596" s="177" t="s">
        <v>137</v>
      </c>
      <c r="F596" s="14" t="b">
        <f>OR(Transport_Table[[#This Row],[Feedstock]]="All",Transport_Table[[#This Row],[Feedstock]]=SelectedFeedstock)</f>
        <v>0</v>
      </c>
      <c r="G596" s="14" t="b">
        <f>OR(Transport_Table[[#This Row],[Conversion]]="All",Transport_Table[[#This Row],[Conversion]]=SelectedConversion)</f>
        <v>0</v>
      </c>
      <c r="H596" s="14" t="b">
        <f>OR(Transport_Table[[#This Row],[Data Set]]="All",Transport_Table[[#This Row],[Data Set]]=SelectedDataSet)</f>
        <v>0</v>
      </c>
      <c r="I596" s="14" t="b">
        <f>OR(Transport_Table[[#This Row],[Technology]]="All",Transport_Table[[#This Row],[Technology]]=SelectedTechnology)</f>
        <v>0</v>
      </c>
      <c r="J596" s="14" t="b">
        <f>OR(Transport_Table[[#This Row],[Data Source]]="All",Transport_Table[[#This Row],[Data Source]]=SelectedDataSource)</f>
        <v>0</v>
      </c>
      <c r="L596" s="14" t="b">
        <f>AND(Transport_Table[[#This Row],[Show Feedstock]:[Show Data Source]],NOT(Transport_Table[[#This Row],[Hide Column]]))</f>
        <v>0</v>
      </c>
      <c r="M596" s="14" t="s">
        <v>14</v>
      </c>
      <c r="N596" s="14" t="s">
        <v>1219</v>
      </c>
      <c r="O596" s="14" t="s">
        <v>1301</v>
      </c>
      <c r="P596" s="178" t="s">
        <v>1700</v>
      </c>
      <c r="Q596" s="241" t="s">
        <v>1938</v>
      </c>
      <c r="R596" s="393">
        <v>0.33</v>
      </c>
      <c r="S596" s="394">
        <v>520</v>
      </c>
      <c r="T596" s="107"/>
    </row>
    <row r="597" spans="1:20" x14ac:dyDescent="0.3">
      <c r="A597" s="190" t="s">
        <v>133</v>
      </c>
      <c r="B597" s="178" t="s">
        <v>1964</v>
      </c>
      <c r="C597" s="178" t="s">
        <v>194</v>
      </c>
      <c r="D597" s="177" t="s">
        <v>1399</v>
      </c>
      <c r="E597" s="177" t="s">
        <v>137</v>
      </c>
      <c r="F597" s="14" t="b">
        <f>OR(Transport_Table[[#This Row],[Feedstock]]="All",Transport_Table[[#This Row],[Feedstock]]=SelectedFeedstock)</f>
        <v>0</v>
      </c>
      <c r="G597" s="14" t="b">
        <f>OR(Transport_Table[[#This Row],[Conversion]]="All",Transport_Table[[#This Row],[Conversion]]=SelectedConversion)</f>
        <v>0</v>
      </c>
      <c r="H597" s="14" t="b">
        <f>OR(Transport_Table[[#This Row],[Data Set]]="All",Transport_Table[[#This Row],[Data Set]]=SelectedDataSet)</f>
        <v>0</v>
      </c>
      <c r="I597" s="14" t="b">
        <f>OR(Transport_Table[[#This Row],[Technology]]="All",Transport_Table[[#This Row],[Technology]]=SelectedTechnology)</f>
        <v>0</v>
      </c>
      <c r="J597" s="14" t="b">
        <f>OR(Transport_Table[[#This Row],[Data Source]]="All",Transport_Table[[#This Row],[Data Source]]=SelectedDataSource)</f>
        <v>0</v>
      </c>
      <c r="L597" s="14" t="b">
        <f>AND(Transport_Table[[#This Row],[Show Feedstock]:[Show Data Source]],NOT(Transport_Table[[#This Row],[Hide Column]]))</f>
        <v>0</v>
      </c>
      <c r="M597" s="14" t="s">
        <v>14</v>
      </c>
      <c r="N597" s="14" t="s">
        <v>1220</v>
      </c>
      <c r="O597" s="14" t="s">
        <v>1302</v>
      </c>
      <c r="P597" s="178" t="s">
        <v>1700</v>
      </c>
      <c r="Q597" s="241" t="s">
        <v>1942</v>
      </c>
      <c r="R597" s="393">
        <v>0.6</v>
      </c>
      <c r="S597" s="394">
        <v>400</v>
      </c>
      <c r="T597" s="107"/>
    </row>
    <row r="598" spans="1:20" x14ac:dyDescent="0.3">
      <c r="A598" s="190" t="s">
        <v>133</v>
      </c>
      <c r="B598" s="178" t="s">
        <v>1964</v>
      </c>
      <c r="C598" s="178" t="s">
        <v>194</v>
      </c>
      <c r="D598" s="177" t="s">
        <v>1399</v>
      </c>
      <c r="E598" s="177" t="s">
        <v>137</v>
      </c>
      <c r="F598" s="14" t="b">
        <f>OR(Transport_Table[[#This Row],[Feedstock]]="All",Transport_Table[[#This Row],[Feedstock]]=SelectedFeedstock)</f>
        <v>0</v>
      </c>
      <c r="G598" s="14" t="b">
        <f>OR(Transport_Table[[#This Row],[Conversion]]="All",Transport_Table[[#This Row],[Conversion]]=SelectedConversion)</f>
        <v>0</v>
      </c>
      <c r="H598" s="14" t="b">
        <f>OR(Transport_Table[[#This Row],[Data Set]]="All",Transport_Table[[#This Row],[Data Set]]=SelectedDataSet)</f>
        <v>0</v>
      </c>
      <c r="I598" s="14" t="b">
        <f>OR(Transport_Table[[#This Row],[Technology]]="All",Transport_Table[[#This Row],[Technology]]=SelectedTechnology)</f>
        <v>0</v>
      </c>
      <c r="J598" s="14" t="b">
        <f>OR(Transport_Table[[#This Row],[Data Source]]="All",Transport_Table[[#This Row],[Data Source]]=SelectedDataSource)</f>
        <v>0</v>
      </c>
      <c r="L598" s="14" t="b">
        <f>AND(Transport_Table[[#This Row],[Show Feedstock]:[Show Data Source]],NOT(Transport_Table[[#This Row],[Hide Column]]))</f>
        <v>0</v>
      </c>
      <c r="M598" s="14" t="s">
        <v>14</v>
      </c>
      <c r="N598" s="14" t="s">
        <v>1221</v>
      </c>
      <c r="O598" s="14" t="s">
        <v>1303</v>
      </c>
      <c r="P598" s="178" t="s">
        <v>1700</v>
      </c>
      <c r="Q598" s="241" t="s">
        <v>1939</v>
      </c>
      <c r="R598" s="393">
        <v>6.9999999999999951E-2</v>
      </c>
      <c r="S598" s="394">
        <v>800</v>
      </c>
      <c r="T598" s="107"/>
    </row>
    <row r="599" spans="1:20" x14ac:dyDescent="0.3">
      <c r="A599" s="190" t="s">
        <v>133</v>
      </c>
      <c r="B599" s="178" t="s">
        <v>1964</v>
      </c>
      <c r="C599" s="178" t="s">
        <v>194</v>
      </c>
      <c r="D599" s="177" t="s">
        <v>1399</v>
      </c>
      <c r="E599" s="177" t="s">
        <v>137</v>
      </c>
      <c r="F599" s="14" t="b">
        <f>OR(Transport_Table[[#This Row],[Feedstock]]="All",Transport_Table[[#This Row],[Feedstock]]=SelectedFeedstock)</f>
        <v>0</v>
      </c>
      <c r="G599" s="14" t="b">
        <f>OR(Transport_Table[[#This Row],[Conversion]]="All",Transport_Table[[#This Row],[Conversion]]=SelectedConversion)</f>
        <v>0</v>
      </c>
      <c r="H599" s="14" t="b">
        <f>OR(Transport_Table[[#This Row],[Data Set]]="All",Transport_Table[[#This Row],[Data Set]]=SelectedDataSet)</f>
        <v>0</v>
      </c>
      <c r="I599" s="14" t="b">
        <f>OR(Transport_Table[[#This Row],[Technology]]="All",Transport_Table[[#This Row],[Technology]]=SelectedTechnology)</f>
        <v>0</v>
      </c>
      <c r="J599" s="14" t="b">
        <f>OR(Transport_Table[[#This Row],[Data Source]]="All",Transport_Table[[#This Row],[Data Source]]=SelectedDataSource)</f>
        <v>0</v>
      </c>
      <c r="L599" s="14" t="b">
        <f>AND(Transport_Table[[#This Row],[Show Feedstock]:[Show Data Source]],NOT(Transport_Table[[#This Row],[Hide Column]]))</f>
        <v>0</v>
      </c>
      <c r="M599" s="14" t="s">
        <v>14</v>
      </c>
      <c r="N599" s="14" t="s">
        <v>1222</v>
      </c>
      <c r="O599" s="14" t="s">
        <v>1304</v>
      </c>
      <c r="P599" s="178" t="s">
        <v>1700</v>
      </c>
      <c r="Q599" s="241" t="s">
        <v>1940</v>
      </c>
      <c r="R599" s="393">
        <v>1</v>
      </c>
      <c r="S599" s="394">
        <v>30</v>
      </c>
      <c r="T599" s="107"/>
    </row>
    <row r="600" spans="1:20" x14ac:dyDescent="0.3">
      <c r="A600" t="s">
        <v>874</v>
      </c>
      <c r="B600" t="s">
        <v>30</v>
      </c>
      <c r="C600" t="s">
        <v>194</v>
      </c>
      <c r="D600" t="s">
        <v>1335</v>
      </c>
      <c r="E600" s="178" t="s">
        <v>31</v>
      </c>
      <c r="F600" s="14" t="b">
        <f>OR(Transport_Table[[#This Row],[Feedstock]]="All",Transport_Table[[#This Row],[Feedstock]]=SelectedFeedstock)</f>
        <v>0</v>
      </c>
      <c r="G600" s="14" t="b">
        <f>OR(Transport_Table[[#This Row],[Conversion]]="All",Transport_Table[[#This Row],[Conversion]]=SelectedConversion)</f>
        <v>1</v>
      </c>
      <c r="H600" s="14" t="b">
        <f>OR(Transport_Table[[#This Row],[Data Set]]="All",Transport_Table[[#This Row],[Data Set]]=SelectedDataSet)</f>
        <v>0</v>
      </c>
      <c r="I600" s="14" t="b">
        <f>OR(Transport_Table[[#This Row],[Technology]]="All",Transport_Table[[#This Row],[Technology]]=SelectedTechnology)</f>
        <v>1</v>
      </c>
      <c r="J600" s="14" t="b">
        <f>OR(Transport_Table[[#This Row],[Data Source]]="All",Transport_Table[[#This Row],[Data Source]]=SelectedDataSource)</f>
        <v>0</v>
      </c>
      <c r="K600" s="14" t="b">
        <v>1</v>
      </c>
      <c r="L600" s="14" t="b">
        <f>AND(Transport_Table[[#This Row],[Show Feedstock]:[Show Data Source]],NOT(Transport_Table[[#This Row],[Hide Column]]))</f>
        <v>0</v>
      </c>
      <c r="M600" s="14" t="s">
        <v>887</v>
      </c>
      <c r="N600" s="14" t="s">
        <v>1228</v>
      </c>
      <c r="O600" s="14" t="s">
        <v>1310</v>
      </c>
      <c r="P600" t="s">
        <v>888</v>
      </c>
      <c r="Q600" s="165" t="s">
        <v>1940</v>
      </c>
      <c r="R600" s="199">
        <v>0.8</v>
      </c>
      <c r="S600" s="395">
        <v>100.04073100000001</v>
      </c>
      <c r="T600" s="107"/>
    </row>
    <row r="601" spans="1:20" x14ac:dyDescent="0.3">
      <c r="A601" t="s">
        <v>874</v>
      </c>
      <c r="B601" t="s">
        <v>30</v>
      </c>
      <c r="C601" t="s">
        <v>194</v>
      </c>
      <c r="D601" t="s">
        <v>1335</v>
      </c>
      <c r="E601" s="178" t="s">
        <v>31</v>
      </c>
      <c r="F601" s="14" t="b">
        <f>OR(Transport_Table[[#This Row],[Feedstock]]="All",Transport_Table[[#This Row],[Feedstock]]=SelectedFeedstock)</f>
        <v>0</v>
      </c>
      <c r="G601" s="14" t="b">
        <f>OR(Transport_Table[[#This Row],[Conversion]]="All",Transport_Table[[#This Row],[Conversion]]=SelectedConversion)</f>
        <v>1</v>
      </c>
      <c r="H601" s="14" t="b">
        <f>OR(Transport_Table[[#This Row],[Data Set]]="All",Transport_Table[[#This Row],[Data Set]]=SelectedDataSet)</f>
        <v>0</v>
      </c>
      <c r="I601" s="14" t="b">
        <f>OR(Transport_Table[[#This Row],[Technology]]="All",Transport_Table[[#This Row],[Technology]]=SelectedTechnology)</f>
        <v>1</v>
      </c>
      <c r="J601" s="14" t="b">
        <f>OR(Transport_Table[[#This Row],[Data Source]]="All",Transport_Table[[#This Row],[Data Source]]=SelectedDataSource)</f>
        <v>0</v>
      </c>
      <c r="K601" s="14" t="b">
        <v>1</v>
      </c>
      <c r="L601" s="14" t="b">
        <f>AND(Transport_Table[[#This Row],[Show Feedstock]:[Show Data Source]],NOT(Transport_Table[[#This Row],[Hide Column]]))</f>
        <v>0</v>
      </c>
      <c r="M601" s="14" t="s">
        <v>887</v>
      </c>
      <c r="N601" s="14" t="s">
        <v>1229</v>
      </c>
      <c r="O601" s="14" t="s">
        <v>1311</v>
      </c>
      <c r="P601" t="s">
        <v>888</v>
      </c>
      <c r="Q601" s="165" t="s">
        <v>1939</v>
      </c>
      <c r="R601" s="199">
        <v>0.2</v>
      </c>
      <c r="S601" s="395">
        <v>400.16292400000003</v>
      </c>
      <c r="T601" s="107"/>
    </row>
    <row r="602" spans="1:20" x14ac:dyDescent="0.3">
      <c r="A602" t="s">
        <v>874</v>
      </c>
      <c r="B602" t="s">
        <v>30</v>
      </c>
      <c r="C602" t="s">
        <v>194</v>
      </c>
      <c r="D602" t="s">
        <v>1335</v>
      </c>
      <c r="E602" s="178" t="s">
        <v>31</v>
      </c>
      <c r="F602" s="14" t="b">
        <f>OR(Transport_Table[[#This Row],[Feedstock]]="All",Transport_Table[[#This Row],[Feedstock]]=SelectedFeedstock)</f>
        <v>0</v>
      </c>
      <c r="G602" s="14" t="b">
        <f>OR(Transport_Table[[#This Row],[Conversion]]="All",Transport_Table[[#This Row],[Conversion]]=SelectedConversion)</f>
        <v>1</v>
      </c>
      <c r="H602" s="14" t="b">
        <f>OR(Transport_Table[[#This Row],[Data Set]]="All",Transport_Table[[#This Row],[Data Set]]=SelectedDataSet)</f>
        <v>0</v>
      </c>
      <c r="I602" s="14" t="b">
        <f>OR(Transport_Table[[#This Row],[Technology]]="All",Transport_Table[[#This Row],[Technology]]=SelectedTechnology)</f>
        <v>1</v>
      </c>
      <c r="J602" s="14" t="b">
        <f>OR(Transport_Table[[#This Row],[Data Source]]="All",Transport_Table[[#This Row],[Data Source]]=SelectedDataSource)</f>
        <v>0</v>
      </c>
      <c r="L602" s="14" t="b">
        <f>AND(Transport_Table[[#This Row],[Show Feedstock]:[Show Data Source]],NOT(Transport_Table[[#This Row],[Hide Column]]))</f>
        <v>0</v>
      </c>
      <c r="M602" s="14" t="s">
        <v>887</v>
      </c>
      <c r="N602" s="14" t="s">
        <v>1161</v>
      </c>
      <c r="O602" s="14" t="s">
        <v>1243</v>
      </c>
      <c r="P602" s="178" t="s">
        <v>1700</v>
      </c>
      <c r="Q602" s="165" t="s">
        <v>1938</v>
      </c>
      <c r="R602" s="199">
        <v>0.08</v>
      </c>
      <c r="S602" s="395">
        <v>519.99854667279999</v>
      </c>
      <c r="T602" s="107"/>
    </row>
    <row r="603" spans="1:20" x14ac:dyDescent="0.3">
      <c r="A603" t="s">
        <v>874</v>
      </c>
      <c r="B603" t="s">
        <v>30</v>
      </c>
      <c r="C603" t="s">
        <v>194</v>
      </c>
      <c r="D603" t="s">
        <v>1335</v>
      </c>
      <c r="E603" s="178" t="s">
        <v>31</v>
      </c>
      <c r="F603" s="14" t="b">
        <f>OR(Transport_Table[[#This Row],[Feedstock]]="All",Transport_Table[[#This Row],[Feedstock]]=SelectedFeedstock)</f>
        <v>0</v>
      </c>
      <c r="G603" s="14" t="b">
        <f>OR(Transport_Table[[#This Row],[Conversion]]="All",Transport_Table[[#This Row],[Conversion]]=SelectedConversion)</f>
        <v>1</v>
      </c>
      <c r="H603" s="14" t="b">
        <f>OR(Transport_Table[[#This Row],[Data Set]]="All",Transport_Table[[#This Row],[Data Set]]=SelectedDataSet)</f>
        <v>0</v>
      </c>
      <c r="I603" s="14" t="b">
        <f>OR(Transport_Table[[#This Row],[Technology]]="All",Transport_Table[[#This Row],[Technology]]=SelectedTechnology)</f>
        <v>1</v>
      </c>
      <c r="J603" s="14" t="b">
        <f>OR(Transport_Table[[#This Row],[Data Source]]="All",Transport_Table[[#This Row],[Data Source]]=SelectedDataSource)</f>
        <v>0</v>
      </c>
      <c r="L603" s="14" t="b">
        <f>AND(Transport_Table[[#This Row],[Show Feedstock]:[Show Data Source]],NOT(Transport_Table[[#This Row],[Hide Column]]))</f>
        <v>0</v>
      </c>
      <c r="M603" s="14" t="s">
        <v>887</v>
      </c>
      <c r="N603" s="14" t="s">
        <v>1162</v>
      </c>
      <c r="O603" s="14" t="s">
        <v>1244</v>
      </c>
      <c r="P603" s="178" t="s">
        <v>1700</v>
      </c>
      <c r="Q603" s="165" t="s">
        <v>1942</v>
      </c>
      <c r="R603" s="199">
        <v>0</v>
      </c>
      <c r="S603" s="394">
        <v>0</v>
      </c>
      <c r="T603" s="107"/>
    </row>
    <row r="604" spans="1:20" x14ac:dyDescent="0.3">
      <c r="A604" t="s">
        <v>874</v>
      </c>
      <c r="B604" t="s">
        <v>30</v>
      </c>
      <c r="C604" t="s">
        <v>194</v>
      </c>
      <c r="D604" t="s">
        <v>1335</v>
      </c>
      <c r="E604" s="178" t="s">
        <v>31</v>
      </c>
      <c r="F604" s="14" t="b">
        <f>OR(Transport_Table[[#This Row],[Feedstock]]="All",Transport_Table[[#This Row],[Feedstock]]=SelectedFeedstock)</f>
        <v>0</v>
      </c>
      <c r="G604" s="14" t="b">
        <f>OR(Transport_Table[[#This Row],[Conversion]]="All",Transport_Table[[#This Row],[Conversion]]=SelectedConversion)</f>
        <v>1</v>
      </c>
      <c r="H604" s="14" t="b">
        <f>OR(Transport_Table[[#This Row],[Data Set]]="All",Transport_Table[[#This Row],[Data Set]]=SelectedDataSet)</f>
        <v>0</v>
      </c>
      <c r="I604" s="14" t="b">
        <f>OR(Transport_Table[[#This Row],[Technology]]="All",Transport_Table[[#This Row],[Technology]]=SelectedTechnology)</f>
        <v>1</v>
      </c>
      <c r="J604" s="14" t="b">
        <f>OR(Transport_Table[[#This Row],[Data Source]]="All",Transport_Table[[#This Row],[Data Source]]=SelectedDataSource)</f>
        <v>0</v>
      </c>
      <c r="L604" s="14" t="b">
        <f>AND(Transport_Table[[#This Row],[Show Feedstock]:[Show Data Source]],NOT(Transport_Table[[#This Row],[Hide Column]]))</f>
        <v>0</v>
      </c>
      <c r="M604" s="14" t="s">
        <v>887</v>
      </c>
      <c r="N604" s="14" t="s">
        <v>1163</v>
      </c>
      <c r="O604" s="14" t="s">
        <v>1245</v>
      </c>
      <c r="P604" s="178" t="s">
        <v>1700</v>
      </c>
      <c r="Q604" s="165" t="s">
        <v>1939</v>
      </c>
      <c r="R604" s="199">
        <v>0.28999999999999998</v>
      </c>
      <c r="S604" s="395">
        <v>799.99776411200003</v>
      </c>
      <c r="T604" s="107"/>
    </row>
    <row r="605" spans="1:20" x14ac:dyDescent="0.3">
      <c r="A605" t="s">
        <v>874</v>
      </c>
      <c r="B605" t="s">
        <v>30</v>
      </c>
      <c r="C605" t="s">
        <v>194</v>
      </c>
      <c r="D605" t="s">
        <v>1335</v>
      </c>
      <c r="E605" s="178" t="s">
        <v>31</v>
      </c>
      <c r="F605" s="14" t="b">
        <f>OR(Transport_Table[[#This Row],[Feedstock]]="All",Transport_Table[[#This Row],[Feedstock]]=SelectedFeedstock)</f>
        <v>0</v>
      </c>
      <c r="G605" s="14" t="b">
        <f>OR(Transport_Table[[#This Row],[Conversion]]="All",Transport_Table[[#This Row],[Conversion]]=SelectedConversion)</f>
        <v>1</v>
      </c>
      <c r="H605" s="14" t="b">
        <f>OR(Transport_Table[[#This Row],[Data Set]]="All",Transport_Table[[#This Row],[Data Set]]=SelectedDataSet)</f>
        <v>0</v>
      </c>
      <c r="I605" s="14" t="b">
        <f>OR(Transport_Table[[#This Row],[Technology]]="All",Transport_Table[[#This Row],[Technology]]=SelectedTechnology)</f>
        <v>1</v>
      </c>
      <c r="J605" s="14" t="b">
        <f>OR(Transport_Table[[#This Row],[Data Source]]="All",Transport_Table[[#This Row],[Data Source]]=SelectedDataSource)</f>
        <v>0</v>
      </c>
      <c r="L605" s="14" t="b">
        <f>AND(Transport_Table[[#This Row],[Show Feedstock]:[Show Data Source]],NOT(Transport_Table[[#This Row],[Hide Column]]))</f>
        <v>0</v>
      </c>
      <c r="M605" s="14" t="s">
        <v>887</v>
      </c>
      <c r="N605" s="14" t="s">
        <v>1164</v>
      </c>
      <c r="O605" s="14" t="s">
        <v>1246</v>
      </c>
      <c r="P605" s="178" t="s">
        <v>1700</v>
      </c>
      <c r="Q605" s="165" t="s">
        <v>1940</v>
      </c>
      <c r="R605" s="199">
        <v>0.63</v>
      </c>
      <c r="S605" s="395">
        <v>49.999860257000002</v>
      </c>
      <c r="T605" s="107"/>
    </row>
    <row r="606" spans="1:20" x14ac:dyDescent="0.3">
      <c r="A606" t="s">
        <v>874</v>
      </c>
      <c r="B606" t="s">
        <v>30</v>
      </c>
      <c r="C606" t="s">
        <v>194</v>
      </c>
      <c r="D606" t="s">
        <v>1335</v>
      </c>
      <c r="E606" s="178" t="s">
        <v>31</v>
      </c>
      <c r="F606" s="14" t="b">
        <f>OR(Transport_Table[[#This Row],[Feedstock]]="All",Transport_Table[[#This Row],[Feedstock]]=SelectedFeedstock)</f>
        <v>0</v>
      </c>
      <c r="G606" s="14" t="b">
        <f>OR(Transport_Table[[#This Row],[Conversion]]="All",Transport_Table[[#This Row],[Conversion]]=SelectedConversion)</f>
        <v>1</v>
      </c>
      <c r="H606" s="14" t="b">
        <f>OR(Transport_Table[[#This Row],[Data Set]]="All",Transport_Table[[#This Row],[Data Set]]=SelectedDataSet)</f>
        <v>0</v>
      </c>
      <c r="I606" s="14" t="b">
        <f>OR(Transport_Table[[#This Row],[Technology]]="All",Transport_Table[[#This Row],[Technology]]=SelectedTechnology)</f>
        <v>1</v>
      </c>
      <c r="J606" s="14" t="b">
        <f>OR(Transport_Table[[#This Row],[Data Source]]="All",Transport_Table[[#This Row],[Data Source]]=SelectedDataSource)</f>
        <v>0</v>
      </c>
      <c r="L606" s="14" t="b">
        <f>AND(Transport_Table[[#This Row],[Show Feedstock]:[Show Data Source]],NOT(Transport_Table[[#This Row],[Hide Column]]))</f>
        <v>0</v>
      </c>
      <c r="M606" s="14" t="s">
        <v>887</v>
      </c>
      <c r="N606" s="14" t="s">
        <v>1165</v>
      </c>
      <c r="O606" s="14" t="s">
        <v>1247</v>
      </c>
      <c r="P606" s="178" t="s">
        <v>1701</v>
      </c>
      <c r="Q606" s="165" t="s">
        <v>1940</v>
      </c>
      <c r="R606" s="199">
        <v>1</v>
      </c>
      <c r="S606" s="395">
        <v>29.999916154200001</v>
      </c>
      <c r="T606" s="107"/>
    </row>
    <row r="607" spans="1:20" x14ac:dyDescent="0.3">
      <c r="A607" t="s">
        <v>875</v>
      </c>
      <c r="B607" t="s">
        <v>30</v>
      </c>
      <c r="C607" t="s">
        <v>194</v>
      </c>
      <c r="D607" s="14" t="s">
        <v>1335</v>
      </c>
      <c r="E607" s="178" t="s">
        <v>31</v>
      </c>
      <c r="F607" s="14" t="b">
        <f>OR(Transport_Table[[#This Row],[Feedstock]]="All",Transport_Table[[#This Row],[Feedstock]]=SelectedFeedstock)</f>
        <v>0</v>
      </c>
      <c r="G607" s="14" t="b">
        <f>OR(Transport_Table[[#This Row],[Conversion]]="All",Transport_Table[[#This Row],[Conversion]]=SelectedConversion)</f>
        <v>1</v>
      </c>
      <c r="H607" s="14" t="b">
        <f>OR(Transport_Table[[#This Row],[Data Set]]="All",Transport_Table[[#This Row],[Data Set]]=SelectedDataSet)</f>
        <v>0</v>
      </c>
      <c r="I607" s="14" t="b">
        <f>OR(Transport_Table[[#This Row],[Technology]]="All",Transport_Table[[#This Row],[Technology]]=SelectedTechnology)</f>
        <v>1</v>
      </c>
      <c r="J607" s="14" t="b">
        <f>OR(Transport_Table[[#This Row],[Data Source]]="All",Transport_Table[[#This Row],[Data Source]]=SelectedDataSource)</f>
        <v>0</v>
      </c>
      <c r="K607" s="14" t="b">
        <v>1</v>
      </c>
      <c r="L607" s="14" t="b">
        <f>AND(Transport_Table[[#This Row],[Show Feedstock]:[Show Data Source]],NOT(Transport_Table[[#This Row],[Hide Column]]))</f>
        <v>0</v>
      </c>
      <c r="M607" s="14" t="s">
        <v>887</v>
      </c>
      <c r="N607" s="14" t="s">
        <v>1230</v>
      </c>
      <c r="O607" s="14" t="s">
        <v>1312</v>
      </c>
      <c r="P607" t="s">
        <v>889</v>
      </c>
      <c r="Q607" s="165" t="s">
        <v>1939</v>
      </c>
      <c r="R607" s="199">
        <v>0.2</v>
      </c>
      <c r="S607" s="395">
        <v>400.16292400000003</v>
      </c>
      <c r="T607" s="107"/>
    </row>
    <row r="608" spans="1:20" x14ac:dyDescent="0.3">
      <c r="A608" t="s">
        <v>875</v>
      </c>
      <c r="B608" t="s">
        <v>30</v>
      </c>
      <c r="C608" t="s">
        <v>194</v>
      </c>
      <c r="D608" s="14" t="s">
        <v>1335</v>
      </c>
      <c r="E608" s="178" t="s">
        <v>31</v>
      </c>
      <c r="F608" s="14" t="b">
        <f>OR(Transport_Table[[#This Row],[Feedstock]]="All",Transport_Table[[#This Row],[Feedstock]]=SelectedFeedstock)</f>
        <v>0</v>
      </c>
      <c r="G608" s="14" t="b">
        <f>OR(Transport_Table[[#This Row],[Conversion]]="All",Transport_Table[[#This Row],[Conversion]]=SelectedConversion)</f>
        <v>1</v>
      </c>
      <c r="H608" s="14" t="b">
        <f>OR(Transport_Table[[#This Row],[Data Set]]="All",Transport_Table[[#This Row],[Data Set]]=SelectedDataSet)</f>
        <v>0</v>
      </c>
      <c r="I608" s="14" t="b">
        <f>OR(Transport_Table[[#This Row],[Technology]]="All",Transport_Table[[#This Row],[Technology]]=SelectedTechnology)</f>
        <v>1</v>
      </c>
      <c r="J608" s="14" t="b">
        <f>OR(Transport_Table[[#This Row],[Data Source]]="All",Transport_Table[[#This Row],[Data Source]]=SelectedDataSource)</f>
        <v>0</v>
      </c>
      <c r="K608" s="14" t="b">
        <v>1</v>
      </c>
      <c r="L608" s="14" t="b">
        <f>AND(Transport_Table[[#This Row],[Show Feedstock]:[Show Data Source]],NOT(Transport_Table[[#This Row],[Hide Column]]))</f>
        <v>0</v>
      </c>
      <c r="M608" s="14" t="s">
        <v>887</v>
      </c>
      <c r="N608" s="14" t="s">
        <v>1231</v>
      </c>
      <c r="O608" s="14" t="s">
        <v>1313</v>
      </c>
      <c r="P608" t="s">
        <v>889</v>
      </c>
      <c r="Q608" s="165" t="s">
        <v>1949</v>
      </c>
      <c r="R608" s="199">
        <v>0.8</v>
      </c>
      <c r="S608" s="395">
        <v>100.04073100000001</v>
      </c>
      <c r="T608" s="107"/>
    </row>
    <row r="609" spans="1:20" x14ac:dyDescent="0.3">
      <c r="A609" t="s">
        <v>875</v>
      </c>
      <c r="B609" t="s">
        <v>30</v>
      </c>
      <c r="C609" t="s">
        <v>194</v>
      </c>
      <c r="D609" s="14" t="s">
        <v>1335</v>
      </c>
      <c r="E609" s="178" t="s">
        <v>31</v>
      </c>
      <c r="F609" s="14" t="b">
        <f>OR(Transport_Table[[#This Row],[Feedstock]]="All",Transport_Table[[#This Row],[Feedstock]]=SelectedFeedstock)</f>
        <v>0</v>
      </c>
      <c r="G609" s="14" t="b">
        <f>OR(Transport_Table[[#This Row],[Conversion]]="All",Transport_Table[[#This Row],[Conversion]]=SelectedConversion)</f>
        <v>1</v>
      </c>
      <c r="H609" s="14" t="b">
        <f>OR(Transport_Table[[#This Row],[Data Set]]="All",Transport_Table[[#This Row],[Data Set]]=SelectedDataSet)</f>
        <v>0</v>
      </c>
      <c r="I609" s="14" t="b">
        <f>OR(Transport_Table[[#This Row],[Technology]]="All",Transport_Table[[#This Row],[Technology]]=SelectedTechnology)</f>
        <v>1</v>
      </c>
      <c r="J609" s="14" t="b">
        <f>OR(Transport_Table[[#This Row],[Data Source]]="All",Transport_Table[[#This Row],[Data Source]]=SelectedDataSource)</f>
        <v>0</v>
      </c>
      <c r="K609" s="14" t="b">
        <v>1</v>
      </c>
      <c r="L609" s="14" t="b">
        <f>AND(Transport_Table[[#This Row],[Show Feedstock]:[Show Data Source]],NOT(Transport_Table[[#This Row],[Hide Column]]))</f>
        <v>0</v>
      </c>
      <c r="M609" s="14" t="s">
        <v>887</v>
      </c>
      <c r="N609" s="14" t="s">
        <v>1232</v>
      </c>
      <c r="O609" s="14" t="s">
        <v>1314</v>
      </c>
      <c r="P609" t="s">
        <v>889</v>
      </c>
      <c r="Q609" s="165" t="s">
        <v>1950</v>
      </c>
      <c r="R609" s="199">
        <v>0</v>
      </c>
      <c r="S609" s="394">
        <v>0</v>
      </c>
      <c r="T609" s="107"/>
    </row>
    <row r="610" spans="1:20" x14ac:dyDescent="0.3">
      <c r="A610" t="s">
        <v>875</v>
      </c>
      <c r="B610" t="s">
        <v>30</v>
      </c>
      <c r="C610" t="s">
        <v>194</v>
      </c>
      <c r="D610" s="14" t="s">
        <v>1335</v>
      </c>
      <c r="E610" s="178" t="s">
        <v>31</v>
      </c>
      <c r="F610" s="14" t="b">
        <f>OR(Transport_Table[[#This Row],[Feedstock]]="All",Transport_Table[[#This Row],[Feedstock]]=SelectedFeedstock)</f>
        <v>0</v>
      </c>
      <c r="G610" s="14" t="b">
        <f>OR(Transport_Table[[#This Row],[Conversion]]="All",Transport_Table[[#This Row],[Conversion]]=SelectedConversion)</f>
        <v>1</v>
      </c>
      <c r="H610" s="14" t="b">
        <f>OR(Transport_Table[[#This Row],[Data Set]]="All",Transport_Table[[#This Row],[Data Set]]=SelectedDataSet)</f>
        <v>0</v>
      </c>
      <c r="I610" s="14" t="b">
        <f>OR(Transport_Table[[#This Row],[Technology]]="All",Transport_Table[[#This Row],[Technology]]=SelectedTechnology)</f>
        <v>1</v>
      </c>
      <c r="J610" s="14" t="b">
        <f>OR(Transport_Table[[#This Row],[Data Source]]="All",Transport_Table[[#This Row],[Data Source]]=SelectedDataSource)</f>
        <v>0</v>
      </c>
      <c r="K610" s="14" t="b">
        <v>1</v>
      </c>
      <c r="L610" s="14" t="b">
        <f>AND(Transport_Table[[#This Row],[Show Feedstock]:[Show Data Source]],NOT(Transport_Table[[#This Row],[Hide Column]]))</f>
        <v>0</v>
      </c>
      <c r="M610" s="14" t="s">
        <v>887</v>
      </c>
      <c r="N610" s="14" t="s">
        <v>1340</v>
      </c>
      <c r="O610" s="14" t="s">
        <v>1341</v>
      </c>
      <c r="P610" t="s">
        <v>889</v>
      </c>
      <c r="Q610" s="165" t="s">
        <v>1951</v>
      </c>
      <c r="R610" s="199">
        <v>0</v>
      </c>
      <c r="S610" s="394">
        <v>0</v>
      </c>
      <c r="T610" s="107"/>
    </row>
    <row r="611" spans="1:20" x14ac:dyDescent="0.3">
      <c r="A611" t="s">
        <v>875</v>
      </c>
      <c r="B611" t="s">
        <v>30</v>
      </c>
      <c r="C611" t="s">
        <v>194</v>
      </c>
      <c r="D611" s="14" t="s">
        <v>1335</v>
      </c>
      <c r="E611" s="178" t="s">
        <v>31</v>
      </c>
      <c r="F611" s="14" t="b">
        <f>OR(Transport_Table[[#This Row],[Feedstock]]="All",Transport_Table[[#This Row],[Feedstock]]=SelectedFeedstock)</f>
        <v>0</v>
      </c>
      <c r="G611" s="14" t="b">
        <f>OR(Transport_Table[[#This Row],[Conversion]]="All",Transport_Table[[#This Row],[Conversion]]=SelectedConversion)</f>
        <v>1</v>
      </c>
      <c r="H611" s="14" t="b">
        <f>OR(Transport_Table[[#This Row],[Data Set]]="All",Transport_Table[[#This Row],[Data Set]]=SelectedDataSet)</f>
        <v>0</v>
      </c>
      <c r="I611" s="14" t="b">
        <f>OR(Transport_Table[[#This Row],[Technology]]="All",Transport_Table[[#This Row],[Technology]]=SelectedTechnology)</f>
        <v>1</v>
      </c>
      <c r="J611" s="14" t="b">
        <f>OR(Transport_Table[[#This Row],[Data Source]]="All",Transport_Table[[#This Row],[Data Source]]=SelectedDataSource)</f>
        <v>0</v>
      </c>
      <c r="L611" s="14" t="b">
        <f>AND(Transport_Table[[#This Row],[Show Feedstock]:[Show Data Source]],NOT(Transport_Table[[#This Row],[Hide Column]]))</f>
        <v>0</v>
      </c>
      <c r="M611" s="14" t="s">
        <v>887</v>
      </c>
      <c r="N611" s="14" t="s">
        <v>1161</v>
      </c>
      <c r="O611" s="14" t="s">
        <v>1243</v>
      </c>
      <c r="P611" s="178" t="s">
        <v>1700</v>
      </c>
      <c r="Q611" s="165" t="s">
        <v>1938</v>
      </c>
      <c r="R611" s="199">
        <v>0.08</v>
      </c>
      <c r="S611" s="395">
        <v>519.99854667279999</v>
      </c>
      <c r="T611" s="107"/>
    </row>
    <row r="612" spans="1:20" x14ac:dyDescent="0.3">
      <c r="A612" t="s">
        <v>875</v>
      </c>
      <c r="B612" t="s">
        <v>30</v>
      </c>
      <c r="C612" t="s">
        <v>194</v>
      </c>
      <c r="D612" s="14" t="s">
        <v>1335</v>
      </c>
      <c r="E612" s="178" t="s">
        <v>31</v>
      </c>
      <c r="F612" s="14" t="b">
        <f>OR(Transport_Table[[#This Row],[Feedstock]]="All",Transport_Table[[#This Row],[Feedstock]]=SelectedFeedstock)</f>
        <v>0</v>
      </c>
      <c r="G612" s="14" t="b">
        <f>OR(Transport_Table[[#This Row],[Conversion]]="All",Transport_Table[[#This Row],[Conversion]]=SelectedConversion)</f>
        <v>1</v>
      </c>
      <c r="H612" s="14" t="b">
        <f>OR(Transport_Table[[#This Row],[Data Set]]="All",Transport_Table[[#This Row],[Data Set]]=SelectedDataSet)</f>
        <v>0</v>
      </c>
      <c r="I612" s="14" t="b">
        <f>OR(Transport_Table[[#This Row],[Technology]]="All",Transport_Table[[#This Row],[Technology]]=SelectedTechnology)</f>
        <v>1</v>
      </c>
      <c r="J612" s="14" t="b">
        <f>OR(Transport_Table[[#This Row],[Data Source]]="All",Transport_Table[[#This Row],[Data Source]]=SelectedDataSource)</f>
        <v>0</v>
      </c>
      <c r="L612" s="14" t="b">
        <f>AND(Transport_Table[[#This Row],[Show Feedstock]:[Show Data Source]],NOT(Transport_Table[[#This Row],[Hide Column]]))</f>
        <v>0</v>
      </c>
      <c r="M612" s="14" t="s">
        <v>887</v>
      </c>
      <c r="N612" s="14" t="s">
        <v>1162</v>
      </c>
      <c r="O612" s="14" t="s">
        <v>1244</v>
      </c>
      <c r="P612" s="178" t="s">
        <v>1700</v>
      </c>
      <c r="Q612" s="165" t="s">
        <v>1942</v>
      </c>
      <c r="R612" s="199">
        <v>0</v>
      </c>
      <c r="S612" s="394">
        <v>0</v>
      </c>
      <c r="T612" s="107"/>
    </row>
    <row r="613" spans="1:20" x14ac:dyDescent="0.3">
      <c r="A613" t="s">
        <v>875</v>
      </c>
      <c r="B613" t="s">
        <v>30</v>
      </c>
      <c r="C613" t="s">
        <v>194</v>
      </c>
      <c r="D613" s="14" t="s">
        <v>1335</v>
      </c>
      <c r="E613" s="178" t="s">
        <v>31</v>
      </c>
      <c r="F613" s="14" t="b">
        <f>OR(Transport_Table[[#This Row],[Feedstock]]="All",Transport_Table[[#This Row],[Feedstock]]=SelectedFeedstock)</f>
        <v>0</v>
      </c>
      <c r="G613" s="14" t="b">
        <f>OR(Transport_Table[[#This Row],[Conversion]]="All",Transport_Table[[#This Row],[Conversion]]=SelectedConversion)</f>
        <v>1</v>
      </c>
      <c r="H613" s="14" t="b">
        <f>OR(Transport_Table[[#This Row],[Data Set]]="All",Transport_Table[[#This Row],[Data Set]]=SelectedDataSet)</f>
        <v>0</v>
      </c>
      <c r="I613" s="14" t="b">
        <f>OR(Transport_Table[[#This Row],[Technology]]="All",Transport_Table[[#This Row],[Technology]]=SelectedTechnology)</f>
        <v>1</v>
      </c>
      <c r="J613" s="14" t="b">
        <f>OR(Transport_Table[[#This Row],[Data Source]]="All",Transport_Table[[#This Row],[Data Source]]=SelectedDataSource)</f>
        <v>0</v>
      </c>
      <c r="L613" s="14" t="b">
        <f>AND(Transport_Table[[#This Row],[Show Feedstock]:[Show Data Source]],NOT(Transport_Table[[#This Row],[Hide Column]]))</f>
        <v>0</v>
      </c>
      <c r="M613" s="14" t="s">
        <v>887</v>
      </c>
      <c r="N613" s="14" t="s">
        <v>1163</v>
      </c>
      <c r="O613" s="14" t="s">
        <v>1245</v>
      </c>
      <c r="P613" s="178" t="s">
        <v>1700</v>
      </c>
      <c r="Q613" s="165" t="s">
        <v>1939</v>
      </c>
      <c r="R613" s="199">
        <v>0.28999999999999998</v>
      </c>
      <c r="S613" s="395">
        <v>799.99776411200003</v>
      </c>
      <c r="T613" s="107"/>
    </row>
    <row r="614" spans="1:20" x14ac:dyDescent="0.3">
      <c r="A614" t="s">
        <v>875</v>
      </c>
      <c r="B614" t="s">
        <v>30</v>
      </c>
      <c r="C614" t="s">
        <v>194</v>
      </c>
      <c r="D614" s="14" t="s">
        <v>1335</v>
      </c>
      <c r="E614" s="178" t="s">
        <v>31</v>
      </c>
      <c r="F614" s="14" t="b">
        <f>OR(Transport_Table[[#This Row],[Feedstock]]="All",Transport_Table[[#This Row],[Feedstock]]=SelectedFeedstock)</f>
        <v>0</v>
      </c>
      <c r="G614" s="14" t="b">
        <f>OR(Transport_Table[[#This Row],[Conversion]]="All",Transport_Table[[#This Row],[Conversion]]=SelectedConversion)</f>
        <v>1</v>
      </c>
      <c r="H614" s="14" t="b">
        <f>OR(Transport_Table[[#This Row],[Data Set]]="All",Transport_Table[[#This Row],[Data Set]]=SelectedDataSet)</f>
        <v>0</v>
      </c>
      <c r="I614" s="14" t="b">
        <f>OR(Transport_Table[[#This Row],[Technology]]="All",Transport_Table[[#This Row],[Technology]]=SelectedTechnology)</f>
        <v>1</v>
      </c>
      <c r="J614" s="14" t="b">
        <f>OR(Transport_Table[[#This Row],[Data Source]]="All",Transport_Table[[#This Row],[Data Source]]=SelectedDataSource)</f>
        <v>0</v>
      </c>
      <c r="L614" s="14" t="b">
        <f>AND(Transport_Table[[#This Row],[Show Feedstock]:[Show Data Source]],NOT(Transport_Table[[#This Row],[Hide Column]]))</f>
        <v>0</v>
      </c>
      <c r="M614" s="14" t="s">
        <v>887</v>
      </c>
      <c r="N614" s="14" t="s">
        <v>1164</v>
      </c>
      <c r="O614" s="14" t="s">
        <v>1246</v>
      </c>
      <c r="P614" s="178" t="s">
        <v>1700</v>
      </c>
      <c r="Q614" s="165" t="s">
        <v>1940</v>
      </c>
      <c r="R614" s="199">
        <v>0.63</v>
      </c>
      <c r="S614" s="395">
        <v>49.999860257000002</v>
      </c>
      <c r="T614" s="107"/>
    </row>
    <row r="615" spans="1:20" x14ac:dyDescent="0.3">
      <c r="A615" t="s">
        <v>875</v>
      </c>
      <c r="B615" t="s">
        <v>30</v>
      </c>
      <c r="C615" t="s">
        <v>194</v>
      </c>
      <c r="D615" s="14" t="s">
        <v>1335</v>
      </c>
      <c r="E615" s="178" t="s">
        <v>31</v>
      </c>
      <c r="F615" s="14" t="b">
        <f>OR(Transport_Table[[#This Row],[Feedstock]]="All",Transport_Table[[#This Row],[Feedstock]]=SelectedFeedstock)</f>
        <v>0</v>
      </c>
      <c r="G615" s="14" t="b">
        <f>OR(Transport_Table[[#This Row],[Conversion]]="All",Transport_Table[[#This Row],[Conversion]]=SelectedConversion)</f>
        <v>1</v>
      </c>
      <c r="H615" s="14" t="b">
        <f>OR(Transport_Table[[#This Row],[Data Set]]="All",Transport_Table[[#This Row],[Data Set]]=SelectedDataSet)</f>
        <v>0</v>
      </c>
      <c r="I615" s="14" t="b">
        <f>OR(Transport_Table[[#This Row],[Technology]]="All",Transport_Table[[#This Row],[Technology]]=SelectedTechnology)</f>
        <v>1</v>
      </c>
      <c r="J615" s="14" t="b">
        <f>OR(Transport_Table[[#This Row],[Data Source]]="All",Transport_Table[[#This Row],[Data Source]]=SelectedDataSource)</f>
        <v>0</v>
      </c>
      <c r="L615" s="14" t="b">
        <f>AND(Transport_Table[[#This Row],[Show Feedstock]:[Show Data Source]],NOT(Transport_Table[[#This Row],[Hide Column]]))</f>
        <v>0</v>
      </c>
      <c r="M615" s="14" t="s">
        <v>887</v>
      </c>
      <c r="N615" s="14" t="s">
        <v>1165</v>
      </c>
      <c r="O615" s="14" t="s">
        <v>1247</v>
      </c>
      <c r="P615" s="178" t="s">
        <v>1701</v>
      </c>
      <c r="Q615" s="165" t="s">
        <v>1940</v>
      </c>
      <c r="R615" s="199">
        <v>1</v>
      </c>
      <c r="S615" s="395">
        <v>29.999916154200001</v>
      </c>
      <c r="T615" s="107"/>
    </row>
    <row r="616" spans="1:20" x14ac:dyDescent="0.3">
      <c r="A616" t="s">
        <v>876</v>
      </c>
      <c r="B616" t="s">
        <v>30</v>
      </c>
      <c r="C616" t="s">
        <v>194</v>
      </c>
      <c r="D616" s="14" t="s">
        <v>1343</v>
      </c>
      <c r="E616" s="178" t="s">
        <v>31</v>
      </c>
      <c r="F616" s="14" t="b">
        <f>OR(Transport_Table[[#This Row],[Feedstock]]="All",Transport_Table[[#This Row],[Feedstock]]=SelectedFeedstock)</f>
        <v>0</v>
      </c>
      <c r="G616" s="14" t="b">
        <f>OR(Transport_Table[[#This Row],[Conversion]]="All",Transport_Table[[#This Row],[Conversion]]=SelectedConversion)</f>
        <v>1</v>
      </c>
      <c r="H616" s="14" t="b">
        <f>OR(Transport_Table[[#This Row],[Data Set]]="All",Transport_Table[[#This Row],[Data Set]]=SelectedDataSet)</f>
        <v>0</v>
      </c>
      <c r="I616" s="14" t="b">
        <f>OR(Transport_Table[[#This Row],[Technology]]="All",Transport_Table[[#This Row],[Technology]]=SelectedTechnology)</f>
        <v>1</v>
      </c>
      <c r="J616" s="14" t="b">
        <f>OR(Transport_Table[[#This Row],[Data Source]]="All",Transport_Table[[#This Row],[Data Source]]=SelectedDataSource)</f>
        <v>0</v>
      </c>
      <c r="K616" s="14" t="b">
        <v>1</v>
      </c>
      <c r="L616" s="14" t="b">
        <f>AND(Transport_Table[[#This Row],[Show Feedstock]:[Show Data Source]],NOT(Transport_Table[[#This Row],[Hide Column]]))</f>
        <v>0</v>
      </c>
      <c r="M616" s="14" t="s">
        <v>429</v>
      </c>
      <c r="N616" s="14" t="s">
        <v>1236</v>
      </c>
      <c r="O616" s="14" t="s">
        <v>1318</v>
      </c>
      <c r="P616" t="s">
        <v>876</v>
      </c>
      <c r="Q616" s="165" t="s">
        <v>1952</v>
      </c>
      <c r="R616" s="199">
        <v>0.94</v>
      </c>
      <c r="S616" s="395">
        <v>503</v>
      </c>
      <c r="T616" s="107"/>
    </row>
    <row r="617" spans="1:20" x14ac:dyDescent="0.3">
      <c r="A617" t="s">
        <v>876</v>
      </c>
      <c r="B617" t="s">
        <v>30</v>
      </c>
      <c r="C617" t="s">
        <v>194</v>
      </c>
      <c r="D617" s="14" t="s">
        <v>1343</v>
      </c>
      <c r="E617" s="178" t="s">
        <v>31</v>
      </c>
      <c r="F617" s="14" t="b">
        <f>OR(Transport_Table[[#This Row],[Feedstock]]="All",Transport_Table[[#This Row],[Feedstock]]=SelectedFeedstock)</f>
        <v>0</v>
      </c>
      <c r="G617" s="14" t="b">
        <f>OR(Transport_Table[[#This Row],[Conversion]]="All",Transport_Table[[#This Row],[Conversion]]=SelectedConversion)</f>
        <v>1</v>
      </c>
      <c r="H617" s="14" t="b">
        <f>OR(Transport_Table[[#This Row],[Data Set]]="All",Transport_Table[[#This Row],[Data Set]]=SelectedDataSet)</f>
        <v>0</v>
      </c>
      <c r="I617" s="14" t="b">
        <f>OR(Transport_Table[[#This Row],[Technology]]="All",Transport_Table[[#This Row],[Technology]]=SelectedTechnology)</f>
        <v>1</v>
      </c>
      <c r="J617" s="14" t="b">
        <f>OR(Transport_Table[[#This Row],[Data Source]]="All",Transport_Table[[#This Row],[Data Source]]=SelectedDataSource)</f>
        <v>0</v>
      </c>
      <c r="K617" s="14" t="b">
        <v>1</v>
      </c>
      <c r="L617" s="14" t="b">
        <f>AND(Transport_Table[[#This Row],[Show Feedstock]:[Show Data Source]],NOT(Transport_Table[[#This Row],[Hide Column]]))</f>
        <v>0</v>
      </c>
      <c r="M617" s="14" t="s">
        <v>429</v>
      </c>
      <c r="N617" s="14" t="s">
        <v>1237</v>
      </c>
      <c r="O617" s="14" t="s">
        <v>1319</v>
      </c>
      <c r="P617" t="s">
        <v>876</v>
      </c>
      <c r="Q617" s="165" t="s">
        <v>1940</v>
      </c>
      <c r="R617" s="199">
        <v>1.06</v>
      </c>
      <c r="S617" s="395">
        <v>13.358490566037736</v>
      </c>
      <c r="T617" s="107"/>
    </row>
    <row r="618" spans="1:20" x14ac:dyDescent="0.3">
      <c r="A618" t="s">
        <v>876</v>
      </c>
      <c r="B618" t="s">
        <v>30</v>
      </c>
      <c r="C618" t="s">
        <v>194</v>
      </c>
      <c r="D618" s="14" t="s">
        <v>1343</v>
      </c>
      <c r="E618" s="178" t="s">
        <v>31</v>
      </c>
      <c r="F618" s="14" t="b">
        <f>OR(Transport_Table[[#This Row],[Feedstock]]="All",Transport_Table[[#This Row],[Feedstock]]=SelectedFeedstock)</f>
        <v>0</v>
      </c>
      <c r="G618" s="14" t="b">
        <f>OR(Transport_Table[[#This Row],[Conversion]]="All",Transport_Table[[#This Row],[Conversion]]=SelectedConversion)</f>
        <v>1</v>
      </c>
      <c r="H618" s="14" t="b">
        <f>OR(Transport_Table[[#This Row],[Data Set]]="All",Transport_Table[[#This Row],[Data Set]]=SelectedDataSet)</f>
        <v>0</v>
      </c>
      <c r="I618" s="14" t="b">
        <f>OR(Transport_Table[[#This Row],[Technology]]="All",Transport_Table[[#This Row],[Technology]]=SelectedTechnology)</f>
        <v>1</v>
      </c>
      <c r="J618" s="14" t="b">
        <f>OR(Transport_Table[[#This Row],[Data Source]]="All",Transport_Table[[#This Row],[Data Source]]=SelectedDataSource)</f>
        <v>0</v>
      </c>
      <c r="K618" s="14" t="b">
        <v>1</v>
      </c>
      <c r="L618" s="14" t="b">
        <f>AND(Transport_Table[[#This Row],[Show Feedstock]:[Show Data Source]],NOT(Transport_Table[[#This Row],[Hide Column]]))</f>
        <v>0</v>
      </c>
      <c r="M618" s="14" t="s">
        <v>429</v>
      </c>
      <c r="N618" s="14" t="s">
        <v>1238</v>
      </c>
      <c r="O618" s="14" t="s">
        <v>1320</v>
      </c>
      <c r="P618" t="s">
        <v>876</v>
      </c>
      <c r="Q618" s="240" t="s">
        <v>1941</v>
      </c>
      <c r="R618" s="396">
        <v>1</v>
      </c>
      <c r="S618" s="397">
        <v>20</v>
      </c>
      <c r="T618" s="107"/>
    </row>
    <row r="619" spans="1:20" x14ac:dyDescent="0.3">
      <c r="A619" t="s">
        <v>876</v>
      </c>
      <c r="B619" t="s">
        <v>30</v>
      </c>
      <c r="C619" t="s">
        <v>194</v>
      </c>
      <c r="D619" s="14" t="s">
        <v>1343</v>
      </c>
      <c r="E619" s="178" t="s">
        <v>31</v>
      </c>
      <c r="F619" s="14" t="b">
        <f>OR(Transport_Table[[#This Row],[Feedstock]]="All",Transport_Table[[#This Row],[Feedstock]]=SelectedFeedstock)</f>
        <v>0</v>
      </c>
      <c r="G619" s="14" t="b">
        <f>OR(Transport_Table[[#This Row],[Conversion]]="All",Transport_Table[[#This Row],[Conversion]]=SelectedConversion)</f>
        <v>1</v>
      </c>
      <c r="H619" s="14" t="b">
        <f>OR(Transport_Table[[#This Row],[Data Set]]="All",Transport_Table[[#This Row],[Data Set]]=SelectedDataSet)</f>
        <v>0</v>
      </c>
      <c r="I619" s="14" t="b">
        <f>OR(Transport_Table[[#This Row],[Technology]]="All",Transport_Table[[#This Row],[Technology]]=SelectedTechnology)</f>
        <v>1</v>
      </c>
      <c r="J619" s="14" t="b">
        <f>OR(Transport_Table[[#This Row],[Data Source]]="All",Transport_Table[[#This Row],[Data Source]]=SelectedDataSource)</f>
        <v>0</v>
      </c>
      <c r="L619" s="14" t="b">
        <f>AND(Transport_Table[[#This Row],[Show Feedstock]:[Show Data Source]],NOT(Transport_Table[[#This Row],[Hide Column]]))</f>
        <v>0</v>
      </c>
      <c r="M619" s="14" t="s">
        <v>429</v>
      </c>
      <c r="N619" s="14" t="s">
        <v>1161</v>
      </c>
      <c r="O619" s="14" t="s">
        <v>1243</v>
      </c>
      <c r="P619" s="178" t="s">
        <v>1700</v>
      </c>
      <c r="Q619" s="165" t="s">
        <v>1938</v>
      </c>
      <c r="R619" s="199">
        <v>0.08</v>
      </c>
      <c r="S619" s="395">
        <v>519.99854667279999</v>
      </c>
      <c r="T619" s="107"/>
    </row>
    <row r="620" spans="1:20" x14ac:dyDescent="0.3">
      <c r="A620" t="s">
        <v>876</v>
      </c>
      <c r="B620" t="s">
        <v>30</v>
      </c>
      <c r="C620" t="s">
        <v>194</v>
      </c>
      <c r="D620" s="14" t="s">
        <v>1343</v>
      </c>
      <c r="E620" s="178" t="s">
        <v>31</v>
      </c>
      <c r="F620" s="14" t="b">
        <f>OR(Transport_Table[[#This Row],[Feedstock]]="All",Transport_Table[[#This Row],[Feedstock]]=SelectedFeedstock)</f>
        <v>0</v>
      </c>
      <c r="G620" s="14" t="b">
        <f>OR(Transport_Table[[#This Row],[Conversion]]="All",Transport_Table[[#This Row],[Conversion]]=SelectedConversion)</f>
        <v>1</v>
      </c>
      <c r="H620" s="14" t="b">
        <f>OR(Transport_Table[[#This Row],[Data Set]]="All",Transport_Table[[#This Row],[Data Set]]=SelectedDataSet)</f>
        <v>0</v>
      </c>
      <c r="I620" s="14" t="b">
        <f>OR(Transport_Table[[#This Row],[Technology]]="All",Transport_Table[[#This Row],[Technology]]=SelectedTechnology)</f>
        <v>1</v>
      </c>
      <c r="J620" s="14" t="b">
        <f>OR(Transport_Table[[#This Row],[Data Source]]="All",Transport_Table[[#This Row],[Data Source]]=SelectedDataSource)</f>
        <v>0</v>
      </c>
      <c r="L620" s="14" t="b">
        <f>AND(Transport_Table[[#This Row],[Show Feedstock]:[Show Data Source]],NOT(Transport_Table[[#This Row],[Hide Column]]))</f>
        <v>0</v>
      </c>
      <c r="M620" s="14" t="s">
        <v>429</v>
      </c>
      <c r="N620" s="14" t="s">
        <v>1162</v>
      </c>
      <c r="O620" s="14" t="s">
        <v>1244</v>
      </c>
      <c r="P620" s="178" t="s">
        <v>1700</v>
      </c>
      <c r="Q620" s="165" t="s">
        <v>1942</v>
      </c>
      <c r="R620" s="199">
        <v>0</v>
      </c>
      <c r="S620" s="394">
        <v>0</v>
      </c>
      <c r="T620" s="107"/>
    </row>
    <row r="621" spans="1:20" x14ac:dyDescent="0.3">
      <c r="A621" t="s">
        <v>876</v>
      </c>
      <c r="B621" t="s">
        <v>30</v>
      </c>
      <c r="C621" t="s">
        <v>194</v>
      </c>
      <c r="D621" s="14" t="s">
        <v>1343</v>
      </c>
      <c r="E621" s="178" t="s">
        <v>31</v>
      </c>
      <c r="F621" s="14" t="b">
        <f>OR(Transport_Table[[#This Row],[Feedstock]]="All",Transport_Table[[#This Row],[Feedstock]]=SelectedFeedstock)</f>
        <v>0</v>
      </c>
      <c r="G621" s="14" t="b">
        <f>OR(Transport_Table[[#This Row],[Conversion]]="All",Transport_Table[[#This Row],[Conversion]]=SelectedConversion)</f>
        <v>1</v>
      </c>
      <c r="H621" s="14" t="b">
        <f>OR(Transport_Table[[#This Row],[Data Set]]="All",Transport_Table[[#This Row],[Data Set]]=SelectedDataSet)</f>
        <v>0</v>
      </c>
      <c r="I621" s="14" t="b">
        <f>OR(Transport_Table[[#This Row],[Technology]]="All",Transport_Table[[#This Row],[Technology]]=SelectedTechnology)</f>
        <v>1</v>
      </c>
      <c r="J621" s="14" t="b">
        <f>OR(Transport_Table[[#This Row],[Data Source]]="All",Transport_Table[[#This Row],[Data Source]]=SelectedDataSource)</f>
        <v>0</v>
      </c>
      <c r="L621" s="14" t="b">
        <f>AND(Transport_Table[[#This Row],[Show Feedstock]:[Show Data Source]],NOT(Transport_Table[[#This Row],[Hide Column]]))</f>
        <v>0</v>
      </c>
      <c r="M621" s="14" t="s">
        <v>429</v>
      </c>
      <c r="N621" s="14" t="s">
        <v>1163</v>
      </c>
      <c r="O621" s="14" t="s">
        <v>1245</v>
      </c>
      <c r="P621" s="178" t="s">
        <v>1700</v>
      </c>
      <c r="Q621" s="165" t="s">
        <v>1939</v>
      </c>
      <c r="R621" s="199">
        <v>0.28999999999999998</v>
      </c>
      <c r="S621" s="395">
        <v>799.99776411200003</v>
      </c>
      <c r="T621" s="107"/>
    </row>
    <row r="622" spans="1:20" x14ac:dyDescent="0.3">
      <c r="A622" t="s">
        <v>876</v>
      </c>
      <c r="B622" t="s">
        <v>30</v>
      </c>
      <c r="C622" t="s">
        <v>194</v>
      </c>
      <c r="D622" s="14" t="s">
        <v>1343</v>
      </c>
      <c r="E622" s="178" t="s">
        <v>31</v>
      </c>
      <c r="F622" s="14" t="b">
        <f>OR(Transport_Table[[#This Row],[Feedstock]]="All",Transport_Table[[#This Row],[Feedstock]]=SelectedFeedstock)</f>
        <v>0</v>
      </c>
      <c r="G622" s="14" t="b">
        <f>OR(Transport_Table[[#This Row],[Conversion]]="All",Transport_Table[[#This Row],[Conversion]]=SelectedConversion)</f>
        <v>1</v>
      </c>
      <c r="H622" s="14" t="b">
        <f>OR(Transport_Table[[#This Row],[Data Set]]="All",Transport_Table[[#This Row],[Data Set]]=SelectedDataSet)</f>
        <v>0</v>
      </c>
      <c r="I622" s="14" t="b">
        <f>OR(Transport_Table[[#This Row],[Technology]]="All",Transport_Table[[#This Row],[Technology]]=SelectedTechnology)</f>
        <v>1</v>
      </c>
      <c r="J622" s="14" t="b">
        <f>OR(Transport_Table[[#This Row],[Data Source]]="All",Transport_Table[[#This Row],[Data Source]]=SelectedDataSource)</f>
        <v>0</v>
      </c>
      <c r="L622" s="14" t="b">
        <f>AND(Transport_Table[[#This Row],[Show Feedstock]:[Show Data Source]],NOT(Transport_Table[[#This Row],[Hide Column]]))</f>
        <v>0</v>
      </c>
      <c r="M622" s="14" t="s">
        <v>429</v>
      </c>
      <c r="N622" s="14" t="s">
        <v>1164</v>
      </c>
      <c r="O622" s="14" t="s">
        <v>1246</v>
      </c>
      <c r="P622" s="178" t="s">
        <v>1700</v>
      </c>
      <c r="Q622" s="165" t="s">
        <v>1940</v>
      </c>
      <c r="R622" s="199">
        <v>0.63</v>
      </c>
      <c r="S622" s="395">
        <v>49.999860257000002</v>
      </c>
      <c r="T622" s="107"/>
    </row>
    <row r="623" spans="1:20" x14ac:dyDescent="0.3">
      <c r="A623" t="s">
        <v>876</v>
      </c>
      <c r="B623" t="s">
        <v>30</v>
      </c>
      <c r="C623" t="s">
        <v>194</v>
      </c>
      <c r="D623" s="14" t="s">
        <v>1343</v>
      </c>
      <c r="E623" s="178" t="s">
        <v>31</v>
      </c>
      <c r="F623" s="14" t="b">
        <f>OR(Transport_Table[[#This Row],[Feedstock]]="All",Transport_Table[[#This Row],[Feedstock]]=SelectedFeedstock)</f>
        <v>0</v>
      </c>
      <c r="G623" s="14" t="b">
        <f>OR(Transport_Table[[#This Row],[Conversion]]="All",Transport_Table[[#This Row],[Conversion]]=SelectedConversion)</f>
        <v>1</v>
      </c>
      <c r="H623" s="14" t="b">
        <f>OR(Transport_Table[[#This Row],[Data Set]]="All",Transport_Table[[#This Row],[Data Set]]=SelectedDataSet)</f>
        <v>0</v>
      </c>
      <c r="I623" s="14" t="b">
        <f>OR(Transport_Table[[#This Row],[Technology]]="All",Transport_Table[[#This Row],[Technology]]=SelectedTechnology)</f>
        <v>1</v>
      </c>
      <c r="J623" s="14" t="b">
        <f>OR(Transport_Table[[#This Row],[Data Source]]="All",Transport_Table[[#This Row],[Data Source]]=SelectedDataSource)</f>
        <v>0</v>
      </c>
      <c r="L623" s="14" t="b">
        <f>AND(Transport_Table[[#This Row],[Show Feedstock]:[Show Data Source]],NOT(Transport_Table[[#This Row],[Hide Column]]))</f>
        <v>0</v>
      </c>
      <c r="M623" s="14" t="s">
        <v>429</v>
      </c>
      <c r="N623" s="14" t="s">
        <v>1165</v>
      </c>
      <c r="O623" s="14" t="s">
        <v>1247</v>
      </c>
      <c r="P623" s="178" t="s">
        <v>1701</v>
      </c>
      <c r="Q623" s="165" t="s">
        <v>1940</v>
      </c>
      <c r="R623" s="199">
        <v>1</v>
      </c>
      <c r="S623" s="395">
        <v>29.999916154200001</v>
      </c>
      <c r="T623" s="107"/>
    </row>
    <row r="624" spans="1:20" x14ac:dyDescent="0.3">
      <c r="A624" t="s">
        <v>881</v>
      </c>
      <c r="B624" t="s">
        <v>129</v>
      </c>
      <c r="C624" t="s">
        <v>194</v>
      </c>
      <c r="D624" t="s">
        <v>1335</v>
      </c>
      <c r="E624" s="178" t="s">
        <v>31</v>
      </c>
      <c r="F624" s="14" t="b">
        <f>OR(Transport_Table[[#This Row],[Feedstock]]="All",Transport_Table[[#This Row],[Feedstock]]=SelectedFeedstock)</f>
        <v>0</v>
      </c>
      <c r="G624" s="14" t="b">
        <f>OR(Transport_Table[[#This Row],[Conversion]]="All",Transport_Table[[#This Row],[Conversion]]=SelectedConversion)</f>
        <v>0</v>
      </c>
      <c r="H624" s="14" t="b">
        <f>OR(Transport_Table[[#This Row],[Data Set]]="All",Transport_Table[[#This Row],[Data Set]]=SelectedDataSet)</f>
        <v>0</v>
      </c>
      <c r="I624" s="14" t="b">
        <f>OR(Transport_Table[[#This Row],[Technology]]="All",Transport_Table[[#This Row],[Technology]]=SelectedTechnology)</f>
        <v>1</v>
      </c>
      <c r="J624" s="14" t="b">
        <f>OR(Transport_Table[[#This Row],[Data Source]]="All",Transport_Table[[#This Row],[Data Source]]=SelectedDataSource)</f>
        <v>0</v>
      </c>
      <c r="K624" s="14" t="b">
        <v>1</v>
      </c>
      <c r="L624" s="14" t="b">
        <f>AND(Transport_Table[[#This Row],[Show Feedstock]:[Show Data Source]],NOT(Transport_Table[[#This Row],[Hide Column]]))</f>
        <v>0</v>
      </c>
      <c r="M624" s="14" t="s">
        <v>14</v>
      </c>
      <c r="N624" s="14" t="s">
        <v>1233</v>
      </c>
      <c r="O624" s="14" t="s">
        <v>1315</v>
      </c>
      <c r="P624" t="s">
        <v>881</v>
      </c>
      <c r="Q624" s="165" t="s">
        <v>1940</v>
      </c>
      <c r="R624" s="199">
        <v>1</v>
      </c>
      <c r="S624" s="395">
        <v>50</v>
      </c>
      <c r="T624" s="107"/>
    </row>
    <row r="625" spans="1:20" x14ac:dyDescent="0.3">
      <c r="A625" t="s">
        <v>881</v>
      </c>
      <c r="B625" t="s">
        <v>129</v>
      </c>
      <c r="C625" t="s">
        <v>194</v>
      </c>
      <c r="D625" t="s">
        <v>1335</v>
      </c>
      <c r="E625" s="178" t="s">
        <v>31</v>
      </c>
      <c r="F625" s="14" t="b">
        <f>OR(Transport_Table[[#This Row],[Feedstock]]="All",Transport_Table[[#This Row],[Feedstock]]=SelectedFeedstock)</f>
        <v>0</v>
      </c>
      <c r="G625" s="14" t="b">
        <f>OR(Transport_Table[[#This Row],[Conversion]]="All",Transport_Table[[#This Row],[Conversion]]=SelectedConversion)</f>
        <v>0</v>
      </c>
      <c r="H625" s="14" t="b">
        <f>OR(Transport_Table[[#This Row],[Data Set]]="All",Transport_Table[[#This Row],[Data Set]]=SelectedDataSet)</f>
        <v>0</v>
      </c>
      <c r="I625" s="14" t="b">
        <f>OR(Transport_Table[[#This Row],[Technology]]="All",Transport_Table[[#This Row],[Technology]]=SelectedTechnology)</f>
        <v>1</v>
      </c>
      <c r="J625" s="14" t="b">
        <f>OR(Transport_Table[[#This Row],[Data Source]]="All",Transport_Table[[#This Row],[Data Source]]=SelectedDataSource)</f>
        <v>0</v>
      </c>
      <c r="L625" s="14" t="b">
        <f>AND(Transport_Table[[#This Row],[Show Feedstock]:[Show Data Source]],NOT(Transport_Table[[#This Row],[Hide Column]]))</f>
        <v>0</v>
      </c>
      <c r="M625" s="14" t="s">
        <v>14</v>
      </c>
      <c r="N625" s="14" t="s">
        <v>1207</v>
      </c>
      <c r="O625" s="14" t="s">
        <v>1289</v>
      </c>
      <c r="P625" s="178" t="s">
        <v>1700</v>
      </c>
      <c r="Q625" s="165" t="s">
        <v>1938</v>
      </c>
      <c r="R625" s="199">
        <v>0.33</v>
      </c>
      <c r="S625" s="395">
        <v>520.08752700000002</v>
      </c>
      <c r="T625" s="107"/>
    </row>
    <row r="626" spans="1:20" x14ac:dyDescent="0.3">
      <c r="A626" t="s">
        <v>881</v>
      </c>
      <c r="B626" t="s">
        <v>129</v>
      </c>
      <c r="C626" t="s">
        <v>194</v>
      </c>
      <c r="D626" t="s">
        <v>1335</v>
      </c>
      <c r="E626" s="178" t="s">
        <v>31</v>
      </c>
      <c r="F626" s="14" t="b">
        <f>OR(Transport_Table[[#This Row],[Feedstock]]="All",Transport_Table[[#This Row],[Feedstock]]=SelectedFeedstock)</f>
        <v>0</v>
      </c>
      <c r="G626" s="14" t="b">
        <f>OR(Transport_Table[[#This Row],[Conversion]]="All",Transport_Table[[#This Row],[Conversion]]=SelectedConversion)</f>
        <v>0</v>
      </c>
      <c r="H626" s="14" t="b">
        <f>OR(Transport_Table[[#This Row],[Data Set]]="All",Transport_Table[[#This Row],[Data Set]]=SelectedDataSet)</f>
        <v>0</v>
      </c>
      <c r="I626" s="14" t="b">
        <f>OR(Transport_Table[[#This Row],[Technology]]="All",Transport_Table[[#This Row],[Technology]]=SelectedTechnology)</f>
        <v>1</v>
      </c>
      <c r="J626" s="14" t="b">
        <f>OR(Transport_Table[[#This Row],[Data Source]]="All",Transport_Table[[#This Row],[Data Source]]=SelectedDataSource)</f>
        <v>0</v>
      </c>
      <c r="L626" s="14" t="b">
        <f>AND(Transport_Table[[#This Row],[Show Feedstock]:[Show Data Source]],NOT(Transport_Table[[#This Row],[Hide Column]]))</f>
        <v>0</v>
      </c>
      <c r="M626" s="14" t="s">
        <v>14</v>
      </c>
      <c r="N626" s="14" t="s">
        <v>1208</v>
      </c>
      <c r="O626" s="14" t="s">
        <v>1290</v>
      </c>
      <c r="P626" s="178" t="s">
        <v>1700</v>
      </c>
      <c r="Q626" s="165" t="s">
        <v>1942</v>
      </c>
      <c r="R626" s="199">
        <v>0.6</v>
      </c>
      <c r="S626" s="395">
        <v>400.16292400000003</v>
      </c>
      <c r="T626" s="107"/>
    </row>
    <row r="627" spans="1:20" x14ac:dyDescent="0.3">
      <c r="A627" t="s">
        <v>881</v>
      </c>
      <c r="B627" t="s">
        <v>129</v>
      </c>
      <c r="C627" t="s">
        <v>194</v>
      </c>
      <c r="D627" t="s">
        <v>1335</v>
      </c>
      <c r="E627" s="178" t="s">
        <v>31</v>
      </c>
      <c r="F627" s="14" t="b">
        <f>OR(Transport_Table[[#This Row],[Feedstock]]="All",Transport_Table[[#This Row],[Feedstock]]=SelectedFeedstock)</f>
        <v>0</v>
      </c>
      <c r="G627" s="14" t="b">
        <f>OR(Transport_Table[[#This Row],[Conversion]]="All",Transport_Table[[#This Row],[Conversion]]=SelectedConversion)</f>
        <v>0</v>
      </c>
      <c r="H627" s="14" t="b">
        <f>OR(Transport_Table[[#This Row],[Data Set]]="All",Transport_Table[[#This Row],[Data Set]]=SelectedDataSet)</f>
        <v>0</v>
      </c>
      <c r="I627" s="14" t="b">
        <f>OR(Transport_Table[[#This Row],[Technology]]="All",Transport_Table[[#This Row],[Technology]]=SelectedTechnology)</f>
        <v>1</v>
      </c>
      <c r="J627" s="14" t="b">
        <f>OR(Transport_Table[[#This Row],[Data Source]]="All",Transport_Table[[#This Row],[Data Source]]=SelectedDataSource)</f>
        <v>0</v>
      </c>
      <c r="L627" s="14" t="b">
        <f>AND(Transport_Table[[#This Row],[Show Feedstock]:[Show Data Source]],NOT(Transport_Table[[#This Row],[Hide Column]]))</f>
        <v>0</v>
      </c>
      <c r="M627" s="14" t="s">
        <v>14</v>
      </c>
      <c r="N627" s="14" t="s">
        <v>1209</v>
      </c>
      <c r="O627" s="14" t="s">
        <v>1291</v>
      </c>
      <c r="P627" s="178" t="s">
        <v>1700</v>
      </c>
      <c r="Q627" s="165" t="s">
        <v>1939</v>
      </c>
      <c r="R627" s="199">
        <v>7.0000000000000007E-2</v>
      </c>
      <c r="S627" s="395">
        <v>800.32584800000006</v>
      </c>
      <c r="T627" s="107"/>
    </row>
    <row r="628" spans="1:20" x14ac:dyDescent="0.3">
      <c r="A628" t="s">
        <v>881</v>
      </c>
      <c r="B628" t="s">
        <v>129</v>
      </c>
      <c r="C628" t="s">
        <v>194</v>
      </c>
      <c r="D628" t="s">
        <v>1335</v>
      </c>
      <c r="E628" s="178" t="s">
        <v>31</v>
      </c>
      <c r="F628" s="14" t="b">
        <f>OR(Transport_Table[[#This Row],[Feedstock]]="All",Transport_Table[[#This Row],[Feedstock]]=SelectedFeedstock)</f>
        <v>0</v>
      </c>
      <c r="G628" s="14" t="b">
        <f>OR(Transport_Table[[#This Row],[Conversion]]="All",Transport_Table[[#This Row],[Conversion]]=SelectedConversion)</f>
        <v>0</v>
      </c>
      <c r="H628" s="14" t="b">
        <f>OR(Transport_Table[[#This Row],[Data Set]]="All",Transport_Table[[#This Row],[Data Set]]=SelectedDataSet)</f>
        <v>0</v>
      </c>
      <c r="I628" s="14" t="b">
        <f>OR(Transport_Table[[#This Row],[Technology]]="All",Transport_Table[[#This Row],[Technology]]=SelectedTechnology)</f>
        <v>1</v>
      </c>
      <c r="J628" s="14" t="b">
        <f>OR(Transport_Table[[#This Row],[Data Source]]="All",Transport_Table[[#This Row],[Data Source]]=SelectedDataSource)</f>
        <v>0</v>
      </c>
      <c r="L628" s="14" t="b">
        <f>AND(Transport_Table[[#This Row],[Show Feedstock]:[Show Data Source]],NOT(Transport_Table[[#This Row],[Hide Column]]))</f>
        <v>0</v>
      </c>
      <c r="M628" s="14" t="s">
        <v>14</v>
      </c>
      <c r="N628" s="14" t="s">
        <v>1210</v>
      </c>
      <c r="O628" s="14" t="s">
        <v>1292</v>
      </c>
      <c r="P628" s="178" t="s">
        <v>1700</v>
      </c>
      <c r="Q628" s="165" t="s">
        <v>1940</v>
      </c>
      <c r="R628" s="199">
        <v>1</v>
      </c>
      <c r="S628" s="395">
        <v>29.999916154200001</v>
      </c>
      <c r="T628" s="107"/>
    </row>
    <row r="629" spans="1:20" x14ac:dyDescent="0.3">
      <c r="A629" t="s">
        <v>881</v>
      </c>
      <c r="B629" t="s">
        <v>129</v>
      </c>
      <c r="C629" t="s">
        <v>194</v>
      </c>
      <c r="D629" t="s">
        <v>1336</v>
      </c>
      <c r="E629" s="178" t="s">
        <v>31</v>
      </c>
      <c r="F629" s="14" t="b">
        <f>OR(Transport_Table[[#This Row],[Feedstock]]="All",Transport_Table[[#This Row],[Feedstock]]=SelectedFeedstock)</f>
        <v>0</v>
      </c>
      <c r="G629" s="14" t="b">
        <f>OR(Transport_Table[[#This Row],[Conversion]]="All",Transport_Table[[#This Row],[Conversion]]=SelectedConversion)</f>
        <v>0</v>
      </c>
      <c r="H629" s="14" t="b">
        <f>OR(Transport_Table[[#This Row],[Data Set]]="All",Transport_Table[[#This Row],[Data Set]]=SelectedDataSet)</f>
        <v>0</v>
      </c>
      <c r="I629" s="14" t="b">
        <f>OR(Transport_Table[[#This Row],[Technology]]="All",Transport_Table[[#This Row],[Technology]]=SelectedTechnology)</f>
        <v>1</v>
      </c>
      <c r="J629" s="14" t="b">
        <f>OR(Transport_Table[[#This Row],[Data Source]]="All",Transport_Table[[#This Row],[Data Source]]=SelectedDataSource)</f>
        <v>0</v>
      </c>
      <c r="K629" s="14" t="b">
        <v>1</v>
      </c>
      <c r="L629" s="14" t="b">
        <f>AND(Transport_Table[[#This Row],[Show Feedstock]:[Show Data Source]],NOT(Transport_Table[[#This Row],[Hide Column]]))</f>
        <v>0</v>
      </c>
      <c r="M629" s="14" t="s">
        <v>14</v>
      </c>
      <c r="N629" s="14" t="s">
        <v>1233</v>
      </c>
      <c r="O629" s="14" t="s">
        <v>1315</v>
      </c>
      <c r="P629" t="s">
        <v>881</v>
      </c>
      <c r="Q629" s="165" t="s">
        <v>1940</v>
      </c>
      <c r="R629" s="199">
        <v>1</v>
      </c>
      <c r="S629" s="395">
        <v>310.68636832490336</v>
      </c>
      <c r="T629" s="107"/>
    </row>
    <row r="630" spans="1:20" x14ac:dyDescent="0.3">
      <c r="A630" t="s">
        <v>881</v>
      </c>
      <c r="B630" t="s">
        <v>129</v>
      </c>
      <c r="C630" t="s">
        <v>194</v>
      </c>
      <c r="D630" t="s">
        <v>1336</v>
      </c>
      <c r="E630" s="178" t="s">
        <v>31</v>
      </c>
      <c r="F630" s="14" t="b">
        <f>OR(Transport_Table[[#This Row],[Feedstock]]="All",Transport_Table[[#This Row],[Feedstock]]=SelectedFeedstock)</f>
        <v>0</v>
      </c>
      <c r="G630" s="14" t="b">
        <f>OR(Transport_Table[[#This Row],[Conversion]]="All",Transport_Table[[#This Row],[Conversion]]=SelectedConversion)</f>
        <v>0</v>
      </c>
      <c r="H630" s="14" t="b">
        <f>OR(Transport_Table[[#This Row],[Data Set]]="All",Transport_Table[[#This Row],[Data Set]]=SelectedDataSet)</f>
        <v>0</v>
      </c>
      <c r="I630" s="14" t="b">
        <f>OR(Transport_Table[[#This Row],[Technology]]="All",Transport_Table[[#This Row],[Technology]]=SelectedTechnology)</f>
        <v>1</v>
      </c>
      <c r="J630" s="14" t="b">
        <f>OR(Transport_Table[[#This Row],[Data Source]]="All",Transport_Table[[#This Row],[Data Source]]=SelectedDataSource)</f>
        <v>0</v>
      </c>
      <c r="L630" s="14" t="b">
        <f>AND(Transport_Table[[#This Row],[Show Feedstock]:[Show Data Source]],NOT(Transport_Table[[#This Row],[Hide Column]]))</f>
        <v>0</v>
      </c>
      <c r="M630" s="14" t="s">
        <v>14</v>
      </c>
      <c r="N630" s="14" t="s">
        <v>1207</v>
      </c>
      <c r="O630" s="14" t="s">
        <v>1289</v>
      </c>
      <c r="P630" s="178" t="s">
        <v>1700</v>
      </c>
      <c r="Q630" s="165" t="s">
        <v>1938</v>
      </c>
      <c r="R630" s="199">
        <v>0.33</v>
      </c>
      <c r="S630" s="395">
        <v>520.08752700000002</v>
      </c>
      <c r="T630" s="107"/>
    </row>
    <row r="631" spans="1:20" x14ac:dyDescent="0.3">
      <c r="A631" t="s">
        <v>881</v>
      </c>
      <c r="B631" t="s">
        <v>129</v>
      </c>
      <c r="C631" t="s">
        <v>194</v>
      </c>
      <c r="D631" t="s">
        <v>1336</v>
      </c>
      <c r="E631" s="178" t="s">
        <v>31</v>
      </c>
      <c r="F631" s="14" t="b">
        <f>OR(Transport_Table[[#This Row],[Feedstock]]="All",Transport_Table[[#This Row],[Feedstock]]=SelectedFeedstock)</f>
        <v>0</v>
      </c>
      <c r="G631" s="14" t="b">
        <f>OR(Transport_Table[[#This Row],[Conversion]]="All",Transport_Table[[#This Row],[Conversion]]=SelectedConversion)</f>
        <v>0</v>
      </c>
      <c r="H631" s="14" t="b">
        <f>OR(Transport_Table[[#This Row],[Data Set]]="All",Transport_Table[[#This Row],[Data Set]]=SelectedDataSet)</f>
        <v>0</v>
      </c>
      <c r="I631" s="14" t="b">
        <f>OR(Transport_Table[[#This Row],[Technology]]="All",Transport_Table[[#This Row],[Technology]]=SelectedTechnology)</f>
        <v>1</v>
      </c>
      <c r="J631" s="14" t="b">
        <f>OR(Transport_Table[[#This Row],[Data Source]]="All",Transport_Table[[#This Row],[Data Source]]=SelectedDataSource)</f>
        <v>0</v>
      </c>
      <c r="L631" s="14" t="b">
        <f>AND(Transport_Table[[#This Row],[Show Feedstock]:[Show Data Source]],NOT(Transport_Table[[#This Row],[Hide Column]]))</f>
        <v>0</v>
      </c>
      <c r="M631" s="14" t="s">
        <v>14</v>
      </c>
      <c r="N631" s="14" t="s">
        <v>1208</v>
      </c>
      <c r="O631" s="14" t="s">
        <v>1290</v>
      </c>
      <c r="P631" s="178" t="s">
        <v>1700</v>
      </c>
      <c r="Q631" s="165" t="s">
        <v>1942</v>
      </c>
      <c r="R631" s="199">
        <v>0.6</v>
      </c>
      <c r="S631" s="395">
        <v>400.16292400000003</v>
      </c>
      <c r="T631" s="107"/>
    </row>
    <row r="632" spans="1:20" x14ac:dyDescent="0.3">
      <c r="A632" t="s">
        <v>881</v>
      </c>
      <c r="B632" t="s">
        <v>129</v>
      </c>
      <c r="C632" t="s">
        <v>194</v>
      </c>
      <c r="D632" t="s">
        <v>1336</v>
      </c>
      <c r="E632" s="178" t="s">
        <v>31</v>
      </c>
      <c r="F632" s="14" t="b">
        <f>OR(Transport_Table[[#This Row],[Feedstock]]="All",Transport_Table[[#This Row],[Feedstock]]=SelectedFeedstock)</f>
        <v>0</v>
      </c>
      <c r="G632" s="14" t="b">
        <f>OR(Transport_Table[[#This Row],[Conversion]]="All",Transport_Table[[#This Row],[Conversion]]=SelectedConversion)</f>
        <v>0</v>
      </c>
      <c r="H632" s="14" t="b">
        <f>OR(Transport_Table[[#This Row],[Data Set]]="All",Transport_Table[[#This Row],[Data Set]]=SelectedDataSet)</f>
        <v>0</v>
      </c>
      <c r="I632" s="14" t="b">
        <f>OR(Transport_Table[[#This Row],[Technology]]="All",Transport_Table[[#This Row],[Technology]]=SelectedTechnology)</f>
        <v>1</v>
      </c>
      <c r="J632" s="14" t="b">
        <f>OR(Transport_Table[[#This Row],[Data Source]]="All",Transport_Table[[#This Row],[Data Source]]=SelectedDataSource)</f>
        <v>0</v>
      </c>
      <c r="L632" s="14" t="b">
        <f>AND(Transport_Table[[#This Row],[Show Feedstock]:[Show Data Source]],NOT(Transport_Table[[#This Row],[Hide Column]]))</f>
        <v>0</v>
      </c>
      <c r="M632" s="14" t="s">
        <v>14</v>
      </c>
      <c r="N632" s="14" t="s">
        <v>1209</v>
      </c>
      <c r="O632" s="14" t="s">
        <v>1291</v>
      </c>
      <c r="P632" s="178" t="s">
        <v>1700</v>
      </c>
      <c r="Q632" s="165" t="s">
        <v>1939</v>
      </c>
      <c r="R632" s="199">
        <v>7.0000000000000007E-2</v>
      </c>
      <c r="S632" s="395">
        <v>800.32584800000006</v>
      </c>
      <c r="T632" s="107"/>
    </row>
    <row r="633" spans="1:20" x14ac:dyDescent="0.3">
      <c r="A633" t="s">
        <v>881</v>
      </c>
      <c r="B633" t="s">
        <v>129</v>
      </c>
      <c r="C633" t="s">
        <v>194</v>
      </c>
      <c r="D633" t="s">
        <v>1336</v>
      </c>
      <c r="E633" s="178" t="s">
        <v>31</v>
      </c>
      <c r="F633" s="14" t="b">
        <f>OR(Transport_Table[[#This Row],[Feedstock]]="All",Transport_Table[[#This Row],[Feedstock]]=SelectedFeedstock)</f>
        <v>0</v>
      </c>
      <c r="G633" s="14" t="b">
        <f>OR(Transport_Table[[#This Row],[Conversion]]="All",Transport_Table[[#This Row],[Conversion]]=SelectedConversion)</f>
        <v>0</v>
      </c>
      <c r="H633" s="14" t="b">
        <f>OR(Transport_Table[[#This Row],[Data Set]]="All",Transport_Table[[#This Row],[Data Set]]=SelectedDataSet)</f>
        <v>0</v>
      </c>
      <c r="I633" s="14" t="b">
        <f>OR(Transport_Table[[#This Row],[Technology]]="All",Transport_Table[[#This Row],[Technology]]=SelectedTechnology)</f>
        <v>1</v>
      </c>
      <c r="J633" s="14" t="b">
        <f>OR(Transport_Table[[#This Row],[Data Source]]="All",Transport_Table[[#This Row],[Data Source]]=SelectedDataSource)</f>
        <v>0</v>
      </c>
      <c r="L633" s="14" t="b">
        <f>AND(Transport_Table[[#This Row],[Show Feedstock]:[Show Data Source]],NOT(Transport_Table[[#This Row],[Hide Column]]))</f>
        <v>0</v>
      </c>
      <c r="M633" s="14" t="s">
        <v>14</v>
      </c>
      <c r="N633" s="14" t="s">
        <v>1210</v>
      </c>
      <c r="O633" s="14" t="s">
        <v>1292</v>
      </c>
      <c r="P633" s="178" t="s">
        <v>1700</v>
      </c>
      <c r="Q633" s="165" t="s">
        <v>1940</v>
      </c>
      <c r="R633" s="199">
        <v>1</v>
      </c>
      <c r="S633" s="395">
        <v>29.999916154200001</v>
      </c>
      <c r="T633" s="107"/>
    </row>
    <row r="634" spans="1:20" x14ac:dyDescent="0.3">
      <c r="A634" t="s">
        <v>878</v>
      </c>
      <c r="B634" t="s">
        <v>129</v>
      </c>
      <c r="C634" t="s">
        <v>194</v>
      </c>
      <c r="D634" t="s">
        <v>1335</v>
      </c>
      <c r="E634" s="178" t="s">
        <v>31</v>
      </c>
      <c r="F634" s="14" t="b">
        <f>OR(Transport_Table[[#This Row],[Feedstock]]="All",Transport_Table[[#This Row],[Feedstock]]=SelectedFeedstock)</f>
        <v>0</v>
      </c>
      <c r="G634" s="14" t="b">
        <f>OR(Transport_Table[[#This Row],[Conversion]]="All",Transport_Table[[#This Row],[Conversion]]=SelectedConversion)</f>
        <v>0</v>
      </c>
      <c r="H634" s="14" t="b">
        <f>OR(Transport_Table[[#This Row],[Data Set]]="All",Transport_Table[[#This Row],[Data Set]]=SelectedDataSet)</f>
        <v>0</v>
      </c>
      <c r="I634" s="14" t="b">
        <f>OR(Transport_Table[[#This Row],[Technology]]="All",Transport_Table[[#This Row],[Technology]]=SelectedTechnology)</f>
        <v>1</v>
      </c>
      <c r="J634" s="14" t="b">
        <f>OR(Transport_Table[[#This Row],[Data Source]]="All",Transport_Table[[#This Row],[Data Source]]=SelectedDataSource)</f>
        <v>0</v>
      </c>
      <c r="K634" s="14" t="b">
        <v>1</v>
      </c>
      <c r="L634" s="14" t="b">
        <f>AND(Transport_Table[[#This Row],[Show Feedstock]:[Show Data Source]],NOT(Transport_Table[[#This Row],[Hide Column]]))</f>
        <v>0</v>
      </c>
      <c r="M634" s="14" t="s">
        <v>429</v>
      </c>
      <c r="N634" s="14" t="s">
        <v>1434</v>
      </c>
      <c r="O634" s="14" t="s">
        <v>1435</v>
      </c>
      <c r="P634" t="s">
        <v>878</v>
      </c>
      <c r="Q634" s="165" t="s">
        <v>1953</v>
      </c>
      <c r="R634" s="199">
        <v>1</v>
      </c>
      <c r="S634" s="395">
        <v>20</v>
      </c>
      <c r="T634" s="107"/>
    </row>
    <row r="635" spans="1:20" x14ac:dyDescent="0.3">
      <c r="A635" t="s">
        <v>878</v>
      </c>
      <c r="B635" t="s">
        <v>129</v>
      </c>
      <c r="C635" t="s">
        <v>194</v>
      </c>
      <c r="D635" t="s">
        <v>1335</v>
      </c>
      <c r="E635" s="178" t="s">
        <v>31</v>
      </c>
      <c r="F635" s="14" t="b">
        <f>OR(Transport_Table[[#This Row],[Feedstock]]="All",Transport_Table[[#This Row],[Feedstock]]=SelectedFeedstock)</f>
        <v>0</v>
      </c>
      <c r="G635" s="14" t="b">
        <f>OR(Transport_Table[[#This Row],[Conversion]]="All",Transport_Table[[#This Row],[Conversion]]=SelectedConversion)</f>
        <v>0</v>
      </c>
      <c r="H635" s="14" t="b">
        <f>OR(Transport_Table[[#This Row],[Data Set]]="All",Transport_Table[[#This Row],[Data Set]]=SelectedDataSet)</f>
        <v>0</v>
      </c>
      <c r="I635" s="14" t="b">
        <f>OR(Transport_Table[[#This Row],[Technology]]="All",Transport_Table[[#This Row],[Technology]]=SelectedTechnology)</f>
        <v>1</v>
      </c>
      <c r="J635" s="14" t="b">
        <f>OR(Transport_Table[[#This Row],[Data Source]]="All",Transport_Table[[#This Row],[Data Source]]=SelectedDataSource)</f>
        <v>0</v>
      </c>
      <c r="L635" s="14" t="b">
        <f>AND(Transport_Table[[#This Row],[Show Feedstock]:[Show Data Source]],NOT(Transport_Table[[#This Row],[Hide Column]]))</f>
        <v>0</v>
      </c>
      <c r="M635" s="14" t="s">
        <v>429</v>
      </c>
      <c r="N635" s="14" t="s">
        <v>1207</v>
      </c>
      <c r="O635" s="14" t="s">
        <v>1289</v>
      </c>
      <c r="P635" s="178" t="s">
        <v>1700</v>
      </c>
      <c r="Q635" s="165" t="s">
        <v>1938</v>
      </c>
      <c r="R635" s="199">
        <v>0.33</v>
      </c>
      <c r="S635" s="395">
        <v>520.08752700000002</v>
      </c>
      <c r="T635" s="107"/>
    </row>
    <row r="636" spans="1:20" x14ac:dyDescent="0.3">
      <c r="A636" t="s">
        <v>878</v>
      </c>
      <c r="B636" t="s">
        <v>129</v>
      </c>
      <c r="C636" t="s">
        <v>194</v>
      </c>
      <c r="D636" t="s">
        <v>1335</v>
      </c>
      <c r="E636" s="178" t="s">
        <v>31</v>
      </c>
      <c r="F636" s="14" t="b">
        <f>OR(Transport_Table[[#This Row],[Feedstock]]="All",Transport_Table[[#This Row],[Feedstock]]=SelectedFeedstock)</f>
        <v>0</v>
      </c>
      <c r="G636" s="14" t="b">
        <f>OR(Transport_Table[[#This Row],[Conversion]]="All",Transport_Table[[#This Row],[Conversion]]=SelectedConversion)</f>
        <v>0</v>
      </c>
      <c r="H636" s="14" t="b">
        <f>OR(Transport_Table[[#This Row],[Data Set]]="All",Transport_Table[[#This Row],[Data Set]]=SelectedDataSet)</f>
        <v>0</v>
      </c>
      <c r="I636" s="14" t="b">
        <f>OR(Transport_Table[[#This Row],[Technology]]="All",Transport_Table[[#This Row],[Technology]]=SelectedTechnology)</f>
        <v>1</v>
      </c>
      <c r="J636" s="14" t="b">
        <f>OR(Transport_Table[[#This Row],[Data Source]]="All",Transport_Table[[#This Row],[Data Source]]=SelectedDataSource)</f>
        <v>0</v>
      </c>
      <c r="L636" s="14" t="b">
        <f>AND(Transport_Table[[#This Row],[Show Feedstock]:[Show Data Source]],NOT(Transport_Table[[#This Row],[Hide Column]]))</f>
        <v>0</v>
      </c>
      <c r="M636" s="14" t="s">
        <v>429</v>
      </c>
      <c r="N636" s="14" t="s">
        <v>1208</v>
      </c>
      <c r="O636" s="14" t="s">
        <v>1290</v>
      </c>
      <c r="P636" s="178" t="s">
        <v>1700</v>
      </c>
      <c r="Q636" s="165" t="s">
        <v>1942</v>
      </c>
      <c r="R636" s="199">
        <v>0.6</v>
      </c>
      <c r="S636" s="395">
        <v>400.16292400000003</v>
      </c>
      <c r="T636" s="107"/>
    </row>
    <row r="637" spans="1:20" x14ac:dyDescent="0.3">
      <c r="A637" t="s">
        <v>878</v>
      </c>
      <c r="B637" t="s">
        <v>129</v>
      </c>
      <c r="C637" t="s">
        <v>194</v>
      </c>
      <c r="D637" t="s">
        <v>1335</v>
      </c>
      <c r="E637" s="178" t="s">
        <v>31</v>
      </c>
      <c r="F637" s="14" t="b">
        <f>OR(Transport_Table[[#This Row],[Feedstock]]="All",Transport_Table[[#This Row],[Feedstock]]=SelectedFeedstock)</f>
        <v>0</v>
      </c>
      <c r="G637" s="14" t="b">
        <f>OR(Transport_Table[[#This Row],[Conversion]]="All",Transport_Table[[#This Row],[Conversion]]=SelectedConversion)</f>
        <v>0</v>
      </c>
      <c r="H637" s="14" t="b">
        <f>OR(Transport_Table[[#This Row],[Data Set]]="All",Transport_Table[[#This Row],[Data Set]]=SelectedDataSet)</f>
        <v>0</v>
      </c>
      <c r="I637" s="14" t="b">
        <f>OR(Transport_Table[[#This Row],[Technology]]="All",Transport_Table[[#This Row],[Technology]]=SelectedTechnology)</f>
        <v>1</v>
      </c>
      <c r="J637" s="14" t="b">
        <f>OR(Transport_Table[[#This Row],[Data Source]]="All",Transport_Table[[#This Row],[Data Source]]=SelectedDataSource)</f>
        <v>0</v>
      </c>
      <c r="L637" s="14" t="b">
        <f>AND(Transport_Table[[#This Row],[Show Feedstock]:[Show Data Source]],NOT(Transport_Table[[#This Row],[Hide Column]]))</f>
        <v>0</v>
      </c>
      <c r="M637" s="14" t="s">
        <v>429</v>
      </c>
      <c r="N637" s="14" t="s">
        <v>1209</v>
      </c>
      <c r="O637" s="14" t="s">
        <v>1291</v>
      </c>
      <c r="P637" s="178" t="s">
        <v>1700</v>
      </c>
      <c r="Q637" s="165" t="s">
        <v>1939</v>
      </c>
      <c r="R637" s="199">
        <v>7.0000000000000007E-2</v>
      </c>
      <c r="S637" s="395">
        <v>800.32584800000006</v>
      </c>
      <c r="T637" s="107"/>
    </row>
    <row r="638" spans="1:20" x14ac:dyDescent="0.3">
      <c r="A638" t="s">
        <v>878</v>
      </c>
      <c r="B638" t="s">
        <v>129</v>
      </c>
      <c r="C638" t="s">
        <v>194</v>
      </c>
      <c r="D638" t="s">
        <v>1335</v>
      </c>
      <c r="E638" s="178" t="s">
        <v>31</v>
      </c>
      <c r="F638" s="14" t="b">
        <f>OR(Transport_Table[[#This Row],[Feedstock]]="All",Transport_Table[[#This Row],[Feedstock]]=SelectedFeedstock)</f>
        <v>0</v>
      </c>
      <c r="G638" s="14" t="b">
        <f>OR(Transport_Table[[#This Row],[Conversion]]="All",Transport_Table[[#This Row],[Conversion]]=SelectedConversion)</f>
        <v>0</v>
      </c>
      <c r="H638" s="14" t="b">
        <f>OR(Transport_Table[[#This Row],[Data Set]]="All",Transport_Table[[#This Row],[Data Set]]=SelectedDataSet)</f>
        <v>0</v>
      </c>
      <c r="I638" s="14" t="b">
        <f>OR(Transport_Table[[#This Row],[Technology]]="All",Transport_Table[[#This Row],[Technology]]=SelectedTechnology)</f>
        <v>1</v>
      </c>
      <c r="J638" s="14" t="b">
        <f>OR(Transport_Table[[#This Row],[Data Source]]="All",Transport_Table[[#This Row],[Data Source]]=SelectedDataSource)</f>
        <v>0</v>
      </c>
      <c r="L638" s="14" t="b">
        <f>AND(Transport_Table[[#This Row],[Show Feedstock]:[Show Data Source]],NOT(Transport_Table[[#This Row],[Hide Column]]))</f>
        <v>0</v>
      </c>
      <c r="M638" s="14" t="s">
        <v>429</v>
      </c>
      <c r="N638" s="14" t="s">
        <v>1210</v>
      </c>
      <c r="O638" s="14" t="s">
        <v>1292</v>
      </c>
      <c r="P638" s="178" t="s">
        <v>1700</v>
      </c>
      <c r="Q638" s="165" t="s">
        <v>1940</v>
      </c>
      <c r="R638" s="199">
        <v>1</v>
      </c>
      <c r="S638" s="395">
        <v>29.999916154200001</v>
      </c>
      <c r="T638" s="107"/>
    </row>
    <row r="639" spans="1:20" x14ac:dyDescent="0.3">
      <c r="A639" t="s">
        <v>447</v>
      </c>
      <c r="B639" t="s">
        <v>1964</v>
      </c>
      <c r="C639" t="s">
        <v>194</v>
      </c>
      <c r="D639" t="s">
        <v>377</v>
      </c>
      <c r="E639" s="178" t="s">
        <v>31</v>
      </c>
      <c r="F639" s="14" t="b">
        <f>OR(Transport_Table[[#This Row],[Feedstock]]="All",Transport_Table[[#This Row],[Feedstock]]=SelectedFeedstock)</f>
        <v>0</v>
      </c>
      <c r="G639" s="14" t="b">
        <f>OR(Transport_Table[[#This Row],[Conversion]]="All",Transport_Table[[#This Row],[Conversion]]=SelectedConversion)</f>
        <v>0</v>
      </c>
      <c r="H639" s="14" t="b">
        <f>OR(Transport_Table[[#This Row],[Data Set]]="All",Transport_Table[[#This Row],[Data Set]]=SelectedDataSet)</f>
        <v>0</v>
      </c>
      <c r="I639" s="14" t="b">
        <f>OR(Transport_Table[[#This Row],[Technology]]="All",Transport_Table[[#This Row],[Technology]]=SelectedTechnology)</f>
        <v>1</v>
      </c>
      <c r="J639" s="14" t="b">
        <f>OR(Transport_Table[[#This Row],[Data Source]]="All",Transport_Table[[#This Row],[Data Source]]=SelectedDataSource)</f>
        <v>0</v>
      </c>
      <c r="K639" s="14" t="b">
        <v>1</v>
      </c>
      <c r="L639" s="14" t="b">
        <f>AND(Transport_Table[[#This Row],[Show Feedstock]:[Show Data Source]],NOT(Transport_Table[[#This Row],[Hide Column]]))</f>
        <v>0</v>
      </c>
      <c r="M639" s="14" t="s">
        <v>14</v>
      </c>
      <c r="N639" s="14" t="s">
        <v>1234</v>
      </c>
      <c r="O639" s="14" t="s">
        <v>1316</v>
      </c>
      <c r="P639" t="s">
        <v>447</v>
      </c>
      <c r="Q639" s="165" t="s">
        <v>1940</v>
      </c>
      <c r="R639" s="199">
        <v>1</v>
      </c>
      <c r="S639" s="395">
        <v>11.999966461680001</v>
      </c>
      <c r="T639" s="107"/>
    </row>
    <row r="640" spans="1:20" x14ac:dyDescent="0.3">
      <c r="A640" t="s">
        <v>447</v>
      </c>
      <c r="B640" t="s">
        <v>1964</v>
      </c>
      <c r="C640" t="s">
        <v>194</v>
      </c>
      <c r="D640" t="s">
        <v>377</v>
      </c>
      <c r="E640" s="178" t="s">
        <v>31</v>
      </c>
      <c r="F640" s="14" t="b">
        <f>OR(Transport_Table[[#This Row],[Feedstock]]="All",Transport_Table[[#This Row],[Feedstock]]=SelectedFeedstock)</f>
        <v>0</v>
      </c>
      <c r="G640" s="14" t="b">
        <f>OR(Transport_Table[[#This Row],[Conversion]]="All",Transport_Table[[#This Row],[Conversion]]=SelectedConversion)</f>
        <v>0</v>
      </c>
      <c r="H640" s="14" t="b">
        <f>OR(Transport_Table[[#This Row],[Data Set]]="All",Transport_Table[[#This Row],[Data Set]]=SelectedDataSet)</f>
        <v>0</v>
      </c>
      <c r="I640" s="14" t="b">
        <f>OR(Transport_Table[[#This Row],[Technology]]="All",Transport_Table[[#This Row],[Technology]]=SelectedTechnology)</f>
        <v>1</v>
      </c>
      <c r="J640" s="14" t="b">
        <f>OR(Transport_Table[[#This Row],[Data Source]]="All",Transport_Table[[#This Row],[Data Source]]=SelectedDataSource)</f>
        <v>0</v>
      </c>
      <c r="L640" s="14" t="b">
        <f>AND(Transport_Table[[#This Row],[Show Feedstock]:[Show Data Source]],NOT(Transport_Table[[#This Row],[Hide Column]]))</f>
        <v>0</v>
      </c>
      <c r="M640" s="14" t="s">
        <v>14</v>
      </c>
      <c r="N640" s="14" t="s">
        <v>1219</v>
      </c>
      <c r="O640" s="14" t="s">
        <v>1301</v>
      </c>
      <c r="P640" s="178" t="s">
        <v>1700</v>
      </c>
      <c r="Q640" s="165" t="s">
        <v>1938</v>
      </c>
      <c r="R640" s="199">
        <v>0.08</v>
      </c>
      <c r="S640" s="395">
        <v>519.99854667279999</v>
      </c>
      <c r="T640" s="107"/>
    </row>
    <row r="641" spans="1:20" x14ac:dyDescent="0.3">
      <c r="A641" t="s">
        <v>447</v>
      </c>
      <c r="B641" t="s">
        <v>1964</v>
      </c>
      <c r="C641" t="s">
        <v>194</v>
      </c>
      <c r="D641" t="s">
        <v>377</v>
      </c>
      <c r="E641" s="178" t="s">
        <v>31</v>
      </c>
      <c r="F641" s="14" t="b">
        <f>OR(Transport_Table[[#This Row],[Feedstock]]="All",Transport_Table[[#This Row],[Feedstock]]=SelectedFeedstock)</f>
        <v>0</v>
      </c>
      <c r="G641" s="14" t="b">
        <f>OR(Transport_Table[[#This Row],[Conversion]]="All",Transport_Table[[#This Row],[Conversion]]=SelectedConversion)</f>
        <v>0</v>
      </c>
      <c r="H641" s="14" t="b">
        <f>OR(Transport_Table[[#This Row],[Data Set]]="All",Transport_Table[[#This Row],[Data Set]]=SelectedDataSet)</f>
        <v>0</v>
      </c>
      <c r="I641" s="14" t="b">
        <f>OR(Transport_Table[[#This Row],[Technology]]="All",Transport_Table[[#This Row],[Technology]]=SelectedTechnology)</f>
        <v>1</v>
      </c>
      <c r="J641" s="14" t="b">
        <f>OR(Transport_Table[[#This Row],[Data Source]]="All",Transport_Table[[#This Row],[Data Source]]=SelectedDataSource)</f>
        <v>0</v>
      </c>
      <c r="L641" s="14" t="b">
        <f>AND(Transport_Table[[#This Row],[Show Feedstock]:[Show Data Source]],NOT(Transport_Table[[#This Row],[Hide Column]]))</f>
        <v>0</v>
      </c>
      <c r="M641" s="14" t="s">
        <v>14</v>
      </c>
      <c r="N641" s="14" t="s">
        <v>1220</v>
      </c>
      <c r="O641" s="14" t="s">
        <v>1302</v>
      </c>
      <c r="P641" s="178" t="s">
        <v>1700</v>
      </c>
      <c r="Q641" s="165" t="s">
        <v>1939</v>
      </c>
      <c r="R641" s="199">
        <v>0.28999999999999998</v>
      </c>
      <c r="S641" s="395">
        <v>799.99776411200003</v>
      </c>
      <c r="T641" s="107"/>
    </row>
    <row r="642" spans="1:20" x14ac:dyDescent="0.3">
      <c r="A642" t="s">
        <v>447</v>
      </c>
      <c r="B642" t="s">
        <v>1964</v>
      </c>
      <c r="C642" t="s">
        <v>194</v>
      </c>
      <c r="D642" t="s">
        <v>377</v>
      </c>
      <c r="E642" s="178" t="s">
        <v>31</v>
      </c>
      <c r="F642" s="14" t="b">
        <f>OR(Transport_Table[[#This Row],[Feedstock]]="All",Transport_Table[[#This Row],[Feedstock]]=SelectedFeedstock)</f>
        <v>0</v>
      </c>
      <c r="G642" s="14" t="b">
        <f>OR(Transport_Table[[#This Row],[Conversion]]="All",Transport_Table[[#This Row],[Conversion]]=SelectedConversion)</f>
        <v>0</v>
      </c>
      <c r="H642" s="14" t="b">
        <f>OR(Transport_Table[[#This Row],[Data Set]]="All",Transport_Table[[#This Row],[Data Set]]=SelectedDataSet)</f>
        <v>0</v>
      </c>
      <c r="I642" s="14" t="b">
        <f>OR(Transport_Table[[#This Row],[Technology]]="All",Transport_Table[[#This Row],[Technology]]=SelectedTechnology)</f>
        <v>1</v>
      </c>
      <c r="J642" s="14" t="b">
        <f>OR(Transport_Table[[#This Row],[Data Source]]="All",Transport_Table[[#This Row],[Data Source]]=SelectedDataSource)</f>
        <v>0</v>
      </c>
      <c r="L642" s="14" t="b">
        <f>AND(Transport_Table[[#This Row],[Show Feedstock]:[Show Data Source]],NOT(Transport_Table[[#This Row],[Hide Column]]))</f>
        <v>0</v>
      </c>
      <c r="M642" s="14" t="s">
        <v>14</v>
      </c>
      <c r="N642" s="14" t="s">
        <v>1221</v>
      </c>
      <c r="O642" s="14" t="s">
        <v>1303</v>
      </c>
      <c r="P642" s="178" t="s">
        <v>1700</v>
      </c>
      <c r="Q642" s="165" t="s">
        <v>1940</v>
      </c>
      <c r="R642" s="199">
        <v>0.63</v>
      </c>
      <c r="S642" s="395">
        <v>49.999860257000002</v>
      </c>
      <c r="T642" s="107"/>
    </row>
    <row r="643" spans="1:20" x14ac:dyDescent="0.3">
      <c r="A643" t="s">
        <v>447</v>
      </c>
      <c r="B643" t="s">
        <v>1964</v>
      </c>
      <c r="C643" t="s">
        <v>194</v>
      </c>
      <c r="D643" t="s">
        <v>377</v>
      </c>
      <c r="E643" s="178" t="s">
        <v>31</v>
      </c>
      <c r="F643" s="14" t="b">
        <f>OR(Transport_Table[[#This Row],[Feedstock]]="All",Transport_Table[[#This Row],[Feedstock]]=SelectedFeedstock)</f>
        <v>0</v>
      </c>
      <c r="G643" s="14" t="b">
        <f>OR(Transport_Table[[#This Row],[Conversion]]="All",Transport_Table[[#This Row],[Conversion]]=SelectedConversion)</f>
        <v>0</v>
      </c>
      <c r="H643" s="14" t="b">
        <f>OR(Transport_Table[[#This Row],[Data Set]]="All",Transport_Table[[#This Row],[Data Set]]=SelectedDataSet)</f>
        <v>0</v>
      </c>
      <c r="I643" s="14" t="b">
        <f>OR(Transport_Table[[#This Row],[Technology]]="All",Transport_Table[[#This Row],[Technology]]=SelectedTechnology)</f>
        <v>1</v>
      </c>
      <c r="J643" s="14" t="b">
        <f>OR(Transport_Table[[#This Row],[Data Source]]="All",Transport_Table[[#This Row],[Data Source]]=SelectedDataSource)</f>
        <v>0</v>
      </c>
      <c r="L643" s="14" t="b">
        <f>AND(Transport_Table[[#This Row],[Show Feedstock]:[Show Data Source]],NOT(Transport_Table[[#This Row],[Hide Column]]))</f>
        <v>0</v>
      </c>
      <c r="M643" s="14" t="s">
        <v>14</v>
      </c>
      <c r="N643" s="14" t="s">
        <v>1222</v>
      </c>
      <c r="O643" s="14" t="s">
        <v>1304</v>
      </c>
      <c r="P643" s="178" t="s">
        <v>1700</v>
      </c>
      <c r="Q643" s="165" t="s">
        <v>1940</v>
      </c>
      <c r="R643" s="199">
        <v>1</v>
      </c>
      <c r="S643" s="395">
        <v>29.999916154200001</v>
      </c>
      <c r="T643" s="107"/>
    </row>
    <row r="644" spans="1:20" x14ac:dyDescent="0.3">
      <c r="A644" t="s">
        <v>447</v>
      </c>
      <c r="B644" t="s">
        <v>1964</v>
      </c>
      <c r="C644" t="s">
        <v>194</v>
      </c>
      <c r="D644" t="s">
        <v>355</v>
      </c>
      <c r="E644" s="178" t="s">
        <v>31</v>
      </c>
      <c r="F644" s="14" t="b">
        <f>OR(Transport_Table[[#This Row],[Feedstock]]="All",Transport_Table[[#This Row],[Feedstock]]=SelectedFeedstock)</f>
        <v>0</v>
      </c>
      <c r="G644" s="14" t="b">
        <f>OR(Transport_Table[[#This Row],[Conversion]]="All",Transport_Table[[#This Row],[Conversion]]=SelectedConversion)</f>
        <v>0</v>
      </c>
      <c r="H644" s="14" t="b">
        <f>OR(Transport_Table[[#This Row],[Data Set]]="All",Transport_Table[[#This Row],[Data Set]]=SelectedDataSet)</f>
        <v>0</v>
      </c>
      <c r="I644" s="14" t="b">
        <f>OR(Transport_Table[[#This Row],[Technology]]="All",Transport_Table[[#This Row],[Technology]]=SelectedTechnology)</f>
        <v>1</v>
      </c>
      <c r="J644" s="14" t="b">
        <f>OR(Transport_Table[[#This Row],[Data Source]]="All",Transport_Table[[#This Row],[Data Source]]=SelectedDataSource)</f>
        <v>0</v>
      </c>
      <c r="K644" s="14" t="b">
        <v>1</v>
      </c>
      <c r="L644" s="14" t="b">
        <f>AND(Transport_Table[[#This Row],[Show Feedstock]:[Show Data Source]],NOT(Transport_Table[[#This Row],[Hide Column]]))</f>
        <v>0</v>
      </c>
      <c r="M644" s="14" t="s">
        <v>14</v>
      </c>
      <c r="N644" s="14" t="s">
        <v>1234</v>
      </c>
      <c r="O644" s="14" t="s">
        <v>1316</v>
      </c>
      <c r="P644" t="s">
        <v>447</v>
      </c>
      <c r="Q644" s="165" t="s">
        <v>1940</v>
      </c>
      <c r="R644" s="199">
        <v>1</v>
      </c>
      <c r="S644" s="395">
        <v>11.999966461680001</v>
      </c>
      <c r="T644" s="107"/>
    </row>
    <row r="645" spans="1:20" x14ac:dyDescent="0.3">
      <c r="A645" t="s">
        <v>447</v>
      </c>
      <c r="B645" t="s">
        <v>1964</v>
      </c>
      <c r="C645" t="s">
        <v>194</v>
      </c>
      <c r="D645" t="s">
        <v>355</v>
      </c>
      <c r="E645" s="178" t="s">
        <v>31</v>
      </c>
      <c r="F645" s="14" t="b">
        <f>OR(Transport_Table[[#This Row],[Feedstock]]="All",Transport_Table[[#This Row],[Feedstock]]=SelectedFeedstock)</f>
        <v>0</v>
      </c>
      <c r="G645" s="14" t="b">
        <f>OR(Transport_Table[[#This Row],[Conversion]]="All",Transport_Table[[#This Row],[Conversion]]=SelectedConversion)</f>
        <v>0</v>
      </c>
      <c r="H645" s="14" t="b">
        <f>OR(Transport_Table[[#This Row],[Data Set]]="All",Transport_Table[[#This Row],[Data Set]]=SelectedDataSet)</f>
        <v>0</v>
      </c>
      <c r="I645" s="14" t="b">
        <f>OR(Transport_Table[[#This Row],[Technology]]="All",Transport_Table[[#This Row],[Technology]]=SelectedTechnology)</f>
        <v>1</v>
      </c>
      <c r="J645" s="14" t="b">
        <f>OR(Transport_Table[[#This Row],[Data Source]]="All",Transport_Table[[#This Row],[Data Source]]=SelectedDataSource)</f>
        <v>0</v>
      </c>
      <c r="L645" s="14" t="b">
        <f>AND(Transport_Table[[#This Row],[Show Feedstock]:[Show Data Source]],NOT(Transport_Table[[#This Row],[Hide Column]]))</f>
        <v>0</v>
      </c>
      <c r="M645" s="14" t="s">
        <v>14</v>
      </c>
      <c r="N645" s="14" t="s">
        <v>1219</v>
      </c>
      <c r="O645" s="14" t="s">
        <v>1301</v>
      </c>
      <c r="P645" s="178" t="s">
        <v>1700</v>
      </c>
      <c r="Q645" s="165" t="s">
        <v>1938</v>
      </c>
      <c r="R645" s="199">
        <v>0.08</v>
      </c>
      <c r="S645" s="395">
        <v>519.99854667279999</v>
      </c>
      <c r="T645" s="107"/>
    </row>
    <row r="646" spans="1:20" x14ac:dyDescent="0.3">
      <c r="A646" t="s">
        <v>447</v>
      </c>
      <c r="B646" t="s">
        <v>1964</v>
      </c>
      <c r="C646" t="s">
        <v>194</v>
      </c>
      <c r="D646" t="s">
        <v>355</v>
      </c>
      <c r="E646" s="178" t="s">
        <v>31</v>
      </c>
      <c r="F646" s="14" t="b">
        <f>OR(Transport_Table[[#This Row],[Feedstock]]="All",Transport_Table[[#This Row],[Feedstock]]=SelectedFeedstock)</f>
        <v>0</v>
      </c>
      <c r="G646" s="14" t="b">
        <f>OR(Transport_Table[[#This Row],[Conversion]]="All",Transport_Table[[#This Row],[Conversion]]=SelectedConversion)</f>
        <v>0</v>
      </c>
      <c r="H646" s="14" t="b">
        <f>OR(Transport_Table[[#This Row],[Data Set]]="All",Transport_Table[[#This Row],[Data Set]]=SelectedDataSet)</f>
        <v>0</v>
      </c>
      <c r="I646" s="14" t="b">
        <f>OR(Transport_Table[[#This Row],[Technology]]="All",Transport_Table[[#This Row],[Technology]]=SelectedTechnology)</f>
        <v>1</v>
      </c>
      <c r="J646" s="14" t="b">
        <f>OR(Transport_Table[[#This Row],[Data Source]]="All",Transport_Table[[#This Row],[Data Source]]=SelectedDataSource)</f>
        <v>0</v>
      </c>
      <c r="L646" s="14" t="b">
        <f>AND(Transport_Table[[#This Row],[Show Feedstock]:[Show Data Source]],NOT(Transport_Table[[#This Row],[Hide Column]]))</f>
        <v>0</v>
      </c>
      <c r="M646" s="14" t="s">
        <v>14</v>
      </c>
      <c r="N646" s="14" t="s">
        <v>1220</v>
      </c>
      <c r="O646" s="14" t="s">
        <v>1302</v>
      </c>
      <c r="P646" s="178" t="s">
        <v>1700</v>
      </c>
      <c r="Q646" s="165" t="s">
        <v>1939</v>
      </c>
      <c r="R646" s="199">
        <v>0.28999999999999998</v>
      </c>
      <c r="S646" s="395">
        <v>799.99776411200003</v>
      </c>
      <c r="T646" s="107"/>
    </row>
    <row r="647" spans="1:20" x14ac:dyDescent="0.3">
      <c r="A647" t="s">
        <v>447</v>
      </c>
      <c r="B647" t="s">
        <v>1964</v>
      </c>
      <c r="C647" t="s">
        <v>194</v>
      </c>
      <c r="D647" t="s">
        <v>355</v>
      </c>
      <c r="E647" s="178" t="s">
        <v>31</v>
      </c>
      <c r="F647" s="14" t="b">
        <f>OR(Transport_Table[[#This Row],[Feedstock]]="All",Transport_Table[[#This Row],[Feedstock]]=SelectedFeedstock)</f>
        <v>0</v>
      </c>
      <c r="G647" s="14" t="b">
        <f>OR(Transport_Table[[#This Row],[Conversion]]="All",Transport_Table[[#This Row],[Conversion]]=SelectedConversion)</f>
        <v>0</v>
      </c>
      <c r="H647" s="14" t="b">
        <f>OR(Transport_Table[[#This Row],[Data Set]]="All",Transport_Table[[#This Row],[Data Set]]=SelectedDataSet)</f>
        <v>0</v>
      </c>
      <c r="I647" s="14" t="b">
        <f>OR(Transport_Table[[#This Row],[Technology]]="All",Transport_Table[[#This Row],[Technology]]=SelectedTechnology)</f>
        <v>1</v>
      </c>
      <c r="J647" s="14" t="b">
        <f>OR(Transport_Table[[#This Row],[Data Source]]="All",Transport_Table[[#This Row],[Data Source]]=SelectedDataSource)</f>
        <v>0</v>
      </c>
      <c r="L647" s="14" t="b">
        <f>AND(Transport_Table[[#This Row],[Show Feedstock]:[Show Data Source]],NOT(Transport_Table[[#This Row],[Hide Column]]))</f>
        <v>0</v>
      </c>
      <c r="M647" s="14" t="s">
        <v>14</v>
      </c>
      <c r="N647" s="14" t="s">
        <v>1221</v>
      </c>
      <c r="O647" s="14" t="s">
        <v>1303</v>
      </c>
      <c r="P647" s="178" t="s">
        <v>1700</v>
      </c>
      <c r="Q647" s="165" t="s">
        <v>1940</v>
      </c>
      <c r="R647" s="199">
        <v>0.63</v>
      </c>
      <c r="S647" s="395">
        <v>49.999860257000002</v>
      </c>
      <c r="T647" s="107"/>
    </row>
    <row r="648" spans="1:20" x14ac:dyDescent="0.3">
      <c r="A648" t="s">
        <v>447</v>
      </c>
      <c r="B648" t="s">
        <v>1964</v>
      </c>
      <c r="C648" t="s">
        <v>194</v>
      </c>
      <c r="D648" t="s">
        <v>355</v>
      </c>
      <c r="E648" s="178" t="s">
        <v>31</v>
      </c>
      <c r="F648" s="14" t="b">
        <f>OR(Transport_Table[[#This Row],[Feedstock]]="All",Transport_Table[[#This Row],[Feedstock]]=SelectedFeedstock)</f>
        <v>0</v>
      </c>
      <c r="G648" s="14" t="b">
        <f>OR(Transport_Table[[#This Row],[Conversion]]="All",Transport_Table[[#This Row],[Conversion]]=SelectedConversion)</f>
        <v>0</v>
      </c>
      <c r="H648" s="14" t="b">
        <f>OR(Transport_Table[[#This Row],[Data Set]]="All",Transport_Table[[#This Row],[Data Set]]=SelectedDataSet)</f>
        <v>0</v>
      </c>
      <c r="I648" s="14" t="b">
        <f>OR(Transport_Table[[#This Row],[Technology]]="All",Transport_Table[[#This Row],[Technology]]=SelectedTechnology)</f>
        <v>1</v>
      </c>
      <c r="J648" s="14" t="b">
        <f>OR(Transport_Table[[#This Row],[Data Source]]="All",Transport_Table[[#This Row],[Data Source]]=SelectedDataSource)</f>
        <v>0</v>
      </c>
      <c r="L648" s="14" t="b">
        <f>AND(Transport_Table[[#This Row],[Show Feedstock]:[Show Data Source]],NOT(Transport_Table[[#This Row],[Hide Column]]))</f>
        <v>0</v>
      </c>
      <c r="M648" s="14" t="s">
        <v>14</v>
      </c>
      <c r="N648" s="14" t="s">
        <v>1222</v>
      </c>
      <c r="O648" s="14" t="s">
        <v>1304</v>
      </c>
      <c r="P648" s="178" t="s">
        <v>1700</v>
      </c>
      <c r="Q648" s="165" t="s">
        <v>1940</v>
      </c>
      <c r="R648" s="199">
        <v>1</v>
      </c>
      <c r="S648" s="395">
        <v>29.999916154200001</v>
      </c>
      <c r="T648" s="107"/>
    </row>
    <row r="649" spans="1:20" x14ac:dyDescent="0.3">
      <c r="A649" t="s">
        <v>447</v>
      </c>
      <c r="B649" t="s">
        <v>1964</v>
      </c>
      <c r="C649" t="s">
        <v>194</v>
      </c>
      <c r="D649" t="s">
        <v>882</v>
      </c>
      <c r="E649" s="178" t="s">
        <v>31</v>
      </c>
      <c r="F649" s="14" t="b">
        <f>OR(Transport_Table[[#This Row],[Feedstock]]="All",Transport_Table[[#This Row],[Feedstock]]=SelectedFeedstock)</f>
        <v>0</v>
      </c>
      <c r="G649" s="14" t="b">
        <f>OR(Transport_Table[[#This Row],[Conversion]]="All",Transport_Table[[#This Row],[Conversion]]=SelectedConversion)</f>
        <v>0</v>
      </c>
      <c r="H649" s="14" t="b">
        <f>OR(Transport_Table[[#This Row],[Data Set]]="All",Transport_Table[[#This Row],[Data Set]]=SelectedDataSet)</f>
        <v>0</v>
      </c>
      <c r="I649" s="14" t="b">
        <f>OR(Transport_Table[[#This Row],[Technology]]="All",Transport_Table[[#This Row],[Technology]]=SelectedTechnology)</f>
        <v>1</v>
      </c>
      <c r="J649" s="14" t="b">
        <f>OR(Transport_Table[[#This Row],[Data Source]]="All",Transport_Table[[#This Row],[Data Source]]=SelectedDataSource)</f>
        <v>0</v>
      </c>
      <c r="K649" s="14" t="b">
        <v>1</v>
      </c>
      <c r="L649" s="14" t="b">
        <f>AND(Transport_Table[[#This Row],[Show Feedstock]:[Show Data Source]],NOT(Transport_Table[[#This Row],[Hide Column]]))</f>
        <v>0</v>
      </c>
      <c r="M649" s="14" t="s">
        <v>14</v>
      </c>
      <c r="N649" s="14" t="s">
        <v>1234</v>
      </c>
      <c r="O649" s="14" t="s">
        <v>1316</v>
      </c>
      <c r="P649" t="s">
        <v>447</v>
      </c>
      <c r="Q649" s="165" t="s">
        <v>1940</v>
      </c>
      <c r="R649" s="199">
        <v>1</v>
      </c>
      <c r="S649" s="395">
        <v>11.999966461680001</v>
      </c>
      <c r="T649" s="107"/>
    </row>
    <row r="650" spans="1:20" x14ac:dyDescent="0.3">
      <c r="A650" t="s">
        <v>447</v>
      </c>
      <c r="B650" t="s">
        <v>1964</v>
      </c>
      <c r="C650" t="s">
        <v>194</v>
      </c>
      <c r="D650" t="s">
        <v>882</v>
      </c>
      <c r="E650" s="178" t="s">
        <v>31</v>
      </c>
      <c r="F650" s="14" t="b">
        <f>OR(Transport_Table[[#This Row],[Feedstock]]="All",Transport_Table[[#This Row],[Feedstock]]=SelectedFeedstock)</f>
        <v>0</v>
      </c>
      <c r="G650" s="14" t="b">
        <f>OR(Transport_Table[[#This Row],[Conversion]]="All",Transport_Table[[#This Row],[Conversion]]=SelectedConversion)</f>
        <v>0</v>
      </c>
      <c r="H650" s="14" t="b">
        <f>OR(Transport_Table[[#This Row],[Data Set]]="All",Transport_Table[[#This Row],[Data Set]]=SelectedDataSet)</f>
        <v>0</v>
      </c>
      <c r="I650" s="14" t="b">
        <f>OR(Transport_Table[[#This Row],[Technology]]="All",Transport_Table[[#This Row],[Technology]]=SelectedTechnology)</f>
        <v>1</v>
      </c>
      <c r="J650" s="14" t="b">
        <f>OR(Transport_Table[[#This Row],[Data Source]]="All",Transport_Table[[#This Row],[Data Source]]=SelectedDataSource)</f>
        <v>0</v>
      </c>
      <c r="L650" s="14" t="b">
        <f>AND(Transport_Table[[#This Row],[Show Feedstock]:[Show Data Source]],NOT(Transport_Table[[#This Row],[Hide Column]]))</f>
        <v>0</v>
      </c>
      <c r="M650" s="14" t="s">
        <v>14</v>
      </c>
      <c r="N650" s="14" t="s">
        <v>1219</v>
      </c>
      <c r="O650" s="14" t="s">
        <v>1301</v>
      </c>
      <c r="P650" s="178" t="s">
        <v>1700</v>
      </c>
      <c r="Q650" s="165" t="s">
        <v>1938</v>
      </c>
      <c r="R650" s="199">
        <v>0.08</v>
      </c>
      <c r="S650" s="395">
        <v>519.99854667279999</v>
      </c>
      <c r="T650" s="107"/>
    </row>
    <row r="651" spans="1:20" x14ac:dyDescent="0.3">
      <c r="A651" t="s">
        <v>447</v>
      </c>
      <c r="B651" t="s">
        <v>1964</v>
      </c>
      <c r="C651" t="s">
        <v>194</v>
      </c>
      <c r="D651" t="s">
        <v>882</v>
      </c>
      <c r="E651" s="178" t="s">
        <v>31</v>
      </c>
      <c r="F651" s="14" t="b">
        <f>OR(Transport_Table[[#This Row],[Feedstock]]="All",Transport_Table[[#This Row],[Feedstock]]=SelectedFeedstock)</f>
        <v>0</v>
      </c>
      <c r="G651" s="14" t="b">
        <f>OR(Transport_Table[[#This Row],[Conversion]]="All",Transport_Table[[#This Row],[Conversion]]=SelectedConversion)</f>
        <v>0</v>
      </c>
      <c r="H651" s="14" t="b">
        <f>OR(Transport_Table[[#This Row],[Data Set]]="All",Transport_Table[[#This Row],[Data Set]]=SelectedDataSet)</f>
        <v>0</v>
      </c>
      <c r="I651" s="14" t="b">
        <f>OR(Transport_Table[[#This Row],[Technology]]="All",Transport_Table[[#This Row],[Technology]]=SelectedTechnology)</f>
        <v>1</v>
      </c>
      <c r="J651" s="14" t="b">
        <f>OR(Transport_Table[[#This Row],[Data Source]]="All",Transport_Table[[#This Row],[Data Source]]=SelectedDataSource)</f>
        <v>0</v>
      </c>
      <c r="L651" s="14" t="b">
        <f>AND(Transport_Table[[#This Row],[Show Feedstock]:[Show Data Source]],NOT(Transport_Table[[#This Row],[Hide Column]]))</f>
        <v>0</v>
      </c>
      <c r="M651" s="14" t="s">
        <v>14</v>
      </c>
      <c r="N651" s="14" t="s">
        <v>1220</v>
      </c>
      <c r="O651" s="14" t="s">
        <v>1302</v>
      </c>
      <c r="P651" s="178" t="s">
        <v>1700</v>
      </c>
      <c r="Q651" s="165" t="s">
        <v>1939</v>
      </c>
      <c r="R651" s="199">
        <v>0.28999999999999998</v>
      </c>
      <c r="S651" s="395">
        <v>799.99776411200003</v>
      </c>
      <c r="T651" s="107"/>
    </row>
    <row r="652" spans="1:20" x14ac:dyDescent="0.3">
      <c r="A652" t="s">
        <v>447</v>
      </c>
      <c r="B652" t="s">
        <v>1964</v>
      </c>
      <c r="C652" t="s">
        <v>194</v>
      </c>
      <c r="D652" t="s">
        <v>882</v>
      </c>
      <c r="E652" s="178" t="s">
        <v>31</v>
      </c>
      <c r="F652" s="14" t="b">
        <f>OR(Transport_Table[[#This Row],[Feedstock]]="All",Transport_Table[[#This Row],[Feedstock]]=SelectedFeedstock)</f>
        <v>0</v>
      </c>
      <c r="G652" s="14" t="b">
        <f>OR(Transport_Table[[#This Row],[Conversion]]="All",Transport_Table[[#This Row],[Conversion]]=SelectedConversion)</f>
        <v>0</v>
      </c>
      <c r="H652" s="14" t="b">
        <f>OR(Transport_Table[[#This Row],[Data Set]]="All",Transport_Table[[#This Row],[Data Set]]=SelectedDataSet)</f>
        <v>0</v>
      </c>
      <c r="I652" s="14" t="b">
        <f>OR(Transport_Table[[#This Row],[Technology]]="All",Transport_Table[[#This Row],[Technology]]=SelectedTechnology)</f>
        <v>1</v>
      </c>
      <c r="J652" s="14" t="b">
        <f>OR(Transport_Table[[#This Row],[Data Source]]="All",Transport_Table[[#This Row],[Data Source]]=SelectedDataSource)</f>
        <v>0</v>
      </c>
      <c r="L652" s="14" t="b">
        <f>AND(Transport_Table[[#This Row],[Show Feedstock]:[Show Data Source]],NOT(Transport_Table[[#This Row],[Hide Column]]))</f>
        <v>0</v>
      </c>
      <c r="M652" s="14" t="s">
        <v>14</v>
      </c>
      <c r="N652" s="14" t="s">
        <v>1221</v>
      </c>
      <c r="O652" s="14" t="s">
        <v>1303</v>
      </c>
      <c r="P652" s="178" t="s">
        <v>1700</v>
      </c>
      <c r="Q652" s="165" t="s">
        <v>1940</v>
      </c>
      <c r="R652" s="199">
        <v>0.63</v>
      </c>
      <c r="S652" s="395">
        <v>49.999860257000002</v>
      </c>
      <c r="T652" s="107"/>
    </row>
    <row r="653" spans="1:20" x14ac:dyDescent="0.3">
      <c r="A653" t="s">
        <v>447</v>
      </c>
      <c r="B653" t="s">
        <v>1964</v>
      </c>
      <c r="C653" t="s">
        <v>194</v>
      </c>
      <c r="D653" t="s">
        <v>882</v>
      </c>
      <c r="E653" s="178" t="s">
        <v>31</v>
      </c>
      <c r="F653" s="14" t="b">
        <f>OR(Transport_Table[[#This Row],[Feedstock]]="All",Transport_Table[[#This Row],[Feedstock]]=SelectedFeedstock)</f>
        <v>0</v>
      </c>
      <c r="G653" s="14" t="b">
        <f>OR(Transport_Table[[#This Row],[Conversion]]="All",Transport_Table[[#This Row],[Conversion]]=SelectedConversion)</f>
        <v>0</v>
      </c>
      <c r="H653" s="14" t="b">
        <f>OR(Transport_Table[[#This Row],[Data Set]]="All",Transport_Table[[#This Row],[Data Set]]=SelectedDataSet)</f>
        <v>0</v>
      </c>
      <c r="I653" s="14" t="b">
        <f>OR(Transport_Table[[#This Row],[Technology]]="All",Transport_Table[[#This Row],[Technology]]=SelectedTechnology)</f>
        <v>1</v>
      </c>
      <c r="J653" s="14" t="b">
        <f>OR(Transport_Table[[#This Row],[Data Source]]="All",Transport_Table[[#This Row],[Data Source]]=SelectedDataSource)</f>
        <v>0</v>
      </c>
      <c r="L653" s="14" t="b">
        <f>AND(Transport_Table[[#This Row],[Show Feedstock]:[Show Data Source]],NOT(Transport_Table[[#This Row],[Hide Column]]))</f>
        <v>0</v>
      </c>
      <c r="M653" s="14" t="s">
        <v>14</v>
      </c>
      <c r="N653" s="14" t="s">
        <v>1222</v>
      </c>
      <c r="O653" s="14" t="s">
        <v>1304</v>
      </c>
      <c r="P653" s="178" t="s">
        <v>1700</v>
      </c>
      <c r="Q653" s="165" t="s">
        <v>1940</v>
      </c>
      <c r="R653" s="199">
        <v>1</v>
      </c>
      <c r="S653" s="395">
        <v>29.999916154200001</v>
      </c>
      <c r="T653" s="107"/>
    </row>
    <row r="654" spans="1:20" x14ac:dyDescent="0.3">
      <c r="A654" t="s">
        <v>447</v>
      </c>
      <c r="B654" t="s">
        <v>448</v>
      </c>
      <c r="C654" t="s">
        <v>194</v>
      </c>
      <c r="D654" t="s">
        <v>377</v>
      </c>
      <c r="E654" s="178" t="s">
        <v>31</v>
      </c>
      <c r="F654" s="14" t="b">
        <f>OR(Transport_Table[[#This Row],[Feedstock]]="All",Transport_Table[[#This Row],[Feedstock]]=SelectedFeedstock)</f>
        <v>0</v>
      </c>
      <c r="G654" s="14" t="b">
        <f>OR(Transport_Table[[#This Row],[Conversion]]="All",Transport_Table[[#This Row],[Conversion]]=SelectedConversion)</f>
        <v>0</v>
      </c>
      <c r="H654" s="14" t="b">
        <f>OR(Transport_Table[[#This Row],[Data Set]]="All",Transport_Table[[#This Row],[Data Set]]=SelectedDataSet)</f>
        <v>0</v>
      </c>
      <c r="I654" s="14" t="b">
        <f>OR(Transport_Table[[#This Row],[Technology]]="All",Transport_Table[[#This Row],[Technology]]=SelectedTechnology)</f>
        <v>1</v>
      </c>
      <c r="J654" s="14" t="b">
        <f>OR(Transport_Table[[#This Row],[Data Source]]="All",Transport_Table[[#This Row],[Data Source]]=SelectedDataSource)</f>
        <v>0</v>
      </c>
      <c r="K654" s="14" t="b">
        <v>1</v>
      </c>
      <c r="L654" s="14" t="b">
        <f>AND(Transport_Table[[#This Row],[Show Feedstock]:[Show Data Source]],NOT(Transport_Table[[#This Row],[Hide Column]]))</f>
        <v>0</v>
      </c>
      <c r="M654" s="14" t="s">
        <v>14</v>
      </c>
      <c r="N654" s="14" t="s">
        <v>1234</v>
      </c>
      <c r="O654" s="14" t="s">
        <v>1316</v>
      </c>
      <c r="P654" t="s">
        <v>447</v>
      </c>
      <c r="Q654" s="165" t="s">
        <v>1940</v>
      </c>
      <c r="R654" s="199">
        <v>1</v>
      </c>
      <c r="S654" s="395">
        <v>11.999966461680001</v>
      </c>
      <c r="T654" s="107"/>
    </row>
    <row r="655" spans="1:20" x14ac:dyDescent="0.3">
      <c r="A655" t="s">
        <v>447</v>
      </c>
      <c r="B655" t="s">
        <v>448</v>
      </c>
      <c r="C655" t="s">
        <v>194</v>
      </c>
      <c r="D655" t="s">
        <v>377</v>
      </c>
      <c r="E655" s="178" t="s">
        <v>31</v>
      </c>
      <c r="F655" s="14" t="b">
        <f>OR(Transport_Table[[#This Row],[Feedstock]]="All",Transport_Table[[#This Row],[Feedstock]]=SelectedFeedstock)</f>
        <v>0</v>
      </c>
      <c r="G655" s="14" t="b">
        <f>OR(Transport_Table[[#This Row],[Conversion]]="All",Transport_Table[[#This Row],[Conversion]]=SelectedConversion)</f>
        <v>0</v>
      </c>
      <c r="H655" s="14" t="b">
        <f>OR(Transport_Table[[#This Row],[Data Set]]="All",Transport_Table[[#This Row],[Data Set]]=SelectedDataSet)</f>
        <v>0</v>
      </c>
      <c r="I655" s="14" t="b">
        <f>OR(Transport_Table[[#This Row],[Technology]]="All",Transport_Table[[#This Row],[Technology]]=SelectedTechnology)</f>
        <v>1</v>
      </c>
      <c r="J655" s="14" t="b">
        <f>OR(Transport_Table[[#This Row],[Data Source]]="All",Transport_Table[[#This Row],[Data Source]]=SelectedDataSource)</f>
        <v>0</v>
      </c>
      <c r="L655" s="14" t="b">
        <f>AND(Transport_Table[[#This Row],[Show Feedstock]:[Show Data Source]],NOT(Transport_Table[[#This Row],[Hide Column]]))</f>
        <v>0</v>
      </c>
      <c r="M655" s="14" t="s">
        <v>14</v>
      </c>
      <c r="N655" s="14" t="s">
        <v>1161</v>
      </c>
      <c r="O655" s="14" t="s">
        <v>1243</v>
      </c>
      <c r="P655" s="178" t="s">
        <v>1700</v>
      </c>
      <c r="Q655" s="165" t="s">
        <v>1938</v>
      </c>
      <c r="R655" s="199">
        <v>0.08</v>
      </c>
      <c r="S655" s="395">
        <v>519.99854667279999</v>
      </c>
      <c r="T655" s="107"/>
    </row>
    <row r="656" spans="1:20" x14ac:dyDescent="0.3">
      <c r="A656" t="s">
        <v>447</v>
      </c>
      <c r="B656" t="s">
        <v>448</v>
      </c>
      <c r="C656" t="s">
        <v>194</v>
      </c>
      <c r="D656" t="s">
        <v>377</v>
      </c>
      <c r="E656" s="178" t="s">
        <v>31</v>
      </c>
      <c r="F656" s="14" t="b">
        <f>OR(Transport_Table[[#This Row],[Feedstock]]="All",Transport_Table[[#This Row],[Feedstock]]=SelectedFeedstock)</f>
        <v>0</v>
      </c>
      <c r="G656" s="14" t="b">
        <f>OR(Transport_Table[[#This Row],[Conversion]]="All",Transport_Table[[#This Row],[Conversion]]=SelectedConversion)</f>
        <v>0</v>
      </c>
      <c r="H656" s="14" t="b">
        <f>OR(Transport_Table[[#This Row],[Data Set]]="All",Transport_Table[[#This Row],[Data Set]]=SelectedDataSet)</f>
        <v>0</v>
      </c>
      <c r="I656" s="14" t="b">
        <f>OR(Transport_Table[[#This Row],[Technology]]="All",Transport_Table[[#This Row],[Technology]]=SelectedTechnology)</f>
        <v>1</v>
      </c>
      <c r="J656" s="14" t="b">
        <f>OR(Transport_Table[[#This Row],[Data Source]]="All",Transport_Table[[#This Row],[Data Source]]=SelectedDataSource)</f>
        <v>0</v>
      </c>
      <c r="L656" s="14" t="b">
        <f>AND(Transport_Table[[#This Row],[Show Feedstock]:[Show Data Source]],NOT(Transport_Table[[#This Row],[Hide Column]]))</f>
        <v>0</v>
      </c>
      <c r="M656" s="14" t="s">
        <v>14</v>
      </c>
      <c r="N656" s="14" t="s">
        <v>1162</v>
      </c>
      <c r="O656" s="14" t="s">
        <v>1244</v>
      </c>
      <c r="P656" s="178" t="s">
        <v>1700</v>
      </c>
      <c r="Q656" s="165" t="s">
        <v>1942</v>
      </c>
      <c r="R656" s="199">
        <v>0</v>
      </c>
      <c r="S656" s="394">
        <v>0</v>
      </c>
      <c r="T656" s="107"/>
    </row>
    <row r="657" spans="1:20" x14ac:dyDescent="0.3">
      <c r="A657" t="s">
        <v>447</v>
      </c>
      <c r="B657" t="s">
        <v>448</v>
      </c>
      <c r="C657" t="s">
        <v>194</v>
      </c>
      <c r="D657" t="s">
        <v>377</v>
      </c>
      <c r="E657" s="178" t="s">
        <v>31</v>
      </c>
      <c r="F657" s="14" t="b">
        <f>OR(Transport_Table[[#This Row],[Feedstock]]="All",Transport_Table[[#This Row],[Feedstock]]=SelectedFeedstock)</f>
        <v>0</v>
      </c>
      <c r="G657" s="14" t="b">
        <f>OR(Transport_Table[[#This Row],[Conversion]]="All",Transport_Table[[#This Row],[Conversion]]=SelectedConversion)</f>
        <v>0</v>
      </c>
      <c r="H657" s="14" t="b">
        <f>OR(Transport_Table[[#This Row],[Data Set]]="All",Transport_Table[[#This Row],[Data Set]]=SelectedDataSet)</f>
        <v>0</v>
      </c>
      <c r="I657" s="14" t="b">
        <f>OR(Transport_Table[[#This Row],[Technology]]="All",Transport_Table[[#This Row],[Technology]]=SelectedTechnology)</f>
        <v>1</v>
      </c>
      <c r="J657" s="14" t="b">
        <f>OR(Transport_Table[[#This Row],[Data Source]]="All",Transport_Table[[#This Row],[Data Source]]=SelectedDataSource)</f>
        <v>0</v>
      </c>
      <c r="L657" s="14" t="b">
        <f>AND(Transport_Table[[#This Row],[Show Feedstock]:[Show Data Source]],NOT(Transport_Table[[#This Row],[Hide Column]]))</f>
        <v>0</v>
      </c>
      <c r="M657" s="14" t="s">
        <v>14</v>
      </c>
      <c r="N657" s="14" t="s">
        <v>1163</v>
      </c>
      <c r="O657" s="14" t="s">
        <v>1245</v>
      </c>
      <c r="P657" s="178" t="s">
        <v>1700</v>
      </c>
      <c r="Q657" s="165" t="s">
        <v>1939</v>
      </c>
      <c r="R657" s="199">
        <v>0.28999999999999998</v>
      </c>
      <c r="S657" s="395">
        <v>799.99776411200003</v>
      </c>
      <c r="T657" s="107"/>
    </row>
    <row r="658" spans="1:20" x14ac:dyDescent="0.3">
      <c r="A658" t="s">
        <v>447</v>
      </c>
      <c r="B658" t="s">
        <v>448</v>
      </c>
      <c r="C658" t="s">
        <v>194</v>
      </c>
      <c r="D658" t="s">
        <v>377</v>
      </c>
      <c r="E658" s="178" t="s">
        <v>31</v>
      </c>
      <c r="F658" s="14" t="b">
        <f>OR(Transport_Table[[#This Row],[Feedstock]]="All",Transport_Table[[#This Row],[Feedstock]]=SelectedFeedstock)</f>
        <v>0</v>
      </c>
      <c r="G658" s="14" t="b">
        <f>OR(Transport_Table[[#This Row],[Conversion]]="All",Transport_Table[[#This Row],[Conversion]]=SelectedConversion)</f>
        <v>0</v>
      </c>
      <c r="H658" s="14" t="b">
        <f>OR(Transport_Table[[#This Row],[Data Set]]="All",Transport_Table[[#This Row],[Data Set]]=SelectedDataSet)</f>
        <v>0</v>
      </c>
      <c r="I658" s="14" t="b">
        <f>OR(Transport_Table[[#This Row],[Technology]]="All",Transport_Table[[#This Row],[Technology]]=SelectedTechnology)</f>
        <v>1</v>
      </c>
      <c r="J658" s="14" t="b">
        <f>OR(Transport_Table[[#This Row],[Data Source]]="All",Transport_Table[[#This Row],[Data Source]]=SelectedDataSource)</f>
        <v>0</v>
      </c>
      <c r="L658" s="14" t="b">
        <f>AND(Transport_Table[[#This Row],[Show Feedstock]:[Show Data Source]],NOT(Transport_Table[[#This Row],[Hide Column]]))</f>
        <v>0</v>
      </c>
      <c r="M658" s="14" t="s">
        <v>14</v>
      </c>
      <c r="N658" s="14" t="s">
        <v>1164</v>
      </c>
      <c r="O658" s="14" t="s">
        <v>1246</v>
      </c>
      <c r="P658" s="178" t="s">
        <v>1700</v>
      </c>
      <c r="Q658" s="165" t="s">
        <v>1940</v>
      </c>
      <c r="R658" s="199">
        <v>0.63</v>
      </c>
      <c r="S658" s="395">
        <v>49.999860257000002</v>
      </c>
      <c r="T658" s="107"/>
    </row>
    <row r="659" spans="1:20" x14ac:dyDescent="0.3">
      <c r="A659" t="s">
        <v>447</v>
      </c>
      <c r="B659" t="s">
        <v>448</v>
      </c>
      <c r="C659" t="s">
        <v>194</v>
      </c>
      <c r="D659" t="s">
        <v>377</v>
      </c>
      <c r="E659" s="178" t="s">
        <v>31</v>
      </c>
      <c r="F659" s="14" t="b">
        <f>OR(Transport_Table[[#This Row],[Feedstock]]="All",Transport_Table[[#This Row],[Feedstock]]=SelectedFeedstock)</f>
        <v>0</v>
      </c>
      <c r="G659" s="14" t="b">
        <f>OR(Transport_Table[[#This Row],[Conversion]]="All",Transport_Table[[#This Row],[Conversion]]=SelectedConversion)</f>
        <v>0</v>
      </c>
      <c r="H659" s="14" t="b">
        <f>OR(Transport_Table[[#This Row],[Data Set]]="All",Transport_Table[[#This Row],[Data Set]]=SelectedDataSet)</f>
        <v>0</v>
      </c>
      <c r="I659" s="14" t="b">
        <f>OR(Transport_Table[[#This Row],[Technology]]="All",Transport_Table[[#This Row],[Technology]]=SelectedTechnology)</f>
        <v>1</v>
      </c>
      <c r="J659" s="14" t="b">
        <f>OR(Transport_Table[[#This Row],[Data Source]]="All",Transport_Table[[#This Row],[Data Source]]=SelectedDataSource)</f>
        <v>0</v>
      </c>
      <c r="L659" s="14" t="b">
        <f>AND(Transport_Table[[#This Row],[Show Feedstock]:[Show Data Source]],NOT(Transport_Table[[#This Row],[Hide Column]]))</f>
        <v>0</v>
      </c>
      <c r="M659" s="14" t="s">
        <v>14</v>
      </c>
      <c r="N659" s="14" t="s">
        <v>1165</v>
      </c>
      <c r="O659" s="14" t="s">
        <v>1247</v>
      </c>
      <c r="P659" s="178" t="s">
        <v>1701</v>
      </c>
      <c r="Q659" s="165" t="s">
        <v>1940</v>
      </c>
      <c r="R659" s="199">
        <v>1</v>
      </c>
      <c r="S659" s="395">
        <v>29.999916154200001</v>
      </c>
      <c r="T659" s="107"/>
    </row>
    <row r="660" spans="1:20" x14ac:dyDescent="0.3">
      <c r="A660" t="s">
        <v>449</v>
      </c>
      <c r="B660" t="s">
        <v>448</v>
      </c>
      <c r="C660" t="s">
        <v>194</v>
      </c>
      <c r="D660" t="s">
        <v>377</v>
      </c>
      <c r="E660" s="178" t="s">
        <v>31</v>
      </c>
      <c r="F660" s="14" t="b">
        <f>OR(Transport_Table[[#This Row],[Feedstock]]="All",Transport_Table[[#This Row],[Feedstock]]=SelectedFeedstock)</f>
        <v>0</v>
      </c>
      <c r="G660" s="14" t="b">
        <f>OR(Transport_Table[[#This Row],[Conversion]]="All",Transport_Table[[#This Row],[Conversion]]=SelectedConversion)</f>
        <v>0</v>
      </c>
      <c r="H660" s="14" t="b">
        <f>OR(Transport_Table[[#This Row],[Data Set]]="All",Transport_Table[[#This Row],[Data Set]]=SelectedDataSet)</f>
        <v>0</v>
      </c>
      <c r="I660" s="14" t="b">
        <f>OR(Transport_Table[[#This Row],[Technology]]="All",Transport_Table[[#This Row],[Technology]]=SelectedTechnology)</f>
        <v>1</v>
      </c>
      <c r="J660" s="14" t="b">
        <f>OR(Transport_Table[[#This Row],[Data Source]]="All",Transport_Table[[#This Row],[Data Source]]=SelectedDataSource)</f>
        <v>0</v>
      </c>
      <c r="K660" s="14" t="b">
        <v>1</v>
      </c>
      <c r="L660" s="14" t="b">
        <f>AND(Transport_Table[[#This Row],[Show Feedstock]:[Show Data Source]],NOT(Transport_Table[[#This Row],[Hide Column]]))</f>
        <v>0</v>
      </c>
      <c r="M660" s="14" t="s">
        <v>14</v>
      </c>
      <c r="N660" s="14" t="s">
        <v>1235</v>
      </c>
      <c r="O660" s="14" t="s">
        <v>1317</v>
      </c>
      <c r="P660" t="s">
        <v>449</v>
      </c>
      <c r="Q660" s="165" t="s">
        <v>1940</v>
      </c>
      <c r="R660" s="199">
        <v>1</v>
      </c>
      <c r="S660" s="395">
        <v>50</v>
      </c>
      <c r="T660" s="107"/>
    </row>
    <row r="661" spans="1:20" x14ac:dyDescent="0.3">
      <c r="A661" t="s">
        <v>449</v>
      </c>
      <c r="B661" t="s">
        <v>448</v>
      </c>
      <c r="C661" t="s">
        <v>194</v>
      </c>
      <c r="D661" t="s">
        <v>377</v>
      </c>
      <c r="E661" s="178" t="s">
        <v>31</v>
      </c>
      <c r="F661" s="14" t="b">
        <f>OR(Transport_Table[[#This Row],[Feedstock]]="All",Transport_Table[[#This Row],[Feedstock]]=SelectedFeedstock)</f>
        <v>0</v>
      </c>
      <c r="G661" s="14" t="b">
        <f>OR(Transport_Table[[#This Row],[Conversion]]="All",Transport_Table[[#This Row],[Conversion]]=SelectedConversion)</f>
        <v>0</v>
      </c>
      <c r="H661" s="14" t="b">
        <f>OR(Transport_Table[[#This Row],[Data Set]]="All",Transport_Table[[#This Row],[Data Set]]=SelectedDataSet)</f>
        <v>0</v>
      </c>
      <c r="I661" s="14" t="b">
        <f>OR(Transport_Table[[#This Row],[Technology]]="All",Transport_Table[[#This Row],[Technology]]=SelectedTechnology)</f>
        <v>1</v>
      </c>
      <c r="J661" s="14" t="b">
        <f>OR(Transport_Table[[#This Row],[Data Source]]="All",Transport_Table[[#This Row],[Data Source]]=SelectedDataSource)</f>
        <v>0</v>
      </c>
      <c r="L661" s="14" t="b">
        <f>AND(Transport_Table[[#This Row],[Show Feedstock]:[Show Data Source]],NOT(Transport_Table[[#This Row],[Hide Column]]))</f>
        <v>0</v>
      </c>
      <c r="M661" s="14" t="s">
        <v>14</v>
      </c>
      <c r="N661" s="14" t="s">
        <v>1161</v>
      </c>
      <c r="O661" s="14" t="s">
        <v>1243</v>
      </c>
      <c r="P661" s="178" t="s">
        <v>1700</v>
      </c>
      <c r="Q661" s="165" t="s">
        <v>1938</v>
      </c>
      <c r="R661" s="199">
        <v>0.08</v>
      </c>
      <c r="S661" s="395">
        <v>519.99854667279999</v>
      </c>
      <c r="T661" s="107"/>
    </row>
    <row r="662" spans="1:20" x14ac:dyDescent="0.3">
      <c r="A662" t="s">
        <v>449</v>
      </c>
      <c r="B662" t="s">
        <v>448</v>
      </c>
      <c r="C662" t="s">
        <v>194</v>
      </c>
      <c r="D662" t="s">
        <v>377</v>
      </c>
      <c r="E662" s="178" t="s">
        <v>31</v>
      </c>
      <c r="F662" s="14" t="b">
        <f>OR(Transport_Table[[#This Row],[Feedstock]]="All",Transport_Table[[#This Row],[Feedstock]]=SelectedFeedstock)</f>
        <v>0</v>
      </c>
      <c r="G662" s="14" t="b">
        <f>OR(Transport_Table[[#This Row],[Conversion]]="All",Transport_Table[[#This Row],[Conversion]]=SelectedConversion)</f>
        <v>0</v>
      </c>
      <c r="H662" s="14" t="b">
        <f>OR(Transport_Table[[#This Row],[Data Set]]="All",Transport_Table[[#This Row],[Data Set]]=SelectedDataSet)</f>
        <v>0</v>
      </c>
      <c r="I662" s="14" t="b">
        <f>OR(Transport_Table[[#This Row],[Technology]]="All",Transport_Table[[#This Row],[Technology]]=SelectedTechnology)</f>
        <v>1</v>
      </c>
      <c r="J662" s="14" t="b">
        <f>OR(Transport_Table[[#This Row],[Data Source]]="All",Transport_Table[[#This Row],[Data Source]]=SelectedDataSource)</f>
        <v>0</v>
      </c>
      <c r="L662" s="14" t="b">
        <f>AND(Transport_Table[[#This Row],[Show Feedstock]:[Show Data Source]],NOT(Transport_Table[[#This Row],[Hide Column]]))</f>
        <v>0</v>
      </c>
      <c r="M662" s="14" t="s">
        <v>14</v>
      </c>
      <c r="N662" s="14" t="s">
        <v>1162</v>
      </c>
      <c r="O662" s="14" t="s">
        <v>1244</v>
      </c>
      <c r="P662" s="178" t="s">
        <v>1700</v>
      </c>
      <c r="Q662" s="165" t="s">
        <v>1942</v>
      </c>
      <c r="R662" s="199">
        <v>0</v>
      </c>
      <c r="S662" s="394">
        <v>0</v>
      </c>
      <c r="T662" s="107"/>
    </row>
    <row r="663" spans="1:20" x14ac:dyDescent="0.3">
      <c r="A663" t="s">
        <v>449</v>
      </c>
      <c r="B663" t="s">
        <v>448</v>
      </c>
      <c r="C663" t="s">
        <v>194</v>
      </c>
      <c r="D663" t="s">
        <v>377</v>
      </c>
      <c r="E663" s="178" t="s">
        <v>31</v>
      </c>
      <c r="F663" s="14" t="b">
        <f>OR(Transport_Table[[#This Row],[Feedstock]]="All",Transport_Table[[#This Row],[Feedstock]]=SelectedFeedstock)</f>
        <v>0</v>
      </c>
      <c r="G663" s="14" t="b">
        <f>OR(Transport_Table[[#This Row],[Conversion]]="All",Transport_Table[[#This Row],[Conversion]]=SelectedConversion)</f>
        <v>0</v>
      </c>
      <c r="H663" s="14" t="b">
        <f>OR(Transport_Table[[#This Row],[Data Set]]="All",Transport_Table[[#This Row],[Data Set]]=SelectedDataSet)</f>
        <v>0</v>
      </c>
      <c r="I663" s="14" t="b">
        <f>OR(Transport_Table[[#This Row],[Technology]]="All",Transport_Table[[#This Row],[Technology]]=SelectedTechnology)</f>
        <v>1</v>
      </c>
      <c r="J663" s="14" t="b">
        <f>OR(Transport_Table[[#This Row],[Data Source]]="All",Transport_Table[[#This Row],[Data Source]]=SelectedDataSource)</f>
        <v>0</v>
      </c>
      <c r="L663" s="14" t="b">
        <f>AND(Transport_Table[[#This Row],[Show Feedstock]:[Show Data Source]],NOT(Transport_Table[[#This Row],[Hide Column]]))</f>
        <v>0</v>
      </c>
      <c r="M663" s="14" t="s">
        <v>14</v>
      </c>
      <c r="N663" s="14" t="s">
        <v>1163</v>
      </c>
      <c r="O663" s="14" t="s">
        <v>1245</v>
      </c>
      <c r="P663" s="178" t="s">
        <v>1700</v>
      </c>
      <c r="Q663" s="165" t="s">
        <v>1939</v>
      </c>
      <c r="R663" s="199">
        <v>0.28999999999999998</v>
      </c>
      <c r="S663" s="395">
        <v>799.99776411200003</v>
      </c>
      <c r="T663" s="107"/>
    </row>
    <row r="664" spans="1:20" x14ac:dyDescent="0.3">
      <c r="A664" t="s">
        <v>449</v>
      </c>
      <c r="B664" t="s">
        <v>448</v>
      </c>
      <c r="C664" t="s">
        <v>194</v>
      </c>
      <c r="D664" t="s">
        <v>377</v>
      </c>
      <c r="E664" s="178" t="s">
        <v>31</v>
      </c>
      <c r="F664" s="14" t="b">
        <f>OR(Transport_Table[[#This Row],[Feedstock]]="All",Transport_Table[[#This Row],[Feedstock]]=SelectedFeedstock)</f>
        <v>0</v>
      </c>
      <c r="G664" s="14" t="b">
        <f>OR(Transport_Table[[#This Row],[Conversion]]="All",Transport_Table[[#This Row],[Conversion]]=SelectedConversion)</f>
        <v>0</v>
      </c>
      <c r="H664" s="14" t="b">
        <f>OR(Transport_Table[[#This Row],[Data Set]]="All",Transport_Table[[#This Row],[Data Set]]=SelectedDataSet)</f>
        <v>0</v>
      </c>
      <c r="I664" s="14" t="b">
        <f>OR(Transport_Table[[#This Row],[Technology]]="All",Transport_Table[[#This Row],[Technology]]=SelectedTechnology)</f>
        <v>1</v>
      </c>
      <c r="J664" s="14" t="b">
        <f>OR(Transport_Table[[#This Row],[Data Source]]="All",Transport_Table[[#This Row],[Data Source]]=SelectedDataSource)</f>
        <v>0</v>
      </c>
      <c r="L664" s="14" t="b">
        <f>AND(Transport_Table[[#This Row],[Show Feedstock]:[Show Data Source]],NOT(Transport_Table[[#This Row],[Hide Column]]))</f>
        <v>0</v>
      </c>
      <c r="M664" s="14" t="s">
        <v>14</v>
      </c>
      <c r="N664" s="14" t="s">
        <v>1164</v>
      </c>
      <c r="O664" s="14" t="s">
        <v>1246</v>
      </c>
      <c r="P664" s="178" t="s">
        <v>1700</v>
      </c>
      <c r="Q664" s="165" t="s">
        <v>1940</v>
      </c>
      <c r="R664" s="199">
        <v>0.63</v>
      </c>
      <c r="S664" s="395">
        <v>49.999860257000002</v>
      </c>
      <c r="T664" s="107"/>
    </row>
    <row r="665" spans="1:20" x14ac:dyDescent="0.3">
      <c r="A665" t="s">
        <v>449</v>
      </c>
      <c r="B665" t="s">
        <v>448</v>
      </c>
      <c r="C665" t="s">
        <v>194</v>
      </c>
      <c r="D665" t="s">
        <v>377</v>
      </c>
      <c r="E665" s="178" t="s">
        <v>31</v>
      </c>
      <c r="F665" s="14" t="b">
        <f>OR(Transport_Table[[#This Row],[Feedstock]]="All",Transport_Table[[#This Row],[Feedstock]]=SelectedFeedstock)</f>
        <v>0</v>
      </c>
      <c r="G665" s="14" t="b">
        <f>OR(Transport_Table[[#This Row],[Conversion]]="All",Transport_Table[[#This Row],[Conversion]]=SelectedConversion)</f>
        <v>0</v>
      </c>
      <c r="H665" s="14" t="b">
        <f>OR(Transport_Table[[#This Row],[Data Set]]="All",Transport_Table[[#This Row],[Data Set]]=SelectedDataSet)</f>
        <v>0</v>
      </c>
      <c r="I665" s="14" t="b">
        <f>OR(Transport_Table[[#This Row],[Technology]]="All",Transport_Table[[#This Row],[Technology]]=SelectedTechnology)</f>
        <v>1</v>
      </c>
      <c r="J665" s="14" t="b">
        <f>OR(Transport_Table[[#This Row],[Data Source]]="All",Transport_Table[[#This Row],[Data Source]]=SelectedDataSource)</f>
        <v>0</v>
      </c>
      <c r="L665" s="14" t="b">
        <f>AND(Transport_Table[[#This Row],[Show Feedstock]:[Show Data Source]],NOT(Transport_Table[[#This Row],[Hide Column]]))</f>
        <v>0</v>
      </c>
      <c r="M665" s="14" t="s">
        <v>14</v>
      </c>
      <c r="N665" s="14" t="s">
        <v>1165</v>
      </c>
      <c r="O665" s="14" t="s">
        <v>1247</v>
      </c>
      <c r="P665" s="178" t="s">
        <v>1701</v>
      </c>
      <c r="Q665" s="165" t="s">
        <v>1940</v>
      </c>
      <c r="R665" s="199">
        <v>1</v>
      </c>
      <c r="S665" s="395">
        <v>29.999916154200001</v>
      </c>
      <c r="T665" s="107"/>
    </row>
    <row r="666" spans="1:20" x14ac:dyDescent="0.3">
      <c r="A666" t="s">
        <v>449</v>
      </c>
      <c r="B666" t="s">
        <v>448</v>
      </c>
      <c r="C666" t="s">
        <v>194</v>
      </c>
      <c r="D666" t="s">
        <v>355</v>
      </c>
      <c r="E666" s="178" t="s">
        <v>31</v>
      </c>
      <c r="F666" s="14" t="b">
        <f>OR(Transport_Table[[#This Row],[Feedstock]]="All",Transport_Table[[#This Row],[Feedstock]]=SelectedFeedstock)</f>
        <v>0</v>
      </c>
      <c r="G666" s="14" t="b">
        <f>OR(Transport_Table[[#This Row],[Conversion]]="All",Transport_Table[[#This Row],[Conversion]]=SelectedConversion)</f>
        <v>0</v>
      </c>
      <c r="H666" s="14" t="b">
        <f>OR(Transport_Table[[#This Row],[Data Set]]="All",Transport_Table[[#This Row],[Data Set]]=SelectedDataSet)</f>
        <v>0</v>
      </c>
      <c r="I666" s="14" t="b">
        <f>OR(Transport_Table[[#This Row],[Technology]]="All",Transport_Table[[#This Row],[Technology]]=SelectedTechnology)</f>
        <v>1</v>
      </c>
      <c r="J666" s="14" t="b">
        <f>OR(Transport_Table[[#This Row],[Data Source]]="All",Transport_Table[[#This Row],[Data Source]]=SelectedDataSource)</f>
        <v>0</v>
      </c>
      <c r="K666" s="14" t="b">
        <v>1</v>
      </c>
      <c r="L666" s="14" t="b">
        <f>AND(Transport_Table[[#This Row],[Show Feedstock]:[Show Data Source]],NOT(Transport_Table[[#This Row],[Hide Column]]))</f>
        <v>0</v>
      </c>
      <c r="M666" s="14" t="s">
        <v>14</v>
      </c>
      <c r="N666" s="14" t="s">
        <v>1235</v>
      </c>
      <c r="O666" s="14" t="s">
        <v>1317</v>
      </c>
      <c r="P666" t="s">
        <v>449</v>
      </c>
      <c r="Q666" s="165" t="s">
        <v>1940</v>
      </c>
      <c r="R666" s="199">
        <v>1</v>
      </c>
      <c r="S666" s="395">
        <v>50</v>
      </c>
      <c r="T666" s="107"/>
    </row>
    <row r="667" spans="1:20" x14ac:dyDescent="0.3">
      <c r="A667" t="s">
        <v>449</v>
      </c>
      <c r="B667" t="s">
        <v>448</v>
      </c>
      <c r="C667" t="s">
        <v>194</v>
      </c>
      <c r="D667" t="s">
        <v>355</v>
      </c>
      <c r="E667" s="178" t="s">
        <v>31</v>
      </c>
      <c r="F667" s="14" t="b">
        <f>OR(Transport_Table[[#This Row],[Feedstock]]="All",Transport_Table[[#This Row],[Feedstock]]=SelectedFeedstock)</f>
        <v>0</v>
      </c>
      <c r="G667" s="14" t="b">
        <f>OR(Transport_Table[[#This Row],[Conversion]]="All",Transport_Table[[#This Row],[Conversion]]=SelectedConversion)</f>
        <v>0</v>
      </c>
      <c r="H667" s="14" t="b">
        <f>OR(Transport_Table[[#This Row],[Data Set]]="All",Transport_Table[[#This Row],[Data Set]]=SelectedDataSet)</f>
        <v>0</v>
      </c>
      <c r="I667" s="14" t="b">
        <f>OR(Transport_Table[[#This Row],[Technology]]="All",Transport_Table[[#This Row],[Technology]]=SelectedTechnology)</f>
        <v>1</v>
      </c>
      <c r="J667" s="14" t="b">
        <f>OR(Transport_Table[[#This Row],[Data Source]]="All",Transport_Table[[#This Row],[Data Source]]=SelectedDataSource)</f>
        <v>0</v>
      </c>
      <c r="L667" s="14" t="b">
        <f>AND(Transport_Table[[#This Row],[Show Feedstock]:[Show Data Source]],NOT(Transport_Table[[#This Row],[Hide Column]]))</f>
        <v>0</v>
      </c>
      <c r="M667" s="14" t="s">
        <v>14</v>
      </c>
      <c r="N667" s="14" t="s">
        <v>1161</v>
      </c>
      <c r="O667" s="14" t="s">
        <v>1243</v>
      </c>
      <c r="P667" s="178" t="s">
        <v>1700</v>
      </c>
      <c r="Q667" s="165" t="s">
        <v>1938</v>
      </c>
      <c r="R667" s="199">
        <v>0.08</v>
      </c>
      <c r="S667" s="395">
        <v>519.99854667279999</v>
      </c>
      <c r="T667" s="107"/>
    </row>
    <row r="668" spans="1:20" x14ac:dyDescent="0.3">
      <c r="A668" t="s">
        <v>449</v>
      </c>
      <c r="B668" t="s">
        <v>448</v>
      </c>
      <c r="C668" t="s">
        <v>194</v>
      </c>
      <c r="D668" t="s">
        <v>355</v>
      </c>
      <c r="E668" s="178" t="s">
        <v>31</v>
      </c>
      <c r="F668" s="14" t="b">
        <f>OR(Transport_Table[[#This Row],[Feedstock]]="All",Transport_Table[[#This Row],[Feedstock]]=SelectedFeedstock)</f>
        <v>0</v>
      </c>
      <c r="G668" s="14" t="b">
        <f>OR(Transport_Table[[#This Row],[Conversion]]="All",Transport_Table[[#This Row],[Conversion]]=SelectedConversion)</f>
        <v>0</v>
      </c>
      <c r="H668" s="14" t="b">
        <f>OR(Transport_Table[[#This Row],[Data Set]]="All",Transport_Table[[#This Row],[Data Set]]=SelectedDataSet)</f>
        <v>0</v>
      </c>
      <c r="I668" s="14" t="b">
        <f>OR(Transport_Table[[#This Row],[Technology]]="All",Transport_Table[[#This Row],[Technology]]=SelectedTechnology)</f>
        <v>1</v>
      </c>
      <c r="J668" s="14" t="b">
        <f>OR(Transport_Table[[#This Row],[Data Source]]="All",Transport_Table[[#This Row],[Data Source]]=SelectedDataSource)</f>
        <v>0</v>
      </c>
      <c r="L668" s="14" t="b">
        <f>AND(Transport_Table[[#This Row],[Show Feedstock]:[Show Data Source]],NOT(Transport_Table[[#This Row],[Hide Column]]))</f>
        <v>0</v>
      </c>
      <c r="M668" s="14" t="s">
        <v>14</v>
      </c>
      <c r="N668" s="14" t="s">
        <v>1162</v>
      </c>
      <c r="O668" s="14" t="s">
        <v>1244</v>
      </c>
      <c r="P668" s="178" t="s">
        <v>1700</v>
      </c>
      <c r="Q668" s="165" t="s">
        <v>1942</v>
      </c>
      <c r="R668" s="199">
        <v>0</v>
      </c>
      <c r="S668" s="394">
        <v>0</v>
      </c>
      <c r="T668" s="107"/>
    </row>
    <row r="669" spans="1:20" x14ac:dyDescent="0.3">
      <c r="A669" t="s">
        <v>449</v>
      </c>
      <c r="B669" t="s">
        <v>448</v>
      </c>
      <c r="C669" t="s">
        <v>194</v>
      </c>
      <c r="D669" t="s">
        <v>355</v>
      </c>
      <c r="E669" s="178" t="s">
        <v>31</v>
      </c>
      <c r="F669" s="14" t="b">
        <f>OR(Transport_Table[[#This Row],[Feedstock]]="All",Transport_Table[[#This Row],[Feedstock]]=SelectedFeedstock)</f>
        <v>0</v>
      </c>
      <c r="G669" s="14" t="b">
        <f>OR(Transport_Table[[#This Row],[Conversion]]="All",Transport_Table[[#This Row],[Conversion]]=SelectedConversion)</f>
        <v>0</v>
      </c>
      <c r="H669" s="14" t="b">
        <f>OR(Transport_Table[[#This Row],[Data Set]]="All",Transport_Table[[#This Row],[Data Set]]=SelectedDataSet)</f>
        <v>0</v>
      </c>
      <c r="I669" s="14" t="b">
        <f>OR(Transport_Table[[#This Row],[Technology]]="All",Transport_Table[[#This Row],[Technology]]=SelectedTechnology)</f>
        <v>1</v>
      </c>
      <c r="J669" s="14" t="b">
        <f>OR(Transport_Table[[#This Row],[Data Source]]="All",Transport_Table[[#This Row],[Data Source]]=SelectedDataSource)</f>
        <v>0</v>
      </c>
      <c r="L669" s="14" t="b">
        <f>AND(Transport_Table[[#This Row],[Show Feedstock]:[Show Data Source]],NOT(Transport_Table[[#This Row],[Hide Column]]))</f>
        <v>0</v>
      </c>
      <c r="M669" s="14" t="s">
        <v>14</v>
      </c>
      <c r="N669" s="14" t="s">
        <v>1163</v>
      </c>
      <c r="O669" s="14" t="s">
        <v>1245</v>
      </c>
      <c r="P669" s="178" t="s">
        <v>1700</v>
      </c>
      <c r="Q669" s="165" t="s">
        <v>1939</v>
      </c>
      <c r="R669" s="199">
        <v>0.28999999999999998</v>
      </c>
      <c r="S669" s="395">
        <v>799.99776411200003</v>
      </c>
      <c r="T669" s="107"/>
    </row>
    <row r="670" spans="1:20" x14ac:dyDescent="0.3">
      <c r="A670" t="s">
        <v>449</v>
      </c>
      <c r="B670" t="s">
        <v>448</v>
      </c>
      <c r="C670" t="s">
        <v>194</v>
      </c>
      <c r="D670" t="s">
        <v>355</v>
      </c>
      <c r="E670" s="178" t="s">
        <v>31</v>
      </c>
      <c r="F670" s="14" t="b">
        <f>OR(Transport_Table[[#This Row],[Feedstock]]="All",Transport_Table[[#This Row],[Feedstock]]=SelectedFeedstock)</f>
        <v>0</v>
      </c>
      <c r="G670" s="14" t="b">
        <f>OR(Transport_Table[[#This Row],[Conversion]]="All",Transport_Table[[#This Row],[Conversion]]=SelectedConversion)</f>
        <v>0</v>
      </c>
      <c r="H670" s="14" t="b">
        <f>OR(Transport_Table[[#This Row],[Data Set]]="All",Transport_Table[[#This Row],[Data Set]]=SelectedDataSet)</f>
        <v>0</v>
      </c>
      <c r="I670" s="14" t="b">
        <f>OR(Transport_Table[[#This Row],[Technology]]="All",Transport_Table[[#This Row],[Technology]]=SelectedTechnology)</f>
        <v>1</v>
      </c>
      <c r="J670" s="14" t="b">
        <f>OR(Transport_Table[[#This Row],[Data Source]]="All",Transport_Table[[#This Row],[Data Source]]=SelectedDataSource)</f>
        <v>0</v>
      </c>
      <c r="L670" s="14" t="b">
        <f>AND(Transport_Table[[#This Row],[Show Feedstock]:[Show Data Source]],NOT(Transport_Table[[#This Row],[Hide Column]]))</f>
        <v>0</v>
      </c>
      <c r="M670" s="14" t="s">
        <v>14</v>
      </c>
      <c r="N670" s="14" t="s">
        <v>1164</v>
      </c>
      <c r="O670" s="14" t="s">
        <v>1246</v>
      </c>
      <c r="P670" s="178" t="s">
        <v>1700</v>
      </c>
      <c r="Q670" s="165" t="s">
        <v>1940</v>
      </c>
      <c r="R670" s="199">
        <v>0.63</v>
      </c>
      <c r="S670" s="395">
        <v>49.999860257000002</v>
      </c>
      <c r="T670" s="107"/>
    </row>
    <row r="671" spans="1:20" x14ac:dyDescent="0.3">
      <c r="A671" t="s">
        <v>449</v>
      </c>
      <c r="B671" t="s">
        <v>448</v>
      </c>
      <c r="C671" t="s">
        <v>194</v>
      </c>
      <c r="D671" t="s">
        <v>355</v>
      </c>
      <c r="E671" s="178" t="s">
        <v>31</v>
      </c>
      <c r="F671" s="14" t="b">
        <f>OR(Transport_Table[[#This Row],[Feedstock]]="All",Transport_Table[[#This Row],[Feedstock]]=SelectedFeedstock)</f>
        <v>0</v>
      </c>
      <c r="G671" s="14" t="b">
        <f>OR(Transport_Table[[#This Row],[Conversion]]="All",Transport_Table[[#This Row],[Conversion]]=SelectedConversion)</f>
        <v>0</v>
      </c>
      <c r="H671" s="14" t="b">
        <f>OR(Transport_Table[[#This Row],[Data Set]]="All",Transport_Table[[#This Row],[Data Set]]=SelectedDataSet)</f>
        <v>0</v>
      </c>
      <c r="I671" s="14" t="b">
        <f>OR(Transport_Table[[#This Row],[Technology]]="All",Transport_Table[[#This Row],[Technology]]=SelectedTechnology)</f>
        <v>1</v>
      </c>
      <c r="J671" s="14" t="b">
        <f>OR(Transport_Table[[#This Row],[Data Source]]="All",Transport_Table[[#This Row],[Data Source]]=SelectedDataSource)</f>
        <v>0</v>
      </c>
      <c r="L671" s="14" t="b">
        <f>AND(Transport_Table[[#This Row],[Show Feedstock]:[Show Data Source]],NOT(Transport_Table[[#This Row],[Hide Column]]))</f>
        <v>0</v>
      </c>
      <c r="M671" s="14" t="s">
        <v>14</v>
      </c>
      <c r="N671" s="14" t="s">
        <v>1165</v>
      </c>
      <c r="O671" s="14" t="s">
        <v>1247</v>
      </c>
      <c r="P671" s="178" t="s">
        <v>1701</v>
      </c>
      <c r="Q671" s="165" t="s">
        <v>1940</v>
      </c>
      <c r="R671" s="199">
        <v>1</v>
      </c>
      <c r="S671" s="395">
        <v>29.999916154200001</v>
      </c>
      <c r="T671" s="107"/>
    </row>
    <row r="672" spans="1:20" x14ac:dyDescent="0.3">
      <c r="A672" t="s">
        <v>447</v>
      </c>
      <c r="B672" t="s">
        <v>883</v>
      </c>
      <c r="C672" t="s">
        <v>194</v>
      </c>
      <c r="D672" t="s">
        <v>377</v>
      </c>
      <c r="E672" s="178" t="s">
        <v>31</v>
      </c>
      <c r="F672" s="14" t="b">
        <f>OR(Transport_Table[[#This Row],[Feedstock]]="All",Transport_Table[[#This Row],[Feedstock]]=SelectedFeedstock)</f>
        <v>0</v>
      </c>
      <c r="G672" s="14" t="b">
        <f>OR(Transport_Table[[#This Row],[Conversion]]="All",Transport_Table[[#This Row],[Conversion]]=SelectedConversion)</f>
        <v>0</v>
      </c>
      <c r="H672" s="14" t="b">
        <f>OR(Transport_Table[[#This Row],[Data Set]]="All",Transport_Table[[#This Row],[Data Set]]=SelectedDataSet)</f>
        <v>0</v>
      </c>
      <c r="I672" s="14" t="b">
        <f>OR(Transport_Table[[#This Row],[Technology]]="All",Transport_Table[[#This Row],[Technology]]=SelectedTechnology)</f>
        <v>1</v>
      </c>
      <c r="J672" s="14" t="b">
        <f>OR(Transport_Table[[#This Row],[Data Source]]="All",Transport_Table[[#This Row],[Data Source]]=SelectedDataSource)</f>
        <v>0</v>
      </c>
      <c r="K672" s="14" t="b">
        <v>1</v>
      </c>
      <c r="L672" s="14" t="b">
        <f>AND(Transport_Table[[#This Row],[Show Feedstock]:[Show Data Source]],NOT(Transport_Table[[#This Row],[Hide Column]]))</f>
        <v>0</v>
      </c>
      <c r="M672" s="14" t="s">
        <v>14</v>
      </c>
      <c r="N672" s="14" t="s">
        <v>1234</v>
      </c>
      <c r="O672" s="14" t="s">
        <v>1316</v>
      </c>
      <c r="P672" t="s">
        <v>447</v>
      </c>
      <c r="Q672" s="165" t="s">
        <v>1940</v>
      </c>
      <c r="R672" s="199">
        <v>1</v>
      </c>
      <c r="S672" s="395">
        <v>11.999966461680001</v>
      </c>
      <c r="T672" s="107"/>
    </row>
    <row r="673" spans="1:20" x14ac:dyDescent="0.3">
      <c r="A673" t="s">
        <v>447</v>
      </c>
      <c r="B673" t="s">
        <v>883</v>
      </c>
      <c r="C673" t="s">
        <v>194</v>
      </c>
      <c r="D673" t="s">
        <v>377</v>
      </c>
      <c r="E673" s="178" t="s">
        <v>31</v>
      </c>
      <c r="F673" s="14" t="b">
        <f>OR(Transport_Table[[#This Row],[Feedstock]]="All",Transport_Table[[#This Row],[Feedstock]]=SelectedFeedstock)</f>
        <v>0</v>
      </c>
      <c r="G673" s="14" t="b">
        <f>OR(Transport_Table[[#This Row],[Conversion]]="All",Transport_Table[[#This Row],[Conversion]]=SelectedConversion)</f>
        <v>0</v>
      </c>
      <c r="H673" s="14" t="b">
        <f>OR(Transport_Table[[#This Row],[Data Set]]="All",Transport_Table[[#This Row],[Data Set]]=SelectedDataSet)</f>
        <v>0</v>
      </c>
      <c r="I673" s="14" t="b">
        <f>OR(Transport_Table[[#This Row],[Technology]]="All",Transport_Table[[#This Row],[Technology]]=SelectedTechnology)</f>
        <v>1</v>
      </c>
      <c r="J673" s="14" t="b">
        <f>OR(Transport_Table[[#This Row],[Data Source]]="All",Transport_Table[[#This Row],[Data Source]]=SelectedDataSource)</f>
        <v>0</v>
      </c>
      <c r="L673" s="14" t="b">
        <f>AND(Transport_Table[[#This Row],[Show Feedstock]:[Show Data Source]],NOT(Transport_Table[[#This Row],[Hide Column]]))</f>
        <v>0</v>
      </c>
      <c r="M673" s="14" t="s">
        <v>14</v>
      </c>
      <c r="N673" s="14" t="s">
        <v>1161</v>
      </c>
      <c r="O673" s="14" t="s">
        <v>1243</v>
      </c>
      <c r="P673" s="178" t="s">
        <v>1700</v>
      </c>
      <c r="Q673" s="165" t="s">
        <v>1938</v>
      </c>
      <c r="R673" s="199">
        <v>0.08</v>
      </c>
      <c r="S673" s="395">
        <v>519.99854667279999</v>
      </c>
      <c r="T673" s="107"/>
    </row>
    <row r="674" spans="1:20" x14ac:dyDescent="0.3">
      <c r="A674" t="s">
        <v>447</v>
      </c>
      <c r="B674" t="s">
        <v>883</v>
      </c>
      <c r="C674" t="s">
        <v>194</v>
      </c>
      <c r="D674" t="s">
        <v>377</v>
      </c>
      <c r="E674" s="178" t="s">
        <v>31</v>
      </c>
      <c r="F674" s="14" t="b">
        <f>OR(Transport_Table[[#This Row],[Feedstock]]="All",Transport_Table[[#This Row],[Feedstock]]=SelectedFeedstock)</f>
        <v>0</v>
      </c>
      <c r="G674" s="14" t="b">
        <f>OR(Transport_Table[[#This Row],[Conversion]]="All",Transport_Table[[#This Row],[Conversion]]=SelectedConversion)</f>
        <v>0</v>
      </c>
      <c r="H674" s="14" t="b">
        <f>OR(Transport_Table[[#This Row],[Data Set]]="All",Transport_Table[[#This Row],[Data Set]]=SelectedDataSet)</f>
        <v>0</v>
      </c>
      <c r="I674" s="14" t="b">
        <f>OR(Transport_Table[[#This Row],[Technology]]="All",Transport_Table[[#This Row],[Technology]]=SelectedTechnology)</f>
        <v>1</v>
      </c>
      <c r="J674" s="14" t="b">
        <f>OR(Transport_Table[[#This Row],[Data Source]]="All",Transport_Table[[#This Row],[Data Source]]=SelectedDataSource)</f>
        <v>0</v>
      </c>
      <c r="L674" s="14" t="b">
        <f>AND(Transport_Table[[#This Row],[Show Feedstock]:[Show Data Source]],NOT(Transport_Table[[#This Row],[Hide Column]]))</f>
        <v>0</v>
      </c>
      <c r="M674" s="14" t="s">
        <v>14</v>
      </c>
      <c r="N674" s="14" t="s">
        <v>1162</v>
      </c>
      <c r="O674" s="14" t="s">
        <v>1244</v>
      </c>
      <c r="P674" s="178" t="s">
        <v>1700</v>
      </c>
      <c r="Q674" s="165" t="s">
        <v>1942</v>
      </c>
      <c r="R674" s="199">
        <v>0</v>
      </c>
      <c r="S674" s="394">
        <v>0</v>
      </c>
      <c r="T674" s="107"/>
    </row>
    <row r="675" spans="1:20" x14ac:dyDescent="0.3">
      <c r="A675" t="s">
        <v>447</v>
      </c>
      <c r="B675" t="s">
        <v>883</v>
      </c>
      <c r="C675" t="s">
        <v>194</v>
      </c>
      <c r="D675" t="s">
        <v>377</v>
      </c>
      <c r="E675" s="178" t="s">
        <v>31</v>
      </c>
      <c r="F675" s="14" t="b">
        <f>OR(Transport_Table[[#This Row],[Feedstock]]="All",Transport_Table[[#This Row],[Feedstock]]=SelectedFeedstock)</f>
        <v>0</v>
      </c>
      <c r="G675" s="14" t="b">
        <f>OR(Transport_Table[[#This Row],[Conversion]]="All",Transport_Table[[#This Row],[Conversion]]=SelectedConversion)</f>
        <v>0</v>
      </c>
      <c r="H675" s="14" t="b">
        <f>OR(Transport_Table[[#This Row],[Data Set]]="All",Transport_Table[[#This Row],[Data Set]]=SelectedDataSet)</f>
        <v>0</v>
      </c>
      <c r="I675" s="14" t="b">
        <f>OR(Transport_Table[[#This Row],[Technology]]="All",Transport_Table[[#This Row],[Technology]]=SelectedTechnology)</f>
        <v>1</v>
      </c>
      <c r="J675" s="14" t="b">
        <f>OR(Transport_Table[[#This Row],[Data Source]]="All",Transport_Table[[#This Row],[Data Source]]=SelectedDataSource)</f>
        <v>0</v>
      </c>
      <c r="L675" s="14" t="b">
        <f>AND(Transport_Table[[#This Row],[Show Feedstock]:[Show Data Source]],NOT(Transport_Table[[#This Row],[Hide Column]]))</f>
        <v>0</v>
      </c>
      <c r="M675" s="14" t="s">
        <v>14</v>
      </c>
      <c r="N675" s="14" t="s">
        <v>1163</v>
      </c>
      <c r="O675" s="14" t="s">
        <v>1245</v>
      </c>
      <c r="P675" s="178" t="s">
        <v>1700</v>
      </c>
      <c r="Q675" s="165" t="s">
        <v>1939</v>
      </c>
      <c r="R675" s="199">
        <v>0.28999999999999998</v>
      </c>
      <c r="S675" s="395">
        <v>799.99776411200003</v>
      </c>
      <c r="T675" s="107"/>
    </row>
    <row r="676" spans="1:20" x14ac:dyDescent="0.3">
      <c r="A676" t="s">
        <v>447</v>
      </c>
      <c r="B676" t="s">
        <v>883</v>
      </c>
      <c r="C676" t="s">
        <v>194</v>
      </c>
      <c r="D676" t="s">
        <v>377</v>
      </c>
      <c r="E676" s="178" t="s">
        <v>31</v>
      </c>
      <c r="F676" s="14" t="b">
        <f>OR(Transport_Table[[#This Row],[Feedstock]]="All",Transport_Table[[#This Row],[Feedstock]]=SelectedFeedstock)</f>
        <v>0</v>
      </c>
      <c r="G676" s="14" t="b">
        <f>OR(Transport_Table[[#This Row],[Conversion]]="All",Transport_Table[[#This Row],[Conversion]]=SelectedConversion)</f>
        <v>0</v>
      </c>
      <c r="H676" s="14" t="b">
        <f>OR(Transport_Table[[#This Row],[Data Set]]="All",Transport_Table[[#This Row],[Data Set]]=SelectedDataSet)</f>
        <v>0</v>
      </c>
      <c r="I676" s="14" t="b">
        <f>OR(Transport_Table[[#This Row],[Technology]]="All",Transport_Table[[#This Row],[Technology]]=SelectedTechnology)</f>
        <v>1</v>
      </c>
      <c r="J676" s="14" t="b">
        <f>OR(Transport_Table[[#This Row],[Data Source]]="All",Transport_Table[[#This Row],[Data Source]]=SelectedDataSource)</f>
        <v>0</v>
      </c>
      <c r="L676" s="14" t="b">
        <f>AND(Transport_Table[[#This Row],[Show Feedstock]:[Show Data Source]],NOT(Transport_Table[[#This Row],[Hide Column]]))</f>
        <v>0</v>
      </c>
      <c r="M676" s="14" t="s">
        <v>14</v>
      </c>
      <c r="N676" s="14" t="s">
        <v>1164</v>
      </c>
      <c r="O676" s="14" t="s">
        <v>1246</v>
      </c>
      <c r="P676" s="178" t="s">
        <v>1700</v>
      </c>
      <c r="Q676" s="165" t="s">
        <v>1940</v>
      </c>
      <c r="R676" s="199">
        <v>0.63</v>
      </c>
      <c r="S676" s="395">
        <v>49.999860257000002</v>
      </c>
      <c r="T676" s="107"/>
    </row>
    <row r="677" spans="1:20" x14ac:dyDescent="0.3">
      <c r="A677" t="s">
        <v>447</v>
      </c>
      <c r="B677" t="s">
        <v>883</v>
      </c>
      <c r="C677" t="s">
        <v>194</v>
      </c>
      <c r="D677" t="s">
        <v>377</v>
      </c>
      <c r="E677" s="178" t="s">
        <v>31</v>
      </c>
      <c r="F677" s="14" t="b">
        <f>OR(Transport_Table[[#This Row],[Feedstock]]="All",Transport_Table[[#This Row],[Feedstock]]=SelectedFeedstock)</f>
        <v>0</v>
      </c>
      <c r="G677" s="14" t="b">
        <f>OR(Transport_Table[[#This Row],[Conversion]]="All",Transport_Table[[#This Row],[Conversion]]=SelectedConversion)</f>
        <v>0</v>
      </c>
      <c r="H677" s="14" t="b">
        <f>OR(Transport_Table[[#This Row],[Data Set]]="All",Transport_Table[[#This Row],[Data Set]]=SelectedDataSet)</f>
        <v>0</v>
      </c>
      <c r="I677" s="14" t="b">
        <f>OR(Transport_Table[[#This Row],[Technology]]="All",Transport_Table[[#This Row],[Technology]]=SelectedTechnology)</f>
        <v>1</v>
      </c>
      <c r="J677" s="14" t="b">
        <f>OR(Transport_Table[[#This Row],[Data Source]]="All",Transport_Table[[#This Row],[Data Source]]=SelectedDataSource)</f>
        <v>0</v>
      </c>
      <c r="L677" s="14" t="b">
        <f>AND(Transport_Table[[#This Row],[Show Feedstock]:[Show Data Source]],NOT(Transport_Table[[#This Row],[Hide Column]]))</f>
        <v>0</v>
      </c>
      <c r="M677" s="14" t="s">
        <v>14</v>
      </c>
      <c r="N677" s="14" t="s">
        <v>1165</v>
      </c>
      <c r="O677" s="14" t="s">
        <v>1247</v>
      </c>
      <c r="P677" s="178" t="s">
        <v>1701</v>
      </c>
      <c r="Q677" s="165" t="s">
        <v>1940</v>
      </c>
      <c r="R677" s="199">
        <v>1</v>
      </c>
      <c r="S677" s="395">
        <v>29.999916154200001</v>
      </c>
      <c r="T677" s="107"/>
    </row>
    <row r="678" spans="1:20" x14ac:dyDescent="0.3">
      <c r="A678" t="s">
        <v>135</v>
      </c>
      <c r="B678" t="s">
        <v>883</v>
      </c>
      <c r="C678" t="s">
        <v>194</v>
      </c>
      <c r="D678" t="s">
        <v>377</v>
      </c>
      <c r="E678" s="178" t="s">
        <v>31</v>
      </c>
      <c r="F678" s="14" t="b">
        <f>OR(Transport_Table[[#This Row],[Feedstock]]="All",Transport_Table[[#This Row],[Feedstock]]=SelectedFeedstock)</f>
        <v>0</v>
      </c>
      <c r="G678" s="14" t="b">
        <f>OR(Transport_Table[[#This Row],[Conversion]]="All",Transport_Table[[#This Row],[Conversion]]=SelectedConversion)</f>
        <v>0</v>
      </c>
      <c r="H678" s="14" t="b">
        <f>OR(Transport_Table[[#This Row],[Data Set]]="All",Transport_Table[[#This Row],[Data Set]]=SelectedDataSet)</f>
        <v>0</v>
      </c>
      <c r="I678" s="14" t="b">
        <f>OR(Transport_Table[[#This Row],[Technology]]="All",Transport_Table[[#This Row],[Technology]]=SelectedTechnology)</f>
        <v>1</v>
      </c>
      <c r="J678" s="14" t="b">
        <f>OR(Transport_Table[[#This Row],[Data Source]]="All",Transport_Table[[#This Row],[Data Source]]=SelectedDataSource)</f>
        <v>0</v>
      </c>
      <c r="K678" s="14" t="b">
        <v>1</v>
      </c>
      <c r="L678" s="14" t="b">
        <f>AND(Transport_Table[[#This Row],[Show Feedstock]:[Show Data Source]],NOT(Transport_Table[[#This Row],[Hide Column]]))</f>
        <v>0</v>
      </c>
      <c r="M678" s="14" t="s">
        <v>147</v>
      </c>
      <c r="N678" s="14" t="s">
        <v>1214</v>
      </c>
      <c r="O678" s="14" t="s">
        <v>1296</v>
      </c>
      <c r="P678" t="s">
        <v>135</v>
      </c>
      <c r="Q678" s="165" t="s">
        <v>1940</v>
      </c>
      <c r="R678" s="199">
        <v>1</v>
      </c>
      <c r="S678" s="395">
        <v>169.66159342806424</v>
      </c>
      <c r="T678" s="107"/>
    </row>
    <row r="679" spans="1:20" x14ac:dyDescent="0.3">
      <c r="A679" t="s">
        <v>135</v>
      </c>
      <c r="B679" t="s">
        <v>883</v>
      </c>
      <c r="C679" t="s">
        <v>194</v>
      </c>
      <c r="D679" t="s">
        <v>377</v>
      </c>
      <c r="E679" s="178" t="s">
        <v>31</v>
      </c>
      <c r="F679" s="14" t="b">
        <f>OR(Transport_Table[[#This Row],[Feedstock]]="All",Transport_Table[[#This Row],[Feedstock]]=SelectedFeedstock)</f>
        <v>0</v>
      </c>
      <c r="G679" s="14" t="b">
        <f>OR(Transport_Table[[#This Row],[Conversion]]="All",Transport_Table[[#This Row],[Conversion]]=SelectedConversion)</f>
        <v>0</v>
      </c>
      <c r="H679" s="14" t="b">
        <f>OR(Transport_Table[[#This Row],[Data Set]]="All",Transport_Table[[#This Row],[Data Set]]=SelectedDataSet)</f>
        <v>0</v>
      </c>
      <c r="I679" s="14" t="b">
        <f>OR(Transport_Table[[#This Row],[Technology]]="All",Transport_Table[[#This Row],[Technology]]=SelectedTechnology)</f>
        <v>1</v>
      </c>
      <c r="J679" s="14" t="b">
        <f>OR(Transport_Table[[#This Row],[Data Source]]="All",Transport_Table[[#This Row],[Data Source]]=SelectedDataSource)</f>
        <v>0</v>
      </c>
      <c r="L679" s="14" t="b">
        <f>AND(Transport_Table[[#This Row],[Show Feedstock]:[Show Data Source]],NOT(Transport_Table[[#This Row],[Hide Column]]))</f>
        <v>0</v>
      </c>
      <c r="M679" s="14" t="s">
        <v>147</v>
      </c>
      <c r="N679" s="14" t="s">
        <v>1161</v>
      </c>
      <c r="O679" s="14" t="s">
        <v>1243</v>
      </c>
      <c r="P679" s="178" t="s">
        <v>1700</v>
      </c>
      <c r="Q679" s="165" t="s">
        <v>1938</v>
      </c>
      <c r="R679" s="199">
        <v>0.08</v>
      </c>
      <c r="S679" s="395">
        <v>519.99854667279999</v>
      </c>
      <c r="T679" s="107"/>
    </row>
    <row r="680" spans="1:20" x14ac:dyDescent="0.3">
      <c r="A680" t="s">
        <v>135</v>
      </c>
      <c r="B680" t="s">
        <v>883</v>
      </c>
      <c r="C680" t="s">
        <v>194</v>
      </c>
      <c r="D680" t="s">
        <v>377</v>
      </c>
      <c r="E680" s="178" t="s">
        <v>31</v>
      </c>
      <c r="F680" s="14" t="b">
        <f>OR(Transport_Table[[#This Row],[Feedstock]]="All",Transport_Table[[#This Row],[Feedstock]]=SelectedFeedstock)</f>
        <v>0</v>
      </c>
      <c r="G680" s="14" t="b">
        <f>OR(Transport_Table[[#This Row],[Conversion]]="All",Transport_Table[[#This Row],[Conversion]]=SelectedConversion)</f>
        <v>0</v>
      </c>
      <c r="H680" s="14" t="b">
        <f>OR(Transport_Table[[#This Row],[Data Set]]="All",Transport_Table[[#This Row],[Data Set]]=SelectedDataSet)</f>
        <v>0</v>
      </c>
      <c r="I680" s="14" t="b">
        <f>OR(Transport_Table[[#This Row],[Technology]]="All",Transport_Table[[#This Row],[Technology]]=SelectedTechnology)</f>
        <v>1</v>
      </c>
      <c r="J680" s="14" t="b">
        <f>OR(Transport_Table[[#This Row],[Data Source]]="All",Transport_Table[[#This Row],[Data Source]]=SelectedDataSource)</f>
        <v>0</v>
      </c>
      <c r="L680" s="14" t="b">
        <f>AND(Transport_Table[[#This Row],[Show Feedstock]:[Show Data Source]],NOT(Transport_Table[[#This Row],[Hide Column]]))</f>
        <v>0</v>
      </c>
      <c r="M680" s="14" t="s">
        <v>147</v>
      </c>
      <c r="N680" s="14" t="s">
        <v>1162</v>
      </c>
      <c r="O680" s="14" t="s">
        <v>1244</v>
      </c>
      <c r="P680" s="178" t="s">
        <v>1700</v>
      </c>
      <c r="Q680" s="165" t="s">
        <v>1942</v>
      </c>
      <c r="R680" s="199">
        <v>0</v>
      </c>
      <c r="S680" s="394">
        <v>0</v>
      </c>
      <c r="T680" s="107"/>
    </row>
    <row r="681" spans="1:20" x14ac:dyDescent="0.3">
      <c r="A681" t="s">
        <v>135</v>
      </c>
      <c r="B681" t="s">
        <v>883</v>
      </c>
      <c r="C681" t="s">
        <v>194</v>
      </c>
      <c r="D681" t="s">
        <v>377</v>
      </c>
      <c r="E681" s="178" t="s">
        <v>31</v>
      </c>
      <c r="F681" s="14" t="b">
        <f>OR(Transport_Table[[#This Row],[Feedstock]]="All",Transport_Table[[#This Row],[Feedstock]]=SelectedFeedstock)</f>
        <v>0</v>
      </c>
      <c r="G681" s="14" t="b">
        <f>OR(Transport_Table[[#This Row],[Conversion]]="All",Transport_Table[[#This Row],[Conversion]]=SelectedConversion)</f>
        <v>0</v>
      </c>
      <c r="H681" s="14" t="b">
        <f>OR(Transport_Table[[#This Row],[Data Set]]="All",Transport_Table[[#This Row],[Data Set]]=SelectedDataSet)</f>
        <v>0</v>
      </c>
      <c r="I681" s="14" t="b">
        <f>OR(Transport_Table[[#This Row],[Technology]]="All",Transport_Table[[#This Row],[Technology]]=SelectedTechnology)</f>
        <v>1</v>
      </c>
      <c r="J681" s="14" t="b">
        <f>OR(Transport_Table[[#This Row],[Data Source]]="All",Transport_Table[[#This Row],[Data Source]]=SelectedDataSource)</f>
        <v>0</v>
      </c>
      <c r="L681" s="14" t="b">
        <f>AND(Transport_Table[[#This Row],[Show Feedstock]:[Show Data Source]],NOT(Transport_Table[[#This Row],[Hide Column]]))</f>
        <v>0</v>
      </c>
      <c r="M681" s="14" t="s">
        <v>147</v>
      </c>
      <c r="N681" s="14" t="s">
        <v>1163</v>
      </c>
      <c r="O681" s="14" t="s">
        <v>1245</v>
      </c>
      <c r="P681" s="178" t="s">
        <v>1700</v>
      </c>
      <c r="Q681" s="165" t="s">
        <v>1939</v>
      </c>
      <c r="R681" s="199">
        <v>0.28999999999999998</v>
      </c>
      <c r="S681" s="395">
        <v>799.99776411200003</v>
      </c>
      <c r="T681" s="107"/>
    </row>
    <row r="682" spans="1:20" x14ac:dyDescent="0.3">
      <c r="A682" t="s">
        <v>135</v>
      </c>
      <c r="B682" t="s">
        <v>883</v>
      </c>
      <c r="C682" t="s">
        <v>194</v>
      </c>
      <c r="D682" t="s">
        <v>377</v>
      </c>
      <c r="E682" s="178" t="s">
        <v>31</v>
      </c>
      <c r="F682" s="14" t="b">
        <f>OR(Transport_Table[[#This Row],[Feedstock]]="All",Transport_Table[[#This Row],[Feedstock]]=SelectedFeedstock)</f>
        <v>0</v>
      </c>
      <c r="G682" s="14" t="b">
        <f>OR(Transport_Table[[#This Row],[Conversion]]="All",Transport_Table[[#This Row],[Conversion]]=SelectedConversion)</f>
        <v>0</v>
      </c>
      <c r="H682" s="14" t="b">
        <f>OR(Transport_Table[[#This Row],[Data Set]]="All",Transport_Table[[#This Row],[Data Set]]=SelectedDataSet)</f>
        <v>0</v>
      </c>
      <c r="I682" s="14" t="b">
        <f>OR(Transport_Table[[#This Row],[Technology]]="All",Transport_Table[[#This Row],[Technology]]=SelectedTechnology)</f>
        <v>1</v>
      </c>
      <c r="J682" s="14" t="b">
        <f>OR(Transport_Table[[#This Row],[Data Source]]="All",Transport_Table[[#This Row],[Data Source]]=SelectedDataSource)</f>
        <v>0</v>
      </c>
      <c r="L682" s="14" t="b">
        <f>AND(Transport_Table[[#This Row],[Show Feedstock]:[Show Data Source]],NOT(Transport_Table[[#This Row],[Hide Column]]))</f>
        <v>0</v>
      </c>
      <c r="M682" s="14" t="s">
        <v>147</v>
      </c>
      <c r="N682" s="14" t="s">
        <v>1164</v>
      </c>
      <c r="O682" s="14" t="s">
        <v>1246</v>
      </c>
      <c r="P682" s="178" t="s">
        <v>1700</v>
      </c>
      <c r="Q682" s="165" t="s">
        <v>1940</v>
      </c>
      <c r="R682" s="199">
        <v>0.63</v>
      </c>
      <c r="S682" s="395">
        <v>49.999860257000002</v>
      </c>
      <c r="T682" s="107"/>
    </row>
    <row r="683" spans="1:20" x14ac:dyDescent="0.3">
      <c r="A683" t="s">
        <v>135</v>
      </c>
      <c r="B683" t="s">
        <v>883</v>
      </c>
      <c r="C683" t="s">
        <v>194</v>
      </c>
      <c r="D683" t="s">
        <v>377</v>
      </c>
      <c r="E683" s="178" t="s">
        <v>31</v>
      </c>
      <c r="F683" s="14" t="b">
        <f>OR(Transport_Table[[#This Row],[Feedstock]]="All",Transport_Table[[#This Row],[Feedstock]]=SelectedFeedstock)</f>
        <v>0</v>
      </c>
      <c r="G683" s="14" t="b">
        <f>OR(Transport_Table[[#This Row],[Conversion]]="All",Transport_Table[[#This Row],[Conversion]]=SelectedConversion)</f>
        <v>0</v>
      </c>
      <c r="H683" s="14" t="b">
        <f>OR(Transport_Table[[#This Row],[Data Set]]="All",Transport_Table[[#This Row],[Data Set]]=SelectedDataSet)</f>
        <v>0</v>
      </c>
      <c r="I683" s="14" t="b">
        <f>OR(Transport_Table[[#This Row],[Technology]]="All",Transport_Table[[#This Row],[Technology]]=SelectedTechnology)</f>
        <v>1</v>
      </c>
      <c r="J683" s="14" t="b">
        <f>OR(Transport_Table[[#This Row],[Data Source]]="All",Transport_Table[[#This Row],[Data Source]]=SelectedDataSource)</f>
        <v>0</v>
      </c>
      <c r="L683" s="14" t="b">
        <f>AND(Transport_Table[[#This Row],[Show Feedstock]:[Show Data Source]],NOT(Transport_Table[[#This Row],[Hide Column]]))</f>
        <v>0</v>
      </c>
      <c r="M683" s="14" t="s">
        <v>147</v>
      </c>
      <c r="N683" s="14" t="s">
        <v>1165</v>
      </c>
      <c r="O683" s="14" t="s">
        <v>1247</v>
      </c>
      <c r="P683" s="178" t="s">
        <v>1701</v>
      </c>
      <c r="Q683" s="165" t="s">
        <v>1940</v>
      </c>
      <c r="R683" s="199">
        <v>1</v>
      </c>
      <c r="S683" s="395">
        <v>29.999916154200001</v>
      </c>
      <c r="T683" s="107"/>
    </row>
    <row r="684" spans="1:20" x14ac:dyDescent="0.3">
      <c r="A684" t="s">
        <v>135</v>
      </c>
      <c r="B684" t="s">
        <v>883</v>
      </c>
      <c r="C684" t="s">
        <v>194</v>
      </c>
      <c r="D684" t="s">
        <v>355</v>
      </c>
      <c r="E684" s="178" t="s">
        <v>31</v>
      </c>
      <c r="F684" s="14" t="b">
        <f>OR(Transport_Table[[#This Row],[Feedstock]]="All",Transport_Table[[#This Row],[Feedstock]]=SelectedFeedstock)</f>
        <v>0</v>
      </c>
      <c r="G684" s="14" t="b">
        <f>OR(Transport_Table[[#This Row],[Conversion]]="All",Transport_Table[[#This Row],[Conversion]]=SelectedConversion)</f>
        <v>0</v>
      </c>
      <c r="H684" s="14" t="b">
        <f>OR(Transport_Table[[#This Row],[Data Set]]="All",Transport_Table[[#This Row],[Data Set]]=SelectedDataSet)</f>
        <v>0</v>
      </c>
      <c r="I684" s="14" t="b">
        <f>OR(Transport_Table[[#This Row],[Technology]]="All",Transport_Table[[#This Row],[Technology]]=SelectedTechnology)</f>
        <v>1</v>
      </c>
      <c r="J684" s="14" t="b">
        <f>OR(Transport_Table[[#This Row],[Data Source]]="All",Transport_Table[[#This Row],[Data Source]]=SelectedDataSource)</f>
        <v>0</v>
      </c>
      <c r="K684" s="14" t="b">
        <v>1</v>
      </c>
      <c r="L684" s="14" t="b">
        <f>AND(Transport_Table[[#This Row],[Show Feedstock]:[Show Data Source]],NOT(Transport_Table[[#This Row],[Hide Column]]))</f>
        <v>0</v>
      </c>
      <c r="M684" s="14" t="s">
        <v>147</v>
      </c>
      <c r="N684" s="14" t="s">
        <v>1214</v>
      </c>
      <c r="O684" s="14" t="s">
        <v>1296</v>
      </c>
      <c r="P684" t="s">
        <v>135</v>
      </c>
      <c r="Q684" s="165" t="s">
        <v>1940</v>
      </c>
      <c r="R684" s="199">
        <v>1</v>
      </c>
      <c r="S684" s="395">
        <v>310.68549999999999</v>
      </c>
      <c r="T684" s="107"/>
    </row>
    <row r="685" spans="1:20" x14ac:dyDescent="0.3">
      <c r="A685" t="s">
        <v>135</v>
      </c>
      <c r="B685" t="s">
        <v>883</v>
      </c>
      <c r="C685" t="s">
        <v>194</v>
      </c>
      <c r="D685" t="s">
        <v>355</v>
      </c>
      <c r="E685" s="178" t="s">
        <v>31</v>
      </c>
      <c r="F685" s="14" t="b">
        <f>OR(Transport_Table[[#This Row],[Feedstock]]="All",Transport_Table[[#This Row],[Feedstock]]=SelectedFeedstock)</f>
        <v>0</v>
      </c>
      <c r="G685" s="14" t="b">
        <f>OR(Transport_Table[[#This Row],[Conversion]]="All",Transport_Table[[#This Row],[Conversion]]=SelectedConversion)</f>
        <v>0</v>
      </c>
      <c r="H685" s="14" t="b">
        <f>OR(Transport_Table[[#This Row],[Data Set]]="All",Transport_Table[[#This Row],[Data Set]]=SelectedDataSet)</f>
        <v>0</v>
      </c>
      <c r="I685" s="14" t="b">
        <f>OR(Transport_Table[[#This Row],[Technology]]="All",Transport_Table[[#This Row],[Technology]]=SelectedTechnology)</f>
        <v>1</v>
      </c>
      <c r="J685" s="14" t="b">
        <f>OR(Transport_Table[[#This Row],[Data Source]]="All",Transport_Table[[#This Row],[Data Source]]=SelectedDataSource)</f>
        <v>0</v>
      </c>
      <c r="L685" s="14" t="b">
        <f>AND(Transport_Table[[#This Row],[Show Feedstock]:[Show Data Source]],NOT(Transport_Table[[#This Row],[Hide Column]]))</f>
        <v>0</v>
      </c>
      <c r="M685" s="14" t="s">
        <v>147</v>
      </c>
      <c r="N685" s="14" t="s">
        <v>1161</v>
      </c>
      <c r="O685" s="14" t="s">
        <v>1243</v>
      </c>
      <c r="P685" s="178" t="s">
        <v>1700</v>
      </c>
      <c r="Q685" s="165" t="s">
        <v>1938</v>
      </c>
      <c r="R685" s="199">
        <v>0.08</v>
      </c>
      <c r="S685" s="395">
        <v>519.99854667279999</v>
      </c>
      <c r="T685" s="107"/>
    </row>
    <row r="686" spans="1:20" x14ac:dyDescent="0.3">
      <c r="A686" t="s">
        <v>135</v>
      </c>
      <c r="B686" t="s">
        <v>883</v>
      </c>
      <c r="C686" t="s">
        <v>194</v>
      </c>
      <c r="D686" t="s">
        <v>355</v>
      </c>
      <c r="E686" s="178" t="s">
        <v>31</v>
      </c>
      <c r="F686" s="14" t="b">
        <f>OR(Transport_Table[[#This Row],[Feedstock]]="All",Transport_Table[[#This Row],[Feedstock]]=SelectedFeedstock)</f>
        <v>0</v>
      </c>
      <c r="G686" s="14" t="b">
        <f>OR(Transport_Table[[#This Row],[Conversion]]="All",Transport_Table[[#This Row],[Conversion]]=SelectedConversion)</f>
        <v>0</v>
      </c>
      <c r="H686" s="14" t="b">
        <f>OR(Transport_Table[[#This Row],[Data Set]]="All",Transport_Table[[#This Row],[Data Set]]=SelectedDataSet)</f>
        <v>0</v>
      </c>
      <c r="I686" s="14" t="b">
        <f>OR(Transport_Table[[#This Row],[Technology]]="All",Transport_Table[[#This Row],[Technology]]=SelectedTechnology)</f>
        <v>1</v>
      </c>
      <c r="J686" s="14" t="b">
        <f>OR(Transport_Table[[#This Row],[Data Source]]="All",Transport_Table[[#This Row],[Data Source]]=SelectedDataSource)</f>
        <v>0</v>
      </c>
      <c r="L686" s="14" t="b">
        <f>AND(Transport_Table[[#This Row],[Show Feedstock]:[Show Data Source]],NOT(Transport_Table[[#This Row],[Hide Column]]))</f>
        <v>0</v>
      </c>
      <c r="M686" s="14" t="s">
        <v>147</v>
      </c>
      <c r="N686" s="14" t="s">
        <v>1162</v>
      </c>
      <c r="O686" s="14" t="s">
        <v>1244</v>
      </c>
      <c r="P686" s="178" t="s">
        <v>1700</v>
      </c>
      <c r="Q686" s="165" t="s">
        <v>1942</v>
      </c>
      <c r="R686" s="199">
        <v>0</v>
      </c>
      <c r="S686" s="394">
        <v>0</v>
      </c>
      <c r="T686" s="107"/>
    </row>
    <row r="687" spans="1:20" x14ac:dyDescent="0.3">
      <c r="A687" t="s">
        <v>135</v>
      </c>
      <c r="B687" t="s">
        <v>883</v>
      </c>
      <c r="C687" t="s">
        <v>194</v>
      </c>
      <c r="D687" t="s">
        <v>355</v>
      </c>
      <c r="E687" s="178" t="s">
        <v>31</v>
      </c>
      <c r="F687" s="14" t="b">
        <f>OR(Transport_Table[[#This Row],[Feedstock]]="All",Transport_Table[[#This Row],[Feedstock]]=SelectedFeedstock)</f>
        <v>0</v>
      </c>
      <c r="G687" s="14" t="b">
        <f>OR(Transport_Table[[#This Row],[Conversion]]="All",Transport_Table[[#This Row],[Conversion]]=SelectedConversion)</f>
        <v>0</v>
      </c>
      <c r="H687" s="14" t="b">
        <f>OR(Transport_Table[[#This Row],[Data Set]]="All",Transport_Table[[#This Row],[Data Set]]=SelectedDataSet)</f>
        <v>0</v>
      </c>
      <c r="I687" s="14" t="b">
        <f>OR(Transport_Table[[#This Row],[Technology]]="All",Transport_Table[[#This Row],[Technology]]=SelectedTechnology)</f>
        <v>1</v>
      </c>
      <c r="J687" s="14" t="b">
        <f>OR(Transport_Table[[#This Row],[Data Source]]="All",Transport_Table[[#This Row],[Data Source]]=SelectedDataSource)</f>
        <v>0</v>
      </c>
      <c r="L687" s="14" t="b">
        <f>AND(Transport_Table[[#This Row],[Show Feedstock]:[Show Data Source]],NOT(Transport_Table[[#This Row],[Hide Column]]))</f>
        <v>0</v>
      </c>
      <c r="M687" s="14" t="s">
        <v>147</v>
      </c>
      <c r="N687" s="14" t="s">
        <v>1163</v>
      </c>
      <c r="O687" s="14" t="s">
        <v>1245</v>
      </c>
      <c r="P687" s="178" t="s">
        <v>1700</v>
      </c>
      <c r="Q687" s="165" t="s">
        <v>1939</v>
      </c>
      <c r="R687" s="199">
        <v>0.28999999999999998</v>
      </c>
      <c r="S687" s="395">
        <v>799.99776411200003</v>
      </c>
      <c r="T687" s="107"/>
    </row>
    <row r="688" spans="1:20" x14ac:dyDescent="0.3">
      <c r="A688" t="s">
        <v>135</v>
      </c>
      <c r="B688" t="s">
        <v>883</v>
      </c>
      <c r="C688" t="s">
        <v>194</v>
      </c>
      <c r="D688" t="s">
        <v>355</v>
      </c>
      <c r="E688" s="178" t="s">
        <v>31</v>
      </c>
      <c r="F688" s="14" t="b">
        <f>OR(Transport_Table[[#This Row],[Feedstock]]="All",Transport_Table[[#This Row],[Feedstock]]=SelectedFeedstock)</f>
        <v>0</v>
      </c>
      <c r="G688" s="14" t="b">
        <f>OR(Transport_Table[[#This Row],[Conversion]]="All",Transport_Table[[#This Row],[Conversion]]=SelectedConversion)</f>
        <v>0</v>
      </c>
      <c r="H688" s="14" t="b">
        <f>OR(Transport_Table[[#This Row],[Data Set]]="All",Transport_Table[[#This Row],[Data Set]]=SelectedDataSet)</f>
        <v>0</v>
      </c>
      <c r="I688" s="14" t="b">
        <f>OR(Transport_Table[[#This Row],[Technology]]="All",Transport_Table[[#This Row],[Technology]]=SelectedTechnology)</f>
        <v>1</v>
      </c>
      <c r="J688" s="14" t="b">
        <f>OR(Transport_Table[[#This Row],[Data Source]]="All",Transport_Table[[#This Row],[Data Source]]=SelectedDataSource)</f>
        <v>0</v>
      </c>
      <c r="L688" s="14" t="b">
        <f>AND(Transport_Table[[#This Row],[Show Feedstock]:[Show Data Source]],NOT(Transport_Table[[#This Row],[Hide Column]]))</f>
        <v>0</v>
      </c>
      <c r="M688" s="14" t="s">
        <v>147</v>
      </c>
      <c r="N688" s="14" t="s">
        <v>1164</v>
      </c>
      <c r="O688" s="14" t="s">
        <v>1246</v>
      </c>
      <c r="P688" s="178" t="s">
        <v>1700</v>
      </c>
      <c r="Q688" s="165" t="s">
        <v>1940</v>
      </c>
      <c r="R688" s="199">
        <v>0.63</v>
      </c>
      <c r="S688" s="395">
        <v>49.999860257000002</v>
      </c>
      <c r="T688" s="107"/>
    </row>
    <row r="689" spans="1:20" x14ac:dyDescent="0.3">
      <c r="A689" t="s">
        <v>135</v>
      </c>
      <c r="B689" t="s">
        <v>883</v>
      </c>
      <c r="C689" t="s">
        <v>194</v>
      </c>
      <c r="D689" t="s">
        <v>355</v>
      </c>
      <c r="E689" s="178" t="s">
        <v>31</v>
      </c>
      <c r="F689" s="14" t="b">
        <f>OR(Transport_Table[[#This Row],[Feedstock]]="All",Transport_Table[[#This Row],[Feedstock]]=SelectedFeedstock)</f>
        <v>0</v>
      </c>
      <c r="G689" s="14" t="b">
        <f>OR(Transport_Table[[#This Row],[Conversion]]="All",Transport_Table[[#This Row],[Conversion]]=SelectedConversion)</f>
        <v>0</v>
      </c>
      <c r="H689" s="14" t="b">
        <f>OR(Transport_Table[[#This Row],[Data Set]]="All",Transport_Table[[#This Row],[Data Set]]=SelectedDataSet)</f>
        <v>0</v>
      </c>
      <c r="I689" s="14" t="b">
        <f>OR(Transport_Table[[#This Row],[Technology]]="All",Transport_Table[[#This Row],[Technology]]=SelectedTechnology)</f>
        <v>1</v>
      </c>
      <c r="J689" s="14" t="b">
        <f>OR(Transport_Table[[#This Row],[Data Source]]="All",Transport_Table[[#This Row],[Data Source]]=SelectedDataSource)</f>
        <v>0</v>
      </c>
      <c r="L689" s="14" t="b">
        <f>AND(Transport_Table[[#This Row],[Show Feedstock]:[Show Data Source]],NOT(Transport_Table[[#This Row],[Hide Column]]))</f>
        <v>0</v>
      </c>
      <c r="M689" s="14" t="s">
        <v>147</v>
      </c>
      <c r="N689" s="14" t="s">
        <v>1165</v>
      </c>
      <c r="O689" s="14" t="s">
        <v>1247</v>
      </c>
      <c r="P689" s="178" t="s">
        <v>1701</v>
      </c>
      <c r="Q689" s="165" t="s">
        <v>1940</v>
      </c>
      <c r="R689" s="199">
        <v>1</v>
      </c>
      <c r="S689" s="395">
        <v>29.999916154200001</v>
      </c>
      <c r="T689" s="107"/>
    </row>
    <row r="690" spans="1:20" x14ac:dyDescent="0.3">
      <c r="A690" t="s">
        <v>316</v>
      </c>
      <c r="B690" t="s">
        <v>883</v>
      </c>
      <c r="C690" t="s">
        <v>194</v>
      </c>
      <c r="D690" t="s">
        <v>377</v>
      </c>
      <c r="E690" s="178" t="s">
        <v>31</v>
      </c>
      <c r="F690" s="14" t="b">
        <f>OR(Transport_Table[[#This Row],[Feedstock]]="All",Transport_Table[[#This Row],[Feedstock]]=SelectedFeedstock)</f>
        <v>0</v>
      </c>
      <c r="G690" s="14" t="b">
        <f>OR(Transport_Table[[#This Row],[Conversion]]="All",Transport_Table[[#This Row],[Conversion]]=SelectedConversion)</f>
        <v>0</v>
      </c>
      <c r="H690" s="14" t="b">
        <f>OR(Transport_Table[[#This Row],[Data Set]]="All",Transport_Table[[#This Row],[Data Set]]=SelectedDataSet)</f>
        <v>0</v>
      </c>
      <c r="I690" s="14" t="b">
        <f>OR(Transport_Table[[#This Row],[Technology]]="All",Transport_Table[[#This Row],[Technology]]=SelectedTechnology)</f>
        <v>1</v>
      </c>
      <c r="J690" s="14" t="b">
        <f>OR(Transport_Table[[#This Row],[Data Source]]="All",Transport_Table[[#This Row],[Data Source]]=SelectedDataSource)</f>
        <v>0</v>
      </c>
      <c r="K690" s="14" t="b">
        <v>1</v>
      </c>
      <c r="L690" s="14" t="b">
        <f>AND(Transport_Table[[#This Row],[Show Feedstock]:[Show Data Source]],NOT(Transport_Table[[#This Row],[Hide Column]]))</f>
        <v>0</v>
      </c>
      <c r="M690" s="14" t="s">
        <v>147</v>
      </c>
      <c r="N690" s="14" t="s">
        <v>1206</v>
      </c>
      <c r="O690" s="14" t="s">
        <v>1288</v>
      </c>
      <c r="P690" t="s">
        <v>316</v>
      </c>
      <c r="Q690" s="165" t="s">
        <v>1940</v>
      </c>
      <c r="R690" s="199">
        <v>1</v>
      </c>
      <c r="S690" s="395">
        <v>89.974520800000008</v>
      </c>
      <c r="T690" s="107"/>
    </row>
    <row r="691" spans="1:20" x14ac:dyDescent="0.3">
      <c r="A691" t="s">
        <v>316</v>
      </c>
      <c r="B691" t="s">
        <v>883</v>
      </c>
      <c r="C691" t="s">
        <v>194</v>
      </c>
      <c r="D691" t="s">
        <v>377</v>
      </c>
      <c r="E691" s="178" t="s">
        <v>31</v>
      </c>
      <c r="F691" s="14" t="b">
        <f>OR(Transport_Table[[#This Row],[Feedstock]]="All",Transport_Table[[#This Row],[Feedstock]]=SelectedFeedstock)</f>
        <v>0</v>
      </c>
      <c r="G691" s="14" t="b">
        <f>OR(Transport_Table[[#This Row],[Conversion]]="All",Transport_Table[[#This Row],[Conversion]]=SelectedConversion)</f>
        <v>0</v>
      </c>
      <c r="H691" s="14" t="b">
        <f>OR(Transport_Table[[#This Row],[Data Set]]="All",Transport_Table[[#This Row],[Data Set]]=SelectedDataSet)</f>
        <v>0</v>
      </c>
      <c r="I691" s="14" t="b">
        <f>OR(Transport_Table[[#This Row],[Technology]]="All",Transport_Table[[#This Row],[Technology]]=SelectedTechnology)</f>
        <v>1</v>
      </c>
      <c r="J691" s="14" t="b">
        <f>OR(Transport_Table[[#This Row],[Data Source]]="All",Transport_Table[[#This Row],[Data Source]]=SelectedDataSource)</f>
        <v>0</v>
      </c>
      <c r="L691" s="14" t="b">
        <f>AND(Transport_Table[[#This Row],[Show Feedstock]:[Show Data Source]],NOT(Transport_Table[[#This Row],[Hide Column]]))</f>
        <v>0</v>
      </c>
      <c r="M691" s="14" t="s">
        <v>147</v>
      </c>
      <c r="N691" s="14" t="s">
        <v>1161</v>
      </c>
      <c r="O691" s="14" t="s">
        <v>1243</v>
      </c>
      <c r="P691" s="178" t="s">
        <v>1700</v>
      </c>
      <c r="Q691" s="165" t="s">
        <v>1938</v>
      </c>
      <c r="R691" s="199">
        <v>0.08</v>
      </c>
      <c r="S691" s="395">
        <v>519.99854667279999</v>
      </c>
      <c r="T691" s="107"/>
    </row>
    <row r="692" spans="1:20" x14ac:dyDescent="0.3">
      <c r="A692" t="s">
        <v>316</v>
      </c>
      <c r="B692" t="s">
        <v>883</v>
      </c>
      <c r="C692" t="s">
        <v>194</v>
      </c>
      <c r="D692" t="s">
        <v>377</v>
      </c>
      <c r="E692" s="178" t="s">
        <v>31</v>
      </c>
      <c r="F692" s="14" t="b">
        <f>OR(Transport_Table[[#This Row],[Feedstock]]="All",Transport_Table[[#This Row],[Feedstock]]=SelectedFeedstock)</f>
        <v>0</v>
      </c>
      <c r="G692" s="14" t="b">
        <f>OR(Transport_Table[[#This Row],[Conversion]]="All",Transport_Table[[#This Row],[Conversion]]=SelectedConversion)</f>
        <v>0</v>
      </c>
      <c r="H692" s="14" t="b">
        <f>OR(Transport_Table[[#This Row],[Data Set]]="All",Transport_Table[[#This Row],[Data Set]]=SelectedDataSet)</f>
        <v>0</v>
      </c>
      <c r="I692" s="14" t="b">
        <f>OR(Transport_Table[[#This Row],[Technology]]="All",Transport_Table[[#This Row],[Technology]]=SelectedTechnology)</f>
        <v>1</v>
      </c>
      <c r="J692" s="14" t="b">
        <f>OR(Transport_Table[[#This Row],[Data Source]]="All",Transport_Table[[#This Row],[Data Source]]=SelectedDataSource)</f>
        <v>0</v>
      </c>
      <c r="L692" s="14" t="b">
        <f>AND(Transport_Table[[#This Row],[Show Feedstock]:[Show Data Source]],NOT(Transport_Table[[#This Row],[Hide Column]]))</f>
        <v>0</v>
      </c>
      <c r="M692" s="14" t="s">
        <v>147</v>
      </c>
      <c r="N692" s="14" t="s">
        <v>1162</v>
      </c>
      <c r="O692" s="14" t="s">
        <v>1244</v>
      </c>
      <c r="P692" s="178" t="s">
        <v>1700</v>
      </c>
      <c r="Q692" s="165" t="s">
        <v>1942</v>
      </c>
      <c r="R692" s="199">
        <v>0</v>
      </c>
      <c r="S692" s="394">
        <v>0</v>
      </c>
      <c r="T692" s="107"/>
    </row>
    <row r="693" spans="1:20" x14ac:dyDescent="0.3">
      <c r="A693" t="s">
        <v>316</v>
      </c>
      <c r="B693" t="s">
        <v>883</v>
      </c>
      <c r="C693" t="s">
        <v>194</v>
      </c>
      <c r="D693" t="s">
        <v>377</v>
      </c>
      <c r="E693" s="178" t="s">
        <v>31</v>
      </c>
      <c r="F693" s="14" t="b">
        <f>OR(Transport_Table[[#This Row],[Feedstock]]="All",Transport_Table[[#This Row],[Feedstock]]=SelectedFeedstock)</f>
        <v>0</v>
      </c>
      <c r="G693" s="14" t="b">
        <f>OR(Transport_Table[[#This Row],[Conversion]]="All",Transport_Table[[#This Row],[Conversion]]=SelectedConversion)</f>
        <v>0</v>
      </c>
      <c r="H693" s="14" t="b">
        <f>OR(Transport_Table[[#This Row],[Data Set]]="All",Transport_Table[[#This Row],[Data Set]]=SelectedDataSet)</f>
        <v>0</v>
      </c>
      <c r="I693" s="14" t="b">
        <f>OR(Transport_Table[[#This Row],[Technology]]="All",Transport_Table[[#This Row],[Technology]]=SelectedTechnology)</f>
        <v>1</v>
      </c>
      <c r="J693" s="14" t="b">
        <f>OR(Transport_Table[[#This Row],[Data Source]]="All",Transport_Table[[#This Row],[Data Source]]=SelectedDataSource)</f>
        <v>0</v>
      </c>
      <c r="L693" s="14" t="b">
        <f>AND(Transport_Table[[#This Row],[Show Feedstock]:[Show Data Source]],NOT(Transport_Table[[#This Row],[Hide Column]]))</f>
        <v>0</v>
      </c>
      <c r="M693" s="14" t="s">
        <v>147</v>
      </c>
      <c r="N693" s="14" t="s">
        <v>1163</v>
      </c>
      <c r="O693" s="14" t="s">
        <v>1245</v>
      </c>
      <c r="P693" s="178" t="s">
        <v>1700</v>
      </c>
      <c r="Q693" s="165" t="s">
        <v>1939</v>
      </c>
      <c r="R693" s="199">
        <v>0.28999999999999998</v>
      </c>
      <c r="S693" s="395">
        <v>799.99776411200003</v>
      </c>
      <c r="T693" s="107"/>
    </row>
    <row r="694" spans="1:20" x14ac:dyDescent="0.3">
      <c r="A694" t="s">
        <v>316</v>
      </c>
      <c r="B694" t="s">
        <v>883</v>
      </c>
      <c r="C694" t="s">
        <v>194</v>
      </c>
      <c r="D694" t="s">
        <v>377</v>
      </c>
      <c r="E694" s="178" t="s">
        <v>31</v>
      </c>
      <c r="F694" s="14" t="b">
        <f>OR(Transport_Table[[#This Row],[Feedstock]]="All",Transport_Table[[#This Row],[Feedstock]]=SelectedFeedstock)</f>
        <v>0</v>
      </c>
      <c r="G694" s="14" t="b">
        <f>OR(Transport_Table[[#This Row],[Conversion]]="All",Transport_Table[[#This Row],[Conversion]]=SelectedConversion)</f>
        <v>0</v>
      </c>
      <c r="H694" s="14" t="b">
        <f>OR(Transport_Table[[#This Row],[Data Set]]="All",Transport_Table[[#This Row],[Data Set]]=SelectedDataSet)</f>
        <v>0</v>
      </c>
      <c r="I694" s="14" t="b">
        <f>OR(Transport_Table[[#This Row],[Technology]]="All",Transport_Table[[#This Row],[Technology]]=SelectedTechnology)</f>
        <v>1</v>
      </c>
      <c r="J694" s="14" t="b">
        <f>OR(Transport_Table[[#This Row],[Data Source]]="All",Transport_Table[[#This Row],[Data Source]]=SelectedDataSource)</f>
        <v>0</v>
      </c>
      <c r="L694" s="14" t="b">
        <f>AND(Transport_Table[[#This Row],[Show Feedstock]:[Show Data Source]],NOT(Transport_Table[[#This Row],[Hide Column]]))</f>
        <v>0</v>
      </c>
      <c r="M694" s="14" t="s">
        <v>147</v>
      </c>
      <c r="N694" s="14" t="s">
        <v>1164</v>
      </c>
      <c r="O694" s="14" t="s">
        <v>1246</v>
      </c>
      <c r="P694" s="178" t="s">
        <v>1700</v>
      </c>
      <c r="Q694" s="165" t="s">
        <v>1940</v>
      </c>
      <c r="R694" s="199">
        <v>0.63</v>
      </c>
      <c r="S694" s="395">
        <v>49.999860257000002</v>
      </c>
      <c r="T694" s="107"/>
    </row>
    <row r="695" spans="1:20" x14ac:dyDescent="0.3">
      <c r="A695" t="s">
        <v>316</v>
      </c>
      <c r="B695" t="s">
        <v>883</v>
      </c>
      <c r="C695" t="s">
        <v>194</v>
      </c>
      <c r="D695" t="s">
        <v>377</v>
      </c>
      <c r="E695" s="178" t="s">
        <v>31</v>
      </c>
      <c r="F695" s="14" t="b">
        <f>OR(Transport_Table[[#This Row],[Feedstock]]="All",Transport_Table[[#This Row],[Feedstock]]=SelectedFeedstock)</f>
        <v>0</v>
      </c>
      <c r="G695" s="14" t="b">
        <f>OR(Transport_Table[[#This Row],[Conversion]]="All",Transport_Table[[#This Row],[Conversion]]=SelectedConversion)</f>
        <v>0</v>
      </c>
      <c r="H695" s="14" t="b">
        <f>OR(Transport_Table[[#This Row],[Data Set]]="All",Transport_Table[[#This Row],[Data Set]]=SelectedDataSet)</f>
        <v>0</v>
      </c>
      <c r="I695" s="14" t="b">
        <f>OR(Transport_Table[[#This Row],[Technology]]="All",Transport_Table[[#This Row],[Technology]]=SelectedTechnology)</f>
        <v>1</v>
      </c>
      <c r="J695" s="14" t="b">
        <f>OR(Transport_Table[[#This Row],[Data Source]]="All",Transport_Table[[#This Row],[Data Source]]=SelectedDataSource)</f>
        <v>0</v>
      </c>
      <c r="L695" s="14" t="b">
        <f>AND(Transport_Table[[#This Row],[Show Feedstock]:[Show Data Source]],NOT(Transport_Table[[#This Row],[Hide Column]]))</f>
        <v>0</v>
      </c>
      <c r="M695" s="14" t="s">
        <v>147</v>
      </c>
      <c r="N695" s="14" t="s">
        <v>1165</v>
      </c>
      <c r="O695" s="14" t="s">
        <v>1247</v>
      </c>
      <c r="P695" s="178" t="s">
        <v>1701</v>
      </c>
      <c r="Q695" s="165" t="s">
        <v>1940</v>
      </c>
      <c r="R695" s="199">
        <v>1</v>
      </c>
      <c r="S695" s="395">
        <v>29.999916154200001</v>
      </c>
      <c r="T695" s="107"/>
    </row>
    <row r="696" spans="1:20" x14ac:dyDescent="0.3">
      <c r="A696" t="s">
        <v>316</v>
      </c>
      <c r="B696" t="s">
        <v>883</v>
      </c>
      <c r="C696" t="s">
        <v>194</v>
      </c>
      <c r="D696" t="s">
        <v>355</v>
      </c>
      <c r="E696" s="178" t="s">
        <v>31</v>
      </c>
      <c r="F696" s="14" t="b">
        <f>OR(Transport_Table[[#This Row],[Feedstock]]="All",Transport_Table[[#This Row],[Feedstock]]=SelectedFeedstock)</f>
        <v>0</v>
      </c>
      <c r="G696" s="14" t="b">
        <f>OR(Transport_Table[[#This Row],[Conversion]]="All",Transport_Table[[#This Row],[Conversion]]=SelectedConversion)</f>
        <v>0</v>
      </c>
      <c r="H696" s="14" t="b">
        <f>OR(Transport_Table[[#This Row],[Data Set]]="All",Transport_Table[[#This Row],[Data Set]]=SelectedDataSet)</f>
        <v>0</v>
      </c>
      <c r="I696" s="14" t="b">
        <f>OR(Transport_Table[[#This Row],[Technology]]="All",Transport_Table[[#This Row],[Technology]]=SelectedTechnology)</f>
        <v>1</v>
      </c>
      <c r="J696" s="14" t="b">
        <f>OR(Transport_Table[[#This Row],[Data Source]]="All",Transport_Table[[#This Row],[Data Source]]=SelectedDataSource)</f>
        <v>0</v>
      </c>
      <c r="K696" s="14" t="b">
        <v>1</v>
      </c>
      <c r="L696" s="14" t="b">
        <f>AND(Transport_Table[[#This Row],[Show Feedstock]:[Show Data Source]],NOT(Transport_Table[[#This Row],[Hide Column]]))</f>
        <v>0</v>
      </c>
      <c r="M696" s="14" t="s">
        <v>147</v>
      </c>
      <c r="N696" s="14" t="s">
        <v>1206</v>
      </c>
      <c r="O696" s="14" t="s">
        <v>1288</v>
      </c>
      <c r="P696" t="s">
        <v>316</v>
      </c>
      <c r="Q696" s="165" t="s">
        <v>1940</v>
      </c>
      <c r="R696" s="199">
        <v>1</v>
      </c>
      <c r="S696" s="395">
        <v>31.068550000000002</v>
      </c>
      <c r="T696" s="107"/>
    </row>
    <row r="697" spans="1:20" x14ac:dyDescent="0.3">
      <c r="A697" t="s">
        <v>316</v>
      </c>
      <c r="B697" t="s">
        <v>883</v>
      </c>
      <c r="C697" t="s">
        <v>194</v>
      </c>
      <c r="D697" t="s">
        <v>355</v>
      </c>
      <c r="E697" s="178" t="s">
        <v>31</v>
      </c>
      <c r="F697" s="14" t="b">
        <f>OR(Transport_Table[[#This Row],[Feedstock]]="All",Transport_Table[[#This Row],[Feedstock]]=SelectedFeedstock)</f>
        <v>0</v>
      </c>
      <c r="G697" s="14" t="b">
        <f>OR(Transport_Table[[#This Row],[Conversion]]="All",Transport_Table[[#This Row],[Conversion]]=SelectedConversion)</f>
        <v>0</v>
      </c>
      <c r="H697" s="14" t="b">
        <f>OR(Transport_Table[[#This Row],[Data Set]]="All",Transport_Table[[#This Row],[Data Set]]=SelectedDataSet)</f>
        <v>0</v>
      </c>
      <c r="I697" s="14" t="b">
        <f>OR(Transport_Table[[#This Row],[Technology]]="All",Transport_Table[[#This Row],[Technology]]=SelectedTechnology)</f>
        <v>1</v>
      </c>
      <c r="J697" s="14" t="b">
        <f>OR(Transport_Table[[#This Row],[Data Source]]="All",Transport_Table[[#This Row],[Data Source]]=SelectedDataSource)</f>
        <v>0</v>
      </c>
      <c r="L697" s="14" t="b">
        <f>AND(Transport_Table[[#This Row],[Show Feedstock]:[Show Data Source]],NOT(Transport_Table[[#This Row],[Hide Column]]))</f>
        <v>0</v>
      </c>
      <c r="M697" s="14" t="s">
        <v>147</v>
      </c>
      <c r="N697" s="14" t="s">
        <v>1161</v>
      </c>
      <c r="O697" s="14" t="s">
        <v>1243</v>
      </c>
      <c r="P697" s="178" t="s">
        <v>1700</v>
      </c>
      <c r="Q697" s="165" t="s">
        <v>1938</v>
      </c>
      <c r="R697" s="199">
        <v>0.08</v>
      </c>
      <c r="S697" s="395">
        <v>519.99854667279999</v>
      </c>
      <c r="T697" s="107"/>
    </row>
    <row r="698" spans="1:20" x14ac:dyDescent="0.3">
      <c r="A698" t="s">
        <v>316</v>
      </c>
      <c r="B698" t="s">
        <v>883</v>
      </c>
      <c r="C698" t="s">
        <v>194</v>
      </c>
      <c r="D698" t="s">
        <v>355</v>
      </c>
      <c r="E698" s="178" t="s">
        <v>31</v>
      </c>
      <c r="F698" s="14" t="b">
        <f>OR(Transport_Table[[#This Row],[Feedstock]]="All",Transport_Table[[#This Row],[Feedstock]]=SelectedFeedstock)</f>
        <v>0</v>
      </c>
      <c r="G698" s="14" t="b">
        <f>OR(Transport_Table[[#This Row],[Conversion]]="All",Transport_Table[[#This Row],[Conversion]]=SelectedConversion)</f>
        <v>0</v>
      </c>
      <c r="H698" s="14" t="b">
        <f>OR(Transport_Table[[#This Row],[Data Set]]="All",Transport_Table[[#This Row],[Data Set]]=SelectedDataSet)</f>
        <v>0</v>
      </c>
      <c r="I698" s="14" t="b">
        <f>OR(Transport_Table[[#This Row],[Technology]]="All",Transport_Table[[#This Row],[Technology]]=SelectedTechnology)</f>
        <v>1</v>
      </c>
      <c r="J698" s="14" t="b">
        <f>OR(Transport_Table[[#This Row],[Data Source]]="All",Transport_Table[[#This Row],[Data Source]]=SelectedDataSource)</f>
        <v>0</v>
      </c>
      <c r="L698" s="14" t="b">
        <f>AND(Transport_Table[[#This Row],[Show Feedstock]:[Show Data Source]],NOT(Transport_Table[[#This Row],[Hide Column]]))</f>
        <v>0</v>
      </c>
      <c r="M698" s="14" t="s">
        <v>147</v>
      </c>
      <c r="N698" s="14" t="s">
        <v>1162</v>
      </c>
      <c r="O698" s="14" t="s">
        <v>1244</v>
      </c>
      <c r="P698" s="178" t="s">
        <v>1700</v>
      </c>
      <c r="Q698" s="165" t="s">
        <v>1942</v>
      </c>
      <c r="R698" s="199">
        <v>0</v>
      </c>
      <c r="S698" s="394">
        <v>0</v>
      </c>
      <c r="T698" s="107"/>
    </row>
    <row r="699" spans="1:20" x14ac:dyDescent="0.3">
      <c r="A699" t="s">
        <v>316</v>
      </c>
      <c r="B699" t="s">
        <v>883</v>
      </c>
      <c r="C699" t="s">
        <v>194</v>
      </c>
      <c r="D699" t="s">
        <v>355</v>
      </c>
      <c r="E699" s="178" t="s">
        <v>31</v>
      </c>
      <c r="F699" s="14" t="b">
        <f>OR(Transport_Table[[#This Row],[Feedstock]]="All",Transport_Table[[#This Row],[Feedstock]]=SelectedFeedstock)</f>
        <v>0</v>
      </c>
      <c r="G699" s="14" t="b">
        <f>OR(Transport_Table[[#This Row],[Conversion]]="All",Transport_Table[[#This Row],[Conversion]]=SelectedConversion)</f>
        <v>0</v>
      </c>
      <c r="H699" s="14" t="b">
        <f>OR(Transport_Table[[#This Row],[Data Set]]="All",Transport_Table[[#This Row],[Data Set]]=SelectedDataSet)</f>
        <v>0</v>
      </c>
      <c r="I699" s="14" t="b">
        <f>OR(Transport_Table[[#This Row],[Technology]]="All",Transport_Table[[#This Row],[Technology]]=SelectedTechnology)</f>
        <v>1</v>
      </c>
      <c r="J699" s="14" t="b">
        <f>OR(Transport_Table[[#This Row],[Data Source]]="All",Transport_Table[[#This Row],[Data Source]]=SelectedDataSource)</f>
        <v>0</v>
      </c>
      <c r="L699" s="14" t="b">
        <f>AND(Transport_Table[[#This Row],[Show Feedstock]:[Show Data Source]],NOT(Transport_Table[[#This Row],[Hide Column]]))</f>
        <v>0</v>
      </c>
      <c r="M699" s="14" t="s">
        <v>147</v>
      </c>
      <c r="N699" s="14" t="s">
        <v>1163</v>
      </c>
      <c r="O699" s="14" t="s">
        <v>1245</v>
      </c>
      <c r="P699" s="178" t="s">
        <v>1700</v>
      </c>
      <c r="Q699" s="165" t="s">
        <v>1939</v>
      </c>
      <c r="R699" s="199">
        <v>0.28999999999999998</v>
      </c>
      <c r="S699" s="395">
        <v>799.99776411200003</v>
      </c>
      <c r="T699" s="107"/>
    </row>
    <row r="700" spans="1:20" x14ac:dyDescent="0.3">
      <c r="A700" t="s">
        <v>316</v>
      </c>
      <c r="B700" t="s">
        <v>883</v>
      </c>
      <c r="C700" t="s">
        <v>194</v>
      </c>
      <c r="D700" t="s">
        <v>355</v>
      </c>
      <c r="E700" s="178" t="s">
        <v>31</v>
      </c>
      <c r="F700" s="14" t="b">
        <f>OR(Transport_Table[[#This Row],[Feedstock]]="All",Transport_Table[[#This Row],[Feedstock]]=SelectedFeedstock)</f>
        <v>0</v>
      </c>
      <c r="G700" s="14" t="b">
        <f>OR(Transport_Table[[#This Row],[Conversion]]="All",Transport_Table[[#This Row],[Conversion]]=SelectedConversion)</f>
        <v>0</v>
      </c>
      <c r="H700" s="14" t="b">
        <f>OR(Transport_Table[[#This Row],[Data Set]]="All",Transport_Table[[#This Row],[Data Set]]=SelectedDataSet)</f>
        <v>0</v>
      </c>
      <c r="I700" s="14" t="b">
        <f>OR(Transport_Table[[#This Row],[Technology]]="All",Transport_Table[[#This Row],[Technology]]=SelectedTechnology)</f>
        <v>1</v>
      </c>
      <c r="J700" s="14" t="b">
        <f>OR(Transport_Table[[#This Row],[Data Source]]="All",Transport_Table[[#This Row],[Data Source]]=SelectedDataSource)</f>
        <v>0</v>
      </c>
      <c r="L700" s="14" t="b">
        <f>AND(Transport_Table[[#This Row],[Show Feedstock]:[Show Data Source]],NOT(Transport_Table[[#This Row],[Hide Column]]))</f>
        <v>0</v>
      </c>
      <c r="M700" s="14" t="s">
        <v>147</v>
      </c>
      <c r="N700" s="14" t="s">
        <v>1164</v>
      </c>
      <c r="O700" s="14" t="s">
        <v>1246</v>
      </c>
      <c r="P700" s="178" t="s">
        <v>1700</v>
      </c>
      <c r="Q700" s="165" t="s">
        <v>1940</v>
      </c>
      <c r="R700" s="199">
        <v>0.63</v>
      </c>
      <c r="S700" s="395">
        <v>49.999860257000002</v>
      </c>
      <c r="T700" s="107"/>
    </row>
    <row r="701" spans="1:20" x14ac:dyDescent="0.3">
      <c r="A701" t="s">
        <v>316</v>
      </c>
      <c r="B701" t="s">
        <v>883</v>
      </c>
      <c r="C701" t="s">
        <v>194</v>
      </c>
      <c r="D701" t="s">
        <v>355</v>
      </c>
      <c r="E701" s="178" t="s">
        <v>31</v>
      </c>
      <c r="F701" s="14" t="b">
        <f>OR(Transport_Table[[#This Row],[Feedstock]]="All",Transport_Table[[#This Row],[Feedstock]]=SelectedFeedstock)</f>
        <v>0</v>
      </c>
      <c r="G701" s="14" t="b">
        <f>OR(Transport_Table[[#This Row],[Conversion]]="All",Transport_Table[[#This Row],[Conversion]]=SelectedConversion)</f>
        <v>0</v>
      </c>
      <c r="H701" s="14" t="b">
        <f>OR(Transport_Table[[#This Row],[Data Set]]="All",Transport_Table[[#This Row],[Data Set]]=SelectedDataSet)</f>
        <v>0</v>
      </c>
      <c r="I701" s="14" t="b">
        <f>OR(Transport_Table[[#This Row],[Technology]]="All",Transport_Table[[#This Row],[Technology]]=SelectedTechnology)</f>
        <v>1</v>
      </c>
      <c r="J701" s="14" t="b">
        <f>OR(Transport_Table[[#This Row],[Data Source]]="All",Transport_Table[[#This Row],[Data Source]]=SelectedDataSource)</f>
        <v>0</v>
      </c>
      <c r="L701" s="14" t="b">
        <f>AND(Transport_Table[[#This Row],[Show Feedstock]:[Show Data Source]],NOT(Transport_Table[[#This Row],[Hide Column]]))</f>
        <v>0</v>
      </c>
      <c r="M701" s="14" t="s">
        <v>147</v>
      </c>
      <c r="N701" s="14" t="s">
        <v>1165</v>
      </c>
      <c r="O701" s="14" t="s">
        <v>1247</v>
      </c>
      <c r="P701" s="178" t="s">
        <v>1701</v>
      </c>
      <c r="Q701" s="165" t="s">
        <v>1940</v>
      </c>
      <c r="R701" s="199">
        <v>1</v>
      </c>
      <c r="S701" s="395">
        <v>29.999916154200001</v>
      </c>
      <c r="T701" s="107"/>
    </row>
    <row r="702" spans="1:20" x14ac:dyDescent="0.3">
      <c r="A702" t="s">
        <v>136</v>
      </c>
      <c r="B702" t="s">
        <v>883</v>
      </c>
      <c r="C702" t="s">
        <v>194</v>
      </c>
      <c r="D702" t="s">
        <v>377</v>
      </c>
      <c r="E702" s="178" t="s">
        <v>31</v>
      </c>
      <c r="F702" s="14" t="b">
        <f>OR(Transport_Table[[#This Row],[Feedstock]]="All",Transport_Table[[#This Row],[Feedstock]]=SelectedFeedstock)</f>
        <v>0</v>
      </c>
      <c r="G702" s="14" t="b">
        <f>OR(Transport_Table[[#This Row],[Conversion]]="All",Transport_Table[[#This Row],[Conversion]]=SelectedConversion)</f>
        <v>0</v>
      </c>
      <c r="H702" s="14" t="b">
        <f>OR(Transport_Table[[#This Row],[Data Set]]="All",Transport_Table[[#This Row],[Data Set]]=SelectedDataSet)</f>
        <v>0</v>
      </c>
      <c r="I702" s="14" t="b">
        <f>OR(Transport_Table[[#This Row],[Technology]]="All",Transport_Table[[#This Row],[Technology]]=SelectedTechnology)</f>
        <v>1</v>
      </c>
      <c r="J702" s="14" t="b">
        <f>OR(Transport_Table[[#This Row],[Data Source]]="All",Transport_Table[[#This Row],[Data Source]]=SelectedDataSource)</f>
        <v>0</v>
      </c>
      <c r="K702" s="14" t="b">
        <v>1</v>
      </c>
      <c r="L702" s="14" t="b">
        <f>AND(Transport_Table[[#This Row],[Show Feedstock]:[Show Data Source]],NOT(Transport_Table[[#This Row],[Hide Column]]))</f>
        <v>0</v>
      </c>
      <c r="M702" s="14" t="s">
        <v>14</v>
      </c>
      <c r="N702" s="14" t="s">
        <v>1215</v>
      </c>
      <c r="O702" s="14" t="s">
        <v>1297</v>
      </c>
      <c r="P702" t="s">
        <v>136</v>
      </c>
      <c r="Q702" s="165" t="s">
        <v>1938</v>
      </c>
      <c r="R702" s="199">
        <v>0</v>
      </c>
      <c r="S702" s="394">
        <v>0</v>
      </c>
      <c r="T702" s="107"/>
    </row>
    <row r="703" spans="1:20" x14ac:dyDescent="0.3">
      <c r="A703" t="s">
        <v>136</v>
      </c>
      <c r="B703" t="s">
        <v>883</v>
      </c>
      <c r="C703" t="s">
        <v>194</v>
      </c>
      <c r="D703" t="s">
        <v>377</v>
      </c>
      <c r="E703" s="178" t="s">
        <v>31</v>
      </c>
      <c r="F703" s="14" t="b">
        <f>OR(Transport_Table[[#This Row],[Feedstock]]="All",Transport_Table[[#This Row],[Feedstock]]=SelectedFeedstock)</f>
        <v>0</v>
      </c>
      <c r="G703" s="14" t="b">
        <f>OR(Transport_Table[[#This Row],[Conversion]]="All",Transport_Table[[#This Row],[Conversion]]=SelectedConversion)</f>
        <v>0</v>
      </c>
      <c r="H703" s="14" t="b">
        <f>OR(Transport_Table[[#This Row],[Data Set]]="All",Transport_Table[[#This Row],[Data Set]]=SelectedDataSet)</f>
        <v>0</v>
      </c>
      <c r="I703" s="14" t="b">
        <f>OR(Transport_Table[[#This Row],[Technology]]="All",Transport_Table[[#This Row],[Technology]]=SelectedTechnology)</f>
        <v>1</v>
      </c>
      <c r="J703" s="14" t="b">
        <f>OR(Transport_Table[[#This Row],[Data Source]]="All",Transport_Table[[#This Row],[Data Source]]=SelectedDataSource)</f>
        <v>0</v>
      </c>
      <c r="K703" s="14" t="b">
        <v>1</v>
      </c>
      <c r="L703" s="14" t="b">
        <f>AND(Transport_Table[[#This Row],[Show Feedstock]:[Show Data Source]],NOT(Transport_Table[[#This Row],[Hide Column]]))</f>
        <v>0</v>
      </c>
      <c r="M703" s="14" t="s">
        <v>14</v>
      </c>
      <c r="N703" s="14" t="s">
        <v>1216</v>
      </c>
      <c r="O703" s="14" t="s">
        <v>1298</v>
      </c>
      <c r="P703" t="s">
        <v>136</v>
      </c>
      <c r="Q703" s="165" t="s">
        <v>1942</v>
      </c>
      <c r="R703" s="199">
        <v>0</v>
      </c>
      <c r="S703" s="394">
        <v>0</v>
      </c>
      <c r="T703" s="107"/>
    </row>
    <row r="704" spans="1:20" x14ac:dyDescent="0.3">
      <c r="A704" t="s">
        <v>136</v>
      </c>
      <c r="B704" t="s">
        <v>883</v>
      </c>
      <c r="C704" t="s">
        <v>194</v>
      </c>
      <c r="D704" t="s">
        <v>377</v>
      </c>
      <c r="E704" s="178" t="s">
        <v>31</v>
      </c>
      <c r="F704" s="14" t="b">
        <f>OR(Transport_Table[[#This Row],[Feedstock]]="All",Transport_Table[[#This Row],[Feedstock]]=SelectedFeedstock)</f>
        <v>0</v>
      </c>
      <c r="G704" s="14" t="b">
        <f>OR(Transport_Table[[#This Row],[Conversion]]="All",Transport_Table[[#This Row],[Conversion]]=SelectedConversion)</f>
        <v>0</v>
      </c>
      <c r="H704" s="14" t="b">
        <f>OR(Transport_Table[[#This Row],[Data Set]]="All",Transport_Table[[#This Row],[Data Set]]=SelectedDataSet)</f>
        <v>0</v>
      </c>
      <c r="I704" s="14" t="b">
        <f>OR(Transport_Table[[#This Row],[Technology]]="All",Transport_Table[[#This Row],[Technology]]=SelectedTechnology)</f>
        <v>1</v>
      </c>
      <c r="J704" s="14" t="b">
        <f>OR(Transport_Table[[#This Row],[Data Source]]="All",Transport_Table[[#This Row],[Data Source]]=SelectedDataSource)</f>
        <v>0</v>
      </c>
      <c r="K704" s="14" t="b">
        <v>1</v>
      </c>
      <c r="L704" s="14" t="b">
        <f>AND(Transport_Table[[#This Row],[Show Feedstock]:[Show Data Source]],NOT(Transport_Table[[#This Row],[Hide Column]]))</f>
        <v>0</v>
      </c>
      <c r="M704" s="14" t="s">
        <v>14</v>
      </c>
      <c r="N704" s="14" t="s">
        <v>1217</v>
      </c>
      <c r="O704" s="14" t="s">
        <v>1299</v>
      </c>
      <c r="P704" t="s">
        <v>136</v>
      </c>
      <c r="Q704" s="165" t="s">
        <v>1941</v>
      </c>
      <c r="R704" s="199">
        <v>0</v>
      </c>
      <c r="S704" s="394">
        <v>0</v>
      </c>
      <c r="T704" s="107"/>
    </row>
    <row r="705" spans="1:20" x14ac:dyDescent="0.3">
      <c r="A705" t="s">
        <v>136</v>
      </c>
      <c r="B705" t="s">
        <v>883</v>
      </c>
      <c r="C705" t="s">
        <v>194</v>
      </c>
      <c r="D705" t="s">
        <v>377</v>
      </c>
      <c r="E705" s="178" t="s">
        <v>31</v>
      </c>
      <c r="F705" s="14" t="b">
        <f>OR(Transport_Table[[#This Row],[Feedstock]]="All",Transport_Table[[#This Row],[Feedstock]]=SelectedFeedstock)</f>
        <v>0</v>
      </c>
      <c r="G705" s="14" t="b">
        <f>OR(Transport_Table[[#This Row],[Conversion]]="All",Transport_Table[[#This Row],[Conversion]]=SelectedConversion)</f>
        <v>0</v>
      </c>
      <c r="H705" s="14" t="b">
        <f>OR(Transport_Table[[#This Row],[Data Set]]="All",Transport_Table[[#This Row],[Data Set]]=SelectedDataSet)</f>
        <v>0</v>
      </c>
      <c r="I705" s="14" t="b">
        <f>OR(Transport_Table[[#This Row],[Technology]]="All",Transport_Table[[#This Row],[Technology]]=SelectedTechnology)</f>
        <v>1</v>
      </c>
      <c r="J705" s="14" t="b">
        <f>OR(Transport_Table[[#This Row],[Data Source]]="All",Transport_Table[[#This Row],[Data Source]]=SelectedDataSource)</f>
        <v>0</v>
      </c>
      <c r="K705" s="14" t="b">
        <v>1</v>
      </c>
      <c r="L705" s="14" t="b">
        <f>AND(Transport_Table[[#This Row],[Show Feedstock]:[Show Data Source]],NOT(Transport_Table[[#This Row],[Hide Column]]))</f>
        <v>0</v>
      </c>
      <c r="M705" s="14" t="s">
        <v>14</v>
      </c>
      <c r="N705" s="14" t="s">
        <v>1218</v>
      </c>
      <c r="O705" s="14" t="s">
        <v>1300</v>
      </c>
      <c r="P705" t="s">
        <v>136</v>
      </c>
      <c r="Q705" s="165" t="s">
        <v>1940</v>
      </c>
      <c r="R705" s="199">
        <v>1</v>
      </c>
      <c r="S705" s="395">
        <v>11.999966461680001</v>
      </c>
      <c r="T705" s="107"/>
    </row>
    <row r="706" spans="1:20" x14ac:dyDescent="0.3">
      <c r="A706" t="s">
        <v>136</v>
      </c>
      <c r="B706" t="s">
        <v>883</v>
      </c>
      <c r="C706" t="s">
        <v>194</v>
      </c>
      <c r="D706" t="s">
        <v>377</v>
      </c>
      <c r="E706" s="178" t="s">
        <v>31</v>
      </c>
      <c r="F706" s="14" t="b">
        <f>OR(Transport_Table[[#This Row],[Feedstock]]="All",Transport_Table[[#This Row],[Feedstock]]=SelectedFeedstock)</f>
        <v>0</v>
      </c>
      <c r="G706" s="14" t="b">
        <f>OR(Transport_Table[[#This Row],[Conversion]]="All",Transport_Table[[#This Row],[Conversion]]=SelectedConversion)</f>
        <v>0</v>
      </c>
      <c r="H706" s="14" t="b">
        <f>OR(Transport_Table[[#This Row],[Data Set]]="All",Transport_Table[[#This Row],[Data Set]]=SelectedDataSet)</f>
        <v>0</v>
      </c>
      <c r="I706" s="14" t="b">
        <f>OR(Transport_Table[[#This Row],[Technology]]="All",Transport_Table[[#This Row],[Technology]]=SelectedTechnology)</f>
        <v>1</v>
      </c>
      <c r="J706" s="14" t="b">
        <f>OR(Transport_Table[[#This Row],[Data Source]]="All",Transport_Table[[#This Row],[Data Source]]=SelectedDataSource)</f>
        <v>0</v>
      </c>
      <c r="L706" s="14" t="b">
        <f>AND(Transport_Table[[#This Row],[Show Feedstock]:[Show Data Source]],NOT(Transport_Table[[#This Row],[Hide Column]]))</f>
        <v>0</v>
      </c>
      <c r="M706" s="14" t="s">
        <v>14</v>
      </c>
      <c r="N706" s="14" t="s">
        <v>1161</v>
      </c>
      <c r="O706" s="14" t="s">
        <v>1243</v>
      </c>
      <c r="P706" s="178" t="s">
        <v>1700</v>
      </c>
      <c r="Q706" s="165" t="s">
        <v>1938</v>
      </c>
      <c r="R706" s="199">
        <v>0.08</v>
      </c>
      <c r="S706" s="395">
        <v>519.99854667279999</v>
      </c>
      <c r="T706" s="107"/>
    </row>
    <row r="707" spans="1:20" x14ac:dyDescent="0.3">
      <c r="A707" t="s">
        <v>136</v>
      </c>
      <c r="B707" t="s">
        <v>883</v>
      </c>
      <c r="C707" t="s">
        <v>194</v>
      </c>
      <c r="D707" t="s">
        <v>377</v>
      </c>
      <c r="E707" s="178" t="s">
        <v>31</v>
      </c>
      <c r="F707" s="14" t="b">
        <f>OR(Transport_Table[[#This Row],[Feedstock]]="All",Transport_Table[[#This Row],[Feedstock]]=SelectedFeedstock)</f>
        <v>0</v>
      </c>
      <c r="G707" s="14" t="b">
        <f>OR(Transport_Table[[#This Row],[Conversion]]="All",Transport_Table[[#This Row],[Conversion]]=SelectedConversion)</f>
        <v>0</v>
      </c>
      <c r="H707" s="14" t="b">
        <f>OR(Transport_Table[[#This Row],[Data Set]]="All",Transport_Table[[#This Row],[Data Set]]=SelectedDataSet)</f>
        <v>0</v>
      </c>
      <c r="I707" s="14" t="b">
        <f>OR(Transport_Table[[#This Row],[Technology]]="All",Transport_Table[[#This Row],[Technology]]=SelectedTechnology)</f>
        <v>1</v>
      </c>
      <c r="J707" s="14" t="b">
        <f>OR(Transport_Table[[#This Row],[Data Source]]="All",Transport_Table[[#This Row],[Data Source]]=SelectedDataSource)</f>
        <v>0</v>
      </c>
      <c r="L707" s="14" t="b">
        <f>AND(Transport_Table[[#This Row],[Show Feedstock]:[Show Data Source]],NOT(Transport_Table[[#This Row],[Hide Column]]))</f>
        <v>0</v>
      </c>
      <c r="M707" s="14" t="s">
        <v>14</v>
      </c>
      <c r="N707" s="14" t="s">
        <v>1162</v>
      </c>
      <c r="O707" s="14" t="s">
        <v>1244</v>
      </c>
      <c r="P707" s="178" t="s">
        <v>1700</v>
      </c>
      <c r="Q707" s="165" t="s">
        <v>1942</v>
      </c>
      <c r="R707" s="199">
        <v>0</v>
      </c>
      <c r="S707" s="394">
        <v>0</v>
      </c>
      <c r="T707" s="107"/>
    </row>
    <row r="708" spans="1:20" x14ac:dyDescent="0.3">
      <c r="A708" t="s">
        <v>136</v>
      </c>
      <c r="B708" t="s">
        <v>883</v>
      </c>
      <c r="C708" t="s">
        <v>194</v>
      </c>
      <c r="D708" t="s">
        <v>377</v>
      </c>
      <c r="E708" s="178" t="s">
        <v>31</v>
      </c>
      <c r="F708" s="14" t="b">
        <f>OR(Transport_Table[[#This Row],[Feedstock]]="All",Transport_Table[[#This Row],[Feedstock]]=SelectedFeedstock)</f>
        <v>0</v>
      </c>
      <c r="G708" s="14" t="b">
        <f>OR(Transport_Table[[#This Row],[Conversion]]="All",Transport_Table[[#This Row],[Conversion]]=SelectedConversion)</f>
        <v>0</v>
      </c>
      <c r="H708" s="14" t="b">
        <f>OR(Transport_Table[[#This Row],[Data Set]]="All",Transport_Table[[#This Row],[Data Set]]=SelectedDataSet)</f>
        <v>0</v>
      </c>
      <c r="I708" s="14" t="b">
        <f>OR(Transport_Table[[#This Row],[Technology]]="All",Transport_Table[[#This Row],[Technology]]=SelectedTechnology)</f>
        <v>1</v>
      </c>
      <c r="J708" s="14" t="b">
        <f>OR(Transport_Table[[#This Row],[Data Source]]="All",Transport_Table[[#This Row],[Data Source]]=SelectedDataSource)</f>
        <v>0</v>
      </c>
      <c r="L708" s="14" t="b">
        <f>AND(Transport_Table[[#This Row],[Show Feedstock]:[Show Data Source]],NOT(Transport_Table[[#This Row],[Hide Column]]))</f>
        <v>0</v>
      </c>
      <c r="M708" s="14" t="s">
        <v>14</v>
      </c>
      <c r="N708" s="14" t="s">
        <v>1163</v>
      </c>
      <c r="O708" s="14" t="s">
        <v>1245</v>
      </c>
      <c r="P708" s="178" t="s">
        <v>1700</v>
      </c>
      <c r="Q708" s="165" t="s">
        <v>1939</v>
      </c>
      <c r="R708" s="199">
        <v>0.28999999999999998</v>
      </c>
      <c r="S708" s="395">
        <v>799.99776411200003</v>
      </c>
      <c r="T708" s="107"/>
    </row>
    <row r="709" spans="1:20" x14ac:dyDescent="0.3">
      <c r="A709" t="s">
        <v>136</v>
      </c>
      <c r="B709" t="s">
        <v>883</v>
      </c>
      <c r="C709" t="s">
        <v>194</v>
      </c>
      <c r="D709" t="s">
        <v>377</v>
      </c>
      <c r="E709" s="178" t="s">
        <v>31</v>
      </c>
      <c r="F709" s="14" t="b">
        <f>OR(Transport_Table[[#This Row],[Feedstock]]="All",Transport_Table[[#This Row],[Feedstock]]=SelectedFeedstock)</f>
        <v>0</v>
      </c>
      <c r="G709" s="14" t="b">
        <f>OR(Transport_Table[[#This Row],[Conversion]]="All",Transport_Table[[#This Row],[Conversion]]=SelectedConversion)</f>
        <v>0</v>
      </c>
      <c r="H709" s="14" t="b">
        <f>OR(Transport_Table[[#This Row],[Data Set]]="All",Transport_Table[[#This Row],[Data Set]]=SelectedDataSet)</f>
        <v>0</v>
      </c>
      <c r="I709" s="14" t="b">
        <f>OR(Transport_Table[[#This Row],[Technology]]="All",Transport_Table[[#This Row],[Technology]]=SelectedTechnology)</f>
        <v>1</v>
      </c>
      <c r="J709" s="14" t="b">
        <f>OR(Transport_Table[[#This Row],[Data Source]]="All",Transport_Table[[#This Row],[Data Source]]=SelectedDataSource)</f>
        <v>0</v>
      </c>
      <c r="L709" s="14" t="b">
        <f>AND(Transport_Table[[#This Row],[Show Feedstock]:[Show Data Source]],NOT(Transport_Table[[#This Row],[Hide Column]]))</f>
        <v>0</v>
      </c>
      <c r="M709" s="14" t="s">
        <v>14</v>
      </c>
      <c r="N709" s="14" t="s">
        <v>1164</v>
      </c>
      <c r="O709" s="14" t="s">
        <v>1246</v>
      </c>
      <c r="P709" s="178" t="s">
        <v>1700</v>
      </c>
      <c r="Q709" s="165" t="s">
        <v>1940</v>
      </c>
      <c r="R709" s="199">
        <v>0.63</v>
      </c>
      <c r="S709" s="395">
        <v>49.999860257000002</v>
      </c>
      <c r="T709" s="107"/>
    </row>
    <row r="710" spans="1:20" x14ac:dyDescent="0.3">
      <c r="A710" t="s">
        <v>136</v>
      </c>
      <c r="B710" t="s">
        <v>883</v>
      </c>
      <c r="C710" t="s">
        <v>194</v>
      </c>
      <c r="D710" t="s">
        <v>377</v>
      </c>
      <c r="E710" s="178" t="s">
        <v>31</v>
      </c>
      <c r="F710" s="14" t="b">
        <f>OR(Transport_Table[[#This Row],[Feedstock]]="All",Transport_Table[[#This Row],[Feedstock]]=SelectedFeedstock)</f>
        <v>0</v>
      </c>
      <c r="G710" s="14" t="b">
        <f>OR(Transport_Table[[#This Row],[Conversion]]="All",Transport_Table[[#This Row],[Conversion]]=SelectedConversion)</f>
        <v>0</v>
      </c>
      <c r="H710" s="14" t="b">
        <f>OR(Transport_Table[[#This Row],[Data Set]]="All",Transport_Table[[#This Row],[Data Set]]=SelectedDataSet)</f>
        <v>0</v>
      </c>
      <c r="I710" s="14" t="b">
        <f>OR(Transport_Table[[#This Row],[Technology]]="All",Transport_Table[[#This Row],[Technology]]=SelectedTechnology)</f>
        <v>1</v>
      </c>
      <c r="J710" s="14" t="b">
        <f>OR(Transport_Table[[#This Row],[Data Source]]="All",Transport_Table[[#This Row],[Data Source]]=SelectedDataSource)</f>
        <v>0</v>
      </c>
      <c r="L710" s="14" t="b">
        <f>AND(Transport_Table[[#This Row],[Show Feedstock]:[Show Data Source]],NOT(Transport_Table[[#This Row],[Hide Column]]))</f>
        <v>0</v>
      </c>
      <c r="M710" s="14" t="s">
        <v>14</v>
      </c>
      <c r="N710" s="14" t="s">
        <v>1165</v>
      </c>
      <c r="O710" s="14" t="s">
        <v>1247</v>
      </c>
      <c r="P710" s="178" t="s">
        <v>1701</v>
      </c>
      <c r="Q710" s="165" t="s">
        <v>1940</v>
      </c>
      <c r="R710" s="199">
        <v>1</v>
      </c>
      <c r="S710" s="395">
        <v>29.999916154200001</v>
      </c>
      <c r="T710" s="107"/>
    </row>
    <row r="711" spans="1:20" x14ac:dyDescent="0.3">
      <c r="A711" t="s">
        <v>133</v>
      </c>
      <c r="B711" t="s">
        <v>883</v>
      </c>
      <c r="C711" t="s">
        <v>194</v>
      </c>
      <c r="D711" t="s">
        <v>377</v>
      </c>
      <c r="E711" s="178" t="s">
        <v>31</v>
      </c>
      <c r="F711" s="14" t="b">
        <f>OR(Transport_Table[[#This Row],[Feedstock]]="All",Transport_Table[[#This Row],[Feedstock]]=SelectedFeedstock)</f>
        <v>0</v>
      </c>
      <c r="G711" s="14" t="b">
        <f>OR(Transport_Table[[#This Row],[Conversion]]="All",Transport_Table[[#This Row],[Conversion]]=SelectedConversion)</f>
        <v>0</v>
      </c>
      <c r="H711" s="14" t="b">
        <f>OR(Transport_Table[[#This Row],[Data Set]]="All",Transport_Table[[#This Row],[Data Set]]=SelectedDataSet)</f>
        <v>0</v>
      </c>
      <c r="I711" s="14" t="b">
        <f>OR(Transport_Table[[#This Row],[Technology]]="All",Transport_Table[[#This Row],[Technology]]=SelectedTechnology)</f>
        <v>1</v>
      </c>
      <c r="J711" s="14" t="b">
        <f>OR(Transport_Table[[#This Row],[Data Source]]="All",Transport_Table[[#This Row],[Data Source]]=SelectedDataSource)</f>
        <v>0</v>
      </c>
      <c r="K711" s="14" t="b">
        <v>1</v>
      </c>
      <c r="L711" s="14" t="b">
        <f>AND(Transport_Table[[#This Row],[Show Feedstock]:[Show Data Source]],NOT(Transport_Table[[#This Row],[Hide Column]]))</f>
        <v>0</v>
      </c>
      <c r="M711" s="14" t="s">
        <v>14</v>
      </c>
      <c r="N711" s="14" t="s">
        <v>1212</v>
      </c>
      <c r="O711" s="14" t="s">
        <v>1294</v>
      </c>
      <c r="P711" t="s">
        <v>133</v>
      </c>
      <c r="Q711" s="165" t="s">
        <v>1940</v>
      </c>
      <c r="R711" s="199">
        <v>1</v>
      </c>
      <c r="S711" s="395">
        <v>169.66159342806424</v>
      </c>
      <c r="T711" s="107"/>
    </row>
    <row r="712" spans="1:20" x14ac:dyDescent="0.3">
      <c r="A712" t="s">
        <v>133</v>
      </c>
      <c r="B712" t="s">
        <v>883</v>
      </c>
      <c r="C712" t="s">
        <v>194</v>
      </c>
      <c r="D712" t="s">
        <v>377</v>
      </c>
      <c r="E712" s="178" t="s">
        <v>31</v>
      </c>
      <c r="F712" s="14" t="b">
        <f>OR(Transport_Table[[#This Row],[Feedstock]]="All",Transport_Table[[#This Row],[Feedstock]]=SelectedFeedstock)</f>
        <v>0</v>
      </c>
      <c r="G712" s="14" t="b">
        <f>OR(Transport_Table[[#This Row],[Conversion]]="All",Transport_Table[[#This Row],[Conversion]]=SelectedConversion)</f>
        <v>0</v>
      </c>
      <c r="H712" s="14" t="b">
        <f>OR(Transport_Table[[#This Row],[Data Set]]="All",Transport_Table[[#This Row],[Data Set]]=SelectedDataSet)</f>
        <v>0</v>
      </c>
      <c r="I712" s="14" t="b">
        <f>OR(Transport_Table[[#This Row],[Technology]]="All",Transport_Table[[#This Row],[Technology]]=SelectedTechnology)</f>
        <v>1</v>
      </c>
      <c r="J712" s="14" t="b">
        <f>OR(Transport_Table[[#This Row],[Data Source]]="All",Transport_Table[[#This Row],[Data Source]]=SelectedDataSource)</f>
        <v>0</v>
      </c>
      <c r="L712" s="14" t="b">
        <f>AND(Transport_Table[[#This Row],[Show Feedstock]:[Show Data Source]],NOT(Transport_Table[[#This Row],[Hide Column]]))</f>
        <v>0</v>
      </c>
      <c r="M712" s="14" t="s">
        <v>14</v>
      </c>
      <c r="N712" s="14" t="s">
        <v>1161</v>
      </c>
      <c r="O712" s="14" t="s">
        <v>1243</v>
      </c>
      <c r="P712" s="178" t="s">
        <v>1700</v>
      </c>
      <c r="Q712" s="165" t="s">
        <v>1938</v>
      </c>
      <c r="R712" s="199">
        <v>0.08</v>
      </c>
      <c r="S712" s="395">
        <v>519.99854667279999</v>
      </c>
      <c r="T712" s="107"/>
    </row>
    <row r="713" spans="1:20" x14ac:dyDescent="0.3">
      <c r="A713" t="s">
        <v>133</v>
      </c>
      <c r="B713" t="s">
        <v>883</v>
      </c>
      <c r="C713" t="s">
        <v>194</v>
      </c>
      <c r="D713" t="s">
        <v>377</v>
      </c>
      <c r="E713" s="178" t="s">
        <v>31</v>
      </c>
      <c r="F713" s="14" t="b">
        <f>OR(Transport_Table[[#This Row],[Feedstock]]="All",Transport_Table[[#This Row],[Feedstock]]=SelectedFeedstock)</f>
        <v>0</v>
      </c>
      <c r="G713" s="14" t="b">
        <f>OR(Transport_Table[[#This Row],[Conversion]]="All",Transport_Table[[#This Row],[Conversion]]=SelectedConversion)</f>
        <v>0</v>
      </c>
      <c r="H713" s="14" t="b">
        <f>OR(Transport_Table[[#This Row],[Data Set]]="All",Transport_Table[[#This Row],[Data Set]]=SelectedDataSet)</f>
        <v>0</v>
      </c>
      <c r="I713" s="14" t="b">
        <f>OR(Transport_Table[[#This Row],[Technology]]="All",Transport_Table[[#This Row],[Technology]]=SelectedTechnology)</f>
        <v>1</v>
      </c>
      <c r="J713" s="14" t="b">
        <f>OR(Transport_Table[[#This Row],[Data Source]]="All",Transport_Table[[#This Row],[Data Source]]=SelectedDataSource)</f>
        <v>0</v>
      </c>
      <c r="L713" s="14" t="b">
        <f>AND(Transport_Table[[#This Row],[Show Feedstock]:[Show Data Source]],NOT(Transport_Table[[#This Row],[Hide Column]]))</f>
        <v>0</v>
      </c>
      <c r="M713" s="14" t="s">
        <v>14</v>
      </c>
      <c r="N713" s="14" t="s">
        <v>1162</v>
      </c>
      <c r="O713" s="14" t="s">
        <v>1244</v>
      </c>
      <c r="P713" s="178" t="s">
        <v>1700</v>
      </c>
      <c r="Q713" s="165" t="s">
        <v>1942</v>
      </c>
      <c r="R713" s="199">
        <v>0</v>
      </c>
      <c r="S713" s="394">
        <v>0</v>
      </c>
      <c r="T713" s="107"/>
    </row>
    <row r="714" spans="1:20" x14ac:dyDescent="0.3">
      <c r="A714" t="s">
        <v>133</v>
      </c>
      <c r="B714" t="s">
        <v>883</v>
      </c>
      <c r="C714" t="s">
        <v>194</v>
      </c>
      <c r="D714" t="s">
        <v>377</v>
      </c>
      <c r="E714" s="178" t="s">
        <v>31</v>
      </c>
      <c r="F714" s="14" t="b">
        <f>OR(Transport_Table[[#This Row],[Feedstock]]="All",Transport_Table[[#This Row],[Feedstock]]=SelectedFeedstock)</f>
        <v>0</v>
      </c>
      <c r="G714" s="14" t="b">
        <f>OR(Transport_Table[[#This Row],[Conversion]]="All",Transport_Table[[#This Row],[Conversion]]=SelectedConversion)</f>
        <v>0</v>
      </c>
      <c r="H714" s="14" t="b">
        <f>OR(Transport_Table[[#This Row],[Data Set]]="All",Transport_Table[[#This Row],[Data Set]]=SelectedDataSet)</f>
        <v>0</v>
      </c>
      <c r="I714" s="14" t="b">
        <f>OR(Transport_Table[[#This Row],[Technology]]="All",Transport_Table[[#This Row],[Technology]]=SelectedTechnology)</f>
        <v>1</v>
      </c>
      <c r="J714" s="14" t="b">
        <f>OR(Transport_Table[[#This Row],[Data Source]]="All",Transport_Table[[#This Row],[Data Source]]=SelectedDataSource)</f>
        <v>0</v>
      </c>
      <c r="L714" s="14" t="b">
        <f>AND(Transport_Table[[#This Row],[Show Feedstock]:[Show Data Source]],NOT(Transport_Table[[#This Row],[Hide Column]]))</f>
        <v>0</v>
      </c>
      <c r="M714" s="14" t="s">
        <v>14</v>
      </c>
      <c r="N714" s="14" t="s">
        <v>1163</v>
      </c>
      <c r="O714" s="14" t="s">
        <v>1245</v>
      </c>
      <c r="P714" s="178" t="s">
        <v>1700</v>
      </c>
      <c r="Q714" s="165" t="s">
        <v>1939</v>
      </c>
      <c r="R714" s="199">
        <v>0.28999999999999998</v>
      </c>
      <c r="S714" s="395">
        <v>799.99776411200003</v>
      </c>
      <c r="T714" s="107"/>
    </row>
    <row r="715" spans="1:20" x14ac:dyDescent="0.3">
      <c r="A715" t="s">
        <v>133</v>
      </c>
      <c r="B715" t="s">
        <v>883</v>
      </c>
      <c r="C715" t="s">
        <v>194</v>
      </c>
      <c r="D715" t="s">
        <v>377</v>
      </c>
      <c r="E715" s="178" t="s">
        <v>31</v>
      </c>
      <c r="F715" s="14" t="b">
        <f>OR(Transport_Table[[#This Row],[Feedstock]]="All",Transport_Table[[#This Row],[Feedstock]]=SelectedFeedstock)</f>
        <v>0</v>
      </c>
      <c r="G715" s="14" t="b">
        <f>OR(Transport_Table[[#This Row],[Conversion]]="All",Transport_Table[[#This Row],[Conversion]]=SelectedConversion)</f>
        <v>0</v>
      </c>
      <c r="H715" s="14" t="b">
        <f>OR(Transport_Table[[#This Row],[Data Set]]="All",Transport_Table[[#This Row],[Data Set]]=SelectedDataSet)</f>
        <v>0</v>
      </c>
      <c r="I715" s="14" t="b">
        <f>OR(Transport_Table[[#This Row],[Technology]]="All",Transport_Table[[#This Row],[Technology]]=SelectedTechnology)</f>
        <v>1</v>
      </c>
      <c r="J715" s="14" t="b">
        <f>OR(Transport_Table[[#This Row],[Data Source]]="All",Transport_Table[[#This Row],[Data Source]]=SelectedDataSource)</f>
        <v>0</v>
      </c>
      <c r="L715" s="14" t="b">
        <f>AND(Transport_Table[[#This Row],[Show Feedstock]:[Show Data Source]],NOT(Transport_Table[[#This Row],[Hide Column]]))</f>
        <v>0</v>
      </c>
      <c r="M715" s="14" t="s">
        <v>14</v>
      </c>
      <c r="N715" s="14" t="s">
        <v>1164</v>
      </c>
      <c r="O715" s="14" t="s">
        <v>1246</v>
      </c>
      <c r="P715" s="178" t="s">
        <v>1700</v>
      </c>
      <c r="Q715" s="165" t="s">
        <v>1940</v>
      </c>
      <c r="R715" s="199">
        <v>0.63</v>
      </c>
      <c r="S715" s="395">
        <v>49.999860257000002</v>
      </c>
      <c r="T715" s="107"/>
    </row>
    <row r="716" spans="1:20" x14ac:dyDescent="0.3">
      <c r="A716" t="s">
        <v>133</v>
      </c>
      <c r="B716" t="s">
        <v>883</v>
      </c>
      <c r="C716" t="s">
        <v>194</v>
      </c>
      <c r="D716" t="s">
        <v>377</v>
      </c>
      <c r="E716" s="178" t="s">
        <v>31</v>
      </c>
      <c r="F716" s="14" t="b">
        <f>OR(Transport_Table[[#This Row],[Feedstock]]="All",Transport_Table[[#This Row],[Feedstock]]=SelectedFeedstock)</f>
        <v>0</v>
      </c>
      <c r="G716" s="14" t="b">
        <f>OR(Transport_Table[[#This Row],[Conversion]]="All",Transport_Table[[#This Row],[Conversion]]=SelectedConversion)</f>
        <v>0</v>
      </c>
      <c r="H716" s="14" t="b">
        <f>OR(Transport_Table[[#This Row],[Data Set]]="All",Transport_Table[[#This Row],[Data Set]]=SelectedDataSet)</f>
        <v>0</v>
      </c>
      <c r="I716" s="14" t="b">
        <f>OR(Transport_Table[[#This Row],[Technology]]="All",Transport_Table[[#This Row],[Technology]]=SelectedTechnology)</f>
        <v>1</v>
      </c>
      <c r="J716" s="14" t="b">
        <f>OR(Transport_Table[[#This Row],[Data Source]]="All",Transport_Table[[#This Row],[Data Source]]=SelectedDataSource)</f>
        <v>0</v>
      </c>
      <c r="L716" s="14" t="b">
        <f>AND(Transport_Table[[#This Row],[Show Feedstock]:[Show Data Source]],NOT(Transport_Table[[#This Row],[Hide Column]]))</f>
        <v>0</v>
      </c>
      <c r="M716" s="14" t="s">
        <v>14</v>
      </c>
      <c r="N716" s="14" t="s">
        <v>1165</v>
      </c>
      <c r="O716" s="14" t="s">
        <v>1247</v>
      </c>
      <c r="P716" s="178" t="s">
        <v>1701</v>
      </c>
      <c r="Q716" s="165" t="s">
        <v>1940</v>
      </c>
      <c r="R716" s="199">
        <v>1</v>
      </c>
      <c r="S716" s="395">
        <v>29.999916154200001</v>
      </c>
      <c r="T716" s="107"/>
    </row>
    <row r="717" spans="1:20" x14ac:dyDescent="0.3">
      <c r="A717" t="s">
        <v>134</v>
      </c>
      <c r="B717" t="s">
        <v>883</v>
      </c>
      <c r="C717" t="s">
        <v>194</v>
      </c>
      <c r="D717" t="s">
        <v>1335</v>
      </c>
      <c r="E717" s="178" t="s">
        <v>31</v>
      </c>
      <c r="F717" s="14" t="b">
        <f>OR(Transport_Table[[#This Row],[Feedstock]]="All",Transport_Table[[#This Row],[Feedstock]]=SelectedFeedstock)</f>
        <v>0</v>
      </c>
      <c r="G717" s="14" t="b">
        <f>OR(Transport_Table[[#This Row],[Conversion]]="All",Transport_Table[[#This Row],[Conversion]]=SelectedConversion)</f>
        <v>0</v>
      </c>
      <c r="H717" s="14" t="b">
        <f>OR(Transport_Table[[#This Row],[Data Set]]="All",Transport_Table[[#This Row],[Data Set]]=SelectedDataSet)</f>
        <v>0</v>
      </c>
      <c r="I717" s="14" t="b">
        <f>OR(Transport_Table[[#This Row],[Technology]]="All",Transport_Table[[#This Row],[Technology]]=SelectedTechnology)</f>
        <v>1</v>
      </c>
      <c r="J717" s="14" t="b">
        <f>OR(Transport_Table[[#This Row],[Data Source]]="All",Transport_Table[[#This Row],[Data Source]]=SelectedDataSource)</f>
        <v>0</v>
      </c>
      <c r="K717" s="14" t="b">
        <v>1</v>
      </c>
      <c r="L717" s="14" t="b">
        <f>AND(Transport_Table[[#This Row],[Show Feedstock]:[Show Data Source]],NOT(Transport_Table[[#This Row],[Hide Column]]))</f>
        <v>0</v>
      </c>
      <c r="M717" s="14" t="s">
        <v>14</v>
      </c>
      <c r="N717" s="14" t="s">
        <v>1213</v>
      </c>
      <c r="O717" s="14" t="s">
        <v>1295</v>
      </c>
      <c r="P717" t="s">
        <v>134</v>
      </c>
      <c r="Q717" s="165" t="s">
        <v>1940</v>
      </c>
      <c r="R717" s="199">
        <v>1</v>
      </c>
      <c r="S717" s="395">
        <v>169.66159342806424</v>
      </c>
      <c r="T717" s="107"/>
    </row>
    <row r="718" spans="1:20" x14ac:dyDescent="0.3">
      <c r="A718" t="s">
        <v>134</v>
      </c>
      <c r="B718" t="s">
        <v>883</v>
      </c>
      <c r="C718" t="s">
        <v>194</v>
      </c>
      <c r="D718" t="s">
        <v>1335</v>
      </c>
      <c r="E718" s="178" t="s">
        <v>31</v>
      </c>
      <c r="F718" s="14" t="b">
        <f>OR(Transport_Table[[#This Row],[Feedstock]]="All",Transport_Table[[#This Row],[Feedstock]]=SelectedFeedstock)</f>
        <v>0</v>
      </c>
      <c r="G718" s="14" t="b">
        <f>OR(Transport_Table[[#This Row],[Conversion]]="All",Transport_Table[[#This Row],[Conversion]]=SelectedConversion)</f>
        <v>0</v>
      </c>
      <c r="H718" s="14" t="b">
        <f>OR(Transport_Table[[#This Row],[Data Set]]="All",Transport_Table[[#This Row],[Data Set]]=SelectedDataSet)</f>
        <v>0</v>
      </c>
      <c r="I718" s="14" t="b">
        <f>OR(Transport_Table[[#This Row],[Technology]]="All",Transport_Table[[#This Row],[Technology]]=SelectedTechnology)</f>
        <v>1</v>
      </c>
      <c r="J718" s="14" t="b">
        <f>OR(Transport_Table[[#This Row],[Data Source]]="All",Transport_Table[[#This Row],[Data Source]]=SelectedDataSource)</f>
        <v>0</v>
      </c>
      <c r="L718" s="14" t="b">
        <f>AND(Transport_Table[[#This Row],[Show Feedstock]:[Show Data Source]],NOT(Transport_Table[[#This Row],[Hide Column]]))</f>
        <v>0</v>
      </c>
      <c r="M718" s="14" t="s">
        <v>14</v>
      </c>
      <c r="N718" s="14" t="s">
        <v>1161</v>
      </c>
      <c r="O718" s="14" t="s">
        <v>1243</v>
      </c>
      <c r="P718" s="178" t="s">
        <v>1700</v>
      </c>
      <c r="Q718" s="165" t="s">
        <v>1938</v>
      </c>
      <c r="R718" s="199">
        <v>0.08</v>
      </c>
      <c r="S718" s="395">
        <v>519.99854667279999</v>
      </c>
      <c r="T718" s="107"/>
    </row>
    <row r="719" spans="1:20" x14ac:dyDescent="0.3">
      <c r="A719" t="s">
        <v>134</v>
      </c>
      <c r="B719" t="s">
        <v>883</v>
      </c>
      <c r="C719" t="s">
        <v>194</v>
      </c>
      <c r="D719" t="s">
        <v>1335</v>
      </c>
      <c r="E719" s="178" t="s">
        <v>31</v>
      </c>
      <c r="F719" s="14" t="b">
        <f>OR(Transport_Table[[#This Row],[Feedstock]]="All",Transport_Table[[#This Row],[Feedstock]]=SelectedFeedstock)</f>
        <v>0</v>
      </c>
      <c r="G719" s="14" t="b">
        <f>OR(Transport_Table[[#This Row],[Conversion]]="All",Transport_Table[[#This Row],[Conversion]]=SelectedConversion)</f>
        <v>0</v>
      </c>
      <c r="H719" s="14" t="b">
        <f>OR(Transport_Table[[#This Row],[Data Set]]="All",Transport_Table[[#This Row],[Data Set]]=SelectedDataSet)</f>
        <v>0</v>
      </c>
      <c r="I719" s="14" t="b">
        <f>OR(Transport_Table[[#This Row],[Technology]]="All",Transport_Table[[#This Row],[Technology]]=SelectedTechnology)</f>
        <v>1</v>
      </c>
      <c r="J719" s="14" t="b">
        <f>OR(Transport_Table[[#This Row],[Data Source]]="All",Transport_Table[[#This Row],[Data Source]]=SelectedDataSource)</f>
        <v>0</v>
      </c>
      <c r="L719" s="14" t="b">
        <f>AND(Transport_Table[[#This Row],[Show Feedstock]:[Show Data Source]],NOT(Transport_Table[[#This Row],[Hide Column]]))</f>
        <v>0</v>
      </c>
      <c r="M719" s="14" t="s">
        <v>14</v>
      </c>
      <c r="N719" s="14" t="s">
        <v>1162</v>
      </c>
      <c r="O719" s="14" t="s">
        <v>1244</v>
      </c>
      <c r="P719" s="178" t="s">
        <v>1700</v>
      </c>
      <c r="Q719" s="165" t="s">
        <v>1942</v>
      </c>
      <c r="R719" s="199">
        <v>0</v>
      </c>
      <c r="S719" s="394">
        <v>0</v>
      </c>
      <c r="T719" s="107"/>
    </row>
    <row r="720" spans="1:20" x14ac:dyDescent="0.3">
      <c r="A720" t="s">
        <v>134</v>
      </c>
      <c r="B720" t="s">
        <v>883</v>
      </c>
      <c r="C720" t="s">
        <v>194</v>
      </c>
      <c r="D720" t="s">
        <v>1335</v>
      </c>
      <c r="E720" s="178" t="s">
        <v>31</v>
      </c>
      <c r="F720" s="14" t="b">
        <f>OR(Transport_Table[[#This Row],[Feedstock]]="All",Transport_Table[[#This Row],[Feedstock]]=SelectedFeedstock)</f>
        <v>0</v>
      </c>
      <c r="G720" s="14" t="b">
        <f>OR(Transport_Table[[#This Row],[Conversion]]="All",Transport_Table[[#This Row],[Conversion]]=SelectedConversion)</f>
        <v>0</v>
      </c>
      <c r="H720" s="14" t="b">
        <f>OR(Transport_Table[[#This Row],[Data Set]]="All",Transport_Table[[#This Row],[Data Set]]=SelectedDataSet)</f>
        <v>0</v>
      </c>
      <c r="I720" s="14" t="b">
        <f>OR(Transport_Table[[#This Row],[Technology]]="All",Transport_Table[[#This Row],[Technology]]=SelectedTechnology)</f>
        <v>1</v>
      </c>
      <c r="J720" s="14" t="b">
        <f>OR(Transport_Table[[#This Row],[Data Source]]="All",Transport_Table[[#This Row],[Data Source]]=SelectedDataSource)</f>
        <v>0</v>
      </c>
      <c r="L720" s="14" t="b">
        <f>AND(Transport_Table[[#This Row],[Show Feedstock]:[Show Data Source]],NOT(Transport_Table[[#This Row],[Hide Column]]))</f>
        <v>0</v>
      </c>
      <c r="M720" s="14" t="s">
        <v>14</v>
      </c>
      <c r="N720" s="14" t="s">
        <v>1163</v>
      </c>
      <c r="O720" s="14" t="s">
        <v>1245</v>
      </c>
      <c r="P720" s="178" t="s">
        <v>1700</v>
      </c>
      <c r="Q720" s="165" t="s">
        <v>1939</v>
      </c>
      <c r="R720" s="199">
        <v>0.28999999999999998</v>
      </c>
      <c r="S720" s="395">
        <v>799.99776411200003</v>
      </c>
      <c r="T720" s="107"/>
    </row>
    <row r="721" spans="1:20" x14ac:dyDescent="0.3">
      <c r="A721" t="s">
        <v>134</v>
      </c>
      <c r="B721" t="s">
        <v>883</v>
      </c>
      <c r="C721" t="s">
        <v>194</v>
      </c>
      <c r="D721" t="s">
        <v>1335</v>
      </c>
      <c r="E721" s="178" t="s">
        <v>31</v>
      </c>
      <c r="F721" s="14" t="b">
        <f>OR(Transport_Table[[#This Row],[Feedstock]]="All",Transport_Table[[#This Row],[Feedstock]]=SelectedFeedstock)</f>
        <v>0</v>
      </c>
      <c r="G721" s="14" t="b">
        <f>OR(Transport_Table[[#This Row],[Conversion]]="All",Transport_Table[[#This Row],[Conversion]]=SelectedConversion)</f>
        <v>0</v>
      </c>
      <c r="H721" s="14" t="b">
        <f>OR(Transport_Table[[#This Row],[Data Set]]="All",Transport_Table[[#This Row],[Data Set]]=SelectedDataSet)</f>
        <v>0</v>
      </c>
      <c r="I721" s="14" t="b">
        <f>OR(Transport_Table[[#This Row],[Technology]]="All",Transport_Table[[#This Row],[Technology]]=SelectedTechnology)</f>
        <v>1</v>
      </c>
      <c r="J721" s="14" t="b">
        <f>OR(Transport_Table[[#This Row],[Data Source]]="All",Transport_Table[[#This Row],[Data Source]]=SelectedDataSource)</f>
        <v>0</v>
      </c>
      <c r="L721" s="14" t="b">
        <f>AND(Transport_Table[[#This Row],[Show Feedstock]:[Show Data Source]],NOT(Transport_Table[[#This Row],[Hide Column]]))</f>
        <v>0</v>
      </c>
      <c r="M721" s="14" t="s">
        <v>14</v>
      </c>
      <c r="N721" s="14" t="s">
        <v>1164</v>
      </c>
      <c r="O721" s="14" t="s">
        <v>1246</v>
      </c>
      <c r="P721" s="178" t="s">
        <v>1700</v>
      </c>
      <c r="Q721" s="165" t="s">
        <v>1940</v>
      </c>
      <c r="R721" s="199">
        <v>0.63</v>
      </c>
      <c r="S721" s="395">
        <v>49.999860257000002</v>
      </c>
      <c r="T721" s="107"/>
    </row>
    <row r="722" spans="1:20" x14ac:dyDescent="0.3">
      <c r="A722" t="s">
        <v>134</v>
      </c>
      <c r="B722" t="s">
        <v>883</v>
      </c>
      <c r="C722" t="s">
        <v>194</v>
      </c>
      <c r="D722" t="s">
        <v>1335</v>
      </c>
      <c r="E722" s="178" t="s">
        <v>31</v>
      </c>
      <c r="F722" s="14" t="b">
        <f>OR(Transport_Table[[#This Row],[Feedstock]]="All",Transport_Table[[#This Row],[Feedstock]]=SelectedFeedstock)</f>
        <v>0</v>
      </c>
      <c r="G722" s="14" t="b">
        <f>OR(Transport_Table[[#This Row],[Conversion]]="All",Transport_Table[[#This Row],[Conversion]]=SelectedConversion)</f>
        <v>0</v>
      </c>
      <c r="H722" s="14" t="b">
        <f>OR(Transport_Table[[#This Row],[Data Set]]="All",Transport_Table[[#This Row],[Data Set]]=SelectedDataSet)</f>
        <v>0</v>
      </c>
      <c r="I722" s="14" t="b">
        <f>OR(Transport_Table[[#This Row],[Technology]]="All",Transport_Table[[#This Row],[Technology]]=SelectedTechnology)</f>
        <v>1</v>
      </c>
      <c r="J722" s="14" t="b">
        <f>OR(Transport_Table[[#This Row],[Data Source]]="All",Transport_Table[[#This Row],[Data Source]]=SelectedDataSource)</f>
        <v>0</v>
      </c>
      <c r="L722" s="14" t="b">
        <f>AND(Transport_Table[[#This Row],[Show Feedstock]:[Show Data Source]],NOT(Transport_Table[[#This Row],[Hide Column]]))</f>
        <v>0</v>
      </c>
      <c r="M722" s="14" t="s">
        <v>14</v>
      </c>
      <c r="N722" s="14" t="s">
        <v>1165</v>
      </c>
      <c r="O722" s="14" t="s">
        <v>1247</v>
      </c>
      <c r="P722" s="178" t="s">
        <v>1701</v>
      </c>
      <c r="Q722" s="165" t="s">
        <v>1940</v>
      </c>
      <c r="R722" s="199">
        <v>1</v>
      </c>
      <c r="S722" s="395">
        <v>29.999916154200001</v>
      </c>
      <c r="T722" s="107"/>
    </row>
    <row r="723" spans="1:20" x14ac:dyDescent="0.3">
      <c r="A723" s="190" t="s">
        <v>874</v>
      </c>
      <c r="B723" s="178" t="s">
        <v>30</v>
      </c>
      <c r="C723" s="194" t="s">
        <v>29</v>
      </c>
      <c r="D723" s="194" t="s">
        <v>29</v>
      </c>
      <c r="E723" s="178" t="s">
        <v>31</v>
      </c>
      <c r="F723" s="14" t="b">
        <f>OR(Transport_Table[[#This Row],[Feedstock]]="All",Transport_Table[[#This Row],[Feedstock]]=SelectedFeedstock)</f>
        <v>0</v>
      </c>
      <c r="G723" s="14" t="b">
        <f>OR(Transport_Table[[#This Row],[Conversion]]="All",Transport_Table[[#This Row],[Conversion]]=SelectedConversion)</f>
        <v>1</v>
      </c>
      <c r="H723" s="14" t="b">
        <f>OR(Transport_Table[[#This Row],[Data Set]]="All",Transport_Table[[#This Row],[Data Set]]=SelectedDataSet)</f>
        <v>1</v>
      </c>
      <c r="I723" s="14" t="b">
        <f>OR(Transport_Table[[#This Row],[Technology]]="All",Transport_Table[[#This Row],[Technology]]=SelectedTechnology)</f>
        <v>1</v>
      </c>
      <c r="J723" s="14" t="b">
        <f>OR(Transport_Table[[#This Row],[Data Source]]="All",Transport_Table[[#This Row],[Data Source]]=SelectedDataSource)</f>
        <v>1</v>
      </c>
      <c r="K723" s="14" t="b">
        <v>1</v>
      </c>
      <c r="L723" s="14" t="b">
        <f>AND(Transport_Table[[#This Row],[Show Feedstock]:[Show Data Source]],NOT(Transport_Table[[#This Row],[Hide Column]]))</f>
        <v>0</v>
      </c>
      <c r="M723" s="14" t="s">
        <v>887</v>
      </c>
      <c r="N723" s="14" t="s">
        <v>1228</v>
      </c>
      <c r="O723" s="14" t="s">
        <v>1310</v>
      </c>
      <c r="P723" s="178" t="s">
        <v>888</v>
      </c>
      <c r="Q723" s="241" t="s">
        <v>1940</v>
      </c>
      <c r="R723" s="147">
        <v>0.8</v>
      </c>
      <c r="S723" s="398">
        <v>100.04073100000001</v>
      </c>
      <c r="T723" s="107"/>
    </row>
    <row r="724" spans="1:20" x14ac:dyDescent="0.3">
      <c r="A724" s="190" t="s">
        <v>874</v>
      </c>
      <c r="B724" s="178" t="s">
        <v>30</v>
      </c>
      <c r="C724" s="194" t="s">
        <v>29</v>
      </c>
      <c r="D724" s="194" t="s">
        <v>29</v>
      </c>
      <c r="E724" s="178" t="s">
        <v>31</v>
      </c>
      <c r="F724" s="14" t="b">
        <f>OR(Transport_Table[[#This Row],[Feedstock]]="All",Transport_Table[[#This Row],[Feedstock]]=SelectedFeedstock)</f>
        <v>0</v>
      </c>
      <c r="G724" s="14" t="b">
        <f>OR(Transport_Table[[#This Row],[Conversion]]="All",Transport_Table[[#This Row],[Conversion]]=SelectedConversion)</f>
        <v>1</v>
      </c>
      <c r="H724" s="14" t="b">
        <f>OR(Transport_Table[[#This Row],[Data Set]]="All",Transport_Table[[#This Row],[Data Set]]=SelectedDataSet)</f>
        <v>1</v>
      </c>
      <c r="I724" s="14" t="b">
        <f>OR(Transport_Table[[#This Row],[Technology]]="All",Transport_Table[[#This Row],[Technology]]=SelectedTechnology)</f>
        <v>1</v>
      </c>
      <c r="J724" s="14" t="b">
        <f>OR(Transport_Table[[#This Row],[Data Source]]="All",Transport_Table[[#This Row],[Data Source]]=SelectedDataSource)</f>
        <v>1</v>
      </c>
      <c r="K724" s="14" t="b">
        <v>1</v>
      </c>
      <c r="L724" s="14" t="b">
        <f>AND(Transport_Table[[#This Row],[Show Feedstock]:[Show Data Source]],NOT(Transport_Table[[#This Row],[Hide Column]]))</f>
        <v>0</v>
      </c>
      <c r="M724" s="14" t="s">
        <v>887</v>
      </c>
      <c r="N724" s="14" t="s">
        <v>1229</v>
      </c>
      <c r="O724" s="14" t="s">
        <v>1311</v>
      </c>
      <c r="P724" s="178" t="s">
        <v>888</v>
      </c>
      <c r="Q724" s="241" t="s">
        <v>1939</v>
      </c>
      <c r="R724" s="147">
        <v>0.2</v>
      </c>
      <c r="S724" s="398">
        <v>400.16292400000003</v>
      </c>
      <c r="T724" s="107"/>
    </row>
    <row r="725" spans="1:20" x14ac:dyDescent="0.3">
      <c r="A725" s="190" t="s">
        <v>874</v>
      </c>
      <c r="B725" s="178" t="s">
        <v>30</v>
      </c>
      <c r="C725" s="194" t="s">
        <v>29</v>
      </c>
      <c r="D725" s="194" t="s">
        <v>29</v>
      </c>
      <c r="E725" s="178" t="s">
        <v>31</v>
      </c>
      <c r="F725" s="14" t="b">
        <f>OR(Transport_Table[[#This Row],[Feedstock]]="All",Transport_Table[[#This Row],[Feedstock]]=SelectedFeedstock)</f>
        <v>0</v>
      </c>
      <c r="G725" s="14" t="b">
        <f>OR(Transport_Table[[#This Row],[Conversion]]="All",Transport_Table[[#This Row],[Conversion]]=SelectedConversion)</f>
        <v>1</v>
      </c>
      <c r="H725" s="14" t="b">
        <f>OR(Transport_Table[[#This Row],[Data Set]]="All",Transport_Table[[#This Row],[Data Set]]=SelectedDataSet)</f>
        <v>1</v>
      </c>
      <c r="I725" s="14" t="b">
        <f>OR(Transport_Table[[#This Row],[Technology]]="All",Transport_Table[[#This Row],[Technology]]=SelectedTechnology)</f>
        <v>1</v>
      </c>
      <c r="J725" s="14" t="b">
        <f>OR(Transport_Table[[#This Row],[Data Source]]="All",Transport_Table[[#This Row],[Data Source]]=SelectedDataSource)</f>
        <v>1</v>
      </c>
      <c r="L725" s="14" t="b">
        <f>AND(Transport_Table[[#This Row],[Show Feedstock]:[Show Data Source]],NOT(Transport_Table[[#This Row],[Hide Column]]))</f>
        <v>0</v>
      </c>
      <c r="M725" s="14" t="s">
        <v>887</v>
      </c>
      <c r="N725" s="14" t="s">
        <v>1161</v>
      </c>
      <c r="O725" s="14" t="s">
        <v>1243</v>
      </c>
      <c r="P725" s="178" t="s">
        <v>1700</v>
      </c>
      <c r="Q725" s="241" t="s">
        <v>2002</v>
      </c>
      <c r="R725" s="393">
        <v>0.08</v>
      </c>
      <c r="S725" s="394">
        <v>520</v>
      </c>
      <c r="T725" s="107"/>
    </row>
    <row r="726" spans="1:20" x14ac:dyDescent="0.3">
      <c r="A726" s="190" t="s">
        <v>874</v>
      </c>
      <c r="B726" s="178" t="s">
        <v>30</v>
      </c>
      <c r="C726" s="194" t="s">
        <v>29</v>
      </c>
      <c r="D726" s="194" t="s">
        <v>29</v>
      </c>
      <c r="E726" s="178" t="s">
        <v>31</v>
      </c>
      <c r="F726" s="14" t="b">
        <f>OR(Transport_Table[[#This Row],[Feedstock]]="All",Transport_Table[[#This Row],[Feedstock]]=SelectedFeedstock)</f>
        <v>0</v>
      </c>
      <c r="G726" s="14" t="b">
        <f>OR(Transport_Table[[#This Row],[Conversion]]="All",Transport_Table[[#This Row],[Conversion]]=SelectedConversion)</f>
        <v>1</v>
      </c>
      <c r="H726" s="14" t="b">
        <f>OR(Transport_Table[[#This Row],[Data Set]]="All",Transport_Table[[#This Row],[Data Set]]=SelectedDataSet)</f>
        <v>1</v>
      </c>
      <c r="I726" s="14" t="b">
        <f>OR(Transport_Table[[#This Row],[Technology]]="All",Transport_Table[[#This Row],[Technology]]=SelectedTechnology)</f>
        <v>1</v>
      </c>
      <c r="J726" s="14" t="b">
        <f>OR(Transport_Table[[#This Row],[Data Source]]="All",Transport_Table[[#This Row],[Data Source]]=SelectedDataSource)</f>
        <v>1</v>
      </c>
      <c r="L726" s="14" t="b">
        <f>AND(Transport_Table[[#This Row],[Show Feedstock]:[Show Data Source]],NOT(Transport_Table[[#This Row],[Hide Column]]))</f>
        <v>0</v>
      </c>
      <c r="M726" s="14" t="s">
        <v>887</v>
      </c>
      <c r="N726" s="14" t="s">
        <v>1162</v>
      </c>
      <c r="O726" s="14" t="s">
        <v>1244</v>
      </c>
      <c r="P726" s="178" t="s">
        <v>1700</v>
      </c>
      <c r="Q726" s="241" t="s">
        <v>2003</v>
      </c>
      <c r="R726" s="393">
        <v>0</v>
      </c>
      <c r="S726" s="394">
        <v>0</v>
      </c>
      <c r="T726" s="107"/>
    </row>
    <row r="727" spans="1:20" x14ac:dyDescent="0.3">
      <c r="A727" s="190" t="s">
        <v>874</v>
      </c>
      <c r="B727" s="178" t="s">
        <v>30</v>
      </c>
      <c r="C727" s="194" t="s">
        <v>29</v>
      </c>
      <c r="D727" s="194" t="s">
        <v>29</v>
      </c>
      <c r="E727" s="178" t="s">
        <v>31</v>
      </c>
      <c r="F727" s="14" t="b">
        <f>OR(Transport_Table[[#This Row],[Feedstock]]="All",Transport_Table[[#This Row],[Feedstock]]=SelectedFeedstock)</f>
        <v>0</v>
      </c>
      <c r="G727" s="14" t="b">
        <f>OR(Transport_Table[[#This Row],[Conversion]]="All",Transport_Table[[#This Row],[Conversion]]=SelectedConversion)</f>
        <v>1</v>
      </c>
      <c r="H727" s="14" t="b">
        <f>OR(Transport_Table[[#This Row],[Data Set]]="All",Transport_Table[[#This Row],[Data Set]]=SelectedDataSet)</f>
        <v>1</v>
      </c>
      <c r="I727" s="14" t="b">
        <f>OR(Transport_Table[[#This Row],[Technology]]="All",Transport_Table[[#This Row],[Technology]]=SelectedTechnology)</f>
        <v>1</v>
      </c>
      <c r="J727" s="14" t="b">
        <f>OR(Transport_Table[[#This Row],[Data Source]]="All",Transport_Table[[#This Row],[Data Source]]=SelectedDataSource)</f>
        <v>1</v>
      </c>
      <c r="L727" s="14" t="b">
        <f>AND(Transport_Table[[#This Row],[Show Feedstock]:[Show Data Source]],NOT(Transport_Table[[#This Row],[Hide Column]]))</f>
        <v>0</v>
      </c>
      <c r="M727" s="14" t="s">
        <v>887</v>
      </c>
      <c r="N727" s="14" t="s">
        <v>1163</v>
      </c>
      <c r="O727" s="14" t="s">
        <v>1245</v>
      </c>
      <c r="P727" s="178" t="s">
        <v>1700</v>
      </c>
      <c r="Q727" s="241" t="s">
        <v>2004</v>
      </c>
      <c r="R727" s="393">
        <v>0.28999999999999998</v>
      </c>
      <c r="S727" s="394">
        <v>800</v>
      </c>
      <c r="T727" s="107"/>
    </row>
    <row r="728" spans="1:20" x14ac:dyDescent="0.3">
      <c r="A728" s="190" t="s">
        <v>874</v>
      </c>
      <c r="B728" s="178" t="s">
        <v>30</v>
      </c>
      <c r="C728" s="194" t="s">
        <v>29</v>
      </c>
      <c r="D728" s="194" t="s">
        <v>29</v>
      </c>
      <c r="E728" s="178" t="s">
        <v>31</v>
      </c>
      <c r="F728" s="14" t="b">
        <f>OR(Transport_Table[[#This Row],[Feedstock]]="All",Transport_Table[[#This Row],[Feedstock]]=SelectedFeedstock)</f>
        <v>0</v>
      </c>
      <c r="G728" s="14" t="b">
        <f>OR(Transport_Table[[#This Row],[Conversion]]="All",Transport_Table[[#This Row],[Conversion]]=SelectedConversion)</f>
        <v>1</v>
      </c>
      <c r="H728" s="14" t="b">
        <f>OR(Transport_Table[[#This Row],[Data Set]]="All",Transport_Table[[#This Row],[Data Set]]=SelectedDataSet)</f>
        <v>1</v>
      </c>
      <c r="I728" s="14" t="b">
        <f>OR(Transport_Table[[#This Row],[Technology]]="All",Transport_Table[[#This Row],[Technology]]=SelectedTechnology)</f>
        <v>1</v>
      </c>
      <c r="J728" s="14" t="b">
        <f>OR(Transport_Table[[#This Row],[Data Source]]="All",Transport_Table[[#This Row],[Data Source]]=SelectedDataSource)</f>
        <v>1</v>
      </c>
      <c r="L728" s="14" t="b">
        <f>AND(Transport_Table[[#This Row],[Show Feedstock]:[Show Data Source]],NOT(Transport_Table[[#This Row],[Hide Column]]))</f>
        <v>0</v>
      </c>
      <c r="M728" s="14" t="s">
        <v>887</v>
      </c>
      <c r="N728" s="14" t="s">
        <v>1840</v>
      </c>
      <c r="O728" s="14" t="s">
        <v>1840</v>
      </c>
      <c r="P728" s="178" t="s">
        <v>1700</v>
      </c>
      <c r="Q728" s="241" t="s">
        <v>2005</v>
      </c>
      <c r="R728" s="393">
        <v>0.63</v>
      </c>
      <c r="S728" s="394">
        <v>50</v>
      </c>
      <c r="T728" s="107"/>
    </row>
    <row r="729" spans="1:20" x14ac:dyDescent="0.3">
      <c r="A729" s="190" t="s">
        <v>874</v>
      </c>
      <c r="B729" s="178" t="s">
        <v>30</v>
      </c>
      <c r="C729" s="194" t="s">
        <v>29</v>
      </c>
      <c r="D729" s="194" t="s">
        <v>29</v>
      </c>
      <c r="E729" s="178" t="s">
        <v>31</v>
      </c>
      <c r="F729" s="14" t="b">
        <f>OR(Transport_Table[[#This Row],[Feedstock]]="All",Transport_Table[[#This Row],[Feedstock]]=SelectedFeedstock)</f>
        <v>0</v>
      </c>
      <c r="G729" s="14" t="b">
        <f>OR(Transport_Table[[#This Row],[Conversion]]="All",Transport_Table[[#This Row],[Conversion]]=SelectedConversion)</f>
        <v>1</v>
      </c>
      <c r="H729" s="14" t="b">
        <f>OR(Transport_Table[[#This Row],[Data Set]]="All",Transport_Table[[#This Row],[Data Set]]=SelectedDataSet)</f>
        <v>1</v>
      </c>
      <c r="I729" s="14" t="b">
        <f>OR(Transport_Table[[#This Row],[Technology]]="All",Transport_Table[[#This Row],[Technology]]=SelectedTechnology)</f>
        <v>1</v>
      </c>
      <c r="J729" s="14" t="b">
        <f>OR(Transport_Table[[#This Row],[Data Source]]="All",Transport_Table[[#This Row],[Data Source]]=SelectedDataSource)</f>
        <v>1</v>
      </c>
      <c r="K729" s="14" t="b">
        <v>1</v>
      </c>
      <c r="L729" s="14" t="b">
        <f>AND(Transport_Table[[#This Row],[Show Feedstock]:[Show Data Source]],NOT(Transport_Table[[#This Row],[Hide Column]]))</f>
        <v>0</v>
      </c>
      <c r="M729" s="14" t="s">
        <v>887</v>
      </c>
      <c r="N729" s="14" t="s">
        <v>1841</v>
      </c>
      <c r="O729" s="14" t="s">
        <v>1842</v>
      </c>
      <c r="P729" s="178" t="s">
        <v>1701</v>
      </c>
      <c r="Q729" s="241" t="s">
        <v>2006</v>
      </c>
      <c r="R729" s="393">
        <v>0</v>
      </c>
      <c r="S729" s="394">
        <v>0</v>
      </c>
      <c r="T729" s="107"/>
    </row>
    <row r="730" spans="1:20" x14ac:dyDescent="0.3">
      <c r="A730" s="190" t="s">
        <v>874</v>
      </c>
      <c r="B730" s="178" t="s">
        <v>30</v>
      </c>
      <c r="C730" s="194" t="s">
        <v>29</v>
      </c>
      <c r="D730" s="194" t="s">
        <v>29</v>
      </c>
      <c r="E730" s="178" t="s">
        <v>31</v>
      </c>
      <c r="F730" s="14" t="b">
        <f>OR(Transport_Table[[#This Row],[Feedstock]]="All",Transport_Table[[#This Row],[Feedstock]]=SelectedFeedstock)</f>
        <v>0</v>
      </c>
      <c r="G730" s="14" t="b">
        <f>OR(Transport_Table[[#This Row],[Conversion]]="All",Transport_Table[[#This Row],[Conversion]]=SelectedConversion)</f>
        <v>1</v>
      </c>
      <c r="H730" s="14" t="b">
        <f>OR(Transport_Table[[#This Row],[Data Set]]="All",Transport_Table[[#This Row],[Data Set]]=SelectedDataSet)</f>
        <v>1</v>
      </c>
      <c r="I730" s="14" t="b">
        <f>OR(Transport_Table[[#This Row],[Technology]]="All",Transport_Table[[#This Row],[Technology]]=SelectedTechnology)</f>
        <v>1</v>
      </c>
      <c r="J730" s="14" t="b">
        <f>OR(Transport_Table[[#This Row],[Data Source]]="All",Transport_Table[[#This Row],[Data Source]]=SelectedDataSource)</f>
        <v>1</v>
      </c>
      <c r="K730" s="14" t="b">
        <v>1</v>
      </c>
      <c r="L730" s="14" t="b">
        <f>AND(Transport_Table[[#This Row],[Show Feedstock]:[Show Data Source]],NOT(Transport_Table[[#This Row],[Hide Column]]))</f>
        <v>0</v>
      </c>
      <c r="M730" s="14" t="s">
        <v>887</v>
      </c>
      <c r="N730" s="14" t="s">
        <v>1843</v>
      </c>
      <c r="O730" s="14" t="s">
        <v>1844</v>
      </c>
      <c r="P730" s="178" t="s">
        <v>1701</v>
      </c>
      <c r="Q730" s="241" t="s">
        <v>2007</v>
      </c>
      <c r="R730" s="393">
        <v>0</v>
      </c>
      <c r="S730" s="394">
        <v>0</v>
      </c>
      <c r="T730" s="107"/>
    </row>
    <row r="731" spans="1:20" x14ac:dyDescent="0.3">
      <c r="A731" s="190" t="s">
        <v>874</v>
      </c>
      <c r="B731" s="178" t="s">
        <v>30</v>
      </c>
      <c r="C731" s="194" t="s">
        <v>29</v>
      </c>
      <c r="D731" s="194" t="s">
        <v>29</v>
      </c>
      <c r="E731" s="178" t="s">
        <v>31</v>
      </c>
      <c r="F731" s="14" t="b">
        <f>OR(Transport_Table[[#This Row],[Feedstock]]="All",Transport_Table[[#This Row],[Feedstock]]=SelectedFeedstock)</f>
        <v>0</v>
      </c>
      <c r="G731" s="14" t="b">
        <f>OR(Transport_Table[[#This Row],[Conversion]]="All",Transport_Table[[#This Row],[Conversion]]=SelectedConversion)</f>
        <v>1</v>
      </c>
      <c r="H731" s="14" t="b">
        <f>OR(Transport_Table[[#This Row],[Data Set]]="All",Transport_Table[[#This Row],[Data Set]]=SelectedDataSet)</f>
        <v>1</v>
      </c>
      <c r="I731" s="14" t="b">
        <f>OR(Transport_Table[[#This Row],[Technology]]="All",Transport_Table[[#This Row],[Technology]]=SelectedTechnology)</f>
        <v>1</v>
      </c>
      <c r="J731" s="14" t="b">
        <f>OR(Transport_Table[[#This Row],[Data Source]]="All",Transport_Table[[#This Row],[Data Source]]=SelectedDataSource)</f>
        <v>1</v>
      </c>
      <c r="K731" s="14" t="b">
        <v>1</v>
      </c>
      <c r="L731" s="14" t="b">
        <f>AND(Transport_Table[[#This Row],[Show Feedstock]:[Show Data Source]],NOT(Transport_Table[[#This Row],[Hide Column]]))</f>
        <v>0</v>
      </c>
      <c r="M731" s="14" t="s">
        <v>887</v>
      </c>
      <c r="N731" s="14" t="s">
        <v>1845</v>
      </c>
      <c r="O731" s="14" t="s">
        <v>1846</v>
      </c>
      <c r="P731" s="178" t="s">
        <v>1701</v>
      </c>
      <c r="Q731" s="241" t="s">
        <v>2008</v>
      </c>
      <c r="R731" s="393">
        <v>0</v>
      </c>
      <c r="S731" s="394">
        <v>0</v>
      </c>
      <c r="T731" s="107"/>
    </row>
    <row r="732" spans="1:20" x14ac:dyDescent="0.3">
      <c r="A732" s="192" t="s">
        <v>874</v>
      </c>
      <c r="B732" s="193" t="s">
        <v>30</v>
      </c>
      <c r="C732" s="194" t="s">
        <v>29</v>
      </c>
      <c r="D732" s="194" t="s">
        <v>29</v>
      </c>
      <c r="E732" s="193" t="s">
        <v>31</v>
      </c>
      <c r="F732" s="14" t="b">
        <f>OR(Transport_Table[[#This Row],[Feedstock]]="All",Transport_Table[[#This Row],[Feedstock]]=SelectedFeedstock)</f>
        <v>0</v>
      </c>
      <c r="G732" s="14" t="b">
        <f>OR(Transport_Table[[#This Row],[Conversion]]="All",Transport_Table[[#This Row],[Conversion]]=SelectedConversion)</f>
        <v>1</v>
      </c>
      <c r="H732" s="14" t="b">
        <f>OR(Transport_Table[[#This Row],[Data Set]]="All",Transport_Table[[#This Row],[Data Set]]=SelectedDataSet)</f>
        <v>1</v>
      </c>
      <c r="I732" s="14" t="b">
        <f>OR(Transport_Table[[#This Row],[Technology]]="All",Transport_Table[[#This Row],[Technology]]=SelectedTechnology)</f>
        <v>1</v>
      </c>
      <c r="J732" s="14" t="b">
        <f>OR(Transport_Table[[#This Row],[Data Source]]="All",Transport_Table[[#This Row],[Data Source]]=SelectedDataSource)</f>
        <v>1</v>
      </c>
      <c r="K732" s="14" t="b">
        <v>1</v>
      </c>
      <c r="L732" s="14" t="b">
        <f>AND(Transport_Table[[#This Row],[Show Feedstock]:[Show Data Source]],NOT(Transport_Table[[#This Row],[Hide Column]]))</f>
        <v>0</v>
      </c>
      <c r="M732" s="14" t="s">
        <v>887</v>
      </c>
      <c r="N732" s="14" t="s">
        <v>1847</v>
      </c>
      <c r="O732" s="14" t="s">
        <v>1848</v>
      </c>
      <c r="P732" s="178" t="s">
        <v>1701</v>
      </c>
      <c r="Q732" s="241" t="s">
        <v>2009</v>
      </c>
      <c r="R732" s="393">
        <v>1</v>
      </c>
      <c r="S732" s="394">
        <v>30</v>
      </c>
      <c r="T732" s="107"/>
    </row>
    <row r="733" spans="1:20" x14ac:dyDescent="0.3">
      <c r="A733" s="190" t="s">
        <v>874</v>
      </c>
      <c r="B733" s="178" t="s">
        <v>30</v>
      </c>
      <c r="C733" s="194" t="s">
        <v>194</v>
      </c>
      <c r="D733" s="194" t="s">
        <v>1336</v>
      </c>
      <c r="E733" s="178" t="s">
        <v>31</v>
      </c>
      <c r="F733" s="14" t="b">
        <f>OR(Transport_Table[[#This Row],[Feedstock]]="All",Transport_Table[[#This Row],[Feedstock]]=SelectedFeedstock)</f>
        <v>0</v>
      </c>
      <c r="G733" s="14" t="b">
        <f>OR(Transport_Table[[#This Row],[Conversion]]="All",Transport_Table[[#This Row],[Conversion]]=SelectedConversion)</f>
        <v>1</v>
      </c>
      <c r="H733" s="14" t="b">
        <f>OR(Transport_Table[[#This Row],[Data Set]]="All",Transport_Table[[#This Row],[Data Set]]=SelectedDataSet)</f>
        <v>0</v>
      </c>
      <c r="I733" s="14" t="b">
        <f>OR(Transport_Table[[#This Row],[Technology]]="All",Transport_Table[[#This Row],[Technology]]=SelectedTechnology)</f>
        <v>1</v>
      </c>
      <c r="J733" s="14" t="b">
        <f>OR(Transport_Table[[#This Row],[Data Source]]="All",Transport_Table[[#This Row],[Data Source]]=SelectedDataSource)</f>
        <v>0</v>
      </c>
      <c r="K733" s="14" t="b">
        <v>1</v>
      </c>
      <c r="L733" s="14" t="b">
        <f>AND(Transport_Table[[#This Row],[Show Feedstock]:[Show Data Source]],NOT(Transport_Table[[#This Row],[Hide Column]]))</f>
        <v>0</v>
      </c>
      <c r="M733" s="14" t="s">
        <v>887</v>
      </c>
      <c r="N733" s="14" t="s">
        <v>1228</v>
      </c>
      <c r="O733" s="14" t="s">
        <v>1310</v>
      </c>
      <c r="P733" s="178" t="s">
        <v>888</v>
      </c>
      <c r="Q733" s="241" t="s">
        <v>1940</v>
      </c>
      <c r="R733" s="147">
        <v>0.8</v>
      </c>
      <c r="S733" s="398">
        <v>100.04073100000001</v>
      </c>
      <c r="T733" s="107"/>
    </row>
    <row r="734" spans="1:20" x14ac:dyDescent="0.3">
      <c r="A734" s="190" t="s">
        <v>874</v>
      </c>
      <c r="B734" s="178" t="s">
        <v>30</v>
      </c>
      <c r="C734" s="194" t="s">
        <v>194</v>
      </c>
      <c r="D734" s="194" t="s">
        <v>1336</v>
      </c>
      <c r="E734" s="178" t="s">
        <v>31</v>
      </c>
      <c r="F734" s="14" t="b">
        <f>OR(Transport_Table[[#This Row],[Feedstock]]="All",Transport_Table[[#This Row],[Feedstock]]=SelectedFeedstock)</f>
        <v>0</v>
      </c>
      <c r="G734" s="14" t="b">
        <f>OR(Transport_Table[[#This Row],[Conversion]]="All",Transport_Table[[#This Row],[Conversion]]=SelectedConversion)</f>
        <v>1</v>
      </c>
      <c r="H734" s="14" t="b">
        <f>OR(Transport_Table[[#This Row],[Data Set]]="All",Transport_Table[[#This Row],[Data Set]]=SelectedDataSet)</f>
        <v>0</v>
      </c>
      <c r="I734" s="14" t="b">
        <f>OR(Transport_Table[[#This Row],[Technology]]="All",Transport_Table[[#This Row],[Technology]]=SelectedTechnology)</f>
        <v>1</v>
      </c>
      <c r="J734" s="14" t="b">
        <f>OR(Transport_Table[[#This Row],[Data Source]]="All",Transport_Table[[#This Row],[Data Source]]=SelectedDataSource)</f>
        <v>0</v>
      </c>
      <c r="K734" s="14" t="b">
        <v>1</v>
      </c>
      <c r="L734" s="14" t="b">
        <f>AND(Transport_Table[[#This Row],[Show Feedstock]:[Show Data Source]],NOT(Transport_Table[[#This Row],[Hide Column]]))</f>
        <v>0</v>
      </c>
      <c r="M734" s="14" t="s">
        <v>887</v>
      </c>
      <c r="N734" s="14" t="s">
        <v>1229</v>
      </c>
      <c r="O734" s="14" t="s">
        <v>1311</v>
      </c>
      <c r="P734" s="178" t="s">
        <v>888</v>
      </c>
      <c r="Q734" s="241" t="s">
        <v>1939</v>
      </c>
      <c r="R734" s="147">
        <v>0.2</v>
      </c>
      <c r="S734" s="398">
        <v>400.16292400000003</v>
      </c>
      <c r="T734" s="107"/>
    </row>
    <row r="735" spans="1:20" x14ac:dyDescent="0.3">
      <c r="A735" s="190" t="s">
        <v>874</v>
      </c>
      <c r="B735" s="178" t="s">
        <v>30</v>
      </c>
      <c r="C735" s="194" t="s">
        <v>194</v>
      </c>
      <c r="D735" s="194" t="s">
        <v>1336</v>
      </c>
      <c r="E735" s="178" t="s">
        <v>31</v>
      </c>
      <c r="F735" s="14" t="b">
        <f>OR(Transport_Table[[#This Row],[Feedstock]]="All",Transport_Table[[#This Row],[Feedstock]]=SelectedFeedstock)</f>
        <v>0</v>
      </c>
      <c r="G735" s="14" t="b">
        <f>OR(Transport_Table[[#This Row],[Conversion]]="All",Transport_Table[[#This Row],[Conversion]]=SelectedConversion)</f>
        <v>1</v>
      </c>
      <c r="H735" s="14" t="b">
        <f>OR(Transport_Table[[#This Row],[Data Set]]="All",Transport_Table[[#This Row],[Data Set]]=SelectedDataSet)</f>
        <v>0</v>
      </c>
      <c r="I735" s="14" t="b">
        <f>OR(Transport_Table[[#This Row],[Technology]]="All",Transport_Table[[#This Row],[Technology]]=SelectedTechnology)</f>
        <v>1</v>
      </c>
      <c r="J735" s="14" t="b">
        <f>OR(Transport_Table[[#This Row],[Data Source]]="All",Transport_Table[[#This Row],[Data Source]]=SelectedDataSource)</f>
        <v>0</v>
      </c>
      <c r="L735" s="14" t="b">
        <f>AND(Transport_Table[[#This Row],[Show Feedstock]:[Show Data Source]],NOT(Transport_Table[[#This Row],[Hide Column]]))</f>
        <v>0</v>
      </c>
      <c r="M735" s="14" t="s">
        <v>887</v>
      </c>
      <c r="N735" s="14" t="s">
        <v>1161</v>
      </c>
      <c r="O735" s="14" t="s">
        <v>1243</v>
      </c>
      <c r="P735" s="178" t="s">
        <v>1700</v>
      </c>
      <c r="Q735" s="241" t="s">
        <v>1938</v>
      </c>
      <c r="R735" s="147">
        <v>0.08</v>
      </c>
      <c r="S735" s="398">
        <v>519.99854667279999</v>
      </c>
      <c r="T735" s="107"/>
    </row>
    <row r="736" spans="1:20" x14ac:dyDescent="0.3">
      <c r="A736" s="190" t="s">
        <v>874</v>
      </c>
      <c r="B736" s="178" t="s">
        <v>30</v>
      </c>
      <c r="C736" s="194" t="s">
        <v>194</v>
      </c>
      <c r="D736" s="194" t="s">
        <v>1336</v>
      </c>
      <c r="E736" s="178" t="s">
        <v>31</v>
      </c>
      <c r="F736" s="14" t="b">
        <f>OR(Transport_Table[[#This Row],[Feedstock]]="All",Transport_Table[[#This Row],[Feedstock]]=SelectedFeedstock)</f>
        <v>0</v>
      </c>
      <c r="G736" s="14" t="b">
        <f>OR(Transport_Table[[#This Row],[Conversion]]="All",Transport_Table[[#This Row],[Conversion]]=SelectedConversion)</f>
        <v>1</v>
      </c>
      <c r="H736" s="14" t="b">
        <f>OR(Transport_Table[[#This Row],[Data Set]]="All",Transport_Table[[#This Row],[Data Set]]=SelectedDataSet)</f>
        <v>0</v>
      </c>
      <c r="I736" s="14" t="b">
        <f>OR(Transport_Table[[#This Row],[Technology]]="All",Transport_Table[[#This Row],[Technology]]=SelectedTechnology)</f>
        <v>1</v>
      </c>
      <c r="J736" s="14" t="b">
        <f>OR(Transport_Table[[#This Row],[Data Source]]="All",Transport_Table[[#This Row],[Data Source]]=SelectedDataSource)</f>
        <v>0</v>
      </c>
      <c r="L736" s="14" t="b">
        <f>AND(Transport_Table[[#This Row],[Show Feedstock]:[Show Data Source]],NOT(Transport_Table[[#This Row],[Hide Column]]))</f>
        <v>0</v>
      </c>
      <c r="M736" s="14" t="s">
        <v>887</v>
      </c>
      <c r="N736" s="14" t="s">
        <v>1162</v>
      </c>
      <c r="O736" s="14" t="s">
        <v>1244</v>
      </c>
      <c r="P736" s="178" t="s">
        <v>1700</v>
      </c>
      <c r="Q736" s="241" t="s">
        <v>1942</v>
      </c>
      <c r="R736" s="147">
        <v>0</v>
      </c>
      <c r="S736" s="394">
        <v>0</v>
      </c>
      <c r="T736" s="107"/>
    </row>
    <row r="737" spans="1:20" x14ac:dyDescent="0.3">
      <c r="A737" s="190" t="s">
        <v>874</v>
      </c>
      <c r="B737" s="178" t="s">
        <v>30</v>
      </c>
      <c r="C737" s="194" t="s">
        <v>194</v>
      </c>
      <c r="D737" s="194" t="s">
        <v>1336</v>
      </c>
      <c r="E737" s="178" t="s">
        <v>31</v>
      </c>
      <c r="F737" s="14" t="b">
        <f>OR(Transport_Table[[#This Row],[Feedstock]]="All",Transport_Table[[#This Row],[Feedstock]]=SelectedFeedstock)</f>
        <v>0</v>
      </c>
      <c r="G737" s="14" t="b">
        <f>OR(Transport_Table[[#This Row],[Conversion]]="All",Transport_Table[[#This Row],[Conversion]]=SelectedConversion)</f>
        <v>1</v>
      </c>
      <c r="H737" s="14" t="b">
        <f>OR(Transport_Table[[#This Row],[Data Set]]="All",Transport_Table[[#This Row],[Data Set]]=SelectedDataSet)</f>
        <v>0</v>
      </c>
      <c r="I737" s="14" t="b">
        <f>OR(Transport_Table[[#This Row],[Technology]]="All",Transport_Table[[#This Row],[Technology]]=SelectedTechnology)</f>
        <v>1</v>
      </c>
      <c r="J737" s="14" t="b">
        <f>OR(Transport_Table[[#This Row],[Data Source]]="All",Transport_Table[[#This Row],[Data Source]]=SelectedDataSource)</f>
        <v>0</v>
      </c>
      <c r="L737" s="14" t="b">
        <f>AND(Transport_Table[[#This Row],[Show Feedstock]:[Show Data Source]],NOT(Transport_Table[[#This Row],[Hide Column]]))</f>
        <v>0</v>
      </c>
      <c r="M737" s="14" t="s">
        <v>887</v>
      </c>
      <c r="N737" s="14" t="s">
        <v>1163</v>
      </c>
      <c r="O737" s="14" t="s">
        <v>1245</v>
      </c>
      <c r="P737" s="178" t="s">
        <v>1700</v>
      </c>
      <c r="Q737" s="241" t="s">
        <v>1939</v>
      </c>
      <c r="R737" s="147">
        <v>0.28999999999999998</v>
      </c>
      <c r="S737" s="398">
        <v>799.99776411200003</v>
      </c>
      <c r="T737" s="107"/>
    </row>
    <row r="738" spans="1:20" x14ac:dyDescent="0.3">
      <c r="A738" s="190" t="s">
        <v>874</v>
      </c>
      <c r="B738" s="178" t="s">
        <v>30</v>
      </c>
      <c r="C738" s="194" t="s">
        <v>194</v>
      </c>
      <c r="D738" s="194" t="s">
        <v>1336</v>
      </c>
      <c r="E738" s="178" t="s">
        <v>31</v>
      </c>
      <c r="F738" s="14" t="b">
        <f>OR(Transport_Table[[#This Row],[Feedstock]]="All",Transport_Table[[#This Row],[Feedstock]]=SelectedFeedstock)</f>
        <v>0</v>
      </c>
      <c r="G738" s="14" t="b">
        <f>OR(Transport_Table[[#This Row],[Conversion]]="All",Transport_Table[[#This Row],[Conversion]]=SelectedConversion)</f>
        <v>1</v>
      </c>
      <c r="H738" s="14" t="b">
        <f>OR(Transport_Table[[#This Row],[Data Set]]="All",Transport_Table[[#This Row],[Data Set]]=SelectedDataSet)</f>
        <v>0</v>
      </c>
      <c r="I738" s="14" t="b">
        <f>OR(Transport_Table[[#This Row],[Technology]]="All",Transport_Table[[#This Row],[Technology]]=SelectedTechnology)</f>
        <v>1</v>
      </c>
      <c r="J738" s="14" t="b">
        <f>OR(Transport_Table[[#This Row],[Data Source]]="All",Transport_Table[[#This Row],[Data Source]]=SelectedDataSource)</f>
        <v>0</v>
      </c>
      <c r="L738" s="14" t="b">
        <f>AND(Transport_Table[[#This Row],[Show Feedstock]:[Show Data Source]],NOT(Transport_Table[[#This Row],[Hide Column]]))</f>
        <v>0</v>
      </c>
      <c r="M738" s="14" t="s">
        <v>887</v>
      </c>
      <c r="N738" s="14" t="s">
        <v>1164</v>
      </c>
      <c r="O738" s="14" t="s">
        <v>1246</v>
      </c>
      <c r="P738" s="178" t="s">
        <v>1700</v>
      </c>
      <c r="Q738" s="241" t="s">
        <v>1940</v>
      </c>
      <c r="R738" s="147">
        <v>0.63</v>
      </c>
      <c r="S738" s="398">
        <v>49.999860257000002</v>
      </c>
      <c r="T738" s="107"/>
    </row>
    <row r="739" spans="1:20" x14ac:dyDescent="0.3">
      <c r="A739" s="192" t="s">
        <v>874</v>
      </c>
      <c r="B739" s="193" t="s">
        <v>30</v>
      </c>
      <c r="C739" s="194" t="s">
        <v>194</v>
      </c>
      <c r="D739" s="194" t="s">
        <v>1336</v>
      </c>
      <c r="E739" s="193" t="s">
        <v>31</v>
      </c>
      <c r="F739" s="14" t="b">
        <f>OR(Transport_Table[[#This Row],[Feedstock]]="All",Transport_Table[[#This Row],[Feedstock]]=SelectedFeedstock)</f>
        <v>0</v>
      </c>
      <c r="G739" s="14" t="b">
        <f>OR(Transport_Table[[#This Row],[Conversion]]="All",Transport_Table[[#This Row],[Conversion]]=SelectedConversion)</f>
        <v>1</v>
      </c>
      <c r="H739" s="14" t="b">
        <f>OR(Transport_Table[[#This Row],[Data Set]]="All",Transport_Table[[#This Row],[Data Set]]=SelectedDataSet)</f>
        <v>0</v>
      </c>
      <c r="I739" s="14" t="b">
        <f>OR(Transport_Table[[#This Row],[Technology]]="All",Transport_Table[[#This Row],[Technology]]=SelectedTechnology)</f>
        <v>1</v>
      </c>
      <c r="J739" s="14" t="b">
        <f>OR(Transport_Table[[#This Row],[Data Source]]="All",Transport_Table[[#This Row],[Data Source]]=SelectedDataSource)</f>
        <v>0</v>
      </c>
      <c r="L739" s="14" t="b">
        <f>AND(Transport_Table[[#This Row],[Show Feedstock]:[Show Data Source]],NOT(Transport_Table[[#This Row],[Hide Column]]))</f>
        <v>0</v>
      </c>
      <c r="M739" s="14" t="s">
        <v>887</v>
      </c>
      <c r="N739" s="14" t="s">
        <v>1165</v>
      </c>
      <c r="O739" s="14" t="s">
        <v>1247</v>
      </c>
      <c r="P739" s="178" t="s">
        <v>1701</v>
      </c>
      <c r="Q739" s="400" t="s">
        <v>1940</v>
      </c>
      <c r="R739" s="148">
        <v>1</v>
      </c>
      <c r="S739" s="399">
        <v>29.999916154200001</v>
      </c>
      <c r="T739" s="107"/>
    </row>
    <row r="740" spans="1:20" x14ac:dyDescent="0.3">
      <c r="A740" s="190" t="s">
        <v>875</v>
      </c>
      <c r="B740" s="178" t="s">
        <v>30</v>
      </c>
      <c r="C740" s="194" t="s">
        <v>29</v>
      </c>
      <c r="D740" s="194" t="s">
        <v>29</v>
      </c>
      <c r="E740" s="178" t="s">
        <v>31</v>
      </c>
      <c r="F740" s="14" t="b">
        <f>OR(Transport_Table[[#This Row],[Feedstock]]="All",Transport_Table[[#This Row],[Feedstock]]=SelectedFeedstock)</f>
        <v>0</v>
      </c>
      <c r="G740" s="14" t="b">
        <f>OR(Transport_Table[[#This Row],[Conversion]]="All",Transport_Table[[#This Row],[Conversion]]=SelectedConversion)</f>
        <v>1</v>
      </c>
      <c r="H740" s="14" t="b">
        <f>OR(Transport_Table[[#This Row],[Data Set]]="All",Transport_Table[[#This Row],[Data Set]]=SelectedDataSet)</f>
        <v>1</v>
      </c>
      <c r="I740" s="14" t="b">
        <f>OR(Transport_Table[[#This Row],[Technology]]="All",Transport_Table[[#This Row],[Technology]]=SelectedTechnology)</f>
        <v>1</v>
      </c>
      <c r="J740" s="14" t="b">
        <f>OR(Transport_Table[[#This Row],[Data Source]]="All",Transport_Table[[#This Row],[Data Source]]=SelectedDataSource)</f>
        <v>1</v>
      </c>
      <c r="K740" s="14" t="b">
        <v>1</v>
      </c>
      <c r="L740" s="14" t="b">
        <f>AND(Transport_Table[[#This Row],[Show Feedstock]:[Show Data Source]],NOT(Transport_Table[[#This Row],[Hide Column]]))</f>
        <v>0</v>
      </c>
      <c r="M740" s="14" t="s">
        <v>887</v>
      </c>
      <c r="N740" s="14" t="s">
        <v>1230</v>
      </c>
      <c r="O740" s="14" t="s">
        <v>1312</v>
      </c>
      <c r="P740" s="178" t="s">
        <v>889</v>
      </c>
      <c r="Q740" s="241" t="s">
        <v>1939</v>
      </c>
      <c r="R740" s="147">
        <v>0.05</v>
      </c>
      <c r="S740" s="398">
        <v>500</v>
      </c>
      <c r="T740" s="107"/>
    </row>
    <row r="741" spans="1:20" x14ac:dyDescent="0.3">
      <c r="A741" s="190" t="s">
        <v>875</v>
      </c>
      <c r="B741" s="178" t="s">
        <v>30</v>
      </c>
      <c r="C741" s="194" t="s">
        <v>29</v>
      </c>
      <c r="D741" s="194" t="s">
        <v>29</v>
      </c>
      <c r="E741" s="178" t="s">
        <v>31</v>
      </c>
      <c r="F741" s="14" t="b">
        <f>OR(Transport_Table[[#This Row],[Feedstock]]="All",Transport_Table[[#This Row],[Feedstock]]=SelectedFeedstock)</f>
        <v>0</v>
      </c>
      <c r="G741" s="14" t="b">
        <f>OR(Transport_Table[[#This Row],[Conversion]]="All",Transport_Table[[#This Row],[Conversion]]=SelectedConversion)</f>
        <v>1</v>
      </c>
      <c r="H741" s="14" t="b">
        <f>OR(Transport_Table[[#This Row],[Data Set]]="All",Transport_Table[[#This Row],[Data Set]]=SelectedDataSet)</f>
        <v>1</v>
      </c>
      <c r="I741" s="14" t="b">
        <f>OR(Transport_Table[[#This Row],[Technology]]="All",Transport_Table[[#This Row],[Technology]]=SelectedTechnology)</f>
        <v>1</v>
      </c>
      <c r="J741" s="14" t="b">
        <f>OR(Transport_Table[[#This Row],[Data Source]]="All",Transport_Table[[#This Row],[Data Source]]=SelectedDataSource)</f>
        <v>1</v>
      </c>
      <c r="K741" s="14" t="b">
        <v>1</v>
      </c>
      <c r="L741" s="14" t="b">
        <f>AND(Transport_Table[[#This Row],[Show Feedstock]:[Show Data Source]],NOT(Transport_Table[[#This Row],[Hide Column]]))</f>
        <v>0</v>
      </c>
      <c r="M741" s="14" t="s">
        <v>887</v>
      </c>
      <c r="N741" s="14" t="s">
        <v>1231</v>
      </c>
      <c r="O741" s="14" t="s">
        <v>1313</v>
      </c>
      <c r="P741" s="178" t="s">
        <v>889</v>
      </c>
      <c r="Q741" s="241" t="s">
        <v>1949</v>
      </c>
      <c r="R741" s="147">
        <v>1</v>
      </c>
      <c r="S741" s="398">
        <v>150</v>
      </c>
      <c r="T741" s="107"/>
    </row>
    <row r="742" spans="1:20" x14ac:dyDescent="0.3">
      <c r="A742" s="190" t="s">
        <v>875</v>
      </c>
      <c r="B742" s="178" t="s">
        <v>30</v>
      </c>
      <c r="C742" s="194" t="s">
        <v>29</v>
      </c>
      <c r="D742" s="194" t="s">
        <v>29</v>
      </c>
      <c r="E742" s="178" t="s">
        <v>31</v>
      </c>
      <c r="F742" s="14" t="b">
        <f>OR(Transport_Table[[#This Row],[Feedstock]]="All",Transport_Table[[#This Row],[Feedstock]]=SelectedFeedstock)</f>
        <v>0</v>
      </c>
      <c r="G742" s="14" t="b">
        <f>OR(Transport_Table[[#This Row],[Conversion]]="All",Transport_Table[[#This Row],[Conversion]]=SelectedConversion)</f>
        <v>1</v>
      </c>
      <c r="H742" s="14" t="b">
        <f>OR(Transport_Table[[#This Row],[Data Set]]="All",Transport_Table[[#This Row],[Data Set]]=SelectedDataSet)</f>
        <v>1</v>
      </c>
      <c r="I742" s="14" t="b">
        <f>OR(Transport_Table[[#This Row],[Technology]]="All",Transport_Table[[#This Row],[Technology]]=SelectedTechnology)</f>
        <v>1</v>
      </c>
      <c r="J742" s="14" t="b">
        <f>OR(Transport_Table[[#This Row],[Data Source]]="All",Transport_Table[[#This Row],[Data Source]]=SelectedDataSource)</f>
        <v>1</v>
      </c>
      <c r="K742" s="14" t="b">
        <v>1</v>
      </c>
      <c r="L742" s="14" t="b">
        <f>AND(Transport_Table[[#This Row],[Show Feedstock]:[Show Data Source]],NOT(Transport_Table[[#This Row],[Hide Column]]))</f>
        <v>0</v>
      </c>
      <c r="M742" s="14" t="s">
        <v>887</v>
      </c>
      <c r="N742" s="14" t="s">
        <v>1232</v>
      </c>
      <c r="O742" s="14" t="s">
        <v>1314</v>
      </c>
      <c r="P742" s="178" t="s">
        <v>889</v>
      </c>
      <c r="Q742" s="241" t="s">
        <v>1950</v>
      </c>
      <c r="R742" s="147">
        <v>0.23</v>
      </c>
      <c r="S742" s="398">
        <v>200</v>
      </c>
      <c r="T742" s="107"/>
    </row>
    <row r="743" spans="1:20" x14ac:dyDescent="0.3">
      <c r="A743" s="190" t="s">
        <v>875</v>
      </c>
      <c r="B743" s="178" t="s">
        <v>30</v>
      </c>
      <c r="C743" s="194" t="s">
        <v>29</v>
      </c>
      <c r="D743" s="194" t="s">
        <v>29</v>
      </c>
      <c r="E743" s="178" t="s">
        <v>31</v>
      </c>
      <c r="F743" s="14" t="b">
        <f>OR(Transport_Table[[#This Row],[Feedstock]]="All",Transport_Table[[#This Row],[Feedstock]]=SelectedFeedstock)</f>
        <v>0</v>
      </c>
      <c r="G743" s="14" t="b">
        <f>OR(Transport_Table[[#This Row],[Conversion]]="All",Transport_Table[[#This Row],[Conversion]]=SelectedConversion)</f>
        <v>1</v>
      </c>
      <c r="H743" s="14" t="b">
        <f>OR(Transport_Table[[#This Row],[Data Set]]="All",Transport_Table[[#This Row],[Data Set]]=SelectedDataSet)</f>
        <v>1</v>
      </c>
      <c r="I743" s="14" t="b">
        <f>OR(Transport_Table[[#This Row],[Technology]]="All",Transport_Table[[#This Row],[Technology]]=SelectedTechnology)</f>
        <v>1</v>
      </c>
      <c r="J743" s="14" t="b">
        <f>OR(Transport_Table[[#This Row],[Data Source]]="All",Transport_Table[[#This Row],[Data Source]]=SelectedDataSource)</f>
        <v>1</v>
      </c>
      <c r="K743" s="14" t="b">
        <v>1</v>
      </c>
      <c r="L743" s="14" t="b">
        <f>AND(Transport_Table[[#This Row],[Show Feedstock]:[Show Data Source]],NOT(Transport_Table[[#This Row],[Hide Column]]))</f>
        <v>0</v>
      </c>
      <c r="M743" s="14" t="s">
        <v>887</v>
      </c>
      <c r="N743" s="14" t="s">
        <v>1340</v>
      </c>
      <c r="O743" s="14" t="s">
        <v>1341</v>
      </c>
      <c r="P743" s="178" t="s">
        <v>889</v>
      </c>
      <c r="Q743" s="241" t="s">
        <v>1951</v>
      </c>
      <c r="R743" s="147">
        <v>0.95</v>
      </c>
      <c r="S743" s="398">
        <v>130</v>
      </c>
      <c r="T743" s="107"/>
    </row>
    <row r="744" spans="1:20" x14ac:dyDescent="0.3">
      <c r="A744" s="190" t="s">
        <v>875</v>
      </c>
      <c r="B744" s="178" t="s">
        <v>30</v>
      </c>
      <c r="C744" s="194" t="s">
        <v>29</v>
      </c>
      <c r="D744" s="194" t="s">
        <v>29</v>
      </c>
      <c r="E744" s="178" t="s">
        <v>31</v>
      </c>
      <c r="F744" s="14" t="b">
        <f>OR(Transport_Table[[#This Row],[Feedstock]]="All",Transport_Table[[#This Row],[Feedstock]]=SelectedFeedstock)</f>
        <v>0</v>
      </c>
      <c r="G744" s="14" t="b">
        <f>OR(Transport_Table[[#This Row],[Conversion]]="All",Transport_Table[[#This Row],[Conversion]]=SelectedConversion)</f>
        <v>1</v>
      </c>
      <c r="H744" s="14" t="b">
        <f>OR(Transport_Table[[#This Row],[Data Set]]="All",Transport_Table[[#This Row],[Data Set]]=SelectedDataSet)</f>
        <v>1</v>
      </c>
      <c r="I744" s="14" t="b">
        <f>OR(Transport_Table[[#This Row],[Technology]]="All",Transport_Table[[#This Row],[Technology]]=SelectedTechnology)</f>
        <v>1</v>
      </c>
      <c r="J744" s="14" t="b">
        <f>OR(Transport_Table[[#This Row],[Data Source]]="All",Transport_Table[[#This Row],[Data Source]]=SelectedDataSource)</f>
        <v>1</v>
      </c>
      <c r="L744" s="14" t="b">
        <f>AND(Transport_Table[[#This Row],[Show Feedstock]:[Show Data Source]],NOT(Transport_Table[[#This Row],[Hide Column]]))</f>
        <v>0</v>
      </c>
      <c r="M744" s="14" t="s">
        <v>887</v>
      </c>
      <c r="N744" s="14" t="s">
        <v>1161</v>
      </c>
      <c r="O744" s="14" t="s">
        <v>1243</v>
      </c>
      <c r="P744" s="178" t="s">
        <v>1700</v>
      </c>
      <c r="Q744" s="241" t="s">
        <v>2002</v>
      </c>
      <c r="R744" s="393">
        <v>0.08</v>
      </c>
      <c r="S744" s="394">
        <v>520</v>
      </c>
      <c r="T744" s="107"/>
    </row>
    <row r="745" spans="1:20" x14ac:dyDescent="0.3">
      <c r="A745" s="190" t="s">
        <v>875</v>
      </c>
      <c r="B745" s="178" t="s">
        <v>30</v>
      </c>
      <c r="C745" s="194" t="s">
        <v>29</v>
      </c>
      <c r="D745" s="194" t="s">
        <v>29</v>
      </c>
      <c r="E745" s="178" t="s">
        <v>31</v>
      </c>
      <c r="F745" s="14" t="b">
        <f>OR(Transport_Table[[#This Row],[Feedstock]]="All",Transport_Table[[#This Row],[Feedstock]]=SelectedFeedstock)</f>
        <v>0</v>
      </c>
      <c r="G745" s="14" t="b">
        <f>OR(Transport_Table[[#This Row],[Conversion]]="All",Transport_Table[[#This Row],[Conversion]]=SelectedConversion)</f>
        <v>1</v>
      </c>
      <c r="H745" s="14" t="b">
        <f>OR(Transport_Table[[#This Row],[Data Set]]="All",Transport_Table[[#This Row],[Data Set]]=SelectedDataSet)</f>
        <v>1</v>
      </c>
      <c r="I745" s="14" t="b">
        <f>OR(Transport_Table[[#This Row],[Technology]]="All",Transport_Table[[#This Row],[Technology]]=SelectedTechnology)</f>
        <v>1</v>
      </c>
      <c r="J745" s="14" t="b">
        <f>OR(Transport_Table[[#This Row],[Data Source]]="All",Transport_Table[[#This Row],[Data Source]]=SelectedDataSource)</f>
        <v>1</v>
      </c>
      <c r="L745" s="14" t="b">
        <f>AND(Transport_Table[[#This Row],[Show Feedstock]:[Show Data Source]],NOT(Transport_Table[[#This Row],[Hide Column]]))</f>
        <v>0</v>
      </c>
      <c r="M745" s="14" t="s">
        <v>887</v>
      </c>
      <c r="N745" s="14" t="s">
        <v>1162</v>
      </c>
      <c r="O745" s="14" t="s">
        <v>1244</v>
      </c>
      <c r="P745" s="178" t="s">
        <v>1700</v>
      </c>
      <c r="Q745" s="241" t="s">
        <v>2003</v>
      </c>
      <c r="R745" s="393">
        <v>0</v>
      </c>
      <c r="S745" s="394">
        <v>0</v>
      </c>
      <c r="T745" s="107"/>
    </row>
    <row r="746" spans="1:20" x14ac:dyDescent="0.3">
      <c r="A746" s="190" t="s">
        <v>875</v>
      </c>
      <c r="B746" s="178" t="s">
        <v>30</v>
      </c>
      <c r="C746" s="194" t="s">
        <v>29</v>
      </c>
      <c r="D746" s="194" t="s">
        <v>29</v>
      </c>
      <c r="E746" s="178" t="s">
        <v>31</v>
      </c>
      <c r="F746" s="14" t="b">
        <f>OR(Transport_Table[[#This Row],[Feedstock]]="All",Transport_Table[[#This Row],[Feedstock]]=SelectedFeedstock)</f>
        <v>0</v>
      </c>
      <c r="G746" s="14" t="b">
        <f>OR(Transport_Table[[#This Row],[Conversion]]="All",Transport_Table[[#This Row],[Conversion]]=SelectedConversion)</f>
        <v>1</v>
      </c>
      <c r="H746" s="14" t="b">
        <f>OR(Transport_Table[[#This Row],[Data Set]]="All",Transport_Table[[#This Row],[Data Set]]=SelectedDataSet)</f>
        <v>1</v>
      </c>
      <c r="I746" s="14" t="b">
        <f>OR(Transport_Table[[#This Row],[Technology]]="All",Transport_Table[[#This Row],[Technology]]=SelectedTechnology)</f>
        <v>1</v>
      </c>
      <c r="J746" s="14" t="b">
        <f>OR(Transport_Table[[#This Row],[Data Source]]="All",Transport_Table[[#This Row],[Data Source]]=SelectedDataSource)</f>
        <v>1</v>
      </c>
      <c r="L746" s="14" t="b">
        <f>AND(Transport_Table[[#This Row],[Show Feedstock]:[Show Data Source]],NOT(Transport_Table[[#This Row],[Hide Column]]))</f>
        <v>0</v>
      </c>
      <c r="M746" s="14" t="s">
        <v>887</v>
      </c>
      <c r="N746" s="14" t="s">
        <v>1163</v>
      </c>
      <c r="O746" s="14" t="s">
        <v>1245</v>
      </c>
      <c r="P746" s="178" t="s">
        <v>1700</v>
      </c>
      <c r="Q746" s="241" t="s">
        <v>2004</v>
      </c>
      <c r="R746" s="393">
        <v>0.28999999999999998</v>
      </c>
      <c r="S746" s="394">
        <v>800</v>
      </c>
      <c r="T746" s="107"/>
    </row>
    <row r="747" spans="1:20" x14ac:dyDescent="0.3">
      <c r="A747" s="190" t="s">
        <v>875</v>
      </c>
      <c r="B747" s="178" t="s">
        <v>30</v>
      </c>
      <c r="C747" s="194" t="s">
        <v>29</v>
      </c>
      <c r="D747" s="194" t="s">
        <v>29</v>
      </c>
      <c r="E747" s="178" t="s">
        <v>31</v>
      </c>
      <c r="F747" s="14" t="b">
        <f>OR(Transport_Table[[#This Row],[Feedstock]]="All",Transport_Table[[#This Row],[Feedstock]]=SelectedFeedstock)</f>
        <v>0</v>
      </c>
      <c r="G747" s="14" t="b">
        <f>OR(Transport_Table[[#This Row],[Conversion]]="All",Transport_Table[[#This Row],[Conversion]]=SelectedConversion)</f>
        <v>1</v>
      </c>
      <c r="H747" s="14" t="b">
        <f>OR(Transport_Table[[#This Row],[Data Set]]="All",Transport_Table[[#This Row],[Data Set]]=SelectedDataSet)</f>
        <v>1</v>
      </c>
      <c r="I747" s="14" t="b">
        <f>OR(Transport_Table[[#This Row],[Technology]]="All",Transport_Table[[#This Row],[Technology]]=SelectedTechnology)</f>
        <v>1</v>
      </c>
      <c r="J747" s="14" t="b">
        <f>OR(Transport_Table[[#This Row],[Data Source]]="All",Transport_Table[[#This Row],[Data Source]]=SelectedDataSource)</f>
        <v>1</v>
      </c>
      <c r="L747" s="14" t="b">
        <f>AND(Transport_Table[[#This Row],[Show Feedstock]:[Show Data Source]],NOT(Transport_Table[[#This Row],[Hide Column]]))</f>
        <v>0</v>
      </c>
      <c r="M747" s="14" t="s">
        <v>887</v>
      </c>
      <c r="N747" s="14" t="s">
        <v>1840</v>
      </c>
      <c r="O747" s="14" t="s">
        <v>1840</v>
      </c>
      <c r="P747" s="178" t="s">
        <v>1700</v>
      </c>
      <c r="Q747" s="241" t="s">
        <v>2005</v>
      </c>
      <c r="R747" s="393">
        <v>0.63</v>
      </c>
      <c r="S747" s="394">
        <v>50</v>
      </c>
      <c r="T747" s="107"/>
    </row>
    <row r="748" spans="1:20" x14ac:dyDescent="0.3">
      <c r="A748" s="190" t="s">
        <v>875</v>
      </c>
      <c r="B748" s="178" t="s">
        <v>30</v>
      </c>
      <c r="C748" s="194" t="s">
        <v>29</v>
      </c>
      <c r="D748" s="194" t="s">
        <v>29</v>
      </c>
      <c r="E748" s="178" t="s">
        <v>31</v>
      </c>
      <c r="F748" s="14" t="b">
        <f>OR(Transport_Table[[#This Row],[Feedstock]]="All",Transport_Table[[#This Row],[Feedstock]]=SelectedFeedstock)</f>
        <v>0</v>
      </c>
      <c r="G748" s="14" t="b">
        <f>OR(Transport_Table[[#This Row],[Conversion]]="All",Transport_Table[[#This Row],[Conversion]]=SelectedConversion)</f>
        <v>1</v>
      </c>
      <c r="H748" s="14" t="b">
        <f>OR(Transport_Table[[#This Row],[Data Set]]="All",Transport_Table[[#This Row],[Data Set]]=SelectedDataSet)</f>
        <v>1</v>
      </c>
      <c r="I748" s="14" t="b">
        <f>OR(Transport_Table[[#This Row],[Technology]]="All",Transport_Table[[#This Row],[Technology]]=SelectedTechnology)</f>
        <v>1</v>
      </c>
      <c r="J748" s="14" t="b">
        <f>OR(Transport_Table[[#This Row],[Data Source]]="All",Transport_Table[[#This Row],[Data Source]]=SelectedDataSource)</f>
        <v>1</v>
      </c>
      <c r="K748" s="14" t="b">
        <v>1</v>
      </c>
      <c r="L748" s="14" t="b">
        <f>AND(Transport_Table[[#This Row],[Show Feedstock]:[Show Data Source]],NOT(Transport_Table[[#This Row],[Hide Column]]))</f>
        <v>0</v>
      </c>
      <c r="M748" s="14" t="s">
        <v>887</v>
      </c>
      <c r="N748" s="14" t="s">
        <v>1841</v>
      </c>
      <c r="O748" s="14" t="s">
        <v>1842</v>
      </c>
      <c r="P748" s="178" t="s">
        <v>1701</v>
      </c>
      <c r="Q748" s="241" t="s">
        <v>2006</v>
      </c>
      <c r="R748" s="393">
        <v>0</v>
      </c>
      <c r="S748" s="394">
        <v>0</v>
      </c>
      <c r="T748" s="107"/>
    </row>
    <row r="749" spans="1:20" x14ac:dyDescent="0.3">
      <c r="A749" s="190" t="s">
        <v>875</v>
      </c>
      <c r="B749" s="178" t="s">
        <v>30</v>
      </c>
      <c r="C749" s="194" t="s">
        <v>29</v>
      </c>
      <c r="D749" s="194" t="s">
        <v>29</v>
      </c>
      <c r="E749" s="178" t="s">
        <v>31</v>
      </c>
      <c r="F749" s="14" t="b">
        <f>OR(Transport_Table[[#This Row],[Feedstock]]="All",Transport_Table[[#This Row],[Feedstock]]=SelectedFeedstock)</f>
        <v>0</v>
      </c>
      <c r="G749" s="14" t="b">
        <f>OR(Transport_Table[[#This Row],[Conversion]]="All",Transport_Table[[#This Row],[Conversion]]=SelectedConversion)</f>
        <v>1</v>
      </c>
      <c r="H749" s="14" t="b">
        <f>OR(Transport_Table[[#This Row],[Data Set]]="All",Transport_Table[[#This Row],[Data Set]]=SelectedDataSet)</f>
        <v>1</v>
      </c>
      <c r="I749" s="14" t="b">
        <f>OR(Transport_Table[[#This Row],[Technology]]="All",Transport_Table[[#This Row],[Technology]]=SelectedTechnology)</f>
        <v>1</v>
      </c>
      <c r="J749" s="14" t="b">
        <f>OR(Transport_Table[[#This Row],[Data Source]]="All",Transport_Table[[#This Row],[Data Source]]=SelectedDataSource)</f>
        <v>1</v>
      </c>
      <c r="K749" s="14" t="b">
        <v>1</v>
      </c>
      <c r="L749" s="14" t="b">
        <f>AND(Transport_Table[[#This Row],[Show Feedstock]:[Show Data Source]],NOT(Transport_Table[[#This Row],[Hide Column]]))</f>
        <v>0</v>
      </c>
      <c r="M749" s="14" t="s">
        <v>887</v>
      </c>
      <c r="N749" s="14" t="s">
        <v>1843</v>
      </c>
      <c r="O749" s="14" t="s">
        <v>1844</v>
      </c>
      <c r="P749" s="178" t="s">
        <v>1701</v>
      </c>
      <c r="Q749" s="241" t="s">
        <v>2007</v>
      </c>
      <c r="R749" s="393">
        <v>0</v>
      </c>
      <c r="S749" s="394">
        <v>0</v>
      </c>
      <c r="T749" s="107"/>
    </row>
    <row r="750" spans="1:20" x14ac:dyDescent="0.3">
      <c r="A750" s="190" t="s">
        <v>875</v>
      </c>
      <c r="B750" s="178" t="s">
        <v>30</v>
      </c>
      <c r="C750" s="194" t="s">
        <v>29</v>
      </c>
      <c r="D750" s="194" t="s">
        <v>29</v>
      </c>
      <c r="E750" s="178" t="s">
        <v>31</v>
      </c>
      <c r="F750" s="14" t="b">
        <f>OR(Transport_Table[[#This Row],[Feedstock]]="All",Transport_Table[[#This Row],[Feedstock]]=SelectedFeedstock)</f>
        <v>0</v>
      </c>
      <c r="G750" s="14" t="b">
        <f>OR(Transport_Table[[#This Row],[Conversion]]="All",Transport_Table[[#This Row],[Conversion]]=SelectedConversion)</f>
        <v>1</v>
      </c>
      <c r="H750" s="14" t="b">
        <f>OR(Transport_Table[[#This Row],[Data Set]]="All",Transport_Table[[#This Row],[Data Set]]=SelectedDataSet)</f>
        <v>1</v>
      </c>
      <c r="I750" s="14" t="b">
        <f>OR(Transport_Table[[#This Row],[Technology]]="All",Transport_Table[[#This Row],[Technology]]=SelectedTechnology)</f>
        <v>1</v>
      </c>
      <c r="J750" s="14" t="b">
        <f>OR(Transport_Table[[#This Row],[Data Source]]="All",Transport_Table[[#This Row],[Data Source]]=SelectedDataSource)</f>
        <v>1</v>
      </c>
      <c r="K750" s="14" t="b">
        <v>1</v>
      </c>
      <c r="L750" s="14" t="b">
        <f>AND(Transport_Table[[#This Row],[Show Feedstock]:[Show Data Source]],NOT(Transport_Table[[#This Row],[Hide Column]]))</f>
        <v>0</v>
      </c>
      <c r="M750" s="14" t="s">
        <v>887</v>
      </c>
      <c r="N750" s="14" t="s">
        <v>1845</v>
      </c>
      <c r="O750" s="14" t="s">
        <v>1846</v>
      </c>
      <c r="P750" s="178" t="s">
        <v>1701</v>
      </c>
      <c r="Q750" s="241" t="s">
        <v>2008</v>
      </c>
      <c r="R750" s="393">
        <v>0</v>
      </c>
      <c r="S750" s="394">
        <v>0</v>
      </c>
      <c r="T750" s="107"/>
    </row>
    <row r="751" spans="1:20" x14ac:dyDescent="0.3">
      <c r="A751" s="192" t="s">
        <v>875</v>
      </c>
      <c r="B751" s="193" t="s">
        <v>30</v>
      </c>
      <c r="C751" s="194" t="s">
        <v>29</v>
      </c>
      <c r="D751" s="194" t="s">
        <v>29</v>
      </c>
      <c r="E751" s="193" t="s">
        <v>31</v>
      </c>
      <c r="F751" s="14" t="b">
        <f>OR(Transport_Table[[#This Row],[Feedstock]]="All",Transport_Table[[#This Row],[Feedstock]]=SelectedFeedstock)</f>
        <v>0</v>
      </c>
      <c r="G751" s="14" t="b">
        <f>OR(Transport_Table[[#This Row],[Conversion]]="All",Transport_Table[[#This Row],[Conversion]]=SelectedConversion)</f>
        <v>1</v>
      </c>
      <c r="H751" s="14" t="b">
        <f>OR(Transport_Table[[#This Row],[Data Set]]="All",Transport_Table[[#This Row],[Data Set]]=SelectedDataSet)</f>
        <v>1</v>
      </c>
      <c r="I751" s="14" t="b">
        <f>OR(Transport_Table[[#This Row],[Technology]]="All",Transport_Table[[#This Row],[Technology]]=SelectedTechnology)</f>
        <v>1</v>
      </c>
      <c r="J751" s="14" t="b">
        <f>OR(Transport_Table[[#This Row],[Data Source]]="All",Transport_Table[[#This Row],[Data Source]]=SelectedDataSource)</f>
        <v>1</v>
      </c>
      <c r="K751" s="14" t="b">
        <v>1</v>
      </c>
      <c r="L751" s="14" t="b">
        <f>AND(Transport_Table[[#This Row],[Show Feedstock]:[Show Data Source]],NOT(Transport_Table[[#This Row],[Hide Column]]))</f>
        <v>0</v>
      </c>
      <c r="M751" s="14" t="s">
        <v>887</v>
      </c>
      <c r="N751" s="14" t="s">
        <v>1847</v>
      </c>
      <c r="O751" s="14" t="s">
        <v>1848</v>
      </c>
      <c r="P751" s="178" t="s">
        <v>1701</v>
      </c>
      <c r="Q751" s="241" t="s">
        <v>2009</v>
      </c>
      <c r="R751" s="393">
        <v>1</v>
      </c>
      <c r="S751" s="394">
        <v>30</v>
      </c>
      <c r="T751" s="107"/>
    </row>
    <row r="752" spans="1:20" x14ac:dyDescent="0.3">
      <c r="A752" s="190" t="s">
        <v>875</v>
      </c>
      <c r="B752" s="178" t="s">
        <v>30</v>
      </c>
      <c r="C752" s="194" t="s">
        <v>194</v>
      </c>
      <c r="D752" s="194" t="s">
        <v>1336</v>
      </c>
      <c r="E752" s="178" t="s">
        <v>31</v>
      </c>
      <c r="F752" s="14" t="b">
        <f>OR(Transport_Table[[#This Row],[Feedstock]]="All",Transport_Table[[#This Row],[Feedstock]]=SelectedFeedstock)</f>
        <v>0</v>
      </c>
      <c r="G752" s="14" t="b">
        <f>OR(Transport_Table[[#This Row],[Conversion]]="All",Transport_Table[[#This Row],[Conversion]]=SelectedConversion)</f>
        <v>1</v>
      </c>
      <c r="H752" s="14" t="b">
        <f>OR(Transport_Table[[#This Row],[Data Set]]="All",Transport_Table[[#This Row],[Data Set]]=SelectedDataSet)</f>
        <v>0</v>
      </c>
      <c r="I752" s="14" t="b">
        <f>OR(Transport_Table[[#This Row],[Technology]]="All",Transport_Table[[#This Row],[Technology]]=SelectedTechnology)</f>
        <v>1</v>
      </c>
      <c r="J752" s="14" t="b">
        <f>OR(Transport_Table[[#This Row],[Data Source]]="All",Transport_Table[[#This Row],[Data Source]]=SelectedDataSource)</f>
        <v>0</v>
      </c>
      <c r="K752" s="14" t="b">
        <v>1</v>
      </c>
      <c r="L752" s="14" t="b">
        <f>AND(Transport_Table[[#This Row],[Show Feedstock]:[Show Data Source]],NOT(Transport_Table[[#This Row],[Hide Column]]))</f>
        <v>0</v>
      </c>
      <c r="M752" s="14" t="s">
        <v>887</v>
      </c>
      <c r="N752" s="14" t="s">
        <v>1230</v>
      </c>
      <c r="O752" s="14" t="s">
        <v>1312</v>
      </c>
      <c r="P752" s="178" t="s">
        <v>889</v>
      </c>
      <c r="Q752" s="241" t="s">
        <v>1939</v>
      </c>
      <c r="R752" s="147">
        <v>0.2</v>
      </c>
      <c r="S752" s="398">
        <v>400.16292400000003</v>
      </c>
      <c r="T752" s="107"/>
    </row>
    <row r="753" spans="1:20" x14ac:dyDescent="0.3">
      <c r="A753" s="190" t="s">
        <v>875</v>
      </c>
      <c r="B753" s="178" t="s">
        <v>30</v>
      </c>
      <c r="C753" s="194" t="s">
        <v>194</v>
      </c>
      <c r="D753" s="194" t="s">
        <v>1336</v>
      </c>
      <c r="E753" s="178" t="s">
        <v>31</v>
      </c>
      <c r="F753" s="14" t="b">
        <f>OR(Transport_Table[[#This Row],[Feedstock]]="All",Transport_Table[[#This Row],[Feedstock]]=SelectedFeedstock)</f>
        <v>0</v>
      </c>
      <c r="G753" s="14" t="b">
        <f>OR(Transport_Table[[#This Row],[Conversion]]="All",Transport_Table[[#This Row],[Conversion]]=SelectedConversion)</f>
        <v>1</v>
      </c>
      <c r="H753" s="14" t="b">
        <f>OR(Transport_Table[[#This Row],[Data Set]]="All",Transport_Table[[#This Row],[Data Set]]=SelectedDataSet)</f>
        <v>0</v>
      </c>
      <c r="I753" s="14" t="b">
        <f>OR(Transport_Table[[#This Row],[Technology]]="All",Transport_Table[[#This Row],[Technology]]=SelectedTechnology)</f>
        <v>1</v>
      </c>
      <c r="J753" s="14" t="b">
        <f>OR(Transport_Table[[#This Row],[Data Source]]="All",Transport_Table[[#This Row],[Data Source]]=SelectedDataSource)</f>
        <v>0</v>
      </c>
      <c r="K753" s="14" t="b">
        <v>1</v>
      </c>
      <c r="L753" s="14" t="b">
        <f>AND(Transport_Table[[#This Row],[Show Feedstock]:[Show Data Source]],NOT(Transport_Table[[#This Row],[Hide Column]]))</f>
        <v>0</v>
      </c>
      <c r="M753" s="14" t="s">
        <v>887</v>
      </c>
      <c r="N753" s="14" t="s">
        <v>1231</v>
      </c>
      <c r="O753" s="14" t="s">
        <v>1313</v>
      </c>
      <c r="P753" s="178" t="s">
        <v>889</v>
      </c>
      <c r="Q753" s="241" t="s">
        <v>1949</v>
      </c>
      <c r="R753" s="147">
        <v>0.8</v>
      </c>
      <c r="S753" s="398">
        <v>100.04073100000001</v>
      </c>
      <c r="T753" s="107"/>
    </row>
    <row r="754" spans="1:20" x14ac:dyDescent="0.3">
      <c r="A754" s="190" t="s">
        <v>875</v>
      </c>
      <c r="B754" s="178" t="s">
        <v>30</v>
      </c>
      <c r="C754" s="194" t="s">
        <v>194</v>
      </c>
      <c r="D754" s="194" t="s">
        <v>1336</v>
      </c>
      <c r="E754" s="178" t="s">
        <v>31</v>
      </c>
      <c r="F754" s="14" t="b">
        <f>OR(Transport_Table[[#This Row],[Feedstock]]="All",Transport_Table[[#This Row],[Feedstock]]=SelectedFeedstock)</f>
        <v>0</v>
      </c>
      <c r="G754" s="14" t="b">
        <f>OR(Transport_Table[[#This Row],[Conversion]]="All",Transport_Table[[#This Row],[Conversion]]=SelectedConversion)</f>
        <v>1</v>
      </c>
      <c r="H754" s="14" t="b">
        <f>OR(Transport_Table[[#This Row],[Data Set]]="All",Transport_Table[[#This Row],[Data Set]]=SelectedDataSet)</f>
        <v>0</v>
      </c>
      <c r="I754" s="14" t="b">
        <f>OR(Transport_Table[[#This Row],[Technology]]="All",Transport_Table[[#This Row],[Technology]]=SelectedTechnology)</f>
        <v>1</v>
      </c>
      <c r="J754" s="14" t="b">
        <f>OR(Transport_Table[[#This Row],[Data Source]]="All",Transport_Table[[#This Row],[Data Source]]=SelectedDataSource)</f>
        <v>0</v>
      </c>
      <c r="K754" s="14" t="b">
        <v>1</v>
      </c>
      <c r="L754" s="14" t="b">
        <f>AND(Transport_Table[[#This Row],[Show Feedstock]:[Show Data Source]],NOT(Transport_Table[[#This Row],[Hide Column]]))</f>
        <v>0</v>
      </c>
      <c r="M754" s="14" t="s">
        <v>887</v>
      </c>
      <c r="N754" s="14" t="s">
        <v>1232</v>
      </c>
      <c r="O754" s="14" t="s">
        <v>1314</v>
      </c>
      <c r="P754" s="178" t="s">
        <v>889</v>
      </c>
      <c r="Q754" s="241" t="s">
        <v>1950</v>
      </c>
      <c r="R754" s="147">
        <v>0</v>
      </c>
      <c r="S754" s="394">
        <v>0</v>
      </c>
      <c r="T754" s="107"/>
    </row>
    <row r="755" spans="1:20" x14ac:dyDescent="0.3">
      <c r="A755" s="190" t="s">
        <v>875</v>
      </c>
      <c r="B755" s="178" t="s">
        <v>30</v>
      </c>
      <c r="C755" s="194" t="s">
        <v>194</v>
      </c>
      <c r="D755" s="194" t="s">
        <v>1336</v>
      </c>
      <c r="E755" s="178" t="s">
        <v>31</v>
      </c>
      <c r="F755" s="14" t="b">
        <f>OR(Transport_Table[[#This Row],[Feedstock]]="All",Transport_Table[[#This Row],[Feedstock]]=SelectedFeedstock)</f>
        <v>0</v>
      </c>
      <c r="G755" s="14" t="b">
        <f>OR(Transport_Table[[#This Row],[Conversion]]="All",Transport_Table[[#This Row],[Conversion]]=SelectedConversion)</f>
        <v>1</v>
      </c>
      <c r="H755" s="14" t="b">
        <f>OR(Transport_Table[[#This Row],[Data Set]]="All",Transport_Table[[#This Row],[Data Set]]=SelectedDataSet)</f>
        <v>0</v>
      </c>
      <c r="I755" s="14" t="b">
        <f>OR(Transport_Table[[#This Row],[Technology]]="All",Transport_Table[[#This Row],[Technology]]=SelectedTechnology)</f>
        <v>1</v>
      </c>
      <c r="J755" s="14" t="b">
        <f>OR(Transport_Table[[#This Row],[Data Source]]="All",Transport_Table[[#This Row],[Data Source]]=SelectedDataSource)</f>
        <v>0</v>
      </c>
      <c r="K755" s="14" t="b">
        <v>1</v>
      </c>
      <c r="L755" s="14" t="b">
        <f>AND(Transport_Table[[#This Row],[Show Feedstock]:[Show Data Source]],NOT(Transport_Table[[#This Row],[Hide Column]]))</f>
        <v>0</v>
      </c>
      <c r="M755" s="14" t="s">
        <v>887</v>
      </c>
      <c r="N755" s="14" t="s">
        <v>1340</v>
      </c>
      <c r="O755" s="14" t="s">
        <v>1341</v>
      </c>
      <c r="P755" s="178" t="s">
        <v>889</v>
      </c>
      <c r="Q755" s="241" t="s">
        <v>1951</v>
      </c>
      <c r="R755" s="147">
        <v>0</v>
      </c>
      <c r="S755" s="394">
        <v>0</v>
      </c>
      <c r="T755" s="107"/>
    </row>
    <row r="756" spans="1:20" x14ac:dyDescent="0.3">
      <c r="A756" s="190" t="s">
        <v>875</v>
      </c>
      <c r="B756" s="178" t="s">
        <v>30</v>
      </c>
      <c r="C756" s="194" t="s">
        <v>194</v>
      </c>
      <c r="D756" s="194" t="s">
        <v>1336</v>
      </c>
      <c r="E756" s="178" t="s">
        <v>31</v>
      </c>
      <c r="F756" s="14" t="b">
        <f>OR(Transport_Table[[#This Row],[Feedstock]]="All",Transport_Table[[#This Row],[Feedstock]]=SelectedFeedstock)</f>
        <v>0</v>
      </c>
      <c r="G756" s="14" t="b">
        <f>OR(Transport_Table[[#This Row],[Conversion]]="All",Transport_Table[[#This Row],[Conversion]]=SelectedConversion)</f>
        <v>1</v>
      </c>
      <c r="H756" s="14" t="b">
        <f>OR(Transport_Table[[#This Row],[Data Set]]="All",Transport_Table[[#This Row],[Data Set]]=SelectedDataSet)</f>
        <v>0</v>
      </c>
      <c r="I756" s="14" t="b">
        <f>OR(Transport_Table[[#This Row],[Technology]]="All",Transport_Table[[#This Row],[Technology]]=SelectedTechnology)</f>
        <v>1</v>
      </c>
      <c r="J756" s="14" t="b">
        <f>OR(Transport_Table[[#This Row],[Data Source]]="All",Transport_Table[[#This Row],[Data Source]]=SelectedDataSource)</f>
        <v>0</v>
      </c>
      <c r="L756" s="14" t="b">
        <f>AND(Transport_Table[[#This Row],[Show Feedstock]:[Show Data Source]],NOT(Transport_Table[[#This Row],[Hide Column]]))</f>
        <v>0</v>
      </c>
      <c r="M756" s="14" t="s">
        <v>887</v>
      </c>
      <c r="N756" s="14" t="s">
        <v>1161</v>
      </c>
      <c r="O756" s="14" t="s">
        <v>1243</v>
      </c>
      <c r="P756" s="178" t="s">
        <v>1700</v>
      </c>
      <c r="Q756" s="241" t="s">
        <v>1938</v>
      </c>
      <c r="R756" s="147">
        <v>0.08</v>
      </c>
      <c r="S756" s="398">
        <v>519.99854667279999</v>
      </c>
      <c r="T756" s="107"/>
    </row>
    <row r="757" spans="1:20" x14ac:dyDescent="0.3">
      <c r="A757" s="190" t="s">
        <v>875</v>
      </c>
      <c r="B757" s="178" t="s">
        <v>30</v>
      </c>
      <c r="C757" s="194" t="s">
        <v>194</v>
      </c>
      <c r="D757" s="194" t="s">
        <v>1336</v>
      </c>
      <c r="E757" s="178" t="s">
        <v>31</v>
      </c>
      <c r="F757" s="14" t="b">
        <f>OR(Transport_Table[[#This Row],[Feedstock]]="All",Transport_Table[[#This Row],[Feedstock]]=SelectedFeedstock)</f>
        <v>0</v>
      </c>
      <c r="G757" s="14" t="b">
        <f>OR(Transport_Table[[#This Row],[Conversion]]="All",Transport_Table[[#This Row],[Conversion]]=SelectedConversion)</f>
        <v>1</v>
      </c>
      <c r="H757" s="14" t="b">
        <f>OR(Transport_Table[[#This Row],[Data Set]]="All",Transport_Table[[#This Row],[Data Set]]=SelectedDataSet)</f>
        <v>0</v>
      </c>
      <c r="I757" s="14" t="b">
        <f>OR(Transport_Table[[#This Row],[Technology]]="All",Transport_Table[[#This Row],[Technology]]=SelectedTechnology)</f>
        <v>1</v>
      </c>
      <c r="J757" s="14" t="b">
        <f>OR(Transport_Table[[#This Row],[Data Source]]="All",Transport_Table[[#This Row],[Data Source]]=SelectedDataSource)</f>
        <v>0</v>
      </c>
      <c r="L757" s="14" t="b">
        <f>AND(Transport_Table[[#This Row],[Show Feedstock]:[Show Data Source]],NOT(Transport_Table[[#This Row],[Hide Column]]))</f>
        <v>0</v>
      </c>
      <c r="M757" s="14" t="s">
        <v>887</v>
      </c>
      <c r="N757" s="14" t="s">
        <v>1162</v>
      </c>
      <c r="O757" s="14" t="s">
        <v>1244</v>
      </c>
      <c r="P757" s="178" t="s">
        <v>1700</v>
      </c>
      <c r="Q757" s="241" t="s">
        <v>1942</v>
      </c>
      <c r="R757" s="147">
        <v>0</v>
      </c>
      <c r="S757" s="394">
        <v>0</v>
      </c>
      <c r="T757" s="107"/>
    </row>
    <row r="758" spans="1:20" x14ac:dyDescent="0.3">
      <c r="A758" s="190" t="s">
        <v>875</v>
      </c>
      <c r="B758" s="178" t="s">
        <v>30</v>
      </c>
      <c r="C758" s="194" t="s">
        <v>194</v>
      </c>
      <c r="D758" s="194" t="s">
        <v>1336</v>
      </c>
      <c r="E758" s="178" t="s">
        <v>31</v>
      </c>
      <c r="F758" s="14" t="b">
        <f>OR(Transport_Table[[#This Row],[Feedstock]]="All",Transport_Table[[#This Row],[Feedstock]]=SelectedFeedstock)</f>
        <v>0</v>
      </c>
      <c r="G758" s="14" t="b">
        <f>OR(Transport_Table[[#This Row],[Conversion]]="All",Transport_Table[[#This Row],[Conversion]]=SelectedConversion)</f>
        <v>1</v>
      </c>
      <c r="H758" s="14" t="b">
        <f>OR(Transport_Table[[#This Row],[Data Set]]="All",Transport_Table[[#This Row],[Data Set]]=SelectedDataSet)</f>
        <v>0</v>
      </c>
      <c r="I758" s="14" t="b">
        <f>OR(Transport_Table[[#This Row],[Technology]]="All",Transport_Table[[#This Row],[Technology]]=SelectedTechnology)</f>
        <v>1</v>
      </c>
      <c r="J758" s="14" t="b">
        <f>OR(Transport_Table[[#This Row],[Data Source]]="All",Transport_Table[[#This Row],[Data Source]]=SelectedDataSource)</f>
        <v>0</v>
      </c>
      <c r="L758" s="14" t="b">
        <f>AND(Transport_Table[[#This Row],[Show Feedstock]:[Show Data Source]],NOT(Transport_Table[[#This Row],[Hide Column]]))</f>
        <v>0</v>
      </c>
      <c r="M758" s="14" t="s">
        <v>887</v>
      </c>
      <c r="N758" s="14" t="s">
        <v>1163</v>
      </c>
      <c r="O758" s="14" t="s">
        <v>1245</v>
      </c>
      <c r="P758" s="178" t="s">
        <v>1700</v>
      </c>
      <c r="Q758" s="241" t="s">
        <v>1939</v>
      </c>
      <c r="R758" s="147">
        <v>0.28999999999999998</v>
      </c>
      <c r="S758" s="398">
        <v>799.99776411200003</v>
      </c>
      <c r="T758" s="107"/>
    </row>
    <row r="759" spans="1:20" x14ac:dyDescent="0.3">
      <c r="A759" s="190" t="s">
        <v>875</v>
      </c>
      <c r="B759" s="178" t="s">
        <v>30</v>
      </c>
      <c r="C759" s="194" t="s">
        <v>194</v>
      </c>
      <c r="D759" s="194" t="s">
        <v>1336</v>
      </c>
      <c r="E759" s="178" t="s">
        <v>31</v>
      </c>
      <c r="F759" s="14" t="b">
        <f>OR(Transport_Table[[#This Row],[Feedstock]]="All",Transport_Table[[#This Row],[Feedstock]]=SelectedFeedstock)</f>
        <v>0</v>
      </c>
      <c r="G759" s="14" t="b">
        <f>OR(Transport_Table[[#This Row],[Conversion]]="All",Transport_Table[[#This Row],[Conversion]]=SelectedConversion)</f>
        <v>1</v>
      </c>
      <c r="H759" s="14" t="b">
        <f>OR(Transport_Table[[#This Row],[Data Set]]="All",Transport_Table[[#This Row],[Data Set]]=SelectedDataSet)</f>
        <v>0</v>
      </c>
      <c r="I759" s="14" t="b">
        <f>OR(Transport_Table[[#This Row],[Technology]]="All",Transport_Table[[#This Row],[Technology]]=SelectedTechnology)</f>
        <v>1</v>
      </c>
      <c r="J759" s="14" t="b">
        <f>OR(Transport_Table[[#This Row],[Data Source]]="All",Transport_Table[[#This Row],[Data Source]]=SelectedDataSource)</f>
        <v>0</v>
      </c>
      <c r="L759" s="14" t="b">
        <f>AND(Transport_Table[[#This Row],[Show Feedstock]:[Show Data Source]],NOT(Transport_Table[[#This Row],[Hide Column]]))</f>
        <v>0</v>
      </c>
      <c r="M759" s="14" t="s">
        <v>887</v>
      </c>
      <c r="N759" s="14" t="s">
        <v>1164</v>
      </c>
      <c r="O759" s="14" t="s">
        <v>1246</v>
      </c>
      <c r="P759" s="178" t="s">
        <v>1700</v>
      </c>
      <c r="Q759" s="241" t="s">
        <v>1940</v>
      </c>
      <c r="R759" s="147">
        <v>0.63</v>
      </c>
      <c r="S759" s="398">
        <v>49.999860257000002</v>
      </c>
      <c r="T759" s="107"/>
    </row>
    <row r="760" spans="1:20" x14ac:dyDescent="0.3">
      <c r="A760" s="192" t="s">
        <v>875</v>
      </c>
      <c r="B760" s="193" t="s">
        <v>30</v>
      </c>
      <c r="C760" s="194" t="s">
        <v>194</v>
      </c>
      <c r="D760" s="194" t="s">
        <v>1336</v>
      </c>
      <c r="E760" s="193" t="s">
        <v>31</v>
      </c>
      <c r="F760" s="14" t="b">
        <f>OR(Transport_Table[[#This Row],[Feedstock]]="All",Transport_Table[[#This Row],[Feedstock]]=SelectedFeedstock)</f>
        <v>0</v>
      </c>
      <c r="G760" s="14" t="b">
        <f>OR(Transport_Table[[#This Row],[Conversion]]="All",Transport_Table[[#This Row],[Conversion]]=SelectedConversion)</f>
        <v>1</v>
      </c>
      <c r="H760" s="14" t="b">
        <f>OR(Transport_Table[[#This Row],[Data Set]]="All",Transport_Table[[#This Row],[Data Set]]=SelectedDataSet)</f>
        <v>0</v>
      </c>
      <c r="I760" s="14" t="b">
        <f>OR(Transport_Table[[#This Row],[Technology]]="All",Transport_Table[[#This Row],[Technology]]=SelectedTechnology)</f>
        <v>1</v>
      </c>
      <c r="J760" s="14" t="b">
        <f>OR(Transport_Table[[#This Row],[Data Source]]="All",Transport_Table[[#This Row],[Data Source]]=SelectedDataSource)</f>
        <v>0</v>
      </c>
      <c r="L760" s="14" t="b">
        <f>AND(Transport_Table[[#This Row],[Show Feedstock]:[Show Data Source]],NOT(Transport_Table[[#This Row],[Hide Column]]))</f>
        <v>0</v>
      </c>
      <c r="M760" s="14" t="s">
        <v>887</v>
      </c>
      <c r="N760" s="14" t="s">
        <v>1165</v>
      </c>
      <c r="O760" s="14" t="s">
        <v>1247</v>
      </c>
      <c r="P760" s="178" t="s">
        <v>1701</v>
      </c>
      <c r="Q760" s="400" t="s">
        <v>1940</v>
      </c>
      <c r="R760" s="148">
        <v>1</v>
      </c>
      <c r="S760" s="399">
        <v>29.999916154200001</v>
      </c>
      <c r="T760" s="107"/>
    </row>
    <row r="761" spans="1:20" x14ac:dyDescent="0.3">
      <c r="A761" s="190" t="s">
        <v>876</v>
      </c>
      <c r="B761" s="178" t="s">
        <v>30</v>
      </c>
      <c r="C761" s="194" t="s">
        <v>29</v>
      </c>
      <c r="D761" s="194" t="s">
        <v>29</v>
      </c>
      <c r="E761" s="178" t="s">
        <v>31</v>
      </c>
      <c r="F761" s="14" t="b">
        <f>OR(Transport_Table[[#This Row],[Feedstock]]="All",Transport_Table[[#This Row],[Feedstock]]=SelectedFeedstock)</f>
        <v>0</v>
      </c>
      <c r="G761" s="14" t="b">
        <f>OR(Transport_Table[[#This Row],[Conversion]]="All",Transport_Table[[#This Row],[Conversion]]=SelectedConversion)</f>
        <v>1</v>
      </c>
      <c r="H761" s="14" t="b">
        <f>OR(Transport_Table[[#This Row],[Data Set]]="All",Transport_Table[[#This Row],[Data Set]]=SelectedDataSet)</f>
        <v>1</v>
      </c>
      <c r="I761" s="14" t="b">
        <f>OR(Transport_Table[[#This Row],[Technology]]="All",Transport_Table[[#This Row],[Technology]]=SelectedTechnology)</f>
        <v>1</v>
      </c>
      <c r="J761" s="14" t="b">
        <f>OR(Transport_Table[[#This Row],[Data Source]]="All",Transport_Table[[#This Row],[Data Source]]=SelectedDataSource)</f>
        <v>1</v>
      </c>
      <c r="K761" s="14" t="b">
        <v>1</v>
      </c>
      <c r="L761" s="14" t="b">
        <f>AND(Transport_Table[[#This Row],[Show Feedstock]:[Show Data Source]],NOT(Transport_Table[[#This Row],[Hide Column]]))</f>
        <v>0</v>
      </c>
      <c r="M761" s="14" t="s">
        <v>429</v>
      </c>
      <c r="N761" s="14" t="s">
        <v>1236</v>
      </c>
      <c r="O761" s="14" t="s">
        <v>1318</v>
      </c>
      <c r="P761" s="178" t="s">
        <v>876</v>
      </c>
      <c r="Q761" s="241" t="s">
        <v>1952</v>
      </c>
      <c r="R761" s="147">
        <v>0.94</v>
      </c>
      <c r="S761" s="398">
        <v>503</v>
      </c>
      <c r="T761" s="107"/>
    </row>
    <row r="762" spans="1:20" x14ac:dyDescent="0.3">
      <c r="A762" s="190" t="s">
        <v>876</v>
      </c>
      <c r="B762" s="178" t="s">
        <v>30</v>
      </c>
      <c r="C762" s="194" t="s">
        <v>29</v>
      </c>
      <c r="D762" s="194" t="s">
        <v>29</v>
      </c>
      <c r="E762" s="178" t="s">
        <v>31</v>
      </c>
      <c r="F762" s="14" t="b">
        <f>OR(Transport_Table[[#This Row],[Feedstock]]="All",Transport_Table[[#This Row],[Feedstock]]=SelectedFeedstock)</f>
        <v>0</v>
      </c>
      <c r="G762" s="14" t="b">
        <f>OR(Transport_Table[[#This Row],[Conversion]]="All",Transport_Table[[#This Row],[Conversion]]=SelectedConversion)</f>
        <v>1</v>
      </c>
      <c r="H762" s="14" t="b">
        <f>OR(Transport_Table[[#This Row],[Data Set]]="All",Transport_Table[[#This Row],[Data Set]]=SelectedDataSet)</f>
        <v>1</v>
      </c>
      <c r="I762" s="14" t="b">
        <f>OR(Transport_Table[[#This Row],[Technology]]="All",Transport_Table[[#This Row],[Technology]]=SelectedTechnology)</f>
        <v>1</v>
      </c>
      <c r="J762" s="14" t="b">
        <f>OR(Transport_Table[[#This Row],[Data Source]]="All",Transport_Table[[#This Row],[Data Source]]=SelectedDataSource)</f>
        <v>1</v>
      </c>
      <c r="K762" s="14" t="b">
        <v>1</v>
      </c>
      <c r="L762" s="14" t="b">
        <f>AND(Transport_Table[[#This Row],[Show Feedstock]:[Show Data Source]],NOT(Transport_Table[[#This Row],[Hide Column]]))</f>
        <v>0</v>
      </c>
      <c r="M762" s="14" t="s">
        <v>429</v>
      </c>
      <c r="N762" s="14" t="s">
        <v>1237</v>
      </c>
      <c r="O762" s="14" t="s">
        <v>1319</v>
      </c>
      <c r="P762" s="178" t="s">
        <v>876</v>
      </c>
      <c r="Q762" s="241" t="s">
        <v>1940</v>
      </c>
      <c r="R762" s="147">
        <v>1.06</v>
      </c>
      <c r="S762" s="398">
        <v>13.358490566037736</v>
      </c>
      <c r="T762" s="107"/>
    </row>
    <row r="763" spans="1:20" x14ac:dyDescent="0.3">
      <c r="A763" s="190" t="s">
        <v>876</v>
      </c>
      <c r="B763" s="178" t="s">
        <v>30</v>
      </c>
      <c r="C763" s="194" t="s">
        <v>29</v>
      </c>
      <c r="D763" s="194" t="s">
        <v>29</v>
      </c>
      <c r="E763" s="178" t="s">
        <v>31</v>
      </c>
      <c r="F763" s="14" t="b">
        <f>OR(Transport_Table[[#This Row],[Feedstock]]="All",Transport_Table[[#This Row],[Feedstock]]=SelectedFeedstock)</f>
        <v>0</v>
      </c>
      <c r="G763" s="14" t="b">
        <f>OR(Transport_Table[[#This Row],[Conversion]]="All",Transport_Table[[#This Row],[Conversion]]=SelectedConversion)</f>
        <v>1</v>
      </c>
      <c r="H763" s="14" t="b">
        <f>OR(Transport_Table[[#This Row],[Data Set]]="All",Transport_Table[[#This Row],[Data Set]]=SelectedDataSet)</f>
        <v>1</v>
      </c>
      <c r="I763" s="14" t="b">
        <f>OR(Transport_Table[[#This Row],[Technology]]="All",Transport_Table[[#This Row],[Technology]]=SelectedTechnology)</f>
        <v>1</v>
      </c>
      <c r="J763" s="14" t="b">
        <f>OR(Transport_Table[[#This Row],[Data Source]]="All",Transport_Table[[#This Row],[Data Source]]=SelectedDataSource)</f>
        <v>1</v>
      </c>
      <c r="K763" s="14" t="b">
        <v>1</v>
      </c>
      <c r="L763" s="14" t="b">
        <f>AND(Transport_Table[[#This Row],[Show Feedstock]:[Show Data Source]],NOT(Transport_Table[[#This Row],[Hide Column]]))</f>
        <v>0</v>
      </c>
      <c r="M763" s="14" t="s">
        <v>429</v>
      </c>
      <c r="N763" s="14" t="s">
        <v>1238</v>
      </c>
      <c r="O763" s="14" t="s">
        <v>1320</v>
      </c>
      <c r="P763" s="178" t="s">
        <v>876</v>
      </c>
      <c r="Q763" s="241" t="s">
        <v>1941</v>
      </c>
      <c r="R763" s="147">
        <v>1</v>
      </c>
      <c r="S763" s="398">
        <v>20</v>
      </c>
      <c r="T763" s="107"/>
    </row>
    <row r="764" spans="1:20" x14ac:dyDescent="0.3">
      <c r="A764" s="190" t="s">
        <v>876</v>
      </c>
      <c r="B764" s="178" t="s">
        <v>30</v>
      </c>
      <c r="C764" s="194" t="s">
        <v>29</v>
      </c>
      <c r="D764" s="194" t="s">
        <v>29</v>
      </c>
      <c r="E764" s="178" t="s">
        <v>31</v>
      </c>
      <c r="F764" s="14" t="b">
        <f>OR(Transport_Table[[#This Row],[Feedstock]]="All",Transport_Table[[#This Row],[Feedstock]]=SelectedFeedstock)</f>
        <v>0</v>
      </c>
      <c r="G764" s="14" t="b">
        <f>OR(Transport_Table[[#This Row],[Conversion]]="All",Transport_Table[[#This Row],[Conversion]]=SelectedConversion)</f>
        <v>1</v>
      </c>
      <c r="H764" s="14" t="b">
        <f>OR(Transport_Table[[#This Row],[Data Set]]="All",Transport_Table[[#This Row],[Data Set]]=SelectedDataSet)</f>
        <v>1</v>
      </c>
      <c r="I764" s="14" t="b">
        <f>OR(Transport_Table[[#This Row],[Technology]]="All",Transport_Table[[#This Row],[Technology]]=SelectedTechnology)</f>
        <v>1</v>
      </c>
      <c r="J764" s="14" t="b">
        <f>OR(Transport_Table[[#This Row],[Data Source]]="All",Transport_Table[[#This Row],[Data Source]]=SelectedDataSource)</f>
        <v>1</v>
      </c>
      <c r="L764" s="14" t="b">
        <f>AND(Transport_Table[[#This Row],[Show Feedstock]:[Show Data Source]],NOT(Transport_Table[[#This Row],[Hide Column]]))</f>
        <v>0</v>
      </c>
      <c r="M764" s="14" t="s">
        <v>429</v>
      </c>
      <c r="N764" s="14" t="s">
        <v>1161</v>
      </c>
      <c r="O764" s="14" t="s">
        <v>1243</v>
      </c>
      <c r="P764" s="178" t="s">
        <v>1700</v>
      </c>
      <c r="Q764" s="241" t="s">
        <v>1938</v>
      </c>
      <c r="R764" s="147">
        <v>0.08</v>
      </c>
      <c r="S764" s="398">
        <v>519.99854667279999</v>
      </c>
      <c r="T764" s="107"/>
    </row>
    <row r="765" spans="1:20" x14ac:dyDescent="0.3">
      <c r="A765" s="190" t="s">
        <v>876</v>
      </c>
      <c r="B765" s="178" t="s">
        <v>30</v>
      </c>
      <c r="C765" s="194" t="s">
        <v>29</v>
      </c>
      <c r="D765" s="194" t="s">
        <v>29</v>
      </c>
      <c r="E765" s="178" t="s">
        <v>31</v>
      </c>
      <c r="F765" s="14" t="b">
        <f>OR(Transport_Table[[#This Row],[Feedstock]]="All",Transport_Table[[#This Row],[Feedstock]]=SelectedFeedstock)</f>
        <v>0</v>
      </c>
      <c r="G765" s="14" t="b">
        <f>OR(Transport_Table[[#This Row],[Conversion]]="All",Transport_Table[[#This Row],[Conversion]]=SelectedConversion)</f>
        <v>1</v>
      </c>
      <c r="H765" s="14" t="b">
        <f>OR(Transport_Table[[#This Row],[Data Set]]="All",Transport_Table[[#This Row],[Data Set]]=SelectedDataSet)</f>
        <v>1</v>
      </c>
      <c r="I765" s="14" t="b">
        <f>OR(Transport_Table[[#This Row],[Technology]]="All",Transport_Table[[#This Row],[Technology]]=SelectedTechnology)</f>
        <v>1</v>
      </c>
      <c r="J765" s="14" t="b">
        <f>OR(Transport_Table[[#This Row],[Data Source]]="All",Transport_Table[[#This Row],[Data Source]]=SelectedDataSource)</f>
        <v>1</v>
      </c>
      <c r="L765" s="14" t="b">
        <f>AND(Transport_Table[[#This Row],[Show Feedstock]:[Show Data Source]],NOT(Transport_Table[[#This Row],[Hide Column]]))</f>
        <v>0</v>
      </c>
      <c r="M765" s="14" t="s">
        <v>429</v>
      </c>
      <c r="N765" s="14" t="s">
        <v>1162</v>
      </c>
      <c r="O765" s="14" t="s">
        <v>1244</v>
      </c>
      <c r="P765" s="178" t="s">
        <v>1700</v>
      </c>
      <c r="Q765" s="241" t="s">
        <v>1942</v>
      </c>
      <c r="R765" s="147">
        <v>0</v>
      </c>
      <c r="S765" s="394">
        <v>0</v>
      </c>
      <c r="T765" s="107"/>
    </row>
    <row r="766" spans="1:20" x14ac:dyDescent="0.3">
      <c r="A766" s="190" t="s">
        <v>876</v>
      </c>
      <c r="B766" s="178" t="s">
        <v>30</v>
      </c>
      <c r="C766" s="194" t="s">
        <v>29</v>
      </c>
      <c r="D766" s="194" t="s">
        <v>29</v>
      </c>
      <c r="E766" s="178" t="s">
        <v>31</v>
      </c>
      <c r="F766" s="14" t="b">
        <f>OR(Transport_Table[[#This Row],[Feedstock]]="All",Transport_Table[[#This Row],[Feedstock]]=SelectedFeedstock)</f>
        <v>0</v>
      </c>
      <c r="G766" s="14" t="b">
        <f>OR(Transport_Table[[#This Row],[Conversion]]="All",Transport_Table[[#This Row],[Conversion]]=SelectedConversion)</f>
        <v>1</v>
      </c>
      <c r="H766" s="14" t="b">
        <f>OR(Transport_Table[[#This Row],[Data Set]]="All",Transport_Table[[#This Row],[Data Set]]=SelectedDataSet)</f>
        <v>1</v>
      </c>
      <c r="I766" s="14" t="b">
        <f>OR(Transport_Table[[#This Row],[Technology]]="All",Transport_Table[[#This Row],[Technology]]=SelectedTechnology)</f>
        <v>1</v>
      </c>
      <c r="J766" s="14" t="b">
        <f>OR(Transport_Table[[#This Row],[Data Source]]="All",Transport_Table[[#This Row],[Data Source]]=SelectedDataSource)</f>
        <v>1</v>
      </c>
      <c r="L766" s="14" t="b">
        <f>AND(Transport_Table[[#This Row],[Show Feedstock]:[Show Data Source]],NOT(Transport_Table[[#This Row],[Hide Column]]))</f>
        <v>0</v>
      </c>
      <c r="M766" s="14" t="s">
        <v>429</v>
      </c>
      <c r="N766" s="14" t="s">
        <v>1163</v>
      </c>
      <c r="O766" s="14" t="s">
        <v>1245</v>
      </c>
      <c r="P766" s="178" t="s">
        <v>1700</v>
      </c>
      <c r="Q766" s="241" t="s">
        <v>1939</v>
      </c>
      <c r="R766" s="147">
        <v>0.28999999999999998</v>
      </c>
      <c r="S766" s="398">
        <v>799.99776411200003</v>
      </c>
      <c r="T766" s="107"/>
    </row>
    <row r="767" spans="1:20" x14ac:dyDescent="0.3">
      <c r="A767" s="190" t="s">
        <v>876</v>
      </c>
      <c r="B767" s="178" t="s">
        <v>30</v>
      </c>
      <c r="C767" s="194" t="s">
        <v>29</v>
      </c>
      <c r="D767" s="194" t="s">
        <v>29</v>
      </c>
      <c r="E767" s="178" t="s">
        <v>31</v>
      </c>
      <c r="F767" s="14" t="b">
        <f>OR(Transport_Table[[#This Row],[Feedstock]]="All",Transport_Table[[#This Row],[Feedstock]]=SelectedFeedstock)</f>
        <v>0</v>
      </c>
      <c r="G767" s="14" t="b">
        <f>OR(Transport_Table[[#This Row],[Conversion]]="All",Transport_Table[[#This Row],[Conversion]]=SelectedConversion)</f>
        <v>1</v>
      </c>
      <c r="H767" s="14" t="b">
        <f>OR(Transport_Table[[#This Row],[Data Set]]="All",Transport_Table[[#This Row],[Data Set]]=SelectedDataSet)</f>
        <v>1</v>
      </c>
      <c r="I767" s="14" t="b">
        <f>OR(Transport_Table[[#This Row],[Technology]]="All",Transport_Table[[#This Row],[Technology]]=SelectedTechnology)</f>
        <v>1</v>
      </c>
      <c r="J767" s="14" t="b">
        <f>OR(Transport_Table[[#This Row],[Data Source]]="All",Transport_Table[[#This Row],[Data Source]]=SelectedDataSource)</f>
        <v>1</v>
      </c>
      <c r="L767" s="14" t="b">
        <f>AND(Transport_Table[[#This Row],[Show Feedstock]:[Show Data Source]],NOT(Transport_Table[[#This Row],[Hide Column]]))</f>
        <v>0</v>
      </c>
      <c r="M767" s="14" t="s">
        <v>429</v>
      </c>
      <c r="N767" s="14" t="s">
        <v>1164</v>
      </c>
      <c r="O767" s="14" t="s">
        <v>1246</v>
      </c>
      <c r="P767" s="178" t="s">
        <v>1700</v>
      </c>
      <c r="Q767" s="241" t="s">
        <v>1940</v>
      </c>
      <c r="R767" s="147">
        <v>0.63</v>
      </c>
      <c r="S767" s="398">
        <v>49.999860257000002</v>
      </c>
      <c r="T767" s="107"/>
    </row>
    <row r="768" spans="1:20" x14ac:dyDescent="0.3">
      <c r="A768" s="192" t="s">
        <v>876</v>
      </c>
      <c r="B768" s="193" t="s">
        <v>30</v>
      </c>
      <c r="C768" s="194" t="s">
        <v>29</v>
      </c>
      <c r="D768" s="194" t="s">
        <v>29</v>
      </c>
      <c r="E768" s="193" t="s">
        <v>31</v>
      </c>
      <c r="F768" s="14" t="b">
        <f>OR(Transport_Table[[#This Row],[Feedstock]]="All",Transport_Table[[#This Row],[Feedstock]]=SelectedFeedstock)</f>
        <v>0</v>
      </c>
      <c r="G768" s="14" t="b">
        <f>OR(Transport_Table[[#This Row],[Conversion]]="All",Transport_Table[[#This Row],[Conversion]]=SelectedConversion)</f>
        <v>1</v>
      </c>
      <c r="H768" s="14" t="b">
        <f>OR(Transport_Table[[#This Row],[Data Set]]="All",Transport_Table[[#This Row],[Data Set]]=SelectedDataSet)</f>
        <v>1</v>
      </c>
      <c r="I768" s="14" t="b">
        <f>OR(Transport_Table[[#This Row],[Technology]]="All",Transport_Table[[#This Row],[Technology]]=SelectedTechnology)</f>
        <v>1</v>
      </c>
      <c r="J768" s="14" t="b">
        <f>OR(Transport_Table[[#This Row],[Data Source]]="All",Transport_Table[[#This Row],[Data Source]]=SelectedDataSource)</f>
        <v>1</v>
      </c>
      <c r="L768" s="14" t="b">
        <f>AND(Transport_Table[[#This Row],[Show Feedstock]:[Show Data Source]],NOT(Transport_Table[[#This Row],[Hide Column]]))</f>
        <v>0</v>
      </c>
      <c r="M768" s="14" t="s">
        <v>429</v>
      </c>
      <c r="N768" s="14" t="s">
        <v>1165</v>
      </c>
      <c r="O768" s="14" t="s">
        <v>1247</v>
      </c>
      <c r="P768" s="178" t="s">
        <v>1701</v>
      </c>
      <c r="Q768" s="400" t="s">
        <v>1940</v>
      </c>
      <c r="R768" s="148">
        <v>1</v>
      </c>
      <c r="S768" s="399">
        <v>29.999916154200001</v>
      </c>
      <c r="T768" s="107"/>
    </row>
    <row r="769" spans="1:20" x14ac:dyDescent="0.3">
      <c r="A769" s="190" t="s">
        <v>126</v>
      </c>
      <c r="B769" s="178" t="s">
        <v>30</v>
      </c>
      <c r="C769" s="194" t="s">
        <v>194</v>
      </c>
      <c r="D769" s="194" t="s">
        <v>1349</v>
      </c>
      <c r="E769" s="178" t="s">
        <v>1366</v>
      </c>
      <c r="F769" s="14" t="b">
        <f>OR(Transport_Table[[#This Row],[Feedstock]]="All",Transport_Table[[#This Row],[Feedstock]]=SelectedFeedstock)</f>
        <v>0</v>
      </c>
      <c r="G769" s="14" t="b">
        <f>OR(Transport_Table[[#This Row],[Conversion]]="All",Transport_Table[[#This Row],[Conversion]]=SelectedConversion)</f>
        <v>1</v>
      </c>
      <c r="H769" s="14" t="b">
        <f>OR(Transport_Table[[#This Row],[Data Set]]="All",Transport_Table[[#This Row],[Data Set]]=SelectedDataSet)</f>
        <v>0</v>
      </c>
      <c r="I769" s="14" t="b">
        <f>OR(Transport_Table[[#This Row],[Technology]]="All",Transport_Table[[#This Row],[Technology]]=SelectedTechnology)</f>
        <v>0</v>
      </c>
      <c r="J769" s="14" t="b">
        <f>OR(Transport_Table[[#This Row],[Data Source]]="All",Transport_Table[[#This Row],[Data Source]]=SelectedDataSource)</f>
        <v>0</v>
      </c>
      <c r="K769" s="14" t="b">
        <v>1</v>
      </c>
      <c r="L769" s="14" t="b">
        <f>AND(Transport_Table[[#This Row],[Show Feedstock]:[Show Data Source]],NOT(Transport_Table[[#This Row],[Hide Column]]))</f>
        <v>0</v>
      </c>
      <c r="M769" s="14" t="s">
        <v>14</v>
      </c>
      <c r="N769" s="14" t="s">
        <v>1178</v>
      </c>
      <c r="O769" s="14" t="s">
        <v>1260</v>
      </c>
      <c r="P769" s="178" t="s">
        <v>126</v>
      </c>
      <c r="Q769" s="241" t="s">
        <v>1938</v>
      </c>
      <c r="R769" s="147">
        <v>0</v>
      </c>
      <c r="S769" s="394">
        <v>0</v>
      </c>
      <c r="T769" s="107"/>
    </row>
    <row r="770" spans="1:20" x14ac:dyDescent="0.3">
      <c r="A770" s="190" t="s">
        <v>126</v>
      </c>
      <c r="B770" s="178" t="s">
        <v>30</v>
      </c>
      <c r="C770" s="194" t="s">
        <v>194</v>
      </c>
      <c r="D770" s="194" t="s">
        <v>1349</v>
      </c>
      <c r="E770" s="178" t="s">
        <v>1366</v>
      </c>
      <c r="F770" s="14" t="b">
        <f>OR(Transport_Table[[#This Row],[Feedstock]]="All",Transport_Table[[#This Row],[Feedstock]]=SelectedFeedstock)</f>
        <v>0</v>
      </c>
      <c r="G770" s="14" t="b">
        <f>OR(Transport_Table[[#This Row],[Conversion]]="All",Transport_Table[[#This Row],[Conversion]]=SelectedConversion)</f>
        <v>1</v>
      </c>
      <c r="H770" s="14" t="b">
        <f>OR(Transport_Table[[#This Row],[Data Set]]="All",Transport_Table[[#This Row],[Data Set]]=SelectedDataSet)</f>
        <v>0</v>
      </c>
      <c r="I770" s="14" t="b">
        <f>OR(Transport_Table[[#This Row],[Technology]]="All",Transport_Table[[#This Row],[Technology]]=SelectedTechnology)</f>
        <v>0</v>
      </c>
      <c r="J770" s="14" t="b">
        <f>OR(Transport_Table[[#This Row],[Data Source]]="All",Transport_Table[[#This Row],[Data Source]]=SelectedDataSource)</f>
        <v>0</v>
      </c>
      <c r="K770" s="14" t="b">
        <v>1</v>
      </c>
      <c r="L770" s="14" t="b">
        <f>AND(Transport_Table[[#This Row],[Show Feedstock]:[Show Data Source]],NOT(Transport_Table[[#This Row],[Hide Column]]))</f>
        <v>0</v>
      </c>
      <c r="M770" s="14" t="s">
        <v>14</v>
      </c>
      <c r="N770" s="14" t="s">
        <v>1179</v>
      </c>
      <c r="O770" s="14" t="s">
        <v>1261</v>
      </c>
      <c r="P770" s="178" t="s">
        <v>126</v>
      </c>
      <c r="Q770" s="241" t="s">
        <v>1939</v>
      </c>
      <c r="R770" s="147">
        <v>0</v>
      </c>
      <c r="S770" s="394">
        <v>0</v>
      </c>
      <c r="T770" s="107"/>
    </row>
    <row r="771" spans="1:20" x14ac:dyDescent="0.3">
      <c r="A771" s="190" t="s">
        <v>126</v>
      </c>
      <c r="B771" s="178" t="s">
        <v>30</v>
      </c>
      <c r="C771" s="194" t="s">
        <v>194</v>
      </c>
      <c r="D771" s="194" t="s">
        <v>1349</v>
      </c>
      <c r="E771" s="178" t="s">
        <v>1366</v>
      </c>
      <c r="F771" s="14" t="b">
        <f>OR(Transport_Table[[#This Row],[Feedstock]]="All",Transport_Table[[#This Row],[Feedstock]]=SelectedFeedstock)</f>
        <v>0</v>
      </c>
      <c r="G771" s="14" t="b">
        <f>OR(Transport_Table[[#This Row],[Conversion]]="All",Transport_Table[[#This Row],[Conversion]]=SelectedConversion)</f>
        <v>1</v>
      </c>
      <c r="H771" s="14" t="b">
        <f>OR(Transport_Table[[#This Row],[Data Set]]="All",Transport_Table[[#This Row],[Data Set]]=SelectedDataSet)</f>
        <v>0</v>
      </c>
      <c r="I771" s="14" t="b">
        <f>OR(Transport_Table[[#This Row],[Technology]]="All",Transport_Table[[#This Row],[Technology]]=SelectedTechnology)</f>
        <v>0</v>
      </c>
      <c r="J771" s="14" t="b">
        <f>OR(Transport_Table[[#This Row],[Data Source]]="All",Transport_Table[[#This Row],[Data Source]]=SelectedDataSource)</f>
        <v>0</v>
      </c>
      <c r="K771" s="14" t="b">
        <v>1</v>
      </c>
      <c r="L771" s="14" t="b">
        <f>AND(Transport_Table[[#This Row],[Show Feedstock]:[Show Data Source]],NOT(Transport_Table[[#This Row],[Hide Column]]))</f>
        <v>0</v>
      </c>
      <c r="M771" s="14" t="s">
        <v>14</v>
      </c>
      <c r="N771" s="14" t="s">
        <v>1180</v>
      </c>
      <c r="O771" s="14" t="s">
        <v>1262</v>
      </c>
      <c r="P771" s="178" t="s">
        <v>126</v>
      </c>
      <c r="Q771" s="241" t="s">
        <v>1940</v>
      </c>
      <c r="R771" s="147">
        <v>1</v>
      </c>
      <c r="S771" s="398">
        <v>40</v>
      </c>
      <c r="T771" s="107"/>
    </row>
    <row r="772" spans="1:20" x14ac:dyDescent="0.3">
      <c r="A772" s="190" t="s">
        <v>126</v>
      </c>
      <c r="B772" s="178" t="s">
        <v>30</v>
      </c>
      <c r="C772" s="194" t="s">
        <v>194</v>
      </c>
      <c r="D772" s="194" t="s">
        <v>1349</v>
      </c>
      <c r="E772" s="178" t="s">
        <v>1366</v>
      </c>
      <c r="F772" s="14" t="b">
        <f>OR(Transport_Table[[#This Row],[Feedstock]]="All",Transport_Table[[#This Row],[Feedstock]]=SelectedFeedstock)</f>
        <v>0</v>
      </c>
      <c r="G772" s="14" t="b">
        <f>OR(Transport_Table[[#This Row],[Conversion]]="All",Transport_Table[[#This Row],[Conversion]]=SelectedConversion)</f>
        <v>1</v>
      </c>
      <c r="H772" s="14" t="b">
        <f>OR(Transport_Table[[#This Row],[Data Set]]="All",Transport_Table[[#This Row],[Data Set]]=SelectedDataSet)</f>
        <v>0</v>
      </c>
      <c r="I772" s="14" t="b">
        <f>OR(Transport_Table[[#This Row],[Technology]]="All",Transport_Table[[#This Row],[Technology]]=SelectedTechnology)</f>
        <v>0</v>
      </c>
      <c r="J772" s="14" t="b">
        <f>OR(Transport_Table[[#This Row],[Data Source]]="All",Transport_Table[[#This Row],[Data Source]]=SelectedDataSource)</f>
        <v>0</v>
      </c>
      <c r="K772" s="14" t="b">
        <v>1</v>
      </c>
      <c r="L772" s="14" t="b">
        <f>AND(Transport_Table[[#This Row],[Show Feedstock]:[Show Data Source]],NOT(Transport_Table[[#This Row],[Hide Column]]))</f>
        <v>0</v>
      </c>
      <c r="M772" s="14" t="s">
        <v>14</v>
      </c>
      <c r="N772" s="14" t="s">
        <v>1181</v>
      </c>
      <c r="O772" s="14" t="s">
        <v>1263</v>
      </c>
      <c r="P772" s="178" t="s">
        <v>126</v>
      </c>
      <c r="Q772" s="241" t="s">
        <v>1941</v>
      </c>
      <c r="R772" s="147">
        <v>1</v>
      </c>
      <c r="S772" s="398">
        <v>10</v>
      </c>
      <c r="T772" s="107"/>
    </row>
    <row r="773" spans="1:20" x14ac:dyDescent="0.3">
      <c r="A773" s="190" t="s">
        <v>126</v>
      </c>
      <c r="B773" s="178" t="s">
        <v>30</v>
      </c>
      <c r="C773" s="194" t="s">
        <v>194</v>
      </c>
      <c r="D773" s="194" t="s">
        <v>1349</v>
      </c>
      <c r="E773" s="178" t="s">
        <v>1366</v>
      </c>
      <c r="F773" s="14" t="b">
        <f>OR(Transport_Table[[#This Row],[Feedstock]]="All",Transport_Table[[#This Row],[Feedstock]]=SelectedFeedstock)</f>
        <v>0</v>
      </c>
      <c r="G773" s="14" t="b">
        <f>OR(Transport_Table[[#This Row],[Conversion]]="All",Transport_Table[[#This Row],[Conversion]]=SelectedConversion)</f>
        <v>1</v>
      </c>
      <c r="H773" s="14" t="b">
        <f>OR(Transport_Table[[#This Row],[Data Set]]="All",Transport_Table[[#This Row],[Data Set]]=SelectedDataSet)</f>
        <v>0</v>
      </c>
      <c r="I773" s="14" t="b">
        <f>OR(Transport_Table[[#This Row],[Technology]]="All",Transport_Table[[#This Row],[Technology]]=SelectedTechnology)</f>
        <v>0</v>
      </c>
      <c r="J773" s="14" t="b">
        <f>OR(Transport_Table[[#This Row],[Data Source]]="All",Transport_Table[[#This Row],[Data Source]]=SelectedDataSource)</f>
        <v>0</v>
      </c>
      <c r="K773" s="14" t="b">
        <v>1</v>
      </c>
      <c r="L773" s="14" t="b">
        <f>AND(Transport_Table[[#This Row],[Show Feedstock]:[Show Data Source]],NOT(Transport_Table[[#This Row],[Hide Column]]))</f>
        <v>0</v>
      </c>
      <c r="M773" s="14" t="s">
        <v>14</v>
      </c>
      <c r="N773" s="14" t="s">
        <v>1182</v>
      </c>
      <c r="O773" s="14" t="s">
        <v>1264</v>
      </c>
      <c r="P773" s="178" t="s">
        <v>362</v>
      </c>
      <c r="Q773" s="241" t="s">
        <v>1938</v>
      </c>
      <c r="R773" s="147">
        <v>0.4</v>
      </c>
      <c r="S773" s="398">
        <v>520</v>
      </c>
      <c r="T773" s="107"/>
    </row>
    <row r="774" spans="1:20" x14ac:dyDescent="0.3">
      <c r="A774" s="190" t="s">
        <v>126</v>
      </c>
      <c r="B774" s="178" t="s">
        <v>30</v>
      </c>
      <c r="C774" s="194" t="s">
        <v>194</v>
      </c>
      <c r="D774" s="194" t="s">
        <v>1349</v>
      </c>
      <c r="E774" s="178" t="s">
        <v>1366</v>
      </c>
      <c r="F774" s="14" t="b">
        <f>OR(Transport_Table[[#This Row],[Feedstock]]="All",Transport_Table[[#This Row],[Feedstock]]=SelectedFeedstock)</f>
        <v>0</v>
      </c>
      <c r="G774" s="14" t="b">
        <f>OR(Transport_Table[[#This Row],[Conversion]]="All",Transport_Table[[#This Row],[Conversion]]=SelectedConversion)</f>
        <v>1</v>
      </c>
      <c r="H774" s="14" t="b">
        <f>OR(Transport_Table[[#This Row],[Data Set]]="All",Transport_Table[[#This Row],[Data Set]]=SelectedDataSet)</f>
        <v>0</v>
      </c>
      <c r="I774" s="14" t="b">
        <f>OR(Transport_Table[[#This Row],[Technology]]="All",Transport_Table[[#This Row],[Technology]]=SelectedTechnology)</f>
        <v>0</v>
      </c>
      <c r="J774" s="14" t="b">
        <f>OR(Transport_Table[[#This Row],[Data Source]]="All",Transport_Table[[#This Row],[Data Source]]=SelectedDataSource)</f>
        <v>0</v>
      </c>
      <c r="K774" s="14" t="b">
        <v>1</v>
      </c>
      <c r="L774" s="14" t="b">
        <f>AND(Transport_Table[[#This Row],[Show Feedstock]:[Show Data Source]],NOT(Transport_Table[[#This Row],[Hide Column]]))</f>
        <v>0</v>
      </c>
      <c r="M774" s="14" t="s">
        <v>14</v>
      </c>
      <c r="N774" s="14" t="s">
        <v>1183</v>
      </c>
      <c r="O774" s="14" t="s">
        <v>1265</v>
      </c>
      <c r="P774" s="178" t="s">
        <v>362</v>
      </c>
      <c r="Q774" s="241" t="s">
        <v>1942</v>
      </c>
      <c r="R774" s="147">
        <v>0</v>
      </c>
      <c r="S774" s="394">
        <v>0</v>
      </c>
      <c r="T774" s="107"/>
    </row>
    <row r="775" spans="1:20" x14ac:dyDescent="0.3">
      <c r="A775" s="190" t="s">
        <v>126</v>
      </c>
      <c r="B775" s="178" t="s">
        <v>30</v>
      </c>
      <c r="C775" s="194" t="s">
        <v>194</v>
      </c>
      <c r="D775" s="194" t="s">
        <v>1349</v>
      </c>
      <c r="E775" s="178" t="s">
        <v>1366</v>
      </c>
      <c r="F775" s="14" t="b">
        <f>OR(Transport_Table[[#This Row],[Feedstock]]="All",Transport_Table[[#This Row],[Feedstock]]=SelectedFeedstock)</f>
        <v>0</v>
      </c>
      <c r="G775" s="14" t="b">
        <f>OR(Transport_Table[[#This Row],[Conversion]]="All",Transport_Table[[#This Row],[Conversion]]=SelectedConversion)</f>
        <v>1</v>
      </c>
      <c r="H775" s="14" t="b">
        <f>OR(Transport_Table[[#This Row],[Data Set]]="All",Transport_Table[[#This Row],[Data Set]]=SelectedDataSet)</f>
        <v>0</v>
      </c>
      <c r="I775" s="14" t="b">
        <f>OR(Transport_Table[[#This Row],[Technology]]="All",Transport_Table[[#This Row],[Technology]]=SelectedTechnology)</f>
        <v>0</v>
      </c>
      <c r="J775" s="14" t="b">
        <f>OR(Transport_Table[[#This Row],[Data Source]]="All",Transport_Table[[#This Row],[Data Source]]=SelectedDataSource)</f>
        <v>0</v>
      </c>
      <c r="K775" s="14" t="b">
        <v>1</v>
      </c>
      <c r="L775" s="14" t="b">
        <f>AND(Transport_Table[[#This Row],[Show Feedstock]:[Show Data Source]],NOT(Transport_Table[[#This Row],[Hide Column]]))</f>
        <v>0</v>
      </c>
      <c r="M775" s="14" t="s">
        <v>14</v>
      </c>
      <c r="N775" s="14" t="s">
        <v>1184</v>
      </c>
      <c r="O775" s="14" t="s">
        <v>1266</v>
      </c>
      <c r="P775" s="178" t="s">
        <v>362</v>
      </c>
      <c r="Q775" s="241" t="s">
        <v>1939</v>
      </c>
      <c r="R775" s="147">
        <v>0.2</v>
      </c>
      <c r="S775" s="398">
        <v>700</v>
      </c>
      <c r="T775" s="107"/>
    </row>
    <row r="776" spans="1:20" x14ac:dyDescent="0.3">
      <c r="A776" s="190" t="s">
        <v>126</v>
      </c>
      <c r="B776" s="178" t="s">
        <v>30</v>
      </c>
      <c r="C776" s="194" t="s">
        <v>194</v>
      </c>
      <c r="D776" s="194" t="s">
        <v>1349</v>
      </c>
      <c r="E776" s="178" t="s">
        <v>1366</v>
      </c>
      <c r="F776" s="14" t="b">
        <f>OR(Transport_Table[[#This Row],[Feedstock]]="All",Transport_Table[[#This Row],[Feedstock]]=SelectedFeedstock)</f>
        <v>0</v>
      </c>
      <c r="G776" s="14" t="b">
        <f>OR(Transport_Table[[#This Row],[Conversion]]="All",Transport_Table[[#This Row],[Conversion]]=SelectedConversion)</f>
        <v>1</v>
      </c>
      <c r="H776" s="14" t="b">
        <f>OR(Transport_Table[[#This Row],[Data Set]]="All",Transport_Table[[#This Row],[Data Set]]=SelectedDataSet)</f>
        <v>0</v>
      </c>
      <c r="I776" s="14" t="b">
        <f>OR(Transport_Table[[#This Row],[Technology]]="All",Transport_Table[[#This Row],[Technology]]=SelectedTechnology)</f>
        <v>0</v>
      </c>
      <c r="J776" s="14" t="b">
        <f>OR(Transport_Table[[#This Row],[Data Source]]="All",Transport_Table[[#This Row],[Data Source]]=SelectedDataSource)</f>
        <v>0</v>
      </c>
      <c r="K776" s="14" t="b">
        <v>1</v>
      </c>
      <c r="L776" s="14" t="b">
        <f>AND(Transport_Table[[#This Row],[Show Feedstock]:[Show Data Source]],NOT(Transport_Table[[#This Row],[Hide Column]]))</f>
        <v>0</v>
      </c>
      <c r="M776" s="14" t="s">
        <v>14</v>
      </c>
      <c r="N776" s="14" t="s">
        <v>1185</v>
      </c>
      <c r="O776" s="14" t="s">
        <v>1267</v>
      </c>
      <c r="P776" s="178" t="s">
        <v>362</v>
      </c>
      <c r="Q776" s="241" t="s">
        <v>1940</v>
      </c>
      <c r="R776" s="147">
        <v>0.4</v>
      </c>
      <c r="S776" s="398">
        <v>80</v>
      </c>
      <c r="T776" s="107"/>
    </row>
    <row r="777" spans="1:20" x14ac:dyDescent="0.3">
      <c r="A777" s="190" t="s">
        <v>126</v>
      </c>
      <c r="B777" s="178" t="s">
        <v>30</v>
      </c>
      <c r="C777" s="194" t="s">
        <v>194</v>
      </c>
      <c r="D777" s="194" t="s">
        <v>1349</v>
      </c>
      <c r="E777" s="178" t="s">
        <v>1366</v>
      </c>
      <c r="F777" s="14" t="b">
        <f>OR(Transport_Table[[#This Row],[Feedstock]]="All",Transport_Table[[#This Row],[Feedstock]]=SelectedFeedstock)</f>
        <v>0</v>
      </c>
      <c r="G777" s="14" t="b">
        <f>OR(Transport_Table[[#This Row],[Conversion]]="All",Transport_Table[[#This Row],[Conversion]]=SelectedConversion)</f>
        <v>1</v>
      </c>
      <c r="H777" s="14" t="b">
        <f>OR(Transport_Table[[#This Row],[Data Set]]="All",Transport_Table[[#This Row],[Data Set]]=SelectedDataSet)</f>
        <v>0</v>
      </c>
      <c r="I777" s="14" t="b">
        <f>OR(Transport_Table[[#This Row],[Technology]]="All",Transport_Table[[#This Row],[Technology]]=SelectedTechnology)</f>
        <v>0</v>
      </c>
      <c r="J777" s="14" t="b">
        <f>OR(Transport_Table[[#This Row],[Data Source]]="All",Transport_Table[[#This Row],[Data Source]]=SelectedDataSource)</f>
        <v>0</v>
      </c>
      <c r="L777" s="14" t="b">
        <f>AND(Transport_Table[[#This Row],[Show Feedstock]:[Show Data Source]],NOT(Transport_Table[[#This Row],[Hide Column]]))</f>
        <v>0</v>
      </c>
      <c r="M777" s="14" t="s">
        <v>14</v>
      </c>
      <c r="N777" s="14" t="s">
        <v>1161</v>
      </c>
      <c r="O777" s="14" t="s">
        <v>1243</v>
      </c>
      <c r="P777" s="178" t="s">
        <v>1700</v>
      </c>
      <c r="Q777" s="241" t="s">
        <v>1938</v>
      </c>
      <c r="R777" s="147">
        <v>0.08</v>
      </c>
      <c r="S777" s="398">
        <v>520</v>
      </c>
      <c r="T777" s="107"/>
    </row>
    <row r="778" spans="1:20" x14ac:dyDescent="0.3">
      <c r="A778" s="190" t="s">
        <v>126</v>
      </c>
      <c r="B778" s="178" t="s">
        <v>30</v>
      </c>
      <c r="C778" s="194" t="s">
        <v>194</v>
      </c>
      <c r="D778" s="194" t="s">
        <v>1349</v>
      </c>
      <c r="E778" s="178" t="s">
        <v>1366</v>
      </c>
      <c r="F778" s="14" t="b">
        <f>OR(Transport_Table[[#This Row],[Feedstock]]="All",Transport_Table[[#This Row],[Feedstock]]=SelectedFeedstock)</f>
        <v>0</v>
      </c>
      <c r="G778" s="14" t="b">
        <f>OR(Transport_Table[[#This Row],[Conversion]]="All",Transport_Table[[#This Row],[Conversion]]=SelectedConversion)</f>
        <v>1</v>
      </c>
      <c r="H778" s="14" t="b">
        <f>OR(Transport_Table[[#This Row],[Data Set]]="All",Transport_Table[[#This Row],[Data Set]]=SelectedDataSet)</f>
        <v>0</v>
      </c>
      <c r="I778" s="14" t="b">
        <f>OR(Transport_Table[[#This Row],[Technology]]="All",Transport_Table[[#This Row],[Technology]]=SelectedTechnology)</f>
        <v>0</v>
      </c>
      <c r="J778" s="14" t="b">
        <f>OR(Transport_Table[[#This Row],[Data Source]]="All",Transport_Table[[#This Row],[Data Source]]=SelectedDataSource)</f>
        <v>0</v>
      </c>
      <c r="L778" s="14" t="b">
        <f>AND(Transport_Table[[#This Row],[Show Feedstock]:[Show Data Source]],NOT(Transport_Table[[#This Row],[Hide Column]]))</f>
        <v>0</v>
      </c>
      <c r="M778" s="14" t="s">
        <v>14</v>
      </c>
      <c r="N778" s="14" t="s">
        <v>1162</v>
      </c>
      <c r="O778" s="14" t="s">
        <v>1244</v>
      </c>
      <c r="P778" s="178" t="s">
        <v>1700</v>
      </c>
      <c r="Q778" s="241" t="s">
        <v>1942</v>
      </c>
      <c r="R778" s="147">
        <v>0</v>
      </c>
      <c r="S778" s="394">
        <v>0</v>
      </c>
      <c r="T778" s="107"/>
    </row>
    <row r="779" spans="1:20" x14ac:dyDescent="0.3">
      <c r="A779" s="190" t="s">
        <v>126</v>
      </c>
      <c r="B779" s="178" t="s">
        <v>30</v>
      </c>
      <c r="C779" s="194" t="s">
        <v>194</v>
      </c>
      <c r="D779" s="194" t="s">
        <v>1349</v>
      </c>
      <c r="E779" s="178" t="s">
        <v>1366</v>
      </c>
      <c r="F779" s="14" t="b">
        <f>OR(Transport_Table[[#This Row],[Feedstock]]="All",Transport_Table[[#This Row],[Feedstock]]=SelectedFeedstock)</f>
        <v>0</v>
      </c>
      <c r="G779" s="14" t="b">
        <f>OR(Transport_Table[[#This Row],[Conversion]]="All",Transport_Table[[#This Row],[Conversion]]=SelectedConversion)</f>
        <v>1</v>
      </c>
      <c r="H779" s="14" t="b">
        <f>OR(Transport_Table[[#This Row],[Data Set]]="All",Transport_Table[[#This Row],[Data Set]]=SelectedDataSet)</f>
        <v>0</v>
      </c>
      <c r="I779" s="14" t="b">
        <f>OR(Transport_Table[[#This Row],[Technology]]="All",Transport_Table[[#This Row],[Technology]]=SelectedTechnology)</f>
        <v>0</v>
      </c>
      <c r="J779" s="14" t="b">
        <f>OR(Transport_Table[[#This Row],[Data Source]]="All",Transport_Table[[#This Row],[Data Source]]=SelectedDataSource)</f>
        <v>0</v>
      </c>
      <c r="L779" s="14" t="b">
        <f>AND(Transport_Table[[#This Row],[Show Feedstock]:[Show Data Source]],NOT(Transport_Table[[#This Row],[Hide Column]]))</f>
        <v>0</v>
      </c>
      <c r="M779" s="14" t="s">
        <v>14</v>
      </c>
      <c r="N779" s="14" t="s">
        <v>1163</v>
      </c>
      <c r="O779" s="14" t="s">
        <v>1245</v>
      </c>
      <c r="P779" s="178" t="s">
        <v>1700</v>
      </c>
      <c r="Q779" s="241" t="s">
        <v>1939</v>
      </c>
      <c r="R779" s="147">
        <v>0.28999999999999998</v>
      </c>
      <c r="S779" s="398">
        <v>800</v>
      </c>
      <c r="T779" s="107"/>
    </row>
    <row r="780" spans="1:20" x14ac:dyDescent="0.3">
      <c r="A780" s="190" t="s">
        <v>126</v>
      </c>
      <c r="B780" s="178" t="s">
        <v>30</v>
      </c>
      <c r="C780" s="194" t="s">
        <v>194</v>
      </c>
      <c r="D780" s="194" t="s">
        <v>1349</v>
      </c>
      <c r="E780" s="178" t="s">
        <v>1366</v>
      </c>
      <c r="F780" s="14" t="b">
        <f>OR(Transport_Table[[#This Row],[Feedstock]]="All",Transport_Table[[#This Row],[Feedstock]]=SelectedFeedstock)</f>
        <v>0</v>
      </c>
      <c r="G780" s="14" t="b">
        <f>OR(Transport_Table[[#This Row],[Conversion]]="All",Transport_Table[[#This Row],[Conversion]]=SelectedConversion)</f>
        <v>1</v>
      </c>
      <c r="H780" s="14" t="b">
        <f>OR(Transport_Table[[#This Row],[Data Set]]="All",Transport_Table[[#This Row],[Data Set]]=SelectedDataSet)</f>
        <v>0</v>
      </c>
      <c r="I780" s="14" t="b">
        <f>OR(Transport_Table[[#This Row],[Technology]]="All",Transport_Table[[#This Row],[Technology]]=SelectedTechnology)</f>
        <v>0</v>
      </c>
      <c r="J780" s="14" t="b">
        <f>OR(Transport_Table[[#This Row],[Data Source]]="All",Transport_Table[[#This Row],[Data Source]]=SelectedDataSource)</f>
        <v>0</v>
      </c>
      <c r="L780" s="14" t="b">
        <f>AND(Transport_Table[[#This Row],[Show Feedstock]:[Show Data Source]],NOT(Transport_Table[[#This Row],[Hide Column]]))</f>
        <v>0</v>
      </c>
      <c r="M780" s="14" t="s">
        <v>14</v>
      </c>
      <c r="N780" s="14" t="s">
        <v>1164</v>
      </c>
      <c r="O780" s="14" t="s">
        <v>1246</v>
      </c>
      <c r="P780" s="178" t="s">
        <v>1700</v>
      </c>
      <c r="Q780" s="241" t="s">
        <v>1940</v>
      </c>
      <c r="R780" s="147">
        <v>0.63</v>
      </c>
      <c r="S780" s="398">
        <v>50</v>
      </c>
      <c r="T780" s="107"/>
    </row>
    <row r="781" spans="1:20" x14ac:dyDescent="0.3">
      <c r="A781" s="192" t="s">
        <v>126</v>
      </c>
      <c r="B781" s="193" t="s">
        <v>30</v>
      </c>
      <c r="C781" s="194" t="s">
        <v>194</v>
      </c>
      <c r="D781" s="194" t="s">
        <v>1349</v>
      </c>
      <c r="E781" s="178" t="s">
        <v>1366</v>
      </c>
      <c r="F781" s="14" t="b">
        <f>OR(Transport_Table[[#This Row],[Feedstock]]="All",Transport_Table[[#This Row],[Feedstock]]=SelectedFeedstock)</f>
        <v>0</v>
      </c>
      <c r="G781" s="14" t="b">
        <f>OR(Transport_Table[[#This Row],[Conversion]]="All",Transport_Table[[#This Row],[Conversion]]=SelectedConversion)</f>
        <v>1</v>
      </c>
      <c r="H781" s="14" t="b">
        <f>OR(Transport_Table[[#This Row],[Data Set]]="All",Transport_Table[[#This Row],[Data Set]]=SelectedDataSet)</f>
        <v>0</v>
      </c>
      <c r="I781" s="14" t="b">
        <f>OR(Transport_Table[[#This Row],[Technology]]="All",Transport_Table[[#This Row],[Technology]]=SelectedTechnology)</f>
        <v>0</v>
      </c>
      <c r="J781" s="14" t="b">
        <f>OR(Transport_Table[[#This Row],[Data Source]]="All",Transport_Table[[#This Row],[Data Source]]=SelectedDataSource)</f>
        <v>0</v>
      </c>
      <c r="L781" s="14" t="b">
        <f>AND(Transport_Table[[#This Row],[Show Feedstock]:[Show Data Source]],NOT(Transport_Table[[#This Row],[Hide Column]]))</f>
        <v>0</v>
      </c>
      <c r="M781" s="14" t="s">
        <v>14</v>
      </c>
      <c r="N781" s="14" t="s">
        <v>1165</v>
      </c>
      <c r="O781" s="14" t="s">
        <v>1247</v>
      </c>
      <c r="P781" s="178" t="s">
        <v>1701</v>
      </c>
      <c r="Q781" s="400" t="s">
        <v>1940</v>
      </c>
      <c r="R781" s="148">
        <v>1</v>
      </c>
      <c r="S781" s="399">
        <v>30</v>
      </c>
      <c r="T781" s="107"/>
    </row>
    <row r="782" spans="1:20" x14ac:dyDescent="0.3">
      <c r="A782" s="190" t="s">
        <v>126</v>
      </c>
      <c r="B782" s="178" t="s">
        <v>30</v>
      </c>
      <c r="C782" s="194" t="s">
        <v>194</v>
      </c>
      <c r="D782" s="194" t="s">
        <v>1349</v>
      </c>
      <c r="E782" s="178" t="s">
        <v>1367</v>
      </c>
      <c r="F782" s="14" t="b">
        <f>OR(Transport_Table[[#This Row],[Feedstock]]="All",Transport_Table[[#This Row],[Feedstock]]=SelectedFeedstock)</f>
        <v>0</v>
      </c>
      <c r="G782" s="14" t="b">
        <f>OR(Transport_Table[[#This Row],[Conversion]]="All",Transport_Table[[#This Row],[Conversion]]=SelectedConversion)</f>
        <v>1</v>
      </c>
      <c r="H782" s="14" t="b">
        <f>OR(Transport_Table[[#This Row],[Data Set]]="All",Transport_Table[[#This Row],[Data Set]]=SelectedDataSet)</f>
        <v>0</v>
      </c>
      <c r="I782" s="14" t="b">
        <f>OR(Transport_Table[[#This Row],[Technology]]="All",Transport_Table[[#This Row],[Technology]]=SelectedTechnology)</f>
        <v>0</v>
      </c>
      <c r="J782" s="14" t="b">
        <f>OR(Transport_Table[[#This Row],[Data Source]]="All",Transport_Table[[#This Row],[Data Source]]=SelectedDataSource)</f>
        <v>0</v>
      </c>
      <c r="K782" s="14" t="b">
        <v>1</v>
      </c>
      <c r="L782" s="14" t="b">
        <f>AND(Transport_Table[[#This Row],[Show Feedstock]:[Show Data Source]],NOT(Transport_Table[[#This Row],[Hide Column]]))</f>
        <v>0</v>
      </c>
      <c r="M782" s="14" t="s">
        <v>14</v>
      </c>
      <c r="N782" s="14" t="s">
        <v>1178</v>
      </c>
      <c r="O782" s="14" t="s">
        <v>1260</v>
      </c>
      <c r="P782" s="178" t="s">
        <v>126</v>
      </c>
      <c r="Q782" s="241" t="s">
        <v>1938</v>
      </c>
      <c r="R782" s="147">
        <v>0</v>
      </c>
      <c r="S782" s="394">
        <v>0</v>
      </c>
      <c r="T782" s="107"/>
    </row>
    <row r="783" spans="1:20" x14ac:dyDescent="0.3">
      <c r="A783" s="190" t="s">
        <v>126</v>
      </c>
      <c r="B783" s="178" t="s">
        <v>30</v>
      </c>
      <c r="C783" s="194" t="s">
        <v>194</v>
      </c>
      <c r="D783" s="194" t="s">
        <v>1349</v>
      </c>
      <c r="E783" s="178" t="s">
        <v>1367</v>
      </c>
      <c r="F783" s="14" t="b">
        <f>OR(Transport_Table[[#This Row],[Feedstock]]="All",Transport_Table[[#This Row],[Feedstock]]=SelectedFeedstock)</f>
        <v>0</v>
      </c>
      <c r="G783" s="14" t="b">
        <f>OR(Transport_Table[[#This Row],[Conversion]]="All",Transport_Table[[#This Row],[Conversion]]=SelectedConversion)</f>
        <v>1</v>
      </c>
      <c r="H783" s="14" t="b">
        <f>OR(Transport_Table[[#This Row],[Data Set]]="All",Transport_Table[[#This Row],[Data Set]]=SelectedDataSet)</f>
        <v>0</v>
      </c>
      <c r="I783" s="14" t="b">
        <f>OR(Transport_Table[[#This Row],[Technology]]="All",Transport_Table[[#This Row],[Technology]]=SelectedTechnology)</f>
        <v>0</v>
      </c>
      <c r="J783" s="14" t="b">
        <f>OR(Transport_Table[[#This Row],[Data Source]]="All",Transport_Table[[#This Row],[Data Source]]=SelectedDataSource)</f>
        <v>0</v>
      </c>
      <c r="K783" s="14" t="b">
        <v>1</v>
      </c>
      <c r="L783" s="14" t="b">
        <f>AND(Transport_Table[[#This Row],[Show Feedstock]:[Show Data Source]],NOT(Transport_Table[[#This Row],[Hide Column]]))</f>
        <v>0</v>
      </c>
      <c r="M783" s="14" t="s">
        <v>14</v>
      </c>
      <c r="N783" s="14" t="s">
        <v>1179</v>
      </c>
      <c r="O783" s="14" t="s">
        <v>1261</v>
      </c>
      <c r="P783" s="178" t="s">
        <v>126</v>
      </c>
      <c r="Q783" s="241" t="s">
        <v>1939</v>
      </c>
      <c r="R783" s="147">
        <v>0</v>
      </c>
      <c r="S783" s="394">
        <v>0</v>
      </c>
      <c r="T783" s="107"/>
    </row>
    <row r="784" spans="1:20" x14ac:dyDescent="0.3">
      <c r="A784" s="190" t="s">
        <v>126</v>
      </c>
      <c r="B784" s="178" t="s">
        <v>30</v>
      </c>
      <c r="C784" s="194" t="s">
        <v>194</v>
      </c>
      <c r="D784" s="194" t="s">
        <v>1349</v>
      </c>
      <c r="E784" s="178" t="s">
        <v>1367</v>
      </c>
      <c r="F784" s="14" t="b">
        <f>OR(Transport_Table[[#This Row],[Feedstock]]="All",Transport_Table[[#This Row],[Feedstock]]=SelectedFeedstock)</f>
        <v>0</v>
      </c>
      <c r="G784" s="14" t="b">
        <f>OR(Transport_Table[[#This Row],[Conversion]]="All",Transport_Table[[#This Row],[Conversion]]=SelectedConversion)</f>
        <v>1</v>
      </c>
      <c r="H784" s="14" t="b">
        <f>OR(Transport_Table[[#This Row],[Data Set]]="All",Transport_Table[[#This Row],[Data Set]]=SelectedDataSet)</f>
        <v>0</v>
      </c>
      <c r="I784" s="14" t="b">
        <f>OR(Transport_Table[[#This Row],[Technology]]="All",Transport_Table[[#This Row],[Technology]]=SelectedTechnology)</f>
        <v>0</v>
      </c>
      <c r="J784" s="14" t="b">
        <f>OR(Transport_Table[[#This Row],[Data Source]]="All",Transport_Table[[#This Row],[Data Source]]=SelectedDataSource)</f>
        <v>0</v>
      </c>
      <c r="K784" s="14" t="b">
        <v>1</v>
      </c>
      <c r="L784" s="14" t="b">
        <f>AND(Transport_Table[[#This Row],[Show Feedstock]:[Show Data Source]],NOT(Transport_Table[[#This Row],[Hide Column]]))</f>
        <v>0</v>
      </c>
      <c r="M784" s="14" t="s">
        <v>14</v>
      </c>
      <c r="N784" s="14" t="s">
        <v>1180</v>
      </c>
      <c r="O784" s="14" t="s">
        <v>1262</v>
      </c>
      <c r="P784" s="178" t="s">
        <v>126</v>
      </c>
      <c r="Q784" s="241" t="s">
        <v>1940</v>
      </c>
      <c r="R784" s="147">
        <v>1</v>
      </c>
      <c r="S784" s="398">
        <v>40</v>
      </c>
      <c r="T784" s="107"/>
    </row>
    <row r="785" spans="1:20" x14ac:dyDescent="0.3">
      <c r="A785" s="190" t="s">
        <v>126</v>
      </c>
      <c r="B785" s="178" t="s">
        <v>30</v>
      </c>
      <c r="C785" s="194" t="s">
        <v>194</v>
      </c>
      <c r="D785" s="194" t="s">
        <v>1349</v>
      </c>
      <c r="E785" s="178" t="s">
        <v>1367</v>
      </c>
      <c r="F785" s="14" t="b">
        <f>OR(Transport_Table[[#This Row],[Feedstock]]="All",Transport_Table[[#This Row],[Feedstock]]=SelectedFeedstock)</f>
        <v>0</v>
      </c>
      <c r="G785" s="14" t="b">
        <f>OR(Transport_Table[[#This Row],[Conversion]]="All",Transport_Table[[#This Row],[Conversion]]=SelectedConversion)</f>
        <v>1</v>
      </c>
      <c r="H785" s="14" t="b">
        <f>OR(Transport_Table[[#This Row],[Data Set]]="All",Transport_Table[[#This Row],[Data Set]]=SelectedDataSet)</f>
        <v>0</v>
      </c>
      <c r="I785" s="14" t="b">
        <f>OR(Transport_Table[[#This Row],[Technology]]="All",Transport_Table[[#This Row],[Technology]]=SelectedTechnology)</f>
        <v>0</v>
      </c>
      <c r="J785" s="14" t="b">
        <f>OR(Transport_Table[[#This Row],[Data Source]]="All",Transport_Table[[#This Row],[Data Source]]=SelectedDataSource)</f>
        <v>0</v>
      </c>
      <c r="K785" s="14" t="b">
        <v>1</v>
      </c>
      <c r="L785" s="14" t="b">
        <f>AND(Transport_Table[[#This Row],[Show Feedstock]:[Show Data Source]],NOT(Transport_Table[[#This Row],[Hide Column]]))</f>
        <v>0</v>
      </c>
      <c r="M785" s="14" t="s">
        <v>14</v>
      </c>
      <c r="N785" s="14" t="s">
        <v>1181</v>
      </c>
      <c r="O785" s="14" t="s">
        <v>1263</v>
      </c>
      <c r="P785" s="178" t="s">
        <v>126</v>
      </c>
      <c r="Q785" s="241" t="s">
        <v>1941</v>
      </c>
      <c r="R785" s="147">
        <v>1</v>
      </c>
      <c r="S785" s="398">
        <v>10</v>
      </c>
      <c r="T785" s="107"/>
    </row>
    <row r="786" spans="1:20" x14ac:dyDescent="0.3">
      <c r="A786" s="190" t="s">
        <v>126</v>
      </c>
      <c r="B786" s="178" t="s">
        <v>30</v>
      </c>
      <c r="C786" s="194" t="s">
        <v>194</v>
      </c>
      <c r="D786" s="194" t="s">
        <v>1349</v>
      </c>
      <c r="E786" s="178" t="s">
        <v>1367</v>
      </c>
      <c r="F786" s="14" t="b">
        <f>OR(Transport_Table[[#This Row],[Feedstock]]="All",Transport_Table[[#This Row],[Feedstock]]=SelectedFeedstock)</f>
        <v>0</v>
      </c>
      <c r="G786" s="14" t="b">
        <f>OR(Transport_Table[[#This Row],[Conversion]]="All",Transport_Table[[#This Row],[Conversion]]=SelectedConversion)</f>
        <v>1</v>
      </c>
      <c r="H786" s="14" t="b">
        <f>OR(Transport_Table[[#This Row],[Data Set]]="All",Transport_Table[[#This Row],[Data Set]]=SelectedDataSet)</f>
        <v>0</v>
      </c>
      <c r="I786" s="14" t="b">
        <f>OR(Transport_Table[[#This Row],[Technology]]="All",Transport_Table[[#This Row],[Technology]]=SelectedTechnology)</f>
        <v>0</v>
      </c>
      <c r="J786" s="14" t="b">
        <f>OR(Transport_Table[[#This Row],[Data Source]]="All",Transport_Table[[#This Row],[Data Source]]=SelectedDataSource)</f>
        <v>0</v>
      </c>
      <c r="K786" s="14" t="b">
        <v>1</v>
      </c>
      <c r="L786" s="14" t="b">
        <f>AND(Transport_Table[[#This Row],[Show Feedstock]:[Show Data Source]],NOT(Transport_Table[[#This Row],[Hide Column]]))</f>
        <v>0</v>
      </c>
      <c r="M786" s="14" t="s">
        <v>14</v>
      </c>
      <c r="N786" s="14" t="s">
        <v>1182</v>
      </c>
      <c r="O786" s="14" t="s">
        <v>1264</v>
      </c>
      <c r="P786" s="178" t="s">
        <v>362</v>
      </c>
      <c r="Q786" s="241" t="s">
        <v>1938</v>
      </c>
      <c r="R786" s="147">
        <v>0.4</v>
      </c>
      <c r="S786" s="398">
        <v>520</v>
      </c>
      <c r="T786" s="107"/>
    </row>
    <row r="787" spans="1:20" x14ac:dyDescent="0.3">
      <c r="A787" s="190" t="s">
        <v>126</v>
      </c>
      <c r="B787" s="178" t="s">
        <v>30</v>
      </c>
      <c r="C787" s="194" t="s">
        <v>194</v>
      </c>
      <c r="D787" s="194" t="s">
        <v>1349</v>
      </c>
      <c r="E787" s="178" t="s">
        <v>1367</v>
      </c>
      <c r="F787" s="14" t="b">
        <f>OR(Transport_Table[[#This Row],[Feedstock]]="All",Transport_Table[[#This Row],[Feedstock]]=SelectedFeedstock)</f>
        <v>0</v>
      </c>
      <c r="G787" s="14" t="b">
        <f>OR(Transport_Table[[#This Row],[Conversion]]="All",Transport_Table[[#This Row],[Conversion]]=SelectedConversion)</f>
        <v>1</v>
      </c>
      <c r="H787" s="14" t="b">
        <f>OR(Transport_Table[[#This Row],[Data Set]]="All",Transport_Table[[#This Row],[Data Set]]=SelectedDataSet)</f>
        <v>0</v>
      </c>
      <c r="I787" s="14" t="b">
        <f>OR(Transport_Table[[#This Row],[Technology]]="All",Transport_Table[[#This Row],[Technology]]=SelectedTechnology)</f>
        <v>0</v>
      </c>
      <c r="J787" s="14" t="b">
        <f>OR(Transport_Table[[#This Row],[Data Source]]="All",Transport_Table[[#This Row],[Data Source]]=SelectedDataSource)</f>
        <v>0</v>
      </c>
      <c r="K787" s="14" t="b">
        <v>1</v>
      </c>
      <c r="L787" s="14" t="b">
        <f>AND(Transport_Table[[#This Row],[Show Feedstock]:[Show Data Source]],NOT(Transport_Table[[#This Row],[Hide Column]]))</f>
        <v>0</v>
      </c>
      <c r="M787" s="14" t="s">
        <v>14</v>
      </c>
      <c r="N787" s="14" t="s">
        <v>1183</v>
      </c>
      <c r="O787" s="14" t="s">
        <v>1265</v>
      </c>
      <c r="P787" s="178" t="s">
        <v>362</v>
      </c>
      <c r="Q787" s="241" t="s">
        <v>1942</v>
      </c>
      <c r="R787" s="147">
        <v>0</v>
      </c>
      <c r="S787" s="394">
        <v>0</v>
      </c>
      <c r="T787" s="107"/>
    </row>
    <row r="788" spans="1:20" x14ac:dyDescent="0.3">
      <c r="A788" s="190" t="s">
        <v>126</v>
      </c>
      <c r="B788" s="178" t="s">
        <v>30</v>
      </c>
      <c r="C788" s="194" t="s">
        <v>194</v>
      </c>
      <c r="D788" s="194" t="s">
        <v>1349</v>
      </c>
      <c r="E788" s="178" t="s">
        <v>1367</v>
      </c>
      <c r="F788" s="14" t="b">
        <f>OR(Transport_Table[[#This Row],[Feedstock]]="All",Transport_Table[[#This Row],[Feedstock]]=SelectedFeedstock)</f>
        <v>0</v>
      </c>
      <c r="G788" s="14" t="b">
        <f>OR(Transport_Table[[#This Row],[Conversion]]="All",Transport_Table[[#This Row],[Conversion]]=SelectedConversion)</f>
        <v>1</v>
      </c>
      <c r="H788" s="14" t="b">
        <f>OR(Transport_Table[[#This Row],[Data Set]]="All",Transport_Table[[#This Row],[Data Set]]=SelectedDataSet)</f>
        <v>0</v>
      </c>
      <c r="I788" s="14" t="b">
        <f>OR(Transport_Table[[#This Row],[Technology]]="All",Transport_Table[[#This Row],[Technology]]=SelectedTechnology)</f>
        <v>0</v>
      </c>
      <c r="J788" s="14" t="b">
        <f>OR(Transport_Table[[#This Row],[Data Source]]="All",Transport_Table[[#This Row],[Data Source]]=SelectedDataSource)</f>
        <v>0</v>
      </c>
      <c r="K788" s="14" t="b">
        <v>1</v>
      </c>
      <c r="L788" s="14" t="b">
        <f>AND(Transport_Table[[#This Row],[Show Feedstock]:[Show Data Source]],NOT(Transport_Table[[#This Row],[Hide Column]]))</f>
        <v>0</v>
      </c>
      <c r="M788" s="14" t="s">
        <v>14</v>
      </c>
      <c r="N788" s="14" t="s">
        <v>1184</v>
      </c>
      <c r="O788" s="14" t="s">
        <v>1266</v>
      </c>
      <c r="P788" s="178" t="s">
        <v>362</v>
      </c>
      <c r="Q788" s="241" t="s">
        <v>1939</v>
      </c>
      <c r="R788" s="147">
        <v>0.2</v>
      </c>
      <c r="S788" s="398">
        <v>700</v>
      </c>
      <c r="T788" s="107"/>
    </row>
    <row r="789" spans="1:20" x14ac:dyDescent="0.3">
      <c r="A789" s="190" t="s">
        <v>126</v>
      </c>
      <c r="B789" s="178" t="s">
        <v>30</v>
      </c>
      <c r="C789" s="194" t="s">
        <v>194</v>
      </c>
      <c r="D789" s="194" t="s">
        <v>1349</v>
      </c>
      <c r="E789" s="178" t="s">
        <v>1367</v>
      </c>
      <c r="F789" s="14" t="b">
        <f>OR(Transport_Table[[#This Row],[Feedstock]]="All",Transport_Table[[#This Row],[Feedstock]]=SelectedFeedstock)</f>
        <v>0</v>
      </c>
      <c r="G789" s="14" t="b">
        <f>OR(Transport_Table[[#This Row],[Conversion]]="All",Transport_Table[[#This Row],[Conversion]]=SelectedConversion)</f>
        <v>1</v>
      </c>
      <c r="H789" s="14" t="b">
        <f>OR(Transport_Table[[#This Row],[Data Set]]="All",Transport_Table[[#This Row],[Data Set]]=SelectedDataSet)</f>
        <v>0</v>
      </c>
      <c r="I789" s="14" t="b">
        <f>OR(Transport_Table[[#This Row],[Technology]]="All",Transport_Table[[#This Row],[Technology]]=SelectedTechnology)</f>
        <v>0</v>
      </c>
      <c r="J789" s="14" t="b">
        <f>OR(Transport_Table[[#This Row],[Data Source]]="All",Transport_Table[[#This Row],[Data Source]]=SelectedDataSource)</f>
        <v>0</v>
      </c>
      <c r="K789" s="14" t="b">
        <v>1</v>
      </c>
      <c r="L789" s="14" t="b">
        <f>AND(Transport_Table[[#This Row],[Show Feedstock]:[Show Data Source]],NOT(Transport_Table[[#This Row],[Hide Column]]))</f>
        <v>0</v>
      </c>
      <c r="M789" s="14" t="s">
        <v>14</v>
      </c>
      <c r="N789" s="14" t="s">
        <v>1185</v>
      </c>
      <c r="O789" s="14" t="s">
        <v>1267</v>
      </c>
      <c r="P789" s="178" t="s">
        <v>362</v>
      </c>
      <c r="Q789" s="241" t="s">
        <v>1940</v>
      </c>
      <c r="R789" s="147">
        <v>0.4</v>
      </c>
      <c r="S789" s="398">
        <v>80</v>
      </c>
      <c r="T789" s="107"/>
    </row>
    <row r="790" spans="1:20" x14ac:dyDescent="0.3">
      <c r="A790" s="190" t="s">
        <v>126</v>
      </c>
      <c r="B790" s="178" t="s">
        <v>30</v>
      </c>
      <c r="C790" s="194" t="s">
        <v>194</v>
      </c>
      <c r="D790" s="194" t="s">
        <v>1349</v>
      </c>
      <c r="E790" s="178" t="s">
        <v>1367</v>
      </c>
      <c r="F790" s="14" t="b">
        <f>OR(Transport_Table[[#This Row],[Feedstock]]="All",Transport_Table[[#This Row],[Feedstock]]=SelectedFeedstock)</f>
        <v>0</v>
      </c>
      <c r="G790" s="14" t="b">
        <f>OR(Transport_Table[[#This Row],[Conversion]]="All",Transport_Table[[#This Row],[Conversion]]=SelectedConversion)</f>
        <v>1</v>
      </c>
      <c r="H790" s="14" t="b">
        <f>OR(Transport_Table[[#This Row],[Data Set]]="All",Transport_Table[[#This Row],[Data Set]]=SelectedDataSet)</f>
        <v>0</v>
      </c>
      <c r="I790" s="14" t="b">
        <f>OR(Transport_Table[[#This Row],[Technology]]="All",Transport_Table[[#This Row],[Technology]]=SelectedTechnology)</f>
        <v>0</v>
      </c>
      <c r="J790" s="14" t="b">
        <f>OR(Transport_Table[[#This Row],[Data Source]]="All",Transport_Table[[#This Row],[Data Source]]=SelectedDataSource)</f>
        <v>0</v>
      </c>
      <c r="L790" s="14" t="b">
        <f>AND(Transport_Table[[#This Row],[Show Feedstock]:[Show Data Source]],NOT(Transport_Table[[#This Row],[Hide Column]]))</f>
        <v>0</v>
      </c>
      <c r="M790" s="14" t="s">
        <v>14</v>
      </c>
      <c r="N790" s="14" t="s">
        <v>1161</v>
      </c>
      <c r="O790" s="14" t="s">
        <v>1243</v>
      </c>
      <c r="P790" s="178" t="s">
        <v>1700</v>
      </c>
      <c r="Q790" s="241" t="s">
        <v>1938</v>
      </c>
      <c r="R790" s="147">
        <v>0.08</v>
      </c>
      <c r="S790" s="398">
        <v>520</v>
      </c>
      <c r="T790" s="107"/>
    </row>
    <row r="791" spans="1:20" x14ac:dyDescent="0.3">
      <c r="A791" s="190" t="s">
        <v>126</v>
      </c>
      <c r="B791" s="178" t="s">
        <v>30</v>
      </c>
      <c r="C791" s="194" t="s">
        <v>194</v>
      </c>
      <c r="D791" s="194" t="s">
        <v>1349</v>
      </c>
      <c r="E791" s="178" t="s">
        <v>1367</v>
      </c>
      <c r="F791" s="14" t="b">
        <f>OR(Transport_Table[[#This Row],[Feedstock]]="All",Transport_Table[[#This Row],[Feedstock]]=SelectedFeedstock)</f>
        <v>0</v>
      </c>
      <c r="G791" s="14" t="b">
        <f>OR(Transport_Table[[#This Row],[Conversion]]="All",Transport_Table[[#This Row],[Conversion]]=SelectedConversion)</f>
        <v>1</v>
      </c>
      <c r="H791" s="14" t="b">
        <f>OR(Transport_Table[[#This Row],[Data Set]]="All",Transport_Table[[#This Row],[Data Set]]=SelectedDataSet)</f>
        <v>0</v>
      </c>
      <c r="I791" s="14" t="b">
        <f>OR(Transport_Table[[#This Row],[Technology]]="All",Transport_Table[[#This Row],[Technology]]=SelectedTechnology)</f>
        <v>0</v>
      </c>
      <c r="J791" s="14" t="b">
        <f>OR(Transport_Table[[#This Row],[Data Source]]="All",Transport_Table[[#This Row],[Data Source]]=SelectedDataSource)</f>
        <v>0</v>
      </c>
      <c r="L791" s="14" t="b">
        <f>AND(Transport_Table[[#This Row],[Show Feedstock]:[Show Data Source]],NOT(Transport_Table[[#This Row],[Hide Column]]))</f>
        <v>0</v>
      </c>
      <c r="M791" s="14" t="s">
        <v>14</v>
      </c>
      <c r="N791" s="14" t="s">
        <v>1162</v>
      </c>
      <c r="O791" s="14" t="s">
        <v>1244</v>
      </c>
      <c r="P791" s="178" t="s">
        <v>1700</v>
      </c>
      <c r="Q791" s="241" t="s">
        <v>1942</v>
      </c>
      <c r="R791" s="147">
        <v>0</v>
      </c>
      <c r="S791" s="394">
        <v>0</v>
      </c>
      <c r="T791" s="107"/>
    </row>
    <row r="792" spans="1:20" x14ac:dyDescent="0.3">
      <c r="A792" s="190" t="s">
        <v>126</v>
      </c>
      <c r="B792" s="178" t="s">
        <v>30</v>
      </c>
      <c r="C792" s="194" t="s">
        <v>194</v>
      </c>
      <c r="D792" s="194" t="s">
        <v>1349</v>
      </c>
      <c r="E792" s="178" t="s">
        <v>1367</v>
      </c>
      <c r="F792" s="14" t="b">
        <f>OR(Transport_Table[[#This Row],[Feedstock]]="All",Transport_Table[[#This Row],[Feedstock]]=SelectedFeedstock)</f>
        <v>0</v>
      </c>
      <c r="G792" s="14" t="b">
        <f>OR(Transport_Table[[#This Row],[Conversion]]="All",Transport_Table[[#This Row],[Conversion]]=SelectedConversion)</f>
        <v>1</v>
      </c>
      <c r="H792" s="14" t="b">
        <f>OR(Transport_Table[[#This Row],[Data Set]]="All",Transport_Table[[#This Row],[Data Set]]=SelectedDataSet)</f>
        <v>0</v>
      </c>
      <c r="I792" s="14" t="b">
        <f>OR(Transport_Table[[#This Row],[Technology]]="All",Transport_Table[[#This Row],[Technology]]=SelectedTechnology)</f>
        <v>0</v>
      </c>
      <c r="J792" s="14" t="b">
        <f>OR(Transport_Table[[#This Row],[Data Source]]="All",Transport_Table[[#This Row],[Data Source]]=SelectedDataSource)</f>
        <v>0</v>
      </c>
      <c r="L792" s="14" t="b">
        <f>AND(Transport_Table[[#This Row],[Show Feedstock]:[Show Data Source]],NOT(Transport_Table[[#This Row],[Hide Column]]))</f>
        <v>0</v>
      </c>
      <c r="M792" s="14" t="s">
        <v>14</v>
      </c>
      <c r="N792" s="14" t="s">
        <v>1163</v>
      </c>
      <c r="O792" s="14" t="s">
        <v>1245</v>
      </c>
      <c r="P792" s="178" t="s">
        <v>1700</v>
      </c>
      <c r="Q792" s="241" t="s">
        <v>1939</v>
      </c>
      <c r="R792" s="147">
        <v>0.28999999999999998</v>
      </c>
      <c r="S792" s="398">
        <v>800</v>
      </c>
      <c r="T792" s="107"/>
    </row>
    <row r="793" spans="1:20" x14ac:dyDescent="0.3">
      <c r="A793" s="190" t="s">
        <v>126</v>
      </c>
      <c r="B793" s="178" t="s">
        <v>30</v>
      </c>
      <c r="C793" s="194" t="s">
        <v>194</v>
      </c>
      <c r="D793" s="194" t="s">
        <v>1349</v>
      </c>
      <c r="E793" s="178" t="s">
        <v>1367</v>
      </c>
      <c r="F793" s="14" t="b">
        <f>OR(Transport_Table[[#This Row],[Feedstock]]="All",Transport_Table[[#This Row],[Feedstock]]=SelectedFeedstock)</f>
        <v>0</v>
      </c>
      <c r="G793" s="14" t="b">
        <f>OR(Transport_Table[[#This Row],[Conversion]]="All",Transport_Table[[#This Row],[Conversion]]=SelectedConversion)</f>
        <v>1</v>
      </c>
      <c r="H793" s="14" t="b">
        <f>OR(Transport_Table[[#This Row],[Data Set]]="All",Transport_Table[[#This Row],[Data Set]]=SelectedDataSet)</f>
        <v>0</v>
      </c>
      <c r="I793" s="14" t="b">
        <f>OR(Transport_Table[[#This Row],[Technology]]="All",Transport_Table[[#This Row],[Technology]]=SelectedTechnology)</f>
        <v>0</v>
      </c>
      <c r="J793" s="14" t="b">
        <f>OR(Transport_Table[[#This Row],[Data Source]]="All",Transport_Table[[#This Row],[Data Source]]=SelectedDataSource)</f>
        <v>0</v>
      </c>
      <c r="L793" s="14" t="b">
        <f>AND(Transport_Table[[#This Row],[Show Feedstock]:[Show Data Source]],NOT(Transport_Table[[#This Row],[Hide Column]]))</f>
        <v>0</v>
      </c>
      <c r="M793" s="14" t="s">
        <v>14</v>
      </c>
      <c r="N793" s="14" t="s">
        <v>1164</v>
      </c>
      <c r="O793" s="14" t="s">
        <v>1246</v>
      </c>
      <c r="P793" s="178" t="s">
        <v>1700</v>
      </c>
      <c r="Q793" s="241" t="s">
        <v>1940</v>
      </c>
      <c r="R793" s="147">
        <v>0.63</v>
      </c>
      <c r="S793" s="398">
        <v>50</v>
      </c>
      <c r="T793" s="107"/>
    </row>
    <row r="794" spans="1:20" x14ac:dyDescent="0.3">
      <c r="A794" s="192" t="s">
        <v>126</v>
      </c>
      <c r="B794" s="193" t="s">
        <v>30</v>
      </c>
      <c r="C794" s="183" t="s">
        <v>194</v>
      </c>
      <c r="D794" s="183" t="s">
        <v>1349</v>
      </c>
      <c r="E794" s="178" t="s">
        <v>1367</v>
      </c>
      <c r="F794" s="14" t="b">
        <f>OR(Transport_Table[[#This Row],[Feedstock]]="All",Transport_Table[[#This Row],[Feedstock]]=SelectedFeedstock)</f>
        <v>0</v>
      </c>
      <c r="G794" s="14" t="b">
        <f>OR(Transport_Table[[#This Row],[Conversion]]="All",Transport_Table[[#This Row],[Conversion]]=SelectedConversion)</f>
        <v>1</v>
      </c>
      <c r="H794" s="14" t="b">
        <f>OR(Transport_Table[[#This Row],[Data Set]]="All",Transport_Table[[#This Row],[Data Set]]=SelectedDataSet)</f>
        <v>0</v>
      </c>
      <c r="I794" s="14" t="b">
        <f>OR(Transport_Table[[#This Row],[Technology]]="All",Transport_Table[[#This Row],[Technology]]=SelectedTechnology)</f>
        <v>0</v>
      </c>
      <c r="J794" s="14" t="b">
        <f>OR(Transport_Table[[#This Row],[Data Source]]="All",Transport_Table[[#This Row],[Data Source]]=SelectedDataSource)</f>
        <v>0</v>
      </c>
      <c r="L794" s="14" t="b">
        <f>AND(Transport_Table[[#This Row],[Show Feedstock]:[Show Data Source]],NOT(Transport_Table[[#This Row],[Hide Column]]))</f>
        <v>0</v>
      </c>
      <c r="M794" s="14" t="s">
        <v>14</v>
      </c>
      <c r="N794" s="14" t="s">
        <v>1165</v>
      </c>
      <c r="O794" s="14" t="s">
        <v>1247</v>
      </c>
      <c r="P794" s="178" t="s">
        <v>1701</v>
      </c>
      <c r="Q794" s="400" t="s">
        <v>1940</v>
      </c>
      <c r="R794" s="148">
        <v>1</v>
      </c>
      <c r="S794" s="399">
        <v>30</v>
      </c>
      <c r="T794" s="107"/>
    </row>
    <row r="795" spans="1:20" x14ac:dyDescent="0.3">
      <c r="A795" s="190" t="s">
        <v>126</v>
      </c>
      <c r="B795" s="178" t="s">
        <v>30</v>
      </c>
      <c r="C795" s="194" t="s">
        <v>194</v>
      </c>
      <c r="D795" s="194" t="s">
        <v>1349</v>
      </c>
      <c r="E795" s="178" t="s">
        <v>1368</v>
      </c>
      <c r="F795" s="14" t="b">
        <f>OR(Transport_Table[[#This Row],[Feedstock]]="All",Transport_Table[[#This Row],[Feedstock]]=SelectedFeedstock)</f>
        <v>0</v>
      </c>
      <c r="G795" s="14" t="b">
        <f>OR(Transport_Table[[#This Row],[Conversion]]="All",Transport_Table[[#This Row],[Conversion]]=SelectedConversion)</f>
        <v>1</v>
      </c>
      <c r="H795" s="14" t="b">
        <f>OR(Transport_Table[[#This Row],[Data Set]]="All",Transport_Table[[#This Row],[Data Set]]=SelectedDataSet)</f>
        <v>0</v>
      </c>
      <c r="I795" s="14" t="b">
        <f>OR(Transport_Table[[#This Row],[Technology]]="All",Transport_Table[[#This Row],[Technology]]=SelectedTechnology)</f>
        <v>0</v>
      </c>
      <c r="J795" s="14" t="b">
        <f>OR(Transport_Table[[#This Row],[Data Source]]="All",Transport_Table[[#This Row],[Data Source]]=SelectedDataSource)</f>
        <v>0</v>
      </c>
      <c r="K795" s="14" t="b">
        <v>1</v>
      </c>
      <c r="L795" s="14" t="b">
        <f>AND(Transport_Table[[#This Row],[Show Feedstock]:[Show Data Source]],NOT(Transport_Table[[#This Row],[Hide Column]]))</f>
        <v>0</v>
      </c>
      <c r="M795" s="14" t="s">
        <v>14</v>
      </c>
      <c r="N795" s="14" t="s">
        <v>1178</v>
      </c>
      <c r="O795" s="14" t="s">
        <v>1260</v>
      </c>
      <c r="P795" s="178" t="s">
        <v>126</v>
      </c>
      <c r="Q795" s="241" t="s">
        <v>1938</v>
      </c>
      <c r="R795" s="147">
        <v>0</v>
      </c>
      <c r="S795" s="394">
        <v>0</v>
      </c>
      <c r="T795" s="107"/>
    </row>
    <row r="796" spans="1:20" x14ac:dyDescent="0.3">
      <c r="A796" s="190" t="s">
        <v>126</v>
      </c>
      <c r="B796" s="178" t="s">
        <v>30</v>
      </c>
      <c r="C796" s="194" t="s">
        <v>194</v>
      </c>
      <c r="D796" s="194" t="s">
        <v>1349</v>
      </c>
      <c r="E796" s="178" t="s">
        <v>1368</v>
      </c>
      <c r="F796" s="14" t="b">
        <f>OR(Transport_Table[[#This Row],[Feedstock]]="All",Transport_Table[[#This Row],[Feedstock]]=SelectedFeedstock)</f>
        <v>0</v>
      </c>
      <c r="G796" s="14" t="b">
        <f>OR(Transport_Table[[#This Row],[Conversion]]="All",Transport_Table[[#This Row],[Conversion]]=SelectedConversion)</f>
        <v>1</v>
      </c>
      <c r="H796" s="14" t="b">
        <f>OR(Transport_Table[[#This Row],[Data Set]]="All",Transport_Table[[#This Row],[Data Set]]=SelectedDataSet)</f>
        <v>0</v>
      </c>
      <c r="I796" s="14" t="b">
        <f>OR(Transport_Table[[#This Row],[Technology]]="All",Transport_Table[[#This Row],[Technology]]=SelectedTechnology)</f>
        <v>0</v>
      </c>
      <c r="J796" s="14" t="b">
        <f>OR(Transport_Table[[#This Row],[Data Source]]="All",Transport_Table[[#This Row],[Data Source]]=SelectedDataSource)</f>
        <v>0</v>
      </c>
      <c r="K796" s="14" t="b">
        <v>1</v>
      </c>
      <c r="L796" s="14" t="b">
        <f>AND(Transport_Table[[#This Row],[Show Feedstock]:[Show Data Source]],NOT(Transport_Table[[#This Row],[Hide Column]]))</f>
        <v>0</v>
      </c>
      <c r="M796" s="14" t="s">
        <v>14</v>
      </c>
      <c r="N796" s="14" t="s">
        <v>1179</v>
      </c>
      <c r="O796" s="14" t="s">
        <v>1261</v>
      </c>
      <c r="P796" s="178" t="s">
        <v>126</v>
      </c>
      <c r="Q796" s="241" t="s">
        <v>1939</v>
      </c>
      <c r="R796" s="147">
        <v>0</v>
      </c>
      <c r="S796" s="394">
        <v>0</v>
      </c>
      <c r="T796" s="107"/>
    </row>
    <row r="797" spans="1:20" x14ac:dyDescent="0.3">
      <c r="A797" s="190" t="s">
        <v>126</v>
      </c>
      <c r="B797" s="178" t="s">
        <v>30</v>
      </c>
      <c r="C797" s="194" t="s">
        <v>194</v>
      </c>
      <c r="D797" s="194" t="s">
        <v>1349</v>
      </c>
      <c r="E797" s="178" t="s">
        <v>1368</v>
      </c>
      <c r="F797" s="14" t="b">
        <f>OR(Transport_Table[[#This Row],[Feedstock]]="All",Transport_Table[[#This Row],[Feedstock]]=SelectedFeedstock)</f>
        <v>0</v>
      </c>
      <c r="G797" s="14" t="b">
        <f>OR(Transport_Table[[#This Row],[Conversion]]="All",Transport_Table[[#This Row],[Conversion]]=SelectedConversion)</f>
        <v>1</v>
      </c>
      <c r="H797" s="14" t="b">
        <f>OR(Transport_Table[[#This Row],[Data Set]]="All",Transport_Table[[#This Row],[Data Set]]=SelectedDataSet)</f>
        <v>0</v>
      </c>
      <c r="I797" s="14" t="b">
        <f>OR(Transport_Table[[#This Row],[Technology]]="All",Transport_Table[[#This Row],[Technology]]=SelectedTechnology)</f>
        <v>0</v>
      </c>
      <c r="J797" s="14" t="b">
        <f>OR(Transport_Table[[#This Row],[Data Source]]="All",Transport_Table[[#This Row],[Data Source]]=SelectedDataSource)</f>
        <v>0</v>
      </c>
      <c r="K797" s="14" t="b">
        <v>1</v>
      </c>
      <c r="L797" s="14" t="b">
        <f>AND(Transport_Table[[#This Row],[Show Feedstock]:[Show Data Source]],NOT(Transport_Table[[#This Row],[Hide Column]]))</f>
        <v>0</v>
      </c>
      <c r="M797" s="14" t="s">
        <v>14</v>
      </c>
      <c r="N797" s="14" t="s">
        <v>1180</v>
      </c>
      <c r="O797" s="14" t="s">
        <v>1262</v>
      </c>
      <c r="P797" s="178" t="s">
        <v>126</v>
      </c>
      <c r="Q797" s="241" t="s">
        <v>1940</v>
      </c>
      <c r="R797" s="147">
        <v>1</v>
      </c>
      <c r="S797" s="398">
        <v>40</v>
      </c>
      <c r="T797" s="107"/>
    </row>
    <row r="798" spans="1:20" x14ac:dyDescent="0.3">
      <c r="A798" s="190" t="s">
        <v>126</v>
      </c>
      <c r="B798" s="178" t="s">
        <v>30</v>
      </c>
      <c r="C798" s="194" t="s">
        <v>194</v>
      </c>
      <c r="D798" s="194" t="s">
        <v>1349</v>
      </c>
      <c r="E798" s="178" t="s">
        <v>1368</v>
      </c>
      <c r="F798" s="14" t="b">
        <f>OR(Transport_Table[[#This Row],[Feedstock]]="All",Transport_Table[[#This Row],[Feedstock]]=SelectedFeedstock)</f>
        <v>0</v>
      </c>
      <c r="G798" s="14" t="b">
        <f>OR(Transport_Table[[#This Row],[Conversion]]="All",Transport_Table[[#This Row],[Conversion]]=SelectedConversion)</f>
        <v>1</v>
      </c>
      <c r="H798" s="14" t="b">
        <f>OR(Transport_Table[[#This Row],[Data Set]]="All",Transport_Table[[#This Row],[Data Set]]=SelectedDataSet)</f>
        <v>0</v>
      </c>
      <c r="I798" s="14" t="b">
        <f>OR(Transport_Table[[#This Row],[Technology]]="All",Transport_Table[[#This Row],[Technology]]=SelectedTechnology)</f>
        <v>0</v>
      </c>
      <c r="J798" s="14" t="b">
        <f>OR(Transport_Table[[#This Row],[Data Source]]="All",Transport_Table[[#This Row],[Data Source]]=SelectedDataSource)</f>
        <v>0</v>
      </c>
      <c r="K798" s="14" t="b">
        <v>1</v>
      </c>
      <c r="L798" s="14" t="b">
        <f>AND(Transport_Table[[#This Row],[Show Feedstock]:[Show Data Source]],NOT(Transport_Table[[#This Row],[Hide Column]]))</f>
        <v>0</v>
      </c>
      <c r="M798" s="14" t="s">
        <v>14</v>
      </c>
      <c r="N798" s="14" t="s">
        <v>1181</v>
      </c>
      <c r="O798" s="14" t="s">
        <v>1263</v>
      </c>
      <c r="P798" s="178" t="s">
        <v>126</v>
      </c>
      <c r="Q798" s="241" t="s">
        <v>1941</v>
      </c>
      <c r="R798" s="147">
        <v>1</v>
      </c>
      <c r="S798" s="398">
        <v>10</v>
      </c>
      <c r="T798" s="107"/>
    </row>
    <row r="799" spans="1:20" x14ac:dyDescent="0.3">
      <c r="A799" s="190" t="s">
        <v>126</v>
      </c>
      <c r="B799" s="178" t="s">
        <v>30</v>
      </c>
      <c r="C799" s="194" t="s">
        <v>194</v>
      </c>
      <c r="D799" s="194" t="s">
        <v>1349</v>
      </c>
      <c r="E799" s="178" t="s">
        <v>1368</v>
      </c>
      <c r="F799" s="14" t="b">
        <f>OR(Transport_Table[[#This Row],[Feedstock]]="All",Transport_Table[[#This Row],[Feedstock]]=SelectedFeedstock)</f>
        <v>0</v>
      </c>
      <c r="G799" s="14" t="b">
        <f>OR(Transport_Table[[#This Row],[Conversion]]="All",Transport_Table[[#This Row],[Conversion]]=SelectedConversion)</f>
        <v>1</v>
      </c>
      <c r="H799" s="14" t="b">
        <f>OR(Transport_Table[[#This Row],[Data Set]]="All",Transport_Table[[#This Row],[Data Set]]=SelectedDataSet)</f>
        <v>0</v>
      </c>
      <c r="I799" s="14" t="b">
        <f>OR(Transport_Table[[#This Row],[Technology]]="All",Transport_Table[[#This Row],[Technology]]=SelectedTechnology)</f>
        <v>0</v>
      </c>
      <c r="J799" s="14" t="b">
        <f>OR(Transport_Table[[#This Row],[Data Source]]="All",Transport_Table[[#This Row],[Data Source]]=SelectedDataSource)</f>
        <v>0</v>
      </c>
      <c r="K799" s="14" t="b">
        <v>1</v>
      </c>
      <c r="L799" s="14" t="b">
        <f>AND(Transport_Table[[#This Row],[Show Feedstock]:[Show Data Source]],NOT(Transport_Table[[#This Row],[Hide Column]]))</f>
        <v>0</v>
      </c>
      <c r="M799" s="14" t="s">
        <v>14</v>
      </c>
      <c r="N799" s="14" t="s">
        <v>1182</v>
      </c>
      <c r="O799" s="14" t="s">
        <v>1264</v>
      </c>
      <c r="P799" s="178" t="s">
        <v>362</v>
      </c>
      <c r="Q799" s="241" t="s">
        <v>1938</v>
      </c>
      <c r="R799" s="147">
        <v>0.4</v>
      </c>
      <c r="S799" s="398">
        <v>520</v>
      </c>
      <c r="T799" s="107"/>
    </row>
    <row r="800" spans="1:20" x14ac:dyDescent="0.3">
      <c r="A800" s="190" t="s">
        <v>126</v>
      </c>
      <c r="B800" s="178" t="s">
        <v>30</v>
      </c>
      <c r="C800" s="194" t="s">
        <v>194</v>
      </c>
      <c r="D800" s="194" t="s">
        <v>1349</v>
      </c>
      <c r="E800" s="178" t="s">
        <v>1368</v>
      </c>
      <c r="F800" s="14" t="b">
        <f>OR(Transport_Table[[#This Row],[Feedstock]]="All",Transport_Table[[#This Row],[Feedstock]]=SelectedFeedstock)</f>
        <v>0</v>
      </c>
      <c r="G800" s="14" t="b">
        <f>OR(Transport_Table[[#This Row],[Conversion]]="All",Transport_Table[[#This Row],[Conversion]]=SelectedConversion)</f>
        <v>1</v>
      </c>
      <c r="H800" s="14" t="b">
        <f>OR(Transport_Table[[#This Row],[Data Set]]="All",Transport_Table[[#This Row],[Data Set]]=SelectedDataSet)</f>
        <v>0</v>
      </c>
      <c r="I800" s="14" t="b">
        <f>OR(Transport_Table[[#This Row],[Technology]]="All",Transport_Table[[#This Row],[Technology]]=SelectedTechnology)</f>
        <v>0</v>
      </c>
      <c r="J800" s="14" t="b">
        <f>OR(Transport_Table[[#This Row],[Data Source]]="All",Transport_Table[[#This Row],[Data Source]]=SelectedDataSource)</f>
        <v>0</v>
      </c>
      <c r="K800" s="14" t="b">
        <v>1</v>
      </c>
      <c r="L800" s="14" t="b">
        <f>AND(Transport_Table[[#This Row],[Show Feedstock]:[Show Data Source]],NOT(Transport_Table[[#This Row],[Hide Column]]))</f>
        <v>0</v>
      </c>
      <c r="M800" s="14" t="s">
        <v>14</v>
      </c>
      <c r="N800" s="14" t="s">
        <v>1183</v>
      </c>
      <c r="O800" s="14" t="s">
        <v>1265</v>
      </c>
      <c r="P800" s="178" t="s">
        <v>362</v>
      </c>
      <c r="Q800" s="241" t="s">
        <v>1942</v>
      </c>
      <c r="R800" s="147">
        <v>0</v>
      </c>
      <c r="S800" s="394">
        <v>0</v>
      </c>
      <c r="T800" s="107"/>
    </row>
    <row r="801" spans="1:20" x14ac:dyDescent="0.3">
      <c r="A801" s="190" t="s">
        <v>126</v>
      </c>
      <c r="B801" s="178" t="s">
        <v>30</v>
      </c>
      <c r="C801" s="194" t="s">
        <v>194</v>
      </c>
      <c r="D801" s="194" t="s">
        <v>1349</v>
      </c>
      <c r="E801" s="178" t="s">
        <v>1368</v>
      </c>
      <c r="F801" s="14" t="b">
        <f>OR(Transport_Table[[#This Row],[Feedstock]]="All",Transport_Table[[#This Row],[Feedstock]]=SelectedFeedstock)</f>
        <v>0</v>
      </c>
      <c r="G801" s="14" t="b">
        <f>OR(Transport_Table[[#This Row],[Conversion]]="All",Transport_Table[[#This Row],[Conversion]]=SelectedConversion)</f>
        <v>1</v>
      </c>
      <c r="H801" s="14" t="b">
        <f>OR(Transport_Table[[#This Row],[Data Set]]="All",Transport_Table[[#This Row],[Data Set]]=SelectedDataSet)</f>
        <v>0</v>
      </c>
      <c r="I801" s="14" t="b">
        <f>OR(Transport_Table[[#This Row],[Technology]]="All",Transport_Table[[#This Row],[Technology]]=SelectedTechnology)</f>
        <v>0</v>
      </c>
      <c r="J801" s="14" t="b">
        <f>OR(Transport_Table[[#This Row],[Data Source]]="All",Transport_Table[[#This Row],[Data Source]]=SelectedDataSource)</f>
        <v>0</v>
      </c>
      <c r="K801" s="14" t="b">
        <v>1</v>
      </c>
      <c r="L801" s="14" t="b">
        <f>AND(Transport_Table[[#This Row],[Show Feedstock]:[Show Data Source]],NOT(Transport_Table[[#This Row],[Hide Column]]))</f>
        <v>0</v>
      </c>
      <c r="M801" s="14" t="s">
        <v>14</v>
      </c>
      <c r="N801" s="14" t="s">
        <v>1184</v>
      </c>
      <c r="O801" s="14" t="s">
        <v>1266</v>
      </c>
      <c r="P801" s="178" t="s">
        <v>362</v>
      </c>
      <c r="Q801" s="241" t="s">
        <v>1939</v>
      </c>
      <c r="R801" s="147">
        <v>0.2</v>
      </c>
      <c r="S801" s="398">
        <v>700</v>
      </c>
      <c r="T801" s="107"/>
    </row>
    <row r="802" spans="1:20" x14ac:dyDescent="0.3">
      <c r="A802" s="190" t="s">
        <v>126</v>
      </c>
      <c r="B802" s="178" t="s">
        <v>30</v>
      </c>
      <c r="C802" s="194" t="s">
        <v>194</v>
      </c>
      <c r="D802" s="194" t="s">
        <v>1349</v>
      </c>
      <c r="E802" s="178" t="s">
        <v>1368</v>
      </c>
      <c r="F802" s="14" t="b">
        <f>OR(Transport_Table[[#This Row],[Feedstock]]="All",Transport_Table[[#This Row],[Feedstock]]=SelectedFeedstock)</f>
        <v>0</v>
      </c>
      <c r="G802" s="14" t="b">
        <f>OR(Transport_Table[[#This Row],[Conversion]]="All",Transport_Table[[#This Row],[Conversion]]=SelectedConversion)</f>
        <v>1</v>
      </c>
      <c r="H802" s="14" t="b">
        <f>OR(Transport_Table[[#This Row],[Data Set]]="All",Transport_Table[[#This Row],[Data Set]]=SelectedDataSet)</f>
        <v>0</v>
      </c>
      <c r="I802" s="14" t="b">
        <f>OR(Transport_Table[[#This Row],[Technology]]="All",Transport_Table[[#This Row],[Technology]]=SelectedTechnology)</f>
        <v>0</v>
      </c>
      <c r="J802" s="14" t="b">
        <f>OR(Transport_Table[[#This Row],[Data Source]]="All",Transport_Table[[#This Row],[Data Source]]=SelectedDataSource)</f>
        <v>0</v>
      </c>
      <c r="K802" s="14" t="b">
        <v>1</v>
      </c>
      <c r="L802" s="14" t="b">
        <f>AND(Transport_Table[[#This Row],[Show Feedstock]:[Show Data Source]],NOT(Transport_Table[[#This Row],[Hide Column]]))</f>
        <v>0</v>
      </c>
      <c r="M802" s="14" t="s">
        <v>14</v>
      </c>
      <c r="N802" s="14" t="s">
        <v>1185</v>
      </c>
      <c r="O802" s="14" t="s">
        <v>1267</v>
      </c>
      <c r="P802" s="178" t="s">
        <v>362</v>
      </c>
      <c r="Q802" s="241" t="s">
        <v>1940</v>
      </c>
      <c r="R802" s="147">
        <v>0.4</v>
      </c>
      <c r="S802" s="398">
        <v>80</v>
      </c>
      <c r="T802" s="107"/>
    </row>
    <row r="803" spans="1:20" x14ac:dyDescent="0.3">
      <c r="A803" s="190" t="s">
        <v>126</v>
      </c>
      <c r="B803" s="178" t="s">
        <v>30</v>
      </c>
      <c r="C803" s="194" t="s">
        <v>194</v>
      </c>
      <c r="D803" s="194" t="s">
        <v>1349</v>
      </c>
      <c r="E803" s="178" t="s">
        <v>1368</v>
      </c>
      <c r="F803" s="14" t="b">
        <f>OR(Transport_Table[[#This Row],[Feedstock]]="All",Transport_Table[[#This Row],[Feedstock]]=SelectedFeedstock)</f>
        <v>0</v>
      </c>
      <c r="G803" s="14" t="b">
        <f>OR(Transport_Table[[#This Row],[Conversion]]="All",Transport_Table[[#This Row],[Conversion]]=SelectedConversion)</f>
        <v>1</v>
      </c>
      <c r="H803" s="14" t="b">
        <f>OR(Transport_Table[[#This Row],[Data Set]]="All",Transport_Table[[#This Row],[Data Set]]=SelectedDataSet)</f>
        <v>0</v>
      </c>
      <c r="I803" s="14" t="b">
        <f>OR(Transport_Table[[#This Row],[Technology]]="All",Transport_Table[[#This Row],[Technology]]=SelectedTechnology)</f>
        <v>0</v>
      </c>
      <c r="J803" s="14" t="b">
        <f>OR(Transport_Table[[#This Row],[Data Source]]="All",Transport_Table[[#This Row],[Data Source]]=SelectedDataSource)</f>
        <v>0</v>
      </c>
      <c r="L803" s="14" t="b">
        <f>AND(Transport_Table[[#This Row],[Show Feedstock]:[Show Data Source]],NOT(Transport_Table[[#This Row],[Hide Column]]))</f>
        <v>0</v>
      </c>
      <c r="M803" s="14" t="s">
        <v>14</v>
      </c>
      <c r="N803" s="14" t="s">
        <v>1161</v>
      </c>
      <c r="O803" s="14" t="s">
        <v>1243</v>
      </c>
      <c r="P803" s="178" t="s">
        <v>1700</v>
      </c>
      <c r="Q803" s="241" t="s">
        <v>1938</v>
      </c>
      <c r="R803" s="147">
        <v>0.08</v>
      </c>
      <c r="S803" s="398">
        <v>520</v>
      </c>
      <c r="T803" s="107"/>
    </row>
    <row r="804" spans="1:20" x14ac:dyDescent="0.3">
      <c r="A804" s="190" t="s">
        <v>126</v>
      </c>
      <c r="B804" s="178" t="s">
        <v>30</v>
      </c>
      <c r="C804" s="194" t="s">
        <v>194</v>
      </c>
      <c r="D804" s="194" t="s">
        <v>1349</v>
      </c>
      <c r="E804" s="178" t="s">
        <v>1368</v>
      </c>
      <c r="F804" s="14" t="b">
        <f>OR(Transport_Table[[#This Row],[Feedstock]]="All",Transport_Table[[#This Row],[Feedstock]]=SelectedFeedstock)</f>
        <v>0</v>
      </c>
      <c r="G804" s="14" t="b">
        <f>OR(Transport_Table[[#This Row],[Conversion]]="All",Transport_Table[[#This Row],[Conversion]]=SelectedConversion)</f>
        <v>1</v>
      </c>
      <c r="H804" s="14" t="b">
        <f>OR(Transport_Table[[#This Row],[Data Set]]="All",Transport_Table[[#This Row],[Data Set]]=SelectedDataSet)</f>
        <v>0</v>
      </c>
      <c r="I804" s="14" t="b">
        <f>OR(Transport_Table[[#This Row],[Technology]]="All",Transport_Table[[#This Row],[Technology]]=SelectedTechnology)</f>
        <v>0</v>
      </c>
      <c r="J804" s="14" t="b">
        <f>OR(Transport_Table[[#This Row],[Data Source]]="All",Transport_Table[[#This Row],[Data Source]]=SelectedDataSource)</f>
        <v>0</v>
      </c>
      <c r="L804" s="14" t="b">
        <f>AND(Transport_Table[[#This Row],[Show Feedstock]:[Show Data Source]],NOT(Transport_Table[[#This Row],[Hide Column]]))</f>
        <v>0</v>
      </c>
      <c r="M804" s="14" t="s">
        <v>14</v>
      </c>
      <c r="N804" s="14" t="s">
        <v>1162</v>
      </c>
      <c r="O804" s="14" t="s">
        <v>1244</v>
      </c>
      <c r="P804" s="178" t="s">
        <v>1700</v>
      </c>
      <c r="Q804" s="241" t="s">
        <v>1942</v>
      </c>
      <c r="R804" s="147">
        <v>0</v>
      </c>
      <c r="S804" s="394">
        <v>0</v>
      </c>
      <c r="T804" s="107"/>
    </row>
    <row r="805" spans="1:20" x14ac:dyDescent="0.3">
      <c r="A805" s="190" t="s">
        <v>126</v>
      </c>
      <c r="B805" s="178" t="s">
        <v>30</v>
      </c>
      <c r="C805" s="194" t="s">
        <v>194</v>
      </c>
      <c r="D805" s="194" t="s">
        <v>1349</v>
      </c>
      <c r="E805" s="178" t="s">
        <v>1368</v>
      </c>
      <c r="F805" s="14" t="b">
        <f>OR(Transport_Table[[#This Row],[Feedstock]]="All",Transport_Table[[#This Row],[Feedstock]]=SelectedFeedstock)</f>
        <v>0</v>
      </c>
      <c r="G805" s="14" t="b">
        <f>OR(Transport_Table[[#This Row],[Conversion]]="All",Transport_Table[[#This Row],[Conversion]]=SelectedConversion)</f>
        <v>1</v>
      </c>
      <c r="H805" s="14" t="b">
        <f>OR(Transport_Table[[#This Row],[Data Set]]="All",Transport_Table[[#This Row],[Data Set]]=SelectedDataSet)</f>
        <v>0</v>
      </c>
      <c r="I805" s="14" t="b">
        <f>OR(Transport_Table[[#This Row],[Technology]]="All",Transport_Table[[#This Row],[Technology]]=SelectedTechnology)</f>
        <v>0</v>
      </c>
      <c r="J805" s="14" t="b">
        <f>OR(Transport_Table[[#This Row],[Data Source]]="All",Transport_Table[[#This Row],[Data Source]]=SelectedDataSource)</f>
        <v>0</v>
      </c>
      <c r="L805" s="14" t="b">
        <f>AND(Transport_Table[[#This Row],[Show Feedstock]:[Show Data Source]],NOT(Transport_Table[[#This Row],[Hide Column]]))</f>
        <v>0</v>
      </c>
      <c r="M805" s="14" t="s">
        <v>14</v>
      </c>
      <c r="N805" s="14" t="s">
        <v>1163</v>
      </c>
      <c r="O805" s="14" t="s">
        <v>1245</v>
      </c>
      <c r="P805" s="178" t="s">
        <v>1700</v>
      </c>
      <c r="Q805" s="241" t="s">
        <v>1939</v>
      </c>
      <c r="R805" s="147">
        <v>0.28999999999999998</v>
      </c>
      <c r="S805" s="398">
        <v>800</v>
      </c>
      <c r="T805" s="107"/>
    </row>
    <row r="806" spans="1:20" x14ac:dyDescent="0.3">
      <c r="A806" s="190" t="s">
        <v>126</v>
      </c>
      <c r="B806" s="178" t="s">
        <v>30</v>
      </c>
      <c r="C806" s="194" t="s">
        <v>194</v>
      </c>
      <c r="D806" s="194" t="s">
        <v>1349</v>
      </c>
      <c r="E806" s="178" t="s">
        <v>1368</v>
      </c>
      <c r="F806" s="14" t="b">
        <f>OR(Transport_Table[[#This Row],[Feedstock]]="All",Transport_Table[[#This Row],[Feedstock]]=SelectedFeedstock)</f>
        <v>0</v>
      </c>
      <c r="G806" s="14" t="b">
        <f>OR(Transport_Table[[#This Row],[Conversion]]="All",Transport_Table[[#This Row],[Conversion]]=SelectedConversion)</f>
        <v>1</v>
      </c>
      <c r="H806" s="14" t="b">
        <f>OR(Transport_Table[[#This Row],[Data Set]]="All",Transport_Table[[#This Row],[Data Set]]=SelectedDataSet)</f>
        <v>0</v>
      </c>
      <c r="I806" s="14" t="b">
        <f>OR(Transport_Table[[#This Row],[Technology]]="All",Transport_Table[[#This Row],[Technology]]=SelectedTechnology)</f>
        <v>0</v>
      </c>
      <c r="J806" s="14" t="b">
        <f>OR(Transport_Table[[#This Row],[Data Source]]="All",Transport_Table[[#This Row],[Data Source]]=SelectedDataSource)</f>
        <v>0</v>
      </c>
      <c r="L806" s="14" t="b">
        <f>AND(Transport_Table[[#This Row],[Show Feedstock]:[Show Data Source]],NOT(Transport_Table[[#This Row],[Hide Column]]))</f>
        <v>0</v>
      </c>
      <c r="M806" s="14" t="s">
        <v>14</v>
      </c>
      <c r="N806" s="14" t="s">
        <v>1164</v>
      </c>
      <c r="O806" s="14" t="s">
        <v>1246</v>
      </c>
      <c r="P806" s="178" t="s">
        <v>1700</v>
      </c>
      <c r="Q806" s="241" t="s">
        <v>1940</v>
      </c>
      <c r="R806" s="147">
        <v>0.63</v>
      </c>
      <c r="S806" s="398">
        <v>50</v>
      </c>
      <c r="T806" s="107"/>
    </row>
    <row r="807" spans="1:20" x14ac:dyDescent="0.3">
      <c r="A807" s="192" t="s">
        <v>126</v>
      </c>
      <c r="B807" s="193" t="s">
        <v>30</v>
      </c>
      <c r="C807" s="183" t="s">
        <v>194</v>
      </c>
      <c r="D807" s="183" t="s">
        <v>1349</v>
      </c>
      <c r="E807" s="178" t="s">
        <v>1368</v>
      </c>
      <c r="F807" s="14" t="b">
        <f>OR(Transport_Table[[#This Row],[Feedstock]]="All",Transport_Table[[#This Row],[Feedstock]]=SelectedFeedstock)</f>
        <v>0</v>
      </c>
      <c r="G807" s="14" t="b">
        <f>OR(Transport_Table[[#This Row],[Conversion]]="All",Transport_Table[[#This Row],[Conversion]]=SelectedConversion)</f>
        <v>1</v>
      </c>
      <c r="H807" s="14" t="b">
        <f>OR(Transport_Table[[#This Row],[Data Set]]="All",Transport_Table[[#This Row],[Data Set]]=SelectedDataSet)</f>
        <v>0</v>
      </c>
      <c r="I807" s="14" t="b">
        <f>OR(Transport_Table[[#This Row],[Technology]]="All",Transport_Table[[#This Row],[Technology]]=SelectedTechnology)</f>
        <v>0</v>
      </c>
      <c r="J807" s="14" t="b">
        <f>OR(Transport_Table[[#This Row],[Data Source]]="All",Transport_Table[[#This Row],[Data Source]]=SelectedDataSource)</f>
        <v>0</v>
      </c>
      <c r="L807" s="14" t="b">
        <f>AND(Transport_Table[[#This Row],[Show Feedstock]:[Show Data Source]],NOT(Transport_Table[[#This Row],[Hide Column]]))</f>
        <v>0</v>
      </c>
      <c r="M807" s="14" t="s">
        <v>14</v>
      </c>
      <c r="N807" s="14" t="s">
        <v>1165</v>
      </c>
      <c r="O807" s="14" t="s">
        <v>1247</v>
      </c>
      <c r="P807" s="178" t="s">
        <v>1701</v>
      </c>
      <c r="Q807" s="400" t="s">
        <v>1940</v>
      </c>
      <c r="R807" s="148">
        <v>1</v>
      </c>
      <c r="S807" s="399">
        <v>30</v>
      </c>
      <c r="T807" s="107"/>
    </row>
    <row r="808" spans="1:20" x14ac:dyDescent="0.3">
      <c r="A808" s="190" t="s">
        <v>447</v>
      </c>
      <c r="B808" s="178" t="s">
        <v>883</v>
      </c>
      <c r="C808" s="194" t="s">
        <v>194</v>
      </c>
      <c r="D808" s="194" t="s">
        <v>355</v>
      </c>
      <c r="E808" s="178" t="s">
        <v>31</v>
      </c>
      <c r="F808" s="14" t="b">
        <f>OR(Transport_Table[[#This Row],[Feedstock]]="All",Transport_Table[[#This Row],[Feedstock]]=SelectedFeedstock)</f>
        <v>0</v>
      </c>
      <c r="G808" s="14" t="b">
        <f>OR(Transport_Table[[#This Row],[Conversion]]="All",Transport_Table[[#This Row],[Conversion]]=SelectedConversion)</f>
        <v>0</v>
      </c>
      <c r="H808" s="14" t="b">
        <f>OR(Transport_Table[[#This Row],[Data Set]]="All",Transport_Table[[#This Row],[Data Set]]=SelectedDataSet)</f>
        <v>0</v>
      </c>
      <c r="I808" s="14" t="b">
        <f>OR(Transport_Table[[#This Row],[Technology]]="All",Transport_Table[[#This Row],[Technology]]=SelectedTechnology)</f>
        <v>1</v>
      </c>
      <c r="J808" s="14" t="b">
        <f>OR(Transport_Table[[#This Row],[Data Source]]="All",Transport_Table[[#This Row],[Data Source]]=SelectedDataSource)</f>
        <v>0</v>
      </c>
      <c r="K808" s="14" t="b">
        <v>1</v>
      </c>
      <c r="L808" s="14" t="b">
        <f>AND(Transport_Table[[#This Row],[Show Feedstock]:[Show Data Source]],NOT(Transport_Table[[#This Row],[Hide Column]]))</f>
        <v>0</v>
      </c>
      <c r="M808" s="14" t="s">
        <v>14</v>
      </c>
      <c r="N808" s="14" t="s">
        <v>1234</v>
      </c>
      <c r="O808" s="14" t="s">
        <v>1316</v>
      </c>
      <c r="P808" s="178" t="s">
        <v>447</v>
      </c>
      <c r="Q808" s="241" t="s">
        <v>1940</v>
      </c>
      <c r="R808" s="147">
        <v>1</v>
      </c>
      <c r="S808" s="398">
        <v>11.999966461680001</v>
      </c>
      <c r="T808" s="107"/>
    </row>
    <row r="809" spans="1:20" x14ac:dyDescent="0.3">
      <c r="A809" s="190" t="s">
        <v>447</v>
      </c>
      <c r="B809" s="178" t="s">
        <v>883</v>
      </c>
      <c r="C809" s="194" t="s">
        <v>194</v>
      </c>
      <c r="D809" s="194" t="s">
        <v>355</v>
      </c>
      <c r="E809" s="178" t="s">
        <v>31</v>
      </c>
      <c r="F809" s="14" t="b">
        <f>OR(Transport_Table[[#This Row],[Feedstock]]="All",Transport_Table[[#This Row],[Feedstock]]=SelectedFeedstock)</f>
        <v>0</v>
      </c>
      <c r="G809" s="14" t="b">
        <f>OR(Transport_Table[[#This Row],[Conversion]]="All",Transport_Table[[#This Row],[Conversion]]=SelectedConversion)</f>
        <v>0</v>
      </c>
      <c r="H809" s="14" t="b">
        <f>OR(Transport_Table[[#This Row],[Data Set]]="All",Transport_Table[[#This Row],[Data Set]]=SelectedDataSet)</f>
        <v>0</v>
      </c>
      <c r="I809" s="14" t="b">
        <f>OR(Transport_Table[[#This Row],[Technology]]="All",Transport_Table[[#This Row],[Technology]]=SelectedTechnology)</f>
        <v>1</v>
      </c>
      <c r="J809" s="14" t="b">
        <f>OR(Transport_Table[[#This Row],[Data Source]]="All",Transport_Table[[#This Row],[Data Source]]=SelectedDataSource)</f>
        <v>0</v>
      </c>
      <c r="L809" s="14" t="b">
        <f>AND(Transport_Table[[#This Row],[Show Feedstock]:[Show Data Source]],NOT(Transport_Table[[#This Row],[Hide Column]]))</f>
        <v>0</v>
      </c>
      <c r="M809" s="14" t="s">
        <v>14</v>
      </c>
      <c r="N809" s="14" t="s">
        <v>1161</v>
      </c>
      <c r="O809" s="14" t="s">
        <v>1243</v>
      </c>
      <c r="P809" s="178" t="s">
        <v>1700</v>
      </c>
      <c r="Q809" s="241" t="s">
        <v>1938</v>
      </c>
      <c r="R809" s="147">
        <v>0.08</v>
      </c>
      <c r="S809" s="398">
        <v>519.99854667279999</v>
      </c>
      <c r="T809" s="107"/>
    </row>
    <row r="810" spans="1:20" x14ac:dyDescent="0.3">
      <c r="A810" s="190" t="s">
        <v>447</v>
      </c>
      <c r="B810" s="178" t="s">
        <v>883</v>
      </c>
      <c r="C810" s="194" t="s">
        <v>194</v>
      </c>
      <c r="D810" s="194" t="s">
        <v>355</v>
      </c>
      <c r="E810" s="178" t="s">
        <v>31</v>
      </c>
      <c r="F810" s="14" t="b">
        <f>OR(Transport_Table[[#This Row],[Feedstock]]="All",Transport_Table[[#This Row],[Feedstock]]=SelectedFeedstock)</f>
        <v>0</v>
      </c>
      <c r="G810" s="14" t="b">
        <f>OR(Transport_Table[[#This Row],[Conversion]]="All",Transport_Table[[#This Row],[Conversion]]=SelectedConversion)</f>
        <v>0</v>
      </c>
      <c r="H810" s="14" t="b">
        <f>OR(Transport_Table[[#This Row],[Data Set]]="All",Transport_Table[[#This Row],[Data Set]]=SelectedDataSet)</f>
        <v>0</v>
      </c>
      <c r="I810" s="14" t="b">
        <f>OR(Transport_Table[[#This Row],[Technology]]="All",Transport_Table[[#This Row],[Technology]]=SelectedTechnology)</f>
        <v>1</v>
      </c>
      <c r="J810" s="14" t="b">
        <f>OR(Transport_Table[[#This Row],[Data Source]]="All",Transport_Table[[#This Row],[Data Source]]=SelectedDataSource)</f>
        <v>0</v>
      </c>
      <c r="L810" s="14" t="b">
        <f>AND(Transport_Table[[#This Row],[Show Feedstock]:[Show Data Source]],NOT(Transport_Table[[#This Row],[Hide Column]]))</f>
        <v>0</v>
      </c>
      <c r="M810" s="14" t="s">
        <v>14</v>
      </c>
      <c r="N810" s="14" t="s">
        <v>1162</v>
      </c>
      <c r="O810" s="14" t="s">
        <v>1244</v>
      </c>
      <c r="P810" s="178" t="s">
        <v>1700</v>
      </c>
      <c r="Q810" s="241" t="s">
        <v>1942</v>
      </c>
      <c r="R810" s="147">
        <v>0</v>
      </c>
      <c r="S810" s="394">
        <v>0</v>
      </c>
      <c r="T810" s="107"/>
    </row>
    <row r="811" spans="1:20" x14ac:dyDescent="0.3">
      <c r="A811" s="190" t="s">
        <v>447</v>
      </c>
      <c r="B811" s="178" t="s">
        <v>883</v>
      </c>
      <c r="C811" s="194" t="s">
        <v>194</v>
      </c>
      <c r="D811" s="194" t="s">
        <v>355</v>
      </c>
      <c r="E811" s="178" t="s">
        <v>31</v>
      </c>
      <c r="F811" s="14" t="b">
        <f>OR(Transport_Table[[#This Row],[Feedstock]]="All",Transport_Table[[#This Row],[Feedstock]]=SelectedFeedstock)</f>
        <v>0</v>
      </c>
      <c r="G811" s="14" t="b">
        <f>OR(Transport_Table[[#This Row],[Conversion]]="All",Transport_Table[[#This Row],[Conversion]]=SelectedConversion)</f>
        <v>0</v>
      </c>
      <c r="H811" s="14" t="b">
        <f>OR(Transport_Table[[#This Row],[Data Set]]="All",Transport_Table[[#This Row],[Data Set]]=SelectedDataSet)</f>
        <v>0</v>
      </c>
      <c r="I811" s="14" t="b">
        <f>OR(Transport_Table[[#This Row],[Technology]]="All",Transport_Table[[#This Row],[Technology]]=SelectedTechnology)</f>
        <v>1</v>
      </c>
      <c r="J811" s="14" t="b">
        <f>OR(Transport_Table[[#This Row],[Data Source]]="All",Transport_Table[[#This Row],[Data Source]]=SelectedDataSource)</f>
        <v>0</v>
      </c>
      <c r="L811" s="14" t="b">
        <f>AND(Transport_Table[[#This Row],[Show Feedstock]:[Show Data Source]],NOT(Transport_Table[[#This Row],[Hide Column]]))</f>
        <v>0</v>
      </c>
      <c r="M811" s="14" t="s">
        <v>14</v>
      </c>
      <c r="N811" s="14" t="s">
        <v>1163</v>
      </c>
      <c r="O811" s="14" t="s">
        <v>1245</v>
      </c>
      <c r="P811" s="178" t="s">
        <v>1700</v>
      </c>
      <c r="Q811" s="241" t="s">
        <v>1939</v>
      </c>
      <c r="R811" s="147">
        <v>0.28999999999999998</v>
      </c>
      <c r="S811" s="398">
        <v>799.99776411200003</v>
      </c>
      <c r="T811" s="107"/>
    </row>
    <row r="812" spans="1:20" x14ac:dyDescent="0.3">
      <c r="A812" s="190" t="s">
        <v>447</v>
      </c>
      <c r="B812" s="178" t="s">
        <v>883</v>
      </c>
      <c r="C812" s="194" t="s">
        <v>194</v>
      </c>
      <c r="D812" s="194" t="s">
        <v>355</v>
      </c>
      <c r="E812" s="178" t="s">
        <v>31</v>
      </c>
      <c r="F812" s="14" t="b">
        <f>OR(Transport_Table[[#This Row],[Feedstock]]="All",Transport_Table[[#This Row],[Feedstock]]=SelectedFeedstock)</f>
        <v>0</v>
      </c>
      <c r="G812" s="14" t="b">
        <f>OR(Transport_Table[[#This Row],[Conversion]]="All",Transport_Table[[#This Row],[Conversion]]=SelectedConversion)</f>
        <v>0</v>
      </c>
      <c r="H812" s="14" t="b">
        <f>OR(Transport_Table[[#This Row],[Data Set]]="All",Transport_Table[[#This Row],[Data Set]]=SelectedDataSet)</f>
        <v>0</v>
      </c>
      <c r="I812" s="14" t="b">
        <f>OR(Transport_Table[[#This Row],[Technology]]="All",Transport_Table[[#This Row],[Technology]]=SelectedTechnology)</f>
        <v>1</v>
      </c>
      <c r="J812" s="14" t="b">
        <f>OR(Transport_Table[[#This Row],[Data Source]]="All",Transport_Table[[#This Row],[Data Source]]=SelectedDataSource)</f>
        <v>0</v>
      </c>
      <c r="L812" s="14" t="b">
        <f>AND(Transport_Table[[#This Row],[Show Feedstock]:[Show Data Source]],NOT(Transport_Table[[#This Row],[Hide Column]]))</f>
        <v>0</v>
      </c>
      <c r="M812" s="14" t="s">
        <v>14</v>
      </c>
      <c r="N812" s="14" t="s">
        <v>1164</v>
      </c>
      <c r="O812" s="14" t="s">
        <v>1246</v>
      </c>
      <c r="P812" s="178" t="s">
        <v>1700</v>
      </c>
      <c r="Q812" s="241" t="s">
        <v>1940</v>
      </c>
      <c r="R812" s="147">
        <v>0.63</v>
      </c>
      <c r="S812" s="398">
        <v>49.999860257000002</v>
      </c>
      <c r="T812" s="107"/>
    </row>
    <row r="813" spans="1:20" x14ac:dyDescent="0.3">
      <c r="A813" s="192" t="s">
        <v>447</v>
      </c>
      <c r="B813" s="193" t="s">
        <v>883</v>
      </c>
      <c r="C813" s="183" t="s">
        <v>194</v>
      </c>
      <c r="D813" s="194" t="s">
        <v>355</v>
      </c>
      <c r="E813" s="193" t="s">
        <v>31</v>
      </c>
      <c r="F813" s="14" t="b">
        <f>OR(Transport_Table[[#This Row],[Feedstock]]="All",Transport_Table[[#This Row],[Feedstock]]=SelectedFeedstock)</f>
        <v>0</v>
      </c>
      <c r="G813" s="14" t="b">
        <f>OR(Transport_Table[[#This Row],[Conversion]]="All",Transport_Table[[#This Row],[Conversion]]=SelectedConversion)</f>
        <v>0</v>
      </c>
      <c r="H813" s="14" t="b">
        <f>OR(Transport_Table[[#This Row],[Data Set]]="All",Transport_Table[[#This Row],[Data Set]]=SelectedDataSet)</f>
        <v>0</v>
      </c>
      <c r="I813" s="14" t="b">
        <f>OR(Transport_Table[[#This Row],[Technology]]="All",Transport_Table[[#This Row],[Technology]]=SelectedTechnology)</f>
        <v>1</v>
      </c>
      <c r="J813" s="14" t="b">
        <f>OR(Transport_Table[[#This Row],[Data Source]]="All",Transport_Table[[#This Row],[Data Source]]=SelectedDataSource)</f>
        <v>0</v>
      </c>
      <c r="L813" s="14" t="b">
        <f>AND(Transport_Table[[#This Row],[Show Feedstock]:[Show Data Source]],NOT(Transport_Table[[#This Row],[Hide Column]]))</f>
        <v>0</v>
      </c>
      <c r="M813" s="14" t="s">
        <v>14</v>
      </c>
      <c r="N813" s="14" t="s">
        <v>1165</v>
      </c>
      <c r="O813" s="14" t="s">
        <v>1247</v>
      </c>
      <c r="P813" s="178" t="s">
        <v>1701</v>
      </c>
      <c r="Q813" s="400" t="s">
        <v>1940</v>
      </c>
      <c r="R813" s="148">
        <v>1</v>
      </c>
      <c r="S813" s="399">
        <v>29.999916154200001</v>
      </c>
      <c r="T813" s="107"/>
    </row>
    <row r="814" spans="1:20" x14ac:dyDescent="0.3">
      <c r="A814" s="190" t="s">
        <v>447</v>
      </c>
      <c r="B814" s="178" t="s">
        <v>883</v>
      </c>
      <c r="C814" s="194" t="s">
        <v>194</v>
      </c>
      <c r="D814" s="194" t="s">
        <v>882</v>
      </c>
      <c r="E814" s="178" t="s">
        <v>31</v>
      </c>
      <c r="F814" s="14" t="b">
        <f>OR(Transport_Table[[#This Row],[Feedstock]]="All",Transport_Table[[#This Row],[Feedstock]]=SelectedFeedstock)</f>
        <v>0</v>
      </c>
      <c r="G814" s="14" t="b">
        <f>OR(Transport_Table[[#This Row],[Conversion]]="All",Transport_Table[[#This Row],[Conversion]]=SelectedConversion)</f>
        <v>0</v>
      </c>
      <c r="H814" s="14" t="b">
        <f>OR(Transport_Table[[#This Row],[Data Set]]="All",Transport_Table[[#This Row],[Data Set]]=SelectedDataSet)</f>
        <v>0</v>
      </c>
      <c r="I814" s="14" t="b">
        <f>OR(Transport_Table[[#This Row],[Technology]]="All",Transport_Table[[#This Row],[Technology]]=SelectedTechnology)</f>
        <v>1</v>
      </c>
      <c r="J814" s="14" t="b">
        <f>OR(Transport_Table[[#This Row],[Data Source]]="All",Transport_Table[[#This Row],[Data Source]]=SelectedDataSource)</f>
        <v>0</v>
      </c>
      <c r="K814" s="14" t="b">
        <v>1</v>
      </c>
      <c r="L814" s="14" t="b">
        <f>AND(Transport_Table[[#This Row],[Show Feedstock]:[Show Data Source]],NOT(Transport_Table[[#This Row],[Hide Column]]))</f>
        <v>0</v>
      </c>
      <c r="M814" s="14" t="s">
        <v>14</v>
      </c>
      <c r="N814" s="14" t="s">
        <v>1234</v>
      </c>
      <c r="O814" s="14" t="s">
        <v>1316</v>
      </c>
      <c r="P814" s="178" t="s">
        <v>447</v>
      </c>
      <c r="Q814" s="241" t="s">
        <v>1940</v>
      </c>
      <c r="R814" s="147">
        <v>1</v>
      </c>
      <c r="S814" s="398">
        <v>11.999966461680001</v>
      </c>
      <c r="T814" s="107"/>
    </row>
    <row r="815" spans="1:20" x14ac:dyDescent="0.3">
      <c r="A815" s="190" t="s">
        <v>447</v>
      </c>
      <c r="B815" s="178" t="s">
        <v>883</v>
      </c>
      <c r="C815" s="194" t="s">
        <v>194</v>
      </c>
      <c r="D815" s="194" t="s">
        <v>882</v>
      </c>
      <c r="E815" s="178" t="s">
        <v>31</v>
      </c>
      <c r="F815" s="14" t="b">
        <f>OR(Transport_Table[[#This Row],[Feedstock]]="All",Transport_Table[[#This Row],[Feedstock]]=SelectedFeedstock)</f>
        <v>0</v>
      </c>
      <c r="G815" s="14" t="b">
        <f>OR(Transport_Table[[#This Row],[Conversion]]="All",Transport_Table[[#This Row],[Conversion]]=SelectedConversion)</f>
        <v>0</v>
      </c>
      <c r="H815" s="14" t="b">
        <f>OR(Transport_Table[[#This Row],[Data Set]]="All",Transport_Table[[#This Row],[Data Set]]=SelectedDataSet)</f>
        <v>0</v>
      </c>
      <c r="I815" s="14" t="b">
        <f>OR(Transport_Table[[#This Row],[Technology]]="All",Transport_Table[[#This Row],[Technology]]=SelectedTechnology)</f>
        <v>1</v>
      </c>
      <c r="J815" s="14" t="b">
        <f>OR(Transport_Table[[#This Row],[Data Source]]="All",Transport_Table[[#This Row],[Data Source]]=SelectedDataSource)</f>
        <v>0</v>
      </c>
      <c r="L815" s="14" t="b">
        <f>AND(Transport_Table[[#This Row],[Show Feedstock]:[Show Data Source]],NOT(Transport_Table[[#This Row],[Hide Column]]))</f>
        <v>0</v>
      </c>
      <c r="M815" s="14" t="s">
        <v>14</v>
      </c>
      <c r="N815" s="14" t="s">
        <v>1161</v>
      </c>
      <c r="O815" s="14" t="s">
        <v>1243</v>
      </c>
      <c r="P815" s="178" t="s">
        <v>1700</v>
      </c>
      <c r="Q815" s="241" t="s">
        <v>1938</v>
      </c>
      <c r="R815" s="147">
        <v>0.08</v>
      </c>
      <c r="S815" s="398">
        <v>519.99854667279999</v>
      </c>
      <c r="T815" s="107"/>
    </row>
    <row r="816" spans="1:20" x14ac:dyDescent="0.3">
      <c r="A816" s="190" t="s">
        <v>447</v>
      </c>
      <c r="B816" s="178" t="s">
        <v>883</v>
      </c>
      <c r="C816" s="194" t="s">
        <v>194</v>
      </c>
      <c r="D816" s="194" t="s">
        <v>882</v>
      </c>
      <c r="E816" s="178" t="s">
        <v>31</v>
      </c>
      <c r="F816" s="14" t="b">
        <f>OR(Transport_Table[[#This Row],[Feedstock]]="All",Transport_Table[[#This Row],[Feedstock]]=SelectedFeedstock)</f>
        <v>0</v>
      </c>
      <c r="G816" s="14" t="b">
        <f>OR(Transport_Table[[#This Row],[Conversion]]="All",Transport_Table[[#This Row],[Conversion]]=SelectedConversion)</f>
        <v>0</v>
      </c>
      <c r="H816" s="14" t="b">
        <f>OR(Transport_Table[[#This Row],[Data Set]]="All",Transport_Table[[#This Row],[Data Set]]=SelectedDataSet)</f>
        <v>0</v>
      </c>
      <c r="I816" s="14" t="b">
        <f>OR(Transport_Table[[#This Row],[Technology]]="All",Transport_Table[[#This Row],[Technology]]=SelectedTechnology)</f>
        <v>1</v>
      </c>
      <c r="J816" s="14" t="b">
        <f>OR(Transport_Table[[#This Row],[Data Source]]="All",Transport_Table[[#This Row],[Data Source]]=SelectedDataSource)</f>
        <v>0</v>
      </c>
      <c r="L816" s="14" t="b">
        <f>AND(Transport_Table[[#This Row],[Show Feedstock]:[Show Data Source]],NOT(Transport_Table[[#This Row],[Hide Column]]))</f>
        <v>0</v>
      </c>
      <c r="M816" s="14" t="s">
        <v>14</v>
      </c>
      <c r="N816" s="14" t="s">
        <v>1162</v>
      </c>
      <c r="O816" s="14" t="s">
        <v>1244</v>
      </c>
      <c r="P816" s="178" t="s">
        <v>1700</v>
      </c>
      <c r="Q816" s="241" t="s">
        <v>1942</v>
      </c>
      <c r="R816" s="147">
        <v>0</v>
      </c>
      <c r="S816" s="394">
        <v>0</v>
      </c>
      <c r="T816" s="107"/>
    </row>
    <row r="817" spans="1:20" x14ac:dyDescent="0.3">
      <c r="A817" s="190" t="s">
        <v>447</v>
      </c>
      <c r="B817" s="178" t="s">
        <v>883</v>
      </c>
      <c r="C817" s="194" t="s">
        <v>194</v>
      </c>
      <c r="D817" s="194" t="s">
        <v>882</v>
      </c>
      <c r="E817" s="178" t="s">
        <v>31</v>
      </c>
      <c r="F817" s="14" t="b">
        <f>OR(Transport_Table[[#This Row],[Feedstock]]="All",Transport_Table[[#This Row],[Feedstock]]=SelectedFeedstock)</f>
        <v>0</v>
      </c>
      <c r="G817" s="14" t="b">
        <f>OR(Transport_Table[[#This Row],[Conversion]]="All",Transport_Table[[#This Row],[Conversion]]=SelectedConversion)</f>
        <v>0</v>
      </c>
      <c r="H817" s="14" t="b">
        <f>OR(Transport_Table[[#This Row],[Data Set]]="All",Transport_Table[[#This Row],[Data Set]]=SelectedDataSet)</f>
        <v>0</v>
      </c>
      <c r="I817" s="14" t="b">
        <f>OR(Transport_Table[[#This Row],[Technology]]="All",Transport_Table[[#This Row],[Technology]]=SelectedTechnology)</f>
        <v>1</v>
      </c>
      <c r="J817" s="14" t="b">
        <f>OR(Transport_Table[[#This Row],[Data Source]]="All",Transport_Table[[#This Row],[Data Source]]=SelectedDataSource)</f>
        <v>0</v>
      </c>
      <c r="L817" s="14" t="b">
        <f>AND(Transport_Table[[#This Row],[Show Feedstock]:[Show Data Source]],NOT(Transport_Table[[#This Row],[Hide Column]]))</f>
        <v>0</v>
      </c>
      <c r="M817" s="14" t="s">
        <v>14</v>
      </c>
      <c r="N817" s="14" t="s">
        <v>1163</v>
      </c>
      <c r="O817" s="14" t="s">
        <v>1245</v>
      </c>
      <c r="P817" s="178" t="s">
        <v>1700</v>
      </c>
      <c r="Q817" s="241" t="s">
        <v>1939</v>
      </c>
      <c r="R817" s="147">
        <v>0.28999999999999998</v>
      </c>
      <c r="S817" s="398">
        <v>799.99776411200003</v>
      </c>
      <c r="T817" s="107"/>
    </row>
    <row r="818" spans="1:20" x14ac:dyDescent="0.3">
      <c r="A818" s="190" t="s">
        <v>447</v>
      </c>
      <c r="B818" s="178" t="s">
        <v>883</v>
      </c>
      <c r="C818" s="194" t="s">
        <v>194</v>
      </c>
      <c r="D818" s="194" t="s">
        <v>882</v>
      </c>
      <c r="E818" s="178" t="s">
        <v>31</v>
      </c>
      <c r="F818" s="14" t="b">
        <f>OR(Transport_Table[[#This Row],[Feedstock]]="All",Transport_Table[[#This Row],[Feedstock]]=SelectedFeedstock)</f>
        <v>0</v>
      </c>
      <c r="G818" s="14" t="b">
        <f>OR(Transport_Table[[#This Row],[Conversion]]="All",Transport_Table[[#This Row],[Conversion]]=SelectedConversion)</f>
        <v>0</v>
      </c>
      <c r="H818" s="14" t="b">
        <f>OR(Transport_Table[[#This Row],[Data Set]]="All",Transport_Table[[#This Row],[Data Set]]=SelectedDataSet)</f>
        <v>0</v>
      </c>
      <c r="I818" s="14" t="b">
        <f>OR(Transport_Table[[#This Row],[Technology]]="All",Transport_Table[[#This Row],[Technology]]=SelectedTechnology)</f>
        <v>1</v>
      </c>
      <c r="J818" s="14" t="b">
        <f>OR(Transport_Table[[#This Row],[Data Source]]="All",Transport_Table[[#This Row],[Data Source]]=SelectedDataSource)</f>
        <v>0</v>
      </c>
      <c r="L818" s="14" t="b">
        <f>AND(Transport_Table[[#This Row],[Show Feedstock]:[Show Data Source]],NOT(Transport_Table[[#This Row],[Hide Column]]))</f>
        <v>0</v>
      </c>
      <c r="M818" s="14" t="s">
        <v>14</v>
      </c>
      <c r="N818" s="14" t="s">
        <v>1164</v>
      </c>
      <c r="O818" s="14" t="s">
        <v>1246</v>
      </c>
      <c r="P818" s="178" t="s">
        <v>1700</v>
      </c>
      <c r="Q818" s="241" t="s">
        <v>1940</v>
      </c>
      <c r="R818" s="147">
        <v>0.63</v>
      </c>
      <c r="S818" s="398">
        <v>49.999860257000002</v>
      </c>
      <c r="T818" s="107"/>
    </row>
    <row r="819" spans="1:20" x14ac:dyDescent="0.3">
      <c r="A819" s="192" t="s">
        <v>447</v>
      </c>
      <c r="B819" s="193" t="s">
        <v>883</v>
      </c>
      <c r="C819" s="183" t="s">
        <v>194</v>
      </c>
      <c r="D819" s="194" t="s">
        <v>882</v>
      </c>
      <c r="E819" s="193" t="s">
        <v>31</v>
      </c>
      <c r="F819" s="14" t="b">
        <f>OR(Transport_Table[[#This Row],[Feedstock]]="All",Transport_Table[[#This Row],[Feedstock]]=SelectedFeedstock)</f>
        <v>0</v>
      </c>
      <c r="G819" s="14" t="b">
        <f>OR(Transport_Table[[#This Row],[Conversion]]="All",Transport_Table[[#This Row],[Conversion]]=SelectedConversion)</f>
        <v>0</v>
      </c>
      <c r="H819" s="14" t="b">
        <f>OR(Transport_Table[[#This Row],[Data Set]]="All",Transport_Table[[#This Row],[Data Set]]=SelectedDataSet)</f>
        <v>0</v>
      </c>
      <c r="I819" s="14" t="b">
        <f>OR(Transport_Table[[#This Row],[Technology]]="All",Transport_Table[[#This Row],[Technology]]=SelectedTechnology)</f>
        <v>1</v>
      </c>
      <c r="J819" s="14" t="b">
        <f>OR(Transport_Table[[#This Row],[Data Source]]="All",Transport_Table[[#This Row],[Data Source]]=SelectedDataSource)</f>
        <v>0</v>
      </c>
      <c r="L819" s="14" t="b">
        <f>AND(Transport_Table[[#This Row],[Show Feedstock]:[Show Data Source]],NOT(Transport_Table[[#This Row],[Hide Column]]))</f>
        <v>0</v>
      </c>
      <c r="M819" s="14" t="s">
        <v>14</v>
      </c>
      <c r="N819" s="14" t="s">
        <v>1165</v>
      </c>
      <c r="O819" s="14" t="s">
        <v>1247</v>
      </c>
      <c r="P819" s="178" t="s">
        <v>1701</v>
      </c>
      <c r="Q819" s="400" t="s">
        <v>1940</v>
      </c>
      <c r="R819" s="148">
        <v>1</v>
      </c>
      <c r="S819" s="399">
        <v>29.999916154200001</v>
      </c>
      <c r="T819" s="107"/>
    </row>
    <row r="820" spans="1:20" x14ac:dyDescent="0.3">
      <c r="A820" s="190" t="s">
        <v>136</v>
      </c>
      <c r="B820" s="178" t="s">
        <v>883</v>
      </c>
      <c r="C820" s="194" t="s">
        <v>194</v>
      </c>
      <c r="D820" s="194" t="s">
        <v>355</v>
      </c>
      <c r="E820" s="178" t="s">
        <v>31</v>
      </c>
      <c r="F820" s="14" t="b">
        <f>OR(Transport_Table[[#This Row],[Feedstock]]="All",Transport_Table[[#This Row],[Feedstock]]=SelectedFeedstock)</f>
        <v>0</v>
      </c>
      <c r="G820" s="14" t="b">
        <f>OR(Transport_Table[[#This Row],[Conversion]]="All",Transport_Table[[#This Row],[Conversion]]=SelectedConversion)</f>
        <v>0</v>
      </c>
      <c r="H820" s="14" t="b">
        <f>OR(Transport_Table[[#This Row],[Data Set]]="All",Transport_Table[[#This Row],[Data Set]]=SelectedDataSet)</f>
        <v>0</v>
      </c>
      <c r="I820" s="14" t="b">
        <f>OR(Transport_Table[[#This Row],[Technology]]="All",Transport_Table[[#This Row],[Technology]]=SelectedTechnology)</f>
        <v>1</v>
      </c>
      <c r="J820" s="14" t="b">
        <f>OR(Transport_Table[[#This Row],[Data Source]]="All",Transport_Table[[#This Row],[Data Source]]=SelectedDataSource)</f>
        <v>0</v>
      </c>
      <c r="K820" s="14" t="b">
        <v>1</v>
      </c>
      <c r="L820" s="14" t="b">
        <f>AND(Transport_Table[[#This Row],[Show Feedstock]:[Show Data Source]],NOT(Transport_Table[[#This Row],[Hide Column]]))</f>
        <v>0</v>
      </c>
      <c r="M820" s="14" t="s">
        <v>14</v>
      </c>
      <c r="N820" s="14" t="s">
        <v>1215</v>
      </c>
      <c r="O820" s="14" t="s">
        <v>1297</v>
      </c>
      <c r="P820" s="178" t="s">
        <v>136</v>
      </c>
      <c r="Q820" s="241" t="s">
        <v>1938</v>
      </c>
      <c r="R820" s="147">
        <v>0</v>
      </c>
      <c r="S820" s="394">
        <v>0</v>
      </c>
      <c r="T820" s="107"/>
    </row>
    <row r="821" spans="1:20" x14ac:dyDescent="0.3">
      <c r="A821" s="190" t="s">
        <v>136</v>
      </c>
      <c r="B821" s="178" t="s">
        <v>883</v>
      </c>
      <c r="C821" s="194" t="s">
        <v>194</v>
      </c>
      <c r="D821" s="194" t="s">
        <v>355</v>
      </c>
      <c r="E821" s="178" t="s">
        <v>31</v>
      </c>
      <c r="F821" s="14" t="b">
        <f>OR(Transport_Table[[#This Row],[Feedstock]]="All",Transport_Table[[#This Row],[Feedstock]]=SelectedFeedstock)</f>
        <v>0</v>
      </c>
      <c r="G821" s="14" t="b">
        <f>OR(Transport_Table[[#This Row],[Conversion]]="All",Transport_Table[[#This Row],[Conversion]]=SelectedConversion)</f>
        <v>0</v>
      </c>
      <c r="H821" s="14" t="b">
        <f>OR(Transport_Table[[#This Row],[Data Set]]="All",Transport_Table[[#This Row],[Data Set]]=SelectedDataSet)</f>
        <v>0</v>
      </c>
      <c r="I821" s="14" t="b">
        <f>OR(Transport_Table[[#This Row],[Technology]]="All",Transport_Table[[#This Row],[Technology]]=SelectedTechnology)</f>
        <v>1</v>
      </c>
      <c r="J821" s="14" t="b">
        <f>OR(Transport_Table[[#This Row],[Data Source]]="All",Transport_Table[[#This Row],[Data Source]]=SelectedDataSource)</f>
        <v>0</v>
      </c>
      <c r="K821" s="14" t="b">
        <v>1</v>
      </c>
      <c r="L821" s="14" t="b">
        <f>AND(Transport_Table[[#This Row],[Show Feedstock]:[Show Data Source]],NOT(Transport_Table[[#This Row],[Hide Column]]))</f>
        <v>0</v>
      </c>
      <c r="M821" s="14" t="s">
        <v>14</v>
      </c>
      <c r="N821" s="14" t="s">
        <v>1216</v>
      </c>
      <c r="O821" s="14" t="s">
        <v>1298</v>
      </c>
      <c r="P821" s="178" t="s">
        <v>136</v>
      </c>
      <c r="Q821" s="241" t="s">
        <v>1942</v>
      </c>
      <c r="R821" s="147">
        <v>0</v>
      </c>
      <c r="S821" s="394">
        <v>0</v>
      </c>
      <c r="T821" s="107"/>
    </row>
    <row r="822" spans="1:20" x14ac:dyDescent="0.3">
      <c r="A822" s="190" t="s">
        <v>136</v>
      </c>
      <c r="B822" s="178" t="s">
        <v>883</v>
      </c>
      <c r="C822" s="194" t="s">
        <v>194</v>
      </c>
      <c r="D822" s="194" t="s">
        <v>355</v>
      </c>
      <c r="E822" s="178" t="s">
        <v>31</v>
      </c>
      <c r="F822" s="14" t="b">
        <f>OR(Transport_Table[[#This Row],[Feedstock]]="All",Transport_Table[[#This Row],[Feedstock]]=SelectedFeedstock)</f>
        <v>0</v>
      </c>
      <c r="G822" s="14" t="b">
        <f>OR(Transport_Table[[#This Row],[Conversion]]="All",Transport_Table[[#This Row],[Conversion]]=SelectedConversion)</f>
        <v>0</v>
      </c>
      <c r="H822" s="14" t="b">
        <f>OR(Transport_Table[[#This Row],[Data Set]]="All",Transport_Table[[#This Row],[Data Set]]=SelectedDataSet)</f>
        <v>0</v>
      </c>
      <c r="I822" s="14" t="b">
        <f>OR(Transport_Table[[#This Row],[Technology]]="All",Transport_Table[[#This Row],[Technology]]=SelectedTechnology)</f>
        <v>1</v>
      </c>
      <c r="J822" s="14" t="b">
        <f>OR(Transport_Table[[#This Row],[Data Source]]="All",Transport_Table[[#This Row],[Data Source]]=SelectedDataSource)</f>
        <v>0</v>
      </c>
      <c r="K822" s="14" t="b">
        <v>1</v>
      </c>
      <c r="L822" s="14" t="b">
        <f>AND(Transport_Table[[#This Row],[Show Feedstock]:[Show Data Source]],NOT(Transport_Table[[#This Row],[Hide Column]]))</f>
        <v>0</v>
      </c>
      <c r="M822" s="14" t="s">
        <v>14</v>
      </c>
      <c r="N822" s="14" t="s">
        <v>1217</v>
      </c>
      <c r="O822" s="14" t="s">
        <v>1299</v>
      </c>
      <c r="P822" s="178" t="s">
        <v>136</v>
      </c>
      <c r="Q822" s="241" t="s">
        <v>1941</v>
      </c>
      <c r="R822" s="147">
        <v>0</v>
      </c>
      <c r="S822" s="394">
        <v>0</v>
      </c>
      <c r="T822" s="107"/>
    </row>
    <row r="823" spans="1:20" x14ac:dyDescent="0.3">
      <c r="A823" s="190" t="s">
        <v>136</v>
      </c>
      <c r="B823" s="178" t="s">
        <v>883</v>
      </c>
      <c r="C823" s="194" t="s">
        <v>194</v>
      </c>
      <c r="D823" s="194" t="s">
        <v>355</v>
      </c>
      <c r="E823" s="178" t="s">
        <v>31</v>
      </c>
      <c r="F823" s="14" t="b">
        <f>OR(Transport_Table[[#This Row],[Feedstock]]="All",Transport_Table[[#This Row],[Feedstock]]=SelectedFeedstock)</f>
        <v>0</v>
      </c>
      <c r="G823" s="14" t="b">
        <f>OR(Transport_Table[[#This Row],[Conversion]]="All",Transport_Table[[#This Row],[Conversion]]=SelectedConversion)</f>
        <v>0</v>
      </c>
      <c r="H823" s="14" t="b">
        <f>OR(Transport_Table[[#This Row],[Data Set]]="All",Transport_Table[[#This Row],[Data Set]]=SelectedDataSet)</f>
        <v>0</v>
      </c>
      <c r="I823" s="14" t="b">
        <f>OR(Transport_Table[[#This Row],[Technology]]="All",Transport_Table[[#This Row],[Technology]]=SelectedTechnology)</f>
        <v>1</v>
      </c>
      <c r="J823" s="14" t="b">
        <f>OR(Transport_Table[[#This Row],[Data Source]]="All",Transport_Table[[#This Row],[Data Source]]=SelectedDataSource)</f>
        <v>0</v>
      </c>
      <c r="K823" s="14" t="b">
        <v>1</v>
      </c>
      <c r="L823" s="14" t="b">
        <f>AND(Transport_Table[[#This Row],[Show Feedstock]:[Show Data Source]],NOT(Transport_Table[[#This Row],[Hide Column]]))</f>
        <v>0</v>
      </c>
      <c r="M823" s="14" t="s">
        <v>14</v>
      </c>
      <c r="N823" s="14" t="s">
        <v>1218</v>
      </c>
      <c r="O823" s="14" t="s">
        <v>1300</v>
      </c>
      <c r="P823" s="178" t="s">
        <v>136</v>
      </c>
      <c r="Q823" s="241" t="s">
        <v>1940</v>
      </c>
      <c r="R823" s="147">
        <v>1</v>
      </c>
      <c r="S823" s="398">
        <v>11.999966461680001</v>
      </c>
      <c r="T823" s="107"/>
    </row>
    <row r="824" spans="1:20" x14ac:dyDescent="0.3">
      <c r="A824" s="190" t="s">
        <v>136</v>
      </c>
      <c r="B824" s="178" t="s">
        <v>883</v>
      </c>
      <c r="C824" s="194" t="s">
        <v>194</v>
      </c>
      <c r="D824" s="194" t="s">
        <v>355</v>
      </c>
      <c r="E824" s="178" t="s">
        <v>31</v>
      </c>
      <c r="F824" s="14" t="b">
        <f>OR(Transport_Table[[#This Row],[Feedstock]]="All",Transport_Table[[#This Row],[Feedstock]]=SelectedFeedstock)</f>
        <v>0</v>
      </c>
      <c r="G824" s="14" t="b">
        <f>OR(Transport_Table[[#This Row],[Conversion]]="All",Transport_Table[[#This Row],[Conversion]]=SelectedConversion)</f>
        <v>0</v>
      </c>
      <c r="H824" s="14" t="b">
        <f>OR(Transport_Table[[#This Row],[Data Set]]="All",Transport_Table[[#This Row],[Data Set]]=SelectedDataSet)</f>
        <v>0</v>
      </c>
      <c r="I824" s="14" t="b">
        <f>OR(Transport_Table[[#This Row],[Technology]]="All",Transport_Table[[#This Row],[Technology]]=SelectedTechnology)</f>
        <v>1</v>
      </c>
      <c r="J824" s="14" t="b">
        <f>OR(Transport_Table[[#This Row],[Data Source]]="All",Transport_Table[[#This Row],[Data Source]]=SelectedDataSource)</f>
        <v>0</v>
      </c>
      <c r="L824" s="14" t="b">
        <f>AND(Transport_Table[[#This Row],[Show Feedstock]:[Show Data Source]],NOT(Transport_Table[[#This Row],[Hide Column]]))</f>
        <v>0</v>
      </c>
      <c r="M824" s="14" t="s">
        <v>14</v>
      </c>
      <c r="N824" s="14" t="s">
        <v>1161</v>
      </c>
      <c r="O824" s="14" t="s">
        <v>1243</v>
      </c>
      <c r="P824" s="178" t="s">
        <v>1700</v>
      </c>
      <c r="Q824" s="241" t="s">
        <v>1938</v>
      </c>
      <c r="R824" s="147">
        <v>0.08</v>
      </c>
      <c r="S824" s="398">
        <v>519.99854667279999</v>
      </c>
      <c r="T824" s="107"/>
    </row>
    <row r="825" spans="1:20" x14ac:dyDescent="0.3">
      <c r="A825" s="190" t="s">
        <v>136</v>
      </c>
      <c r="B825" s="178" t="s">
        <v>883</v>
      </c>
      <c r="C825" s="194" t="s">
        <v>194</v>
      </c>
      <c r="D825" s="194" t="s">
        <v>355</v>
      </c>
      <c r="E825" s="178" t="s">
        <v>31</v>
      </c>
      <c r="F825" s="14" t="b">
        <f>OR(Transport_Table[[#This Row],[Feedstock]]="All",Transport_Table[[#This Row],[Feedstock]]=SelectedFeedstock)</f>
        <v>0</v>
      </c>
      <c r="G825" s="14" t="b">
        <f>OR(Transport_Table[[#This Row],[Conversion]]="All",Transport_Table[[#This Row],[Conversion]]=SelectedConversion)</f>
        <v>0</v>
      </c>
      <c r="H825" s="14" t="b">
        <f>OR(Transport_Table[[#This Row],[Data Set]]="All",Transport_Table[[#This Row],[Data Set]]=SelectedDataSet)</f>
        <v>0</v>
      </c>
      <c r="I825" s="14" t="b">
        <f>OR(Transport_Table[[#This Row],[Technology]]="All",Transport_Table[[#This Row],[Technology]]=SelectedTechnology)</f>
        <v>1</v>
      </c>
      <c r="J825" s="14" t="b">
        <f>OR(Transport_Table[[#This Row],[Data Source]]="All",Transport_Table[[#This Row],[Data Source]]=SelectedDataSource)</f>
        <v>0</v>
      </c>
      <c r="L825" s="14" t="b">
        <f>AND(Transport_Table[[#This Row],[Show Feedstock]:[Show Data Source]],NOT(Transport_Table[[#This Row],[Hide Column]]))</f>
        <v>0</v>
      </c>
      <c r="M825" s="14" t="s">
        <v>14</v>
      </c>
      <c r="N825" s="14" t="s">
        <v>1162</v>
      </c>
      <c r="O825" s="14" t="s">
        <v>1244</v>
      </c>
      <c r="P825" s="178" t="s">
        <v>1700</v>
      </c>
      <c r="Q825" s="241" t="s">
        <v>1942</v>
      </c>
      <c r="R825" s="147">
        <v>0</v>
      </c>
      <c r="S825" s="394">
        <v>0</v>
      </c>
      <c r="T825" s="107"/>
    </row>
    <row r="826" spans="1:20" x14ac:dyDescent="0.3">
      <c r="A826" s="190" t="s">
        <v>136</v>
      </c>
      <c r="B826" s="178" t="s">
        <v>883</v>
      </c>
      <c r="C826" s="194" t="s">
        <v>194</v>
      </c>
      <c r="D826" s="194" t="s">
        <v>355</v>
      </c>
      <c r="E826" s="178" t="s">
        <v>31</v>
      </c>
      <c r="F826" s="14" t="b">
        <f>OR(Transport_Table[[#This Row],[Feedstock]]="All",Transport_Table[[#This Row],[Feedstock]]=SelectedFeedstock)</f>
        <v>0</v>
      </c>
      <c r="G826" s="14" t="b">
        <f>OR(Transport_Table[[#This Row],[Conversion]]="All",Transport_Table[[#This Row],[Conversion]]=SelectedConversion)</f>
        <v>0</v>
      </c>
      <c r="H826" s="14" t="b">
        <f>OR(Transport_Table[[#This Row],[Data Set]]="All",Transport_Table[[#This Row],[Data Set]]=SelectedDataSet)</f>
        <v>0</v>
      </c>
      <c r="I826" s="14" t="b">
        <f>OR(Transport_Table[[#This Row],[Technology]]="All",Transport_Table[[#This Row],[Technology]]=SelectedTechnology)</f>
        <v>1</v>
      </c>
      <c r="J826" s="14" t="b">
        <f>OR(Transport_Table[[#This Row],[Data Source]]="All",Transport_Table[[#This Row],[Data Source]]=SelectedDataSource)</f>
        <v>0</v>
      </c>
      <c r="L826" s="14" t="b">
        <f>AND(Transport_Table[[#This Row],[Show Feedstock]:[Show Data Source]],NOT(Transport_Table[[#This Row],[Hide Column]]))</f>
        <v>0</v>
      </c>
      <c r="M826" s="14" t="s">
        <v>14</v>
      </c>
      <c r="N826" s="14" t="s">
        <v>1163</v>
      </c>
      <c r="O826" s="14" t="s">
        <v>1245</v>
      </c>
      <c r="P826" s="178" t="s">
        <v>1700</v>
      </c>
      <c r="Q826" s="241" t="s">
        <v>1939</v>
      </c>
      <c r="R826" s="147">
        <v>0.28999999999999998</v>
      </c>
      <c r="S826" s="398">
        <v>799.99776411200003</v>
      </c>
      <c r="T826" s="107"/>
    </row>
    <row r="827" spans="1:20" x14ac:dyDescent="0.3">
      <c r="A827" s="190" t="s">
        <v>136</v>
      </c>
      <c r="B827" s="178" t="s">
        <v>883</v>
      </c>
      <c r="C827" s="194" t="s">
        <v>194</v>
      </c>
      <c r="D827" s="194" t="s">
        <v>355</v>
      </c>
      <c r="E827" s="178" t="s">
        <v>31</v>
      </c>
      <c r="F827" s="14" t="b">
        <f>OR(Transport_Table[[#This Row],[Feedstock]]="All",Transport_Table[[#This Row],[Feedstock]]=SelectedFeedstock)</f>
        <v>0</v>
      </c>
      <c r="G827" s="14" t="b">
        <f>OR(Transport_Table[[#This Row],[Conversion]]="All",Transport_Table[[#This Row],[Conversion]]=SelectedConversion)</f>
        <v>0</v>
      </c>
      <c r="H827" s="14" t="b">
        <f>OR(Transport_Table[[#This Row],[Data Set]]="All",Transport_Table[[#This Row],[Data Set]]=SelectedDataSet)</f>
        <v>0</v>
      </c>
      <c r="I827" s="14" t="b">
        <f>OR(Transport_Table[[#This Row],[Technology]]="All",Transport_Table[[#This Row],[Technology]]=SelectedTechnology)</f>
        <v>1</v>
      </c>
      <c r="J827" s="14" t="b">
        <f>OR(Transport_Table[[#This Row],[Data Source]]="All",Transport_Table[[#This Row],[Data Source]]=SelectedDataSource)</f>
        <v>0</v>
      </c>
      <c r="L827" s="14" t="b">
        <f>AND(Transport_Table[[#This Row],[Show Feedstock]:[Show Data Source]],NOT(Transport_Table[[#This Row],[Hide Column]]))</f>
        <v>0</v>
      </c>
      <c r="M827" s="14" t="s">
        <v>14</v>
      </c>
      <c r="N827" s="14" t="s">
        <v>1164</v>
      </c>
      <c r="O827" s="14" t="s">
        <v>1246</v>
      </c>
      <c r="P827" s="178" t="s">
        <v>1700</v>
      </c>
      <c r="Q827" s="241" t="s">
        <v>1940</v>
      </c>
      <c r="R827" s="147">
        <v>0.63</v>
      </c>
      <c r="S827" s="398">
        <v>49.999860257000002</v>
      </c>
      <c r="T827" s="107"/>
    </row>
    <row r="828" spans="1:20" x14ac:dyDescent="0.3">
      <c r="A828" s="192" t="s">
        <v>136</v>
      </c>
      <c r="B828" s="193" t="s">
        <v>883</v>
      </c>
      <c r="C828" s="183" t="s">
        <v>194</v>
      </c>
      <c r="D828" s="194" t="s">
        <v>355</v>
      </c>
      <c r="E828" s="193" t="s">
        <v>31</v>
      </c>
      <c r="F828" s="14" t="b">
        <f>OR(Transport_Table[[#This Row],[Feedstock]]="All",Transport_Table[[#This Row],[Feedstock]]=SelectedFeedstock)</f>
        <v>0</v>
      </c>
      <c r="G828" s="14" t="b">
        <f>OR(Transport_Table[[#This Row],[Conversion]]="All",Transport_Table[[#This Row],[Conversion]]=SelectedConversion)</f>
        <v>0</v>
      </c>
      <c r="H828" s="14" t="b">
        <f>OR(Transport_Table[[#This Row],[Data Set]]="All",Transport_Table[[#This Row],[Data Set]]=SelectedDataSet)</f>
        <v>0</v>
      </c>
      <c r="I828" s="14" t="b">
        <f>OR(Transport_Table[[#This Row],[Technology]]="All",Transport_Table[[#This Row],[Technology]]=SelectedTechnology)</f>
        <v>1</v>
      </c>
      <c r="J828" s="14" t="b">
        <f>OR(Transport_Table[[#This Row],[Data Source]]="All",Transport_Table[[#This Row],[Data Source]]=SelectedDataSource)</f>
        <v>0</v>
      </c>
      <c r="L828" s="14" t="b">
        <f>AND(Transport_Table[[#This Row],[Show Feedstock]:[Show Data Source]],NOT(Transport_Table[[#This Row],[Hide Column]]))</f>
        <v>0</v>
      </c>
      <c r="M828" s="14" t="s">
        <v>14</v>
      </c>
      <c r="N828" s="14" t="s">
        <v>1165</v>
      </c>
      <c r="O828" s="14" t="s">
        <v>1247</v>
      </c>
      <c r="P828" s="178" t="s">
        <v>1701</v>
      </c>
      <c r="Q828" s="400" t="s">
        <v>1940</v>
      </c>
      <c r="R828" s="148">
        <v>1</v>
      </c>
      <c r="S828" s="399">
        <v>29.999916154200001</v>
      </c>
      <c r="T828" s="107"/>
    </row>
    <row r="829" spans="1:20" x14ac:dyDescent="0.3">
      <c r="A829" s="190" t="s">
        <v>877</v>
      </c>
      <c r="B829" s="178" t="s">
        <v>883</v>
      </c>
      <c r="C829" s="194" t="s">
        <v>194</v>
      </c>
      <c r="D829" s="194" t="s">
        <v>1335</v>
      </c>
      <c r="E829" s="178" t="s">
        <v>31</v>
      </c>
      <c r="F829" s="14" t="b">
        <f>OR(Transport_Table[[#This Row],[Feedstock]]="All",Transport_Table[[#This Row],[Feedstock]]=SelectedFeedstock)</f>
        <v>0</v>
      </c>
      <c r="G829" s="14" t="b">
        <f>OR(Transport_Table[[#This Row],[Conversion]]="All",Transport_Table[[#This Row],[Conversion]]=SelectedConversion)</f>
        <v>0</v>
      </c>
      <c r="H829" s="14" t="b">
        <f>OR(Transport_Table[[#This Row],[Data Set]]="All",Transport_Table[[#This Row],[Data Set]]=SelectedDataSet)</f>
        <v>0</v>
      </c>
      <c r="I829" s="14" t="b">
        <f>OR(Transport_Table[[#This Row],[Technology]]="All",Transport_Table[[#This Row],[Technology]]=SelectedTechnology)</f>
        <v>1</v>
      </c>
      <c r="J829" s="14" t="b">
        <f>OR(Transport_Table[[#This Row],[Data Source]]="All",Transport_Table[[#This Row],[Data Source]]=SelectedDataSource)</f>
        <v>0</v>
      </c>
      <c r="L829" s="14" t="b">
        <f>AND(Transport_Table[[#This Row],[Show Feedstock]:[Show Data Source]],NOT(Transport_Table[[#This Row],[Hide Column]]))</f>
        <v>0</v>
      </c>
      <c r="M829" s="14" t="s">
        <v>14</v>
      </c>
      <c r="N829" s="14" t="s">
        <v>1161</v>
      </c>
      <c r="O829" s="14" t="s">
        <v>1243</v>
      </c>
      <c r="P829" s="178" t="s">
        <v>1700</v>
      </c>
      <c r="Q829" s="241" t="s">
        <v>1938</v>
      </c>
      <c r="R829" s="147">
        <v>0.08</v>
      </c>
      <c r="S829" s="398">
        <v>519.99854667279999</v>
      </c>
      <c r="T829" s="107"/>
    </row>
    <row r="830" spans="1:20" x14ac:dyDescent="0.3">
      <c r="A830" s="190" t="s">
        <v>877</v>
      </c>
      <c r="B830" s="178" t="s">
        <v>883</v>
      </c>
      <c r="C830" s="194" t="s">
        <v>194</v>
      </c>
      <c r="D830" s="194" t="s">
        <v>1335</v>
      </c>
      <c r="E830" s="178" t="s">
        <v>31</v>
      </c>
      <c r="F830" s="14" t="b">
        <f>OR(Transport_Table[[#This Row],[Feedstock]]="All",Transport_Table[[#This Row],[Feedstock]]=SelectedFeedstock)</f>
        <v>0</v>
      </c>
      <c r="G830" s="14" t="b">
        <f>OR(Transport_Table[[#This Row],[Conversion]]="All",Transport_Table[[#This Row],[Conversion]]=SelectedConversion)</f>
        <v>0</v>
      </c>
      <c r="H830" s="14" t="b">
        <f>OR(Transport_Table[[#This Row],[Data Set]]="All",Transport_Table[[#This Row],[Data Set]]=SelectedDataSet)</f>
        <v>0</v>
      </c>
      <c r="I830" s="14" t="b">
        <f>OR(Transport_Table[[#This Row],[Technology]]="All",Transport_Table[[#This Row],[Technology]]=SelectedTechnology)</f>
        <v>1</v>
      </c>
      <c r="J830" s="14" t="b">
        <f>OR(Transport_Table[[#This Row],[Data Source]]="All",Transport_Table[[#This Row],[Data Source]]=SelectedDataSource)</f>
        <v>0</v>
      </c>
      <c r="L830" s="14" t="b">
        <f>AND(Transport_Table[[#This Row],[Show Feedstock]:[Show Data Source]],NOT(Transport_Table[[#This Row],[Hide Column]]))</f>
        <v>0</v>
      </c>
      <c r="M830" s="14" t="s">
        <v>14</v>
      </c>
      <c r="N830" s="14" t="s">
        <v>1162</v>
      </c>
      <c r="O830" s="14" t="s">
        <v>1244</v>
      </c>
      <c r="P830" s="178" t="s">
        <v>1700</v>
      </c>
      <c r="Q830" s="241" t="s">
        <v>1942</v>
      </c>
      <c r="R830" s="147">
        <v>0</v>
      </c>
      <c r="S830" s="394">
        <v>0</v>
      </c>
      <c r="T830" s="107"/>
    </row>
    <row r="831" spans="1:20" x14ac:dyDescent="0.3">
      <c r="A831" s="190" t="s">
        <v>877</v>
      </c>
      <c r="B831" s="178" t="s">
        <v>883</v>
      </c>
      <c r="C831" s="194" t="s">
        <v>194</v>
      </c>
      <c r="D831" s="194" t="s">
        <v>1335</v>
      </c>
      <c r="E831" s="178" t="s">
        <v>31</v>
      </c>
      <c r="F831" s="14" t="b">
        <f>OR(Transport_Table[[#This Row],[Feedstock]]="All",Transport_Table[[#This Row],[Feedstock]]=SelectedFeedstock)</f>
        <v>0</v>
      </c>
      <c r="G831" s="14" t="b">
        <f>OR(Transport_Table[[#This Row],[Conversion]]="All",Transport_Table[[#This Row],[Conversion]]=SelectedConversion)</f>
        <v>0</v>
      </c>
      <c r="H831" s="14" t="b">
        <f>OR(Transport_Table[[#This Row],[Data Set]]="All",Transport_Table[[#This Row],[Data Set]]=SelectedDataSet)</f>
        <v>0</v>
      </c>
      <c r="I831" s="14" t="b">
        <f>OR(Transport_Table[[#This Row],[Technology]]="All",Transport_Table[[#This Row],[Technology]]=SelectedTechnology)</f>
        <v>1</v>
      </c>
      <c r="J831" s="14" t="b">
        <f>OR(Transport_Table[[#This Row],[Data Source]]="All",Transport_Table[[#This Row],[Data Source]]=SelectedDataSource)</f>
        <v>0</v>
      </c>
      <c r="L831" s="14" t="b">
        <f>AND(Transport_Table[[#This Row],[Show Feedstock]:[Show Data Source]],NOT(Transport_Table[[#This Row],[Hide Column]]))</f>
        <v>0</v>
      </c>
      <c r="M831" s="14" t="s">
        <v>14</v>
      </c>
      <c r="N831" s="14" t="s">
        <v>1163</v>
      </c>
      <c r="O831" s="14" t="s">
        <v>1245</v>
      </c>
      <c r="P831" s="178" t="s">
        <v>1700</v>
      </c>
      <c r="Q831" s="241" t="s">
        <v>1939</v>
      </c>
      <c r="R831" s="147">
        <v>0.28999999999999998</v>
      </c>
      <c r="S831" s="398">
        <v>799.99776411200003</v>
      </c>
      <c r="T831" s="107"/>
    </row>
    <row r="832" spans="1:20" x14ac:dyDescent="0.3">
      <c r="A832" s="190" t="s">
        <v>877</v>
      </c>
      <c r="B832" s="178" t="s">
        <v>883</v>
      </c>
      <c r="C832" s="194" t="s">
        <v>194</v>
      </c>
      <c r="D832" s="194" t="s">
        <v>1335</v>
      </c>
      <c r="E832" s="178" t="s">
        <v>31</v>
      </c>
      <c r="F832" s="14" t="b">
        <f>OR(Transport_Table[[#This Row],[Feedstock]]="All",Transport_Table[[#This Row],[Feedstock]]=SelectedFeedstock)</f>
        <v>0</v>
      </c>
      <c r="G832" s="14" t="b">
        <f>OR(Transport_Table[[#This Row],[Conversion]]="All",Transport_Table[[#This Row],[Conversion]]=SelectedConversion)</f>
        <v>0</v>
      </c>
      <c r="H832" s="14" t="b">
        <f>OR(Transport_Table[[#This Row],[Data Set]]="All",Transport_Table[[#This Row],[Data Set]]=SelectedDataSet)</f>
        <v>0</v>
      </c>
      <c r="I832" s="14" t="b">
        <f>OR(Transport_Table[[#This Row],[Technology]]="All",Transport_Table[[#This Row],[Technology]]=SelectedTechnology)</f>
        <v>1</v>
      </c>
      <c r="J832" s="14" t="b">
        <f>OR(Transport_Table[[#This Row],[Data Source]]="All",Transport_Table[[#This Row],[Data Source]]=SelectedDataSource)</f>
        <v>0</v>
      </c>
      <c r="L832" s="14" t="b">
        <f>AND(Transport_Table[[#This Row],[Show Feedstock]:[Show Data Source]],NOT(Transport_Table[[#This Row],[Hide Column]]))</f>
        <v>0</v>
      </c>
      <c r="M832" s="14" t="s">
        <v>14</v>
      </c>
      <c r="N832" s="14" t="s">
        <v>1164</v>
      </c>
      <c r="O832" s="14" t="s">
        <v>1246</v>
      </c>
      <c r="P832" s="178" t="s">
        <v>1700</v>
      </c>
      <c r="Q832" s="241" t="s">
        <v>1940</v>
      </c>
      <c r="R832" s="147">
        <v>0.63</v>
      </c>
      <c r="S832" s="398">
        <v>49.999860257000002</v>
      </c>
      <c r="T832" s="107"/>
    </row>
    <row r="833" spans="1:20" x14ac:dyDescent="0.3">
      <c r="A833" s="190" t="s">
        <v>877</v>
      </c>
      <c r="B833" s="193" t="s">
        <v>883</v>
      </c>
      <c r="C833" s="183" t="s">
        <v>194</v>
      </c>
      <c r="D833" s="183" t="s">
        <v>1335</v>
      </c>
      <c r="E833" s="193" t="s">
        <v>31</v>
      </c>
      <c r="F833" s="14" t="b">
        <f>OR(Transport_Table[[#This Row],[Feedstock]]="All",Transport_Table[[#This Row],[Feedstock]]=SelectedFeedstock)</f>
        <v>0</v>
      </c>
      <c r="G833" s="14" t="b">
        <f>OR(Transport_Table[[#This Row],[Conversion]]="All",Transport_Table[[#This Row],[Conversion]]=SelectedConversion)</f>
        <v>0</v>
      </c>
      <c r="H833" s="14" t="b">
        <f>OR(Transport_Table[[#This Row],[Data Set]]="All",Transport_Table[[#This Row],[Data Set]]=SelectedDataSet)</f>
        <v>0</v>
      </c>
      <c r="I833" s="14" t="b">
        <f>OR(Transport_Table[[#This Row],[Technology]]="All",Transport_Table[[#This Row],[Technology]]=SelectedTechnology)</f>
        <v>1</v>
      </c>
      <c r="J833" s="14" t="b">
        <f>OR(Transport_Table[[#This Row],[Data Source]]="All",Transport_Table[[#This Row],[Data Source]]=SelectedDataSource)</f>
        <v>0</v>
      </c>
      <c r="L833" s="14" t="b">
        <f>AND(Transport_Table[[#This Row],[Show Feedstock]:[Show Data Source]],NOT(Transport_Table[[#This Row],[Hide Column]]))</f>
        <v>0</v>
      </c>
      <c r="M833" s="14" t="s">
        <v>14</v>
      </c>
      <c r="N833" s="14" t="s">
        <v>1165</v>
      </c>
      <c r="O833" s="14" t="s">
        <v>1247</v>
      </c>
      <c r="P833" s="178" t="s">
        <v>1701</v>
      </c>
      <c r="Q833" s="400" t="s">
        <v>1940</v>
      </c>
      <c r="R833" s="148">
        <v>1</v>
      </c>
      <c r="S833" s="399">
        <v>29.999916154200001</v>
      </c>
      <c r="T833" s="107"/>
    </row>
    <row r="834" spans="1:20" x14ac:dyDescent="0.3">
      <c r="A834" s="190" t="s">
        <v>136</v>
      </c>
      <c r="B834" s="178" t="s">
        <v>1964</v>
      </c>
      <c r="C834" s="194" t="s">
        <v>194</v>
      </c>
      <c r="D834" s="194" t="s">
        <v>355</v>
      </c>
      <c r="E834" s="178" t="s">
        <v>31</v>
      </c>
      <c r="F834" s="14" t="b">
        <f>OR(Transport_Table[[#This Row],[Feedstock]]="All",Transport_Table[[#This Row],[Feedstock]]=SelectedFeedstock)</f>
        <v>0</v>
      </c>
      <c r="G834" s="14" t="b">
        <f>OR(Transport_Table[[#This Row],[Conversion]]="All",Transport_Table[[#This Row],[Conversion]]=SelectedConversion)</f>
        <v>0</v>
      </c>
      <c r="H834" s="14" t="b">
        <f>OR(Transport_Table[[#This Row],[Data Set]]="All",Transport_Table[[#This Row],[Data Set]]=SelectedDataSet)</f>
        <v>0</v>
      </c>
      <c r="I834" s="14" t="b">
        <f>OR(Transport_Table[[#This Row],[Technology]]="All",Transport_Table[[#This Row],[Technology]]=SelectedTechnology)</f>
        <v>1</v>
      </c>
      <c r="J834" s="14" t="b">
        <f>OR(Transport_Table[[#This Row],[Data Source]]="All",Transport_Table[[#This Row],[Data Source]]=SelectedDataSource)</f>
        <v>0</v>
      </c>
      <c r="K834" s="14" t="b">
        <v>1</v>
      </c>
      <c r="L834" s="14" t="b">
        <f>AND(Transport_Table[[#This Row],[Show Feedstock]:[Show Data Source]],NOT(Transport_Table[[#This Row],[Hide Column]]))</f>
        <v>0</v>
      </c>
      <c r="M834" s="14" t="s">
        <v>14</v>
      </c>
      <c r="N834" s="14" t="s">
        <v>1215</v>
      </c>
      <c r="O834" s="14" t="s">
        <v>1297</v>
      </c>
      <c r="P834" s="178" t="s">
        <v>136</v>
      </c>
      <c r="Q834" s="241" t="s">
        <v>1938</v>
      </c>
      <c r="R834" s="147">
        <v>0</v>
      </c>
      <c r="S834" s="394">
        <v>0</v>
      </c>
      <c r="T834" s="107"/>
    </row>
    <row r="835" spans="1:20" x14ac:dyDescent="0.3">
      <c r="A835" s="190" t="s">
        <v>136</v>
      </c>
      <c r="B835" s="178" t="s">
        <v>1964</v>
      </c>
      <c r="C835" s="194" t="s">
        <v>194</v>
      </c>
      <c r="D835" s="194" t="s">
        <v>355</v>
      </c>
      <c r="E835" s="178" t="s">
        <v>31</v>
      </c>
      <c r="F835" s="14" t="b">
        <f>OR(Transport_Table[[#This Row],[Feedstock]]="All",Transport_Table[[#This Row],[Feedstock]]=SelectedFeedstock)</f>
        <v>0</v>
      </c>
      <c r="G835" s="14" t="b">
        <f>OR(Transport_Table[[#This Row],[Conversion]]="All",Transport_Table[[#This Row],[Conversion]]=SelectedConversion)</f>
        <v>0</v>
      </c>
      <c r="H835" s="14" t="b">
        <f>OR(Transport_Table[[#This Row],[Data Set]]="All",Transport_Table[[#This Row],[Data Set]]=SelectedDataSet)</f>
        <v>0</v>
      </c>
      <c r="I835" s="14" t="b">
        <f>OR(Transport_Table[[#This Row],[Technology]]="All",Transport_Table[[#This Row],[Technology]]=SelectedTechnology)</f>
        <v>1</v>
      </c>
      <c r="J835" s="14" t="b">
        <f>OR(Transport_Table[[#This Row],[Data Source]]="All",Transport_Table[[#This Row],[Data Source]]=SelectedDataSource)</f>
        <v>0</v>
      </c>
      <c r="K835" s="14" t="b">
        <v>1</v>
      </c>
      <c r="L835" s="14" t="b">
        <f>AND(Transport_Table[[#This Row],[Show Feedstock]:[Show Data Source]],NOT(Transport_Table[[#This Row],[Hide Column]]))</f>
        <v>0</v>
      </c>
      <c r="M835" s="14" t="s">
        <v>14</v>
      </c>
      <c r="N835" s="14" t="s">
        <v>1216</v>
      </c>
      <c r="O835" s="14" t="s">
        <v>1298</v>
      </c>
      <c r="P835" s="178" t="s">
        <v>136</v>
      </c>
      <c r="Q835" s="241" t="s">
        <v>1939</v>
      </c>
      <c r="R835" s="147">
        <v>0</v>
      </c>
      <c r="S835" s="394">
        <v>0</v>
      </c>
      <c r="T835" s="107"/>
    </row>
    <row r="836" spans="1:20" x14ac:dyDescent="0.3">
      <c r="A836" s="190" t="s">
        <v>136</v>
      </c>
      <c r="B836" s="178" t="s">
        <v>1964</v>
      </c>
      <c r="C836" s="194" t="s">
        <v>194</v>
      </c>
      <c r="D836" s="194" t="s">
        <v>355</v>
      </c>
      <c r="E836" s="178" t="s">
        <v>31</v>
      </c>
      <c r="F836" s="14" t="b">
        <f>OR(Transport_Table[[#This Row],[Feedstock]]="All",Transport_Table[[#This Row],[Feedstock]]=SelectedFeedstock)</f>
        <v>0</v>
      </c>
      <c r="G836" s="14" t="b">
        <f>OR(Transport_Table[[#This Row],[Conversion]]="All",Transport_Table[[#This Row],[Conversion]]=SelectedConversion)</f>
        <v>0</v>
      </c>
      <c r="H836" s="14" t="b">
        <f>OR(Transport_Table[[#This Row],[Data Set]]="All",Transport_Table[[#This Row],[Data Set]]=SelectedDataSet)</f>
        <v>0</v>
      </c>
      <c r="I836" s="14" t="b">
        <f>OR(Transport_Table[[#This Row],[Technology]]="All",Transport_Table[[#This Row],[Technology]]=SelectedTechnology)</f>
        <v>1</v>
      </c>
      <c r="J836" s="14" t="b">
        <f>OR(Transport_Table[[#This Row],[Data Source]]="All",Transport_Table[[#This Row],[Data Source]]=SelectedDataSource)</f>
        <v>0</v>
      </c>
      <c r="K836" s="14" t="b">
        <v>1</v>
      </c>
      <c r="L836" s="14" t="b">
        <f>AND(Transport_Table[[#This Row],[Show Feedstock]:[Show Data Source]],NOT(Transport_Table[[#This Row],[Hide Column]]))</f>
        <v>0</v>
      </c>
      <c r="M836" s="14" t="s">
        <v>14</v>
      </c>
      <c r="N836" s="14" t="s">
        <v>1217</v>
      </c>
      <c r="O836" s="14" t="s">
        <v>1299</v>
      </c>
      <c r="P836" s="178" t="s">
        <v>136</v>
      </c>
      <c r="Q836" s="241" t="s">
        <v>1941</v>
      </c>
      <c r="R836" s="147">
        <v>0</v>
      </c>
      <c r="S836" s="394">
        <v>0</v>
      </c>
      <c r="T836" s="107"/>
    </row>
    <row r="837" spans="1:20" x14ac:dyDescent="0.3">
      <c r="A837" s="190" t="s">
        <v>136</v>
      </c>
      <c r="B837" s="178" t="s">
        <v>1964</v>
      </c>
      <c r="C837" s="194" t="s">
        <v>194</v>
      </c>
      <c r="D837" s="194" t="s">
        <v>355</v>
      </c>
      <c r="E837" s="178" t="s">
        <v>31</v>
      </c>
      <c r="F837" s="14" t="b">
        <f>OR(Transport_Table[[#This Row],[Feedstock]]="All",Transport_Table[[#This Row],[Feedstock]]=SelectedFeedstock)</f>
        <v>0</v>
      </c>
      <c r="G837" s="14" t="b">
        <f>OR(Transport_Table[[#This Row],[Conversion]]="All",Transport_Table[[#This Row],[Conversion]]=SelectedConversion)</f>
        <v>0</v>
      </c>
      <c r="H837" s="14" t="b">
        <f>OR(Transport_Table[[#This Row],[Data Set]]="All",Transport_Table[[#This Row],[Data Set]]=SelectedDataSet)</f>
        <v>0</v>
      </c>
      <c r="I837" s="14" t="b">
        <f>OR(Transport_Table[[#This Row],[Technology]]="All",Transport_Table[[#This Row],[Technology]]=SelectedTechnology)</f>
        <v>1</v>
      </c>
      <c r="J837" s="14" t="b">
        <f>OR(Transport_Table[[#This Row],[Data Source]]="All",Transport_Table[[#This Row],[Data Source]]=SelectedDataSource)</f>
        <v>0</v>
      </c>
      <c r="K837" s="14" t="b">
        <v>1</v>
      </c>
      <c r="L837" s="14" t="b">
        <f>AND(Transport_Table[[#This Row],[Show Feedstock]:[Show Data Source]],NOT(Transport_Table[[#This Row],[Hide Column]]))</f>
        <v>0</v>
      </c>
      <c r="M837" s="14" t="s">
        <v>14</v>
      </c>
      <c r="N837" s="14" t="s">
        <v>1218</v>
      </c>
      <c r="O837" s="14" t="s">
        <v>1300</v>
      </c>
      <c r="P837" s="178" t="s">
        <v>136</v>
      </c>
      <c r="Q837" s="241" t="s">
        <v>1940</v>
      </c>
      <c r="R837" s="147">
        <v>1</v>
      </c>
      <c r="S837" s="398">
        <v>11.999966461680001</v>
      </c>
      <c r="T837" s="107"/>
    </row>
    <row r="838" spans="1:20" x14ac:dyDescent="0.3">
      <c r="A838" s="190" t="s">
        <v>136</v>
      </c>
      <c r="B838" s="178" t="s">
        <v>1964</v>
      </c>
      <c r="C838" s="194" t="s">
        <v>194</v>
      </c>
      <c r="D838" s="194" t="s">
        <v>355</v>
      </c>
      <c r="E838" s="178" t="s">
        <v>31</v>
      </c>
      <c r="F838" s="14" t="b">
        <f>OR(Transport_Table[[#This Row],[Feedstock]]="All",Transport_Table[[#This Row],[Feedstock]]=SelectedFeedstock)</f>
        <v>0</v>
      </c>
      <c r="G838" s="14" t="b">
        <f>OR(Transport_Table[[#This Row],[Conversion]]="All",Transport_Table[[#This Row],[Conversion]]=SelectedConversion)</f>
        <v>0</v>
      </c>
      <c r="H838" s="14" t="b">
        <f>OR(Transport_Table[[#This Row],[Data Set]]="All",Transport_Table[[#This Row],[Data Set]]=SelectedDataSet)</f>
        <v>0</v>
      </c>
      <c r="I838" s="14" t="b">
        <f>OR(Transport_Table[[#This Row],[Technology]]="All",Transport_Table[[#This Row],[Technology]]=SelectedTechnology)</f>
        <v>1</v>
      </c>
      <c r="J838" s="14" t="b">
        <f>OR(Transport_Table[[#This Row],[Data Source]]="All",Transport_Table[[#This Row],[Data Source]]=SelectedDataSource)</f>
        <v>0</v>
      </c>
      <c r="L838" s="14" t="b">
        <f>AND(Transport_Table[[#This Row],[Show Feedstock]:[Show Data Source]],NOT(Transport_Table[[#This Row],[Hide Column]]))</f>
        <v>0</v>
      </c>
      <c r="M838" s="14" t="s">
        <v>14</v>
      </c>
      <c r="N838" s="14" t="s">
        <v>1219</v>
      </c>
      <c r="O838" s="14" t="s">
        <v>1301</v>
      </c>
      <c r="P838" s="178" t="s">
        <v>1700</v>
      </c>
      <c r="Q838" s="241" t="s">
        <v>1938</v>
      </c>
      <c r="R838" s="147">
        <v>0.33</v>
      </c>
      <c r="S838" s="398">
        <v>520</v>
      </c>
      <c r="T838" s="107"/>
    </row>
    <row r="839" spans="1:20" x14ac:dyDescent="0.3">
      <c r="A839" s="190" t="s">
        <v>136</v>
      </c>
      <c r="B839" s="178" t="s">
        <v>1964</v>
      </c>
      <c r="C839" s="194" t="s">
        <v>194</v>
      </c>
      <c r="D839" s="194" t="s">
        <v>355</v>
      </c>
      <c r="E839" s="178" t="s">
        <v>31</v>
      </c>
      <c r="F839" s="14" t="b">
        <f>OR(Transport_Table[[#This Row],[Feedstock]]="All",Transport_Table[[#This Row],[Feedstock]]=SelectedFeedstock)</f>
        <v>0</v>
      </c>
      <c r="G839" s="14" t="b">
        <f>OR(Transport_Table[[#This Row],[Conversion]]="All",Transport_Table[[#This Row],[Conversion]]=SelectedConversion)</f>
        <v>0</v>
      </c>
      <c r="H839" s="14" t="b">
        <f>OR(Transport_Table[[#This Row],[Data Set]]="All",Transport_Table[[#This Row],[Data Set]]=SelectedDataSet)</f>
        <v>0</v>
      </c>
      <c r="I839" s="14" t="b">
        <f>OR(Transport_Table[[#This Row],[Technology]]="All",Transport_Table[[#This Row],[Technology]]=SelectedTechnology)</f>
        <v>1</v>
      </c>
      <c r="J839" s="14" t="b">
        <f>OR(Transport_Table[[#This Row],[Data Source]]="All",Transport_Table[[#This Row],[Data Source]]=SelectedDataSource)</f>
        <v>0</v>
      </c>
      <c r="L839" s="14" t="b">
        <f>AND(Transport_Table[[#This Row],[Show Feedstock]:[Show Data Source]],NOT(Transport_Table[[#This Row],[Hide Column]]))</f>
        <v>0</v>
      </c>
      <c r="M839" s="14" t="s">
        <v>14</v>
      </c>
      <c r="N839" s="14" t="s">
        <v>1220</v>
      </c>
      <c r="O839" s="14" t="s">
        <v>1302</v>
      </c>
      <c r="P839" s="178" t="s">
        <v>1700</v>
      </c>
      <c r="Q839" s="241" t="s">
        <v>1942</v>
      </c>
      <c r="R839" s="147">
        <v>0.6</v>
      </c>
      <c r="S839" s="398">
        <v>400</v>
      </c>
      <c r="T839" s="107"/>
    </row>
    <row r="840" spans="1:20" x14ac:dyDescent="0.3">
      <c r="A840" s="190" t="s">
        <v>136</v>
      </c>
      <c r="B840" s="178" t="s">
        <v>1964</v>
      </c>
      <c r="C840" s="194" t="s">
        <v>194</v>
      </c>
      <c r="D840" s="194" t="s">
        <v>355</v>
      </c>
      <c r="E840" s="178" t="s">
        <v>31</v>
      </c>
      <c r="F840" s="14" t="b">
        <f>OR(Transport_Table[[#This Row],[Feedstock]]="All",Transport_Table[[#This Row],[Feedstock]]=SelectedFeedstock)</f>
        <v>0</v>
      </c>
      <c r="G840" s="14" t="b">
        <f>OR(Transport_Table[[#This Row],[Conversion]]="All",Transport_Table[[#This Row],[Conversion]]=SelectedConversion)</f>
        <v>0</v>
      </c>
      <c r="H840" s="14" t="b">
        <f>OR(Transport_Table[[#This Row],[Data Set]]="All",Transport_Table[[#This Row],[Data Set]]=SelectedDataSet)</f>
        <v>0</v>
      </c>
      <c r="I840" s="14" t="b">
        <f>OR(Transport_Table[[#This Row],[Technology]]="All",Transport_Table[[#This Row],[Technology]]=SelectedTechnology)</f>
        <v>1</v>
      </c>
      <c r="J840" s="14" t="b">
        <f>OR(Transport_Table[[#This Row],[Data Source]]="All",Transport_Table[[#This Row],[Data Source]]=SelectedDataSource)</f>
        <v>0</v>
      </c>
      <c r="L840" s="14" t="b">
        <f>AND(Transport_Table[[#This Row],[Show Feedstock]:[Show Data Source]],NOT(Transport_Table[[#This Row],[Hide Column]]))</f>
        <v>0</v>
      </c>
      <c r="M840" s="14" t="s">
        <v>14</v>
      </c>
      <c r="N840" s="14" t="s">
        <v>1221</v>
      </c>
      <c r="O840" s="14" t="s">
        <v>1303</v>
      </c>
      <c r="P840" s="178" t="s">
        <v>1700</v>
      </c>
      <c r="Q840" s="241" t="s">
        <v>1939</v>
      </c>
      <c r="R840" s="147">
        <v>6.9999999999999951E-2</v>
      </c>
      <c r="S840" s="398">
        <v>800</v>
      </c>
      <c r="T840" s="107"/>
    </row>
    <row r="841" spans="1:20" x14ac:dyDescent="0.3">
      <c r="A841" s="192" t="s">
        <v>136</v>
      </c>
      <c r="B841" s="193" t="s">
        <v>1964</v>
      </c>
      <c r="C841" s="183" t="s">
        <v>194</v>
      </c>
      <c r="D841" s="194" t="s">
        <v>355</v>
      </c>
      <c r="E841" s="193" t="s">
        <v>31</v>
      </c>
      <c r="F841" s="14" t="b">
        <f>OR(Transport_Table[[#This Row],[Feedstock]]="All",Transport_Table[[#This Row],[Feedstock]]=SelectedFeedstock)</f>
        <v>0</v>
      </c>
      <c r="G841" s="14" t="b">
        <f>OR(Transport_Table[[#This Row],[Conversion]]="All",Transport_Table[[#This Row],[Conversion]]=SelectedConversion)</f>
        <v>0</v>
      </c>
      <c r="H841" s="14" t="b">
        <f>OR(Transport_Table[[#This Row],[Data Set]]="All",Transport_Table[[#This Row],[Data Set]]=SelectedDataSet)</f>
        <v>0</v>
      </c>
      <c r="I841" s="14" t="b">
        <f>OR(Transport_Table[[#This Row],[Technology]]="All",Transport_Table[[#This Row],[Technology]]=SelectedTechnology)</f>
        <v>1</v>
      </c>
      <c r="J841" s="14" t="b">
        <f>OR(Transport_Table[[#This Row],[Data Source]]="All",Transport_Table[[#This Row],[Data Source]]=SelectedDataSource)</f>
        <v>0</v>
      </c>
      <c r="L841" s="14" t="b">
        <f>AND(Transport_Table[[#This Row],[Show Feedstock]:[Show Data Source]],NOT(Transport_Table[[#This Row],[Hide Column]]))</f>
        <v>0</v>
      </c>
      <c r="M841" s="14" t="s">
        <v>14</v>
      </c>
      <c r="N841" s="14" t="s">
        <v>1222</v>
      </c>
      <c r="O841" s="14" t="s">
        <v>1304</v>
      </c>
      <c r="P841" s="178" t="s">
        <v>1700</v>
      </c>
      <c r="Q841" s="400" t="s">
        <v>1940</v>
      </c>
      <c r="R841" s="148">
        <v>1</v>
      </c>
      <c r="S841" s="399">
        <v>30</v>
      </c>
      <c r="T841" s="107"/>
    </row>
    <row r="842" spans="1:20" x14ac:dyDescent="0.3">
      <c r="A842" s="179" t="s">
        <v>1413</v>
      </c>
      <c r="B842" s="179" t="s">
        <v>1964</v>
      </c>
      <c r="C842" s="180" t="s">
        <v>194</v>
      </c>
      <c r="D842" s="182" t="s">
        <v>1399</v>
      </c>
      <c r="E842" s="181" t="s">
        <v>1398</v>
      </c>
      <c r="F842" s="14" t="b">
        <f>OR(Transport_Table[[#This Row],[Feedstock]]="All",Transport_Table[[#This Row],[Feedstock]]=SelectedFeedstock)</f>
        <v>0</v>
      </c>
      <c r="G842" s="14" t="b">
        <f>OR(Transport_Table[[#This Row],[Conversion]]="All",Transport_Table[[#This Row],[Conversion]]=SelectedConversion)</f>
        <v>0</v>
      </c>
      <c r="H842" s="14" t="b">
        <f>OR(Transport_Table[[#This Row],[Data Set]]="All",Transport_Table[[#This Row],[Data Set]]=SelectedDataSet)</f>
        <v>0</v>
      </c>
      <c r="I842" s="14" t="b">
        <f>OR(Transport_Table[[#This Row],[Technology]]="All",Transport_Table[[#This Row],[Technology]]=SelectedTechnology)</f>
        <v>0</v>
      </c>
      <c r="J842" s="14" t="b">
        <f>OR(Transport_Table[[#This Row],[Data Source]]="All",Transport_Table[[#This Row],[Data Source]]=SelectedDataSource)</f>
        <v>0</v>
      </c>
      <c r="L842" s="14" t="b">
        <f>AND(Transport_Table[[#This Row],[Show Feedstock]:[Show Data Source]],NOT(Transport_Table[[#This Row],[Hide Column]]))</f>
        <v>0</v>
      </c>
      <c r="M842" s="14" t="s">
        <v>1396</v>
      </c>
      <c r="N842" s="14" t="s">
        <v>1219</v>
      </c>
      <c r="O842" s="14" t="s">
        <v>1301</v>
      </c>
      <c r="P842" s="178" t="s">
        <v>1700</v>
      </c>
      <c r="Q842" s="241" t="s">
        <v>1938</v>
      </c>
      <c r="R842" s="147">
        <v>0.33</v>
      </c>
      <c r="S842" s="398">
        <v>520</v>
      </c>
      <c r="T842" s="107"/>
    </row>
    <row r="843" spans="1:20" x14ac:dyDescent="0.3">
      <c r="A843" s="179" t="s">
        <v>1413</v>
      </c>
      <c r="B843" s="179" t="s">
        <v>1964</v>
      </c>
      <c r="C843" s="180" t="s">
        <v>194</v>
      </c>
      <c r="D843" s="182" t="s">
        <v>1399</v>
      </c>
      <c r="E843" s="181" t="s">
        <v>1398</v>
      </c>
      <c r="F843" s="14" t="b">
        <f>OR(Transport_Table[[#This Row],[Feedstock]]="All",Transport_Table[[#This Row],[Feedstock]]=SelectedFeedstock)</f>
        <v>0</v>
      </c>
      <c r="G843" s="14" t="b">
        <f>OR(Transport_Table[[#This Row],[Conversion]]="All",Transport_Table[[#This Row],[Conversion]]=SelectedConversion)</f>
        <v>0</v>
      </c>
      <c r="H843" s="14" t="b">
        <f>OR(Transport_Table[[#This Row],[Data Set]]="All",Transport_Table[[#This Row],[Data Set]]=SelectedDataSet)</f>
        <v>0</v>
      </c>
      <c r="I843" s="14" t="b">
        <f>OR(Transport_Table[[#This Row],[Technology]]="All",Transport_Table[[#This Row],[Technology]]=SelectedTechnology)</f>
        <v>0</v>
      </c>
      <c r="J843" s="14" t="b">
        <f>OR(Transport_Table[[#This Row],[Data Source]]="All",Transport_Table[[#This Row],[Data Source]]=SelectedDataSource)</f>
        <v>0</v>
      </c>
      <c r="L843" s="14" t="b">
        <f>AND(Transport_Table[[#This Row],[Show Feedstock]:[Show Data Source]],NOT(Transport_Table[[#This Row],[Hide Column]]))</f>
        <v>0</v>
      </c>
      <c r="M843" s="14" t="s">
        <v>1396</v>
      </c>
      <c r="N843" s="14" t="s">
        <v>1220</v>
      </c>
      <c r="O843" s="14" t="s">
        <v>1302</v>
      </c>
      <c r="P843" s="178" t="s">
        <v>1700</v>
      </c>
      <c r="Q843" s="241" t="s">
        <v>1942</v>
      </c>
      <c r="R843" s="147">
        <v>0.6</v>
      </c>
      <c r="S843" s="398">
        <v>400</v>
      </c>
      <c r="T843" s="107"/>
    </row>
    <row r="844" spans="1:20" x14ac:dyDescent="0.3">
      <c r="A844" s="179" t="s">
        <v>1413</v>
      </c>
      <c r="B844" s="179" t="s">
        <v>1964</v>
      </c>
      <c r="C844" s="180" t="s">
        <v>194</v>
      </c>
      <c r="D844" s="182" t="s">
        <v>1399</v>
      </c>
      <c r="E844" s="181" t="s">
        <v>1398</v>
      </c>
      <c r="F844" s="14" t="b">
        <f>OR(Transport_Table[[#This Row],[Feedstock]]="All",Transport_Table[[#This Row],[Feedstock]]=SelectedFeedstock)</f>
        <v>0</v>
      </c>
      <c r="G844" s="14" t="b">
        <f>OR(Transport_Table[[#This Row],[Conversion]]="All",Transport_Table[[#This Row],[Conversion]]=SelectedConversion)</f>
        <v>0</v>
      </c>
      <c r="H844" s="14" t="b">
        <f>OR(Transport_Table[[#This Row],[Data Set]]="All",Transport_Table[[#This Row],[Data Set]]=SelectedDataSet)</f>
        <v>0</v>
      </c>
      <c r="I844" s="14" t="b">
        <f>OR(Transport_Table[[#This Row],[Technology]]="All",Transport_Table[[#This Row],[Technology]]=SelectedTechnology)</f>
        <v>0</v>
      </c>
      <c r="J844" s="14" t="b">
        <f>OR(Transport_Table[[#This Row],[Data Source]]="All",Transport_Table[[#This Row],[Data Source]]=SelectedDataSource)</f>
        <v>0</v>
      </c>
      <c r="L844" s="14" t="b">
        <f>AND(Transport_Table[[#This Row],[Show Feedstock]:[Show Data Source]],NOT(Transport_Table[[#This Row],[Hide Column]]))</f>
        <v>0</v>
      </c>
      <c r="M844" s="14" t="s">
        <v>1396</v>
      </c>
      <c r="N844" s="14" t="s">
        <v>1221</v>
      </c>
      <c r="O844" s="14" t="s">
        <v>1303</v>
      </c>
      <c r="P844" s="178" t="s">
        <v>1700</v>
      </c>
      <c r="Q844" s="241" t="s">
        <v>1939</v>
      </c>
      <c r="R844" s="147">
        <v>6.9999999999999951E-2</v>
      </c>
      <c r="S844" s="398">
        <v>800</v>
      </c>
      <c r="T844" s="107"/>
    </row>
    <row r="845" spans="1:20" x14ac:dyDescent="0.3">
      <c r="A845" s="179" t="s">
        <v>1413</v>
      </c>
      <c r="B845" s="179" t="s">
        <v>1964</v>
      </c>
      <c r="C845" s="180" t="s">
        <v>194</v>
      </c>
      <c r="D845" s="182" t="s">
        <v>1399</v>
      </c>
      <c r="E845" s="181" t="s">
        <v>1398</v>
      </c>
      <c r="F845" s="14" t="b">
        <f>OR(Transport_Table[[#This Row],[Feedstock]]="All",Transport_Table[[#This Row],[Feedstock]]=SelectedFeedstock)</f>
        <v>0</v>
      </c>
      <c r="G845" s="14" t="b">
        <f>OR(Transport_Table[[#This Row],[Conversion]]="All",Transport_Table[[#This Row],[Conversion]]=SelectedConversion)</f>
        <v>0</v>
      </c>
      <c r="H845" s="14" t="b">
        <f>OR(Transport_Table[[#This Row],[Data Set]]="All",Transport_Table[[#This Row],[Data Set]]=SelectedDataSet)</f>
        <v>0</v>
      </c>
      <c r="I845" s="14" t="b">
        <f>OR(Transport_Table[[#This Row],[Technology]]="All",Transport_Table[[#This Row],[Technology]]=SelectedTechnology)</f>
        <v>0</v>
      </c>
      <c r="J845" s="14" t="b">
        <f>OR(Transport_Table[[#This Row],[Data Source]]="All",Transport_Table[[#This Row],[Data Source]]=SelectedDataSource)</f>
        <v>0</v>
      </c>
      <c r="L845" s="14" t="b">
        <f>AND(Transport_Table[[#This Row],[Show Feedstock]:[Show Data Source]],NOT(Transport_Table[[#This Row],[Hide Column]]))</f>
        <v>0</v>
      </c>
      <c r="M845" s="14" t="s">
        <v>1396</v>
      </c>
      <c r="N845" s="14" t="s">
        <v>1222</v>
      </c>
      <c r="O845" s="14" t="s">
        <v>1304</v>
      </c>
      <c r="P845" s="178" t="s">
        <v>1700</v>
      </c>
      <c r="Q845" s="400" t="s">
        <v>1940</v>
      </c>
      <c r="R845" s="148">
        <v>1</v>
      </c>
      <c r="S845" s="399">
        <v>30</v>
      </c>
      <c r="T845" s="107"/>
    </row>
    <row r="846" spans="1:20" x14ac:dyDescent="0.3">
      <c r="A846" s="200" t="s">
        <v>1413</v>
      </c>
      <c r="B846" s="201" t="s">
        <v>1964</v>
      </c>
      <c r="C846" s="202" t="s">
        <v>194</v>
      </c>
      <c r="D846" s="203" t="s">
        <v>1399</v>
      </c>
      <c r="E846" s="203" t="s">
        <v>137</v>
      </c>
      <c r="F846" s="14" t="b">
        <f>OR(Transport_Table[[#This Row],[Feedstock]]="All",Transport_Table[[#This Row],[Feedstock]]=SelectedFeedstock)</f>
        <v>0</v>
      </c>
      <c r="G846" s="14" t="b">
        <f>OR(Transport_Table[[#This Row],[Conversion]]="All",Transport_Table[[#This Row],[Conversion]]=SelectedConversion)</f>
        <v>0</v>
      </c>
      <c r="H846" s="14" t="b">
        <f>OR(Transport_Table[[#This Row],[Data Set]]="All",Transport_Table[[#This Row],[Data Set]]=SelectedDataSet)</f>
        <v>0</v>
      </c>
      <c r="I846" s="14" t="b">
        <f>OR(Transport_Table[[#This Row],[Technology]]="All",Transport_Table[[#This Row],[Technology]]=SelectedTechnology)</f>
        <v>0</v>
      </c>
      <c r="J846" s="14" t="b">
        <f>OR(Transport_Table[[#This Row],[Data Source]]="All",Transport_Table[[#This Row],[Data Source]]=SelectedDataSource)</f>
        <v>0</v>
      </c>
      <c r="L846" s="14" t="b">
        <f>AND(Transport_Table[[#This Row],[Show Feedstock]:[Show Data Source]],NOT(Transport_Table[[#This Row],[Hide Column]]))</f>
        <v>0</v>
      </c>
      <c r="M846" s="14" t="s">
        <v>1396</v>
      </c>
      <c r="N846" s="14" t="s">
        <v>1219</v>
      </c>
      <c r="O846" s="14" t="s">
        <v>1301</v>
      </c>
      <c r="P846" s="178" t="s">
        <v>1700</v>
      </c>
      <c r="Q846" s="241" t="s">
        <v>1938</v>
      </c>
      <c r="R846" s="147">
        <v>0.33</v>
      </c>
      <c r="S846" s="398">
        <v>520</v>
      </c>
      <c r="T846" s="107"/>
    </row>
    <row r="847" spans="1:20" x14ac:dyDescent="0.3">
      <c r="A847" s="200" t="s">
        <v>1413</v>
      </c>
      <c r="B847" s="201" t="s">
        <v>1964</v>
      </c>
      <c r="C847" s="202" t="s">
        <v>194</v>
      </c>
      <c r="D847" s="203" t="s">
        <v>1399</v>
      </c>
      <c r="E847" s="203" t="s">
        <v>137</v>
      </c>
      <c r="F847" s="14" t="b">
        <f>OR(Transport_Table[[#This Row],[Feedstock]]="All",Transport_Table[[#This Row],[Feedstock]]=SelectedFeedstock)</f>
        <v>0</v>
      </c>
      <c r="G847" s="14" t="b">
        <f>OR(Transport_Table[[#This Row],[Conversion]]="All",Transport_Table[[#This Row],[Conversion]]=SelectedConversion)</f>
        <v>0</v>
      </c>
      <c r="H847" s="14" t="b">
        <f>OR(Transport_Table[[#This Row],[Data Set]]="All",Transport_Table[[#This Row],[Data Set]]=SelectedDataSet)</f>
        <v>0</v>
      </c>
      <c r="I847" s="14" t="b">
        <f>OR(Transport_Table[[#This Row],[Technology]]="All",Transport_Table[[#This Row],[Technology]]=SelectedTechnology)</f>
        <v>0</v>
      </c>
      <c r="J847" s="14" t="b">
        <f>OR(Transport_Table[[#This Row],[Data Source]]="All",Transport_Table[[#This Row],[Data Source]]=SelectedDataSource)</f>
        <v>0</v>
      </c>
      <c r="L847" s="14" t="b">
        <f>AND(Transport_Table[[#This Row],[Show Feedstock]:[Show Data Source]],NOT(Transport_Table[[#This Row],[Hide Column]]))</f>
        <v>0</v>
      </c>
      <c r="M847" s="14" t="s">
        <v>1396</v>
      </c>
      <c r="N847" s="14" t="s">
        <v>1220</v>
      </c>
      <c r="O847" s="14" t="s">
        <v>1302</v>
      </c>
      <c r="P847" s="178" t="s">
        <v>1700</v>
      </c>
      <c r="Q847" s="241" t="s">
        <v>1942</v>
      </c>
      <c r="R847" s="147">
        <v>0.6</v>
      </c>
      <c r="S847" s="398">
        <v>400</v>
      </c>
      <c r="T847" s="107"/>
    </row>
    <row r="848" spans="1:20" x14ac:dyDescent="0.3">
      <c r="A848" s="200" t="s">
        <v>1413</v>
      </c>
      <c r="B848" s="201" t="s">
        <v>1964</v>
      </c>
      <c r="C848" s="202" t="s">
        <v>194</v>
      </c>
      <c r="D848" s="203" t="s">
        <v>1399</v>
      </c>
      <c r="E848" s="203" t="s">
        <v>137</v>
      </c>
      <c r="F848" s="14" t="b">
        <f>OR(Transport_Table[[#This Row],[Feedstock]]="All",Transport_Table[[#This Row],[Feedstock]]=SelectedFeedstock)</f>
        <v>0</v>
      </c>
      <c r="G848" s="14" t="b">
        <f>OR(Transport_Table[[#This Row],[Conversion]]="All",Transport_Table[[#This Row],[Conversion]]=SelectedConversion)</f>
        <v>0</v>
      </c>
      <c r="H848" s="14" t="b">
        <f>OR(Transport_Table[[#This Row],[Data Set]]="All",Transport_Table[[#This Row],[Data Set]]=SelectedDataSet)</f>
        <v>0</v>
      </c>
      <c r="I848" s="14" t="b">
        <f>OR(Transport_Table[[#This Row],[Technology]]="All",Transport_Table[[#This Row],[Technology]]=SelectedTechnology)</f>
        <v>0</v>
      </c>
      <c r="J848" s="14" t="b">
        <f>OR(Transport_Table[[#This Row],[Data Source]]="All",Transport_Table[[#This Row],[Data Source]]=SelectedDataSource)</f>
        <v>0</v>
      </c>
      <c r="L848" s="14" t="b">
        <f>AND(Transport_Table[[#This Row],[Show Feedstock]:[Show Data Source]],NOT(Transport_Table[[#This Row],[Hide Column]]))</f>
        <v>0</v>
      </c>
      <c r="M848" s="14" t="s">
        <v>1396</v>
      </c>
      <c r="N848" s="14" t="s">
        <v>1221</v>
      </c>
      <c r="O848" s="14" t="s">
        <v>1303</v>
      </c>
      <c r="P848" s="178" t="s">
        <v>1700</v>
      </c>
      <c r="Q848" s="241" t="s">
        <v>1939</v>
      </c>
      <c r="R848" s="147">
        <v>6.9999999999999951E-2</v>
      </c>
      <c r="S848" s="398">
        <v>800</v>
      </c>
      <c r="T848" s="107"/>
    </row>
    <row r="849" spans="1:20" x14ac:dyDescent="0.3">
      <c r="A849" s="204" t="s">
        <v>1413</v>
      </c>
      <c r="B849" s="179" t="s">
        <v>1964</v>
      </c>
      <c r="C849" s="180" t="s">
        <v>194</v>
      </c>
      <c r="D849" s="182" t="s">
        <v>1399</v>
      </c>
      <c r="E849" s="203" t="s">
        <v>137</v>
      </c>
      <c r="F849" s="14" t="b">
        <f>OR(Transport_Table[[#This Row],[Feedstock]]="All",Transport_Table[[#This Row],[Feedstock]]=SelectedFeedstock)</f>
        <v>0</v>
      </c>
      <c r="G849" s="14" t="b">
        <f>OR(Transport_Table[[#This Row],[Conversion]]="All",Transport_Table[[#This Row],[Conversion]]=SelectedConversion)</f>
        <v>0</v>
      </c>
      <c r="H849" s="14" t="b">
        <f>OR(Transport_Table[[#This Row],[Data Set]]="All",Transport_Table[[#This Row],[Data Set]]=SelectedDataSet)</f>
        <v>0</v>
      </c>
      <c r="I849" s="14" t="b">
        <f>OR(Transport_Table[[#This Row],[Technology]]="All",Transport_Table[[#This Row],[Technology]]=SelectedTechnology)</f>
        <v>0</v>
      </c>
      <c r="J849" s="14" t="b">
        <f>OR(Transport_Table[[#This Row],[Data Source]]="All",Transport_Table[[#This Row],[Data Source]]=SelectedDataSource)</f>
        <v>0</v>
      </c>
      <c r="L849" s="14" t="b">
        <f>AND(Transport_Table[[#This Row],[Show Feedstock]:[Show Data Source]],NOT(Transport_Table[[#This Row],[Hide Column]]))</f>
        <v>0</v>
      </c>
      <c r="M849" s="14" t="s">
        <v>1396</v>
      </c>
      <c r="N849" s="14" t="s">
        <v>1222</v>
      </c>
      <c r="O849" s="14" t="s">
        <v>1304</v>
      </c>
      <c r="P849" s="178" t="s">
        <v>1700</v>
      </c>
      <c r="Q849" s="400" t="s">
        <v>1940</v>
      </c>
      <c r="R849" s="148">
        <v>1</v>
      </c>
      <c r="S849" s="399">
        <v>30</v>
      </c>
      <c r="T849" s="107"/>
    </row>
    <row r="850" spans="1:20" x14ac:dyDescent="0.3">
      <c r="A850" s="190" t="s">
        <v>447</v>
      </c>
      <c r="B850" s="178" t="s">
        <v>448</v>
      </c>
      <c r="C850" s="194" t="s">
        <v>194</v>
      </c>
      <c r="D850" s="194" t="s">
        <v>355</v>
      </c>
      <c r="E850" s="178" t="s">
        <v>31</v>
      </c>
      <c r="F850" s="14" t="b">
        <f>OR(Transport_Table[[#This Row],[Feedstock]]="All",Transport_Table[[#This Row],[Feedstock]]=SelectedFeedstock)</f>
        <v>0</v>
      </c>
      <c r="G850" s="14" t="b">
        <f>OR(Transport_Table[[#This Row],[Conversion]]="All",Transport_Table[[#This Row],[Conversion]]=SelectedConversion)</f>
        <v>0</v>
      </c>
      <c r="H850" s="14" t="b">
        <f>OR(Transport_Table[[#This Row],[Data Set]]="All",Transport_Table[[#This Row],[Data Set]]=SelectedDataSet)</f>
        <v>0</v>
      </c>
      <c r="I850" s="14" t="b">
        <f>OR(Transport_Table[[#This Row],[Technology]]="All",Transport_Table[[#This Row],[Technology]]=SelectedTechnology)</f>
        <v>1</v>
      </c>
      <c r="J850" s="14" t="b">
        <f>OR(Transport_Table[[#This Row],[Data Source]]="All",Transport_Table[[#This Row],[Data Source]]=SelectedDataSource)</f>
        <v>0</v>
      </c>
      <c r="K850" s="14" t="b">
        <v>1</v>
      </c>
      <c r="L850" s="14" t="b">
        <f>AND(Transport_Table[[#This Row],[Show Feedstock]:[Show Data Source]],NOT(Transport_Table[[#This Row],[Hide Column]]))</f>
        <v>0</v>
      </c>
      <c r="M850" s="14" t="s">
        <v>14</v>
      </c>
      <c r="N850" s="14" t="s">
        <v>1234</v>
      </c>
      <c r="O850" s="14" t="s">
        <v>1316</v>
      </c>
      <c r="P850" s="178" t="s">
        <v>447</v>
      </c>
      <c r="Q850" s="241" t="s">
        <v>1940</v>
      </c>
      <c r="R850" s="147">
        <v>1</v>
      </c>
      <c r="S850" s="398">
        <v>11.999966461680001</v>
      </c>
      <c r="T850" s="107"/>
    </row>
    <row r="851" spans="1:20" x14ac:dyDescent="0.3">
      <c r="A851" s="190" t="s">
        <v>447</v>
      </c>
      <c r="B851" s="178" t="s">
        <v>448</v>
      </c>
      <c r="C851" s="194" t="s">
        <v>194</v>
      </c>
      <c r="D851" s="194" t="s">
        <v>355</v>
      </c>
      <c r="E851" s="178" t="s">
        <v>31</v>
      </c>
      <c r="F851" s="14" t="b">
        <f>OR(Transport_Table[[#This Row],[Feedstock]]="All",Transport_Table[[#This Row],[Feedstock]]=SelectedFeedstock)</f>
        <v>0</v>
      </c>
      <c r="G851" s="14" t="b">
        <f>OR(Transport_Table[[#This Row],[Conversion]]="All",Transport_Table[[#This Row],[Conversion]]=SelectedConversion)</f>
        <v>0</v>
      </c>
      <c r="H851" s="14" t="b">
        <f>OR(Transport_Table[[#This Row],[Data Set]]="All",Transport_Table[[#This Row],[Data Set]]=SelectedDataSet)</f>
        <v>0</v>
      </c>
      <c r="I851" s="14" t="b">
        <f>OR(Transport_Table[[#This Row],[Technology]]="All",Transport_Table[[#This Row],[Technology]]=SelectedTechnology)</f>
        <v>1</v>
      </c>
      <c r="J851" s="14" t="b">
        <f>OR(Transport_Table[[#This Row],[Data Source]]="All",Transport_Table[[#This Row],[Data Source]]=SelectedDataSource)</f>
        <v>0</v>
      </c>
      <c r="L851" s="14" t="b">
        <f>AND(Transport_Table[[#This Row],[Show Feedstock]:[Show Data Source]],NOT(Transport_Table[[#This Row],[Hide Column]]))</f>
        <v>0</v>
      </c>
      <c r="M851" s="14" t="s">
        <v>14</v>
      </c>
      <c r="N851" s="14" t="s">
        <v>1161</v>
      </c>
      <c r="O851" s="14" t="s">
        <v>1243</v>
      </c>
      <c r="P851" s="178" t="s">
        <v>1700</v>
      </c>
      <c r="Q851" s="241" t="s">
        <v>1938</v>
      </c>
      <c r="R851" s="147">
        <v>0.08</v>
      </c>
      <c r="S851" s="398">
        <v>519.99854667279999</v>
      </c>
      <c r="T851" s="107"/>
    </row>
    <row r="852" spans="1:20" x14ac:dyDescent="0.3">
      <c r="A852" s="190" t="s">
        <v>447</v>
      </c>
      <c r="B852" s="178" t="s">
        <v>448</v>
      </c>
      <c r="C852" s="194" t="s">
        <v>194</v>
      </c>
      <c r="D852" s="194" t="s">
        <v>355</v>
      </c>
      <c r="E852" s="178" t="s">
        <v>31</v>
      </c>
      <c r="F852" s="14" t="b">
        <f>OR(Transport_Table[[#This Row],[Feedstock]]="All",Transport_Table[[#This Row],[Feedstock]]=SelectedFeedstock)</f>
        <v>0</v>
      </c>
      <c r="G852" s="14" t="b">
        <f>OR(Transport_Table[[#This Row],[Conversion]]="All",Transport_Table[[#This Row],[Conversion]]=SelectedConversion)</f>
        <v>0</v>
      </c>
      <c r="H852" s="14" t="b">
        <f>OR(Transport_Table[[#This Row],[Data Set]]="All",Transport_Table[[#This Row],[Data Set]]=SelectedDataSet)</f>
        <v>0</v>
      </c>
      <c r="I852" s="14" t="b">
        <f>OR(Transport_Table[[#This Row],[Technology]]="All",Transport_Table[[#This Row],[Technology]]=SelectedTechnology)</f>
        <v>1</v>
      </c>
      <c r="J852" s="14" t="b">
        <f>OR(Transport_Table[[#This Row],[Data Source]]="All",Transport_Table[[#This Row],[Data Source]]=SelectedDataSource)</f>
        <v>0</v>
      </c>
      <c r="L852" s="14" t="b">
        <f>AND(Transport_Table[[#This Row],[Show Feedstock]:[Show Data Source]],NOT(Transport_Table[[#This Row],[Hide Column]]))</f>
        <v>0</v>
      </c>
      <c r="M852" s="14" t="s">
        <v>14</v>
      </c>
      <c r="N852" s="14" t="s">
        <v>1162</v>
      </c>
      <c r="O852" s="14" t="s">
        <v>1244</v>
      </c>
      <c r="P852" s="178" t="s">
        <v>1700</v>
      </c>
      <c r="Q852" s="241" t="s">
        <v>1942</v>
      </c>
      <c r="R852" s="147">
        <v>0</v>
      </c>
      <c r="S852" s="394">
        <v>0</v>
      </c>
      <c r="T852" s="107"/>
    </row>
    <row r="853" spans="1:20" x14ac:dyDescent="0.3">
      <c r="A853" s="190" t="s">
        <v>447</v>
      </c>
      <c r="B853" s="178" t="s">
        <v>448</v>
      </c>
      <c r="C853" s="194" t="s">
        <v>194</v>
      </c>
      <c r="D853" s="194" t="s">
        <v>355</v>
      </c>
      <c r="E853" s="178" t="s">
        <v>31</v>
      </c>
      <c r="F853" s="14" t="b">
        <f>OR(Transport_Table[[#This Row],[Feedstock]]="All",Transport_Table[[#This Row],[Feedstock]]=SelectedFeedstock)</f>
        <v>0</v>
      </c>
      <c r="G853" s="14" t="b">
        <f>OR(Transport_Table[[#This Row],[Conversion]]="All",Transport_Table[[#This Row],[Conversion]]=SelectedConversion)</f>
        <v>0</v>
      </c>
      <c r="H853" s="14" t="b">
        <f>OR(Transport_Table[[#This Row],[Data Set]]="All",Transport_Table[[#This Row],[Data Set]]=SelectedDataSet)</f>
        <v>0</v>
      </c>
      <c r="I853" s="14" t="b">
        <f>OR(Transport_Table[[#This Row],[Technology]]="All",Transport_Table[[#This Row],[Technology]]=SelectedTechnology)</f>
        <v>1</v>
      </c>
      <c r="J853" s="14" t="b">
        <f>OR(Transport_Table[[#This Row],[Data Source]]="All",Transport_Table[[#This Row],[Data Source]]=SelectedDataSource)</f>
        <v>0</v>
      </c>
      <c r="L853" s="14" t="b">
        <f>AND(Transport_Table[[#This Row],[Show Feedstock]:[Show Data Source]],NOT(Transport_Table[[#This Row],[Hide Column]]))</f>
        <v>0</v>
      </c>
      <c r="M853" s="14" t="s">
        <v>14</v>
      </c>
      <c r="N853" s="14" t="s">
        <v>1163</v>
      </c>
      <c r="O853" s="14" t="s">
        <v>1245</v>
      </c>
      <c r="P853" s="178" t="s">
        <v>1700</v>
      </c>
      <c r="Q853" s="241" t="s">
        <v>1939</v>
      </c>
      <c r="R853" s="147">
        <v>0.28999999999999998</v>
      </c>
      <c r="S853" s="398">
        <v>799.99776411200003</v>
      </c>
      <c r="T853" s="107"/>
    </row>
    <row r="854" spans="1:20" x14ac:dyDescent="0.3">
      <c r="A854" s="190" t="s">
        <v>447</v>
      </c>
      <c r="B854" s="178" t="s">
        <v>448</v>
      </c>
      <c r="C854" s="194" t="s">
        <v>194</v>
      </c>
      <c r="D854" s="194" t="s">
        <v>355</v>
      </c>
      <c r="E854" s="178" t="s">
        <v>31</v>
      </c>
      <c r="F854" s="14" t="b">
        <f>OR(Transport_Table[[#This Row],[Feedstock]]="All",Transport_Table[[#This Row],[Feedstock]]=SelectedFeedstock)</f>
        <v>0</v>
      </c>
      <c r="G854" s="14" t="b">
        <f>OR(Transport_Table[[#This Row],[Conversion]]="All",Transport_Table[[#This Row],[Conversion]]=SelectedConversion)</f>
        <v>0</v>
      </c>
      <c r="H854" s="14" t="b">
        <f>OR(Transport_Table[[#This Row],[Data Set]]="All",Transport_Table[[#This Row],[Data Set]]=SelectedDataSet)</f>
        <v>0</v>
      </c>
      <c r="I854" s="14" t="b">
        <f>OR(Transport_Table[[#This Row],[Technology]]="All",Transport_Table[[#This Row],[Technology]]=SelectedTechnology)</f>
        <v>1</v>
      </c>
      <c r="J854" s="14" t="b">
        <f>OR(Transport_Table[[#This Row],[Data Source]]="All",Transport_Table[[#This Row],[Data Source]]=SelectedDataSource)</f>
        <v>0</v>
      </c>
      <c r="L854" s="14" t="b">
        <f>AND(Transport_Table[[#This Row],[Show Feedstock]:[Show Data Source]],NOT(Transport_Table[[#This Row],[Hide Column]]))</f>
        <v>0</v>
      </c>
      <c r="M854" s="14" t="s">
        <v>14</v>
      </c>
      <c r="N854" s="14" t="s">
        <v>1164</v>
      </c>
      <c r="O854" s="14" t="s">
        <v>1246</v>
      </c>
      <c r="P854" s="178" t="s">
        <v>1700</v>
      </c>
      <c r="Q854" s="241" t="s">
        <v>1940</v>
      </c>
      <c r="R854" s="147">
        <v>0.63</v>
      </c>
      <c r="S854" s="398">
        <v>49.999860257000002</v>
      </c>
      <c r="T854" s="107"/>
    </row>
    <row r="855" spans="1:20" x14ac:dyDescent="0.3">
      <c r="A855" s="192" t="s">
        <v>447</v>
      </c>
      <c r="B855" s="193" t="s">
        <v>448</v>
      </c>
      <c r="C855" s="183" t="s">
        <v>194</v>
      </c>
      <c r="D855" s="194" t="s">
        <v>355</v>
      </c>
      <c r="E855" s="193" t="s">
        <v>31</v>
      </c>
      <c r="F855" s="14" t="b">
        <f>OR(Transport_Table[[#This Row],[Feedstock]]="All",Transport_Table[[#This Row],[Feedstock]]=SelectedFeedstock)</f>
        <v>0</v>
      </c>
      <c r="G855" s="14" t="b">
        <f>OR(Transport_Table[[#This Row],[Conversion]]="All",Transport_Table[[#This Row],[Conversion]]=SelectedConversion)</f>
        <v>0</v>
      </c>
      <c r="H855" s="14" t="b">
        <f>OR(Transport_Table[[#This Row],[Data Set]]="All",Transport_Table[[#This Row],[Data Set]]=SelectedDataSet)</f>
        <v>0</v>
      </c>
      <c r="I855" s="14" t="b">
        <f>OR(Transport_Table[[#This Row],[Technology]]="All",Transport_Table[[#This Row],[Technology]]=SelectedTechnology)</f>
        <v>1</v>
      </c>
      <c r="J855" s="14" t="b">
        <f>OR(Transport_Table[[#This Row],[Data Source]]="All",Transport_Table[[#This Row],[Data Source]]=SelectedDataSource)</f>
        <v>0</v>
      </c>
      <c r="L855" s="14" t="b">
        <f>AND(Transport_Table[[#This Row],[Show Feedstock]:[Show Data Source]],NOT(Transport_Table[[#This Row],[Hide Column]]))</f>
        <v>0</v>
      </c>
      <c r="M855" s="14" t="s">
        <v>14</v>
      </c>
      <c r="N855" s="14" t="s">
        <v>1165</v>
      </c>
      <c r="O855" s="14" t="s">
        <v>1247</v>
      </c>
      <c r="P855" s="178" t="s">
        <v>1701</v>
      </c>
      <c r="Q855" s="400" t="s">
        <v>1940</v>
      </c>
      <c r="R855" s="148">
        <v>1</v>
      </c>
      <c r="S855" s="399">
        <v>29.999916154200001</v>
      </c>
      <c r="T855" s="107"/>
    </row>
    <row r="856" spans="1:20" x14ac:dyDescent="0.3">
      <c r="A856" s="190" t="s">
        <v>447</v>
      </c>
      <c r="B856" s="178" t="s">
        <v>1964</v>
      </c>
      <c r="C856" s="194" t="s">
        <v>29</v>
      </c>
      <c r="D856" s="194" t="s">
        <v>29</v>
      </c>
      <c r="E856" s="178" t="s">
        <v>31</v>
      </c>
      <c r="F856" s="14" t="b">
        <f>OR(Transport_Table[[#This Row],[Feedstock]]="All",Transport_Table[[#This Row],[Feedstock]]=SelectedFeedstock)</f>
        <v>0</v>
      </c>
      <c r="G856" s="14" t="b">
        <f>OR(Transport_Table[[#This Row],[Conversion]]="All",Transport_Table[[#This Row],[Conversion]]=SelectedConversion)</f>
        <v>0</v>
      </c>
      <c r="H856" s="14" t="b">
        <f>OR(Transport_Table[[#This Row],[Data Set]]="All",Transport_Table[[#This Row],[Data Set]]=SelectedDataSet)</f>
        <v>1</v>
      </c>
      <c r="I856" s="14" t="b">
        <f>OR(Transport_Table[[#This Row],[Technology]]="All",Transport_Table[[#This Row],[Technology]]=SelectedTechnology)</f>
        <v>1</v>
      </c>
      <c r="J856" s="14" t="b">
        <f>OR(Transport_Table[[#This Row],[Data Source]]="All",Transport_Table[[#This Row],[Data Source]]=SelectedDataSource)</f>
        <v>1</v>
      </c>
      <c r="K856" s="14" t="b">
        <v>1</v>
      </c>
      <c r="L856" s="14" t="b">
        <f>AND(Transport_Table[[#This Row],[Show Feedstock]:[Show Data Source]],NOT(Transport_Table[[#This Row],[Hide Column]]))</f>
        <v>0</v>
      </c>
      <c r="M856" s="14" t="s">
        <v>14</v>
      </c>
      <c r="N856" s="14" t="s">
        <v>1440</v>
      </c>
      <c r="O856" s="14" t="s">
        <v>1441</v>
      </c>
      <c r="P856" s="178" t="s">
        <v>447</v>
      </c>
      <c r="Q856" s="241" t="s">
        <v>1940</v>
      </c>
      <c r="R856" s="147">
        <v>1</v>
      </c>
      <c r="S856" s="398">
        <v>430</v>
      </c>
      <c r="T856" s="107"/>
    </row>
    <row r="857" spans="1:20" x14ac:dyDescent="0.3">
      <c r="A857" s="422" t="s">
        <v>447</v>
      </c>
      <c r="B857" s="423" t="s">
        <v>1964</v>
      </c>
      <c r="C857" s="424" t="s">
        <v>29</v>
      </c>
      <c r="D857" s="424" t="s">
        <v>29</v>
      </c>
      <c r="E857" s="423" t="s">
        <v>31</v>
      </c>
      <c r="F857" s="402" t="b">
        <f>OR(Transport_Table[[#This Row],[Feedstock]]="All",Transport_Table[[#This Row],[Feedstock]]=SelectedFeedstock)</f>
        <v>0</v>
      </c>
      <c r="G857" s="402" t="b">
        <f>OR(Transport_Table[[#This Row],[Conversion]]="All",Transport_Table[[#This Row],[Conversion]]=SelectedConversion)</f>
        <v>0</v>
      </c>
      <c r="H857" s="402" t="b">
        <f>OR(Transport_Table[[#This Row],[Data Set]]="All",Transport_Table[[#This Row],[Data Set]]=SelectedDataSet)</f>
        <v>1</v>
      </c>
      <c r="I857" s="402" t="b">
        <f>OR(Transport_Table[[#This Row],[Technology]]="All",Transport_Table[[#This Row],[Technology]]=SelectedTechnology)</f>
        <v>1</v>
      </c>
      <c r="J857" s="402" t="b">
        <f>OR(Transport_Table[[#This Row],[Data Source]]="All",Transport_Table[[#This Row],[Data Source]]=SelectedDataSource)</f>
        <v>1</v>
      </c>
      <c r="K857" s="402"/>
      <c r="L857" s="402" t="b">
        <f>AND(Transport_Table[[#This Row],[Show Feedstock]:[Show Data Source]],NOT(Transport_Table[[#This Row],[Hide Column]]))</f>
        <v>0</v>
      </c>
      <c r="M857" s="402" t="s">
        <v>14</v>
      </c>
      <c r="N857" s="402" t="s">
        <v>1971</v>
      </c>
      <c r="O857" s="402" t="s">
        <v>1972</v>
      </c>
      <c r="P857" s="423" t="s">
        <v>138</v>
      </c>
      <c r="Q857" s="423" t="s">
        <v>1986</v>
      </c>
      <c r="R857" s="425">
        <v>0</v>
      </c>
      <c r="S857" s="394">
        <v>0</v>
      </c>
      <c r="T857" s="135"/>
    </row>
    <row r="858" spans="1:20" x14ac:dyDescent="0.3">
      <c r="A858" s="422" t="s">
        <v>447</v>
      </c>
      <c r="B858" s="423" t="s">
        <v>1964</v>
      </c>
      <c r="C858" s="424" t="s">
        <v>29</v>
      </c>
      <c r="D858" s="424" t="s">
        <v>29</v>
      </c>
      <c r="E858" s="423" t="s">
        <v>31</v>
      </c>
      <c r="F858" s="402" t="b">
        <f>OR(Transport_Table[[#This Row],[Feedstock]]="All",Transport_Table[[#This Row],[Feedstock]]=SelectedFeedstock)</f>
        <v>0</v>
      </c>
      <c r="G858" s="402" t="b">
        <f>OR(Transport_Table[[#This Row],[Conversion]]="All",Transport_Table[[#This Row],[Conversion]]=SelectedConversion)</f>
        <v>0</v>
      </c>
      <c r="H858" s="402" t="b">
        <f>OR(Transport_Table[[#This Row],[Data Set]]="All",Transport_Table[[#This Row],[Data Set]]=SelectedDataSet)</f>
        <v>1</v>
      </c>
      <c r="I858" s="402" t="b">
        <f>OR(Transport_Table[[#This Row],[Technology]]="All",Transport_Table[[#This Row],[Technology]]=SelectedTechnology)</f>
        <v>1</v>
      </c>
      <c r="J858" s="402" t="b">
        <f>OR(Transport_Table[[#This Row],[Data Source]]="All",Transport_Table[[#This Row],[Data Source]]=SelectedDataSource)</f>
        <v>1</v>
      </c>
      <c r="K858" s="402"/>
      <c r="L858" s="402" t="b">
        <f>AND(Transport_Table[[#This Row],[Show Feedstock]:[Show Data Source]],NOT(Transport_Table[[#This Row],[Hide Column]]))</f>
        <v>0</v>
      </c>
      <c r="M858" s="402" t="s">
        <v>14</v>
      </c>
      <c r="N858" s="402" t="s">
        <v>2048</v>
      </c>
      <c r="O858" s="402" t="s">
        <v>2049</v>
      </c>
      <c r="P858" s="423" t="s">
        <v>138</v>
      </c>
      <c r="Q858" s="423" t="s">
        <v>1987</v>
      </c>
      <c r="R858" s="425">
        <v>0</v>
      </c>
      <c r="S858" s="394">
        <v>0</v>
      </c>
      <c r="T858" s="135"/>
    </row>
    <row r="859" spans="1:20" x14ac:dyDescent="0.3">
      <c r="A859" s="422" t="s">
        <v>447</v>
      </c>
      <c r="B859" s="423" t="s">
        <v>1964</v>
      </c>
      <c r="C859" s="424" t="s">
        <v>29</v>
      </c>
      <c r="D859" s="424" t="s">
        <v>29</v>
      </c>
      <c r="E859" s="423" t="s">
        <v>31</v>
      </c>
      <c r="F859" s="402" t="b">
        <f>OR(Transport_Table[[#This Row],[Feedstock]]="All",Transport_Table[[#This Row],[Feedstock]]=SelectedFeedstock)</f>
        <v>0</v>
      </c>
      <c r="G859" s="402" t="b">
        <f>OR(Transport_Table[[#This Row],[Conversion]]="All",Transport_Table[[#This Row],[Conversion]]=SelectedConversion)</f>
        <v>0</v>
      </c>
      <c r="H859" s="402" t="b">
        <f>OR(Transport_Table[[#This Row],[Data Set]]="All",Transport_Table[[#This Row],[Data Set]]=SelectedDataSet)</f>
        <v>1</v>
      </c>
      <c r="I859" s="402" t="b">
        <f>OR(Transport_Table[[#This Row],[Technology]]="All",Transport_Table[[#This Row],[Technology]]=SelectedTechnology)</f>
        <v>1</v>
      </c>
      <c r="J859" s="402" t="b">
        <f>OR(Transport_Table[[#This Row],[Data Source]]="All",Transport_Table[[#This Row],[Data Source]]=SelectedDataSource)</f>
        <v>1</v>
      </c>
      <c r="K859" s="402"/>
      <c r="L859" s="402" t="b">
        <f>AND(Transport_Table[[#This Row],[Show Feedstock]:[Show Data Source]],NOT(Transport_Table[[#This Row],[Hide Column]]))</f>
        <v>0</v>
      </c>
      <c r="M859" s="402" t="s">
        <v>14</v>
      </c>
      <c r="N859" s="402" t="s">
        <v>1973</v>
      </c>
      <c r="O859" s="402" t="s">
        <v>1974</v>
      </c>
      <c r="P859" s="423" t="s">
        <v>138</v>
      </c>
      <c r="Q859" s="423" t="s">
        <v>1988</v>
      </c>
      <c r="R859" s="425">
        <v>0</v>
      </c>
      <c r="S859" s="394">
        <v>0</v>
      </c>
      <c r="T859" s="135"/>
    </row>
    <row r="860" spans="1:20" x14ac:dyDescent="0.3">
      <c r="A860" s="422" t="s">
        <v>447</v>
      </c>
      <c r="B860" s="423" t="s">
        <v>1964</v>
      </c>
      <c r="C860" s="424" t="s">
        <v>29</v>
      </c>
      <c r="D860" s="424" t="s">
        <v>29</v>
      </c>
      <c r="E860" s="423" t="s">
        <v>31</v>
      </c>
      <c r="F860" s="402" t="b">
        <f>OR(Transport_Table[[#This Row],[Feedstock]]="All",Transport_Table[[#This Row],[Feedstock]]=SelectedFeedstock)</f>
        <v>0</v>
      </c>
      <c r="G860" s="402" t="b">
        <f>OR(Transport_Table[[#This Row],[Conversion]]="All",Transport_Table[[#This Row],[Conversion]]=SelectedConversion)</f>
        <v>0</v>
      </c>
      <c r="H860" s="402" t="b">
        <f>OR(Transport_Table[[#This Row],[Data Set]]="All",Transport_Table[[#This Row],[Data Set]]=SelectedDataSet)</f>
        <v>1</v>
      </c>
      <c r="I860" s="402" t="b">
        <f>OR(Transport_Table[[#This Row],[Technology]]="All",Transport_Table[[#This Row],[Technology]]=SelectedTechnology)</f>
        <v>1</v>
      </c>
      <c r="J860" s="402" t="b">
        <f>OR(Transport_Table[[#This Row],[Data Source]]="All",Transport_Table[[#This Row],[Data Source]]=SelectedDataSource)</f>
        <v>1</v>
      </c>
      <c r="K860" s="402"/>
      <c r="L860" s="402" t="b">
        <f>AND(Transport_Table[[#This Row],[Show Feedstock]:[Show Data Source]],NOT(Transport_Table[[#This Row],[Hide Column]]))</f>
        <v>0</v>
      </c>
      <c r="M860" s="402" t="s">
        <v>14</v>
      </c>
      <c r="N860" s="402" t="s">
        <v>1440</v>
      </c>
      <c r="O860" s="402" t="s">
        <v>1441</v>
      </c>
      <c r="P860" s="423" t="s">
        <v>138</v>
      </c>
      <c r="Q860" s="423" t="s">
        <v>1989</v>
      </c>
      <c r="R860" s="425">
        <v>1</v>
      </c>
      <c r="S860" s="426">
        <v>430</v>
      </c>
      <c r="T860" s="135"/>
    </row>
    <row r="861" spans="1:20" x14ac:dyDescent="0.3">
      <c r="A861" s="190" t="s">
        <v>447</v>
      </c>
      <c r="B861" s="178" t="s">
        <v>1964</v>
      </c>
      <c r="C861" s="194" t="s">
        <v>29</v>
      </c>
      <c r="D861" s="194" t="s">
        <v>29</v>
      </c>
      <c r="E861" s="178" t="s">
        <v>31</v>
      </c>
      <c r="F861" s="14" t="b">
        <f>OR(Transport_Table[[#This Row],[Feedstock]]="All",Transport_Table[[#This Row],[Feedstock]]=SelectedFeedstock)</f>
        <v>0</v>
      </c>
      <c r="G861" s="14" t="b">
        <f>OR(Transport_Table[[#This Row],[Conversion]]="All",Transport_Table[[#This Row],[Conversion]]=SelectedConversion)</f>
        <v>0</v>
      </c>
      <c r="H861" s="14" t="b">
        <f>OR(Transport_Table[[#This Row],[Data Set]]="All",Transport_Table[[#This Row],[Data Set]]=SelectedDataSet)</f>
        <v>1</v>
      </c>
      <c r="I861" s="14" t="b">
        <f>OR(Transport_Table[[#This Row],[Technology]]="All",Transport_Table[[#This Row],[Technology]]=SelectedTechnology)</f>
        <v>1</v>
      </c>
      <c r="J861" s="14" t="b">
        <f>OR(Transport_Table[[#This Row],[Data Source]]="All",Transport_Table[[#This Row],[Data Source]]=SelectedDataSource)</f>
        <v>1</v>
      </c>
      <c r="L861" s="14" t="b">
        <f>AND(Transport_Table[[#This Row],[Show Feedstock]:[Show Data Source]],NOT(Transport_Table[[#This Row],[Hide Column]]))</f>
        <v>0</v>
      </c>
      <c r="M861" s="14" t="s">
        <v>14</v>
      </c>
      <c r="N861" s="402" t="s">
        <v>1437</v>
      </c>
      <c r="O861" s="402" t="s">
        <v>1438</v>
      </c>
      <c r="P861" s="178" t="s">
        <v>138</v>
      </c>
      <c r="Q861" s="423" t="s">
        <v>2158</v>
      </c>
      <c r="R861" s="147">
        <v>1</v>
      </c>
      <c r="S861" s="398">
        <v>7416</v>
      </c>
      <c r="T861" s="107"/>
    </row>
    <row r="862" spans="1:20" x14ac:dyDescent="0.3">
      <c r="A862" s="422" t="s">
        <v>447</v>
      </c>
      <c r="B862" s="423" t="s">
        <v>1964</v>
      </c>
      <c r="C862" s="424" t="s">
        <v>29</v>
      </c>
      <c r="D862" s="424" t="s">
        <v>29</v>
      </c>
      <c r="E862" s="423" t="s">
        <v>31</v>
      </c>
      <c r="F862" s="402" t="b">
        <f>OR(Transport_Table[[#This Row],[Feedstock]]="All",Transport_Table[[#This Row],[Feedstock]]=SelectedFeedstock)</f>
        <v>0</v>
      </c>
      <c r="G862" s="402" t="b">
        <f>OR(Transport_Table[[#This Row],[Conversion]]="All",Transport_Table[[#This Row],[Conversion]]=SelectedConversion)</f>
        <v>0</v>
      </c>
      <c r="H862" s="402" t="b">
        <f>OR(Transport_Table[[#This Row],[Data Set]]="All",Transport_Table[[#This Row],[Data Set]]=SelectedDataSet)</f>
        <v>1</v>
      </c>
      <c r="I862" s="402" t="b">
        <f>OR(Transport_Table[[#This Row],[Technology]]="All",Transport_Table[[#This Row],[Technology]]=SelectedTechnology)</f>
        <v>1</v>
      </c>
      <c r="J862" s="402" t="b">
        <f>OR(Transport_Table[[#This Row],[Data Source]]="All",Transport_Table[[#This Row],[Data Source]]=SelectedDataSource)</f>
        <v>1</v>
      </c>
      <c r="K862" s="402"/>
      <c r="L862" s="402" t="b">
        <f>AND(Transport_Table[[#This Row],[Show Feedstock]:[Show Data Source]],NOT(Transport_Table[[#This Row],[Hide Column]]))</f>
        <v>0</v>
      </c>
      <c r="M862" s="402" t="s">
        <v>14</v>
      </c>
      <c r="N862" s="402" t="s">
        <v>1975</v>
      </c>
      <c r="O862" s="402" t="s">
        <v>1979</v>
      </c>
      <c r="P862" s="423" t="s">
        <v>138</v>
      </c>
      <c r="Q862" s="423" t="s">
        <v>1990</v>
      </c>
      <c r="R862" s="425">
        <v>0</v>
      </c>
      <c r="S862" s="394">
        <v>0</v>
      </c>
      <c r="T862" s="135"/>
    </row>
    <row r="863" spans="1:20" x14ac:dyDescent="0.3">
      <c r="A863" s="422" t="s">
        <v>447</v>
      </c>
      <c r="B863" s="423" t="s">
        <v>1964</v>
      </c>
      <c r="C863" s="424" t="s">
        <v>29</v>
      </c>
      <c r="D863" s="424" t="s">
        <v>29</v>
      </c>
      <c r="E863" s="423" t="s">
        <v>31</v>
      </c>
      <c r="F863" s="402" t="b">
        <f>OR(Transport_Table[[#This Row],[Feedstock]]="All",Transport_Table[[#This Row],[Feedstock]]=SelectedFeedstock)</f>
        <v>0</v>
      </c>
      <c r="G863" s="402" t="b">
        <f>OR(Transport_Table[[#This Row],[Conversion]]="All",Transport_Table[[#This Row],[Conversion]]=SelectedConversion)</f>
        <v>0</v>
      </c>
      <c r="H863" s="402" t="b">
        <f>OR(Transport_Table[[#This Row],[Data Set]]="All",Transport_Table[[#This Row],[Data Set]]=SelectedDataSet)</f>
        <v>1</v>
      </c>
      <c r="I863" s="402" t="b">
        <f>OR(Transport_Table[[#This Row],[Technology]]="All",Transport_Table[[#This Row],[Technology]]=SelectedTechnology)</f>
        <v>1</v>
      </c>
      <c r="J863" s="402" t="b">
        <f>OR(Transport_Table[[#This Row],[Data Source]]="All",Transport_Table[[#This Row],[Data Source]]=SelectedDataSource)</f>
        <v>1</v>
      </c>
      <c r="K863" s="402"/>
      <c r="L863" s="402" t="b">
        <f>AND(Transport_Table[[#This Row],[Show Feedstock]:[Show Data Source]],NOT(Transport_Table[[#This Row],[Hide Column]]))</f>
        <v>0</v>
      </c>
      <c r="M863" s="402" t="s">
        <v>14</v>
      </c>
      <c r="N863" s="402" t="s">
        <v>1976</v>
      </c>
      <c r="O863" s="402" t="s">
        <v>1980</v>
      </c>
      <c r="P863" s="423" t="s">
        <v>138</v>
      </c>
      <c r="Q863" s="423" t="s">
        <v>1991</v>
      </c>
      <c r="R863" s="425">
        <v>0</v>
      </c>
      <c r="S863" s="394">
        <v>0</v>
      </c>
      <c r="T863" s="135"/>
    </row>
    <row r="864" spans="1:20" x14ac:dyDescent="0.3">
      <c r="A864" s="190" t="s">
        <v>447</v>
      </c>
      <c r="B864" s="178" t="s">
        <v>1964</v>
      </c>
      <c r="C864" s="194" t="s">
        <v>29</v>
      </c>
      <c r="D864" s="194" t="s">
        <v>29</v>
      </c>
      <c r="E864" s="178" t="s">
        <v>31</v>
      </c>
      <c r="F864" s="14" t="b">
        <f>OR(Transport_Table[[#This Row],[Feedstock]]="All",Transport_Table[[#This Row],[Feedstock]]=SelectedFeedstock)</f>
        <v>0</v>
      </c>
      <c r="G864" s="14" t="b">
        <f>OR(Transport_Table[[#This Row],[Conversion]]="All",Transport_Table[[#This Row],[Conversion]]=SelectedConversion)</f>
        <v>0</v>
      </c>
      <c r="H864" s="14" t="b">
        <f>OR(Transport_Table[[#This Row],[Data Set]]="All",Transport_Table[[#This Row],[Data Set]]=SelectedDataSet)</f>
        <v>1</v>
      </c>
      <c r="I864" s="14" t="b">
        <f>OR(Transport_Table[[#This Row],[Technology]]="All",Transport_Table[[#This Row],[Technology]]=SelectedTechnology)</f>
        <v>1</v>
      </c>
      <c r="J864" s="14" t="b">
        <f>OR(Transport_Table[[#This Row],[Data Source]]="All",Transport_Table[[#This Row],[Data Source]]=SelectedDataSource)</f>
        <v>1</v>
      </c>
      <c r="L864" s="14" t="b">
        <f>AND(Transport_Table[[#This Row],[Show Feedstock]:[Show Data Source]],NOT(Transport_Table[[#This Row],[Hide Column]]))</f>
        <v>0</v>
      </c>
      <c r="M864" s="14" t="s">
        <v>14</v>
      </c>
      <c r="N864" s="402" t="s">
        <v>1977</v>
      </c>
      <c r="O864" s="402" t="s">
        <v>1981</v>
      </c>
      <c r="P864" s="178" t="s">
        <v>138</v>
      </c>
      <c r="Q864" s="423" t="s">
        <v>1992</v>
      </c>
      <c r="R864" s="147">
        <v>0</v>
      </c>
      <c r="S864" s="394">
        <v>0</v>
      </c>
      <c r="T864" s="107"/>
    </row>
    <row r="865" spans="1:21" x14ac:dyDescent="0.3">
      <c r="A865" s="190" t="s">
        <v>447</v>
      </c>
      <c r="B865" s="178" t="s">
        <v>1964</v>
      </c>
      <c r="C865" s="194" t="s">
        <v>29</v>
      </c>
      <c r="D865" s="194" t="s">
        <v>29</v>
      </c>
      <c r="E865" s="178" t="s">
        <v>31</v>
      </c>
      <c r="F865" s="14" t="b">
        <f>OR(Transport_Table[[#This Row],[Feedstock]]="All",Transport_Table[[#This Row],[Feedstock]]=SelectedFeedstock)</f>
        <v>0</v>
      </c>
      <c r="G865" s="14" t="b">
        <f>OR(Transport_Table[[#This Row],[Conversion]]="All",Transport_Table[[#This Row],[Conversion]]=SelectedConversion)</f>
        <v>0</v>
      </c>
      <c r="H865" s="14" t="b">
        <f>OR(Transport_Table[[#This Row],[Data Set]]="All",Transport_Table[[#This Row],[Data Set]]=SelectedDataSet)</f>
        <v>1</v>
      </c>
      <c r="I865" s="14" t="b">
        <f>OR(Transport_Table[[#This Row],[Technology]]="All",Transport_Table[[#This Row],[Technology]]=SelectedTechnology)</f>
        <v>1</v>
      </c>
      <c r="J865" s="14" t="b">
        <f>OR(Transport_Table[[#This Row],[Data Source]]="All",Transport_Table[[#This Row],[Data Source]]=SelectedDataSource)</f>
        <v>1</v>
      </c>
      <c r="L865" s="14" t="b">
        <f>AND(Transport_Table[[#This Row],[Show Feedstock]:[Show Data Source]],NOT(Transport_Table[[#This Row],[Hide Column]]))</f>
        <v>0</v>
      </c>
      <c r="M865" s="14" t="s">
        <v>14</v>
      </c>
      <c r="N865" s="402" t="s">
        <v>1978</v>
      </c>
      <c r="O865" s="402" t="s">
        <v>1439</v>
      </c>
      <c r="P865" s="178" t="s">
        <v>138</v>
      </c>
      <c r="Q865" s="423" t="s">
        <v>1993</v>
      </c>
      <c r="R865" s="147">
        <v>1</v>
      </c>
      <c r="S865" s="398">
        <v>100</v>
      </c>
      <c r="T865" s="107"/>
    </row>
    <row r="866" spans="1:21" x14ac:dyDescent="0.3">
      <c r="A866" s="190" t="s">
        <v>447</v>
      </c>
      <c r="B866" s="178" t="s">
        <v>1964</v>
      </c>
      <c r="C866" s="194" t="s">
        <v>29</v>
      </c>
      <c r="D866" s="194" t="s">
        <v>29</v>
      </c>
      <c r="E866" s="178" t="s">
        <v>31</v>
      </c>
      <c r="F866" s="14" t="b">
        <f>OR(Transport_Table[[#This Row],[Feedstock]]="All",Transport_Table[[#This Row],[Feedstock]]=SelectedFeedstock)</f>
        <v>0</v>
      </c>
      <c r="G866" s="14" t="b">
        <f>OR(Transport_Table[[#This Row],[Conversion]]="All",Transport_Table[[#This Row],[Conversion]]=SelectedConversion)</f>
        <v>0</v>
      </c>
      <c r="H866" s="14" t="b">
        <f>OR(Transport_Table[[#This Row],[Data Set]]="All",Transport_Table[[#This Row],[Data Set]]=SelectedDataSet)</f>
        <v>1</v>
      </c>
      <c r="I866" s="14" t="b">
        <f>OR(Transport_Table[[#This Row],[Technology]]="All",Transport_Table[[#This Row],[Technology]]=SelectedTechnology)</f>
        <v>1</v>
      </c>
      <c r="J866" s="14" t="b">
        <f>OR(Transport_Table[[#This Row],[Data Source]]="All",Transport_Table[[#This Row],[Data Source]]=SelectedDataSource)</f>
        <v>1</v>
      </c>
      <c r="L866" s="14" t="b">
        <f>AND(Transport_Table[[#This Row],[Show Feedstock]:[Show Data Source]],NOT(Transport_Table[[#This Row],[Hide Column]]))</f>
        <v>0</v>
      </c>
      <c r="M866" s="14" t="s">
        <v>14</v>
      </c>
      <c r="N866" s="14" t="s">
        <v>1219</v>
      </c>
      <c r="O866" s="14" t="s">
        <v>1301</v>
      </c>
      <c r="P866" s="178" t="s">
        <v>1700</v>
      </c>
      <c r="Q866" s="241" t="s">
        <v>1994</v>
      </c>
      <c r="R866" s="393">
        <v>0.33</v>
      </c>
      <c r="S866" s="394">
        <v>520</v>
      </c>
      <c r="T866" s="107"/>
    </row>
    <row r="867" spans="1:21" x14ac:dyDescent="0.3">
      <c r="A867" s="190" t="s">
        <v>447</v>
      </c>
      <c r="B867" s="178" t="s">
        <v>1964</v>
      </c>
      <c r="C867" s="194" t="s">
        <v>29</v>
      </c>
      <c r="D867" s="194" t="s">
        <v>29</v>
      </c>
      <c r="E867" s="178" t="s">
        <v>31</v>
      </c>
      <c r="F867" s="14" t="b">
        <f>OR(Transport_Table[[#This Row],[Feedstock]]="All",Transport_Table[[#This Row],[Feedstock]]=SelectedFeedstock)</f>
        <v>0</v>
      </c>
      <c r="G867" s="14" t="b">
        <f>OR(Transport_Table[[#This Row],[Conversion]]="All",Transport_Table[[#This Row],[Conversion]]=SelectedConversion)</f>
        <v>0</v>
      </c>
      <c r="H867" s="14" t="b">
        <f>OR(Transport_Table[[#This Row],[Data Set]]="All",Transport_Table[[#This Row],[Data Set]]=SelectedDataSet)</f>
        <v>1</v>
      </c>
      <c r="I867" s="14" t="b">
        <f>OR(Transport_Table[[#This Row],[Technology]]="All",Transport_Table[[#This Row],[Technology]]=SelectedTechnology)</f>
        <v>1</v>
      </c>
      <c r="J867" s="14" t="b">
        <f>OR(Transport_Table[[#This Row],[Data Source]]="All",Transport_Table[[#This Row],[Data Source]]=SelectedDataSource)</f>
        <v>1</v>
      </c>
      <c r="L867" s="14" t="b">
        <f>AND(Transport_Table[[#This Row],[Show Feedstock]:[Show Data Source]],NOT(Transport_Table[[#This Row],[Hide Column]]))</f>
        <v>0</v>
      </c>
      <c r="M867" s="14" t="s">
        <v>14</v>
      </c>
      <c r="N867" s="14" t="s">
        <v>1220</v>
      </c>
      <c r="O867" s="14" t="s">
        <v>1302</v>
      </c>
      <c r="P867" s="178" t="s">
        <v>1700</v>
      </c>
      <c r="Q867" s="241" t="s">
        <v>1995</v>
      </c>
      <c r="R867" s="393">
        <v>0.6</v>
      </c>
      <c r="S867" s="394">
        <v>400</v>
      </c>
      <c r="T867" s="107"/>
    </row>
    <row r="868" spans="1:21" x14ac:dyDescent="0.3">
      <c r="A868" s="190" t="s">
        <v>447</v>
      </c>
      <c r="B868" s="178" t="s">
        <v>1964</v>
      </c>
      <c r="C868" s="194" t="s">
        <v>29</v>
      </c>
      <c r="D868" s="194" t="s">
        <v>29</v>
      </c>
      <c r="E868" s="178" t="s">
        <v>31</v>
      </c>
      <c r="F868" s="14" t="b">
        <f>OR(Transport_Table[[#This Row],[Feedstock]]="All",Transport_Table[[#This Row],[Feedstock]]=SelectedFeedstock)</f>
        <v>0</v>
      </c>
      <c r="G868" s="14" t="b">
        <f>OR(Transport_Table[[#This Row],[Conversion]]="All",Transport_Table[[#This Row],[Conversion]]=SelectedConversion)</f>
        <v>0</v>
      </c>
      <c r="H868" s="14" t="b">
        <f>OR(Transport_Table[[#This Row],[Data Set]]="All",Transport_Table[[#This Row],[Data Set]]=SelectedDataSet)</f>
        <v>1</v>
      </c>
      <c r="I868" s="14" t="b">
        <f>OR(Transport_Table[[#This Row],[Technology]]="All",Transport_Table[[#This Row],[Technology]]=SelectedTechnology)</f>
        <v>1</v>
      </c>
      <c r="J868" s="14" t="b">
        <f>OR(Transport_Table[[#This Row],[Data Source]]="All",Transport_Table[[#This Row],[Data Source]]=SelectedDataSource)</f>
        <v>1</v>
      </c>
      <c r="L868" s="14" t="b">
        <f>AND(Transport_Table[[#This Row],[Show Feedstock]:[Show Data Source]],NOT(Transport_Table[[#This Row],[Hide Column]]))</f>
        <v>0</v>
      </c>
      <c r="M868" s="14" t="s">
        <v>14</v>
      </c>
      <c r="N868" s="14" t="s">
        <v>1221</v>
      </c>
      <c r="O868" s="14" t="s">
        <v>1303</v>
      </c>
      <c r="P868" s="178" t="s">
        <v>1700</v>
      </c>
      <c r="Q868" s="241" t="s">
        <v>1996</v>
      </c>
      <c r="R868" s="393">
        <v>6.9999999999999951E-2</v>
      </c>
      <c r="S868" s="394">
        <v>800</v>
      </c>
      <c r="T868" s="107"/>
    </row>
    <row r="869" spans="1:21" x14ac:dyDescent="0.3">
      <c r="A869" s="190" t="s">
        <v>447</v>
      </c>
      <c r="B869" s="178" t="s">
        <v>1964</v>
      </c>
      <c r="C869" s="194" t="s">
        <v>29</v>
      </c>
      <c r="D869" s="194" t="s">
        <v>29</v>
      </c>
      <c r="E869" s="178" t="s">
        <v>31</v>
      </c>
      <c r="F869" s="14" t="b">
        <f>OR(Transport_Table[[#This Row],[Feedstock]]="All",Transport_Table[[#This Row],[Feedstock]]=SelectedFeedstock)</f>
        <v>0</v>
      </c>
      <c r="G869" s="14" t="b">
        <f>OR(Transport_Table[[#This Row],[Conversion]]="All",Transport_Table[[#This Row],[Conversion]]=SelectedConversion)</f>
        <v>0</v>
      </c>
      <c r="H869" s="14" t="b">
        <f>OR(Transport_Table[[#This Row],[Data Set]]="All",Transport_Table[[#This Row],[Data Set]]=SelectedDataSet)</f>
        <v>1</v>
      </c>
      <c r="I869" s="14" t="b">
        <f>OR(Transport_Table[[#This Row],[Technology]]="All",Transport_Table[[#This Row],[Technology]]=SelectedTechnology)</f>
        <v>1</v>
      </c>
      <c r="J869" s="14" t="b">
        <f>OR(Transport_Table[[#This Row],[Data Source]]="All",Transport_Table[[#This Row],[Data Source]]=SelectedDataSource)</f>
        <v>1</v>
      </c>
      <c r="L869" s="14" t="b">
        <f>AND(Transport_Table[[#This Row],[Show Feedstock]:[Show Data Source]],NOT(Transport_Table[[#This Row],[Hide Column]]))</f>
        <v>0</v>
      </c>
      <c r="M869" s="14" t="s">
        <v>14</v>
      </c>
      <c r="N869" s="14" t="s">
        <v>1849</v>
      </c>
      <c r="O869" s="14" t="s">
        <v>1850</v>
      </c>
      <c r="P869" s="178" t="s">
        <v>1700</v>
      </c>
      <c r="Q869" s="241" t="s">
        <v>1997</v>
      </c>
      <c r="R869" s="393">
        <v>0</v>
      </c>
      <c r="S869" s="394">
        <v>0</v>
      </c>
      <c r="T869" s="107"/>
    </row>
    <row r="870" spans="1:21" x14ac:dyDescent="0.3">
      <c r="A870" s="190" t="s">
        <v>447</v>
      </c>
      <c r="B870" s="178" t="s">
        <v>1964</v>
      </c>
      <c r="C870" s="194" t="s">
        <v>29</v>
      </c>
      <c r="D870" s="194" t="s">
        <v>29</v>
      </c>
      <c r="E870" s="178" t="s">
        <v>31</v>
      </c>
      <c r="F870" s="14" t="b">
        <f>OR(Transport_Table[[#This Row],[Feedstock]]="All",Transport_Table[[#This Row],[Feedstock]]=SelectedFeedstock)</f>
        <v>0</v>
      </c>
      <c r="G870" s="14" t="b">
        <f>OR(Transport_Table[[#This Row],[Conversion]]="All",Transport_Table[[#This Row],[Conversion]]=SelectedConversion)</f>
        <v>0</v>
      </c>
      <c r="H870" s="14" t="b">
        <f>OR(Transport_Table[[#This Row],[Data Set]]="All",Transport_Table[[#This Row],[Data Set]]=SelectedDataSet)</f>
        <v>1</v>
      </c>
      <c r="I870" s="14" t="b">
        <f>OR(Transport_Table[[#This Row],[Technology]]="All",Transport_Table[[#This Row],[Technology]]=SelectedTechnology)</f>
        <v>1</v>
      </c>
      <c r="J870" s="14" t="b">
        <f>OR(Transport_Table[[#This Row],[Data Source]]="All",Transport_Table[[#This Row],[Data Source]]=SelectedDataSource)</f>
        <v>1</v>
      </c>
      <c r="K870" s="14" t="b">
        <v>1</v>
      </c>
      <c r="L870" s="14" t="b">
        <f>AND(Transport_Table[[#This Row],[Show Feedstock]:[Show Data Source]],NOT(Transport_Table[[#This Row],[Hide Column]]))</f>
        <v>0</v>
      </c>
      <c r="M870" s="14" t="s">
        <v>14</v>
      </c>
      <c r="N870" s="14" t="s">
        <v>1851</v>
      </c>
      <c r="O870" s="14" t="s">
        <v>1852</v>
      </c>
      <c r="P870" s="178" t="s">
        <v>1713</v>
      </c>
      <c r="Q870" s="241" t="s">
        <v>1998</v>
      </c>
      <c r="R870" s="393">
        <v>0</v>
      </c>
      <c r="S870" s="394">
        <v>0</v>
      </c>
      <c r="T870" s="107"/>
    </row>
    <row r="871" spans="1:21" x14ac:dyDescent="0.3">
      <c r="A871" s="190" t="s">
        <v>447</v>
      </c>
      <c r="B871" s="178" t="s">
        <v>1964</v>
      </c>
      <c r="C871" s="194" t="s">
        <v>29</v>
      </c>
      <c r="D871" s="194" t="s">
        <v>29</v>
      </c>
      <c r="E871" s="178" t="s">
        <v>31</v>
      </c>
      <c r="F871" s="14" t="b">
        <f>OR(Transport_Table[[#This Row],[Feedstock]]="All",Transport_Table[[#This Row],[Feedstock]]=SelectedFeedstock)</f>
        <v>0</v>
      </c>
      <c r="G871" s="14" t="b">
        <f>OR(Transport_Table[[#This Row],[Conversion]]="All",Transport_Table[[#This Row],[Conversion]]=SelectedConversion)</f>
        <v>0</v>
      </c>
      <c r="H871" s="14" t="b">
        <f>OR(Transport_Table[[#This Row],[Data Set]]="All",Transport_Table[[#This Row],[Data Set]]=SelectedDataSet)</f>
        <v>1</v>
      </c>
      <c r="I871" s="14" t="b">
        <f>OR(Transport_Table[[#This Row],[Technology]]="All",Transport_Table[[#This Row],[Technology]]=SelectedTechnology)</f>
        <v>1</v>
      </c>
      <c r="J871" s="14" t="b">
        <f>OR(Transport_Table[[#This Row],[Data Source]]="All",Transport_Table[[#This Row],[Data Source]]=SelectedDataSource)</f>
        <v>1</v>
      </c>
      <c r="K871" s="14" t="b">
        <v>1</v>
      </c>
      <c r="L871" s="14" t="b">
        <f>AND(Transport_Table[[#This Row],[Show Feedstock]:[Show Data Source]],NOT(Transport_Table[[#This Row],[Hide Column]]))</f>
        <v>0</v>
      </c>
      <c r="M871" s="14" t="s">
        <v>14</v>
      </c>
      <c r="N871" s="14" t="s">
        <v>1853</v>
      </c>
      <c r="O871" s="14" t="s">
        <v>1854</v>
      </c>
      <c r="P871" s="178" t="s">
        <v>1713</v>
      </c>
      <c r="Q871" s="241" t="s">
        <v>1999</v>
      </c>
      <c r="R871" s="393">
        <v>0</v>
      </c>
      <c r="S871" s="394">
        <v>0</v>
      </c>
      <c r="T871" s="107"/>
    </row>
    <row r="872" spans="1:21" x14ac:dyDescent="0.3">
      <c r="A872" s="190" t="s">
        <v>447</v>
      </c>
      <c r="B872" s="178" t="s">
        <v>1964</v>
      </c>
      <c r="C872" s="194" t="s">
        <v>29</v>
      </c>
      <c r="D872" s="194" t="s">
        <v>29</v>
      </c>
      <c r="E872" s="178" t="s">
        <v>31</v>
      </c>
      <c r="F872" s="14" t="b">
        <f>OR(Transport_Table[[#This Row],[Feedstock]]="All",Transport_Table[[#This Row],[Feedstock]]=SelectedFeedstock)</f>
        <v>0</v>
      </c>
      <c r="G872" s="14" t="b">
        <f>OR(Transport_Table[[#This Row],[Conversion]]="All",Transport_Table[[#This Row],[Conversion]]=SelectedConversion)</f>
        <v>0</v>
      </c>
      <c r="H872" s="14" t="b">
        <f>OR(Transport_Table[[#This Row],[Data Set]]="All",Transport_Table[[#This Row],[Data Set]]=SelectedDataSet)</f>
        <v>1</v>
      </c>
      <c r="I872" s="14" t="b">
        <f>OR(Transport_Table[[#This Row],[Technology]]="All",Transport_Table[[#This Row],[Technology]]=SelectedTechnology)</f>
        <v>1</v>
      </c>
      <c r="J872" s="14" t="b">
        <f>OR(Transport_Table[[#This Row],[Data Source]]="All",Transport_Table[[#This Row],[Data Source]]=SelectedDataSource)</f>
        <v>1</v>
      </c>
      <c r="K872" s="14" t="b">
        <v>1</v>
      </c>
      <c r="L872" s="14" t="b">
        <f>AND(Transport_Table[[#This Row],[Show Feedstock]:[Show Data Source]],NOT(Transport_Table[[#This Row],[Hide Column]]))</f>
        <v>0</v>
      </c>
      <c r="M872" s="14" t="s">
        <v>14</v>
      </c>
      <c r="N872" s="14" t="s">
        <v>1855</v>
      </c>
      <c r="O872" s="14" t="s">
        <v>1856</v>
      </c>
      <c r="P872" s="178" t="s">
        <v>1713</v>
      </c>
      <c r="Q872" s="241" t="s">
        <v>2000</v>
      </c>
      <c r="R872" s="393">
        <v>0</v>
      </c>
      <c r="S872" s="394">
        <v>0</v>
      </c>
      <c r="T872" s="107"/>
    </row>
    <row r="873" spans="1:21" x14ac:dyDescent="0.3">
      <c r="A873" s="192" t="s">
        <v>447</v>
      </c>
      <c r="B873" s="193" t="s">
        <v>1964</v>
      </c>
      <c r="C873" s="194" t="s">
        <v>29</v>
      </c>
      <c r="D873" s="194" t="s">
        <v>29</v>
      </c>
      <c r="E873" s="193" t="s">
        <v>31</v>
      </c>
      <c r="F873" s="14" t="b">
        <f>OR(Transport_Table[[#This Row],[Feedstock]]="All",Transport_Table[[#This Row],[Feedstock]]=SelectedFeedstock)</f>
        <v>0</v>
      </c>
      <c r="G873" s="14" t="b">
        <f>OR(Transport_Table[[#This Row],[Conversion]]="All",Transport_Table[[#This Row],[Conversion]]=SelectedConversion)</f>
        <v>0</v>
      </c>
      <c r="H873" s="14" t="b">
        <f>OR(Transport_Table[[#This Row],[Data Set]]="All",Transport_Table[[#This Row],[Data Set]]=SelectedDataSet)</f>
        <v>1</v>
      </c>
      <c r="I873" s="14" t="b">
        <f>OR(Transport_Table[[#This Row],[Technology]]="All",Transport_Table[[#This Row],[Technology]]=SelectedTechnology)</f>
        <v>1</v>
      </c>
      <c r="J873" s="14" t="b">
        <f>OR(Transport_Table[[#This Row],[Data Source]]="All",Transport_Table[[#This Row],[Data Source]]=SelectedDataSource)</f>
        <v>1</v>
      </c>
      <c r="K873" s="14" t="b">
        <v>1</v>
      </c>
      <c r="L873" s="14" t="b">
        <f>AND(Transport_Table[[#This Row],[Show Feedstock]:[Show Data Source]],NOT(Transport_Table[[#This Row],[Hide Column]]))</f>
        <v>0</v>
      </c>
      <c r="M873" s="14" t="s">
        <v>14</v>
      </c>
      <c r="N873" s="14" t="s">
        <v>1857</v>
      </c>
      <c r="O873" s="14" t="s">
        <v>1858</v>
      </c>
      <c r="P873" s="178" t="s">
        <v>1713</v>
      </c>
      <c r="Q873" s="241" t="s">
        <v>2001</v>
      </c>
      <c r="R873" s="393">
        <v>1</v>
      </c>
      <c r="S873" s="394">
        <v>30</v>
      </c>
      <c r="T873" s="107"/>
    </row>
    <row r="874" spans="1:21" x14ac:dyDescent="0.3">
      <c r="A874" s="326" t="s">
        <v>435</v>
      </c>
      <c r="B874" s="326" t="s">
        <v>435</v>
      </c>
      <c r="C874" s="326" t="s">
        <v>435</v>
      </c>
      <c r="D874" s="326" t="s">
        <v>435</v>
      </c>
      <c r="E874" s="326" t="s">
        <v>435</v>
      </c>
      <c r="F874" s="240" t="b">
        <f>OR(Transport_Table[[#This Row],[Feedstock]]="All",Transport_Table[[#This Row],[Feedstock]]=SelectedFeedstock)</f>
        <v>1</v>
      </c>
      <c r="G874" s="240" t="b">
        <f>OR(Transport_Table[[#This Row],[Conversion]]="All",Transport_Table[[#This Row],[Conversion]]=SelectedConversion)</f>
        <v>1</v>
      </c>
      <c r="H874" s="240" t="b">
        <f>OR(Transport_Table[[#This Row],[Data Set]]="All",Transport_Table[[#This Row],[Data Set]]=SelectedDataSet)</f>
        <v>1</v>
      </c>
      <c r="I874" s="240" t="b">
        <f>OR(Transport_Table[[#This Row],[Technology]]="All",Transport_Table[[#This Row],[Technology]]=SelectedTechnology)</f>
        <v>1</v>
      </c>
      <c r="J874" s="240" t="b">
        <f>OR(Transport_Table[[#This Row],[Data Source]]="All",Transport_Table[[#This Row],[Data Source]]=SelectedDataSource)</f>
        <v>1</v>
      </c>
      <c r="K874" s="240" t="b">
        <v>0</v>
      </c>
      <c r="L874" s="240" t="b">
        <f>AND(Transport_Table[[#This Row],[Show Feedstock]:[Show Data Source]],NOT(Transport_Table[[#This Row],[Hide Column]]))</f>
        <v>1</v>
      </c>
      <c r="M874" s="240" t="s">
        <v>14</v>
      </c>
      <c r="N874" s="327" t="s">
        <v>1916</v>
      </c>
      <c r="O874" s="327" t="s">
        <v>1915</v>
      </c>
      <c r="P874" s="241" t="s">
        <v>1925</v>
      </c>
      <c r="Q874" s="241" t="s">
        <v>2014</v>
      </c>
      <c r="R874" s="328">
        <v>1</v>
      </c>
      <c r="S874" s="252">
        <v>150</v>
      </c>
      <c r="T874" s="253"/>
      <c r="U874" s="240"/>
    </row>
    <row r="875" spans="1:21" x14ac:dyDescent="0.3">
      <c r="A875" s="326" t="s">
        <v>435</v>
      </c>
      <c r="B875" s="326" t="s">
        <v>435</v>
      </c>
      <c r="C875" s="326" t="s">
        <v>435</v>
      </c>
      <c r="D875" s="326" t="s">
        <v>435</v>
      </c>
      <c r="E875" s="326" t="s">
        <v>435</v>
      </c>
      <c r="F875" s="240" t="b">
        <f>OR(Transport_Table[[#This Row],[Feedstock]]="All",Transport_Table[[#This Row],[Feedstock]]=SelectedFeedstock)</f>
        <v>1</v>
      </c>
      <c r="G875" s="240" t="b">
        <f>OR(Transport_Table[[#This Row],[Conversion]]="All",Transport_Table[[#This Row],[Conversion]]=SelectedConversion)</f>
        <v>1</v>
      </c>
      <c r="H875" s="240" t="b">
        <f>OR(Transport_Table[[#This Row],[Data Set]]="All",Transport_Table[[#This Row],[Data Set]]=SelectedDataSet)</f>
        <v>1</v>
      </c>
      <c r="I875" s="240" t="b">
        <f>OR(Transport_Table[[#This Row],[Technology]]="All",Transport_Table[[#This Row],[Technology]]=SelectedTechnology)</f>
        <v>1</v>
      </c>
      <c r="J875" s="240" t="b">
        <f>OR(Transport_Table[[#This Row],[Data Source]]="All",Transport_Table[[#This Row],[Data Source]]=SelectedDataSource)</f>
        <v>1</v>
      </c>
      <c r="K875" s="240" t="b">
        <v>0</v>
      </c>
      <c r="L875" s="240" t="b">
        <f>AND(Transport_Table[[#This Row],[Show Feedstock]:[Show Data Source]],NOT(Transport_Table[[#This Row],[Hide Column]]))</f>
        <v>1</v>
      </c>
      <c r="M875" s="240" t="s">
        <v>14</v>
      </c>
      <c r="N875" s="327" t="s">
        <v>1918</v>
      </c>
      <c r="O875" s="327" t="s">
        <v>1917</v>
      </c>
      <c r="P875" s="241" t="s">
        <v>1925</v>
      </c>
      <c r="Q875" s="241" t="s">
        <v>2015</v>
      </c>
      <c r="R875" s="328">
        <v>0</v>
      </c>
      <c r="S875" s="394">
        <v>0</v>
      </c>
      <c r="T875" s="253"/>
      <c r="U875" s="240"/>
    </row>
    <row r="876" spans="1:21" x14ac:dyDescent="0.3">
      <c r="A876" s="326" t="s">
        <v>435</v>
      </c>
      <c r="B876" s="326" t="s">
        <v>435</v>
      </c>
      <c r="C876" s="326" t="s">
        <v>435</v>
      </c>
      <c r="D876" s="326" t="s">
        <v>435</v>
      </c>
      <c r="E876" s="326" t="s">
        <v>435</v>
      </c>
      <c r="F876" s="240" t="b">
        <f>OR(Transport_Table[[#This Row],[Feedstock]]="All",Transport_Table[[#This Row],[Feedstock]]=SelectedFeedstock)</f>
        <v>1</v>
      </c>
      <c r="G876" s="240" t="b">
        <f>OR(Transport_Table[[#This Row],[Conversion]]="All",Transport_Table[[#This Row],[Conversion]]=SelectedConversion)</f>
        <v>1</v>
      </c>
      <c r="H876" s="240" t="b">
        <f>OR(Transport_Table[[#This Row],[Data Set]]="All",Transport_Table[[#This Row],[Data Set]]=SelectedDataSet)</f>
        <v>1</v>
      </c>
      <c r="I876" s="240" t="b">
        <f>OR(Transport_Table[[#This Row],[Technology]]="All",Transport_Table[[#This Row],[Technology]]=SelectedTechnology)</f>
        <v>1</v>
      </c>
      <c r="J876" s="240" t="b">
        <f>OR(Transport_Table[[#This Row],[Data Source]]="All",Transport_Table[[#This Row],[Data Source]]=SelectedDataSource)</f>
        <v>1</v>
      </c>
      <c r="K876" s="240" t="b">
        <v>0</v>
      </c>
      <c r="L876" s="240" t="b">
        <f>AND(Transport_Table[[#This Row],[Show Feedstock]:[Show Data Source]],NOT(Transport_Table[[#This Row],[Hide Column]]))</f>
        <v>1</v>
      </c>
      <c r="M876" s="240" t="s">
        <v>14</v>
      </c>
      <c r="N876" s="327" t="s">
        <v>1914</v>
      </c>
      <c r="O876" s="327" t="s">
        <v>1913</v>
      </c>
      <c r="P876" s="241" t="s">
        <v>1925</v>
      </c>
      <c r="Q876" s="241" t="s">
        <v>2016</v>
      </c>
      <c r="R876" s="328">
        <v>0</v>
      </c>
      <c r="S876" s="394">
        <v>0</v>
      </c>
      <c r="T876" s="253"/>
      <c r="U876" s="240"/>
    </row>
    <row r="877" spans="1:21" x14ac:dyDescent="0.3">
      <c r="A877" s="326" t="s">
        <v>435</v>
      </c>
      <c r="B877" s="326" t="s">
        <v>435</v>
      </c>
      <c r="C877" s="326" t="s">
        <v>435</v>
      </c>
      <c r="D877" s="326" t="s">
        <v>435</v>
      </c>
      <c r="E877" s="326" t="s">
        <v>435</v>
      </c>
      <c r="F877" s="240" t="b">
        <f>OR(Transport_Table[[#This Row],[Feedstock]]="All",Transport_Table[[#This Row],[Feedstock]]=SelectedFeedstock)</f>
        <v>1</v>
      </c>
      <c r="G877" s="240" t="b">
        <f>OR(Transport_Table[[#This Row],[Conversion]]="All",Transport_Table[[#This Row],[Conversion]]=SelectedConversion)</f>
        <v>1</v>
      </c>
      <c r="H877" s="240" t="b">
        <f>OR(Transport_Table[[#This Row],[Data Set]]="All",Transport_Table[[#This Row],[Data Set]]=SelectedDataSet)</f>
        <v>1</v>
      </c>
      <c r="I877" s="240" t="b">
        <f>OR(Transport_Table[[#This Row],[Technology]]="All",Transport_Table[[#This Row],[Technology]]=SelectedTechnology)</f>
        <v>1</v>
      </c>
      <c r="J877" s="240" t="b">
        <f>OR(Transport_Table[[#This Row],[Data Source]]="All",Transport_Table[[#This Row],[Data Source]]=SelectedDataSource)</f>
        <v>1</v>
      </c>
      <c r="K877" s="240" t="b">
        <v>0</v>
      </c>
      <c r="L877" s="240" t="b">
        <f>AND(Transport_Table[[#This Row],[Show Feedstock]:[Show Data Source]],NOT(Transport_Table[[#This Row],[Hide Column]]))</f>
        <v>1</v>
      </c>
      <c r="M877" s="240" t="s">
        <v>14</v>
      </c>
      <c r="N877" s="327" t="s">
        <v>2284</v>
      </c>
      <c r="O877" s="327" t="s">
        <v>2285</v>
      </c>
      <c r="P877" s="241" t="s">
        <v>1925</v>
      </c>
      <c r="Q877" s="241" t="s">
        <v>2271</v>
      </c>
      <c r="R877" s="328">
        <v>1</v>
      </c>
      <c r="S877" s="252">
        <v>150</v>
      </c>
      <c r="T877" s="253"/>
      <c r="U877" s="240"/>
    </row>
    <row r="878" spans="1:21" x14ac:dyDescent="0.3">
      <c r="A878" s="326" t="s">
        <v>435</v>
      </c>
      <c r="B878" s="326" t="s">
        <v>435</v>
      </c>
      <c r="C878" s="326" t="s">
        <v>435</v>
      </c>
      <c r="D878" s="326" t="s">
        <v>435</v>
      </c>
      <c r="E878" s="326" t="s">
        <v>435</v>
      </c>
      <c r="F878" s="240" t="b">
        <f>OR(Transport_Table[[#This Row],[Feedstock]]="All",Transport_Table[[#This Row],[Feedstock]]=SelectedFeedstock)</f>
        <v>1</v>
      </c>
      <c r="G878" s="240" t="b">
        <f>OR(Transport_Table[[#This Row],[Conversion]]="All",Transport_Table[[#This Row],[Conversion]]=SelectedConversion)</f>
        <v>1</v>
      </c>
      <c r="H878" s="240" t="b">
        <f>OR(Transport_Table[[#This Row],[Data Set]]="All",Transport_Table[[#This Row],[Data Set]]=SelectedDataSet)</f>
        <v>1</v>
      </c>
      <c r="I878" s="240" t="b">
        <f>OR(Transport_Table[[#This Row],[Technology]]="All",Transport_Table[[#This Row],[Technology]]=SelectedTechnology)</f>
        <v>1</v>
      </c>
      <c r="J878" s="240" t="b">
        <f>OR(Transport_Table[[#This Row],[Data Source]]="All",Transport_Table[[#This Row],[Data Source]]=SelectedDataSource)</f>
        <v>1</v>
      </c>
      <c r="K878" s="240" t="b">
        <v>0</v>
      </c>
      <c r="L878" s="240" t="b">
        <f>AND(Transport_Table[[#This Row],[Show Feedstock]:[Show Data Source]],NOT(Transport_Table[[#This Row],[Hide Column]]))</f>
        <v>1</v>
      </c>
      <c r="M878" s="240" t="s">
        <v>14</v>
      </c>
      <c r="N878" s="327" t="s">
        <v>2286</v>
      </c>
      <c r="O878" s="327" t="s">
        <v>2287</v>
      </c>
      <c r="P878" s="241" t="s">
        <v>1925</v>
      </c>
      <c r="Q878" s="241" t="s">
        <v>2272</v>
      </c>
      <c r="R878" s="328">
        <v>0</v>
      </c>
      <c r="S878" s="394">
        <v>0</v>
      </c>
      <c r="T878" s="253"/>
      <c r="U878" s="240"/>
    </row>
    <row r="879" spans="1:21" x14ac:dyDescent="0.3">
      <c r="A879" s="326" t="s">
        <v>435</v>
      </c>
      <c r="B879" s="326" t="s">
        <v>435</v>
      </c>
      <c r="C879" s="326" t="s">
        <v>435</v>
      </c>
      <c r="D879" s="326" t="s">
        <v>435</v>
      </c>
      <c r="E879" s="326" t="s">
        <v>435</v>
      </c>
      <c r="F879" s="240" t="b">
        <f>OR(Transport_Table[[#This Row],[Feedstock]]="All",Transport_Table[[#This Row],[Feedstock]]=SelectedFeedstock)</f>
        <v>1</v>
      </c>
      <c r="G879" s="240" t="b">
        <f>OR(Transport_Table[[#This Row],[Conversion]]="All",Transport_Table[[#This Row],[Conversion]]=SelectedConversion)</f>
        <v>1</v>
      </c>
      <c r="H879" s="240" t="b">
        <f>OR(Transport_Table[[#This Row],[Data Set]]="All",Transport_Table[[#This Row],[Data Set]]=SelectedDataSet)</f>
        <v>1</v>
      </c>
      <c r="I879" s="240" t="b">
        <f>OR(Transport_Table[[#This Row],[Technology]]="All",Transport_Table[[#This Row],[Technology]]=SelectedTechnology)</f>
        <v>1</v>
      </c>
      <c r="J879" s="240" t="b">
        <f>OR(Transport_Table[[#This Row],[Data Source]]="All",Transport_Table[[#This Row],[Data Source]]=SelectedDataSource)</f>
        <v>1</v>
      </c>
      <c r="K879" s="240" t="b">
        <v>0</v>
      </c>
      <c r="L879" s="240" t="b">
        <f>AND(Transport_Table[[#This Row],[Show Feedstock]:[Show Data Source]],NOT(Transport_Table[[#This Row],[Hide Column]]))</f>
        <v>1</v>
      </c>
      <c r="M879" s="240" t="s">
        <v>14</v>
      </c>
      <c r="N879" s="327" t="s">
        <v>2288</v>
      </c>
      <c r="O879" s="327" t="s">
        <v>2289</v>
      </c>
      <c r="P879" s="241" t="s">
        <v>1925</v>
      </c>
      <c r="Q879" s="241" t="s">
        <v>2273</v>
      </c>
      <c r="R879" s="328">
        <v>0</v>
      </c>
      <c r="S879" s="394">
        <v>0</v>
      </c>
      <c r="T879" s="253"/>
      <c r="U879" s="240"/>
    </row>
    <row r="880" spans="1:21" x14ac:dyDescent="0.3">
      <c r="A880" s="326" t="s">
        <v>435</v>
      </c>
      <c r="B880" s="326" t="s">
        <v>435</v>
      </c>
      <c r="C880" s="326" t="s">
        <v>435</v>
      </c>
      <c r="D880" s="326" t="s">
        <v>435</v>
      </c>
      <c r="E880" s="326" t="s">
        <v>435</v>
      </c>
      <c r="F880" s="240" t="b">
        <f>OR(Transport_Table[[#This Row],[Feedstock]]="All",Transport_Table[[#This Row],[Feedstock]]=SelectedFeedstock)</f>
        <v>1</v>
      </c>
      <c r="G880" s="240" t="b">
        <f>OR(Transport_Table[[#This Row],[Conversion]]="All",Transport_Table[[#This Row],[Conversion]]=SelectedConversion)</f>
        <v>1</v>
      </c>
      <c r="H880" s="240" t="b">
        <f>OR(Transport_Table[[#This Row],[Data Set]]="All",Transport_Table[[#This Row],[Data Set]]=SelectedDataSet)</f>
        <v>1</v>
      </c>
      <c r="I880" s="240" t="b">
        <f>OR(Transport_Table[[#This Row],[Technology]]="All",Transport_Table[[#This Row],[Technology]]=SelectedTechnology)</f>
        <v>1</v>
      </c>
      <c r="J880" s="240" t="b">
        <f>OR(Transport_Table[[#This Row],[Data Source]]="All",Transport_Table[[#This Row],[Data Source]]=SelectedDataSource)</f>
        <v>1</v>
      </c>
      <c r="K880" s="331" t="b">
        <v>1</v>
      </c>
      <c r="L880" s="240" t="b">
        <f>AND(Transport_Table[[#This Row],[Show Feedstock]:[Show Data Source]],NOT(Transport_Table[[#This Row],[Hide Column]]))</f>
        <v>0</v>
      </c>
      <c r="M880" s="240" t="s">
        <v>14</v>
      </c>
      <c r="N880" s="327" t="s">
        <v>1920</v>
      </c>
      <c r="O880" s="327" t="s">
        <v>1919</v>
      </c>
      <c r="P880" s="241" t="s">
        <v>1925</v>
      </c>
      <c r="Q880" s="241" t="s">
        <v>2017</v>
      </c>
      <c r="R880" s="328">
        <v>7.0000000000000007E-2</v>
      </c>
      <c r="S880" s="252">
        <v>16</v>
      </c>
      <c r="T880" s="253"/>
      <c r="U880" s="240"/>
    </row>
    <row r="881" spans="1:21" x14ac:dyDescent="0.3">
      <c r="A881" s="326" t="s">
        <v>435</v>
      </c>
      <c r="B881" s="326" t="s">
        <v>435</v>
      </c>
      <c r="C881" s="326" t="s">
        <v>435</v>
      </c>
      <c r="D881" s="326" t="s">
        <v>435</v>
      </c>
      <c r="E881" s="326" t="s">
        <v>435</v>
      </c>
      <c r="F881" s="240" t="b">
        <f>OR(Transport_Table[[#This Row],[Feedstock]]="All",Transport_Table[[#This Row],[Feedstock]]=SelectedFeedstock)</f>
        <v>1</v>
      </c>
      <c r="G881" s="240" t="b">
        <f>OR(Transport_Table[[#This Row],[Conversion]]="All",Transport_Table[[#This Row],[Conversion]]=SelectedConversion)</f>
        <v>1</v>
      </c>
      <c r="H881" s="240" t="b">
        <f>OR(Transport_Table[[#This Row],[Data Set]]="All",Transport_Table[[#This Row],[Data Set]]=SelectedDataSet)</f>
        <v>1</v>
      </c>
      <c r="I881" s="240" t="b">
        <f>OR(Transport_Table[[#This Row],[Technology]]="All",Transport_Table[[#This Row],[Technology]]=SelectedTechnology)</f>
        <v>1</v>
      </c>
      <c r="J881" s="240" t="b">
        <f>OR(Transport_Table[[#This Row],[Data Source]]="All",Transport_Table[[#This Row],[Data Source]]=SelectedDataSource)</f>
        <v>1</v>
      </c>
      <c r="K881" s="331" t="b">
        <v>1</v>
      </c>
      <c r="L881" s="240" t="b">
        <f>AND(Transport_Table[[#This Row],[Show Feedstock]:[Show Data Source]],NOT(Transport_Table[[#This Row],[Hide Column]]))</f>
        <v>0</v>
      </c>
      <c r="M881" s="240" t="s">
        <v>14</v>
      </c>
      <c r="N881" s="327" t="s">
        <v>1922</v>
      </c>
      <c r="O881" s="327" t="s">
        <v>1921</v>
      </c>
      <c r="P881" s="241" t="s">
        <v>1925</v>
      </c>
      <c r="Q881" s="241" t="s">
        <v>2018</v>
      </c>
      <c r="R881" s="328">
        <v>0.08</v>
      </c>
      <c r="S881" s="252">
        <v>17</v>
      </c>
      <c r="T881" s="253"/>
      <c r="U881" s="240"/>
    </row>
    <row r="882" spans="1:21" x14ac:dyDescent="0.3">
      <c r="A882" s="326" t="s">
        <v>435</v>
      </c>
      <c r="B882" s="326" t="s">
        <v>435</v>
      </c>
      <c r="C882" s="326" t="s">
        <v>435</v>
      </c>
      <c r="D882" s="326" t="s">
        <v>435</v>
      </c>
      <c r="E882" s="326" t="s">
        <v>435</v>
      </c>
      <c r="F882" s="240" t="b">
        <f>OR(Transport_Table[[#This Row],[Feedstock]]="All",Transport_Table[[#This Row],[Feedstock]]=SelectedFeedstock)</f>
        <v>1</v>
      </c>
      <c r="G882" s="240" t="b">
        <f>OR(Transport_Table[[#This Row],[Conversion]]="All",Transport_Table[[#This Row],[Conversion]]=SelectedConversion)</f>
        <v>1</v>
      </c>
      <c r="H882" s="240" t="b">
        <f>OR(Transport_Table[[#This Row],[Data Set]]="All",Transport_Table[[#This Row],[Data Set]]=SelectedDataSet)</f>
        <v>1</v>
      </c>
      <c r="I882" s="240" t="b">
        <f>OR(Transport_Table[[#This Row],[Technology]]="All",Transport_Table[[#This Row],[Technology]]=SelectedTechnology)</f>
        <v>1</v>
      </c>
      <c r="J882" s="240" t="b">
        <f>OR(Transport_Table[[#This Row],[Data Source]]="All",Transport_Table[[#This Row],[Data Source]]=SelectedDataSource)</f>
        <v>1</v>
      </c>
      <c r="K882" s="331" t="b">
        <v>1</v>
      </c>
      <c r="L882" s="240" t="b">
        <f>AND(Transport_Table[[#This Row],[Show Feedstock]:[Show Data Source]],NOT(Transport_Table[[#This Row],[Hide Column]]))</f>
        <v>0</v>
      </c>
      <c r="M882" s="240" t="s">
        <v>14</v>
      </c>
      <c r="N882" s="327" t="s">
        <v>1924</v>
      </c>
      <c r="O882" s="327" t="s">
        <v>1923</v>
      </c>
      <c r="P882" s="241" t="s">
        <v>1925</v>
      </c>
      <c r="Q882" s="241" t="s">
        <v>2019</v>
      </c>
      <c r="R882" s="329">
        <v>0.85</v>
      </c>
      <c r="S882" s="330">
        <v>18</v>
      </c>
      <c r="T882" s="253"/>
      <c r="U882" s="240"/>
    </row>
  </sheetData>
  <phoneticPr fontId="13" type="noConversion"/>
  <conditionalFormatting sqref="D607:D609 D610:E610 D611:D615 D829:E833 E600:E609 E440:E569 E611:E739 D740:E760 E2:E421 A171:A190">
    <cfRule type="cellIs" dxfId="1596" priority="28" operator="equal">
      <formula>"Share"</formula>
    </cfRule>
  </conditionalFormatting>
  <conditionalFormatting sqref="D279:D439 D600:D606 D453:D569 D624:D739">
    <cfRule type="cellIs" dxfId="1595" priority="27" operator="equal">
      <formula>"Share"</formula>
    </cfRule>
  </conditionalFormatting>
  <conditionalFormatting sqref="D616:D623">
    <cfRule type="cellIs" dxfId="1594" priority="26" operator="equal">
      <formula>"Share"</formula>
    </cfRule>
  </conditionalFormatting>
  <conditionalFormatting sqref="E761:E768">
    <cfRule type="cellIs" dxfId="1593" priority="25" operator="equal">
      <formula>"Share"</formula>
    </cfRule>
  </conditionalFormatting>
  <conditionalFormatting sqref="D761:D768">
    <cfRule type="cellIs" dxfId="1592" priority="24" operator="equal">
      <formula>"Share"</formula>
    </cfRule>
  </conditionalFormatting>
  <conditionalFormatting sqref="E422:E439">
    <cfRule type="cellIs" dxfId="1591" priority="23" operator="equal">
      <formula>"Share"</formula>
    </cfRule>
  </conditionalFormatting>
  <conditionalFormatting sqref="E769:E807">
    <cfRule type="cellIs" dxfId="1590" priority="22" operator="equal">
      <formula>"Share"</formula>
    </cfRule>
  </conditionalFormatting>
  <conditionalFormatting sqref="E808:E819">
    <cfRule type="cellIs" dxfId="1589" priority="21" operator="equal">
      <formula>"Share"</formula>
    </cfRule>
  </conditionalFormatting>
  <conditionalFormatting sqref="D808:D819">
    <cfRule type="cellIs" dxfId="1588" priority="20" operator="equal">
      <formula>"Share"</formula>
    </cfRule>
  </conditionalFormatting>
  <conditionalFormatting sqref="E820:E828">
    <cfRule type="cellIs" dxfId="1587" priority="19" operator="equal">
      <formula>"Share"</formula>
    </cfRule>
  </conditionalFormatting>
  <conditionalFormatting sqref="D820:D828">
    <cfRule type="cellIs" dxfId="1586" priority="18" operator="equal">
      <formula>"Share"</formula>
    </cfRule>
  </conditionalFormatting>
  <conditionalFormatting sqref="E834:E841">
    <cfRule type="cellIs" dxfId="1585" priority="17" operator="equal">
      <formula>"Share"</formula>
    </cfRule>
  </conditionalFormatting>
  <conditionalFormatting sqref="D834:D841">
    <cfRule type="cellIs" dxfId="1584" priority="16" operator="equal">
      <formula>"Share"</formula>
    </cfRule>
  </conditionalFormatting>
  <conditionalFormatting sqref="E570:E574">
    <cfRule type="cellIs" dxfId="1583" priority="15" operator="equal">
      <formula>"Share"</formula>
    </cfRule>
  </conditionalFormatting>
  <conditionalFormatting sqref="D570:D574">
    <cfRule type="cellIs" dxfId="1582" priority="14" operator="equal">
      <formula>"Share"</formula>
    </cfRule>
  </conditionalFormatting>
  <conditionalFormatting sqref="E585:E589">
    <cfRule type="cellIs" dxfId="1581" priority="13" operator="equal">
      <formula>"Share"</formula>
    </cfRule>
  </conditionalFormatting>
  <conditionalFormatting sqref="D585:D589">
    <cfRule type="cellIs" dxfId="1580" priority="12" operator="equal">
      <formula>"Share"</formula>
    </cfRule>
  </conditionalFormatting>
  <conditionalFormatting sqref="D585:D589">
    <cfRule type="cellIs" dxfId="1579" priority="11" operator="equal">
      <formula>"Share"</formula>
    </cfRule>
  </conditionalFormatting>
  <conditionalFormatting sqref="E590:E599">
    <cfRule type="cellIs" dxfId="1578" priority="10" operator="equal">
      <formula>"Share"</formula>
    </cfRule>
  </conditionalFormatting>
  <conditionalFormatting sqref="D590:D599">
    <cfRule type="cellIs" dxfId="1577" priority="9" operator="equal">
      <formula>"Share"</formula>
    </cfRule>
  </conditionalFormatting>
  <conditionalFormatting sqref="D590:D599">
    <cfRule type="cellIs" dxfId="1576" priority="8" operator="equal">
      <formula>"Share"</formula>
    </cfRule>
  </conditionalFormatting>
  <conditionalFormatting sqref="D590:D599">
    <cfRule type="cellIs" dxfId="1575" priority="7" operator="equal">
      <formula>"Share"</formula>
    </cfRule>
  </conditionalFormatting>
  <conditionalFormatting sqref="E850:E855">
    <cfRule type="cellIs" dxfId="1574" priority="6" operator="equal">
      <formula>"Share"</formula>
    </cfRule>
  </conditionalFormatting>
  <conditionalFormatting sqref="D850:D855">
    <cfRule type="cellIs" dxfId="1573" priority="5" operator="equal">
      <formula>"Share"</formula>
    </cfRule>
  </conditionalFormatting>
  <conditionalFormatting sqref="E856:E878">
    <cfRule type="cellIs" dxfId="1572" priority="4" operator="equal">
      <formula>"Share"</formula>
    </cfRule>
  </conditionalFormatting>
  <conditionalFormatting sqref="D856:D878">
    <cfRule type="cellIs" dxfId="1571" priority="3" operator="equal">
      <formula>"Share"</formula>
    </cfRule>
  </conditionalFormatting>
  <conditionalFormatting sqref="A191:A218">
    <cfRule type="cellIs" dxfId="1570" priority="2" operator="equal">
      <formula>"Share"</formula>
    </cfRule>
  </conditionalFormatting>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3F547-8D3D-405C-B7D2-A431F9F34383}">
  <sheetPr codeName="Processes"/>
  <dimension ref="A1:I119"/>
  <sheetViews>
    <sheetView topLeftCell="A3" zoomScale="70" zoomScaleNormal="70" workbookViewId="0">
      <selection activeCell="C53" sqref="C53"/>
    </sheetView>
  </sheetViews>
  <sheetFormatPr defaultRowHeight="14.4" x14ac:dyDescent="0.3"/>
  <cols>
    <col min="1" max="1" width="12.109375" customWidth="1"/>
    <col min="2" max="2" width="14.33203125" customWidth="1"/>
    <col min="3" max="3" width="13.5546875" customWidth="1"/>
    <col min="4" max="4" width="27.88671875" customWidth="1"/>
    <col min="5" max="5" width="33.5546875" customWidth="1"/>
    <col min="6" max="6" width="24" customWidth="1"/>
    <col min="7" max="7" width="24" style="17" customWidth="1"/>
    <col min="8" max="8" width="9.109375" hidden="1" customWidth="1"/>
    <col min="9" max="9" width="16.33203125" customWidth="1"/>
  </cols>
  <sheetData>
    <row r="1" spans="1:9" ht="15" customHeight="1" x14ac:dyDescent="0.3">
      <c r="A1" s="26" t="s">
        <v>17</v>
      </c>
      <c r="B1" s="27" t="s">
        <v>18</v>
      </c>
      <c r="C1" s="27" t="s">
        <v>22</v>
      </c>
      <c r="D1" s="25" t="s">
        <v>442</v>
      </c>
      <c r="E1" s="24" t="s">
        <v>441</v>
      </c>
      <c r="F1" s="24" t="s">
        <v>195</v>
      </c>
      <c r="G1" s="28" t="s">
        <v>149</v>
      </c>
      <c r="H1" s="94" t="s">
        <v>857</v>
      </c>
      <c r="I1" s="94" t="s">
        <v>148</v>
      </c>
    </row>
    <row r="2" spans="1:9" ht="15" customHeight="1" x14ac:dyDescent="0.3">
      <c r="A2" t="s">
        <v>10</v>
      </c>
      <c r="B2" t="s">
        <v>30</v>
      </c>
      <c r="C2" s="50" t="s">
        <v>29</v>
      </c>
      <c r="D2" s="50" t="s">
        <v>29</v>
      </c>
      <c r="E2" s="50" t="s">
        <v>31</v>
      </c>
      <c r="F2" s="82">
        <f>ROW(Pathways_Table[[#This Row],[PathID]])-1</f>
        <v>1</v>
      </c>
      <c r="G2" s="33" t="s">
        <v>192</v>
      </c>
      <c r="H2">
        <f>MATCH(Pathways_Table[[#This Row],[Pathway Name]],'Results'!$1:$1,0)</f>
        <v>12</v>
      </c>
      <c r="I2">
        <f>MATCH(Pathways_Table[[#This Row],[Pathway Name]],Results[[#Headers],[Willow FT]:[Sugarcane ATJ-E (Standalone)]],0)</f>
        <v>9</v>
      </c>
    </row>
    <row r="3" spans="1:9" ht="15" customHeight="1" x14ac:dyDescent="0.3">
      <c r="A3" t="s">
        <v>122</v>
      </c>
      <c r="B3" t="s">
        <v>30</v>
      </c>
      <c r="C3" s="50" t="s">
        <v>29</v>
      </c>
      <c r="D3" s="50" t="s">
        <v>29</v>
      </c>
      <c r="E3" s="50" t="s">
        <v>123</v>
      </c>
      <c r="F3" s="82">
        <f>ROW(Pathways_Table[[#This Row],[PathID]])-1</f>
        <v>2</v>
      </c>
      <c r="G3" s="187" t="s">
        <v>175</v>
      </c>
      <c r="H3">
        <f>MATCH(Pathways_Table[[#This Row],[Pathway Name]],'Results'!$1:$1,0)</f>
        <v>13</v>
      </c>
      <c r="I3">
        <f>MATCH(Pathways_Table[[#This Row],[Pathway Name]],Results[[#Headers],[Willow FT]:[Sugarcane ATJ-E (Standalone)]],0)</f>
        <v>10</v>
      </c>
    </row>
    <row r="4" spans="1:9" ht="15" customHeight="1" x14ac:dyDescent="0.3">
      <c r="A4" t="s">
        <v>122</v>
      </c>
      <c r="B4" t="s">
        <v>30</v>
      </c>
      <c r="C4" s="50" t="s">
        <v>29</v>
      </c>
      <c r="D4" s="50" t="s">
        <v>29</v>
      </c>
      <c r="E4" s="50" t="s">
        <v>124</v>
      </c>
      <c r="F4" s="82">
        <f>ROW(Pathways_Table[[#This Row],[PathID]])-1</f>
        <v>3</v>
      </c>
      <c r="G4" s="187" t="s">
        <v>175</v>
      </c>
      <c r="H4">
        <f>MATCH(Pathways_Table[[#This Row],[Pathway Name]],'Results'!$1:$1,0)</f>
        <v>13</v>
      </c>
      <c r="I4">
        <f>MATCH(Pathways_Table[[#This Row],[Pathway Name]],Results[[#Headers],[Willow FT]:[Sugarcane ATJ-E (Standalone)]],0)</f>
        <v>10</v>
      </c>
    </row>
    <row r="5" spans="1:9" ht="15" customHeight="1" x14ac:dyDescent="0.3">
      <c r="A5" t="s">
        <v>1347</v>
      </c>
      <c r="B5" t="s">
        <v>30</v>
      </c>
      <c r="C5" s="50" t="s">
        <v>29</v>
      </c>
      <c r="D5" s="50" t="s">
        <v>29</v>
      </c>
      <c r="E5" s="50" t="s">
        <v>31</v>
      </c>
      <c r="F5" s="82">
        <f>ROW(Pathways_Table[[#This Row],[PathID]])-1</f>
        <v>4</v>
      </c>
      <c r="G5" s="187" t="s">
        <v>176</v>
      </c>
      <c r="H5">
        <f>MATCH(Pathways_Table[[#This Row],[Pathway Name]],'Results'!$1:$1,0)</f>
        <v>14</v>
      </c>
      <c r="I5">
        <f>MATCH(Pathways_Table[[#This Row],[Pathway Name]],Results[[#Headers],[Willow FT]:[Sugarcane ATJ-E (Standalone)]],0)</f>
        <v>11</v>
      </c>
    </row>
    <row r="6" spans="1:9" ht="15" customHeight="1" x14ac:dyDescent="0.3">
      <c r="A6" t="s">
        <v>126</v>
      </c>
      <c r="B6" t="s">
        <v>30</v>
      </c>
      <c r="C6" t="s">
        <v>29</v>
      </c>
      <c r="D6" s="50" t="s">
        <v>29</v>
      </c>
      <c r="E6" s="50" t="s">
        <v>31</v>
      </c>
      <c r="F6" s="82">
        <f>ROW(Pathways_Table[[#This Row],[PathID]])-1</f>
        <v>5</v>
      </c>
      <c r="G6" s="187" t="s">
        <v>177</v>
      </c>
      <c r="H6">
        <f>MATCH(Pathways_Table[[#This Row],[Pathway Name]],'Results'!$1:$1,0)</f>
        <v>15</v>
      </c>
      <c r="I6">
        <f>MATCH(Pathways_Table[[#This Row],[Pathway Name]],Results[[#Headers],[Willow FT]:[Sugarcane ATJ-E (Standalone)]],0)</f>
        <v>12</v>
      </c>
    </row>
    <row r="7" spans="1:9" ht="15" customHeight="1" x14ac:dyDescent="0.3">
      <c r="A7" t="s">
        <v>127</v>
      </c>
      <c r="B7" t="s">
        <v>30</v>
      </c>
      <c r="C7" t="s">
        <v>29</v>
      </c>
      <c r="D7" s="50" t="s">
        <v>29</v>
      </c>
      <c r="E7" s="50" t="s">
        <v>31</v>
      </c>
      <c r="F7" s="82">
        <f>ROW(Pathways_Table[[#This Row],[PathID]])-1</f>
        <v>6</v>
      </c>
      <c r="G7" s="187" t="s">
        <v>178</v>
      </c>
      <c r="H7">
        <f>MATCH(Pathways_Table[[#This Row],[Pathway Name]],'Results'!$1:$1,0)</f>
        <v>16</v>
      </c>
      <c r="I7">
        <f>MATCH(Pathways_Table[[#This Row],[Pathway Name]],Results[[#Headers],[Willow FT]:[Sugarcane ATJ-E (Standalone)]],0)</f>
        <v>13</v>
      </c>
    </row>
    <row r="8" spans="1:9" ht="15" customHeight="1" x14ac:dyDescent="0.3">
      <c r="A8" t="s">
        <v>128</v>
      </c>
      <c r="B8" t="s">
        <v>30</v>
      </c>
      <c r="C8" t="s">
        <v>29</v>
      </c>
      <c r="D8" s="50" t="s">
        <v>29</v>
      </c>
      <c r="E8" s="50" t="s">
        <v>31</v>
      </c>
      <c r="F8" s="82">
        <f>ROW(Pathways_Table[[#This Row],[PathID]])-1</f>
        <v>7</v>
      </c>
      <c r="G8" s="188" t="s">
        <v>179</v>
      </c>
      <c r="H8">
        <f>MATCH(Pathways_Table[[#This Row],[Pathway Name]],'Results'!$1:$1,0)</f>
        <v>18</v>
      </c>
      <c r="I8">
        <f>MATCH(Pathways_Table[[#This Row],[Pathway Name]],Results[[#Headers],[Willow FT]:[Sugarcane ATJ-E (Standalone)]],0)</f>
        <v>15</v>
      </c>
    </row>
    <row r="9" spans="1:9" ht="15" customHeight="1" x14ac:dyDescent="0.3">
      <c r="A9" t="s">
        <v>374</v>
      </c>
      <c r="B9" t="s">
        <v>30</v>
      </c>
      <c r="C9" t="s">
        <v>29</v>
      </c>
      <c r="D9" s="50" t="s">
        <v>29</v>
      </c>
      <c r="E9" s="50" t="s">
        <v>31</v>
      </c>
      <c r="F9" s="82">
        <f>ROW(Pathways_Table[[#This Row],[PathID]])-1</f>
        <v>8</v>
      </c>
      <c r="G9" s="187" t="s">
        <v>2224</v>
      </c>
      <c r="H9">
        <f>MATCH(Pathways_Table[[#This Row],[Pathway Name]],'Results'!$1:$1,0)</f>
        <v>17</v>
      </c>
      <c r="I9">
        <f>MATCH(Pathways_Table[[#This Row],[Pathway Name]],Results[[#Headers],[Willow FT]:[Sugarcane ATJ-E (Standalone)]],0)</f>
        <v>14</v>
      </c>
    </row>
    <row r="10" spans="1:9" ht="15" customHeight="1" x14ac:dyDescent="0.3">
      <c r="A10" t="s">
        <v>316</v>
      </c>
      <c r="B10" t="s">
        <v>129</v>
      </c>
      <c r="C10" t="s">
        <v>29</v>
      </c>
      <c r="D10" s="50" t="s">
        <v>29</v>
      </c>
      <c r="E10" s="50" t="s">
        <v>31</v>
      </c>
      <c r="F10" s="82">
        <f>ROW(Pathways_Table[[#This Row],[PathID]])-1</f>
        <v>9</v>
      </c>
      <c r="G10" s="188" t="s">
        <v>191</v>
      </c>
      <c r="H10">
        <f>MATCH(Pathways_Table[[#This Row],[Pathway Name]],'Results'!$1:$1,0)</f>
        <v>9</v>
      </c>
      <c r="I10">
        <f>MATCH(Pathways_Table[[#This Row],[Pathway Name]],Results[[#Headers],[Willow FT]:[Sugarcane ATJ-E (Standalone)]],0)</f>
        <v>6</v>
      </c>
    </row>
    <row r="11" spans="1:9" ht="15" customHeight="1" x14ac:dyDescent="0.3">
      <c r="A11" t="s">
        <v>131</v>
      </c>
      <c r="B11" t="s">
        <v>129</v>
      </c>
      <c r="C11" t="s">
        <v>29</v>
      </c>
      <c r="D11" s="50" t="s">
        <v>29</v>
      </c>
      <c r="E11" s="50" t="s">
        <v>31</v>
      </c>
      <c r="F11" s="82">
        <f>ROW(Pathways_Table[[#This Row],[PathID]])-1</f>
        <v>10</v>
      </c>
      <c r="G11" s="33" t="s">
        <v>186</v>
      </c>
      <c r="H11">
        <f>MATCH(Pathways_Table[[#This Row],[Pathway Name]],'Results'!$1:$1,0)</f>
        <v>4</v>
      </c>
      <c r="I11">
        <f>MATCH(Pathways_Table[[#This Row],[Pathway Name]],Results[[#Headers],[Willow FT]:[Sugarcane ATJ-E (Standalone)]],0)</f>
        <v>1</v>
      </c>
    </row>
    <row r="12" spans="1:9" ht="15" customHeight="1" x14ac:dyDescent="0.3">
      <c r="A12" t="s">
        <v>132</v>
      </c>
      <c r="B12" t="s">
        <v>129</v>
      </c>
      <c r="C12" t="s">
        <v>29</v>
      </c>
      <c r="D12" s="50" t="s">
        <v>29</v>
      </c>
      <c r="E12" s="50" t="s">
        <v>31</v>
      </c>
      <c r="F12" s="82">
        <f>ROW(Pathways_Table[[#This Row],[PathID]])-1</f>
        <v>11</v>
      </c>
      <c r="G12" s="187" t="s">
        <v>187</v>
      </c>
      <c r="H12">
        <f>MATCH(Pathways_Table[[#This Row],[Pathway Name]],'Results'!$1:$1,0)</f>
        <v>5</v>
      </c>
      <c r="I12">
        <f>MATCH(Pathways_Table[[#This Row],[Pathway Name]],Results[[#Headers],[Willow FT]:[Sugarcane ATJ-E (Standalone)]],0)</f>
        <v>2</v>
      </c>
    </row>
    <row r="13" spans="1:9" ht="15" customHeight="1" x14ac:dyDescent="0.3">
      <c r="A13" t="s">
        <v>133</v>
      </c>
      <c r="B13" t="s">
        <v>129</v>
      </c>
      <c r="C13" t="s">
        <v>29</v>
      </c>
      <c r="D13" s="50" t="s">
        <v>29</v>
      </c>
      <c r="E13" s="50" t="s">
        <v>31</v>
      </c>
      <c r="F13" s="82">
        <f>ROW(Pathways_Table[[#This Row],[PathID]])-1</f>
        <v>12</v>
      </c>
      <c r="G13" s="187" t="s">
        <v>188</v>
      </c>
      <c r="H13">
        <f>MATCH(Pathways_Table[[#This Row],[Pathway Name]],'Results'!$1:$1,0)</f>
        <v>6</v>
      </c>
      <c r="I13">
        <f>MATCH(Pathways_Table[[#This Row],[Pathway Name]],Results[[#Headers],[Willow FT]:[Sugarcane ATJ-E (Standalone)]],0)</f>
        <v>3</v>
      </c>
    </row>
    <row r="14" spans="1:9" ht="15" customHeight="1" x14ac:dyDescent="0.3">
      <c r="A14" t="s">
        <v>134</v>
      </c>
      <c r="B14" t="s">
        <v>129</v>
      </c>
      <c r="C14" t="s">
        <v>29</v>
      </c>
      <c r="D14" s="50" t="s">
        <v>29</v>
      </c>
      <c r="E14" s="50" t="s">
        <v>31</v>
      </c>
      <c r="F14" s="82">
        <f>ROW(Pathways_Table[[#This Row],[PathID]])-1</f>
        <v>13</v>
      </c>
      <c r="G14" s="187" t="s">
        <v>189</v>
      </c>
      <c r="H14">
        <f>MATCH(Pathways_Table[[#This Row],[Pathway Name]],'Results'!$1:$1,0)</f>
        <v>7</v>
      </c>
      <c r="I14">
        <f>MATCH(Pathways_Table[[#This Row],[Pathway Name]],Results[[#Headers],[Willow FT]:[Sugarcane ATJ-E (Standalone)]],0)</f>
        <v>4</v>
      </c>
    </row>
    <row r="15" spans="1:9" ht="15" customHeight="1" x14ac:dyDescent="0.3">
      <c r="A15" t="s">
        <v>135</v>
      </c>
      <c r="B15" t="s">
        <v>129</v>
      </c>
      <c r="C15" t="s">
        <v>29</v>
      </c>
      <c r="D15" s="50" t="s">
        <v>29</v>
      </c>
      <c r="E15" s="50" t="s">
        <v>31</v>
      </c>
      <c r="F15" s="82">
        <f>ROW(Pathways_Table[[#This Row],[PathID]])-1</f>
        <v>14</v>
      </c>
      <c r="G15" s="187" t="s">
        <v>190</v>
      </c>
      <c r="H15">
        <f>MATCH(Pathways_Table[[#This Row],[Pathway Name]],'Results'!$1:$1,0)</f>
        <v>8</v>
      </c>
      <c r="I15">
        <f>MATCH(Pathways_Table[[#This Row],[Pathway Name]],Results[[#Headers],[Willow FT]:[Sugarcane ATJ-E (Standalone)]],0)</f>
        <v>5</v>
      </c>
    </row>
    <row r="16" spans="1:9" ht="15" customHeight="1" x14ac:dyDescent="0.3">
      <c r="A16" t="s">
        <v>136</v>
      </c>
      <c r="B16" t="s">
        <v>1964</v>
      </c>
      <c r="C16" t="s">
        <v>29</v>
      </c>
      <c r="D16" s="50" t="s">
        <v>29</v>
      </c>
      <c r="E16" s="50" t="s">
        <v>911</v>
      </c>
      <c r="F16" s="82">
        <f>ROW(Pathways_Table[[#This Row],[PathID]])-1</f>
        <v>15</v>
      </c>
      <c r="G16" s="33" t="s">
        <v>2225</v>
      </c>
      <c r="H16">
        <f>MATCH(Pathways_Table[[#This Row],[Pathway Name]],'Results'!$1:$1,0)</f>
        <v>22</v>
      </c>
      <c r="I16">
        <f>MATCH(Pathways_Table[[#This Row],[Pathway Name]],Results[[#Headers],[Willow FT]:[Sugarcane ATJ-E (Standalone)]],0)</f>
        <v>19</v>
      </c>
    </row>
    <row r="17" spans="1:9" ht="15" customHeight="1" x14ac:dyDescent="0.3">
      <c r="A17" t="s">
        <v>135</v>
      </c>
      <c r="B17" t="s">
        <v>1964</v>
      </c>
      <c r="C17" t="s">
        <v>29</v>
      </c>
      <c r="D17" s="50" t="s">
        <v>29</v>
      </c>
      <c r="E17" t="s">
        <v>911</v>
      </c>
      <c r="F17" s="82">
        <f>ROW(Pathways_Table[[#This Row],[PathID]])-1</f>
        <v>16</v>
      </c>
      <c r="G17" s="187" t="s">
        <v>2226</v>
      </c>
      <c r="H17">
        <f>MATCH(Pathways_Table[[#This Row],[Pathway Name]],'Results'!$1:$1,0)</f>
        <v>27</v>
      </c>
      <c r="I17">
        <f>MATCH(Pathways_Table[[#This Row],[Pathway Name]],Results[[#Headers],[Willow FT]:[Sugarcane ATJ-E (Standalone)]],0)</f>
        <v>24</v>
      </c>
    </row>
    <row r="18" spans="1:9" ht="15" customHeight="1" x14ac:dyDescent="0.3">
      <c r="A18" t="s">
        <v>131</v>
      </c>
      <c r="B18" t="s">
        <v>1964</v>
      </c>
      <c r="C18" t="s">
        <v>29</v>
      </c>
      <c r="D18" s="50" t="s">
        <v>29</v>
      </c>
      <c r="E18" t="s">
        <v>911</v>
      </c>
      <c r="F18" s="82">
        <f>ROW(Pathways_Table[[#This Row],[PathID]])-1</f>
        <v>17</v>
      </c>
      <c r="G18" s="187" t="s">
        <v>2227</v>
      </c>
      <c r="H18">
        <f>MATCH(Pathways_Table[[#This Row],[Pathway Name]],'Results'!$1:$1,0)</f>
        <v>23</v>
      </c>
      <c r="I18">
        <f>MATCH(Pathways_Table[[#This Row],[Pathway Name]],Results[[#Headers],[Willow FT]:[Sugarcane ATJ-E (Standalone)]],0)</f>
        <v>20</v>
      </c>
    </row>
    <row r="19" spans="1:9" ht="15" customHeight="1" x14ac:dyDescent="0.3">
      <c r="A19" t="s">
        <v>132</v>
      </c>
      <c r="B19" t="s">
        <v>1964</v>
      </c>
      <c r="C19" t="s">
        <v>29</v>
      </c>
      <c r="D19" s="50" t="s">
        <v>29</v>
      </c>
      <c r="E19" t="s">
        <v>911</v>
      </c>
      <c r="F19" s="82">
        <f>ROW(Pathways_Table[[#This Row],[PathID]])-1</f>
        <v>18</v>
      </c>
      <c r="G19" s="187" t="s">
        <v>2228</v>
      </c>
      <c r="H19">
        <f>MATCH(Pathways_Table[[#This Row],[Pathway Name]],'Results'!$1:$1,0)</f>
        <v>24</v>
      </c>
      <c r="I19">
        <f>MATCH(Pathways_Table[[#This Row],[Pathway Name]],Results[[#Headers],[Willow FT]:[Sugarcane ATJ-E (Standalone)]],0)</f>
        <v>21</v>
      </c>
    </row>
    <row r="20" spans="1:9" ht="15" customHeight="1" x14ac:dyDescent="0.3">
      <c r="A20" t="s">
        <v>133</v>
      </c>
      <c r="B20" t="s">
        <v>1964</v>
      </c>
      <c r="C20" t="s">
        <v>29</v>
      </c>
      <c r="D20" s="50" t="s">
        <v>29</v>
      </c>
      <c r="E20" t="s">
        <v>911</v>
      </c>
      <c r="F20" s="82">
        <f>ROW(Pathways_Table[[#This Row],[PathID]])-1</f>
        <v>19</v>
      </c>
      <c r="G20" s="187" t="s">
        <v>2229</v>
      </c>
      <c r="H20">
        <f>MATCH(Pathways_Table[[#This Row],[Pathway Name]],'Results'!$1:$1,0)</f>
        <v>25</v>
      </c>
      <c r="I20">
        <f>MATCH(Pathways_Table[[#This Row],[Pathway Name]],Results[[#Headers],[Willow FT]:[Sugarcane ATJ-E (Standalone)]],0)</f>
        <v>22</v>
      </c>
    </row>
    <row r="21" spans="1:9" ht="15" customHeight="1" x14ac:dyDescent="0.3">
      <c r="A21" t="s">
        <v>134</v>
      </c>
      <c r="B21" t="s">
        <v>1964</v>
      </c>
      <c r="C21" t="s">
        <v>29</v>
      </c>
      <c r="D21" s="50" t="s">
        <v>29</v>
      </c>
      <c r="E21" t="s">
        <v>911</v>
      </c>
      <c r="F21" s="82">
        <f>ROW(Pathways_Table[[#This Row],[PathID]])-1</f>
        <v>20</v>
      </c>
      <c r="G21" s="187" t="s">
        <v>2230</v>
      </c>
      <c r="H21">
        <f>MATCH(Pathways_Table[[#This Row],[Pathway Name]],'Results'!$1:$1,0)</f>
        <v>26</v>
      </c>
      <c r="I21">
        <f>MATCH(Pathways_Table[[#This Row],[Pathway Name]],Results[[#Headers],[Willow FT]:[Sugarcane ATJ-E (Standalone)]],0)</f>
        <v>23</v>
      </c>
    </row>
    <row r="22" spans="1:9" ht="15" customHeight="1" x14ac:dyDescent="0.3">
      <c r="A22" t="s">
        <v>316</v>
      </c>
      <c r="B22" t="s">
        <v>1964</v>
      </c>
      <c r="C22" t="s">
        <v>29</v>
      </c>
      <c r="D22" s="50" t="s">
        <v>29</v>
      </c>
      <c r="E22" t="s">
        <v>911</v>
      </c>
      <c r="F22" s="82">
        <f>ROW(Pathways_Table[[#This Row],[PathID]])-1</f>
        <v>21</v>
      </c>
      <c r="G22" s="188" t="s">
        <v>2231</v>
      </c>
      <c r="H22">
        <f>MATCH(Pathways_Table[[#This Row],[Pathway Name]],'Results'!$1:$1,0)</f>
        <v>28</v>
      </c>
      <c r="I22">
        <f>MATCH(Pathways_Table[[#This Row],[Pathway Name]],Results[[#Headers],[Willow FT]:[Sugarcane ATJ-E (Standalone)]],0)</f>
        <v>25</v>
      </c>
    </row>
    <row r="23" spans="1:9" ht="15" customHeight="1" x14ac:dyDescent="0.3">
      <c r="A23" t="s">
        <v>136</v>
      </c>
      <c r="B23" t="s">
        <v>1964</v>
      </c>
      <c r="C23" t="s">
        <v>29</v>
      </c>
      <c r="D23" s="50" t="s">
        <v>29</v>
      </c>
      <c r="E23" t="s">
        <v>1592</v>
      </c>
      <c r="F23" s="82">
        <f>ROW(Pathways_Table[[#This Row],[PathID]])-1</f>
        <v>22</v>
      </c>
      <c r="G23" s="189" t="s">
        <v>2232</v>
      </c>
      <c r="H23">
        <f>MATCH(Pathways_Table[[#This Row],[Pathway Name]],'Results'!$1:$1,0)</f>
        <v>31</v>
      </c>
      <c r="I23">
        <f>MATCH(Pathways_Table[[#This Row],[Pathway Name]],Results[[#Headers],[Willow FT]:[Sugarcane ATJ-E (Standalone)]],0)</f>
        <v>28</v>
      </c>
    </row>
    <row r="24" spans="1:9" ht="15" customHeight="1" x14ac:dyDescent="0.3">
      <c r="A24" t="s">
        <v>136</v>
      </c>
      <c r="B24" t="s">
        <v>1964</v>
      </c>
      <c r="C24" t="s">
        <v>29</v>
      </c>
      <c r="D24" s="50" t="s">
        <v>29</v>
      </c>
      <c r="E24" t="s">
        <v>1590</v>
      </c>
      <c r="F24" s="82">
        <f>ROW(Pathways_Table[[#This Row],[PathID]])-1</f>
        <v>23</v>
      </c>
      <c r="G24" s="187" t="s">
        <v>2233</v>
      </c>
      <c r="H24">
        <f>MATCH(Pathways_Table[[#This Row],[Pathway Name]],'Results'!$1:$1,0)</f>
        <v>30</v>
      </c>
      <c r="I24">
        <f>MATCH(Pathways_Table[[#This Row],[Pathway Name]],Results[[#Headers],[Willow FT]:[Sugarcane ATJ-E (Standalone)]],0)</f>
        <v>27</v>
      </c>
    </row>
    <row r="25" spans="1:9" ht="15" customHeight="1" x14ac:dyDescent="0.3">
      <c r="A25" t="s">
        <v>136</v>
      </c>
      <c r="B25" t="s">
        <v>1964</v>
      </c>
      <c r="C25" t="s">
        <v>29</v>
      </c>
      <c r="D25" s="50" t="s">
        <v>29</v>
      </c>
      <c r="E25" t="s">
        <v>1591</v>
      </c>
      <c r="F25" s="82">
        <f>ROW(Pathways_Table[[#This Row],[PathID]])-1</f>
        <v>24</v>
      </c>
      <c r="G25" s="187" t="s">
        <v>2232</v>
      </c>
      <c r="H25">
        <f>MATCH(Pathways_Table[[#This Row],[Pathway Name]],'Results'!$1:$1,0)</f>
        <v>31</v>
      </c>
      <c r="I25">
        <f>MATCH(Pathways_Table[[#This Row],[Pathway Name]],Results[[#Headers],[Willow FT]:[Sugarcane ATJ-E (Standalone)]],0)</f>
        <v>28</v>
      </c>
    </row>
    <row r="26" spans="1:9" ht="15" customHeight="1" x14ac:dyDescent="0.3">
      <c r="A26" t="s">
        <v>136</v>
      </c>
      <c r="B26" t="s">
        <v>1964</v>
      </c>
      <c r="C26" t="s">
        <v>29</v>
      </c>
      <c r="D26" s="50" t="s">
        <v>29</v>
      </c>
      <c r="E26" t="s">
        <v>1593</v>
      </c>
      <c r="F26" s="82">
        <f>ROW(Pathways_Table[[#This Row],[PathID]])-1</f>
        <v>25</v>
      </c>
      <c r="G26" s="187" t="s">
        <v>2234</v>
      </c>
      <c r="H26">
        <f>MATCH(Pathways_Table[[#This Row],[Pathway Name]],'Results'!$1:$1,0)</f>
        <v>32</v>
      </c>
      <c r="I26">
        <f>MATCH(Pathways_Table[[#This Row],[Pathway Name]],Results[[#Headers],[Willow FT]:[Sugarcane ATJ-E (Standalone)]],0)</f>
        <v>29</v>
      </c>
    </row>
    <row r="27" spans="1:9" ht="15" customHeight="1" x14ac:dyDescent="0.3">
      <c r="A27" t="s">
        <v>131</v>
      </c>
      <c r="B27" t="s">
        <v>1964</v>
      </c>
      <c r="C27" t="s">
        <v>29</v>
      </c>
      <c r="D27" s="50" t="s">
        <v>29</v>
      </c>
      <c r="E27" t="s">
        <v>1592</v>
      </c>
      <c r="F27" s="82">
        <f>ROW(Pathways_Table[[#This Row],[PathID]])-1</f>
        <v>26</v>
      </c>
      <c r="G27" s="187" t="s">
        <v>2235</v>
      </c>
      <c r="H27">
        <f>MATCH(Pathways_Table[[#This Row],[Pathway Name]],'Results'!$1:$1,0)</f>
        <v>33</v>
      </c>
      <c r="I27">
        <f>MATCH(Pathways_Table[[#This Row],[Pathway Name]],Results[[#Headers],[Willow FT]:[Sugarcane ATJ-E (Standalone)]],0)</f>
        <v>30</v>
      </c>
    </row>
    <row r="28" spans="1:9" ht="15" customHeight="1" x14ac:dyDescent="0.3">
      <c r="A28" t="s">
        <v>132</v>
      </c>
      <c r="B28" t="s">
        <v>1964</v>
      </c>
      <c r="C28" t="s">
        <v>29</v>
      </c>
      <c r="D28" s="50" t="s">
        <v>29</v>
      </c>
      <c r="E28" t="s">
        <v>1592</v>
      </c>
      <c r="F28" s="82">
        <f>ROW(Pathways_Table[[#This Row],[PathID]])-1</f>
        <v>27</v>
      </c>
      <c r="G28" s="187" t="s">
        <v>2236</v>
      </c>
      <c r="H28">
        <f>MATCH(Pathways_Table[[#This Row],[Pathway Name]],'Results'!$1:$1,0)</f>
        <v>34</v>
      </c>
      <c r="I28">
        <f>MATCH(Pathways_Table[[#This Row],[Pathway Name]],Results[[#Headers],[Willow FT]:[Sugarcane ATJ-E (Standalone)]],0)</f>
        <v>31</v>
      </c>
    </row>
    <row r="29" spans="1:9" ht="15" customHeight="1" x14ac:dyDescent="0.3">
      <c r="A29" t="s">
        <v>133</v>
      </c>
      <c r="B29" t="s">
        <v>1964</v>
      </c>
      <c r="C29" t="s">
        <v>29</v>
      </c>
      <c r="D29" s="50" t="s">
        <v>29</v>
      </c>
      <c r="E29" t="s">
        <v>1592</v>
      </c>
      <c r="F29" s="82">
        <f>ROW(Pathways_Table[[#This Row],[PathID]])-1</f>
        <v>28</v>
      </c>
      <c r="G29" s="187" t="s">
        <v>2237</v>
      </c>
      <c r="H29">
        <f>MATCH(Pathways_Table[[#This Row],[Pathway Name]],'Results'!$1:$1,0)</f>
        <v>35</v>
      </c>
      <c r="I29">
        <f>MATCH(Pathways_Table[[#This Row],[Pathway Name]],Results[[#Headers],[Willow FT]:[Sugarcane ATJ-E (Standalone)]],0)</f>
        <v>32</v>
      </c>
    </row>
    <row r="30" spans="1:9" ht="15" customHeight="1" x14ac:dyDescent="0.3">
      <c r="A30" t="s">
        <v>134</v>
      </c>
      <c r="B30" t="s">
        <v>1964</v>
      </c>
      <c r="C30" t="s">
        <v>29</v>
      </c>
      <c r="D30" s="50" t="s">
        <v>29</v>
      </c>
      <c r="E30" t="s">
        <v>1592</v>
      </c>
      <c r="F30" s="82">
        <f>ROW(Pathways_Table[[#This Row],[PathID]])-1</f>
        <v>29</v>
      </c>
      <c r="G30" s="187" t="s">
        <v>2238</v>
      </c>
      <c r="H30">
        <f>MATCH(Pathways_Table[[#This Row],[Pathway Name]],'Results'!$1:$1,0)</f>
        <v>36</v>
      </c>
      <c r="I30">
        <f>MATCH(Pathways_Table[[#This Row],[Pathway Name]],Results[[#Headers],[Willow FT]:[Sugarcane ATJ-E (Standalone)]],0)</f>
        <v>33</v>
      </c>
    </row>
    <row r="31" spans="1:9" ht="15" customHeight="1" x14ac:dyDescent="0.3">
      <c r="A31" t="s">
        <v>135</v>
      </c>
      <c r="B31" t="s">
        <v>1964</v>
      </c>
      <c r="C31" t="s">
        <v>29</v>
      </c>
      <c r="D31" s="50" t="s">
        <v>29</v>
      </c>
      <c r="E31" t="s">
        <v>1592</v>
      </c>
      <c r="F31" s="82">
        <f>ROW(Pathways_Table[[#This Row],[PathID]])-1</f>
        <v>30</v>
      </c>
      <c r="G31" s="187" t="s">
        <v>2239</v>
      </c>
      <c r="H31">
        <f>MATCH(Pathways_Table[[#This Row],[Pathway Name]],'Results'!$1:$1,0)</f>
        <v>37</v>
      </c>
      <c r="I31">
        <f>MATCH(Pathways_Table[[#This Row],[Pathway Name]],Results[[#Headers],[Willow FT]:[Sugarcane ATJ-E (Standalone)]],0)</f>
        <v>34</v>
      </c>
    </row>
    <row r="32" spans="1:9" ht="15" customHeight="1" x14ac:dyDescent="0.3">
      <c r="A32" t="s">
        <v>316</v>
      </c>
      <c r="B32" t="s">
        <v>1964</v>
      </c>
      <c r="C32" t="s">
        <v>29</v>
      </c>
      <c r="D32" s="50" t="s">
        <v>29</v>
      </c>
      <c r="E32" t="s">
        <v>1592</v>
      </c>
      <c r="F32" s="82">
        <f>ROW(Pathways_Table[[#This Row],[PathID]])-1</f>
        <v>31</v>
      </c>
      <c r="G32" s="187" t="s">
        <v>2240</v>
      </c>
      <c r="H32">
        <f>MATCH(Pathways_Table[[#This Row],[Pathway Name]],'Results'!$1:$1,0)</f>
        <v>38</v>
      </c>
      <c r="I32">
        <f>MATCH(Pathways_Table[[#This Row],[Pathway Name]],Results[[#Headers],[Willow FT]:[Sugarcane ATJ-E (Standalone)]],0)</f>
        <v>35</v>
      </c>
    </row>
    <row r="33" spans="1:9" ht="15" customHeight="1" x14ac:dyDescent="0.3">
      <c r="A33" t="s">
        <v>366</v>
      </c>
      <c r="B33" t="s">
        <v>1964</v>
      </c>
      <c r="C33" t="s">
        <v>29</v>
      </c>
      <c r="D33" s="50" t="s">
        <v>29</v>
      </c>
      <c r="E33" t="s">
        <v>1592</v>
      </c>
      <c r="F33" s="82">
        <f>ROW(Pathways_Table[[#This Row],[PathID]])-1</f>
        <v>32</v>
      </c>
      <c r="G33" s="187" t="s">
        <v>2241</v>
      </c>
      <c r="H33">
        <f>MATCH(Pathways_Table[[#This Row],[Pathway Name]],'Results'!$1:$1,0)</f>
        <v>39</v>
      </c>
      <c r="I33">
        <f>MATCH(Pathways_Table[[#This Row],[Pathway Name]],Results[[#Headers],[Willow FT]:[Sugarcane ATJ-E (Standalone)]],0)</f>
        <v>36</v>
      </c>
    </row>
    <row r="34" spans="1:9" ht="15" customHeight="1" x14ac:dyDescent="0.3">
      <c r="A34" t="s">
        <v>135</v>
      </c>
      <c r="B34" t="s">
        <v>139</v>
      </c>
      <c r="C34" t="s">
        <v>29</v>
      </c>
      <c r="D34" s="50" t="s">
        <v>29</v>
      </c>
      <c r="E34" s="50" t="s">
        <v>31</v>
      </c>
      <c r="F34" s="82">
        <f>ROW(Pathways_Table[[#This Row],[PathID]])-1</f>
        <v>33</v>
      </c>
      <c r="G34" s="187" t="s">
        <v>184</v>
      </c>
      <c r="H34">
        <f>MATCH(Pathways_Table[[#This Row],[Pathway Name]],'Results'!$1:$1,0)</f>
        <v>45</v>
      </c>
      <c r="I34">
        <f>MATCH(Pathways_Table[[#This Row],[Pathway Name]],Results[[#Headers],[Willow FT]:[Sugarcane ATJ-E (Standalone)]],0)</f>
        <v>42</v>
      </c>
    </row>
    <row r="35" spans="1:9" ht="15" customHeight="1" x14ac:dyDescent="0.3">
      <c r="A35" t="s">
        <v>135</v>
      </c>
      <c r="B35" t="s">
        <v>140</v>
      </c>
      <c r="C35" t="s">
        <v>29</v>
      </c>
      <c r="D35" s="50" t="s">
        <v>29</v>
      </c>
      <c r="E35" s="50" t="s">
        <v>31</v>
      </c>
      <c r="F35" s="82">
        <f>ROW(Pathways_Table[[#This Row],[PathID]])-1</f>
        <v>34</v>
      </c>
      <c r="G35" s="187" t="s">
        <v>184</v>
      </c>
      <c r="H35">
        <f>MATCH(Pathways_Table[[#This Row],[Pathway Name]],'Results'!$1:$1,0)</f>
        <v>45</v>
      </c>
      <c r="I35">
        <f>MATCH(Pathways_Table[[#This Row],[Pathway Name]],Results[[#Headers],[Willow FT]:[Sugarcane ATJ-E (Standalone)]],0)</f>
        <v>42</v>
      </c>
    </row>
    <row r="36" spans="1:9" ht="15" customHeight="1" x14ac:dyDescent="0.3">
      <c r="A36" t="s">
        <v>131</v>
      </c>
      <c r="B36" t="s">
        <v>139</v>
      </c>
      <c r="C36" t="s">
        <v>29</v>
      </c>
      <c r="D36" s="50" t="s">
        <v>29</v>
      </c>
      <c r="E36" s="50" t="s">
        <v>31</v>
      </c>
      <c r="F36" s="82">
        <f>ROW(Pathways_Table[[#This Row],[PathID]])-1</f>
        <v>35</v>
      </c>
      <c r="G36" s="33" t="s">
        <v>180</v>
      </c>
      <c r="H36">
        <f>MATCH(Pathways_Table[[#This Row],[Pathway Name]],'Results'!$1:$1,0)</f>
        <v>41</v>
      </c>
      <c r="I36">
        <f>MATCH(Pathways_Table[[#This Row],[Pathway Name]],Results[[#Headers],[Willow FT]:[Sugarcane ATJ-E (Standalone)]],0)</f>
        <v>38</v>
      </c>
    </row>
    <row r="37" spans="1:9" ht="15" customHeight="1" x14ac:dyDescent="0.3">
      <c r="A37" t="s">
        <v>131</v>
      </c>
      <c r="B37" t="s">
        <v>140</v>
      </c>
      <c r="C37" t="s">
        <v>29</v>
      </c>
      <c r="D37" s="50" t="s">
        <v>29</v>
      </c>
      <c r="E37" s="50" t="s">
        <v>31</v>
      </c>
      <c r="F37" s="82">
        <f>ROW(Pathways_Table[[#This Row],[PathID]])-1</f>
        <v>36</v>
      </c>
      <c r="G37" s="33" t="s">
        <v>180</v>
      </c>
      <c r="H37">
        <f>MATCH(Pathways_Table[[#This Row],[Pathway Name]],'Results'!$1:$1,0)</f>
        <v>41</v>
      </c>
      <c r="I37">
        <f>MATCH(Pathways_Table[[#This Row],[Pathway Name]],Results[[#Headers],[Willow FT]:[Sugarcane ATJ-E (Standalone)]],0)</f>
        <v>38</v>
      </c>
    </row>
    <row r="38" spans="1:9" ht="15" customHeight="1" x14ac:dyDescent="0.3">
      <c r="A38" t="s">
        <v>132</v>
      </c>
      <c r="B38" t="s">
        <v>139</v>
      </c>
      <c r="C38" t="s">
        <v>29</v>
      </c>
      <c r="D38" s="50" t="s">
        <v>29</v>
      </c>
      <c r="E38" s="50" t="s">
        <v>31</v>
      </c>
      <c r="F38" s="82">
        <f>ROW(Pathways_Table[[#This Row],[PathID]])-1</f>
        <v>37</v>
      </c>
      <c r="G38" s="187" t="s">
        <v>181</v>
      </c>
      <c r="H38">
        <f>MATCH(Pathways_Table[[#This Row],[Pathway Name]],'Results'!$1:$1,0)</f>
        <v>42</v>
      </c>
      <c r="I38">
        <f>MATCH(Pathways_Table[[#This Row],[Pathway Name]],Results[[#Headers],[Willow FT]:[Sugarcane ATJ-E (Standalone)]],0)</f>
        <v>39</v>
      </c>
    </row>
    <row r="39" spans="1:9" ht="15" customHeight="1" x14ac:dyDescent="0.3">
      <c r="A39" t="s">
        <v>132</v>
      </c>
      <c r="B39" t="s">
        <v>140</v>
      </c>
      <c r="C39" t="s">
        <v>29</v>
      </c>
      <c r="D39" s="50" t="s">
        <v>29</v>
      </c>
      <c r="E39" s="50" t="s">
        <v>31</v>
      </c>
      <c r="F39" s="82">
        <f>ROW(Pathways_Table[[#This Row],[PathID]])-1</f>
        <v>38</v>
      </c>
      <c r="G39" s="187" t="s">
        <v>181</v>
      </c>
      <c r="H39">
        <f>MATCH(Pathways_Table[[#This Row],[Pathway Name]],'Results'!$1:$1,0)</f>
        <v>42</v>
      </c>
      <c r="I39">
        <f>MATCH(Pathways_Table[[#This Row],[Pathway Name]],Results[[#Headers],[Willow FT]:[Sugarcane ATJ-E (Standalone)]],0)</f>
        <v>39</v>
      </c>
    </row>
    <row r="40" spans="1:9" ht="15" customHeight="1" x14ac:dyDescent="0.3">
      <c r="A40" t="s">
        <v>133</v>
      </c>
      <c r="B40" t="s">
        <v>139</v>
      </c>
      <c r="C40" t="s">
        <v>29</v>
      </c>
      <c r="D40" s="50" t="s">
        <v>29</v>
      </c>
      <c r="E40" s="50" t="s">
        <v>31</v>
      </c>
      <c r="F40" s="82">
        <f>ROW(Pathways_Table[[#This Row],[PathID]])-1</f>
        <v>39</v>
      </c>
      <c r="G40" s="187" t="s">
        <v>182</v>
      </c>
      <c r="H40">
        <f>MATCH(Pathways_Table[[#This Row],[Pathway Name]],'Results'!$1:$1,0)</f>
        <v>43</v>
      </c>
      <c r="I40">
        <f>MATCH(Pathways_Table[[#This Row],[Pathway Name]],Results[[#Headers],[Willow FT]:[Sugarcane ATJ-E (Standalone)]],0)</f>
        <v>40</v>
      </c>
    </row>
    <row r="41" spans="1:9" ht="15" customHeight="1" x14ac:dyDescent="0.3">
      <c r="A41" t="s">
        <v>133</v>
      </c>
      <c r="B41" t="s">
        <v>140</v>
      </c>
      <c r="C41" t="s">
        <v>29</v>
      </c>
      <c r="D41" s="50" t="s">
        <v>29</v>
      </c>
      <c r="E41" s="50" t="s">
        <v>31</v>
      </c>
      <c r="F41" s="82">
        <f>ROW(Pathways_Table[[#This Row],[PathID]])-1</f>
        <v>40</v>
      </c>
      <c r="G41" s="187" t="s">
        <v>182</v>
      </c>
      <c r="H41">
        <f>MATCH(Pathways_Table[[#This Row],[Pathway Name]],'Results'!$1:$1,0)</f>
        <v>43</v>
      </c>
      <c r="I41">
        <f>MATCH(Pathways_Table[[#This Row],[Pathway Name]],Results[[#Headers],[Willow FT]:[Sugarcane ATJ-E (Standalone)]],0)</f>
        <v>40</v>
      </c>
    </row>
    <row r="42" spans="1:9" ht="15" customHeight="1" x14ac:dyDescent="0.3">
      <c r="A42" t="s">
        <v>134</v>
      </c>
      <c r="B42" t="s">
        <v>139</v>
      </c>
      <c r="C42" t="s">
        <v>29</v>
      </c>
      <c r="D42" s="50" t="s">
        <v>29</v>
      </c>
      <c r="E42" s="50" t="s">
        <v>31</v>
      </c>
      <c r="F42" s="82">
        <f>ROW(Pathways_Table[[#This Row],[PathID]])-1</f>
        <v>41</v>
      </c>
      <c r="G42" s="187" t="s">
        <v>183</v>
      </c>
      <c r="H42">
        <f>MATCH(Pathways_Table[[#This Row],[Pathway Name]],'Results'!$1:$1,0)</f>
        <v>44</v>
      </c>
      <c r="I42">
        <f>MATCH(Pathways_Table[[#This Row],[Pathway Name]],Results[[#Headers],[Willow FT]:[Sugarcane ATJ-E (Standalone)]],0)</f>
        <v>41</v>
      </c>
    </row>
    <row r="43" spans="1:9" ht="15" customHeight="1" x14ac:dyDescent="0.3">
      <c r="A43" t="s">
        <v>134</v>
      </c>
      <c r="B43" t="s">
        <v>140</v>
      </c>
      <c r="C43" t="s">
        <v>29</v>
      </c>
      <c r="D43" s="50" t="s">
        <v>29</v>
      </c>
      <c r="E43" s="50" t="s">
        <v>31</v>
      </c>
      <c r="F43" s="82">
        <f>ROW(Pathways_Table[[#This Row],[PathID]])-1</f>
        <v>42</v>
      </c>
      <c r="G43" s="187" t="s">
        <v>183</v>
      </c>
      <c r="H43">
        <f>MATCH(Pathways_Table[[#This Row],[Pathway Name]],'Results'!$1:$1,0)</f>
        <v>44</v>
      </c>
      <c r="I43">
        <f>MATCH(Pathways_Table[[#This Row],[Pathway Name]],Results[[#Headers],[Willow FT]:[Sugarcane ATJ-E (Standalone)]],0)</f>
        <v>41</v>
      </c>
    </row>
    <row r="44" spans="1:9" ht="15" customHeight="1" x14ac:dyDescent="0.3">
      <c r="A44" t="s">
        <v>316</v>
      </c>
      <c r="B44" t="s">
        <v>139</v>
      </c>
      <c r="C44" t="s">
        <v>29</v>
      </c>
      <c r="D44" s="50" t="s">
        <v>29</v>
      </c>
      <c r="E44" s="50" t="s">
        <v>31</v>
      </c>
      <c r="F44" s="82">
        <f>ROW(Pathways_Table[[#This Row],[PathID]])-1</f>
        <v>43</v>
      </c>
      <c r="G44" s="188" t="s">
        <v>185</v>
      </c>
      <c r="H44">
        <f>MATCH(Pathways_Table[[#This Row],[Pathway Name]],'Results'!$1:$1,0)</f>
        <v>46</v>
      </c>
      <c r="I44">
        <f>MATCH(Pathways_Table[[#This Row],[Pathway Name]],Results[[#Headers],[Willow FT]:[Sugarcane ATJ-E (Standalone)]],0)</f>
        <v>43</v>
      </c>
    </row>
    <row r="45" spans="1:9" ht="15" customHeight="1" x14ac:dyDescent="0.3">
      <c r="A45" t="s">
        <v>316</v>
      </c>
      <c r="B45" t="s">
        <v>140</v>
      </c>
      <c r="C45" t="s">
        <v>29</v>
      </c>
      <c r="D45" s="50" t="s">
        <v>29</v>
      </c>
      <c r="E45" s="50" t="s">
        <v>31</v>
      </c>
      <c r="F45" s="82">
        <f>ROW(Pathways_Table[[#This Row],[PathID]])-1</f>
        <v>44</v>
      </c>
      <c r="G45" s="188" t="s">
        <v>185</v>
      </c>
      <c r="H45">
        <f>MATCH(Pathways_Table[[#This Row],[Pathway Name]],'Results'!$1:$1,0)</f>
        <v>46</v>
      </c>
      <c r="I45">
        <f>MATCH(Pathways_Table[[#This Row],[Pathway Name]],Results[[#Headers],[Willow FT]:[Sugarcane ATJ-E (Standalone)]],0)</f>
        <v>43</v>
      </c>
    </row>
    <row r="46" spans="1:9" ht="15" customHeight="1" x14ac:dyDescent="0.3">
      <c r="A46" t="s">
        <v>10</v>
      </c>
      <c r="B46" t="s">
        <v>30</v>
      </c>
      <c r="C46" t="s">
        <v>194</v>
      </c>
      <c r="D46" t="s">
        <v>1349</v>
      </c>
      <c r="E46" s="50" t="s">
        <v>31</v>
      </c>
      <c r="F46" s="82">
        <f>ROW(Pathways_Table[[#This Row],[PathID]])-1</f>
        <v>45</v>
      </c>
      <c r="G46" s="33" t="s">
        <v>192</v>
      </c>
      <c r="H46">
        <f>MATCH(Pathways_Table[[#This Row],[Pathway Name]],'Results'!$1:$1,0)</f>
        <v>12</v>
      </c>
      <c r="I46">
        <f>MATCH(Pathways_Table[[#This Row],[Pathway Name]],Results[[#Headers],[Willow FT]:[Sugarcane ATJ-E (Standalone)]],0)</f>
        <v>9</v>
      </c>
    </row>
    <row r="47" spans="1:9" ht="15" customHeight="1" x14ac:dyDescent="0.3">
      <c r="A47" t="s">
        <v>10</v>
      </c>
      <c r="B47" t="s">
        <v>30</v>
      </c>
      <c r="C47" t="s">
        <v>194</v>
      </c>
      <c r="D47" t="s">
        <v>368</v>
      </c>
      <c r="E47" s="50" t="s">
        <v>31</v>
      </c>
      <c r="F47" s="82">
        <f>ROW(Pathways_Table[[#This Row],[PathID]])-1</f>
        <v>46</v>
      </c>
      <c r="G47" s="33" t="s">
        <v>192</v>
      </c>
      <c r="H47">
        <f>MATCH(Pathways_Table[[#This Row],[Pathway Name]],'Results'!$1:$1,0)</f>
        <v>12</v>
      </c>
      <c r="I47">
        <f>MATCH(Pathways_Table[[#This Row],[Pathway Name]],Results[[#Headers],[Willow FT]:[Sugarcane ATJ-E (Standalone)]],0)</f>
        <v>9</v>
      </c>
    </row>
    <row r="48" spans="1:9" ht="15" customHeight="1" x14ac:dyDescent="0.3">
      <c r="A48" t="s">
        <v>10</v>
      </c>
      <c r="B48" t="s">
        <v>30</v>
      </c>
      <c r="C48" t="s">
        <v>194</v>
      </c>
      <c r="D48" t="s">
        <v>369</v>
      </c>
      <c r="E48" s="50" t="s">
        <v>31</v>
      </c>
      <c r="F48" s="82">
        <f>ROW(Pathways_Table[[#This Row],[PathID]])-1</f>
        <v>47</v>
      </c>
      <c r="G48" s="33" t="s">
        <v>192</v>
      </c>
      <c r="H48">
        <f>MATCH(Pathways_Table[[#This Row],[Pathway Name]],'Results'!$1:$1,0)</f>
        <v>12</v>
      </c>
      <c r="I48">
        <f>MATCH(Pathways_Table[[#This Row],[Pathway Name]],Results[[#Headers],[Willow FT]:[Sugarcane ATJ-E (Standalone)]],0)</f>
        <v>9</v>
      </c>
    </row>
    <row r="49" spans="1:9" ht="15" customHeight="1" x14ac:dyDescent="0.3">
      <c r="A49" t="s">
        <v>10</v>
      </c>
      <c r="B49" t="s">
        <v>30</v>
      </c>
      <c r="C49" t="s">
        <v>194</v>
      </c>
      <c r="D49" t="s">
        <v>355</v>
      </c>
      <c r="E49" s="50" t="s">
        <v>31</v>
      </c>
      <c r="F49" s="82">
        <f>ROW(Pathways_Table[[#This Row],[PathID]])-1</f>
        <v>48</v>
      </c>
      <c r="G49" s="33" t="s">
        <v>192</v>
      </c>
      <c r="H49">
        <f>MATCH(Pathways_Table[[#This Row],[Pathway Name]],'Results'!$1:$1,0)</f>
        <v>12</v>
      </c>
      <c r="I49">
        <f>MATCH(Pathways_Table[[#This Row],[Pathway Name]],Results[[#Headers],[Willow FT]:[Sugarcane ATJ-E (Standalone)]],0)</f>
        <v>9</v>
      </c>
    </row>
    <row r="50" spans="1:9" ht="15" customHeight="1" x14ac:dyDescent="0.3">
      <c r="A50" t="s">
        <v>1347</v>
      </c>
      <c r="B50" t="s">
        <v>30</v>
      </c>
      <c r="C50" t="s">
        <v>194</v>
      </c>
      <c r="D50" t="s">
        <v>1349</v>
      </c>
      <c r="E50" s="50" t="s">
        <v>31</v>
      </c>
      <c r="F50" s="82">
        <f>ROW(Pathways_Table[[#This Row],[PathID]])-1</f>
        <v>49</v>
      </c>
      <c r="G50" s="187" t="s">
        <v>176</v>
      </c>
      <c r="H50">
        <f>MATCH(Pathways_Table[[#This Row],[Pathway Name]],'Results'!$1:$1,0)</f>
        <v>14</v>
      </c>
      <c r="I50">
        <f>MATCH(Pathways_Table[[#This Row],[Pathway Name]],Results[[#Headers],[Willow FT]:[Sugarcane ATJ-E (Standalone)]],0)</f>
        <v>11</v>
      </c>
    </row>
    <row r="51" spans="1:9" ht="15" customHeight="1" x14ac:dyDescent="0.3">
      <c r="A51" t="s">
        <v>1347</v>
      </c>
      <c r="B51" t="s">
        <v>30</v>
      </c>
      <c r="C51" t="s">
        <v>194</v>
      </c>
      <c r="D51" t="s">
        <v>368</v>
      </c>
      <c r="E51" s="50" t="s">
        <v>31</v>
      </c>
      <c r="F51" s="82">
        <f>ROW(Pathways_Table[[#This Row],[PathID]])-1</f>
        <v>50</v>
      </c>
      <c r="G51" s="187" t="s">
        <v>176</v>
      </c>
      <c r="H51">
        <f>MATCH(Pathways_Table[[#This Row],[Pathway Name]],'Results'!$1:$1,0)</f>
        <v>14</v>
      </c>
      <c r="I51">
        <f>MATCH(Pathways_Table[[#This Row],[Pathway Name]],Results[[#Headers],[Willow FT]:[Sugarcane ATJ-E (Standalone)]],0)</f>
        <v>11</v>
      </c>
    </row>
    <row r="52" spans="1:9" ht="15" customHeight="1" x14ac:dyDescent="0.3">
      <c r="A52" t="s">
        <v>1347</v>
      </c>
      <c r="B52" t="s">
        <v>30</v>
      </c>
      <c r="C52" t="s">
        <v>194</v>
      </c>
      <c r="D52" t="s">
        <v>370</v>
      </c>
      <c r="E52" s="50" t="s">
        <v>31</v>
      </c>
      <c r="F52" s="82">
        <f>ROW(Pathways_Table[[#This Row],[PathID]])-1</f>
        <v>51</v>
      </c>
      <c r="G52" s="187" t="s">
        <v>176</v>
      </c>
      <c r="H52">
        <f>MATCH(Pathways_Table[[#This Row],[Pathway Name]],'Results'!$1:$1,0)</f>
        <v>14</v>
      </c>
      <c r="I52">
        <f>MATCH(Pathways_Table[[#This Row],[Pathway Name]],Results[[#Headers],[Willow FT]:[Sugarcane ATJ-E (Standalone)]],0)</f>
        <v>11</v>
      </c>
    </row>
    <row r="53" spans="1:9" ht="15" customHeight="1" x14ac:dyDescent="0.3">
      <c r="A53" t="s">
        <v>1347</v>
      </c>
      <c r="B53" t="s">
        <v>30</v>
      </c>
      <c r="C53" t="s">
        <v>194</v>
      </c>
      <c r="D53" t="s">
        <v>355</v>
      </c>
      <c r="E53" s="50" t="s">
        <v>31</v>
      </c>
      <c r="F53" s="82">
        <f>ROW(Pathways_Table[[#This Row],[PathID]])-1</f>
        <v>52</v>
      </c>
      <c r="G53" s="187" t="s">
        <v>176</v>
      </c>
      <c r="H53">
        <f>MATCH(Pathways_Table[[#This Row],[Pathway Name]],'Results'!$1:$1,0)</f>
        <v>14</v>
      </c>
      <c r="I53">
        <f>MATCH(Pathways_Table[[#This Row],[Pathway Name]],Results[[#Headers],[Willow FT]:[Sugarcane ATJ-E (Standalone)]],0)</f>
        <v>11</v>
      </c>
    </row>
    <row r="54" spans="1:9" ht="15" customHeight="1" x14ac:dyDescent="0.3">
      <c r="A54" t="s">
        <v>127</v>
      </c>
      <c r="B54" t="s">
        <v>30</v>
      </c>
      <c r="C54" t="s">
        <v>194</v>
      </c>
      <c r="D54" s="178" t="s">
        <v>1349</v>
      </c>
      <c r="E54" s="50" t="s">
        <v>31</v>
      </c>
      <c r="F54" s="82">
        <f>ROW(Pathways_Table[[#This Row],[PathID]])-1</f>
        <v>53</v>
      </c>
      <c r="G54" s="187" t="s">
        <v>178</v>
      </c>
      <c r="H54">
        <f>MATCH(Pathways_Table[[#This Row],[Pathway Name]],'Results'!$1:$1,0)</f>
        <v>16</v>
      </c>
      <c r="I54">
        <f>MATCH(Pathways_Table[[#This Row],[Pathway Name]],Results[[#Headers],[Willow FT]:[Sugarcane ATJ-E (Standalone)]],0)</f>
        <v>13</v>
      </c>
    </row>
    <row r="55" spans="1:9" ht="15" customHeight="1" x14ac:dyDescent="0.3">
      <c r="A55" t="s">
        <v>127</v>
      </c>
      <c r="B55" t="s">
        <v>30</v>
      </c>
      <c r="C55" t="s">
        <v>194</v>
      </c>
      <c r="D55" t="s">
        <v>370</v>
      </c>
      <c r="E55" s="50" t="s">
        <v>31</v>
      </c>
      <c r="F55" s="82">
        <f>ROW(Pathways_Table[[#This Row],[PathID]])-1</f>
        <v>54</v>
      </c>
      <c r="G55" s="187" t="s">
        <v>178</v>
      </c>
      <c r="H55">
        <f>MATCH(Pathways_Table[[#This Row],[Pathway Name]],'Results'!$1:$1,0)</f>
        <v>16</v>
      </c>
      <c r="I55">
        <f>MATCH(Pathways_Table[[#This Row],[Pathway Name]],Results[[#Headers],[Willow FT]:[Sugarcane ATJ-E (Standalone)]],0)</f>
        <v>13</v>
      </c>
    </row>
    <row r="56" spans="1:9" ht="15" customHeight="1" x14ac:dyDescent="0.3">
      <c r="A56" t="s">
        <v>127</v>
      </c>
      <c r="B56" t="s">
        <v>30</v>
      </c>
      <c r="C56" t="s">
        <v>194</v>
      </c>
      <c r="D56" t="s">
        <v>355</v>
      </c>
      <c r="E56" s="50" t="s">
        <v>31</v>
      </c>
      <c r="F56" s="82">
        <f>ROW(Pathways_Table[[#This Row],[PathID]])-1</f>
        <v>55</v>
      </c>
      <c r="G56" s="187" t="s">
        <v>178</v>
      </c>
      <c r="H56">
        <f>MATCH(Pathways_Table[[#This Row],[Pathway Name]],'Results'!$1:$1,0)</f>
        <v>16</v>
      </c>
      <c r="I56">
        <f>MATCH(Pathways_Table[[#This Row],[Pathway Name]],Results[[#Headers],[Willow FT]:[Sugarcane ATJ-E (Standalone)]],0)</f>
        <v>13</v>
      </c>
    </row>
    <row r="57" spans="1:9" ht="15" customHeight="1" x14ac:dyDescent="0.3">
      <c r="A57" t="s">
        <v>122</v>
      </c>
      <c r="B57" t="s">
        <v>30</v>
      </c>
      <c r="C57" t="s">
        <v>194</v>
      </c>
      <c r="D57" t="s">
        <v>367</v>
      </c>
      <c r="E57" t="s">
        <v>1357</v>
      </c>
      <c r="F57" s="82">
        <f>ROW(Pathways_Table[[#This Row],[PathID]])-1</f>
        <v>56</v>
      </c>
      <c r="G57" s="187" t="s">
        <v>175</v>
      </c>
      <c r="H57">
        <f>MATCH(Pathways_Table[[#This Row],[Pathway Name]],'Results'!$1:$1,0)</f>
        <v>13</v>
      </c>
      <c r="I57">
        <f>MATCH(Pathways_Table[[#This Row],[Pathway Name]],Results[[#Headers],[Willow FT]:[Sugarcane ATJ-E (Standalone)]],0)</f>
        <v>10</v>
      </c>
    </row>
    <row r="58" spans="1:9" ht="15" customHeight="1" x14ac:dyDescent="0.3">
      <c r="A58" t="s">
        <v>122</v>
      </c>
      <c r="B58" t="s">
        <v>30</v>
      </c>
      <c r="C58" t="s">
        <v>194</v>
      </c>
      <c r="D58" t="s">
        <v>367</v>
      </c>
      <c r="E58" t="s">
        <v>1358</v>
      </c>
      <c r="F58" s="82">
        <f>ROW(Pathways_Table[[#This Row],[PathID]])-1</f>
        <v>57</v>
      </c>
      <c r="G58" s="187" t="s">
        <v>175</v>
      </c>
      <c r="H58">
        <f>MATCH(Pathways_Table[[#This Row],[Pathway Name]],'Results'!$1:$1,0)</f>
        <v>13</v>
      </c>
      <c r="I58">
        <f>MATCH(Pathways_Table[[#This Row],[Pathway Name]],Results[[#Headers],[Willow FT]:[Sugarcane ATJ-E (Standalone)]],0)</f>
        <v>10</v>
      </c>
    </row>
    <row r="59" spans="1:9" ht="15" customHeight="1" x14ac:dyDescent="0.3">
      <c r="A59" t="s">
        <v>128</v>
      </c>
      <c r="B59" t="s">
        <v>30</v>
      </c>
      <c r="C59" t="s">
        <v>194</v>
      </c>
      <c r="D59" t="s">
        <v>1360</v>
      </c>
      <c r="E59" s="50" t="s">
        <v>31</v>
      </c>
      <c r="F59" s="82">
        <f>ROW(Pathways_Table[[#This Row],[PathID]])-1</f>
        <v>58</v>
      </c>
      <c r="G59" s="188" t="s">
        <v>179</v>
      </c>
      <c r="H59">
        <f>MATCH(Pathways_Table[[#This Row],[Pathway Name]],'Results'!$1:$1,0)</f>
        <v>18</v>
      </c>
      <c r="I59">
        <f>MATCH(Pathways_Table[[#This Row],[Pathway Name]],Results[[#Headers],[Willow FT]:[Sugarcane ATJ-E (Standalone)]],0)</f>
        <v>15</v>
      </c>
    </row>
    <row r="60" spans="1:9" ht="15" customHeight="1" x14ac:dyDescent="0.3">
      <c r="A60" t="s">
        <v>374</v>
      </c>
      <c r="B60" t="s">
        <v>30</v>
      </c>
      <c r="C60" t="s">
        <v>194</v>
      </c>
      <c r="D60" t="s">
        <v>1343</v>
      </c>
      <c r="E60" s="50" t="s">
        <v>31</v>
      </c>
      <c r="F60" s="82">
        <f>ROW(Pathways_Table[[#This Row],[PathID]])-1</f>
        <v>59</v>
      </c>
      <c r="G60" s="187" t="s">
        <v>2224</v>
      </c>
      <c r="H60">
        <f>MATCH(Pathways_Table[[#This Row],[Pathway Name]],'Results'!$1:$1,0)</f>
        <v>17</v>
      </c>
      <c r="I60">
        <f>MATCH(Pathways_Table[[#This Row],[Pathway Name]],Results[[#Headers],[Willow FT]:[Sugarcane ATJ-E (Standalone)]],0)</f>
        <v>14</v>
      </c>
    </row>
    <row r="61" spans="1:9" ht="15" customHeight="1" x14ac:dyDescent="0.3">
      <c r="A61" t="s">
        <v>133</v>
      </c>
      <c r="B61" t="s">
        <v>129</v>
      </c>
      <c r="C61" t="s">
        <v>194</v>
      </c>
      <c r="D61" t="s">
        <v>1335</v>
      </c>
      <c r="E61" s="50" t="s">
        <v>31</v>
      </c>
      <c r="F61" s="82">
        <f>ROW(Pathways_Table[[#This Row],[PathID]])-1</f>
        <v>60</v>
      </c>
      <c r="G61" s="187" t="s">
        <v>188</v>
      </c>
      <c r="H61">
        <f>MATCH(Pathways_Table[[#This Row],[Pathway Name]],'Results'!$1:$1,0)</f>
        <v>6</v>
      </c>
      <c r="I61">
        <f>MATCH(Pathways_Table[[#This Row],[Pathway Name]],Results[[#Headers],[Willow FT]:[Sugarcane ATJ-E (Standalone)]],0)</f>
        <v>3</v>
      </c>
    </row>
    <row r="62" spans="1:9" ht="15" customHeight="1" x14ac:dyDescent="0.3">
      <c r="A62" t="s">
        <v>133</v>
      </c>
      <c r="B62" t="s">
        <v>129</v>
      </c>
      <c r="C62" t="s">
        <v>194</v>
      </c>
      <c r="D62" t="s">
        <v>1338</v>
      </c>
      <c r="E62" s="50" t="s">
        <v>31</v>
      </c>
      <c r="F62" s="82">
        <f>ROW(Pathways_Table[[#This Row],[PathID]])-1</f>
        <v>61</v>
      </c>
      <c r="G62" s="187" t="s">
        <v>188</v>
      </c>
      <c r="H62">
        <f>MATCH(Pathways_Table[[#This Row],[Pathway Name]],'Results'!$1:$1,0)</f>
        <v>6</v>
      </c>
      <c r="I62">
        <f>MATCH(Pathways_Table[[#This Row],[Pathway Name]],Results[[#Headers],[Willow FT]:[Sugarcane ATJ-E (Standalone)]],0)</f>
        <v>3</v>
      </c>
    </row>
    <row r="63" spans="1:9" ht="15" customHeight="1" x14ac:dyDescent="0.3">
      <c r="A63" t="s">
        <v>133</v>
      </c>
      <c r="B63" t="s">
        <v>129</v>
      </c>
      <c r="C63" t="s">
        <v>194</v>
      </c>
      <c r="D63" t="s">
        <v>1336</v>
      </c>
      <c r="E63" s="50" t="s">
        <v>31</v>
      </c>
      <c r="F63" s="82">
        <f>ROW(Pathways_Table[[#This Row],[PathID]])-1</f>
        <v>62</v>
      </c>
      <c r="G63" s="187" t="s">
        <v>188</v>
      </c>
      <c r="H63">
        <f>MATCH(Pathways_Table[[#This Row],[Pathway Name]],'Results'!$1:$1,0)</f>
        <v>6</v>
      </c>
      <c r="I63">
        <f>MATCH(Pathways_Table[[#This Row],[Pathway Name]],Results[[#Headers],[Willow FT]:[Sugarcane ATJ-E (Standalone)]],0)</f>
        <v>3</v>
      </c>
    </row>
    <row r="64" spans="1:9" ht="15" customHeight="1" x14ac:dyDescent="0.3">
      <c r="A64" t="s">
        <v>134</v>
      </c>
      <c r="B64" t="s">
        <v>129</v>
      </c>
      <c r="C64" t="s">
        <v>194</v>
      </c>
      <c r="D64" t="s">
        <v>1335</v>
      </c>
      <c r="E64" s="50" t="s">
        <v>31</v>
      </c>
      <c r="F64" s="82">
        <f>ROW(Pathways_Table[[#This Row],[PathID]])-1</f>
        <v>63</v>
      </c>
      <c r="G64" s="187" t="s">
        <v>189</v>
      </c>
      <c r="H64">
        <f>MATCH(Pathways_Table[[#This Row],[Pathway Name]],'Results'!$1:$1,0)</f>
        <v>7</v>
      </c>
      <c r="I64">
        <f>MATCH(Pathways_Table[[#This Row],[Pathway Name]],Results[[#Headers],[Willow FT]:[Sugarcane ATJ-E (Standalone)]],0)</f>
        <v>4</v>
      </c>
    </row>
    <row r="65" spans="1:9" ht="15" customHeight="1" x14ac:dyDescent="0.3">
      <c r="A65" t="s">
        <v>134</v>
      </c>
      <c r="B65" t="s">
        <v>129</v>
      </c>
      <c r="C65" t="s">
        <v>194</v>
      </c>
      <c r="D65" t="s">
        <v>1338</v>
      </c>
      <c r="E65" s="50" t="s">
        <v>31</v>
      </c>
      <c r="F65" s="82">
        <f>ROW(Pathways_Table[[#This Row],[PathID]])-1</f>
        <v>64</v>
      </c>
      <c r="G65" s="187" t="s">
        <v>189</v>
      </c>
      <c r="H65">
        <f>MATCH(Pathways_Table[[#This Row],[Pathway Name]],'Results'!$1:$1,0)</f>
        <v>7</v>
      </c>
      <c r="I65">
        <f>MATCH(Pathways_Table[[#This Row],[Pathway Name]],Results[[#Headers],[Willow FT]:[Sugarcane ATJ-E (Standalone)]],0)</f>
        <v>4</v>
      </c>
    </row>
    <row r="66" spans="1:9" ht="15" customHeight="1" x14ac:dyDescent="0.3">
      <c r="A66" t="s">
        <v>132</v>
      </c>
      <c r="B66" t="s">
        <v>129</v>
      </c>
      <c r="C66" t="s">
        <v>194</v>
      </c>
      <c r="D66" t="s">
        <v>1335</v>
      </c>
      <c r="E66" s="50" t="s">
        <v>31</v>
      </c>
      <c r="F66" s="82">
        <f>ROW(Pathways_Table[[#This Row],[PathID]])-1</f>
        <v>65</v>
      </c>
      <c r="G66" s="187" t="s">
        <v>187</v>
      </c>
      <c r="H66">
        <f>MATCH(Pathways_Table[[#This Row],[Pathway Name]],'Results'!$1:$1,0)</f>
        <v>5</v>
      </c>
      <c r="I66">
        <f>MATCH(Pathways_Table[[#This Row],[Pathway Name]],Results[[#Headers],[Willow FT]:[Sugarcane ATJ-E (Standalone)]],0)</f>
        <v>2</v>
      </c>
    </row>
    <row r="67" spans="1:9" ht="15" customHeight="1" x14ac:dyDescent="0.3">
      <c r="A67" t="s">
        <v>132</v>
      </c>
      <c r="B67" t="s">
        <v>129</v>
      </c>
      <c r="C67" t="s">
        <v>194</v>
      </c>
      <c r="D67" t="s">
        <v>1338</v>
      </c>
      <c r="E67" s="50" t="s">
        <v>31</v>
      </c>
      <c r="F67" s="82">
        <f>ROW(Pathways_Table[[#This Row],[PathID]])-1</f>
        <v>66</v>
      </c>
      <c r="G67" s="187" t="s">
        <v>187</v>
      </c>
      <c r="H67">
        <f>MATCH(Pathways_Table[[#This Row],[Pathway Name]],'Results'!$1:$1,0)</f>
        <v>5</v>
      </c>
      <c r="I67">
        <f>MATCH(Pathways_Table[[#This Row],[Pathway Name]],Results[[#Headers],[Willow FT]:[Sugarcane ATJ-E (Standalone)]],0)</f>
        <v>2</v>
      </c>
    </row>
    <row r="68" spans="1:9" ht="15" customHeight="1" x14ac:dyDescent="0.3">
      <c r="A68" t="s">
        <v>132</v>
      </c>
      <c r="B68" t="s">
        <v>129</v>
      </c>
      <c r="C68" t="s">
        <v>194</v>
      </c>
      <c r="D68" t="s">
        <v>1336</v>
      </c>
      <c r="E68" s="50" t="s">
        <v>31</v>
      </c>
      <c r="F68" s="82">
        <f>ROW(Pathways_Table[[#This Row],[PathID]])-1</f>
        <v>67</v>
      </c>
      <c r="G68" s="187" t="s">
        <v>187</v>
      </c>
      <c r="H68">
        <f>MATCH(Pathways_Table[[#This Row],[Pathway Name]],'Results'!$1:$1,0)</f>
        <v>5</v>
      </c>
      <c r="I68">
        <f>MATCH(Pathways_Table[[#This Row],[Pathway Name]],Results[[#Headers],[Willow FT]:[Sugarcane ATJ-E (Standalone)]],0)</f>
        <v>2</v>
      </c>
    </row>
    <row r="69" spans="1:9" ht="15" customHeight="1" x14ac:dyDescent="0.3">
      <c r="A69" t="s">
        <v>131</v>
      </c>
      <c r="B69" t="s">
        <v>129</v>
      </c>
      <c r="C69" t="s">
        <v>194</v>
      </c>
      <c r="D69" t="s">
        <v>1335</v>
      </c>
      <c r="E69" s="50" t="s">
        <v>31</v>
      </c>
      <c r="F69" s="82">
        <f>ROW(Pathways_Table[[#This Row],[PathID]])-1</f>
        <v>68</v>
      </c>
      <c r="G69" s="33" t="s">
        <v>186</v>
      </c>
      <c r="H69">
        <f>MATCH(Pathways_Table[[#This Row],[Pathway Name]],'Results'!$1:$1,0)</f>
        <v>4</v>
      </c>
      <c r="I69">
        <f>MATCH(Pathways_Table[[#This Row],[Pathway Name]],Results[[#Headers],[Willow FT]:[Sugarcane ATJ-E (Standalone)]],0)</f>
        <v>1</v>
      </c>
    </row>
    <row r="70" spans="1:9" ht="15" customHeight="1" x14ac:dyDescent="0.3">
      <c r="A70" t="s">
        <v>131</v>
      </c>
      <c r="B70" t="s">
        <v>129</v>
      </c>
      <c r="C70" t="s">
        <v>194</v>
      </c>
      <c r="D70" t="s">
        <v>1338</v>
      </c>
      <c r="E70" s="50" t="s">
        <v>31</v>
      </c>
      <c r="F70" s="82">
        <f>ROW(Pathways_Table[[#This Row],[PathID]])-1</f>
        <v>69</v>
      </c>
      <c r="G70" s="33" t="s">
        <v>186</v>
      </c>
      <c r="H70">
        <f>MATCH(Pathways_Table[[#This Row],[Pathway Name]],'Results'!$1:$1,0)</f>
        <v>4</v>
      </c>
      <c r="I70">
        <f>MATCH(Pathways_Table[[#This Row],[Pathway Name]],Results[[#Headers],[Willow FT]:[Sugarcane ATJ-E (Standalone)]],0)</f>
        <v>1</v>
      </c>
    </row>
    <row r="71" spans="1:9" ht="15" customHeight="1" x14ac:dyDescent="0.3">
      <c r="A71" t="s">
        <v>135</v>
      </c>
      <c r="B71" t="s">
        <v>129</v>
      </c>
      <c r="C71" t="s">
        <v>194</v>
      </c>
      <c r="D71" t="s">
        <v>1335</v>
      </c>
      <c r="E71" s="50" t="s">
        <v>31</v>
      </c>
      <c r="F71" s="82">
        <f>ROW(Pathways_Table[[#This Row],[PathID]])-1</f>
        <v>70</v>
      </c>
      <c r="G71" s="187" t="s">
        <v>190</v>
      </c>
      <c r="H71">
        <f>MATCH(Pathways_Table[[#This Row],[Pathway Name]],'Results'!$1:$1,0)</f>
        <v>8</v>
      </c>
      <c r="I71">
        <f>MATCH(Pathways_Table[[#This Row],[Pathway Name]],Results[[#Headers],[Willow FT]:[Sugarcane ATJ-E (Standalone)]],0)</f>
        <v>5</v>
      </c>
    </row>
    <row r="72" spans="1:9" ht="15" customHeight="1" x14ac:dyDescent="0.3">
      <c r="A72" t="s">
        <v>135</v>
      </c>
      <c r="B72" t="s">
        <v>129</v>
      </c>
      <c r="C72" t="s">
        <v>194</v>
      </c>
      <c r="D72" t="s">
        <v>1336</v>
      </c>
      <c r="E72" s="50" t="s">
        <v>31</v>
      </c>
      <c r="F72" s="82">
        <f>ROW(Pathways_Table[[#This Row],[PathID]])-1</f>
        <v>71</v>
      </c>
      <c r="G72" s="187" t="s">
        <v>190</v>
      </c>
      <c r="H72">
        <f>MATCH(Pathways_Table[[#This Row],[Pathway Name]],'Results'!$1:$1,0)</f>
        <v>8</v>
      </c>
      <c r="I72">
        <f>MATCH(Pathways_Table[[#This Row],[Pathway Name]],Results[[#Headers],[Willow FT]:[Sugarcane ATJ-E (Standalone)]],0)</f>
        <v>5</v>
      </c>
    </row>
    <row r="73" spans="1:9" ht="15" customHeight="1" x14ac:dyDescent="0.3">
      <c r="A73" t="s">
        <v>316</v>
      </c>
      <c r="B73" t="s">
        <v>129</v>
      </c>
      <c r="C73" t="s">
        <v>194</v>
      </c>
      <c r="D73" t="s">
        <v>1335</v>
      </c>
      <c r="E73" s="50" t="s">
        <v>31</v>
      </c>
      <c r="F73" s="82">
        <f>ROW(Pathways_Table[[#This Row],[PathID]])-1</f>
        <v>72</v>
      </c>
      <c r="G73" s="188" t="s">
        <v>191</v>
      </c>
      <c r="H73">
        <f>MATCH(Pathways_Table[[#This Row],[Pathway Name]],'Results'!$1:$1,0)</f>
        <v>9</v>
      </c>
      <c r="I73">
        <f>MATCH(Pathways_Table[[#This Row],[Pathway Name]],Results[[#Headers],[Willow FT]:[Sugarcane ATJ-E (Standalone)]],0)</f>
        <v>6</v>
      </c>
    </row>
    <row r="74" spans="1:9" ht="15" customHeight="1" x14ac:dyDescent="0.3">
      <c r="A74" t="s">
        <v>316</v>
      </c>
      <c r="B74" t="s">
        <v>129</v>
      </c>
      <c r="C74" t="s">
        <v>194</v>
      </c>
      <c r="D74" t="s">
        <v>1336</v>
      </c>
      <c r="E74" s="50" t="s">
        <v>31</v>
      </c>
      <c r="F74" s="82">
        <f>ROW(Pathways_Table[[#This Row],[PathID]])-1</f>
        <v>73</v>
      </c>
      <c r="G74" s="188" t="s">
        <v>191</v>
      </c>
      <c r="H74">
        <f>MATCH(Pathways_Table[[#This Row],[Pathway Name]],'Results'!$1:$1,0)</f>
        <v>9</v>
      </c>
      <c r="I74">
        <f>MATCH(Pathways_Table[[#This Row],[Pathway Name]],Results[[#Headers],[Willow FT]:[Sugarcane ATJ-E (Standalone)]],0)</f>
        <v>6</v>
      </c>
    </row>
    <row r="75" spans="1:9" ht="15" customHeight="1" x14ac:dyDescent="0.3">
      <c r="A75" t="s">
        <v>136</v>
      </c>
      <c r="B75" t="s">
        <v>1964</v>
      </c>
      <c r="C75" t="s">
        <v>194</v>
      </c>
      <c r="D75" t="s">
        <v>377</v>
      </c>
      <c r="E75" s="50" t="s">
        <v>31</v>
      </c>
      <c r="F75" s="82">
        <f>ROW(Pathways_Table[[#This Row],[PathID]])-1</f>
        <v>74</v>
      </c>
      <c r="G75" s="33" t="s">
        <v>2225</v>
      </c>
      <c r="H75">
        <f>MATCH(Pathways_Table[[#This Row],[Pathway Name]],'Results'!$1:$1,0)</f>
        <v>22</v>
      </c>
      <c r="I75">
        <f>MATCH(Pathways_Table[[#This Row],[Pathway Name]],Results[[#Headers],[Willow FT]:[Sugarcane ATJ-E (Standalone)]],0)</f>
        <v>19</v>
      </c>
    </row>
    <row r="76" spans="1:9" ht="15" customHeight="1" x14ac:dyDescent="0.3">
      <c r="A76" t="s">
        <v>135</v>
      </c>
      <c r="B76" t="s">
        <v>1964</v>
      </c>
      <c r="C76" t="s">
        <v>194</v>
      </c>
      <c r="D76" t="s">
        <v>1399</v>
      </c>
      <c r="E76" t="s">
        <v>1398</v>
      </c>
      <c r="F76" s="82">
        <f>ROW(Pathways_Table[[#This Row],[PathID]])-1</f>
        <v>75</v>
      </c>
      <c r="G76" s="187" t="s">
        <v>2226</v>
      </c>
      <c r="H76">
        <f>MATCH(Pathways_Table[[#This Row],[Pathway Name]],'Results'!$1:$1,0)</f>
        <v>27</v>
      </c>
      <c r="I76">
        <f>MATCH(Pathways_Table[[#This Row],[Pathway Name]],Results[[#Headers],[Willow FT]:[Sugarcane ATJ-E (Standalone)]],0)</f>
        <v>24</v>
      </c>
    </row>
    <row r="77" spans="1:9" ht="15" customHeight="1" x14ac:dyDescent="0.3">
      <c r="A77" t="s">
        <v>135</v>
      </c>
      <c r="B77" t="s">
        <v>1964</v>
      </c>
      <c r="C77" t="s">
        <v>194</v>
      </c>
      <c r="D77" t="s">
        <v>1399</v>
      </c>
      <c r="E77" t="s">
        <v>137</v>
      </c>
      <c r="F77" s="82">
        <f>ROW(Pathways_Table[[#This Row],[PathID]])-1</f>
        <v>76</v>
      </c>
      <c r="G77" s="187" t="s">
        <v>2239</v>
      </c>
      <c r="H77">
        <f>MATCH(Pathways_Table[[#This Row],[Pathway Name]],'Results'!$1:$1,0)</f>
        <v>37</v>
      </c>
      <c r="I77">
        <f>MATCH(Pathways_Table[[#This Row],[Pathway Name]],Results[[#Headers],[Willow FT]:[Sugarcane ATJ-E (Standalone)]],0)</f>
        <v>34</v>
      </c>
    </row>
    <row r="78" spans="1:9" ht="15" customHeight="1" x14ac:dyDescent="0.3">
      <c r="A78" t="s">
        <v>316</v>
      </c>
      <c r="B78" t="s">
        <v>1964</v>
      </c>
      <c r="C78" t="s">
        <v>194</v>
      </c>
      <c r="D78" t="s">
        <v>1399</v>
      </c>
      <c r="E78" t="s">
        <v>1398</v>
      </c>
      <c r="F78" s="82">
        <f>ROW(Pathways_Table[[#This Row],[PathID]])-1</f>
        <v>77</v>
      </c>
      <c r="G78" s="187" t="s">
        <v>2231</v>
      </c>
      <c r="H78">
        <f>MATCH(Pathways_Table[[#This Row],[Pathway Name]],'Results'!$1:$1,0)</f>
        <v>28</v>
      </c>
      <c r="I78">
        <f>MATCH(Pathways_Table[[#This Row],[Pathway Name]],Results[[#Headers],[Willow FT]:[Sugarcane ATJ-E (Standalone)]],0)</f>
        <v>25</v>
      </c>
    </row>
    <row r="79" spans="1:9" ht="15" customHeight="1" x14ac:dyDescent="0.3">
      <c r="A79" t="s">
        <v>316</v>
      </c>
      <c r="B79" t="s">
        <v>1964</v>
      </c>
      <c r="C79" t="s">
        <v>194</v>
      </c>
      <c r="D79" t="s">
        <v>1399</v>
      </c>
      <c r="E79" t="s">
        <v>137</v>
      </c>
      <c r="F79" s="82">
        <f>ROW(Pathways_Table[[#This Row],[PathID]])-1</f>
        <v>78</v>
      </c>
      <c r="G79" s="187" t="s">
        <v>2240</v>
      </c>
      <c r="H79">
        <f>MATCH(Pathways_Table[[#This Row],[Pathway Name]],'Results'!$1:$1,0)</f>
        <v>38</v>
      </c>
      <c r="I79">
        <f>MATCH(Pathways_Table[[#This Row],[Pathway Name]],Results[[#Headers],[Willow FT]:[Sugarcane ATJ-E (Standalone)]],0)</f>
        <v>35</v>
      </c>
    </row>
    <row r="80" spans="1:9" ht="15" customHeight="1" x14ac:dyDescent="0.3">
      <c r="A80" t="s">
        <v>134</v>
      </c>
      <c r="B80" t="s">
        <v>1964</v>
      </c>
      <c r="C80" t="s">
        <v>194</v>
      </c>
      <c r="D80" t="s">
        <v>1399</v>
      </c>
      <c r="E80" t="s">
        <v>1398</v>
      </c>
      <c r="F80" s="82">
        <f>ROW(Pathways_Table[[#This Row],[PathID]])-1</f>
        <v>79</v>
      </c>
      <c r="G80" s="187" t="s">
        <v>2230</v>
      </c>
      <c r="H80">
        <f>MATCH(Pathways_Table[[#This Row],[Pathway Name]],'Results'!$1:$1,0)</f>
        <v>26</v>
      </c>
      <c r="I80">
        <f>MATCH(Pathways_Table[[#This Row],[Pathway Name]],Results[[#Headers],[Willow FT]:[Sugarcane ATJ-E (Standalone)]],0)</f>
        <v>23</v>
      </c>
    </row>
    <row r="81" spans="1:9" ht="15" customHeight="1" x14ac:dyDescent="0.3">
      <c r="A81" t="s">
        <v>134</v>
      </c>
      <c r="B81" t="s">
        <v>1964</v>
      </c>
      <c r="C81" t="s">
        <v>194</v>
      </c>
      <c r="D81" t="s">
        <v>1399</v>
      </c>
      <c r="E81" t="s">
        <v>137</v>
      </c>
      <c r="F81" s="82">
        <f>ROW(Pathways_Table[[#This Row],[PathID]])-1</f>
        <v>80</v>
      </c>
      <c r="G81" s="187" t="s">
        <v>2238</v>
      </c>
      <c r="H81">
        <f>MATCH(Pathways_Table[[#This Row],[Pathway Name]],'Results'!$1:$1,0)</f>
        <v>36</v>
      </c>
      <c r="I81">
        <f>MATCH(Pathways_Table[[#This Row],[Pathway Name]],Results[[#Headers],[Willow FT]:[Sugarcane ATJ-E (Standalone)]],0)</f>
        <v>33</v>
      </c>
    </row>
    <row r="82" spans="1:9" ht="15" customHeight="1" x14ac:dyDescent="0.3">
      <c r="A82" t="s">
        <v>133</v>
      </c>
      <c r="B82" t="s">
        <v>1964</v>
      </c>
      <c r="C82" t="s">
        <v>194</v>
      </c>
      <c r="D82" t="s">
        <v>1399</v>
      </c>
      <c r="E82" t="s">
        <v>1398</v>
      </c>
      <c r="F82" s="82">
        <f>ROW(Pathways_Table[[#This Row],[PathID]])-1</f>
        <v>81</v>
      </c>
      <c r="G82" s="187" t="s">
        <v>2229</v>
      </c>
      <c r="H82">
        <f>MATCH(Pathways_Table[[#This Row],[Pathway Name]],'Results'!$1:$1,0)</f>
        <v>25</v>
      </c>
      <c r="I82">
        <f>MATCH(Pathways_Table[[#This Row],[Pathway Name]],Results[[#Headers],[Willow FT]:[Sugarcane ATJ-E (Standalone)]],0)</f>
        <v>22</v>
      </c>
    </row>
    <row r="83" spans="1:9" ht="15" customHeight="1" x14ac:dyDescent="0.3">
      <c r="A83" t="s">
        <v>133</v>
      </c>
      <c r="B83" t="s">
        <v>1964</v>
      </c>
      <c r="C83" t="s">
        <v>194</v>
      </c>
      <c r="D83" t="s">
        <v>1399</v>
      </c>
      <c r="E83" t="s">
        <v>137</v>
      </c>
      <c r="F83" s="82">
        <f>ROW(Pathways_Table[[#This Row],[PathID]])-1</f>
        <v>82</v>
      </c>
      <c r="G83" s="187" t="s">
        <v>2237</v>
      </c>
      <c r="H83">
        <f>MATCH(Pathways_Table[[#This Row],[Pathway Name]],'Results'!$1:$1,0)</f>
        <v>35</v>
      </c>
      <c r="I83">
        <f>MATCH(Pathways_Table[[#This Row],[Pathway Name]],Results[[#Headers],[Willow FT]:[Sugarcane ATJ-E (Standalone)]],0)</f>
        <v>32</v>
      </c>
    </row>
    <row r="84" spans="1:9" ht="15" customHeight="1" x14ac:dyDescent="0.3">
      <c r="A84" s="14" t="s">
        <v>874</v>
      </c>
      <c r="B84" s="14" t="s">
        <v>30</v>
      </c>
      <c r="C84" s="82" t="s">
        <v>194</v>
      </c>
      <c r="D84" t="s">
        <v>1335</v>
      </c>
      <c r="E84" s="50" t="s">
        <v>31</v>
      </c>
      <c r="F84" s="82">
        <f>ROW(Pathways_Table[[#This Row],[PathID]])-1</f>
        <v>83</v>
      </c>
      <c r="G84" s="187" t="s">
        <v>860</v>
      </c>
      <c r="H84">
        <f>MATCH(Pathways_Table[[#This Row],[Pathway Name]],'Results'!$1:$1,0)</f>
        <v>19</v>
      </c>
      <c r="I84">
        <f>MATCH(Pathways_Table[[#This Row],[Pathway Name]],Results[[#Headers],[Willow FT]:[Sugarcane ATJ-E (Standalone)]],0)</f>
        <v>16</v>
      </c>
    </row>
    <row r="85" spans="1:9" ht="15" customHeight="1" x14ac:dyDescent="0.3">
      <c r="A85" s="190" t="s">
        <v>875</v>
      </c>
      <c r="B85" s="14" t="s">
        <v>30</v>
      </c>
      <c r="C85" s="82" t="s">
        <v>194</v>
      </c>
      <c r="D85" s="14" t="s">
        <v>1335</v>
      </c>
      <c r="E85" s="50" t="s">
        <v>31</v>
      </c>
      <c r="F85" s="82">
        <f>ROW(Pathways_Table[[#This Row],[PathID]])-1</f>
        <v>84</v>
      </c>
      <c r="G85" s="187" t="s">
        <v>862</v>
      </c>
      <c r="H85">
        <f>MATCH(Pathways_Table[[#This Row],[Pathway Name]],'Results'!$1:$1,0)</f>
        <v>21</v>
      </c>
      <c r="I85">
        <f>MATCH(Pathways_Table[[#This Row],[Pathway Name]],Results[[#Headers],[Willow FT]:[Sugarcane ATJ-E (Standalone)]],0)</f>
        <v>18</v>
      </c>
    </row>
    <row r="86" spans="1:9" ht="15" customHeight="1" x14ac:dyDescent="0.3">
      <c r="A86" s="14" t="s">
        <v>876</v>
      </c>
      <c r="B86" s="14" t="s">
        <v>30</v>
      </c>
      <c r="C86" s="82" t="s">
        <v>194</v>
      </c>
      <c r="D86" s="14" t="s">
        <v>1343</v>
      </c>
      <c r="E86" s="50" t="s">
        <v>31</v>
      </c>
      <c r="F86" s="82">
        <f>ROW(Pathways_Table[[#This Row],[PathID]])-1</f>
        <v>85</v>
      </c>
      <c r="G86" s="187" t="s">
        <v>861</v>
      </c>
      <c r="H86">
        <f>MATCH(Pathways_Table[[#This Row],[Pathway Name]],'Results'!$1:$1,0)</f>
        <v>20</v>
      </c>
      <c r="I86">
        <f>MATCH(Pathways_Table[[#This Row],[Pathway Name]],Results[[#Headers],[Willow FT]:[Sugarcane ATJ-E (Standalone)]],0)</f>
        <v>17</v>
      </c>
    </row>
    <row r="87" spans="1:9" ht="15" customHeight="1" x14ac:dyDescent="0.3">
      <c r="A87" s="14" t="s">
        <v>881</v>
      </c>
      <c r="B87" s="14" t="s">
        <v>129</v>
      </c>
      <c r="C87" s="82" t="s">
        <v>194</v>
      </c>
      <c r="D87" t="s">
        <v>1335</v>
      </c>
      <c r="E87" s="50" t="s">
        <v>31</v>
      </c>
      <c r="F87" s="82">
        <f>ROW(Pathways_Table[[#This Row],[PathID]])-1</f>
        <v>86</v>
      </c>
      <c r="G87" s="187" t="s">
        <v>858</v>
      </c>
      <c r="H87">
        <f>MATCH(Pathways_Table[[#This Row],[Pathway Name]],'Results'!$1:$1,0)</f>
        <v>10</v>
      </c>
      <c r="I87">
        <f>MATCH(Pathways_Table[[#This Row],[Pathway Name]],Results[[#Headers],[Willow FT]:[Sugarcane ATJ-E (Standalone)]],0)</f>
        <v>7</v>
      </c>
    </row>
    <row r="88" spans="1:9" ht="15" customHeight="1" x14ac:dyDescent="0.3">
      <c r="A88" s="14" t="s">
        <v>881</v>
      </c>
      <c r="B88" s="14" t="s">
        <v>129</v>
      </c>
      <c r="C88" s="82" t="s">
        <v>194</v>
      </c>
      <c r="D88" t="s">
        <v>1336</v>
      </c>
      <c r="E88" s="50" t="s">
        <v>31</v>
      </c>
      <c r="F88" s="82">
        <f>ROW(Pathways_Table[[#This Row],[PathID]])-1</f>
        <v>87</v>
      </c>
      <c r="G88" s="187" t="s">
        <v>858</v>
      </c>
      <c r="H88">
        <f>MATCH(Pathways_Table[[#This Row],[Pathway Name]],'Results'!$1:$1,0)</f>
        <v>10</v>
      </c>
      <c r="I88">
        <f>MATCH(Pathways_Table[[#This Row],[Pathway Name]],Results[[#Headers],[Willow FT]:[Sugarcane ATJ-E (Standalone)]],0)</f>
        <v>7</v>
      </c>
    </row>
    <row r="89" spans="1:9" ht="15" customHeight="1" x14ac:dyDescent="0.3">
      <c r="A89" s="14" t="s">
        <v>878</v>
      </c>
      <c r="B89" s="14" t="s">
        <v>129</v>
      </c>
      <c r="C89" s="82" t="s">
        <v>194</v>
      </c>
      <c r="D89" t="s">
        <v>1335</v>
      </c>
      <c r="E89" s="50" t="s">
        <v>31</v>
      </c>
      <c r="F89" s="82">
        <f>ROW(Pathways_Table[[#This Row],[PathID]])-1</f>
        <v>88</v>
      </c>
      <c r="G89" s="187" t="s">
        <v>859</v>
      </c>
      <c r="H89">
        <f>MATCH(Pathways_Table[[#This Row],[Pathway Name]],'Results'!$1:$1,0)</f>
        <v>11</v>
      </c>
      <c r="I89">
        <f>MATCH(Pathways_Table[[#This Row],[Pathway Name]],Results[[#Headers],[Willow FT]:[Sugarcane ATJ-E (Standalone)]],0)</f>
        <v>8</v>
      </c>
    </row>
    <row r="90" spans="1:9" ht="15" customHeight="1" x14ac:dyDescent="0.3">
      <c r="A90" s="14" t="s">
        <v>447</v>
      </c>
      <c r="B90" s="14" t="s">
        <v>1964</v>
      </c>
      <c r="C90" s="82" t="s">
        <v>194</v>
      </c>
      <c r="D90" t="s">
        <v>377</v>
      </c>
      <c r="E90" s="50" t="s">
        <v>31</v>
      </c>
      <c r="F90" s="82">
        <f>ROW(Pathways_Table[[#This Row],[PathID]])-1</f>
        <v>89</v>
      </c>
      <c r="G90" s="187" t="s">
        <v>2242</v>
      </c>
      <c r="H90">
        <f>MATCH(Pathways_Table[[#This Row],[Pathway Name]],'Results'!$1:$1,0)</f>
        <v>40</v>
      </c>
      <c r="I90">
        <f>MATCH(Pathways_Table[[#This Row],[Pathway Name]],Results[[#Headers],[Willow FT]:[Sugarcane ATJ-E (Standalone)]],0)</f>
        <v>37</v>
      </c>
    </row>
    <row r="91" spans="1:9" ht="15" customHeight="1" x14ac:dyDescent="0.3">
      <c r="A91" s="14" t="s">
        <v>447</v>
      </c>
      <c r="B91" s="14" t="s">
        <v>1964</v>
      </c>
      <c r="C91" s="82" t="s">
        <v>194</v>
      </c>
      <c r="D91" t="s">
        <v>355</v>
      </c>
      <c r="E91" s="50" t="s">
        <v>31</v>
      </c>
      <c r="F91" s="82">
        <f>ROW(Pathways_Table[[#This Row],[PathID]])-1</f>
        <v>90</v>
      </c>
      <c r="G91" s="187" t="s">
        <v>2242</v>
      </c>
      <c r="H91">
        <f>MATCH(Pathways_Table[[#This Row],[Pathway Name]],'Results'!$1:$1,0)</f>
        <v>40</v>
      </c>
      <c r="I91">
        <f>MATCH(Pathways_Table[[#This Row],[Pathway Name]],Results[[#Headers],[Willow FT]:[Sugarcane ATJ-E (Standalone)]],0)</f>
        <v>37</v>
      </c>
    </row>
    <row r="92" spans="1:9" ht="15" customHeight="1" x14ac:dyDescent="0.3">
      <c r="A92" s="14" t="s">
        <v>447</v>
      </c>
      <c r="B92" s="14" t="s">
        <v>1964</v>
      </c>
      <c r="C92" s="82" t="s">
        <v>194</v>
      </c>
      <c r="D92" t="s">
        <v>882</v>
      </c>
      <c r="E92" s="50" t="s">
        <v>31</v>
      </c>
      <c r="F92" s="82">
        <f>ROW(Pathways_Table[[#This Row],[PathID]])-1</f>
        <v>91</v>
      </c>
      <c r="G92" s="187" t="s">
        <v>2242</v>
      </c>
      <c r="H92">
        <f>MATCH(Pathways_Table[[#This Row],[Pathway Name]],'Results'!$1:$1,0)</f>
        <v>40</v>
      </c>
      <c r="I92">
        <f>MATCH(Pathways_Table[[#This Row],[Pathway Name]],Results[[#Headers],[Willow FT]:[Sugarcane ATJ-E (Standalone)]],0)</f>
        <v>37</v>
      </c>
    </row>
    <row r="93" spans="1:9" ht="15" customHeight="1" x14ac:dyDescent="0.3">
      <c r="A93" s="14" t="s">
        <v>447</v>
      </c>
      <c r="B93" s="14" t="s">
        <v>448</v>
      </c>
      <c r="C93" s="82" t="s">
        <v>194</v>
      </c>
      <c r="D93" t="s">
        <v>377</v>
      </c>
      <c r="E93" s="50" t="s">
        <v>31</v>
      </c>
      <c r="F93" s="82">
        <f>ROW(Pathways_Table[[#This Row],[PathID]])-1</f>
        <v>92</v>
      </c>
      <c r="G93" s="187" t="s">
        <v>863</v>
      </c>
      <c r="H93">
        <f>MATCH(Pathways_Table[[#This Row],[Pathway Name]],'Results'!$1:$1,0)</f>
        <v>47</v>
      </c>
      <c r="I93">
        <f>MATCH(Pathways_Table[[#This Row],[Pathway Name]],Results[[#Headers],[Willow FT]:[Sugarcane ATJ-E (Standalone)]],0)</f>
        <v>44</v>
      </c>
    </row>
    <row r="94" spans="1:9" ht="15" customHeight="1" x14ac:dyDescent="0.3">
      <c r="A94" s="14" t="s">
        <v>447</v>
      </c>
      <c r="B94" s="14" t="s">
        <v>448</v>
      </c>
      <c r="C94" s="82" t="s">
        <v>194</v>
      </c>
      <c r="D94" t="s">
        <v>355</v>
      </c>
      <c r="E94" s="50" t="s">
        <v>31</v>
      </c>
      <c r="F94" s="82">
        <f>ROW(Pathways_Table[[#This Row],[PathID]])-1</f>
        <v>93</v>
      </c>
      <c r="G94" s="187" t="s">
        <v>863</v>
      </c>
      <c r="H94">
        <f>MATCH(Pathways_Table[[#This Row],[Pathway Name]],'Results'!$1:$1,0)</f>
        <v>47</v>
      </c>
      <c r="I94">
        <f>MATCH(Pathways_Table[[#This Row],[Pathway Name]],Results[[#Headers],[Willow FT]:[Sugarcane ATJ-E (Standalone)]],0)</f>
        <v>44</v>
      </c>
    </row>
    <row r="95" spans="1:9" ht="15" customHeight="1" x14ac:dyDescent="0.3">
      <c r="A95" s="14" t="s">
        <v>449</v>
      </c>
      <c r="B95" s="14" t="s">
        <v>448</v>
      </c>
      <c r="C95" s="82" t="s">
        <v>194</v>
      </c>
      <c r="D95" t="s">
        <v>377</v>
      </c>
      <c r="E95" s="50" t="s">
        <v>31</v>
      </c>
      <c r="F95" s="82">
        <f>ROW(Pathways_Table[[#This Row],[PathID]])-1</f>
        <v>94</v>
      </c>
      <c r="G95" s="187" t="s">
        <v>864</v>
      </c>
      <c r="H95">
        <f>MATCH(Pathways_Table[[#This Row],[Pathway Name]],'Results'!$1:$1,0)</f>
        <v>48</v>
      </c>
      <c r="I95">
        <f>MATCH(Pathways_Table[[#This Row],[Pathway Name]],Results[[#Headers],[Willow FT]:[Sugarcane ATJ-E (Standalone)]],0)</f>
        <v>45</v>
      </c>
    </row>
    <row r="96" spans="1:9" x14ac:dyDescent="0.3">
      <c r="A96" s="14" t="s">
        <v>447</v>
      </c>
      <c r="B96" s="14" t="s">
        <v>883</v>
      </c>
      <c r="C96" s="82" t="s">
        <v>194</v>
      </c>
      <c r="D96" t="s">
        <v>377</v>
      </c>
      <c r="E96" s="50" t="s">
        <v>31</v>
      </c>
      <c r="F96" s="82">
        <f>ROW(Pathways_Table[[#This Row],[PathID]])-1</f>
        <v>95</v>
      </c>
      <c r="G96" s="187" t="s">
        <v>865</v>
      </c>
      <c r="H96">
        <f>MATCH(Pathways_Table[[#This Row],[Pathway Name]],'Results'!$1:$1,0)</f>
        <v>49</v>
      </c>
      <c r="I96">
        <f>MATCH(Pathways_Table[[#This Row],[Pathway Name]],Results[[#Headers],[Willow FT]:[Sugarcane ATJ-E (Standalone)]],0)</f>
        <v>46</v>
      </c>
    </row>
    <row r="97" spans="1:9" x14ac:dyDescent="0.3">
      <c r="A97" s="14" t="s">
        <v>447</v>
      </c>
      <c r="B97" s="14" t="s">
        <v>883</v>
      </c>
      <c r="C97" s="82" t="s">
        <v>194</v>
      </c>
      <c r="D97" t="s">
        <v>355</v>
      </c>
      <c r="E97" s="50" t="s">
        <v>31</v>
      </c>
      <c r="F97" s="82">
        <f>ROW(Pathways_Table[[#This Row],[PathID]])-1</f>
        <v>96</v>
      </c>
      <c r="G97" s="187" t="s">
        <v>865</v>
      </c>
      <c r="H97">
        <f>MATCH(Pathways_Table[[#This Row],[Pathway Name]],'Results'!$1:$1,0)</f>
        <v>49</v>
      </c>
      <c r="I97">
        <f>MATCH(Pathways_Table[[#This Row],[Pathway Name]],Results[[#Headers],[Willow FT]:[Sugarcane ATJ-E (Standalone)]],0)</f>
        <v>46</v>
      </c>
    </row>
    <row r="98" spans="1:9" x14ac:dyDescent="0.3">
      <c r="A98" s="14" t="s">
        <v>447</v>
      </c>
      <c r="B98" s="14" t="s">
        <v>883</v>
      </c>
      <c r="C98" s="82" t="s">
        <v>194</v>
      </c>
      <c r="D98" t="s">
        <v>882</v>
      </c>
      <c r="E98" s="50" t="s">
        <v>31</v>
      </c>
      <c r="F98" s="82">
        <f>ROW(Pathways_Table[[#This Row],[PathID]])-1</f>
        <v>97</v>
      </c>
      <c r="G98" s="187" t="s">
        <v>865</v>
      </c>
      <c r="H98">
        <f>MATCH(Pathways_Table[[#This Row],[Pathway Name]],'Results'!$1:$1,0)</f>
        <v>49</v>
      </c>
      <c r="I98">
        <f>MATCH(Pathways_Table[[#This Row],[Pathway Name]],Results[[#Headers],[Willow FT]:[Sugarcane ATJ-E (Standalone)]],0)</f>
        <v>46</v>
      </c>
    </row>
    <row r="99" spans="1:9" x14ac:dyDescent="0.3">
      <c r="A99" s="14" t="s">
        <v>135</v>
      </c>
      <c r="B99" s="14" t="s">
        <v>883</v>
      </c>
      <c r="C99" s="82" t="s">
        <v>194</v>
      </c>
      <c r="D99" t="s">
        <v>377</v>
      </c>
      <c r="E99" s="50" t="s">
        <v>31</v>
      </c>
      <c r="F99" s="82">
        <f>ROW(Pathways_Table[[#This Row],[PathID]])-1</f>
        <v>98</v>
      </c>
      <c r="G99" s="187" t="s">
        <v>885</v>
      </c>
      <c r="H99">
        <f>MATCH(Pathways_Table[[#This Row],[Pathway Name]],'Results'!$1:$1,0)</f>
        <v>50</v>
      </c>
      <c r="I99">
        <f>MATCH(Pathways_Table[[#This Row],[Pathway Name]],Results[[#Headers],[Willow FT]:[Sugarcane ATJ-E (Standalone)]],0)</f>
        <v>47</v>
      </c>
    </row>
    <row r="100" spans="1:9" x14ac:dyDescent="0.3">
      <c r="A100" s="14" t="s">
        <v>135</v>
      </c>
      <c r="B100" s="14" t="s">
        <v>883</v>
      </c>
      <c r="C100" s="82" t="s">
        <v>194</v>
      </c>
      <c r="D100" t="s">
        <v>355</v>
      </c>
      <c r="E100" s="50" t="s">
        <v>31</v>
      </c>
      <c r="F100" s="82">
        <f>ROW(Pathways_Table[[#This Row],[PathID]])-1</f>
        <v>99</v>
      </c>
      <c r="G100" s="187" t="s">
        <v>885</v>
      </c>
      <c r="H100">
        <f>MATCH(Pathways_Table[[#This Row],[Pathway Name]],'Results'!$1:$1,0)</f>
        <v>50</v>
      </c>
      <c r="I100">
        <f>MATCH(Pathways_Table[[#This Row],[Pathway Name]],Results[[#Headers],[Willow FT]:[Sugarcane ATJ-E (Standalone)]],0)</f>
        <v>47</v>
      </c>
    </row>
    <row r="101" spans="1:9" x14ac:dyDescent="0.3">
      <c r="A101" s="14" t="s">
        <v>316</v>
      </c>
      <c r="B101" s="14" t="s">
        <v>883</v>
      </c>
      <c r="C101" s="82" t="s">
        <v>194</v>
      </c>
      <c r="D101" t="s">
        <v>377</v>
      </c>
      <c r="E101" s="50" t="s">
        <v>31</v>
      </c>
      <c r="F101" s="82">
        <f>ROW(Pathways_Table[[#This Row],[PathID]])-1</f>
        <v>100</v>
      </c>
      <c r="G101" s="187" t="s">
        <v>884</v>
      </c>
      <c r="H101">
        <f>MATCH(Pathways_Table[[#This Row],[Pathway Name]],'Results'!$1:$1,0)</f>
        <v>51</v>
      </c>
      <c r="I101">
        <f>MATCH(Pathways_Table[[#This Row],[Pathway Name]],Results[[#Headers],[Willow FT]:[Sugarcane ATJ-E (Standalone)]],0)</f>
        <v>48</v>
      </c>
    </row>
    <row r="102" spans="1:9" x14ac:dyDescent="0.3">
      <c r="A102" s="14" t="s">
        <v>316</v>
      </c>
      <c r="B102" s="14" t="s">
        <v>883</v>
      </c>
      <c r="C102" s="82" t="s">
        <v>194</v>
      </c>
      <c r="D102" t="s">
        <v>355</v>
      </c>
      <c r="E102" s="50" t="s">
        <v>31</v>
      </c>
      <c r="F102" s="82">
        <f>ROW(Pathways_Table[[#This Row],[PathID]])-1</f>
        <v>101</v>
      </c>
      <c r="G102" s="187" t="s">
        <v>884</v>
      </c>
      <c r="H102">
        <f>MATCH(Pathways_Table[[#This Row],[Pathway Name]],'Results'!$1:$1,0)</f>
        <v>51</v>
      </c>
      <c r="I102">
        <f>MATCH(Pathways_Table[[#This Row],[Pathway Name]],Results[[#Headers],[Willow FT]:[Sugarcane ATJ-E (Standalone)]],0)</f>
        <v>48</v>
      </c>
    </row>
    <row r="103" spans="1:9" x14ac:dyDescent="0.3">
      <c r="A103" s="14" t="s">
        <v>136</v>
      </c>
      <c r="B103" s="14" t="s">
        <v>883</v>
      </c>
      <c r="C103" s="82" t="s">
        <v>194</v>
      </c>
      <c r="D103" t="s">
        <v>377</v>
      </c>
      <c r="E103" s="50" t="s">
        <v>31</v>
      </c>
      <c r="F103" s="82">
        <f>ROW(Pathways_Table[[#This Row],[PathID]])-1</f>
        <v>102</v>
      </c>
      <c r="G103" s="187" t="s">
        <v>886</v>
      </c>
      <c r="H103">
        <f>MATCH(Pathways_Table[[#This Row],[Pathway Name]],'Results'!$1:$1,0)</f>
        <v>52</v>
      </c>
      <c r="I103">
        <f>MATCH(Pathways_Table[[#This Row],[Pathway Name]],Results[[#Headers],[Willow FT]:[Sugarcane ATJ-E (Standalone)]],0)</f>
        <v>49</v>
      </c>
    </row>
    <row r="104" spans="1:9" x14ac:dyDescent="0.3">
      <c r="A104" s="14" t="s">
        <v>133</v>
      </c>
      <c r="B104" s="14" t="s">
        <v>883</v>
      </c>
      <c r="C104" s="82" t="s">
        <v>194</v>
      </c>
      <c r="D104" t="s">
        <v>377</v>
      </c>
      <c r="E104" s="50" t="s">
        <v>31</v>
      </c>
      <c r="F104" s="82">
        <f>ROW(Pathways_Table[[#This Row],[PathID]])-1</f>
        <v>103</v>
      </c>
      <c r="G104" s="187" t="s">
        <v>869</v>
      </c>
      <c r="H104">
        <f>MATCH(Pathways_Table[[#This Row],[Pathway Name]],'Results'!$1:$1,0)</f>
        <v>53</v>
      </c>
      <c r="I104">
        <f>MATCH(Pathways_Table[[#This Row],[Pathway Name]],Results[[#Headers],[Willow FT]:[Sugarcane ATJ-E (Standalone)]],0)</f>
        <v>50</v>
      </c>
    </row>
    <row r="105" spans="1:9" x14ac:dyDescent="0.3">
      <c r="A105" s="14" t="s">
        <v>134</v>
      </c>
      <c r="B105" s="14" t="s">
        <v>883</v>
      </c>
      <c r="C105" s="82" t="s">
        <v>194</v>
      </c>
      <c r="D105" t="s">
        <v>1335</v>
      </c>
      <c r="E105" s="50" t="s">
        <v>31</v>
      </c>
      <c r="F105" s="82">
        <f>ROW(Pathways_Table[[#This Row],[PathID]])-1</f>
        <v>104</v>
      </c>
      <c r="G105" s="187" t="s">
        <v>870</v>
      </c>
      <c r="H105">
        <f>MATCH(Pathways_Table[[#This Row],[Pathway Name]],'Results'!$1:$1,0)</f>
        <v>54</v>
      </c>
      <c r="I105">
        <f>MATCH(Pathways_Table[[#This Row],[Pathway Name]],Results[[#Headers],[Willow FT]:[Sugarcane ATJ-E (Standalone)]],0)</f>
        <v>51</v>
      </c>
    </row>
    <row r="106" spans="1:9" x14ac:dyDescent="0.3">
      <c r="A106" s="14" t="s">
        <v>874</v>
      </c>
      <c r="B106" s="14" t="s">
        <v>30</v>
      </c>
      <c r="C106" s="82" t="s">
        <v>29</v>
      </c>
      <c r="D106" s="183" t="s">
        <v>29</v>
      </c>
      <c r="E106" s="50" t="s">
        <v>31</v>
      </c>
      <c r="F106" s="82">
        <f>ROW(Pathways_Table[[#This Row],[PathID]])-1</f>
        <v>105</v>
      </c>
      <c r="G106" s="191" t="s">
        <v>860</v>
      </c>
      <c r="H106">
        <f>MATCH(Pathways_Table[[#This Row],[Pathway Name]],'Results'!$1:$1,0)</f>
        <v>19</v>
      </c>
      <c r="I106">
        <f>MATCH(Pathways_Table[[#This Row],[Pathway Name]],Results[[#Headers],[Willow FT]:[Sugarcane ATJ-E (Standalone)]],0)</f>
        <v>16</v>
      </c>
    </row>
    <row r="107" spans="1:9" x14ac:dyDescent="0.3">
      <c r="A107" s="14" t="s">
        <v>875</v>
      </c>
      <c r="B107" s="14" t="s">
        <v>30</v>
      </c>
      <c r="C107" s="82" t="s">
        <v>29</v>
      </c>
      <c r="D107" s="183" t="s">
        <v>29</v>
      </c>
      <c r="E107" s="50" t="s">
        <v>31</v>
      </c>
      <c r="F107" s="82">
        <f>ROW(Pathways_Table[[#This Row],[PathID]])-1</f>
        <v>106</v>
      </c>
      <c r="G107" s="191" t="s">
        <v>862</v>
      </c>
      <c r="H107">
        <f>MATCH(Pathways_Table[[#This Row],[Pathway Name]],'Results'!$1:$1,0)</f>
        <v>21</v>
      </c>
      <c r="I107">
        <f>MATCH(Pathways_Table[[#This Row],[Pathway Name]],Results[[#Headers],[Willow FT]:[Sugarcane ATJ-E (Standalone)]],0)</f>
        <v>18</v>
      </c>
    </row>
    <row r="108" spans="1:9" x14ac:dyDescent="0.3">
      <c r="A108" s="192" t="s">
        <v>876</v>
      </c>
      <c r="B108" s="193" t="s">
        <v>30</v>
      </c>
      <c r="C108" s="183" t="s">
        <v>29</v>
      </c>
      <c r="D108" s="183" t="s">
        <v>29</v>
      </c>
      <c r="E108" s="50" t="s">
        <v>31</v>
      </c>
      <c r="F108" s="82">
        <f>ROW(Pathways_Table[[#This Row],[PathID]])-1</f>
        <v>107</v>
      </c>
      <c r="G108" s="191" t="s">
        <v>861</v>
      </c>
      <c r="H108">
        <f>MATCH(Pathways_Table[[#This Row],[Pathway Name]],'Results'!$1:$1,0)</f>
        <v>20</v>
      </c>
      <c r="I108">
        <f>MATCH(Pathways_Table[[#This Row],[Pathway Name]],Results[[#Headers],[Willow FT]:[Sugarcane ATJ-E (Standalone)]],0)</f>
        <v>17</v>
      </c>
    </row>
    <row r="109" spans="1:9" x14ac:dyDescent="0.3">
      <c r="A109" s="14" t="s">
        <v>874</v>
      </c>
      <c r="B109" s="14" t="s">
        <v>30</v>
      </c>
      <c r="C109" s="82" t="s">
        <v>194</v>
      </c>
      <c r="D109" s="183" t="s">
        <v>1336</v>
      </c>
      <c r="E109" s="50" t="s">
        <v>31</v>
      </c>
      <c r="F109" s="82">
        <f>ROW(Pathways_Table[[#This Row],[PathID]])-1</f>
        <v>108</v>
      </c>
      <c r="G109" s="191" t="s">
        <v>860</v>
      </c>
      <c r="H109">
        <f>MATCH(Pathways_Table[[#This Row],[Pathway Name]],'Results'!$1:$1,0)</f>
        <v>19</v>
      </c>
      <c r="I109">
        <f>MATCH(Pathways_Table[[#This Row],[Pathway Name]],Results[[#Headers],[Willow FT]:[Sugarcane ATJ-E (Standalone)]],0)</f>
        <v>16</v>
      </c>
    </row>
    <row r="110" spans="1:9" x14ac:dyDescent="0.3">
      <c r="A110" s="14" t="s">
        <v>875</v>
      </c>
      <c r="B110" s="14" t="s">
        <v>30</v>
      </c>
      <c r="C110" s="82" t="s">
        <v>194</v>
      </c>
      <c r="D110" s="183" t="s">
        <v>1336</v>
      </c>
      <c r="E110" s="50" t="s">
        <v>31</v>
      </c>
      <c r="F110" s="82">
        <f>ROW(Pathways_Table[[#This Row],[PathID]])-1</f>
        <v>109</v>
      </c>
      <c r="G110" s="191" t="s">
        <v>862</v>
      </c>
      <c r="H110">
        <f>MATCH(Pathways_Table[[#This Row],[Pathway Name]],'Results'!$1:$1,0)</f>
        <v>21</v>
      </c>
      <c r="I110">
        <f>MATCH(Pathways_Table[[#This Row],[Pathway Name]],Results[[#Headers],[Willow FT]:[Sugarcane ATJ-E (Standalone)]],0)</f>
        <v>18</v>
      </c>
    </row>
    <row r="111" spans="1:9" x14ac:dyDescent="0.3">
      <c r="A111" s="14" t="s">
        <v>126</v>
      </c>
      <c r="B111" s="14" t="s">
        <v>30</v>
      </c>
      <c r="C111" s="82" t="s">
        <v>194</v>
      </c>
      <c r="D111" s="183" t="s">
        <v>1349</v>
      </c>
      <c r="E111" s="50" t="s">
        <v>1366</v>
      </c>
      <c r="F111" s="82">
        <f>ROW(Pathways_Table[[#This Row],[PathID]])-1</f>
        <v>110</v>
      </c>
      <c r="G111" s="191" t="s">
        <v>177</v>
      </c>
      <c r="H111">
        <f>MATCH(Pathways_Table[[#This Row],[Pathway Name]],'Results'!$1:$1,0)</f>
        <v>15</v>
      </c>
      <c r="I111">
        <f>MATCH(Pathways_Table[[#This Row],[Pathway Name]],Results[[#Headers],[Willow FT]:[Sugarcane ATJ-E (Standalone)]],0)</f>
        <v>12</v>
      </c>
    </row>
    <row r="112" spans="1:9" x14ac:dyDescent="0.3">
      <c r="A112" s="14" t="s">
        <v>126</v>
      </c>
      <c r="B112" s="14" t="s">
        <v>30</v>
      </c>
      <c r="C112" s="82" t="s">
        <v>194</v>
      </c>
      <c r="D112" s="194" t="s">
        <v>1349</v>
      </c>
      <c r="E112" s="50" t="s">
        <v>1367</v>
      </c>
      <c r="F112" s="82">
        <f>ROW(Pathways_Table[[#This Row],[PathID]])-1</f>
        <v>111</v>
      </c>
      <c r="G112" s="187" t="s">
        <v>177</v>
      </c>
      <c r="H112">
        <f>MATCH(Pathways_Table[[#This Row],[Pathway Name]],'Results'!$1:$1,0)</f>
        <v>15</v>
      </c>
      <c r="I112">
        <f>MATCH(Pathways_Table[[#This Row],[Pathway Name]],Results[[#Headers],[Willow FT]:[Sugarcane ATJ-E (Standalone)]],0)</f>
        <v>12</v>
      </c>
    </row>
    <row r="113" spans="1:9" x14ac:dyDescent="0.3">
      <c r="A113" s="14" t="s">
        <v>126</v>
      </c>
      <c r="B113" s="14" t="s">
        <v>30</v>
      </c>
      <c r="C113" s="82" t="s">
        <v>194</v>
      </c>
      <c r="D113" s="183" t="s">
        <v>1349</v>
      </c>
      <c r="E113" s="50" t="s">
        <v>1368</v>
      </c>
      <c r="F113" s="82">
        <f>ROW(Pathways_Table[[#This Row],[PathID]])-1</f>
        <v>112</v>
      </c>
      <c r="G113" s="191" t="s">
        <v>177</v>
      </c>
      <c r="H113">
        <f>MATCH(Pathways_Table[[#This Row],[Pathway Name]],'Results'!$1:$1,0)</f>
        <v>15</v>
      </c>
      <c r="I113">
        <f>MATCH(Pathways_Table[[#This Row],[Pathway Name]],Results[[#Headers],[Willow FT]:[Sugarcane ATJ-E (Standalone)]],0)</f>
        <v>12</v>
      </c>
    </row>
    <row r="114" spans="1:9" x14ac:dyDescent="0.3">
      <c r="A114" s="14" t="s">
        <v>136</v>
      </c>
      <c r="B114" s="14" t="s">
        <v>883</v>
      </c>
      <c r="C114" s="82" t="s">
        <v>194</v>
      </c>
      <c r="D114" s="183" t="s">
        <v>355</v>
      </c>
      <c r="E114" s="50" t="s">
        <v>31</v>
      </c>
      <c r="F114" s="82">
        <f>ROW(Pathways_Table[[#This Row],[PathID]])-1</f>
        <v>113</v>
      </c>
      <c r="G114" s="191" t="s">
        <v>886</v>
      </c>
      <c r="H114">
        <f>MATCH(Pathways_Table[[#This Row],[Pathway Name]],'Results'!$1:$1,0)</f>
        <v>52</v>
      </c>
      <c r="I114">
        <f>MATCH(Pathways_Table[[#This Row],[Pathway Name]],Results[[#Headers],[Willow FT]:[Sugarcane ATJ-E (Standalone)]],0)</f>
        <v>49</v>
      </c>
    </row>
    <row r="115" spans="1:9" x14ac:dyDescent="0.3">
      <c r="A115" s="14" t="s">
        <v>877</v>
      </c>
      <c r="B115" s="14" t="s">
        <v>883</v>
      </c>
      <c r="C115" s="82" t="s">
        <v>194</v>
      </c>
      <c r="D115" s="183" t="s">
        <v>1335</v>
      </c>
      <c r="E115" s="50" t="s">
        <v>31</v>
      </c>
      <c r="F115" s="82">
        <f>ROW(Pathways_Table[[#This Row],[PathID]])-1</f>
        <v>114</v>
      </c>
      <c r="G115" s="191" t="s">
        <v>871</v>
      </c>
      <c r="H115">
        <f>MATCH(Pathways_Table[[#This Row],[Pathway Name]],'Results'!$1:$1,0)</f>
        <v>55</v>
      </c>
      <c r="I115">
        <f>MATCH(Pathways_Table[[#This Row],[Pathway Name]],Results[[#Headers],[Willow FT]:[Sugarcane ATJ-E (Standalone)]],0)</f>
        <v>52</v>
      </c>
    </row>
    <row r="116" spans="1:9" x14ac:dyDescent="0.3">
      <c r="A116" s="14" t="s">
        <v>136</v>
      </c>
      <c r="B116" s="14" t="s">
        <v>1964</v>
      </c>
      <c r="C116" s="82" t="s">
        <v>194</v>
      </c>
      <c r="D116" s="183" t="s">
        <v>355</v>
      </c>
      <c r="E116" s="50" t="s">
        <v>31</v>
      </c>
      <c r="F116" s="82">
        <f>ROW(Pathways_Table[[#This Row],[PathID]])-1</f>
        <v>115</v>
      </c>
      <c r="G116" s="191" t="s">
        <v>2225</v>
      </c>
      <c r="H116">
        <f>MATCH(Pathways_Table[[#This Row],[Pathway Name]],'Results'!$1:$1,0)</f>
        <v>22</v>
      </c>
      <c r="I116">
        <f>MATCH(Pathways_Table[[#This Row],[Pathway Name]],Results[[#Headers],[Willow FT]:[Sugarcane ATJ-E (Standalone)]],0)</f>
        <v>19</v>
      </c>
    </row>
    <row r="117" spans="1:9" ht="27" x14ac:dyDescent="0.3">
      <c r="A117" s="14" t="s">
        <v>1413</v>
      </c>
      <c r="B117" s="14" t="s">
        <v>1964</v>
      </c>
      <c r="C117" s="82" t="s">
        <v>194</v>
      </c>
      <c r="D117" s="183" t="s">
        <v>1399</v>
      </c>
      <c r="E117" t="s">
        <v>1398</v>
      </c>
      <c r="F117" s="82">
        <f>ROW(Pathways_Table[[#This Row],[PathID]])-1</f>
        <v>116</v>
      </c>
      <c r="G117" s="191" t="s">
        <v>2243</v>
      </c>
      <c r="H117">
        <f>MATCH(Pathways_Table[[#This Row],[Pathway Name]],'Results'!$1:$1,0)</f>
        <v>56</v>
      </c>
      <c r="I117">
        <f>MATCH(Pathways_Table[[#This Row],[Pathway Name]],Results[[#Headers],[Willow FT]:[Sugarcane ATJ-E (Standalone)]],0)</f>
        <v>53</v>
      </c>
    </row>
    <row r="118" spans="1:9" ht="27" x14ac:dyDescent="0.3">
      <c r="A118" s="14" t="s">
        <v>1413</v>
      </c>
      <c r="B118" s="14" t="s">
        <v>1964</v>
      </c>
      <c r="C118" s="82" t="s">
        <v>194</v>
      </c>
      <c r="D118" s="183" t="s">
        <v>1399</v>
      </c>
      <c r="E118" t="s">
        <v>137</v>
      </c>
      <c r="F118" s="82">
        <f>ROW(Pathways_Table[[#This Row],[PathID]])-1</f>
        <v>117</v>
      </c>
      <c r="G118" s="191" t="s">
        <v>2244</v>
      </c>
      <c r="H118">
        <f>MATCH(Pathways_Table[[#This Row],[Pathway Name]],'Results'!$1:$1,0)</f>
        <v>57</v>
      </c>
      <c r="I118">
        <f>MATCH(Pathways_Table[[#This Row],[Pathway Name]],Results[[#Headers],[Willow FT]:[Sugarcane ATJ-E (Standalone)]],0)</f>
        <v>54</v>
      </c>
    </row>
    <row r="119" spans="1:9" ht="27" x14ac:dyDescent="0.3">
      <c r="A119" s="14" t="s">
        <v>447</v>
      </c>
      <c r="B119" s="14" t="s">
        <v>1964</v>
      </c>
      <c r="C119" s="82" t="s">
        <v>29</v>
      </c>
      <c r="D119" s="183" t="s">
        <v>29</v>
      </c>
      <c r="E119" s="50" t="s">
        <v>31</v>
      </c>
      <c r="F119" s="82">
        <f>ROW(Pathways_Table[[#This Row],[PathID]])-1</f>
        <v>118</v>
      </c>
      <c r="G119" s="191" t="s">
        <v>2245</v>
      </c>
      <c r="H119">
        <f>MATCH(Pathways_Table[[#This Row],[Pathway Name]],'Results'!$1:$1,0)</f>
        <v>58</v>
      </c>
      <c r="I119">
        <f>MATCH(Pathways_Table[[#This Row],[Pathway Name]],Results[[#Headers],[Willow FT]:[Sugarcane ATJ-E (Standalone)]],0)</f>
        <v>55</v>
      </c>
    </row>
  </sheetData>
  <phoneticPr fontId="13" type="noConversion"/>
  <conditionalFormatting sqref="A102:C105">
    <cfRule type="cellIs" dxfId="1546" priority="30" operator="equal">
      <formula>"Share"</formula>
    </cfRule>
  </conditionalFormatting>
  <conditionalFormatting sqref="A108:D108">
    <cfRule type="cellIs" dxfId="1545" priority="29" operator="equal">
      <formula>"Share"</formula>
    </cfRule>
  </conditionalFormatting>
  <conditionalFormatting sqref="A85:C85">
    <cfRule type="cellIs" dxfId="1544" priority="28" operator="equal">
      <formula>"Share"</formula>
    </cfRule>
  </conditionalFormatting>
  <conditionalFormatting sqref="A86:C86">
    <cfRule type="cellIs" dxfId="1543" priority="27" operator="equal">
      <formula>"Share"</formula>
    </cfRule>
  </conditionalFormatting>
  <conditionalFormatting sqref="A87:C87">
    <cfRule type="cellIs" dxfId="1542" priority="26" operator="equal">
      <formula>"Share"</formula>
    </cfRule>
  </conditionalFormatting>
  <conditionalFormatting sqref="A88:C88">
    <cfRule type="cellIs" dxfId="1541" priority="25" operator="equal">
      <formula>"Share"</formula>
    </cfRule>
  </conditionalFormatting>
  <conditionalFormatting sqref="A89:C89">
    <cfRule type="cellIs" dxfId="1540" priority="24" operator="equal">
      <formula>"Share"</formula>
    </cfRule>
  </conditionalFormatting>
  <conditionalFormatting sqref="A90:C90">
    <cfRule type="cellIs" dxfId="1539" priority="23" operator="equal">
      <formula>"Share"</formula>
    </cfRule>
  </conditionalFormatting>
  <conditionalFormatting sqref="A91:C91">
    <cfRule type="cellIs" dxfId="1538" priority="22" operator="equal">
      <formula>"Share"</formula>
    </cfRule>
  </conditionalFormatting>
  <conditionalFormatting sqref="A92:C92">
    <cfRule type="cellIs" dxfId="1537" priority="21" operator="equal">
      <formula>"Share"</formula>
    </cfRule>
  </conditionalFormatting>
  <conditionalFormatting sqref="A93:C93">
    <cfRule type="cellIs" dxfId="1536" priority="20" operator="equal">
      <formula>"Share"</formula>
    </cfRule>
  </conditionalFormatting>
  <conditionalFormatting sqref="A94:C94">
    <cfRule type="cellIs" dxfId="1535" priority="19" operator="equal">
      <formula>"Share"</formula>
    </cfRule>
  </conditionalFormatting>
  <conditionalFormatting sqref="A95:C95">
    <cfRule type="cellIs" dxfId="1534" priority="18" operator="equal">
      <formula>"Share"</formula>
    </cfRule>
  </conditionalFormatting>
  <conditionalFormatting sqref="A96:C96">
    <cfRule type="cellIs" dxfId="1533" priority="16" operator="equal">
      <formula>"Share"</formula>
    </cfRule>
  </conditionalFormatting>
  <conditionalFormatting sqref="A97:C97">
    <cfRule type="cellIs" dxfId="1532" priority="15" operator="equal">
      <formula>"Share"</formula>
    </cfRule>
  </conditionalFormatting>
  <conditionalFormatting sqref="A98:C98">
    <cfRule type="cellIs" dxfId="1531" priority="14" operator="equal">
      <formula>"Share"</formula>
    </cfRule>
  </conditionalFormatting>
  <conditionalFormatting sqref="C99">
    <cfRule type="cellIs" dxfId="1530" priority="12" operator="equal">
      <formula>"Share"</formula>
    </cfRule>
  </conditionalFormatting>
  <conditionalFormatting sqref="A99:B99">
    <cfRule type="cellIs" dxfId="1529" priority="13" operator="equal">
      <formula>"Share"</formula>
    </cfRule>
  </conditionalFormatting>
  <conditionalFormatting sqref="A100:C100">
    <cfRule type="cellIs" dxfId="1528" priority="11" operator="equal">
      <formula>"Share"</formula>
    </cfRule>
  </conditionalFormatting>
  <conditionalFormatting sqref="C101">
    <cfRule type="cellIs" dxfId="1527" priority="9" operator="equal">
      <formula>"Share"</formula>
    </cfRule>
  </conditionalFormatting>
  <conditionalFormatting sqref="A101:B101">
    <cfRule type="cellIs" dxfId="1526" priority="10" operator="equal">
      <formula>"Share"</formula>
    </cfRule>
  </conditionalFormatting>
  <conditionalFormatting sqref="D85">
    <cfRule type="cellIs" dxfId="1525" priority="8" operator="equal">
      <formula>"Share"</formula>
    </cfRule>
  </conditionalFormatting>
  <conditionalFormatting sqref="D86">
    <cfRule type="cellIs" dxfId="1524" priority="7" operator="equal">
      <formula>"Share"</formula>
    </cfRule>
  </conditionalFormatting>
  <conditionalFormatting sqref="D54">
    <cfRule type="cellIs" dxfId="1523" priority="6" operator="equal">
      <formula>"Share"</formula>
    </cfRule>
  </conditionalFormatting>
  <conditionalFormatting sqref="A114:C114">
    <cfRule type="cellIs" dxfId="1522" priority="5" operator="equal">
      <formula>"Share"</formula>
    </cfRule>
  </conditionalFormatting>
  <conditionalFormatting sqref="A115:C115">
    <cfRule type="cellIs" dxfId="1521" priority="4" operator="equal">
      <formula>"Share"</formula>
    </cfRule>
  </conditionalFormatting>
  <conditionalFormatting sqref="A119:C119">
    <cfRule type="cellIs" dxfId="1520" priority="1" operator="equal">
      <formula>"Share"</formula>
    </cfRule>
  </conditionalFormatting>
  <pageMargins left="0.7" right="0.7" top="0.75" bottom="0.75" header="0.3" footer="0.3"/>
  <legacyDrawing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1A90F-048B-42CB-914B-2B72290851C0}">
  <sheetPr codeName="Selections">
    <pageSetUpPr autoPageBreaks="0"/>
  </sheetPr>
  <dimension ref="A1:Z123"/>
  <sheetViews>
    <sheetView topLeftCell="I54" zoomScale="85" zoomScaleNormal="85" workbookViewId="0">
      <selection activeCell="Q68" sqref="Q68"/>
    </sheetView>
  </sheetViews>
  <sheetFormatPr defaultRowHeight="14.4" x14ac:dyDescent="0.3"/>
  <cols>
    <col min="1" max="1" width="46.33203125" customWidth="1"/>
    <col min="2" max="2" width="12.109375" customWidth="1"/>
    <col min="3" max="3" width="13.109375" customWidth="1"/>
    <col min="5" max="5" width="10.44140625" customWidth="1"/>
    <col min="6" max="6" width="13.33203125" customWidth="1"/>
    <col min="7" max="7" width="17.44140625" customWidth="1"/>
    <col min="8" max="8" width="18.44140625" customWidth="1"/>
    <col min="9" max="9" width="15.6640625" customWidth="1"/>
    <col min="10" max="10" width="18.5546875" customWidth="1"/>
    <col min="11" max="12" width="18.88671875" customWidth="1"/>
    <col min="15" max="15" width="31.6640625" customWidth="1"/>
    <col min="16" max="16" width="37.5546875" customWidth="1"/>
    <col min="17" max="17" width="48.5546875" customWidth="1"/>
    <col min="18" max="18" width="31.6640625" customWidth="1"/>
    <col min="19" max="20" width="15.33203125" customWidth="1"/>
    <col min="21" max="21" width="15" customWidth="1"/>
  </cols>
  <sheetData>
    <row r="1" spans="1:26" x14ac:dyDescent="0.3">
      <c r="A1" s="125" t="s">
        <v>198</v>
      </c>
      <c r="B1" s="125" t="s">
        <v>17</v>
      </c>
      <c r="C1" s="125" t="s">
        <v>18</v>
      </c>
      <c r="D1" s="125" t="s">
        <v>442</v>
      </c>
      <c r="E1" s="125" t="s">
        <v>22</v>
      </c>
      <c r="F1" s="125" t="s">
        <v>441</v>
      </c>
      <c r="G1" s="275" t="s">
        <v>19</v>
      </c>
      <c r="H1" s="275" t="s">
        <v>20</v>
      </c>
      <c r="I1" s="275" t="s">
        <v>444</v>
      </c>
      <c r="J1" s="275" t="s">
        <v>443</v>
      </c>
      <c r="K1" s="275" t="s">
        <v>24</v>
      </c>
      <c r="L1" s="275" t="s">
        <v>1457</v>
      </c>
      <c r="M1" s="125" t="s">
        <v>1557</v>
      </c>
      <c r="N1" s="125" t="s">
        <v>1556</v>
      </c>
      <c r="O1" s="125" t="s">
        <v>1452</v>
      </c>
      <c r="P1" s="125" t="s">
        <v>1447</v>
      </c>
      <c r="Q1" s="125" t="s">
        <v>203</v>
      </c>
      <c r="R1" s="125" t="s">
        <v>202</v>
      </c>
      <c r="S1" s="11" t="s">
        <v>1451</v>
      </c>
      <c r="T1" s="11" t="s">
        <v>905</v>
      </c>
      <c r="U1" s="125" t="s">
        <v>1446</v>
      </c>
      <c r="V1" s="125" t="s">
        <v>1477</v>
      </c>
      <c r="W1" s="125" t="s">
        <v>1476</v>
      </c>
      <c r="X1" s="125" t="s">
        <v>91</v>
      </c>
      <c r="Z1" t="s">
        <v>1468</v>
      </c>
    </row>
    <row r="2" spans="1:26" x14ac:dyDescent="0.3">
      <c r="A2"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CornAllAllAllAll_Corn_Farming_Electricity_Source_Option</v>
      </c>
      <c r="B2" s="261" t="s">
        <v>136</v>
      </c>
      <c r="C2" s="160" t="s">
        <v>435</v>
      </c>
      <c r="D2" s="160" t="s">
        <v>435</v>
      </c>
      <c r="E2" s="160" t="s">
        <v>435</v>
      </c>
      <c r="F2" s="48" t="s">
        <v>435</v>
      </c>
      <c r="G2" s="272" t="b" cm="1">
        <f t="array" ref="G2">OR(NOT(ISERROR(MATCH(TRIM(_xlfn.TEXTSPLIT(SelectionsTable[[#This Row],[Feedstock]],",")),SelectedFeedstock,0))),AND(SelectedFeedstock&lt;&gt;"(Multiple Items)",SelectedFeedstock&lt;&gt;"(All)",SelectionsTable[[#This Row],[Feedstock]]="All"))</f>
        <v>0</v>
      </c>
      <c r="H2" s="272" t="b">
        <f>OR(SelectionsTable[[#This Row],[Conversion]]=SelectedConversion,AND(SelectedConversion&lt;&gt;"(Multiple Items)",SelectedConversion&lt;&gt;"(All)",SelectionsTable[[#This Row],[Conversion]]="All"))</f>
        <v>1</v>
      </c>
      <c r="I2" s="272" t="b">
        <f>OR(SelectionsTable[[#This Row],[Data Set]]=SelectedDataSet,AND(SelectedDataSet&lt;&gt;"(Multiple Items)",SelectedDataSet&lt;&gt;"(All)",SelectionsTable[[#This Row],[Data Set]]="All"))</f>
        <v>1</v>
      </c>
      <c r="J2" s="272" t="b">
        <f>OR(SelectionsTable[[#This Row],[Technology]]=SelectedTechnology,AND(SelectedTechnology&lt;&gt;"(Multiple Items)",SelectedTechnology&lt;&gt;"(All)",SelectionsTable[[#This Row],[Technology]]="All"))</f>
        <v>1</v>
      </c>
      <c r="K2" s="272" t="b">
        <f>OR(SelectionsTable[[#This Row],[Data Source]]=SelectedDataSource,AND(SelectedDataSource&lt;&gt;"(Multiple Items)",SelectedDataSource&lt;&gt;"(All)",SelectionsTable[[#This Row],[Data Source]]="All"))</f>
        <v>1</v>
      </c>
      <c r="L2" s="272" t="b">
        <v>0</v>
      </c>
      <c r="M2" s="160" t="b">
        <f>SelectionsTable[[#This Row],[GREET1 Location]]&lt;&gt;""</f>
        <v>1</v>
      </c>
      <c r="N2" s="160" t="b">
        <f>AND(SelectionsTable[[#This Row],[Show Feedstock]:[Conditional to Show]])</f>
        <v>0</v>
      </c>
      <c r="O2" s="160" t="s">
        <v>1488</v>
      </c>
      <c r="P2" s="160" t="s">
        <v>1486</v>
      </c>
      <c r="Q2" s="160" t="s">
        <v>2159</v>
      </c>
      <c r="R2" s="262" cm="1">
        <f t="array" aca="1" ref="R2" ca="1">IF(AND(NOT(RefreshDefaults),NOT(SelectionsResetting)),VALUE(IFERROR(INDEX(Selection_UD, MATCH(SelectionsTable[[#This Row],[ID]], Selection_ID, 0)),SelectionsTable[[#This Row],[Default Value]])),VALUE(SelectionsTable[[#This Row],[Default Value]]))</f>
        <v>1</v>
      </c>
      <c r="S2" s="263">
        <v>1</v>
      </c>
      <c r="T2" s="264">
        <f ca="1">SelectionsTable[[#This Row],[Input Value]]</f>
        <v>1</v>
      </c>
      <c r="U2" s="161" t="s">
        <v>904</v>
      </c>
      <c r="V2">
        <v>1</v>
      </c>
      <c r="W2">
        <v>31</v>
      </c>
      <c r="X2" s="310" t="s">
        <v>1896</v>
      </c>
      <c r="Z2" t="b">
        <v>0</v>
      </c>
    </row>
    <row r="3" spans="1:26" x14ac:dyDescent="0.3">
      <c r="A3"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CornAllAllAllAll_Corn_Farming_Electricity_UserDefined_Oil</v>
      </c>
      <c r="B3" s="160" t="s">
        <v>136</v>
      </c>
      <c r="C3" s="160" t="s">
        <v>435</v>
      </c>
      <c r="D3" s="160" t="s">
        <v>435</v>
      </c>
      <c r="E3" s="160" t="s">
        <v>435</v>
      </c>
      <c r="F3" s="48" t="s">
        <v>435</v>
      </c>
      <c r="G3" s="272" t="b" cm="1">
        <f t="array" ref="G3">OR(NOT(ISERROR(MATCH(TRIM(_xlfn.TEXTSPLIT(SelectionsTable[[#This Row],[Feedstock]],",")),SelectedFeedstock,0))),AND(SelectedFeedstock&lt;&gt;"(Multiple Items)",SelectedFeedstock&lt;&gt;"(All)",SelectionsTable[[#This Row],[Feedstock]]="All"))</f>
        <v>0</v>
      </c>
      <c r="H3" s="272" t="b">
        <f>OR(SelectionsTable[[#This Row],[Conversion]]=SelectedConversion,AND(SelectedConversion&lt;&gt;"(Multiple Items)",SelectedConversion&lt;&gt;"(All)",SelectionsTable[[#This Row],[Conversion]]="All"))</f>
        <v>1</v>
      </c>
      <c r="I3" s="272" t="b">
        <f>OR(SelectionsTable[[#This Row],[Data Set]]=SelectedDataSet,AND(SelectedDataSet&lt;&gt;"(Multiple Items)",SelectedDataSet&lt;&gt;"(All)",SelectionsTable[[#This Row],[Data Set]]="All"))</f>
        <v>1</v>
      </c>
      <c r="J3" s="272" t="b">
        <f>OR(SelectionsTable[[#This Row],[Technology]]=SelectedTechnology,AND(SelectedTechnology&lt;&gt;"(Multiple Items)",SelectedTechnology&lt;&gt;"(All)",SelectionsTable[[#This Row],[Technology]]="All"))</f>
        <v>1</v>
      </c>
      <c r="K3" s="272" t="b">
        <f>OR(SelectionsTable[[#This Row],[Data Source]]=SelectedDataSource,AND(SelectedDataSource&lt;&gt;"(Multiple Items)",SelectedDataSource&lt;&gt;"(All)",SelectionsTable[[#This Row],[Data Source]]="All"))</f>
        <v>1</v>
      </c>
      <c r="L3" s="273" t="b">
        <f t="shared" ref="L3:L12" ca="1" si="0">VALUE($R$2)=31</f>
        <v>0</v>
      </c>
      <c r="M3" s="160" t="b">
        <f>SelectionsTable[[#This Row],[GREET1 Location]]&lt;&gt;""</f>
        <v>1</v>
      </c>
      <c r="N3" s="160" t="b">
        <f ca="1">AND(SelectionsTable[[#This Row],[Show Feedstock]:[Conditional to Show]])</f>
        <v>0</v>
      </c>
      <c r="O3" s="160" t="s">
        <v>1498</v>
      </c>
      <c r="P3" s="261" t="s">
        <v>1499</v>
      </c>
      <c r="Q3" s="261" t="s">
        <v>1722</v>
      </c>
      <c r="R3" s="267" cm="1">
        <f t="array" aca="1" ref="R3" ca="1">IF(AND(NOT(RefreshDefaults),NOT(SelectionsResetting)),VALUE(IFERROR(INDEX(Selection_UD, MATCH(SelectionsTable[[#This Row],[ID]], Selection_ID, 0)),SelectionsTable[[#This Row],[Default Value]])),VALUE(SelectionsTable[[#This Row],[Default Value]]))</f>
        <v>2.582885815863092E-3</v>
      </c>
      <c r="S3" s="263">
        <v>2.582885815863092E-3</v>
      </c>
      <c r="T3" s="264">
        <f ca="1">SelectionsTable[[#This Row],[Input Value]]</f>
        <v>2.582885815863092E-3</v>
      </c>
      <c r="U3" s="162" t="s">
        <v>1458</v>
      </c>
    </row>
    <row r="4" spans="1:26" x14ac:dyDescent="0.3">
      <c r="A4"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CornAllAllAllAll_Corn_Farming_Electricity_UserDefined_NG</v>
      </c>
      <c r="B4" s="160" t="s">
        <v>136</v>
      </c>
      <c r="C4" s="160" t="s">
        <v>435</v>
      </c>
      <c r="D4" s="160" t="s">
        <v>435</v>
      </c>
      <c r="E4" s="160" t="s">
        <v>435</v>
      </c>
      <c r="F4" s="48" t="s">
        <v>435</v>
      </c>
      <c r="G4" s="272" t="b" cm="1">
        <f t="array" ref="G4">OR(NOT(ISERROR(MATCH(TRIM(_xlfn.TEXTSPLIT(SelectionsTable[[#This Row],[Feedstock]],",")),SelectedFeedstock,0))),AND(SelectedFeedstock&lt;&gt;"(Multiple Items)",SelectedFeedstock&lt;&gt;"(All)",SelectionsTable[[#This Row],[Feedstock]]="All"))</f>
        <v>0</v>
      </c>
      <c r="H4" s="272" t="b">
        <f>OR(SelectionsTable[[#This Row],[Conversion]]=SelectedConversion,AND(SelectedConversion&lt;&gt;"(Multiple Items)",SelectedConversion&lt;&gt;"(All)",SelectionsTable[[#This Row],[Conversion]]="All"))</f>
        <v>1</v>
      </c>
      <c r="I4" s="272" t="b">
        <f>OR(SelectionsTable[[#This Row],[Data Set]]=SelectedDataSet,AND(SelectedDataSet&lt;&gt;"(Multiple Items)",SelectedDataSet&lt;&gt;"(All)",SelectionsTable[[#This Row],[Data Set]]="All"))</f>
        <v>1</v>
      </c>
      <c r="J4" s="272" t="b">
        <f>OR(SelectionsTable[[#This Row],[Technology]]=SelectedTechnology,AND(SelectedTechnology&lt;&gt;"(Multiple Items)",SelectedTechnology&lt;&gt;"(All)",SelectionsTable[[#This Row],[Technology]]="All"))</f>
        <v>1</v>
      </c>
      <c r="K4" s="272" t="b">
        <f>OR(SelectionsTable[[#This Row],[Data Source]]=SelectedDataSource,AND(SelectedDataSource&lt;&gt;"(Multiple Items)",SelectedDataSource&lt;&gt;"(All)",SelectionsTable[[#This Row],[Data Source]]="All"))</f>
        <v>1</v>
      </c>
      <c r="L4" s="273" t="b">
        <f t="shared" ca="1" si="0"/>
        <v>0</v>
      </c>
      <c r="M4" s="160" t="b">
        <f>SelectionsTable[[#This Row],[GREET1 Location]]&lt;&gt;""</f>
        <v>1</v>
      </c>
      <c r="N4" s="160" t="b">
        <f ca="1">AND(SelectionsTable[[#This Row],[Show Feedstock]:[Conditional to Show]])</f>
        <v>0</v>
      </c>
      <c r="O4" s="160" t="s">
        <v>1500</v>
      </c>
      <c r="P4" s="160" t="s">
        <v>1499</v>
      </c>
      <c r="Q4" s="160" t="s">
        <v>1723</v>
      </c>
      <c r="R4" s="266" cm="1">
        <f t="array" aca="1" ref="R4" ca="1">IF(AND(NOT(RefreshDefaults),NOT(SelectionsResetting)),VALUE(IFERROR(INDEX(Selection_UD, MATCH(SelectionsTable[[#This Row],[ID]], Selection_ID, 0)),SelectionsTable[[#This Row],[Default Value]])),VALUE(SelectionsTable[[#This Row],[Default Value]]))</f>
        <v>0.38508401518155788</v>
      </c>
      <c r="S4" s="263">
        <v>0.38508401518155788</v>
      </c>
      <c r="T4" s="264">
        <f ca="1">SelectionsTable[[#This Row],[Input Value]]</f>
        <v>0.38508401518155788</v>
      </c>
      <c r="U4" s="161" t="s">
        <v>1458</v>
      </c>
    </row>
    <row r="5" spans="1:26" x14ac:dyDescent="0.3">
      <c r="A5"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CornAllAllAllAll_Corn_Farming_Electricity_UserDefined_Coal</v>
      </c>
      <c r="B5" s="160" t="s">
        <v>136</v>
      </c>
      <c r="C5" s="160" t="s">
        <v>435</v>
      </c>
      <c r="D5" s="160" t="s">
        <v>435</v>
      </c>
      <c r="E5" s="160" t="s">
        <v>435</v>
      </c>
      <c r="F5" s="48" t="s">
        <v>435</v>
      </c>
      <c r="G5" s="272" t="b" cm="1">
        <f t="array" ref="G5">OR(NOT(ISERROR(MATCH(TRIM(_xlfn.TEXTSPLIT(SelectionsTable[[#This Row],[Feedstock]],",")),SelectedFeedstock,0))),AND(SelectedFeedstock&lt;&gt;"(Multiple Items)",SelectedFeedstock&lt;&gt;"(All)",SelectionsTable[[#This Row],[Feedstock]]="All"))</f>
        <v>0</v>
      </c>
      <c r="H5" s="272" t="b">
        <f>OR(SelectionsTable[[#This Row],[Conversion]]=SelectedConversion,AND(SelectedConversion&lt;&gt;"(Multiple Items)",SelectedConversion&lt;&gt;"(All)",SelectionsTable[[#This Row],[Conversion]]="All"))</f>
        <v>1</v>
      </c>
      <c r="I5" s="272" t="b">
        <f>OR(SelectionsTable[[#This Row],[Data Set]]=SelectedDataSet,AND(SelectedDataSet&lt;&gt;"(Multiple Items)",SelectedDataSet&lt;&gt;"(All)",SelectionsTable[[#This Row],[Data Set]]="All"))</f>
        <v>1</v>
      </c>
      <c r="J5" s="272" t="b">
        <f>OR(SelectionsTable[[#This Row],[Technology]]=SelectedTechnology,AND(SelectedTechnology&lt;&gt;"(Multiple Items)",SelectedTechnology&lt;&gt;"(All)",SelectionsTable[[#This Row],[Technology]]="All"))</f>
        <v>1</v>
      </c>
      <c r="K5" s="272" t="b">
        <f>OR(SelectionsTable[[#This Row],[Data Source]]=SelectedDataSource,AND(SelectedDataSource&lt;&gt;"(Multiple Items)",SelectedDataSource&lt;&gt;"(All)",SelectionsTable[[#This Row],[Data Source]]="All"))</f>
        <v>1</v>
      </c>
      <c r="L5" s="273" t="b">
        <f t="shared" ca="1" si="0"/>
        <v>0</v>
      </c>
      <c r="M5" s="160" t="b">
        <f>SelectionsTable[[#This Row],[GREET1 Location]]&lt;&gt;""</f>
        <v>1</v>
      </c>
      <c r="N5" s="160" t="b">
        <f ca="1">AND(SelectionsTable[[#This Row],[Show Feedstock]:[Conditional to Show]])</f>
        <v>0</v>
      </c>
      <c r="O5" s="160" t="s">
        <v>1501</v>
      </c>
      <c r="P5" s="160" t="s">
        <v>1499</v>
      </c>
      <c r="Q5" s="160" t="s">
        <v>1724</v>
      </c>
      <c r="R5" s="266" cm="1">
        <f t="array" aca="1" ref="R5" ca="1">IF(AND(NOT(RefreshDefaults),NOT(SelectionsResetting)),VALUE(IFERROR(INDEX(Selection_UD, MATCH(SelectionsTable[[#This Row],[ID]], Selection_ID, 0)),SelectionsTable[[#This Row],[Default Value]])),VALUE(SelectionsTable[[#This Row],[Default Value]]))</f>
        <v>0.20597265709067647</v>
      </c>
      <c r="S5" s="263">
        <v>0.20597265709067647</v>
      </c>
      <c r="T5" s="264">
        <f ca="1">SelectionsTable[[#This Row],[Input Value]]</f>
        <v>0.20597265709067647</v>
      </c>
      <c r="U5" s="161" t="s">
        <v>1458</v>
      </c>
    </row>
    <row r="6" spans="1:26" x14ac:dyDescent="0.3">
      <c r="A6"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CornAllAllAllAll_Corn_Farming_Electricity_UserDefined_Biomass</v>
      </c>
      <c r="B6" s="160" t="s">
        <v>136</v>
      </c>
      <c r="C6" s="160" t="s">
        <v>435</v>
      </c>
      <c r="D6" s="160" t="s">
        <v>435</v>
      </c>
      <c r="E6" s="160" t="s">
        <v>435</v>
      </c>
      <c r="F6" s="48" t="s">
        <v>435</v>
      </c>
      <c r="G6" s="272" t="b" cm="1">
        <f t="array" ref="G6">OR(NOT(ISERROR(MATCH(TRIM(_xlfn.TEXTSPLIT(SelectionsTable[[#This Row],[Feedstock]],",")),SelectedFeedstock,0))),AND(SelectedFeedstock&lt;&gt;"(Multiple Items)",SelectedFeedstock&lt;&gt;"(All)",SelectionsTable[[#This Row],[Feedstock]]="All"))</f>
        <v>0</v>
      </c>
      <c r="H6" s="272" t="b">
        <f>OR(SelectionsTable[[#This Row],[Conversion]]=SelectedConversion,AND(SelectedConversion&lt;&gt;"(Multiple Items)",SelectedConversion&lt;&gt;"(All)",SelectionsTable[[#This Row],[Conversion]]="All"))</f>
        <v>1</v>
      </c>
      <c r="I6" s="272" t="b">
        <f>OR(SelectionsTable[[#This Row],[Data Set]]=SelectedDataSet,AND(SelectedDataSet&lt;&gt;"(Multiple Items)",SelectedDataSet&lt;&gt;"(All)",SelectionsTable[[#This Row],[Data Set]]="All"))</f>
        <v>1</v>
      </c>
      <c r="J6" s="272" t="b">
        <f>OR(SelectionsTable[[#This Row],[Technology]]=SelectedTechnology,AND(SelectedTechnology&lt;&gt;"(Multiple Items)",SelectedTechnology&lt;&gt;"(All)",SelectionsTable[[#This Row],[Technology]]="All"))</f>
        <v>1</v>
      </c>
      <c r="K6" s="272" t="b">
        <f>OR(SelectionsTable[[#This Row],[Data Source]]=SelectedDataSource,AND(SelectedDataSource&lt;&gt;"(Multiple Items)",SelectedDataSource&lt;&gt;"(All)",SelectionsTable[[#This Row],[Data Source]]="All"))</f>
        <v>1</v>
      </c>
      <c r="L6" s="273" t="b">
        <f t="shared" ca="1" si="0"/>
        <v>0</v>
      </c>
      <c r="M6" s="160" t="b">
        <f>SelectionsTable[[#This Row],[GREET1 Location]]&lt;&gt;""</f>
        <v>1</v>
      </c>
      <c r="N6" s="160" t="b">
        <f ca="1">AND(SelectionsTable[[#This Row],[Show Feedstock]:[Conditional to Show]])</f>
        <v>0</v>
      </c>
      <c r="O6" s="160" t="s">
        <v>1502</v>
      </c>
      <c r="P6" s="160" t="s">
        <v>1499</v>
      </c>
      <c r="Q6" s="160" t="s">
        <v>1725</v>
      </c>
      <c r="R6" s="266" cm="1">
        <f t="array" aca="1" ref="R6" ca="1">IF(AND(NOT(RefreshDefaults),NOT(SelectionsResetting)),VALUE(IFERROR(INDEX(Selection_UD, MATCH(SelectionsTable[[#This Row],[ID]], Selection_ID, 0)),SelectionsTable[[#This Row],[Default Value]])),VALUE(SelectionsTable[[#This Row],[Default Value]]))</f>
        <v>2.7040234782859745E-3</v>
      </c>
      <c r="S6" s="263">
        <v>2.7040234782859745E-3</v>
      </c>
      <c r="T6" s="264">
        <f ca="1">SelectionsTable[[#This Row],[Input Value]]</f>
        <v>2.7040234782859745E-3</v>
      </c>
      <c r="U6" s="161" t="s">
        <v>1458</v>
      </c>
    </row>
    <row r="7" spans="1:26" x14ac:dyDescent="0.3">
      <c r="A7"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CornAllAllAllAll_Corn_Farming_Electricity_UserDefined_Nuclear</v>
      </c>
      <c r="B7" s="160" t="s">
        <v>136</v>
      </c>
      <c r="C7" s="160" t="s">
        <v>435</v>
      </c>
      <c r="D7" s="160" t="s">
        <v>435</v>
      </c>
      <c r="E7" s="160" t="s">
        <v>435</v>
      </c>
      <c r="F7" s="48" t="s">
        <v>435</v>
      </c>
      <c r="G7" s="272" t="b" cm="1">
        <f t="array" ref="G7">OR(NOT(ISERROR(MATCH(TRIM(_xlfn.TEXTSPLIT(SelectionsTable[[#This Row],[Feedstock]],",")),SelectedFeedstock,0))),AND(SelectedFeedstock&lt;&gt;"(Multiple Items)",SelectedFeedstock&lt;&gt;"(All)",SelectionsTable[[#This Row],[Feedstock]]="All"))</f>
        <v>0</v>
      </c>
      <c r="H7" s="272" t="b">
        <f>OR(SelectionsTable[[#This Row],[Conversion]]=SelectedConversion,AND(SelectedConversion&lt;&gt;"(Multiple Items)",SelectedConversion&lt;&gt;"(All)",SelectionsTable[[#This Row],[Conversion]]="All"))</f>
        <v>1</v>
      </c>
      <c r="I7" s="272" t="b">
        <f>OR(SelectionsTable[[#This Row],[Data Set]]=SelectedDataSet,AND(SelectedDataSet&lt;&gt;"(Multiple Items)",SelectedDataSet&lt;&gt;"(All)",SelectionsTable[[#This Row],[Data Set]]="All"))</f>
        <v>1</v>
      </c>
      <c r="J7" s="272" t="b">
        <f>OR(SelectionsTable[[#This Row],[Technology]]=SelectedTechnology,AND(SelectedTechnology&lt;&gt;"(Multiple Items)",SelectedTechnology&lt;&gt;"(All)",SelectionsTable[[#This Row],[Technology]]="All"))</f>
        <v>1</v>
      </c>
      <c r="K7" s="272" t="b">
        <f>OR(SelectionsTable[[#This Row],[Data Source]]=SelectedDataSource,AND(SelectedDataSource&lt;&gt;"(Multiple Items)",SelectedDataSource&lt;&gt;"(All)",SelectionsTable[[#This Row],[Data Source]]="All"))</f>
        <v>1</v>
      </c>
      <c r="L7" s="273" t="b">
        <f t="shared" ca="1" si="0"/>
        <v>0</v>
      </c>
      <c r="M7" s="160" t="b">
        <f>SelectionsTable[[#This Row],[GREET1 Location]]&lt;&gt;""</f>
        <v>1</v>
      </c>
      <c r="N7" s="160" t="b">
        <f ca="1">AND(SelectionsTable[[#This Row],[Show Feedstock]:[Conditional to Show]])</f>
        <v>0</v>
      </c>
      <c r="O7" s="160" t="s">
        <v>1503</v>
      </c>
      <c r="P7" s="160" t="s">
        <v>1499</v>
      </c>
      <c r="Q7" s="160" t="s">
        <v>1726</v>
      </c>
      <c r="R7" s="266" cm="1">
        <f t="array" aca="1" ref="R7" ca="1">IF(AND(NOT(RefreshDefaults),NOT(SelectionsResetting)),VALUE(IFERROR(INDEX(Selection_UD, MATCH(SelectionsTable[[#This Row],[ID]], Selection_ID, 0)),SelectionsTable[[#This Row],[Default Value]])),VALUE(SelectionsTable[[#This Row],[Default Value]]))</f>
        <v>0.18881098710553978</v>
      </c>
      <c r="S7" s="263">
        <v>0.18881098710553978</v>
      </c>
      <c r="T7" s="264">
        <f ca="1">SelectionsTable[[#This Row],[Input Value]]</f>
        <v>0.18881098710553978</v>
      </c>
      <c r="U7" s="161" t="s">
        <v>1458</v>
      </c>
    </row>
    <row r="8" spans="1:26" x14ac:dyDescent="0.3">
      <c r="A8"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CornAllAllAllAll_Corn_Farming_Electricity_UserDefined_Hydroelectric</v>
      </c>
      <c r="B8" s="160" t="s">
        <v>136</v>
      </c>
      <c r="C8" s="160" t="s">
        <v>435</v>
      </c>
      <c r="D8" s="160" t="s">
        <v>435</v>
      </c>
      <c r="E8" s="160" t="s">
        <v>435</v>
      </c>
      <c r="F8" s="48" t="s">
        <v>435</v>
      </c>
      <c r="G8" s="272" t="b" cm="1">
        <f t="array" ref="G8">OR(NOT(ISERROR(MATCH(TRIM(_xlfn.TEXTSPLIT(SelectionsTable[[#This Row],[Feedstock]],",")),SelectedFeedstock,0))),AND(SelectedFeedstock&lt;&gt;"(Multiple Items)",SelectedFeedstock&lt;&gt;"(All)",SelectionsTable[[#This Row],[Feedstock]]="All"))</f>
        <v>0</v>
      </c>
      <c r="H8" s="272" t="b">
        <f>OR(SelectionsTable[[#This Row],[Conversion]]=SelectedConversion,AND(SelectedConversion&lt;&gt;"(Multiple Items)",SelectedConversion&lt;&gt;"(All)",SelectionsTable[[#This Row],[Conversion]]="All"))</f>
        <v>1</v>
      </c>
      <c r="I8" s="272" t="b">
        <f>OR(SelectionsTable[[#This Row],[Data Set]]=SelectedDataSet,AND(SelectedDataSet&lt;&gt;"(Multiple Items)",SelectedDataSet&lt;&gt;"(All)",SelectionsTable[[#This Row],[Data Set]]="All"))</f>
        <v>1</v>
      </c>
      <c r="J8" s="272" t="b">
        <f>OR(SelectionsTable[[#This Row],[Technology]]=SelectedTechnology,AND(SelectedTechnology&lt;&gt;"(Multiple Items)",SelectedTechnology&lt;&gt;"(All)",SelectionsTable[[#This Row],[Technology]]="All"))</f>
        <v>1</v>
      </c>
      <c r="K8" s="272" t="b">
        <f>OR(SelectionsTable[[#This Row],[Data Source]]=SelectedDataSource,AND(SelectedDataSource&lt;&gt;"(Multiple Items)",SelectedDataSource&lt;&gt;"(All)",SelectionsTable[[#This Row],[Data Source]]="All"))</f>
        <v>1</v>
      </c>
      <c r="L8" s="273" t="b">
        <f t="shared" ca="1" si="0"/>
        <v>0</v>
      </c>
      <c r="M8" s="160" t="b">
        <f>SelectionsTable[[#This Row],[GREET1 Location]]&lt;&gt;""</f>
        <v>1</v>
      </c>
      <c r="N8" s="160" t="b">
        <f ca="1">AND(SelectionsTable[[#This Row],[Show Feedstock]:[Conditional to Show]])</f>
        <v>0</v>
      </c>
      <c r="O8" s="160" t="s">
        <v>1504</v>
      </c>
      <c r="P8" s="160" t="s">
        <v>1499</v>
      </c>
      <c r="Q8" s="160" t="s">
        <v>1727</v>
      </c>
      <c r="R8" s="266" cm="1">
        <f t="array" aca="1" ref="R8" ca="1">IF(AND(NOT(RefreshDefaults),NOT(SelectionsResetting)),VALUE(IFERROR(INDEX(Selection_UD, MATCH(SelectionsTable[[#This Row],[ID]], Selection_ID, 0)),SelectionsTable[[#This Row],[Default Value]])),VALUE(SelectionsTable[[#This Row],[Default Value]]))</f>
        <v>6.7523807322926704E-2</v>
      </c>
      <c r="S8" s="263">
        <v>6.7523807322926704E-2</v>
      </c>
      <c r="T8" s="264">
        <f ca="1">SelectionsTable[[#This Row],[Input Value]]</f>
        <v>6.7523807322926704E-2</v>
      </c>
      <c r="U8" s="161" t="s">
        <v>1458</v>
      </c>
    </row>
    <row r="9" spans="1:26" x14ac:dyDescent="0.3">
      <c r="A9"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CornAllAllAllAll_Corn_Farming_Electricity_UserDefined_Geothermal</v>
      </c>
      <c r="B9" s="160" t="s">
        <v>136</v>
      </c>
      <c r="C9" s="160" t="s">
        <v>435</v>
      </c>
      <c r="D9" s="160" t="s">
        <v>435</v>
      </c>
      <c r="E9" s="160" t="s">
        <v>435</v>
      </c>
      <c r="F9" s="48" t="s">
        <v>435</v>
      </c>
      <c r="G9" s="272" t="b" cm="1">
        <f t="array" ref="G9">OR(NOT(ISERROR(MATCH(TRIM(_xlfn.TEXTSPLIT(SelectionsTable[[#This Row],[Feedstock]],",")),SelectedFeedstock,0))),AND(SelectedFeedstock&lt;&gt;"(Multiple Items)",SelectedFeedstock&lt;&gt;"(All)",SelectionsTable[[#This Row],[Feedstock]]="All"))</f>
        <v>0</v>
      </c>
      <c r="H9" s="272" t="b">
        <f>OR(SelectionsTable[[#This Row],[Conversion]]=SelectedConversion,AND(SelectedConversion&lt;&gt;"(Multiple Items)",SelectedConversion&lt;&gt;"(All)",SelectionsTable[[#This Row],[Conversion]]="All"))</f>
        <v>1</v>
      </c>
      <c r="I9" s="272" t="b">
        <f>OR(SelectionsTable[[#This Row],[Data Set]]=SelectedDataSet,AND(SelectedDataSet&lt;&gt;"(Multiple Items)",SelectedDataSet&lt;&gt;"(All)",SelectionsTable[[#This Row],[Data Set]]="All"))</f>
        <v>1</v>
      </c>
      <c r="J9" s="272" t="b">
        <f>OR(SelectionsTable[[#This Row],[Technology]]=SelectedTechnology,AND(SelectedTechnology&lt;&gt;"(Multiple Items)",SelectedTechnology&lt;&gt;"(All)",SelectionsTable[[#This Row],[Technology]]="All"))</f>
        <v>1</v>
      </c>
      <c r="K9" s="272" t="b">
        <f>OR(SelectionsTable[[#This Row],[Data Source]]=SelectedDataSource,AND(SelectedDataSource&lt;&gt;"(Multiple Items)",SelectedDataSource&lt;&gt;"(All)",SelectionsTable[[#This Row],[Data Source]]="All"))</f>
        <v>1</v>
      </c>
      <c r="L9" s="273" t="b">
        <f t="shared" ca="1" si="0"/>
        <v>0</v>
      </c>
      <c r="M9" s="160" t="b">
        <f>SelectionsTable[[#This Row],[GREET1 Location]]&lt;&gt;""</f>
        <v>1</v>
      </c>
      <c r="N9" s="160" t="b">
        <f ca="1">AND(SelectionsTable[[#This Row],[Show Feedstock]:[Conditional to Show]])</f>
        <v>0</v>
      </c>
      <c r="O9" s="160" t="s">
        <v>1505</v>
      </c>
      <c r="P9" s="160" t="s">
        <v>1499</v>
      </c>
      <c r="Q9" s="160" t="s">
        <v>1728</v>
      </c>
      <c r="R9" s="266" cm="1">
        <f t="array" aca="1" ref="R9" ca="1">IF(AND(NOT(RefreshDefaults),NOT(SelectionsResetting)),VALUE(IFERROR(INDEX(Selection_UD, MATCH(SelectionsTable[[#This Row],[ID]], Selection_ID, 0)),SelectionsTable[[#This Row],[Default Value]])),VALUE(SelectionsTable[[#This Row],[Default Value]]))</f>
        <v>3.8162816219673582E-3</v>
      </c>
      <c r="S9" s="263">
        <v>3.8162816219673582E-3</v>
      </c>
      <c r="T9" s="264">
        <f ca="1">SelectionsTable[[#This Row],[Input Value]]</f>
        <v>3.8162816219673582E-3</v>
      </c>
      <c r="U9" s="161" t="s">
        <v>1458</v>
      </c>
    </row>
    <row r="10" spans="1:26" x14ac:dyDescent="0.3">
      <c r="A10"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CornAllAllAllAll_Corn_Farming_Electricity_UserDefined_Wind</v>
      </c>
      <c r="B10" s="160" t="s">
        <v>136</v>
      </c>
      <c r="C10" s="160" t="s">
        <v>435</v>
      </c>
      <c r="D10" s="160" t="s">
        <v>435</v>
      </c>
      <c r="E10" s="160" t="s">
        <v>435</v>
      </c>
      <c r="F10" s="48" t="s">
        <v>435</v>
      </c>
      <c r="G10" s="272" t="b" cm="1">
        <f t="array" ref="G10">OR(NOT(ISERROR(MATCH(TRIM(_xlfn.TEXTSPLIT(SelectionsTable[[#This Row],[Feedstock]],",")),SelectedFeedstock,0))),AND(SelectedFeedstock&lt;&gt;"(Multiple Items)",SelectedFeedstock&lt;&gt;"(All)",SelectionsTable[[#This Row],[Feedstock]]="All"))</f>
        <v>0</v>
      </c>
      <c r="H10" s="272" t="b">
        <f>OR(SelectionsTable[[#This Row],[Conversion]]=SelectedConversion,AND(SelectedConversion&lt;&gt;"(Multiple Items)",SelectedConversion&lt;&gt;"(All)",SelectionsTable[[#This Row],[Conversion]]="All"))</f>
        <v>1</v>
      </c>
      <c r="I10" s="272" t="b">
        <f>OR(SelectionsTable[[#This Row],[Data Set]]=SelectedDataSet,AND(SelectedDataSet&lt;&gt;"(Multiple Items)",SelectedDataSet&lt;&gt;"(All)",SelectionsTable[[#This Row],[Data Set]]="All"))</f>
        <v>1</v>
      </c>
      <c r="J10" s="272" t="b">
        <f>OR(SelectionsTable[[#This Row],[Technology]]=SelectedTechnology,AND(SelectedTechnology&lt;&gt;"(Multiple Items)",SelectedTechnology&lt;&gt;"(All)",SelectionsTable[[#This Row],[Technology]]="All"))</f>
        <v>1</v>
      </c>
      <c r="K10" s="272" t="b">
        <f>OR(SelectionsTable[[#This Row],[Data Source]]=SelectedDataSource,AND(SelectedDataSource&lt;&gt;"(Multiple Items)",SelectedDataSource&lt;&gt;"(All)",SelectionsTable[[#This Row],[Data Source]]="All"))</f>
        <v>1</v>
      </c>
      <c r="L10" s="273" t="b">
        <f t="shared" ca="1" si="0"/>
        <v>0</v>
      </c>
      <c r="M10" s="160" t="b">
        <f>SelectionsTable[[#This Row],[GREET1 Location]]&lt;&gt;""</f>
        <v>1</v>
      </c>
      <c r="N10" s="160" t="b">
        <f ca="1">AND(SelectionsTable[[#This Row],[Show Feedstock]:[Conditional to Show]])</f>
        <v>0</v>
      </c>
      <c r="O10" s="160" t="s">
        <v>1506</v>
      </c>
      <c r="P10" s="160" t="s">
        <v>1499</v>
      </c>
      <c r="Q10" s="160" t="s">
        <v>1729</v>
      </c>
      <c r="R10" s="266" cm="1">
        <f t="array" aca="1" ref="R10" ca="1">IF(AND(NOT(RefreshDefaults),NOT(SelectionsResetting)),VALUE(IFERROR(INDEX(Selection_UD, MATCH(SelectionsTable[[#This Row],[ID]], Selection_ID, 0)),SelectionsTable[[#This Row],[Default Value]])),VALUE(SelectionsTable[[#This Row],[Default Value]]))</f>
        <v>0.10697758707614718</v>
      </c>
      <c r="S10" s="263">
        <v>0.10697758707614718</v>
      </c>
      <c r="T10" s="264">
        <f ca="1">SelectionsTable[[#This Row],[Input Value]]</f>
        <v>0.10697758707614718</v>
      </c>
      <c r="U10" s="161" t="s">
        <v>1458</v>
      </c>
    </row>
    <row r="11" spans="1:26" x14ac:dyDescent="0.3">
      <c r="A11"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CornAllAllAllAll_Corn_Farming_Electricity_UserDefined_SolarPV</v>
      </c>
      <c r="B11" s="160" t="s">
        <v>136</v>
      </c>
      <c r="C11" s="160" t="s">
        <v>435</v>
      </c>
      <c r="D11" s="160" t="s">
        <v>435</v>
      </c>
      <c r="E11" s="160" t="s">
        <v>435</v>
      </c>
      <c r="F11" s="48" t="s">
        <v>435</v>
      </c>
      <c r="G11" s="272" t="b" cm="1">
        <f t="array" ref="G11">OR(NOT(ISERROR(MATCH(TRIM(_xlfn.TEXTSPLIT(SelectionsTable[[#This Row],[Feedstock]],",")),SelectedFeedstock,0))),AND(SelectedFeedstock&lt;&gt;"(Multiple Items)",SelectedFeedstock&lt;&gt;"(All)",SelectionsTable[[#This Row],[Feedstock]]="All"))</f>
        <v>0</v>
      </c>
      <c r="H11" s="272" t="b">
        <f>OR(SelectionsTable[[#This Row],[Conversion]]=SelectedConversion,AND(SelectedConversion&lt;&gt;"(Multiple Items)",SelectedConversion&lt;&gt;"(All)",SelectionsTable[[#This Row],[Conversion]]="All"))</f>
        <v>1</v>
      </c>
      <c r="I11" s="272" t="b">
        <f>OR(SelectionsTable[[#This Row],[Data Set]]=SelectedDataSet,AND(SelectedDataSet&lt;&gt;"(Multiple Items)",SelectedDataSet&lt;&gt;"(All)",SelectionsTable[[#This Row],[Data Set]]="All"))</f>
        <v>1</v>
      </c>
      <c r="J11" s="272" t="b">
        <f>OR(SelectionsTable[[#This Row],[Technology]]=SelectedTechnology,AND(SelectedTechnology&lt;&gt;"(Multiple Items)",SelectedTechnology&lt;&gt;"(All)",SelectionsTable[[#This Row],[Technology]]="All"))</f>
        <v>1</v>
      </c>
      <c r="K11" s="272" t="b">
        <f>OR(SelectionsTable[[#This Row],[Data Source]]=SelectedDataSource,AND(SelectedDataSource&lt;&gt;"(Multiple Items)",SelectedDataSource&lt;&gt;"(All)",SelectionsTable[[#This Row],[Data Source]]="All"))</f>
        <v>1</v>
      </c>
      <c r="L11" s="273" t="b">
        <f t="shared" ca="1" si="0"/>
        <v>0</v>
      </c>
      <c r="M11" s="160" t="b">
        <f>SelectionsTable[[#This Row],[GREET1 Location]]&lt;&gt;""</f>
        <v>1</v>
      </c>
      <c r="N11" s="160" t="b">
        <f ca="1">AND(SelectionsTable[[#This Row],[Show Feedstock]:[Conditional to Show]])</f>
        <v>0</v>
      </c>
      <c r="O11" s="160" t="s">
        <v>1507</v>
      </c>
      <c r="P11" s="160" t="s">
        <v>1499</v>
      </c>
      <c r="Q11" s="160" t="s">
        <v>1730</v>
      </c>
      <c r="R11" s="266" cm="1">
        <f t="array" aca="1" ref="R11" ca="1">IF(AND(NOT(RefreshDefaults),NOT(SelectionsResetting)),VALUE(IFERROR(INDEX(Selection_UD, MATCH(SelectionsTable[[#This Row],[ID]], Selection_ID, 0)),SelectionsTable[[#This Row],[Default Value]])),VALUE(SelectionsTable[[#This Row],[Default Value]]))</f>
        <v>3.2796656801169541E-2</v>
      </c>
      <c r="S11" s="263">
        <v>3.2796656801169541E-2</v>
      </c>
      <c r="T11" s="264">
        <f ca="1">SelectionsTable[[#This Row],[Input Value]]</f>
        <v>3.2796656801169541E-2</v>
      </c>
      <c r="U11" s="161" t="s">
        <v>1458</v>
      </c>
    </row>
    <row r="12" spans="1:26" x14ac:dyDescent="0.3">
      <c r="A12"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CornAllAllAllAll_Corn_Farming_Electricity_UserDefined_Others</v>
      </c>
      <c r="B12" s="160" t="s">
        <v>136</v>
      </c>
      <c r="C12" s="160" t="s">
        <v>435</v>
      </c>
      <c r="D12" s="160" t="s">
        <v>435</v>
      </c>
      <c r="E12" s="160" t="s">
        <v>435</v>
      </c>
      <c r="F12" s="48" t="s">
        <v>435</v>
      </c>
      <c r="G12" s="272" t="b" cm="1">
        <f t="array" ref="G12">OR(NOT(ISERROR(MATCH(TRIM(_xlfn.TEXTSPLIT(SelectionsTable[[#This Row],[Feedstock]],",")),SelectedFeedstock,0))),AND(SelectedFeedstock&lt;&gt;"(Multiple Items)",SelectedFeedstock&lt;&gt;"(All)",SelectionsTable[[#This Row],[Feedstock]]="All"))</f>
        <v>0</v>
      </c>
      <c r="H12" s="272" t="b">
        <f>OR(SelectionsTable[[#This Row],[Conversion]]=SelectedConversion,AND(SelectedConversion&lt;&gt;"(Multiple Items)",SelectedConversion&lt;&gt;"(All)",SelectionsTable[[#This Row],[Conversion]]="All"))</f>
        <v>1</v>
      </c>
      <c r="I12" s="272" t="b">
        <f>OR(SelectionsTable[[#This Row],[Data Set]]=SelectedDataSet,AND(SelectedDataSet&lt;&gt;"(Multiple Items)",SelectedDataSet&lt;&gt;"(All)",SelectionsTable[[#This Row],[Data Set]]="All"))</f>
        <v>1</v>
      </c>
      <c r="J12" s="272" t="b">
        <f>OR(SelectionsTable[[#This Row],[Technology]]=SelectedTechnology,AND(SelectedTechnology&lt;&gt;"(Multiple Items)",SelectedTechnology&lt;&gt;"(All)",SelectionsTable[[#This Row],[Technology]]="All"))</f>
        <v>1</v>
      </c>
      <c r="K12" s="272" t="b">
        <f>OR(SelectionsTable[[#This Row],[Data Source]]=SelectedDataSource,AND(SelectedDataSource&lt;&gt;"(Multiple Items)",SelectedDataSource&lt;&gt;"(All)",SelectionsTable[[#This Row],[Data Source]]="All"))</f>
        <v>1</v>
      </c>
      <c r="L12" s="273" t="b">
        <f t="shared" ca="1" si="0"/>
        <v>0</v>
      </c>
      <c r="M12" s="160" t="b">
        <f>SelectionsTable[[#This Row],[GREET1 Location]]&lt;&gt;""</f>
        <v>1</v>
      </c>
      <c r="N12" s="160" t="b">
        <f ca="1">AND(SelectionsTable[[#This Row],[Show Feedstock]:[Conditional to Show]])</f>
        <v>0</v>
      </c>
      <c r="O12" s="160" t="s">
        <v>1508</v>
      </c>
      <c r="P12" s="160" t="s">
        <v>1499</v>
      </c>
      <c r="Q12" s="160" t="s">
        <v>1731</v>
      </c>
      <c r="R12" s="266" cm="1">
        <f t="array" aca="1" ref="R12" ca="1">IF(AND(NOT(RefreshDefaults),NOT(SelectionsResetting)),VALUE(IFERROR(INDEX(Selection_UD, MATCH(SelectionsTable[[#This Row],[ID]], Selection_ID, 0)),SelectionsTable[[#This Row],[Default Value]])),VALUE(SelectionsTable[[#This Row],[Default Value]]))</f>
        <v>3.7310985058660595E-3</v>
      </c>
      <c r="S12" s="263">
        <v>3.7310985058660595E-3</v>
      </c>
      <c r="T12" s="264">
        <f ca="1">SelectionsTable[[#This Row],[Input Value]]</f>
        <v>3.7310985058660595E-3</v>
      </c>
      <c r="U12" s="161" t="s">
        <v>1458</v>
      </c>
    </row>
    <row r="13" spans="1:26" x14ac:dyDescent="0.3">
      <c r="A13"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CornAllAllAllAll_Corn_EtOH_Electricity_Source_Option</v>
      </c>
      <c r="B13" s="261" t="s">
        <v>136</v>
      </c>
      <c r="C13" s="160" t="s">
        <v>435</v>
      </c>
      <c r="D13" s="160" t="s">
        <v>435</v>
      </c>
      <c r="E13" s="160" t="s">
        <v>435</v>
      </c>
      <c r="F13" s="48" t="s">
        <v>435</v>
      </c>
      <c r="G13" s="272" t="b" cm="1">
        <f t="array" ref="G13">OR(NOT(ISERROR(MATCH(TRIM(_xlfn.TEXTSPLIT(SelectionsTable[[#This Row],[Feedstock]],",")),SelectedFeedstock,0))),AND(SelectedFeedstock&lt;&gt;"(Multiple Items)",SelectedFeedstock&lt;&gt;"(All)",SelectionsTable[[#This Row],[Feedstock]]="All"))</f>
        <v>0</v>
      </c>
      <c r="H13" s="272" t="b">
        <f>OR(SelectionsTable[[#This Row],[Conversion]]=SelectedConversion,AND(SelectedConversion&lt;&gt;"(Multiple Items)",SelectedConversion&lt;&gt;"(All)",SelectionsTable[[#This Row],[Conversion]]="All"))</f>
        <v>1</v>
      </c>
      <c r="I13" s="272" t="b">
        <f>OR(SelectionsTable[[#This Row],[Data Set]]=SelectedDataSet,AND(SelectedDataSet&lt;&gt;"(Multiple Items)",SelectedDataSet&lt;&gt;"(All)",SelectionsTable[[#This Row],[Data Set]]="All"))</f>
        <v>1</v>
      </c>
      <c r="J13" s="272" t="b">
        <f>OR(SelectionsTable[[#This Row],[Technology]]=SelectedTechnology,AND(SelectedTechnology&lt;&gt;"(Multiple Items)",SelectedTechnology&lt;&gt;"(All)",SelectionsTable[[#This Row],[Technology]]="All"))</f>
        <v>1</v>
      </c>
      <c r="K13" s="272" t="b">
        <f>OR(SelectionsTable[[#This Row],[Data Source]]=SelectedDataSource,AND(SelectedDataSource&lt;&gt;"(Multiple Items)",SelectedDataSource&lt;&gt;"(All)",SelectionsTable[[#This Row],[Data Source]]="All"))</f>
        <v>1</v>
      </c>
      <c r="L13" s="272" t="b">
        <f>TRUE</f>
        <v>1</v>
      </c>
      <c r="M13" s="160" t="b">
        <f>SelectionsTable[[#This Row],[GREET1 Location]]&lt;&gt;""</f>
        <v>1</v>
      </c>
      <c r="N13" s="160" t="b">
        <f>AND(SelectionsTable[[#This Row],[Show Feedstock]:[Conditional to Show]])</f>
        <v>0</v>
      </c>
      <c r="O13" s="160" t="s">
        <v>1489</v>
      </c>
      <c r="P13" s="160" t="s">
        <v>1706</v>
      </c>
      <c r="Q13" s="160" t="s">
        <v>2160</v>
      </c>
      <c r="R13" s="262" cm="1">
        <f t="array" aca="1" ref="R13" ca="1">IF(AND(NOT(RefreshDefaults),NOT(SelectionsResetting)),VALUE(IFERROR(INDEX(Selection_UD, MATCH(SelectionsTable[[#This Row],[ID]], Selection_ID, 0)),SelectionsTable[[#This Row],[Default Value]])),VALUE(SelectionsTable[[#This Row],[Default Value]]))</f>
        <v>1</v>
      </c>
      <c r="S13" s="263">
        <v>1</v>
      </c>
      <c r="T13" s="264">
        <f ca="1">SelectionsTable[[#This Row],[Input Value]]</f>
        <v>1</v>
      </c>
      <c r="U13" s="161" t="s">
        <v>904</v>
      </c>
      <c r="V13">
        <v>1</v>
      </c>
      <c r="W13">
        <v>27</v>
      </c>
      <c r="X13" s="265" t="s">
        <v>1968</v>
      </c>
    </row>
    <row r="14" spans="1:26" x14ac:dyDescent="0.3">
      <c r="A14"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CornAllAllAllAll_Corn_Ethanol_Electricity_UserDefined_Oil</v>
      </c>
      <c r="B14" s="160" t="s">
        <v>136</v>
      </c>
      <c r="C14" s="160" t="s">
        <v>435</v>
      </c>
      <c r="D14" s="160" t="s">
        <v>435</v>
      </c>
      <c r="E14" s="160" t="s">
        <v>435</v>
      </c>
      <c r="F14" s="48" t="s">
        <v>435</v>
      </c>
      <c r="G14" s="272" t="b" cm="1">
        <f t="array" ref="G14">OR(NOT(ISERROR(MATCH(TRIM(_xlfn.TEXTSPLIT(SelectionsTable[[#This Row],[Feedstock]],",")),SelectedFeedstock,0))),AND(SelectedFeedstock&lt;&gt;"(Multiple Items)",SelectedFeedstock&lt;&gt;"(All)",SelectionsTable[[#This Row],[Feedstock]]="All"))</f>
        <v>0</v>
      </c>
      <c r="H14" s="272" t="b">
        <f>OR(SelectionsTable[[#This Row],[Conversion]]=SelectedConversion,AND(SelectedConversion&lt;&gt;"(Multiple Items)",SelectedConversion&lt;&gt;"(All)",SelectionsTable[[#This Row],[Conversion]]="All"))</f>
        <v>1</v>
      </c>
      <c r="I14" s="272" t="b">
        <f>OR(SelectionsTable[[#This Row],[Data Set]]=SelectedDataSet,AND(SelectedDataSet&lt;&gt;"(Multiple Items)",SelectedDataSet&lt;&gt;"(All)",SelectionsTable[[#This Row],[Data Set]]="All"))</f>
        <v>1</v>
      </c>
      <c r="J14" s="272" t="b">
        <f>OR(SelectionsTable[[#This Row],[Technology]]=SelectedTechnology,AND(SelectedTechnology&lt;&gt;"(Multiple Items)",SelectedTechnology&lt;&gt;"(All)",SelectionsTable[[#This Row],[Technology]]="All"))</f>
        <v>1</v>
      </c>
      <c r="K14" s="272" t="b">
        <f>OR(SelectionsTable[[#This Row],[Data Source]]=SelectedDataSource,AND(SelectedDataSource&lt;&gt;"(Multiple Items)",SelectedDataSource&lt;&gt;"(All)",SelectionsTable[[#This Row],[Data Source]]="All"))</f>
        <v>1</v>
      </c>
      <c r="L14" s="273" t="b">
        <f t="shared" ref="L14:L23" ca="1" si="1">VALUE($R$13)=28</f>
        <v>0</v>
      </c>
      <c r="M14" s="160" t="b">
        <f>SelectionsTable[[#This Row],[GREET1 Location]]&lt;&gt;""</f>
        <v>1</v>
      </c>
      <c r="N14" s="160" t="b">
        <f ca="1">AND(SelectionsTable[[#This Row],[Show Feedstock]:[Conditional to Show]])</f>
        <v>0</v>
      </c>
      <c r="O14" s="160" t="s">
        <v>1509</v>
      </c>
      <c r="P14" s="261" t="s">
        <v>1712</v>
      </c>
      <c r="Q14" s="261" t="s">
        <v>1732</v>
      </c>
      <c r="R14" s="266" cm="1">
        <f t="array" aca="1" ref="R14" ca="1">IF(AND(NOT(RefreshDefaults),NOT(SelectionsResetting)),VALUE(IFERROR(INDEX(Selection_UD, MATCH(SelectionsTable[[#This Row],[ID]], Selection_ID, 0)),SelectionsTable[[#This Row],[Default Value]])),VALUE(SelectionsTable[[#This Row],[Default Value]]))</f>
        <v>2.582885815863092E-3</v>
      </c>
      <c r="S14" s="263">
        <v>2.582885815863092E-3</v>
      </c>
      <c r="T14" s="264">
        <f ca="1">SelectionsTable[[#This Row],[Input Value]]</f>
        <v>2.582885815863092E-3</v>
      </c>
      <c r="U14" s="162" t="s">
        <v>1458</v>
      </c>
    </row>
    <row r="15" spans="1:26" x14ac:dyDescent="0.3">
      <c r="A15"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CornAllAllAllAll_Corn_Ethanol_Electricity_UserDefined_NG</v>
      </c>
      <c r="B15" s="160" t="s">
        <v>136</v>
      </c>
      <c r="C15" s="160" t="s">
        <v>435</v>
      </c>
      <c r="D15" s="160" t="s">
        <v>435</v>
      </c>
      <c r="E15" s="160" t="s">
        <v>435</v>
      </c>
      <c r="F15" s="48" t="s">
        <v>435</v>
      </c>
      <c r="G15" s="272" t="b" cm="1">
        <f t="array" ref="G15">OR(NOT(ISERROR(MATCH(TRIM(_xlfn.TEXTSPLIT(SelectionsTable[[#This Row],[Feedstock]],",")),SelectedFeedstock,0))),AND(SelectedFeedstock&lt;&gt;"(Multiple Items)",SelectedFeedstock&lt;&gt;"(All)",SelectionsTable[[#This Row],[Feedstock]]="All"))</f>
        <v>0</v>
      </c>
      <c r="H15" s="272" t="b">
        <f>OR(SelectionsTable[[#This Row],[Conversion]]=SelectedConversion,AND(SelectedConversion&lt;&gt;"(Multiple Items)",SelectedConversion&lt;&gt;"(All)",SelectionsTable[[#This Row],[Conversion]]="All"))</f>
        <v>1</v>
      </c>
      <c r="I15" s="272" t="b">
        <f>OR(SelectionsTable[[#This Row],[Data Set]]=SelectedDataSet,AND(SelectedDataSet&lt;&gt;"(Multiple Items)",SelectedDataSet&lt;&gt;"(All)",SelectionsTable[[#This Row],[Data Set]]="All"))</f>
        <v>1</v>
      </c>
      <c r="J15" s="272" t="b">
        <f>OR(SelectionsTable[[#This Row],[Technology]]=SelectedTechnology,AND(SelectedTechnology&lt;&gt;"(Multiple Items)",SelectedTechnology&lt;&gt;"(All)",SelectionsTable[[#This Row],[Technology]]="All"))</f>
        <v>1</v>
      </c>
      <c r="K15" s="272" t="b">
        <f>OR(SelectionsTable[[#This Row],[Data Source]]=SelectedDataSource,AND(SelectedDataSource&lt;&gt;"(Multiple Items)",SelectedDataSource&lt;&gt;"(All)",SelectionsTable[[#This Row],[Data Source]]="All"))</f>
        <v>1</v>
      </c>
      <c r="L15" s="273" t="b">
        <f t="shared" ca="1" si="1"/>
        <v>0</v>
      </c>
      <c r="M15" s="160" t="b">
        <f>SelectionsTable[[#This Row],[GREET1 Location]]&lt;&gt;""</f>
        <v>1</v>
      </c>
      <c r="N15" s="160" t="b">
        <f ca="1">AND(SelectionsTable[[#This Row],[Show Feedstock]:[Conditional to Show]])</f>
        <v>0</v>
      </c>
      <c r="O15" s="160" t="s">
        <v>1510</v>
      </c>
      <c r="P15" s="160" t="s">
        <v>1712</v>
      </c>
      <c r="Q15" s="160" t="s">
        <v>1733</v>
      </c>
      <c r="R15" s="266" cm="1">
        <f t="array" aca="1" ref="R15" ca="1">IF(AND(NOT(RefreshDefaults),NOT(SelectionsResetting)),VALUE(IFERROR(INDEX(Selection_UD, MATCH(SelectionsTable[[#This Row],[ID]], Selection_ID, 0)),SelectionsTable[[#This Row],[Default Value]])),VALUE(SelectionsTable[[#This Row],[Default Value]]))</f>
        <v>0.38508401518155788</v>
      </c>
      <c r="S15" s="263">
        <v>0.38508401518155788</v>
      </c>
      <c r="T15" s="264">
        <f ca="1">SelectionsTable[[#This Row],[Input Value]]</f>
        <v>0.38508401518155788</v>
      </c>
      <c r="U15" s="161" t="s">
        <v>1458</v>
      </c>
    </row>
    <row r="16" spans="1:26" x14ac:dyDescent="0.3">
      <c r="A16"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CornAllAllAllAll_Corn_Ethanol_Electricity_UserDefined_Coal</v>
      </c>
      <c r="B16" s="160" t="s">
        <v>136</v>
      </c>
      <c r="C16" s="160" t="s">
        <v>435</v>
      </c>
      <c r="D16" s="160" t="s">
        <v>435</v>
      </c>
      <c r="E16" s="160" t="s">
        <v>435</v>
      </c>
      <c r="F16" s="48" t="s">
        <v>435</v>
      </c>
      <c r="G16" s="272" t="b" cm="1">
        <f t="array" ref="G16">OR(NOT(ISERROR(MATCH(TRIM(_xlfn.TEXTSPLIT(SelectionsTable[[#This Row],[Feedstock]],",")),SelectedFeedstock,0))),AND(SelectedFeedstock&lt;&gt;"(Multiple Items)",SelectedFeedstock&lt;&gt;"(All)",SelectionsTable[[#This Row],[Feedstock]]="All"))</f>
        <v>0</v>
      </c>
      <c r="H16" s="272" t="b">
        <f>OR(SelectionsTable[[#This Row],[Conversion]]=SelectedConversion,AND(SelectedConversion&lt;&gt;"(Multiple Items)",SelectedConversion&lt;&gt;"(All)",SelectionsTable[[#This Row],[Conversion]]="All"))</f>
        <v>1</v>
      </c>
      <c r="I16" s="272" t="b">
        <f>OR(SelectionsTable[[#This Row],[Data Set]]=SelectedDataSet,AND(SelectedDataSet&lt;&gt;"(Multiple Items)",SelectedDataSet&lt;&gt;"(All)",SelectionsTable[[#This Row],[Data Set]]="All"))</f>
        <v>1</v>
      </c>
      <c r="J16" s="272" t="b">
        <f>OR(SelectionsTable[[#This Row],[Technology]]=SelectedTechnology,AND(SelectedTechnology&lt;&gt;"(Multiple Items)",SelectedTechnology&lt;&gt;"(All)",SelectionsTable[[#This Row],[Technology]]="All"))</f>
        <v>1</v>
      </c>
      <c r="K16" s="272" t="b">
        <f>OR(SelectionsTable[[#This Row],[Data Source]]=SelectedDataSource,AND(SelectedDataSource&lt;&gt;"(Multiple Items)",SelectedDataSource&lt;&gt;"(All)",SelectionsTable[[#This Row],[Data Source]]="All"))</f>
        <v>1</v>
      </c>
      <c r="L16" s="273" t="b">
        <f t="shared" ca="1" si="1"/>
        <v>0</v>
      </c>
      <c r="M16" s="160" t="b">
        <f>SelectionsTable[[#This Row],[GREET1 Location]]&lt;&gt;""</f>
        <v>1</v>
      </c>
      <c r="N16" s="160" t="b">
        <f ca="1">AND(SelectionsTable[[#This Row],[Show Feedstock]:[Conditional to Show]])</f>
        <v>0</v>
      </c>
      <c r="O16" s="160" t="s">
        <v>1511</v>
      </c>
      <c r="P16" s="160" t="s">
        <v>1712</v>
      </c>
      <c r="Q16" s="160" t="s">
        <v>1734</v>
      </c>
      <c r="R16" s="266" cm="1">
        <f t="array" aca="1" ref="R16" ca="1">IF(AND(NOT(RefreshDefaults),NOT(SelectionsResetting)),VALUE(IFERROR(INDEX(Selection_UD, MATCH(SelectionsTable[[#This Row],[ID]], Selection_ID, 0)),SelectionsTable[[#This Row],[Default Value]])),VALUE(SelectionsTable[[#This Row],[Default Value]]))</f>
        <v>0.20597265709067647</v>
      </c>
      <c r="S16" s="263">
        <v>0.20597265709067647</v>
      </c>
      <c r="T16" s="264">
        <f ca="1">SelectionsTable[[#This Row],[Input Value]]</f>
        <v>0.20597265709067647</v>
      </c>
      <c r="U16" s="161" t="s">
        <v>1458</v>
      </c>
    </row>
    <row r="17" spans="1:24" x14ac:dyDescent="0.3">
      <c r="A17"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CornAllAllAllAll_Corn_Ethanol_Electricity_UserDefined_Biomass</v>
      </c>
      <c r="B17" s="160" t="s">
        <v>136</v>
      </c>
      <c r="C17" s="160" t="s">
        <v>435</v>
      </c>
      <c r="D17" s="160" t="s">
        <v>435</v>
      </c>
      <c r="E17" s="160" t="s">
        <v>435</v>
      </c>
      <c r="F17" s="48" t="s">
        <v>435</v>
      </c>
      <c r="G17" s="272" t="b" cm="1">
        <f t="array" ref="G17">OR(NOT(ISERROR(MATCH(TRIM(_xlfn.TEXTSPLIT(SelectionsTable[[#This Row],[Feedstock]],",")),SelectedFeedstock,0))),AND(SelectedFeedstock&lt;&gt;"(Multiple Items)",SelectedFeedstock&lt;&gt;"(All)",SelectionsTable[[#This Row],[Feedstock]]="All"))</f>
        <v>0</v>
      </c>
      <c r="H17" s="272" t="b">
        <f>OR(SelectionsTable[[#This Row],[Conversion]]=SelectedConversion,AND(SelectedConversion&lt;&gt;"(Multiple Items)",SelectedConversion&lt;&gt;"(All)",SelectionsTable[[#This Row],[Conversion]]="All"))</f>
        <v>1</v>
      </c>
      <c r="I17" s="272" t="b">
        <f>OR(SelectionsTable[[#This Row],[Data Set]]=SelectedDataSet,AND(SelectedDataSet&lt;&gt;"(Multiple Items)",SelectedDataSet&lt;&gt;"(All)",SelectionsTable[[#This Row],[Data Set]]="All"))</f>
        <v>1</v>
      </c>
      <c r="J17" s="272" t="b">
        <f>OR(SelectionsTable[[#This Row],[Technology]]=SelectedTechnology,AND(SelectedTechnology&lt;&gt;"(Multiple Items)",SelectedTechnology&lt;&gt;"(All)",SelectionsTable[[#This Row],[Technology]]="All"))</f>
        <v>1</v>
      </c>
      <c r="K17" s="272" t="b">
        <f>OR(SelectionsTable[[#This Row],[Data Source]]=SelectedDataSource,AND(SelectedDataSource&lt;&gt;"(Multiple Items)",SelectedDataSource&lt;&gt;"(All)",SelectionsTable[[#This Row],[Data Source]]="All"))</f>
        <v>1</v>
      </c>
      <c r="L17" s="273" t="b">
        <f t="shared" ca="1" si="1"/>
        <v>0</v>
      </c>
      <c r="M17" s="160" t="b">
        <f>SelectionsTable[[#This Row],[GREET1 Location]]&lt;&gt;""</f>
        <v>1</v>
      </c>
      <c r="N17" s="160" t="b">
        <f ca="1">AND(SelectionsTable[[#This Row],[Show Feedstock]:[Conditional to Show]])</f>
        <v>0</v>
      </c>
      <c r="O17" s="160" t="s">
        <v>1512</v>
      </c>
      <c r="P17" s="160" t="s">
        <v>1712</v>
      </c>
      <c r="Q17" s="160" t="s">
        <v>1735</v>
      </c>
      <c r="R17" s="266" cm="1">
        <f t="array" aca="1" ref="R17" ca="1">IF(AND(NOT(RefreshDefaults),NOT(SelectionsResetting)),VALUE(IFERROR(INDEX(Selection_UD, MATCH(SelectionsTable[[#This Row],[ID]], Selection_ID, 0)),SelectionsTable[[#This Row],[Default Value]])),VALUE(SelectionsTable[[#This Row],[Default Value]]))</f>
        <v>2.7040234782859745E-3</v>
      </c>
      <c r="S17" s="263">
        <v>2.7040234782859745E-3</v>
      </c>
      <c r="T17" s="264">
        <f ca="1">SelectionsTable[[#This Row],[Input Value]]</f>
        <v>2.7040234782859745E-3</v>
      </c>
      <c r="U17" s="161" t="s">
        <v>1458</v>
      </c>
    </row>
    <row r="18" spans="1:24" x14ac:dyDescent="0.3">
      <c r="A18"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CornAllAllAllAll_Corn_Ethanol_Electricity_UserDefined_Nuclear</v>
      </c>
      <c r="B18" s="160" t="s">
        <v>136</v>
      </c>
      <c r="C18" s="160" t="s">
        <v>435</v>
      </c>
      <c r="D18" s="160" t="s">
        <v>435</v>
      </c>
      <c r="E18" s="160" t="s">
        <v>435</v>
      </c>
      <c r="F18" s="48" t="s">
        <v>435</v>
      </c>
      <c r="G18" s="272" t="b" cm="1">
        <f t="array" ref="G18">OR(NOT(ISERROR(MATCH(TRIM(_xlfn.TEXTSPLIT(SelectionsTable[[#This Row],[Feedstock]],",")),SelectedFeedstock,0))),AND(SelectedFeedstock&lt;&gt;"(Multiple Items)",SelectedFeedstock&lt;&gt;"(All)",SelectionsTable[[#This Row],[Feedstock]]="All"))</f>
        <v>0</v>
      </c>
      <c r="H18" s="272" t="b">
        <f>OR(SelectionsTable[[#This Row],[Conversion]]=SelectedConversion,AND(SelectedConversion&lt;&gt;"(Multiple Items)",SelectedConversion&lt;&gt;"(All)",SelectionsTable[[#This Row],[Conversion]]="All"))</f>
        <v>1</v>
      </c>
      <c r="I18" s="272" t="b">
        <f>OR(SelectionsTable[[#This Row],[Data Set]]=SelectedDataSet,AND(SelectedDataSet&lt;&gt;"(Multiple Items)",SelectedDataSet&lt;&gt;"(All)",SelectionsTable[[#This Row],[Data Set]]="All"))</f>
        <v>1</v>
      </c>
      <c r="J18" s="272" t="b">
        <f>OR(SelectionsTable[[#This Row],[Technology]]=SelectedTechnology,AND(SelectedTechnology&lt;&gt;"(Multiple Items)",SelectedTechnology&lt;&gt;"(All)",SelectionsTable[[#This Row],[Technology]]="All"))</f>
        <v>1</v>
      </c>
      <c r="K18" s="272" t="b">
        <f>OR(SelectionsTable[[#This Row],[Data Source]]=SelectedDataSource,AND(SelectedDataSource&lt;&gt;"(Multiple Items)",SelectedDataSource&lt;&gt;"(All)",SelectionsTable[[#This Row],[Data Source]]="All"))</f>
        <v>1</v>
      </c>
      <c r="L18" s="273" t="b">
        <f t="shared" ca="1" si="1"/>
        <v>0</v>
      </c>
      <c r="M18" s="160" t="b">
        <f>SelectionsTable[[#This Row],[GREET1 Location]]&lt;&gt;""</f>
        <v>1</v>
      </c>
      <c r="N18" s="160" t="b">
        <f ca="1">AND(SelectionsTable[[#This Row],[Show Feedstock]:[Conditional to Show]])</f>
        <v>0</v>
      </c>
      <c r="O18" s="160" t="s">
        <v>1513</v>
      </c>
      <c r="P18" s="160" t="s">
        <v>1712</v>
      </c>
      <c r="Q18" s="160" t="s">
        <v>1736</v>
      </c>
      <c r="R18" s="266" cm="1">
        <f t="array" aca="1" ref="R18" ca="1">IF(AND(NOT(RefreshDefaults),NOT(SelectionsResetting)),VALUE(IFERROR(INDEX(Selection_UD, MATCH(SelectionsTable[[#This Row],[ID]], Selection_ID, 0)),SelectionsTable[[#This Row],[Default Value]])),VALUE(SelectionsTable[[#This Row],[Default Value]]))</f>
        <v>0.18881098710553978</v>
      </c>
      <c r="S18" s="263">
        <v>0.18881098710553978</v>
      </c>
      <c r="T18" s="264">
        <f ca="1">SelectionsTable[[#This Row],[Input Value]]</f>
        <v>0.18881098710553978</v>
      </c>
      <c r="U18" s="161" t="s">
        <v>1458</v>
      </c>
    </row>
    <row r="19" spans="1:24" x14ac:dyDescent="0.3">
      <c r="A19"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CornAllAllAllAll_Corn_Ethanol_Electricity_UserDefined_Hydroelectric</v>
      </c>
      <c r="B19" s="160" t="s">
        <v>136</v>
      </c>
      <c r="C19" s="160" t="s">
        <v>435</v>
      </c>
      <c r="D19" s="160" t="s">
        <v>435</v>
      </c>
      <c r="E19" s="160" t="s">
        <v>435</v>
      </c>
      <c r="F19" s="48" t="s">
        <v>435</v>
      </c>
      <c r="G19" s="272" t="b" cm="1">
        <f t="array" ref="G19">OR(NOT(ISERROR(MATCH(TRIM(_xlfn.TEXTSPLIT(SelectionsTable[[#This Row],[Feedstock]],",")),SelectedFeedstock,0))),AND(SelectedFeedstock&lt;&gt;"(Multiple Items)",SelectedFeedstock&lt;&gt;"(All)",SelectionsTable[[#This Row],[Feedstock]]="All"))</f>
        <v>0</v>
      </c>
      <c r="H19" s="272" t="b">
        <f>OR(SelectionsTable[[#This Row],[Conversion]]=SelectedConversion,AND(SelectedConversion&lt;&gt;"(Multiple Items)",SelectedConversion&lt;&gt;"(All)",SelectionsTable[[#This Row],[Conversion]]="All"))</f>
        <v>1</v>
      </c>
      <c r="I19" s="272" t="b">
        <f>OR(SelectionsTable[[#This Row],[Data Set]]=SelectedDataSet,AND(SelectedDataSet&lt;&gt;"(Multiple Items)",SelectedDataSet&lt;&gt;"(All)",SelectionsTable[[#This Row],[Data Set]]="All"))</f>
        <v>1</v>
      </c>
      <c r="J19" s="272" t="b">
        <f>OR(SelectionsTable[[#This Row],[Technology]]=SelectedTechnology,AND(SelectedTechnology&lt;&gt;"(Multiple Items)",SelectedTechnology&lt;&gt;"(All)",SelectionsTable[[#This Row],[Technology]]="All"))</f>
        <v>1</v>
      </c>
      <c r="K19" s="272" t="b">
        <f>OR(SelectionsTable[[#This Row],[Data Source]]=SelectedDataSource,AND(SelectedDataSource&lt;&gt;"(Multiple Items)",SelectedDataSource&lt;&gt;"(All)",SelectionsTable[[#This Row],[Data Source]]="All"))</f>
        <v>1</v>
      </c>
      <c r="L19" s="273" t="b">
        <f t="shared" ca="1" si="1"/>
        <v>0</v>
      </c>
      <c r="M19" s="160" t="b">
        <f>SelectionsTable[[#This Row],[GREET1 Location]]&lt;&gt;""</f>
        <v>1</v>
      </c>
      <c r="N19" s="160" t="b">
        <f ca="1">AND(SelectionsTable[[#This Row],[Show Feedstock]:[Conditional to Show]])</f>
        <v>0</v>
      </c>
      <c r="O19" s="160" t="s">
        <v>1514</v>
      </c>
      <c r="P19" s="160" t="s">
        <v>1712</v>
      </c>
      <c r="Q19" s="160" t="s">
        <v>1737</v>
      </c>
      <c r="R19" s="266" cm="1">
        <f t="array" aca="1" ref="R19" ca="1">IF(AND(NOT(RefreshDefaults),NOT(SelectionsResetting)),VALUE(IFERROR(INDEX(Selection_UD, MATCH(SelectionsTable[[#This Row],[ID]], Selection_ID, 0)),SelectionsTable[[#This Row],[Default Value]])),VALUE(SelectionsTable[[#This Row],[Default Value]]))</f>
        <v>6.7523807322926704E-2</v>
      </c>
      <c r="S19" s="263">
        <v>6.7523807322926704E-2</v>
      </c>
      <c r="T19" s="264">
        <f ca="1">SelectionsTable[[#This Row],[Input Value]]</f>
        <v>6.7523807322926704E-2</v>
      </c>
      <c r="U19" s="161" t="s">
        <v>1458</v>
      </c>
    </row>
    <row r="20" spans="1:24" x14ac:dyDescent="0.3">
      <c r="A20"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CornAllAllAllAll_Corn_Ethanol_Electricity_UserDefined_Geothermal</v>
      </c>
      <c r="B20" s="160" t="s">
        <v>136</v>
      </c>
      <c r="C20" s="160" t="s">
        <v>435</v>
      </c>
      <c r="D20" s="160" t="s">
        <v>435</v>
      </c>
      <c r="E20" s="160" t="s">
        <v>435</v>
      </c>
      <c r="F20" s="48" t="s">
        <v>435</v>
      </c>
      <c r="G20" s="272" t="b" cm="1">
        <f t="array" ref="G20">OR(NOT(ISERROR(MATCH(TRIM(_xlfn.TEXTSPLIT(SelectionsTable[[#This Row],[Feedstock]],",")),SelectedFeedstock,0))),AND(SelectedFeedstock&lt;&gt;"(Multiple Items)",SelectedFeedstock&lt;&gt;"(All)",SelectionsTable[[#This Row],[Feedstock]]="All"))</f>
        <v>0</v>
      </c>
      <c r="H20" s="272" t="b">
        <f>OR(SelectionsTable[[#This Row],[Conversion]]=SelectedConversion,AND(SelectedConversion&lt;&gt;"(Multiple Items)",SelectedConversion&lt;&gt;"(All)",SelectionsTable[[#This Row],[Conversion]]="All"))</f>
        <v>1</v>
      </c>
      <c r="I20" s="272" t="b">
        <f>OR(SelectionsTable[[#This Row],[Data Set]]=SelectedDataSet,AND(SelectedDataSet&lt;&gt;"(Multiple Items)",SelectedDataSet&lt;&gt;"(All)",SelectionsTable[[#This Row],[Data Set]]="All"))</f>
        <v>1</v>
      </c>
      <c r="J20" s="272" t="b">
        <f>OR(SelectionsTable[[#This Row],[Technology]]=SelectedTechnology,AND(SelectedTechnology&lt;&gt;"(Multiple Items)",SelectedTechnology&lt;&gt;"(All)",SelectionsTable[[#This Row],[Technology]]="All"))</f>
        <v>1</v>
      </c>
      <c r="K20" s="272" t="b">
        <f>OR(SelectionsTable[[#This Row],[Data Source]]=SelectedDataSource,AND(SelectedDataSource&lt;&gt;"(Multiple Items)",SelectedDataSource&lt;&gt;"(All)",SelectionsTable[[#This Row],[Data Source]]="All"))</f>
        <v>1</v>
      </c>
      <c r="L20" s="273" t="b">
        <f t="shared" ca="1" si="1"/>
        <v>0</v>
      </c>
      <c r="M20" s="160" t="b">
        <f>SelectionsTable[[#This Row],[GREET1 Location]]&lt;&gt;""</f>
        <v>1</v>
      </c>
      <c r="N20" s="160" t="b">
        <f ca="1">AND(SelectionsTable[[#This Row],[Show Feedstock]:[Conditional to Show]])</f>
        <v>0</v>
      </c>
      <c r="O20" s="160" t="s">
        <v>1515</v>
      </c>
      <c r="P20" s="160" t="s">
        <v>1712</v>
      </c>
      <c r="Q20" s="160" t="s">
        <v>1738</v>
      </c>
      <c r="R20" s="266" cm="1">
        <f t="array" aca="1" ref="R20" ca="1">IF(AND(NOT(RefreshDefaults),NOT(SelectionsResetting)),VALUE(IFERROR(INDEX(Selection_UD, MATCH(SelectionsTable[[#This Row],[ID]], Selection_ID, 0)),SelectionsTable[[#This Row],[Default Value]])),VALUE(SelectionsTable[[#This Row],[Default Value]]))</f>
        <v>3.8162816219673582E-3</v>
      </c>
      <c r="S20" s="263">
        <v>3.8162816219673582E-3</v>
      </c>
      <c r="T20" s="264">
        <f ca="1">SelectionsTable[[#This Row],[Input Value]]</f>
        <v>3.8162816219673582E-3</v>
      </c>
      <c r="U20" s="161" t="s">
        <v>1458</v>
      </c>
    </row>
    <row r="21" spans="1:24" x14ac:dyDescent="0.3">
      <c r="A21"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CornAllAllAllAll_Corn_Ethanol_Electricity_UserDefined_Wind</v>
      </c>
      <c r="B21" s="160" t="s">
        <v>136</v>
      </c>
      <c r="C21" s="160" t="s">
        <v>435</v>
      </c>
      <c r="D21" s="160" t="s">
        <v>435</v>
      </c>
      <c r="E21" s="160" t="s">
        <v>435</v>
      </c>
      <c r="F21" s="48" t="s">
        <v>435</v>
      </c>
      <c r="G21" s="272" t="b" cm="1">
        <f t="array" ref="G21">OR(NOT(ISERROR(MATCH(TRIM(_xlfn.TEXTSPLIT(SelectionsTable[[#This Row],[Feedstock]],",")),SelectedFeedstock,0))),AND(SelectedFeedstock&lt;&gt;"(Multiple Items)",SelectedFeedstock&lt;&gt;"(All)",SelectionsTable[[#This Row],[Feedstock]]="All"))</f>
        <v>0</v>
      </c>
      <c r="H21" s="272" t="b">
        <f>OR(SelectionsTable[[#This Row],[Conversion]]=SelectedConversion,AND(SelectedConversion&lt;&gt;"(Multiple Items)",SelectedConversion&lt;&gt;"(All)",SelectionsTable[[#This Row],[Conversion]]="All"))</f>
        <v>1</v>
      </c>
      <c r="I21" s="272" t="b">
        <f>OR(SelectionsTable[[#This Row],[Data Set]]=SelectedDataSet,AND(SelectedDataSet&lt;&gt;"(Multiple Items)",SelectedDataSet&lt;&gt;"(All)",SelectionsTable[[#This Row],[Data Set]]="All"))</f>
        <v>1</v>
      </c>
      <c r="J21" s="272" t="b">
        <f>OR(SelectionsTable[[#This Row],[Technology]]=SelectedTechnology,AND(SelectedTechnology&lt;&gt;"(Multiple Items)",SelectedTechnology&lt;&gt;"(All)",SelectionsTable[[#This Row],[Technology]]="All"))</f>
        <v>1</v>
      </c>
      <c r="K21" s="272" t="b">
        <f>OR(SelectionsTable[[#This Row],[Data Source]]=SelectedDataSource,AND(SelectedDataSource&lt;&gt;"(Multiple Items)",SelectedDataSource&lt;&gt;"(All)",SelectionsTable[[#This Row],[Data Source]]="All"))</f>
        <v>1</v>
      </c>
      <c r="L21" s="273" t="b">
        <f t="shared" ca="1" si="1"/>
        <v>0</v>
      </c>
      <c r="M21" s="160" t="b">
        <f>SelectionsTable[[#This Row],[GREET1 Location]]&lt;&gt;""</f>
        <v>1</v>
      </c>
      <c r="N21" s="160" t="b">
        <f ca="1">AND(SelectionsTable[[#This Row],[Show Feedstock]:[Conditional to Show]])</f>
        <v>0</v>
      </c>
      <c r="O21" s="160" t="s">
        <v>1516</v>
      </c>
      <c r="P21" s="160" t="s">
        <v>1712</v>
      </c>
      <c r="Q21" s="160" t="s">
        <v>1739</v>
      </c>
      <c r="R21" s="266" cm="1">
        <f t="array" aca="1" ref="R21" ca="1">IF(AND(NOT(RefreshDefaults),NOT(SelectionsResetting)),VALUE(IFERROR(INDEX(Selection_UD, MATCH(SelectionsTable[[#This Row],[ID]], Selection_ID, 0)),SelectionsTable[[#This Row],[Default Value]])),VALUE(SelectionsTable[[#This Row],[Default Value]]))</f>
        <v>0.10697758707614718</v>
      </c>
      <c r="S21" s="263">
        <v>0.10697758707614718</v>
      </c>
      <c r="T21" s="264">
        <f ca="1">SelectionsTable[[#This Row],[Input Value]]</f>
        <v>0.10697758707614718</v>
      </c>
      <c r="U21" s="161" t="s">
        <v>1458</v>
      </c>
    </row>
    <row r="22" spans="1:24" x14ac:dyDescent="0.3">
      <c r="A22"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CornAllAllAllAll_Corn_Ethanol_Electricity_UserDefined_SolarPV</v>
      </c>
      <c r="B22" s="160" t="s">
        <v>136</v>
      </c>
      <c r="C22" s="160" t="s">
        <v>435</v>
      </c>
      <c r="D22" s="160" t="s">
        <v>435</v>
      </c>
      <c r="E22" s="160" t="s">
        <v>435</v>
      </c>
      <c r="F22" s="48" t="s">
        <v>435</v>
      </c>
      <c r="G22" s="272" t="b" cm="1">
        <f t="array" ref="G22">OR(NOT(ISERROR(MATCH(TRIM(_xlfn.TEXTSPLIT(SelectionsTable[[#This Row],[Feedstock]],",")),SelectedFeedstock,0))),AND(SelectedFeedstock&lt;&gt;"(Multiple Items)",SelectedFeedstock&lt;&gt;"(All)",SelectionsTable[[#This Row],[Feedstock]]="All"))</f>
        <v>0</v>
      </c>
      <c r="H22" s="272" t="b">
        <f>OR(SelectionsTable[[#This Row],[Conversion]]=SelectedConversion,AND(SelectedConversion&lt;&gt;"(Multiple Items)",SelectedConversion&lt;&gt;"(All)",SelectionsTable[[#This Row],[Conversion]]="All"))</f>
        <v>1</v>
      </c>
      <c r="I22" s="272" t="b">
        <f>OR(SelectionsTable[[#This Row],[Data Set]]=SelectedDataSet,AND(SelectedDataSet&lt;&gt;"(Multiple Items)",SelectedDataSet&lt;&gt;"(All)",SelectionsTable[[#This Row],[Data Set]]="All"))</f>
        <v>1</v>
      </c>
      <c r="J22" s="272" t="b">
        <f>OR(SelectionsTable[[#This Row],[Technology]]=SelectedTechnology,AND(SelectedTechnology&lt;&gt;"(Multiple Items)",SelectedTechnology&lt;&gt;"(All)",SelectionsTable[[#This Row],[Technology]]="All"))</f>
        <v>1</v>
      </c>
      <c r="K22" s="272" t="b">
        <f>OR(SelectionsTable[[#This Row],[Data Source]]=SelectedDataSource,AND(SelectedDataSource&lt;&gt;"(Multiple Items)",SelectedDataSource&lt;&gt;"(All)",SelectionsTable[[#This Row],[Data Source]]="All"))</f>
        <v>1</v>
      </c>
      <c r="L22" s="273" t="b">
        <f t="shared" ca="1" si="1"/>
        <v>0</v>
      </c>
      <c r="M22" s="160" t="b">
        <f>SelectionsTable[[#This Row],[GREET1 Location]]&lt;&gt;""</f>
        <v>1</v>
      </c>
      <c r="N22" s="160" t="b">
        <f ca="1">AND(SelectionsTable[[#This Row],[Show Feedstock]:[Conditional to Show]])</f>
        <v>0</v>
      </c>
      <c r="O22" s="160" t="s">
        <v>1517</v>
      </c>
      <c r="P22" s="160" t="s">
        <v>1712</v>
      </c>
      <c r="Q22" s="160" t="s">
        <v>1740</v>
      </c>
      <c r="R22" s="266" cm="1">
        <f t="array" aca="1" ref="R22" ca="1">IF(AND(NOT(RefreshDefaults),NOT(SelectionsResetting)),VALUE(IFERROR(INDEX(Selection_UD, MATCH(SelectionsTable[[#This Row],[ID]], Selection_ID, 0)),SelectionsTable[[#This Row],[Default Value]])),VALUE(SelectionsTable[[#This Row],[Default Value]]))</f>
        <v>3.2796656801169541E-2</v>
      </c>
      <c r="S22" s="263">
        <v>3.2796656801169541E-2</v>
      </c>
      <c r="T22" s="264">
        <f ca="1">SelectionsTable[[#This Row],[Input Value]]</f>
        <v>3.2796656801169541E-2</v>
      </c>
      <c r="U22" s="161" t="s">
        <v>1458</v>
      </c>
    </row>
    <row r="23" spans="1:24" x14ac:dyDescent="0.3">
      <c r="A23"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CornAllAllAllAll_Corn_Ethanol_Electricity_UserDefined_Others</v>
      </c>
      <c r="B23" s="160" t="s">
        <v>136</v>
      </c>
      <c r="C23" s="160" t="s">
        <v>435</v>
      </c>
      <c r="D23" s="160" t="s">
        <v>435</v>
      </c>
      <c r="E23" s="160" t="s">
        <v>435</v>
      </c>
      <c r="F23" s="48" t="s">
        <v>435</v>
      </c>
      <c r="G23" s="272" t="b" cm="1">
        <f t="array" ref="G23">OR(NOT(ISERROR(MATCH(TRIM(_xlfn.TEXTSPLIT(SelectionsTable[[#This Row],[Feedstock]],",")),SelectedFeedstock,0))),AND(SelectedFeedstock&lt;&gt;"(Multiple Items)",SelectedFeedstock&lt;&gt;"(All)",SelectionsTable[[#This Row],[Feedstock]]="All"))</f>
        <v>0</v>
      </c>
      <c r="H23" s="272" t="b">
        <f>OR(SelectionsTable[[#This Row],[Conversion]]=SelectedConversion,AND(SelectedConversion&lt;&gt;"(Multiple Items)",SelectedConversion&lt;&gt;"(All)",SelectionsTable[[#This Row],[Conversion]]="All"))</f>
        <v>1</v>
      </c>
      <c r="I23" s="272" t="b">
        <f>OR(SelectionsTable[[#This Row],[Data Set]]=SelectedDataSet,AND(SelectedDataSet&lt;&gt;"(Multiple Items)",SelectedDataSet&lt;&gt;"(All)",SelectionsTable[[#This Row],[Data Set]]="All"))</f>
        <v>1</v>
      </c>
      <c r="J23" s="272" t="b">
        <f>OR(SelectionsTable[[#This Row],[Technology]]=SelectedTechnology,AND(SelectedTechnology&lt;&gt;"(Multiple Items)",SelectedTechnology&lt;&gt;"(All)",SelectionsTable[[#This Row],[Technology]]="All"))</f>
        <v>1</v>
      </c>
      <c r="K23" s="272" t="b">
        <f>OR(SelectionsTable[[#This Row],[Data Source]]=SelectedDataSource,AND(SelectedDataSource&lt;&gt;"(Multiple Items)",SelectedDataSource&lt;&gt;"(All)",SelectionsTable[[#This Row],[Data Source]]="All"))</f>
        <v>1</v>
      </c>
      <c r="L23" s="273" t="b">
        <f t="shared" ca="1" si="1"/>
        <v>0</v>
      </c>
      <c r="M23" s="160" t="b">
        <f>SelectionsTable[[#This Row],[GREET1 Location]]&lt;&gt;""</f>
        <v>1</v>
      </c>
      <c r="N23" s="160" t="b">
        <f ca="1">AND(SelectionsTable[[#This Row],[Show Feedstock]:[Conditional to Show]])</f>
        <v>0</v>
      </c>
      <c r="O23" s="160" t="s">
        <v>1518</v>
      </c>
      <c r="P23" s="160" t="s">
        <v>1712</v>
      </c>
      <c r="Q23" s="160" t="s">
        <v>1741</v>
      </c>
      <c r="R23" s="266" cm="1">
        <f t="array" aca="1" ref="R23" ca="1">IF(AND(NOT(RefreshDefaults),NOT(SelectionsResetting)),VALUE(IFERROR(INDEX(Selection_UD, MATCH(SelectionsTable[[#This Row],[ID]], Selection_ID, 0)),SelectionsTable[[#This Row],[Default Value]])),VALUE(SelectionsTable[[#This Row],[Default Value]]))</f>
        <v>3.7310985058660595E-3</v>
      </c>
      <c r="S23" s="263">
        <v>3.7310985058660595E-3</v>
      </c>
      <c r="T23" s="264">
        <f ca="1">SelectionsTable[[#This Row],[Input Value]]</f>
        <v>3.7310985058660595E-3</v>
      </c>
      <c r="U23" s="161" t="s">
        <v>1458</v>
      </c>
    </row>
    <row r="24" spans="1:24" x14ac:dyDescent="0.3">
      <c r="A24"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CornAllAllAllAll_Corn_EtOH_Heat_Source_Option</v>
      </c>
      <c r="B24" s="261" t="s">
        <v>136</v>
      </c>
      <c r="C24" s="160" t="s">
        <v>435</v>
      </c>
      <c r="D24" s="160" t="s">
        <v>435</v>
      </c>
      <c r="E24" s="160" t="s">
        <v>435</v>
      </c>
      <c r="F24" s="48" t="s">
        <v>435</v>
      </c>
      <c r="G24" s="272" t="b" cm="1">
        <f t="array" ref="G24">OR(NOT(ISERROR(MATCH(TRIM(_xlfn.TEXTSPLIT(SelectionsTable[[#This Row],[Feedstock]],",")),SelectedFeedstock,0))),AND(SelectedFeedstock&lt;&gt;"(Multiple Items)",SelectedFeedstock&lt;&gt;"(All)",SelectionsTable[[#This Row],[Feedstock]]="All"))</f>
        <v>0</v>
      </c>
      <c r="H24" s="272" t="b">
        <f>OR(SelectionsTable[[#This Row],[Conversion]]=SelectedConversion,AND(SelectedConversion&lt;&gt;"(Multiple Items)",SelectedConversion&lt;&gt;"(All)",SelectionsTable[[#This Row],[Conversion]]="All"))</f>
        <v>1</v>
      </c>
      <c r="I24" s="272" t="b">
        <f>OR(SelectionsTable[[#This Row],[Data Set]]=SelectedDataSet,AND(SelectedDataSet&lt;&gt;"(Multiple Items)",SelectedDataSet&lt;&gt;"(All)",SelectionsTable[[#This Row],[Data Set]]="All"))</f>
        <v>1</v>
      </c>
      <c r="J24" s="272" t="b">
        <f>OR(SelectionsTable[[#This Row],[Technology]]=SelectedTechnology,AND(SelectedTechnology&lt;&gt;"(Multiple Items)",SelectedTechnology&lt;&gt;"(All)",SelectionsTable[[#This Row],[Technology]]="All"))</f>
        <v>1</v>
      </c>
      <c r="K24" s="272" t="b">
        <f>OR(SelectionsTable[[#This Row],[Data Source]]=SelectedDataSource,AND(SelectedDataSource&lt;&gt;"(Multiple Items)",SelectedDataSource&lt;&gt;"(All)",SelectionsTable[[#This Row],[Data Source]]="All"))</f>
        <v>1</v>
      </c>
      <c r="L24" s="272" t="b">
        <v>0</v>
      </c>
      <c r="M24" s="160" t="b">
        <f>SelectionsTable[[#This Row],[GREET1 Location]]&lt;&gt;""</f>
        <v>1</v>
      </c>
      <c r="N24" s="160" t="b">
        <f>AND(SelectionsTable[[#This Row],[Show Feedstock]:[Conditional to Show]])</f>
        <v>0</v>
      </c>
      <c r="O24" s="160" t="s">
        <v>1490</v>
      </c>
      <c r="P24" s="160" t="s">
        <v>1706</v>
      </c>
      <c r="Q24" s="160" t="s">
        <v>1883</v>
      </c>
      <c r="R24" s="262" cm="1">
        <f t="array" aca="1" ref="R24" ca="1">IF(AND(NOT(RefreshDefaults),NOT(SelectionsResetting)),VALUE(IFERROR(INDEX(Selection_UD, MATCH(SelectionsTable[[#This Row],[ID]], Selection_ID, 0)),SelectionsTable[[#This Row],[Default Value]])),VALUE(SelectionsTable[[#This Row],[Default Value]]))</f>
        <v>1</v>
      </c>
      <c r="S24" s="263">
        <v>1</v>
      </c>
      <c r="T24" s="264">
        <f ca="1">SelectionsTable[[#This Row],[Input Value]]</f>
        <v>1</v>
      </c>
      <c r="U24" s="161" t="s">
        <v>904</v>
      </c>
      <c r="V24">
        <v>1</v>
      </c>
      <c r="W24">
        <v>4</v>
      </c>
      <c r="X24" t="s">
        <v>1898</v>
      </c>
    </row>
    <row r="25" spans="1:24" x14ac:dyDescent="0.3">
      <c r="A25"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CornAllAllAllAll_Share_NG_Heat_Corn_Ethanol</v>
      </c>
      <c r="B25" s="261" t="s">
        <v>136</v>
      </c>
      <c r="C25" s="160" t="s">
        <v>435</v>
      </c>
      <c r="D25" s="160" t="s">
        <v>435</v>
      </c>
      <c r="E25" s="160" t="s">
        <v>435</v>
      </c>
      <c r="F25" s="48" t="s">
        <v>435</v>
      </c>
      <c r="G25" s="272" t="b" cm="1">
        <f t="array" ref="G25">OR(NOT(ISERROR(MATCH(TRIM(_xlfn.TEXTSPLIT(SelectionsTable[[#This Row],[Feedstock]],",")),SelectedFeedstock,0))),AND(SelectedFeedstock&lt;&gt;"(Multiple Items)",SelectedFeedstock&lt;&gt;"(All)",SelectionsTable[[#This Row],[Feedstock]]="All"))</f>
        <v>0</v>
      </c>
      <c r="H25" s="272" t="b">
        <f>OR(SelectionsTable[[#This Row],[Conversion]]=SelectedConversion,AND(SelectedConversion&lt;&gt;"(Multiple Items)",SelectedConversion&lt;&gt;"(All)",SelectionsTable[[#This Row],[Conversion]]="All"))</f>
        <v>1</v>
      </c>
      <c r="I25" s="272" t="b">
        <f>OR(SelectionsTable[[#This Row],[Data Set]]=SelectedDataSet,AND(SelectedDataSet&lt;&gt;"(Multiple Items)",SelectedDataSet&lt;&gt;"(All)",SelectionsTable[[#This Row],[Data Set]]="All"))</f>
        <v>1</v>
      </c>
      <c r="J25" s="272" t="b">
        <f>OR(SelectionsTable[[#This Row],[Technology]]=SelectedTechnology,AND(SelectedTechnology&lt;&gt;"(Multiple Items)",SelectedTechnology&lt;&gt;"(All)",SelectionsTable[[#This Row],[Technology]]="All"))</f>
        <v>1</v>
      </c>
      <c r="K25" s="272" t="b">
        <f>OR(SelectionsTable[[#This Row],[Data Source]]=SelectedDataSource,AND(SelectedDataSource&lt;&gt;"(Multiple Items)",SelectedDataSource&lt;&gt;"(All)",SelectionsTable[[#This Row],[Data Source]]="All"))</f>
        <v>1</v>
      </c>
      <c r="L25" s="272" t="b">
        <f ca="1">VALUE($R$24)=4</f>
        <v>0</v>
      </c>
      <c r="M25" s="160" t="b">
        <f>SelectionsTable[[#This Row],[GREET1 Location]]&lt;&gt;""</f>
        <v>1</v>
      </c>
      <c r="N25" s="160" t="b">
        <f ca="1">AND(SelectionsTable[[#This Row],[Show Feedstock]:[Conditional to Show]])</f>
        <v>0</v>
      </c>
      <c r="O25" s="160" t="s">
        <v>1685</v>
      </c>
      <c r="P25" s="160" t="s">
        <v>1706</v>
      </c>
      <c r="Q25" s="160" t="s">
        <v>1742</v>
      </c>
      <c r="R25" s="262" cm="1">
        <f t="array" aca="1" ref="R25" ca="1">IF(AND(NOT(RefreshDefaults),NOT(SelectionsResetting)),VALUE(IFERROR(INDEX(Selection_UD, MATCH(SelectionsTable[[#This Row],[ID]], Selection_ID, 0)),SelectionsTable[[#This Row],[Default Value]])),VALUE(SelectionsTable[[#This Row],[Default Value]]))</f>
        <v>1</v>
      </c>
      <c r="S25" s="263">
        <v>1</v>
      </c>
      <c r="T25" s="264">
        <f ca="1">SelectionsTable[[#This Row],[Input Value]]</f>
        <v>1</v>
      </c>
      <c r="U25" s="162" t="s">
        <v>1458</v>
      </c>
      <c r="X25" s="310"/>
    </row>
    <row r="26" spans="1:24" x14ac:dyDescent="0.3">
      <c r="A26"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CornAllAllAllAll_Share_RNG_LFG_Heat_Corn_Ethanol</v>
      </c>
      <c r="B26" s="261" t="s">
        <v>136</v>
      </c>
      <c r="C26" s="160" t="s">
        <v>435</v>
      </c>
      <c r="D26" s="160" t="s">
        <v>435</v>
      </c>
      <c r="E26" s="160" t="s">
        <v>435</v>
      </c>
      <c r="F26" s="48" t="s">
        <v>435</v>
      </c>
      <c r="G26" s="272" t="b" cm="1">
        <f t="array" ref="G26">OR(NOT(ISERROR(MATCH(TRIM(_xlfn.TEXTSPLIT(SelectionsTable[[#This Row],[Feedstock]],",")),SelectedFeedstock,0))),AND(SelectedFeedstock&lt;&gt;"(Multiple Items)",SelectedFeedstock&lt;&gt;"(All)",SelectionsTable[[#This Row],[Feedstock]]="All"))</f>
        <v>0</v>
      </c>
      <c r="H26" s="272" t="b">
        <f>OR(SelectionsTable[[#This Row],[Conversion]]=SelectedConversion,AND(SelectedConversion&lt;&gt;"(Multiple Items)",SelectedConversion&lt;&gt;"(All)",SelectionsTable[[#This Row],[Conversion]]="All"))</f>
        <v>1</v>
      </c>
      <c r="I26" s="272" t="b">
        <f>OR(SelectionsTable[[#This Row],[Data Set]]=SelectedDataSet,AND(SelectedDataSet&lt;&gt;"(Multiple Items)",SelectedDataSet&lt;&gt;"(All)",SelectionsTable[[#This Row],[Data Set]]="All"))</f>
        <v>1</v>
      </c>
      <c r="J26" s="272" t="b">
        <f>OR(SelectionsTable[[#This Row],[Technology]]=SelectedTechnology,AND(SelectedTechnology&lt;&gt;"(Multiple Items)",SelectedTechnology&lt;&gt;"(All)",SelectionsTable[[#This Row],[Technology]]="All"))</f>
        <v>1</v>
      </c>
      <c r="K26" s="272" t="b">
        <f>OR(SelectionsTable[[#This Row],[Data Source]]=SelectedDataSource,AND(SelectedDataSource&lt;&gt;"(Multiple Items)",SelectedDataSource&lt;&gt;"(All)",SelectionsTable[[#This Row],[Data Source]]="All"))</f>
        <v>1</v>
      </c>
      <c r="L26" s="272" t="b">
        <f ca="1">VALUE($R$24)=4</f>
        <v>0</v>
      </c>
      <c r="M26" s="160" t="b">
        <f>SelectionsTable[[#This Row],[GREET1 Location]]&lt;&gt;""</f>
        <v>1</v>
      </c>
      <c r="N26" s="160" t="b">
        <f ca="1">AND(SelectionsTable[[#This Row],[Show Feedstock]:[Conditional to Show]])</f>
        <v>0</v>
      </c>
      <c r="O26" s="160" t="s">
        <v>1686</v>
      </c>
      <c r="P26" s="160" t="s">
        <v>1706</v>
      </c>
      <c r="Q26" s="160" t="s">
        <v>1743</v>
      </c>
      <c r="R26" s="262" cm="1">
        <f t="array" aca="1" ref="R26" ca="1">IF(AND(NOT(RefreshDefaults),NOT(SelectionsResetting)),VALUE(IFERROR(INDEX(Selection_UD, MATCH(SelectionsTable[[#This Row],[ID]], Selection_ID, 0)),SelectionsTable[[#This Row],[Default Value]])),VALUE(SelectionsTable[[#This Row],[Default Value]]))</f>
        <v>0</v>
      </c>
      <c r="S26" s="263">
        <v>0</v>
      </c>
      <c r="T26" s="264">
        <f ca="1">SelectionsTable[[#This Row],[Input Value]]</f>
        <v>0</v>
      </c>
      <c r="U26" s="162" t="s">
        <v>1458</v>
      </c>
      <c r="X26" s="310"/>
    </row>
    <row r="27" spans="1:24" x14ac:dyDescent="0.3">
      <c r="A27"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CornAllAllAllAll_Share_RNG_Animal_Heat_Corn_Ethanol</v>
      </c>
      <c r="B27" s="261" t="s">
        <v>136</v>
      </c>
      <c r="C27" s="160" t="s">
        <v>435</v>
      </c>
      <c r="D27" s="160" t="s">
        <v>435</v>
      </c>
      <c r="E27" s="160" t="s">
        <v>435</v>
      </c>
      <c r="F27" s="48" t="s">
        <v>435</v>
      </c>
      <c r="G27" s="272" t="b" cm="1">
        <f t="array" ref="G27">OR(NOT(ISERROR(MATCH(TRIM(_xlfn.TEXTSPLIT(SelectionsTable[[#This Row],[Feedstock]],",")),SelectedFeedstock,0))),AND(SelectedFeedstock&lt;&gt;"(Multiple Items)",SelectedFeedstock&lt;&gt;"(All)",SelectionsTable[[#This Row],[Feedstock]]="All"))</f>
        <v>0</v>
      </c>
      <c r="H27" s="272" t="b">
        <f>OR(SelectionsTable[[#This Row],[Conversion]]=SelectedConversion,AND(SelectedConversion&lt;&gt;"(Multiple Items)",SelectedConversion&lt;&gt;"(All)",SelectionsTable[[#This Row],[Conversion]]="All"))</f>
        <v>1</v>
      </c>
      <c r="I27" s="272" t="b">
        <f>OR(SelectionsTable[[#This Row],[Data Set]]=SelectedDataSet,AND(SelectedDataSet&lt;&gt;"(Multiple Items)",SelectedDataSet&lt;&gt;"(All)",SelectionsTable[[#This Row],[Data Set]]="All"))</f>
        <v>1</v>
      </c>
      <c r="J27" s="272" t="b">
        <f>OR(SelectionsTable[[#This Row],[Technology]]=SelectedTechnology,AND(SelectedTechnology&lt;&gt;"(Multiple Items)",SelectedTechnology&lt;&gt;"(All)",SelectionsTable[[#This Row],[Technology]]="All"))</f>
        <v>1</v>
      </c>
      <c r="K27" s="272" t="b">
        <f>OR(SelectionsTable[[#This Row],[Data Source]]=SelectedDataSource,AND(SelectedDataSource&lt;&gt;"(Multiple Items)",SelectedDataSource&lt;&gt;"(All)",SelectionsTable[[#This Row],[Data Source]]="All"))</f>
        <v>1</v>
      </c>
      <c r="L27" s="272" t="b">
        <f t="shared" ref="L27:L29" ca="1" si="2">VALUE($R$24)=7</f>
        <v>0</v>
      </c>
      <c r="M27" s="160" t="b">
        <f>SelectionsTable[[#This Row],[GREET1 Location]]&lt;&gt;""</f>
        <v>1</v>
      </c>
      <c r="N27" s="160" t="b">
        <f ca="1">AND(SelectionsTable[[#This Row],[Show Feedstock]:[Conditional to Show]])</f>
        <v>0</v>
      </c>
      <c r="O27" s="160" t="s">
        <v>1687</v>
      </c>
      <c r="P27" s="160" t="s">
        <v>1706</v>
      </c>
      <c r="Q27" s="160" t="s">
        <v>1744</v>
      </c>
      <c r="R27" s="262" cm="1">
        <f t="array" aca="1" ref="R27" ca="1">IF(AND(NOT(RefreshDefaults),NOT(SelectionsResetting)),VALUE(IFERROR(INDEX(Selection_UD, MATCH(SelectionsTable[[#This Row],[ID]], Selection_ID, 0)),SelectionsTable[[#This Row],[Default Value]])),VALUE(SelectionsTable[[#This Row],[Default Value]]))</f>
        <v>0</v>
      </c>
      <c r="S27" s="263">
        <v>0</v>
      </c>
      <c r="T27" s="264">
        <f ca="1">SelectionsTable[[#This Row],[Input Value]]</f>
        <v>0</v>
      </c>
      <c r="U27" s="162" t="s">
        <v>1458</v>
      </c>
      <c r="X27" s="310"/>
    </row>
    <row r="28" spans="1:24" x14ac:dyDescent="0.3">
      <c r="A28"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CornAllAllAllAll_Share_RNG_Sludge_Heat_Corn_Ethanol</v>
      </c>
      <c r="B28" s="261" t="s">
        <v>136</v>
      </c>
      <c r="C28" s="160" t="s">
        <v>435</v>
      </c>
      <c r="D28" s="160" t="s">
        <v>435</v>
      </c>
      <c r="E28" s="160" t="s">
        <v>435</v>
      </c>
      <c r="F28" s="48" t="s">
        <v>435</v>
      </c>
      <c r="G28" s="272" t="b" cm="1">
        <f t="array" ref="G28">OR(NOT(ISERROR(MATCH(TRIM(_xlfn.TEXTSPLIT(SelectionsTable[[#This Row],[Feedstock]],",")),SelectedFeedstock,0))),AND(SelectedFeedstock&lt;&gt;"(Multiple Items)",SelectedFeedstock&lt;&gt;"(All)",SelectionsTable[[#This Row],[Feedstock]]="All"))</f>
        <v>0</v>
      </c>
      <c r="H28" s="272" t="b">
        <f>OR(SelectionsTable[[#This Row],[Conversion]]=SelectedConversion,AND(SelectedConversion&lt;&gt;"(Multiple Items)",SelectedConversion&lt;&gt;"(All)",SelectionsTable[[#This Row],[Conversion]]="All"))</f>
        <v>1</v>
      </c>
      <c r="I28" s="272" t="b">
        <f>OR(SelectionsTable[[#This Row],[Data Set]]=SelectedDataSet,AND(SelectedDataSet&lt;&gt;"(Multiple Items)",SelectedDataSet&lt;&gt;"(All)",SelectionsTable[[#This Row],[Data Set]]="All"))</f>
        <v>1</v>
      </c>
      <c r="J28" s="272" t="b">
        <f>OR(SelectionsTable[[#This Row],[Technology]]=SelectedTechnology,AND(SelectedTechnology&lt;&gt;"(Multiple Items)",SelectedTechnology&lt;&gt;"(All)",SelectionsTable[[#This Row],[Technology]]="All"))</f>
        <v>1</v>
      </c>
      <c r="K28" s="272" t="b">
        <f>OR(SelectionsTable[[#This Row],[Data Source]]=SelectedDataSource,AND(SelectedDataSource&lt;&gt;"(Multiple Items)",SelectedDataSource&lt;&gt;"(All)",SelectionsTable[[#This Row],[Data Source]]="All"))</f>
        <v>1</v>
      </c>
      <c r="L28" s="272" t="b">
        <f t="shared" ca="1" si="2"/>
        <v>0</v>
      </c>
      <c r="M28" s="160" t="b">
        <f>SelectionsTable[[#This Row],[GREET1 Location]]&lt;&gt;""</f>
        <v>1</v>
      </c>
      <c r="N28" s="160" t="b">
        <f ca="1">AND(SelectionsTable[[#This Row],[Show Feedstock]:[Conditional to Show]])</f>
        <v>0</v>
      </c>
      <c r="O28" s="160" t="s">
        <v>1688</v>
      </c>
      <c r="P28" s="160" t="s">
        <v>1706</v>
      </c>
      <c r="Q28" s="160" t="s">
        <v>1745</v>
      </c>
      <c r="R28" s="262" cm="1">
        <f t="array" aca="1" ref="R28" ca="1">IF(AND(NOT(RefreshDefaults),NOT(SelectionsResetting)),VALUE(IFERROR(INDEX(Selection_UD, MATCH(SelectionsTable[[#This Row],[ID]], Selection_ID, 0)),SelectionsTable[[#This Row],[Default Value]])),VALUE(SelectionsTable[[#This Row],[Default Value]]))</f>
        <v>0</v>
      </c>
      <c r="S28" s="263">
        <v>0</v>
      </c>
      <c r="T28" s="264">
        <f ca="1">SelectionsTable[[#This Row],[Input Value]]</f>
        <v>0</v>
      </c>
      <c r="U28" s="162" t="s">
        <v>1458</v>
      </c>
      <c r="X28" s="310"/>
    </row>
    <row r="29" spans="1:24" x14ac:dyDescent="0.3">
      <c r="A29"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CornAllAllAllAll_Share_RNG_Food_Heat_Corn_Ethanol</v>
      </c>
      <c r="B29" s="261" t="s">
        <v>136</v>
      </c>
      <c r="C29" s="160" t="s">
        <v>435</v>
      </c>
      <c r="D29" s="160" t="s">
        <v>435</v>
      </c>
      <c r="E29" s="160" t="s">
        <v>435</v>
      </c>
      <c r="F29" s="48" t="s">
        <v>435</v>
      </c>
      <c r="G29" s="272" t="b" cm="1">
        <f t="array" ref="G29">OR(NOT(ISERROR(MATCH(TRIM(_xlfn.TEXTSPLIT(SelectionsTable[[#This Row],[Feedstock]],",")),SelectedFeedstock,0))),AND(SelectedFeedstock&lt;&gt;"(Multiple Items)",SelectedFeedstock&lt;&gt;"(All)",SelectionsTable[[#This Row],[Feedstock]]="All"))</f>
        <v>0</v>
      </c>
      <c r="H29" s="272" t="b">
        <f>OR(SelectionsTable[[#This Row],[Conversion]]=SelectedConversion,AND(SelectedConversion&lt;&gt;"(Multiple Items)",SelectedConversion&lt;&gt;"(All)",SelectionsTable[[#This Row],[Conversion]]="All"))</f>
        <v>1</v>
      </c>
      <c r="I29" s="272" t="b">
        <f>OR(SelectionsTable[[#This Row],[Data Set]]=SelectedDataSet,AND(SelectedDataSet&lt;&gt;"(Multiple Items)",SelectedDataSet&lt;&gt;"(All)",SelectionsTable[[#This Row],[Data Set]]="All"))</f>
        <v>1</v>
      </c>
      <c r="J29" s="272" t="b">
        <f>OR(SelectionsTable[[#This Row],[Technology]]=SelectedTechnology,AND(SelectedTechnology&lt;&gt;"(Multiple Items)",SelectedTechnology&lt;&gt;"(All)",SelectionsTable[[#This Row],[Technology]]="All"))</f>
        <v>1</v>
      </c>
      <c r="K29" s="272" t="b">
        <f>OR(SelectionsTable[[#This Row],[Data Source]]=SelectedDataSource,AND(SelectedDataSource&lt;&gt;"(Multiple Items)",SelectedDataSource&lt;&gt;"(All)",SelectionsTable[[#This Row],[Data Source]]="All"))</f>
        <v>1</v>
      </c>
      <c r="L29" s="272" t="b">
        <f t="shared" ca="1" si="2"/>
        <v>0</v>
      </c>
      <c r="M29" s="160" t="b">
        <f>SelectionsTable[[#This Row],[GREET1 Location]]&lt;&gt;""</f>
        <v>1</v>
      </c>
      <c r="N29" s="160" t="b">
        <f ca="1">AND(SelectionsTable[[#This Row],[Show Feedstock]:[Conditional to Show]])</f>
        <v>0</v>
      </c>
      <c r="O29" s="160" t="s">
        <v>1689</v>
      </c>
      <c r="P29" s="160" t="s">
        <v>1706</v>
      </c>
      <c r="Q29" s="160" t="s">
        <v>1746</v>
      </c>
      <c r="R29" s="262" cm="1">
        <f t="array" aca="1" ref="R29" ca="1">IF(AND(NOT(RefreshDefaults),NOT(SelectionsResetting)),VALUE(IFERROR(INDEX(Selection_UD, MATCH(SelectionsTable[[#This Row],[ID]], Selection_ID, 0)),SelectionsTable[[#This Row],[Default Value]])),VALUE(SelectionsTable[[#This Row],[Default Value]]))</f>
        <v>0</v>
      </c>
      <c r="S29" s="263">
        <v>0</v>
      </c>
      <c r="T29" s="264">
        <f ca="1">SelectionsTable[[#This Row],[Input Value]]</f>
        <v>0</v>
      </c>
      <c r="U29" s="162" t="s">
        <v>1458</v>
      </c>
      <c r="X29" s="310"/>
    </row>
    <row r="30" spans="1:24" x14ac:dyDescent="0.3">
      <c r="A30"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CornAllAllAllAll_Share_Certified_RNG_Corn_Ethanol</v>
      </c>
      <c r="B30" s="261" t="s">
        <v>136</v>
      </c>
      <c r="C30" s="160" t="s">
        <v>435</v>
      </c>
      <c r="D30" s="160" t="s">
        <v>435</v>
      </c>
      <c r="E30" s="160" t="s">
        <v>435</v>
      </c>
      <c r="F30" s="48" t="s">
        <v>435</v>
      </c>
      <c r="G30" s="272" t="b" cm="1">
        <f t="array" ref="G30">OR(NOT(ISERROR(MATCH(TRIM(_xlfn.TEXTSPLIT(SelectionsTable[[#This Row],[Feedstock]],",")),SelectedFeedstock,0))),AND(SelectedFeedstock&lt;&gt;"(Multiple Items)",SelectedFeedstock&lt;&gt;"(All)",SelectionsTable[[#This Row],[Feedstock]]="All"))</f>
        <v>0</v>
      </c>
      <c r="H30" s="272" t="b">
        <f>OR(SelectionsTable[[#This Row],[Conversion]]=SelectedConversion,AND(SelectedConversion&lt;&gt;"(Multiple Items)",SelectedConversion&lt;&gt;"(All)",SelectionsTable[[#This Row],[Conversion]]="All"))</f>
        <v>1</v>
      </c>
      <c r="I30" s="272" t="b">
        <f>OR(SelectionsTable[[#This Row],[Data Set]]=SelectedDataSet,AND(SelectedDataSet&lt;&gt;"(Multiple Items)",SelectedDataSet&lt;&gt;"(All)",SelectionsTable[[#This Row],[Data Set]]="All"))</f>
        <v>1</v>
      </c>
      <c r="J30" s="272" t="b">
        <f>OR(SelectionsTable[[#This Row],[Technology]]=SelectedTechnology,AND(SelectedTechnology&lt;&gt;"(Multiple Items)",SelectedTechnology&lt;&gt;"(All)",SelectionsTable[[#This Row],[Technology]]="All"))</f>
        <v>1</v>
      </c>
      <c r="K30" s="272" t="b">
        <f>OR(SelectionsTable[[#This Row],[Data Source]]=SelectedDataSource,AND(SelectedDataSource&lt;&gt;"(Multiple Items)",SelectedDataSource&lt;&gt;"(All)",SelectionsTable[[#This Row],[Data Source]]="All"))</f>
        <v>1</v>
      </c>
      <c r="L30" s="272" t="b">
        <f ca="1">VALUE($R$24)=4</f>
        <v>0</v>
      </c>
      <c r="M30" s="160" t="b">
        <f>SelectionsTable[[#This Row],[GREET1 Location]]&lt;&gt;""</f>
        <v>1</v>
      </c>
      <c r="N30" s="160" t="b">
        <f ca="1">AND(SelectionsTable[[#This Row],[Show Feedstock]:[Conditional to Show]])</f>
        <v>0</v>
      </c>
      <c r="O30" s="160" t="s">
        <v>1718</v>
      </c>
      <c r="P30" s="160" t="s">
        <v>1706</v>
      </c>
      <c r="Q30" s="160" t="s">
        <v>1747</v>
      </c>
      <c r="R30" s="262" cm="1">
        <f t="array" aca="1" ref="R30" ca="1">IF(AND(NOT(RefreshDefaults),NOT(SelectionsResetting)),VALUE(IFERROR(INDEX(Selection_UD, MATCH(SelectionsTable[[#This Row],[ID]], Selection_ID, 0)),SelectionsTable[[#This Row],[Default Value]])),VALUE(SelectionsTable[[#This Row],[Default Value]]))</f>
        <v>0</v>
      </c>
      <c r="S30" s="263">
        <v>0</v>
      </c>
      <c r="T30" s="264">
        <f ca="1">SelectionsTable[[#This Row],[Input Value]]</f>
        <v>0</v>
      </c>
      <c r="U30" s="162" t="s">
        <v>1458</v>
      </c>
      <c r="X30" s="310"/>
    </row>
    <row r="31" spans="1:24" x14ac:dyDescent="0.3">
      <c r="A31"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CornAllAllAllAll_Ethanol_Certified_RNG_CI</v>
      </c>
      <c r="B31" s="261" t="s">
        <v>136</v>
      </c>
      <c r="C31" s="261" t="s">
        <v>435</v>
      </c>
      <c r="D31" s="261" t="s">
        <v>435</v>
      </c>
      <c r="E31" s="184" t="s">
        <v>435</v>
      </c>
      <c r="F31" s="184" t="s">
        <v>435</v>
      </c>
      <c r="G31" s="273" t="b" cm="1">
        <f t="array" ref="G31">OR(NOT(ISERROR(MATCH(TRIM(_xlfn.TEXTSPLIT(SelectionsTable[[#This Row],[Feedstock]],",")),SelectedFeedstock,0))),AND(SelectedFeedstock&lt;&gt;"(Multiple Items)",SelectedFeedstock&lt;&gt;"(All)",SelectionsTable[[#This Row],[Feedstock]]="All"))</f>
        <v>0</v>
      </c>
      <c r="H31" s="273" t="b">
        <f>OR(SelectionsTable[[#This Row],[Conversion]]=SelectedConversion,AND(SelectedConversion&lt;&gt;"(Multiple Items)",SelectedConversion&lt;&gt;"(All)",SelectionsTable[[#This Row],[Conversion]]="All"))</f>
        <v>1</v>
      </c>
      <c r="I31" s="273" t="b">
        <f>OR(SelectionsTable[[#This Row],[Data Set]]=SelectedDataSet,AND(SelectedDataSet&lt;&gt;"(Multiple Items)",SelectedDataSet&lt;&gt;"(All)",SelectionsTable[[#This Row],[Data Set]]="All"))</f>
        <v>1</v>
      </c>
      <c r="J31" s="273" t="b">
        <f>OR(SelectionsTable[[#This Row],[Technology]]=SelectedTechnology,AND(SelectedTechnology&lt;&gt;"(Multiple Items)",SelectedTechnology&lt;&gt;"(All)",SelectionsTable[[#This Row],[Technology]]="All"))</f>
        <v>1</v>
      </c>
      <c r="K31" s="273" t="b">
        <f>OR(SelectionsTable[[#This Row],[Data Source]]=SelectedDataSource,AND(SelectedDataSource&lt;&gt;"(Multiple Items)",SelectedDataSource&lt;&gt;"(All)",SelectionsTable[[#This Row],[Data Source]]="All"))</f>
        <v>1</v>
      </c>
      <c r="L31" s="273" t="b">
        <f ca="1">OR(VALUE($R$24)=4, VALUE($R$24)=3)</f>
        <v>0</v>
      </c>
      <c r="M31" s="261" t="b">
        <f>SelectionsTable[[#This Row],[GREET1 Location]]&lt;&gt;""</f>
        <v>1</v>
      </c>
      <c r="N31" s="261" t="b">
        <f ca="1">AND(SelectionsTable[[#This Row],[Show Feedstock]:[Conditional to Show]])</f>
        <v>0</v>
      </c>
      <c r="O31" s="261" t="s">
        <v>1649</v>
      </c>
      <c r="P31" s="261" t="s">
        <v>1706</v>
      </c>
      <c r="Q31" s="264" t="s">
        <v>1748</v>
      </c>
      <c r="R31" s="266" cm="1">
        <f t="array" aca="1" ref="R31" ca="1">IF(AND(NOT(RefreshDefaults),NOT(SelectionsResetting)),VALUE(IFERROR(INDEX(Selection_UD, MATCH(SelectionsTable[[#This Row],[ID]], Selection_ID, 0)),SelectionsTable[[#This Row],[Default Value]])),VALUE(SelectionsTable[[#This Row],[Default Value]]))</f>
        <v>30</v>
      </c>
      <c r="S31" s="263">
        <v>30</v>
      </c>
      <c r="T31" s="264">
        <f ca="1">SelectionsTable[[#This Row],[Input Value]]/MJ2mmBTU</f>
        <v>31651.675500000001</v>
      </c>
      <c r="U31" s="162" t="s">
        <v>174</v>
      </c>
      <c r="X31" s="310"/>
    </row>
    <row r="32" spans="1:24" x14ac:dyDescent="0.3">
      <c r="A32"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CornAllAllAllAll_Corn_Ethanol_CCS</v>
      </c>
      <c r="B32" s="261" t="s">
        <v>136</v>
      </c>
      <c r="C32" s="48" t="s">
        <v>435</v>
      </c>
      <c r="D32" s="48" t="s">
        <v>435</v>
      </c>
      <c r="E32" s="48" t="s">
        <v>435</v>
      </c>
      <c r="F32" s="48" t="s">
        <v>435</v>
      </c>
      <c r="G32" s="273" t="b" cm="1">
        <f t="array" ref="G32">OR(NOT(ISERROR(MATCH(TRIM(_xlfn.TEXTSPLIT(SelectionsTable[[#This Row],[Feedstock]],",")),SelectedFeedstock,0))),AND(SelectedFeedstock&lt;&gt;"(Multiple Items)",SelectedFeedstock&lt;&gt;"(All)",SelectionsTable[[#This Row],[Feedstock]]="All"))</f>
        <v>0</v>
      </c>
      <c r="H32" s="273" t="b">
        <f>OR(SelectionsTable[[#This Row],[Conversion]]=SelectedConversion,AND(SelectedConversion&lt;&gt;"(Multiple Items)",SelectedConversion&lt;&gt;"(All)",SelectionsTable[[#This Row],[Conversion]]="All"))</f>
        <v>1</v>
      </c>
      <c r="I32" s="273" t="b">
        <f>OR(SelectionsTable[[#This Row],[Data Set]]=SelectedDataSet,AND(SelectedDataSet&lt;&gt;"(Multiple Items)",SelectedDataSet&lt;&gt;"(All)",SelectionsTable[[#This Row],[Data Set]]="All"))</f>
        <v>1</v>
      </c>
      <c r="J32" s="273" t="b">
        <f>OR(SelectionsTable[[#This Row],[Technology]]=SelectedTechnology,AND(SelectedTechnology&lt;&gt;"(Multiple Items)",SelectedTechnology&lt;&gt;"(All)",SelectionsTable[[#This Row],[Technology]]="All"))</f>
        <v>1</v>
      </c>
      <c r="K32" s="273" t="b">
        <f>OR(SelectionsTable[[#This Row],[Data Source]]=SelectedDataSource,AND(SelectedDataSource&lt;&gt;"(Multiple Items)",SelectedDataSource&lt;&gt;"(All)",SelectionsTable[[#This Row],[Data Source]]="All"))</f>
        <v>1</v>
      </c>
      <c r="L32" s="273" t="b">
        <v>0</v>
      </c>
      <c r="M32" s="261" t="b">
        <f>SelectionsTable[[#This Row],[GREET1 Location]]&lt;&gt;""</f>
        <v>1</v>
      </c>
      <c r="N32" s="261" t="b">
        <f>AND(SelectionsTable[[#This Row],[Show Feedstock]:[Conditional to Show]])</f>
        <v>0</v>
      </c>
      <c r="O32" s="261" t="s">
        <v>1494</v>
      </c>
      <c r="P32" s="261" t="s">
        <v>1449</v>
      </c>
      <c r="Q32" s="261" t="s">
        <v>1749</v>
      </c>
      <c r="R32" s="267" cm="1">
        <f t="array" aca="1" ref="R32" ca="1">IF(AND(NOT(RefreshDefaults),NOT(SelectionsResetting)),VALUE(IFERROR(INDEX(Selection_UD, MATCH(SelectionsTable[[#This Row],[ID]], Selection_ID, 0)),SelectionsTable[[#This Row],[Default Value]])),VALUE(SelectionsTable[[#This Row],[Default Value]]))</f>
        <v>1</v>
      </c>
      <c r="S32" s="263">
        <v>1</v>
      </c>
      <c r="T32" s="264">
        <f ca="1">SelectionsTable[[#This Row],[Input Value]]</f>
        <v>1</v>
      </c>
      <c r="U32" s="162" t="s">
        <v>904</v>
      </c>
      <c r="V32">
        <v>1</v>
      </c>
      <c r="W32">
        <v>2</v>
      </c>
      <c r="X32" s="311" t="s">
        <v>1456</v>
      </c>
    </row>
    <row r="33" spans="1:24" x14ac:dyDescent="0.3">
      <c r="A33"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CornAllAllAllAll_Corn_Ethanol_CCS_Fermentation_CO2</v>
      </c>
      <c r="B33" s="261" t="s">
        <v>136</v>
      </c>
      <c r="C33" s="48" t="s">
        <v>435</v>
      </c>
      <c r="D33" s="48" t="s">
        <v>435</v>
      </c>
      <c r="E33" s="48" t="s">
        <v>435</v>
      </c>
      <c r="F33" s="48" t="s">
        <v>435</v>
      </c>
      <c r="G33" s="273" t="b" cm="1">
        <f t="array" ref="G33">OR(NOT(ISERROR(MATCH(TRIM(_xlfn.TEXTSPLIT(SelectionsTable[[#This Row],[Feedstock]],",")),SelectedFeedstock,0))),AND(SelectedFeedstock&lt;&gt;"(Multiple Items)",SelectedFeedstock&lt;&gt;"(All)",SelectionsTable[[#This Row],[Feedstock]]="All"))</f>
        <v>0</v>
      </c>
      <c r="H33" s="273" t="b">
        <f>OR(SelectionsTable[[#This Row],[Conversion]]=SelectedConversion,AND(SelectedConversion&lt;&gt;"(Multiple Items)",SelectedConversion&lt;&gt;"(All)",SelectionsTable[[#This Row],[Conversion]]="All"))</f>
        <v>1</v>
      </c>
      <c r="I33" s="273" t="b">
        <f>OR(SelectionsTable[[#This Row],[Data Set]]=SelectedDataSet,AND(SelectedDataSet&lt;&gt;"(Multiple Items)",SelectedDataSet&lt;&gt;"(All)",SelectionsTable[[#This Row],[Data Set]]="All"))</f>
        <v>1</v>
      </c>
      <c r="J33" s="273" t="b">
        <f>OR(SelectionsTable[[#This Row],[Technology]]=SelectedTechnology,AND(SelectedTechnology&lt;&gt;"(Multiple Items)",SelectedTechnology&lt;&gt;"(All)",SelectionsTable[[#This Row],[Technology]]="All"))</f>
        <v>1</v>
      </c>
      <c r="K33" s="273" t="b">
        <f>OR(SelectionsTable[[#This Row],[Data Source]]=SelectedDataSource,AND(SelectedDataSource&lt;&gt;"(Multiple Items)",SelectedDataSource&lt;&gt;"(All)",SelectionsTable[[#This Row],[Data Source]]="All"))</f>
        <v>1</v>
      </c>
      <c r="L33" s="273" t="b">
        <f ca="1">VALUE(R$32)=2</f>
        <v>0</v>
      </c>
      <c r="M33" s="261" t="b">
        <f>SelectionsTable[[#This Row],[GREET1 Location]]&lt;&gt;""</f>
        <v>1</v>
      </c>
      <c r="N33" s="264" t="b">
        <f ca="1">AND(SelectionsTable[[#This Row],[Show Feedstock]:[Conditional to Show]])</f>
        <v>0</v>
      </c>
      <c r="O33" s="264" t="s">
        <v>1495</v>
      </c>
      <c r="P33" s="264" t="s">
        <v>1449</v>
      </c>
      <c r="Q33" s="264" t="s">
        <v>1750</v>
      </c>
      <c r="R33" s="266" cm="1">
        <f t="array" aca="1" ref="R33" ca="1">IF(AND(NOT(RefreshDefaults),NOT(SelectionsResetting)),VALUE(IFERROR(INDEX(Selection_UD, MATCH(SelectionsTable[[#This Row],[ID]], Selection_ID, 0)),SelectionsTable[[#This Row],[Default Value]])),VALUE(SelectionsTable[[#This Row],[Default Value]]))</f>
        <v>2.8543928803993923</v>
      </c>
      <c r="S33" s="263">
        <v>2.8543928803993923</v>
      </c>
      <c r="T33" s="264">
        <f ca="1">SelectionsTable[[#This Row],[Input Value]]</f>
        <v>2.8543928803993923</v>
      </c>
      <c r="U33" s="162" t="s">
        <v>174</v>
      </c>
    </row>
    <row r="34" spans="1:24" x14ac:dyDescent="0.3">
      <c r="A34"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CornAllAllAllAll_Corn_Ethanol_CCS_Electricity</v>
      </c>
      <c r="B34" s="261" t="s">
        <v>136</v>
      </c>
      <c r="C34" s="48" t="s">
        <v>435</v>
      </c>
      <c r="D34" s="48" t="s">
        <v>435</v>
      </c>
      <c r="E34" s="48" t="s">
        <v>435</v>
      </c>
      <c r="F34" s="48" t="s">
        <v>435</v>
      </c>
      <c r="G34" s="272" t="b" cm="1">
        <f t="array" ref="G34">OR(NOT(ISERROR(MATCH(TRIM(_xlfn.TEXTSPLIT(SelectionsTable[[#This Row],[Feedstock]],",")),SelectedFeedstock,0))),AND(SelectedFeedstock&lt;&gt;"(Multiple Items)",SelectedFeedstock&lt;&gt;"(All)",SelectionsTable[[#This Row],[Feedstock]]="All"))</f>
        <v>0</v>
      </c>
      <c r="H34" s="272" t="b">
        <f>OR(SelectionsTable[[#This Row],[Conversion]]=SelectedConversion,AND(SelectedConversion&lt;&gt;"(Multiple Items)",SelectedConversion&lt;&gt;"(All)",SelectionsTable[[#This Row],[Conversion]]="All"))</f>
        <v>1</v>
      </c>
      <c r="I34" s="272" t="b">
        <f>OR(SelectionsTable[[#This Row],[Data Set]]=SelectedDataSet,AND(SelectedDataSet&lt;&gt;"(Multiple Items)",SelectedDataSet&lt;&gt;"(All)",SelectionsTable[[#This Row],[Data Set]]="All"))</f>
        <v>1</v>
      </c>
      <c r="J34" s="272" t="b">
        <f>OR(SelectionsTable[[#This Row],[Technology]]=SelectedTechnology,AND(SelectedTechnology&lt;&gt;"(Multiple Items)",SelectedTechnology&lt;&gt;"(All)",SelectionsTable[[#This Row],[Technology]]="All"))</f>
        <v>1</v>
      </c>
      <c r="K34" s="272" t="b">
        <f>OR(SelectionsTable[[#This Row],[Data Source]]=SelectedDataSource,AND(SelectedDataSource&lt;&gt;"(Multiple Items)",SelectedDataSource&lt;&gt;"(All)",SelectionsTable[[#This Row],[Data Source]]="All"))</f>
        <v>1</v>
      </c>
      <c r="L34" s="273" t="b">
        <f ca="1">VALUE(R$32)=2</f>
        <v>0</v>
      </c>
      <c r="M34" s="261" t="b">
        <f>SelectionsTable[[#This Row],[GREET1 Location]]&lt;&gt;""</f>
        <v>1</v>
      </c>
      <c r="N34" s="264" t="b">
        <f ca="1">AND(SelectionsTable[[#This Row],[Show Feedstock]:[Conditional to Show]])</f>
        <v>0</v>
      </c>
      <c r="O34" s="264" t="s">
        <v>1496</v>
      </c>
      <c r="P34" s="264" t="s">
        <v>1449</v>
      </c>
      <c r="Q34" s="264" t="s">
        <v>1751</v>
      </c>
      <c r="R34" s="266" cm="1">
        <f t="array" aca="1" ref="R34" ca="1">IF(AND(NOT(RefreshDefaults),NOT(SelectionsResetting)),VALUE(IFERROR(INDEX(Selection_UD, MATCH(SelectionsTable[[#This Row],[ID]], Selection_ID, 0)),SelectionsTable[[#This Row],[Default Value]])),VALUE(SelectionsTable[[#This Row],[Default Value]]))</f>
        <v>180</v>
      </c>
      <c r="S34" s="263">
        <v>180</v>
      </c>
      <c r="T34" s="264">
        <f ca="1">SelectionsTable[[#This Row],[Input Value]]</f>
        <v>180</v>
      </c>
      <c r="U34" s="161" t="s">
        <v>174</v>
      </c>
    </row>
    <row r="35" spans="1:24" x14ac:dyDescent="0.3">
      <c r="A35"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CornAllAllAllAll_Corn_Ethanol_CCS_CaptureRate</v>
      </c>
      <c r="B35" s="261" t="s">
        <v>136</v>
      </c>
      <c r="C35" s="48" t="s">
        <v>435</v>
      </c>
      <c r="D35" s="48" t="s">
        <v>435</v>
      </c>
      <c r="E35" s="48" t="s">
        <v>435</v>
      </c>
      <c r="F35" s="48" t="s">
        <v>435</v>
      </c>
      <c r="G35" s="272" t="b" cm="1">
        <f t="array" ref="G35">OR(NOT(ISERROR(MATCH(TRIM(_xlfn.TEXTSPLIT(SelectionsTable[[#This Row],[Feedstock]],",")),SelectedFeedstock,0))),AND(SelectedFeedstock&lt;&gt;"(Multiple Items)",SelectedFeedstock&lt;&gt;"(All)",SelectionsTable[[#This Row],[Feedstock]]="All"))</f>
        <v>0</v>
      </c>
      <c r="H35" s="272" t="b">
        <f>OR(SelectionsTable[[#This Row],[Conversion]]=SelectedConversion,AND(SelectedConversion&lt;&gt;"(Multiple Items)",SelectedConversion&lt;&gt;"(All)",SelectionsTable[[#This Row],[Conversion]]="All"))</f>
        <v>1</v>
      </c>
      <c r="I35" s="272" t="b">
        <f>OR(SelectionsTable[[#This Row],[Data Set]]=SelectedDataSet,AND(SelectedDataSet&lt;&gt;"(Multiple Items)",SelectedDataSet&lt;&gt;"(All)",SelectionsTable[[#This Row],[Data Set]]="All"))</f>
        <v>1</v>
      </c>
      <c r="J35" s="272" t="b">
        <f>OR(SelectionsTable[[#This Row],[Technology]]=SelectedTechnology,AND(SelectedTechnology&lt;&gt;"(Multiple Items)",SelectedTechnology&lt;&gt;"(All)",SelectionsTable[[#This Row],[Technology]]="All"))</f>
        <v>1</v>
      </c>
      <c r="K35" s="272" t="b">
        <f>OR(SelectionsTable[[#This Row],[Data Source]]=SelectedDataSource,AND(SelectedDataSource&lt;&gt;"(Multiple Items)",SelectedDataSource&lt;&gt;"(All)",SelectionsTable[[#This Row],[Data Source]]="All"))</f>
        <v>1</v>
      </c>
      <c r="L35" s="273" t="b">
        <f ca="1">VALUE(R$32)=2</f>
        <v>0</v>
      </c>
      <c r="M35" s="261" t="b">
        <f>SelectionsTable[[#This Row],[GREET1 Location]]&lt;&gt;""</f>
        <v>1</v>
      </c>
      <c r="N35" s="264" t="b">
        <f ca="1">AND(SelectionsTable[[#This Row],[Show Feedstock]:[Conditional to Show]])</f>
        <v>0</v>
      </c>
      <c r="O35" s="264" t="s">
        <v>1497</v>
      </c>
      <c r="P35" s="264" t="s">
        <v>1449</v>
      </c>
      <c r="Q35" s="264" t="s">
        <v>1752</v>
      </c>
      <c r="R35" s="266" cm="1">
        <f t="array" aca="1" ref="R35" ca="1">IF(AND(NOT(RefreshDefaults),NOT(SelectionsResetting)),VALUE(IFERROR(INDEX(Selection_UD, MATCH(SelectionsTable[[#This Row],[ID]], Selection_ID, 0)),SelectionsTable[[#This Row],[Default Value]])),VALUE(SelectionsTable[[#This Row],[Default Value]]))</f>
        <v>0.97499999999999998</v>
      </c>
      <c r="S35" s="263">
        <v>0.97499999999999998</v>
      </c>
      <c r="T35" s="264">
        <f ca="1">SelectionsTable[[#This Row],[Input Value]]</f>
        <v>0.97499999999999998</v>
      </c>
      <c r="U35" s="161" t="s">
        <v>1458</v>
      </c>
    </row>
    <row r="36" spans="1:24" x14ac:dyDescent="0.3">
      <c r="A36"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AllAllAllAllAll_SAF_Electricity_Source_Option</v>
      </c>
      <c r="B36" s="160" t="s">
        <v>435</v>
      </c>
      <c r="C36" s="160" t="s">
        <v>435</v>
      </c>
      <c r="D36" s="160" t="s">
        <v>435</v>
      </c>
      <c r="E36" s="160" t="s">
        <v>435</v>
      </c>
      <c r="F36" s="48" t="s">
        <v>435</v>
      </c>
      <c r="G36" s="272" t="b" cm="1">
        <f t="array" ref="G36">OR(NOT(ISERROR(MATCH(TRIM(_xlfn.TEXTSPLIT(SelectionsTable[[#This Row],[Feedstock]],",")),SelectedFeedstock,0))),AND(SelectedFeedstock&lt;&gt;"(Multiple Items)",SelectedFeedstock&lt;&gt;"(All)",SelectionsTable[[#This Row],[Feedstock]]="All"))</f>
        <v>1</v>
      </c>
      <c r="H36" s="272" t="b">
        <f>OR(SelectionsTable[[#This Row],[Conversion]]=SelectedConversion,AND(SelectedConversion&lt;&gt;"(Multiple Items)",SelectedConversion&lt;&gt;"(All)",SelectionsTable[[#This Row],[Conversion]]="All"))</f>
        <v>1</v>
      </c>
      <c r="I36" s="272" t="b">
        <f>OR(SelectionsTable[[#This Row],[Data Set]]=SelectedDataSet,AND(SelectedDataSet&lt;&gt;"(Multiple Items)",SelectedDataSet&lt;&gt;"(All)",SelectionsTable[[#This Row],[Data Set]]="All"))</f>
        <v>1</v>
      </c>
      <c r="J36" s="272" t="b">
        <f>OR(SelectionsTable[[#This Row],[Technology]]=SelectedTechnology,AND(SelectedTechnology&lt;&gt;"(Multiple Items)",SelectedTechnology&lt;&gt;"(All)",SelectionsTable[[#This Row],[Technology]]="All"))</f>
        <v>1</v>
      </c>
      <c r="K36" s="272" t="b">
        <f>OR(SelectionsTable[[#This Row],[Data Source]]=SelectedDataSource,AND(SelectedDataSource&lt;&gt;"(Multiple Items)",SelectedDataSource&lt;&gt;"(All)",SelectionsTable[[#This Row],[Data Source]]="All"))</f>
        <v>1</v>
      </c>
      <c r="L36" s="272" t="b">
        <f>TRUE</f>
        <v>1</v>
      </c>
      <c r="M36" s="160" t="b">
        <f>SelectionsTable[[#This Row],[GREET1 Location]]&lt;&gt;""</f>
        <v>1</v>
      </c>
      <c r="N36" s="160" t="b">
        <f>AND(SelectionsTable[[#This Row],[Show Feedstock]:[Conditional to Show]])</f>
        <v>1</v>
      </c>
      <c r="O36" s="160" t="s">
        <v>1491</v>
      </c>
      <c r="P36" s="160" t="s">
        <v>1448</v>
      </c>
      <c r="Q36" s="160" t="s">
        <v>2161</v>
      </c>
      <c r="R36" s="262" cm="1">
        <f t="array" aca="1" ref="R36" ca="1">IF(AND(NOT(RefreshDefaults),NOT(SelectionsResetting)),VALUE(IFERROR(INDEX(Selection_UD, MATCH(SelectionsTable[[#This Row],[ID]], Selection_ID, 0)),SelectionsTable[[#This Row],[Default Value]])),VALUE(SelectionsTable[[#This Row],[Default Value]]))</f>
        <v>1</v>
      </c>
      <c r="S36" s="263">
        <v>1</v>
      </c>
      <c r="T36" s="266">
        <f ca="1">SelectionsTable[[#This Row],[Input Value]]</f>
        <v>1</v>
      </c>
      <c r="U36" s="161" t="s">
        <v>904</v>
      </c>
      <c r="V36">
        <v>1</v>
      </c>
      <c r="W36" s="263">
        <v>27</v>
      </c>
      <c r="X36" s="265" t="s">
        <v>1968</v>
      </c>
    </row>
    <row r="37" spans="1:24" x14ac:dyDescent="0.3">
      <c r="A37"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AllAllAllAllAll_SAF_Electricity_UserDefined_Oil</v>
      </c>
      <c r="B37" s="160" t="s">
        <v>435</v>
      </c>
      <c r="C37" s="160" t="s">
        <v>435</v>
      </c>
      <c r="D37" s="160" t="s">
        <v>435</v>
      </c>
      <c r="E37" s="160" t="s">
        <v>435</v>
      </c>
      <c r="F37" s="48" t="s">
        <v>435</v>
      </c>
      <c r="G37" s="273" t="b" cm="1">
        <f t="array" ref="G37">OR(NOT(ISERROR(MATCH(TRIM(_xlfn.TEXTSPLIT(SelectionsTable[[#This Row],[Feedstock]],",")),SelectedFeedstock,0))),AND(SelectedFeedstock&lt;&gt;"(Multiple Items)",SelectedFeedstock&lt;&gt;"(All)",SelectionsTable[[#This Row],[Feedstock]]="All"))</f>
        <v>1</v>
      </c>
      <c r="H37" s="273" t="b">
        <f>OR(SelectionsTable[[#This Row],[Conversion]]=SelectedConversion,AND(SelectedConversion&lt;&gt;"(Multiple Items)",SelectedConversion&lt;&gt;"(All)",SelectionsTable[[#This Row],[Conversion]]="All"))</f>
        <v>1</v>
      </c>
      <c r="I37" s="273" t="b">
        <f>OR(SelectionsTable[[#This Row],[Data Set]]=SelectedDataSet,AND(SelectedDataSet&lt;&gt;"(Multiple Items)",SelectedDataSet&lt;&gt;"(All)",SelectionsTable[[#This Row],[Data Set]]="All"))</f>
        <v>1</v>
      </c>
      <c r="J37" s="273" t="b">
        <f>OR(SelectionsTable[[#This Row],[Technology]]=SelectedTechnology,AND(SelectedTechnology&lt;&gt;"(Multiple Items)",SelectedTechnology&lt;&gt;"(All)",SelectionsTable[[#This Row],[Technology]]="All"))</f>
        <v>1</v>
      </c>
      <c r="K37" s="273" t="b">
        <f>OR(SelectionsTable[[#This Row],[Data Source]]=SelectedDataSource,AND(SelectedDataSource&lt;&gt;"(Multiple Items)",SelectedDataSource&lt;&gt;"(All)",SelectionsTable[[#This Row],[Data Source]]="All"))</f>
        <v>1</v>
      </c>
      <c r="L37" s="273" t="b">
        <f t="shared" ref="L37:L46" ca="1" si="3">$R$36=28</f>
        <v>0</v>
      </c>
      <c r="M37" s="261" t="b">
        <f>SelectionsTable[[#This Row],[GREET1 Location]]&lt;&gt;""</f>
        <v>1</v>
      </c>
      <c r="N37" s="261" t="b">
        <f ca="1">AND(SelectionsTable[[#This Row],[Show Feedstock]:[Conditional to Show]])</f>
        <v>0</v>
      </c>
      <c r="O37" s="160" t="s">
        <v>1519</v>
      </c>
      <c r="P37" s="261" t="s">
        <v>1469</v>
      </c>
      <c r="Q37" s="261" t="s">
        <v>1753</v>
      </c>
      <c r="R37" s="267" cm="1">
        <f t="array" aca="1" ref="R37" ca="1">IF(AND(NOT(RefreshDefaults),NOT(SelectionsResetting)),VALUE(IFERROR(INDEX(Selection_UD, MATCH(SelectionsTable[[#This Row],[ID]], Selection_ID, 0)),SelectionsTable[[#This Row],[Default Value]])),VALUE(SelectionsTable[[#This Row],[Default Value]]))</f>
        <v>2.582885815863092E-3</v>
      </c>
      <c r="S37" s="263">
        <v>2.582885815863092E-3</v>
      </c>
      <c r="T37" s="264">
        <f ca="1">SelectionsTable[[#This Row],[Input Value]]</f>
        <v>2.582885815863092E-3</v>
      </c>
      <c r="U37" s="162" t="s">
        <v>1458</v>
      </c>
    </row>
    <row r="38" spans="1:24" x14ac:dyDescent="0.3">
      <c r="A38"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AllAllAllAllAll_SAF_Electricity_UserDefined_NG</v>
      </c>
      <c r="B38" s="160" t="s">
        <v>435</v>
      </c>
      <c r="C38" s="160" t="s">
        <v>435</v>
      </c>
      <c r="D38" s="160" t="s">
        <v>435</v>
      </c>
      <c r="E38" s="160" t="s">
        <v>435</v>
      </c>
      <c r="F38" s="48" t="s">
        <v>435</v>
      </c>
      <c r="G38" s="272" t="b" cm="1">
        <f t="array" ref="G38">OR(NOT(ISERROR(MATCH(TRIM(_xlfn.TEXTSPLIT(SelectionsTable[[#This Row],[Feedstock]],",")),SelectedFeedstock,0))),AND(SelectedFeedstock&lt;&gt;"(Multiple Items)",SelectedFeedstock&lt;&gt;"(All)",SelectionsTable[[#This Row],[Feedstock]]="All"))</f>
        <v>1</v>
      </c>
      <c r="H38" s="272" t="b">
        <f>OR(SelectionsTable[[#This Row],[Conversion]]=SelectedConversion,AND(SelectedConversion&lt;&gt;"(Multiple Items)",SelectedConversion&lt;&gt;"(All)",SelectionsTable[[#This Row],[Conversion]]="All"))</f>
        <v>1</v>
      </c>
      <c r="I38" s="272" t="b">
        <f>OR(SelectionsTable[[#This Row],[Data Set]]=SelectedDataSet,AND(SelectedDataSet&lt;&gt;"(Multiple Items)",SelectedDataSet&lt;&gt;"(All)",SelectionsTable[[#This Row],[Data Set]]="All"))</f>
        <v>1</v>
      </c>
      <c r="J38" s="272" t="b">
        <f>OR(SelectionsTable[[#This Row],[Technology]]=SelectedTechnology,AND(SelectedTechnology&lt;&gt;"(Multiple Items)",SelectedTechnology&lt;&gt;"(All)",SelectionsTable[[#This Row],[Technology]]="All"))</f>
        <v>1</v>
      </c>
      <c r="K38" s="272" t="b">
        <f>OR(SelectionsTable[[#This Row],[Data Source]]=SelectedDataSource,AND(SelectedDataSource&lt;&gt;"(Multiple Items)",SelectedDataSource&lt;&gt;"(All)",SelectionsTable[[#This Row],[Data Source]]="All"))</f>
        <v>1</v>
      </c>
      <c r="L38" s="273" t="b">
        <f t="shared" ca="1" si="3"/>
        <v>0</v>
      </c>
      <c r="M38" s="160" t="b">
        <f>SelectionsTable[[#This Row],[GREET1 Location]]&lt;&gt;""</f>
        <v>1</v>
      </c>
      <c r="N38" s="160" t="b">
        <f ca="1">AND(SelectionsTable[[#This Row],[Show Feedstock]:[Conditional to Show]])</f>
        <v>0</v>
      </c>
      <c r="O38" s="160" t="s">
        <v>1520</v>
      </c>
      <c r="P38" s="160" t="s">
        <v>1469</v>
      </c>
      <c r="Q38" s="160" t="s">
        <v>1754</v>
      </c>
      <c r="R38" s="262" cm="1">
        <f t="array" aca="1" ref="R38" ca="1">IF(AND(NOT(RefreshDefaults),NOT(SelectionsResetting)),VALUE(IFERROR(INDEX(Selection_UD, MATCH(SelectionsTable[[#This Row],[ID]], Selection_ID, 0)),SelectionsTable[[#This Row],[Default Value]])),VALUE(SelectionsTable[[#This Row],[Default Value]]))</f>
        <v>0.38508401518155788</v>
      </c>
      <c r="S38" s="263">
        <v>0.38508401518155788</v>
      </c>
      <c r="T38" s="264">
        <f ca="1">SelectionsTable[[#This Row],[Input Value]]</f>
        <v>0.38508401518155788</v>
      </c>
      <c r="U38" s="161" t="s">
        <v>1458</v>
      </c>
    </row>
    <row r="39" spans="1:24" x14ac:dyDescent="0.3">
      <c r="A39"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AllAllAllAllAll_SAF_Electricity_UserDefined_Coal</v>
      </c>
      <c r="B39" s="160" t="s">
        <v>435</v>
      </c>
      <c r="C39" s="160" t="s">
        <v>435</v>
      </c>
      <c r="D39" s="160" t="s">
        <v>435</v>
      </c>
      <c r="E39" s="160" t="s">
        <v>435</v>
      </c>
      <c r="F39" s="48" t="s">
        <v>435</v>
      </c>
      <c r="G39" s="272" t="b" cm="1">
        <f t="array" ref="G39">OR(NOT(ISERROR(MATCH(TRIM(_xlfn.TEXTSPLIT(SelectionsTable[[#This Row],[Feedstock]],",")),SelectedFeedstock,0))),AND(SelectedFeedstock&lt;&gt;"(Multiple Items)",SelectedFeedstock&lt;&gt;"(All)",SelectionsTable[[#This Row],[Feedstock]]="All"))</f>
        <v>1</v>
      </c>
      <c r="H39" s="272" t="b">
        <f>OR(SelectionsTable[[#This Row],[Conversion]]=SelectedConversion,AND(SelectedConversion&lt;&gt;"(Multiple Items)",SelectedConversion&lt;&gt;"(All)",SelectionsTable[[#This Row],[Conversion]]="All"))</f>
        <v>1</v>
      </c>
      <c r="I39" s="272" t="b">
        <f>OR(SelectionsTable[[#This Row],[Data Set]]=SelectedDataSet,AND(SelectedDataSet&lt;&gt;"(Multiple Items)",SelectedDataSet&lt;&gt;"(All)",SelectionsTable[[#This Row],[Data Set]]="All"))</f>
        <v>1</v>
      </c>
      <c r="J39" s="272" t="b">
        <f>OR(SelectionsTable[[#This Row],[Technology]]=SelectedTechnology,AND(SelectedTechnology&lt;&gt;"(Multiple Items)",SelectedTechnology&lt;&gt;"(All)",SelectionsTable[[#This Row],[Technology]]="All"))</f>
        <v>1</v>
      </c>
      <c r="K39" s="272" t="b">
        <f>OR(SelectionsTable[[#This Row],[Data Source]]=SelectedDataSource,AND(SelectedDataSource&lt;&gt;"(Multiple Items)",SelectedDataSource&lt;&gt;"(All)",SelectionsTable[[#This Row],[Data Source]]="All"))</f>
        <v>1</v>
      </c>
      <c r="L39" s="273" t="b">
        <f t="shared" ca="1" si="3"/>
        <v>0</v>
      </c>
      <c r="M39" s="160" t="b">
        <f>SelectionsTable[[#This Row],[GREET1 Location]]&lt;&gt;""</f>
        <v>1</v>
      </c>
      <c r="N39" s="160" t="b">
        <f ca="1">AND(SelectionsTable[[#This Row],[Show Feedstock]:[Conditional to Show]])</f>
        <v>0</v>
      </c>
      <c r="O39" s="160" t="s">
        <v>1521</v>
      </c>
      <c r="P39" s="160" t="s">
        <v>1469</v>
      </c>
      <c r="Q39" s="160" t="s">
        <v>1755</v>
      </c>
      <c r="R39" s="262" cm="1">
        <f t="array" aca="1" ref="R39" ca="1">IF(AND(NOT(RefreshDefaults),NOT(SelectionsResetting)),VALUE(IFERROR(INDEX(Selection_UD, MATCH(SelectionsTable[[#This Row],[ID]], Selection_ID, 0)),SelectionsTable[[#This Row],[Default Value]])),VALUE(SelectionsTable[[#This Row],[Default Value]]))</f>
        <v>0.20597265709067647</v>
      </c>
      <c r="S39" s="263">
        <v>0.20597265709067647</v>
      </c>
      <c r="T39" s="264">
        <f ca="1">SelectionsTable[[#This Row],[Input Value]]</f>
        <v>0.20597265709067647</v>
      </c>
      <c r="U39" s="161" t="s">
        <v>1458</v>
      </c>
    </row>
    <row r="40" spans="1:24" x14ac:dyDescent="0.3">
      <c r="A40"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AllAllAllAllAll_SAF_Electricity_UserDefined_Biomass</v>
      </c>
      <c r="B40" s="160" t="s">
        <v>435</v>
      </c>
      <c r="C40" s="160" t="s">
        <v>435</v>
      </c>
      <c r="D40" s="160" t="s">
        <v>435</v>
      </c>
      <c r="E40" s="160" t="s">
        <v>435</v>
      </c>
      <c r="F40" s="48" t="s">
        <v>435</v>
      </c>
      <c r="G40" s="272" t="b" cm="1">
        <f t="array" ref="G40">OR(NOT(ISERROR(MATCH(TRIM(_xlfn.TEXTSPLIT(SelectionsTable[[#This Row],[Feedstock]],",")),SelectedFeedstock,0))),AND(SelectedFeedstock&lt;&gt;"(Multiple Items)",SelectedFeedstock&lt;&gt;"(All)",SelectionsTable[[#This Row],[Feedstock]]="All"))</f>
        <v>1</v>
      </c>
      <c r="H40" s="272" t="b">
        <f>OR(SelectionsTable[[#This Row],[Conversion]]=SelectedConversion,AND(SelectedConversion&lt;&gt;"(Multiple Items)",SelectedConversion&lt;&gt;"(All)",SelectionsTable[[#This Row],[Conversion]]="All"))</f>
        <v>1</v>
      </c>
      <c r="I40" s="272" t="b">
        <f>OR(SelectionsTable[[#This Row],[Data Set]]=SelectedDataSet,AND(SelectedDataSet&lt;&gt;"(Multiple Items)",SelectedDataSet&lt;&gt;"(All)",SelectionsTable[[#This Row],[Data Set]]="All"))</f>
        <v>1</v>
      </c>
      <c r="J40" s="272" t="b">
        <f>OR(SelectionsTable[[#This Row],[Technology]]=SelectedTechnology,AND(SelectedTechnology&lt;&gt;"(Multiple Items)",SelectedTechnology&lt;&gt;"(All)",SelectionsTable[[#This Row],[Technology]]="All"))</f>
        <v>1</v>
      </c>
      <c r="K40" s="272" t="b">
        <f>OR(SelectionsTable[[#This Row],[Data Source]]=SelectedDataSource,AND(SelectedDataSource&lt;&gt;"(Multiple Items)",SelectedDataSource&lt;&gt;"(All)",SelectionsTable[[#This Row],[Data Source]]="All"))</f>
        <v>1</v>
      </c>
      <c r="L40" s="273" t="b">
        <f t="shared" ca="1" si="3"/>
        <v>0</v>
      </c>
      <c r="M40" s="160" t="b">
        <f>SelectionsTable[[#This Row],[GREET1 Location]]&lt;&gt;""</f>
        <v>1</v>
      </c>
      <c r="N40" s="160" t="b">
        <f ca="1">AND(SelectionsTable[[#This Row],[Show Feedstock]:[Conditional to Show]])</f>
        <v>0</v>
      </c>
      <c r="O40" s="160" t="s">
        <v>1522</v>
      </c>
      <c r="P40" s="160" t="s">
        <v>1469</v>
      </c>
      <c r="Q40" s="160" t="s">
        <v>1756</v>
      </c>
      <c r="R40" s="262" cm="1">
        <f t="array" aca="1" ref="R40" ca="1">IF(AND(NOT(RefreshDefaults),NOT(SelectionsResetting)),VALUE(IFERROR(INDEX(Selection_UD, MATCH(SelectionsTable[[#This Row],[ID]], Selection_ID, 0)),SelectionsTable[[#This Row],[Default Value]])),VALUE(SelectionsTable[[#This Row],[Default Value]]))</f>
        <v>2.7040234782859745E-3</v>
      </c>
      <c r="S40" s="263">
        <v>2.7040234782859745E-3</v>
      </c>
      <c r="T40" s="264">
        <f ca="1">SelectionsTable[[#This Row],[Input Value]]</f>
        <v>2.7040234782859745E-3</v>
      </c>
      <c r="U40" s="161" t="s">
        <v>1458</v>
      </c>
    </row>
    <row r="41" spans="1:24" x14ac:dyDescent="0.3">
      <c r="A41"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AllAllAllAllAll_SAF_Electricity_UserDefined_Nuclear</v>
      </c>
      <c r="B41" s="160" t="s">
        <v>435</v>
      </c>
      <c r="C41" s="160" t="s">
        <v>435</v>
      </c>
      <c r="D41" s="160" t="s">
        <v>435</v>
      </c>
      <c r="E41" s="160" t="s">
        <v>435</v>
      </c>
      <c r="F41" s="48" t="s">
        <v>435</v>
      </c>
      <c r="G41" s="272" t="b" cm="1">
        <f t="array" ref="G41">OR(NOT(ISERROR(MATCH(TRIM(_xlfn.TEXTSPLIT(SelectionsTable[[#This Row],[Feedstock]],",")),SelectedFeedstock,0))),AND(SelectedFeedstock&lt;&gt;"(Multiple Items)",SelectedFeedstock&lt;&gt;"(All)",SelectionsTable[[#This Row],[Feedstock]]="All"))</f>
        <v>1</v>
      </c>
      <c r="H41" s="272" t="b">
        <f>OR(SelectionsTable[[#This Row],[Conversion]]=SelectedConversion,AND(SelectedConversion&lt;&gt;"(Multiple Items)",SelectedConversion&lt;&gt;"(All)",SelectionsTable[[#This Row],[Conversion]]="All"))</f>
        <v>1</v>
      </c>
      <c r="I41" s="272" t="b">
        <f>OR(SelectionsTable[[#This Row],[Data Set]]=SelectedDataSet,AND(SelectedDataSet&lt;&gt;"(Multiple Items)",SelectedDataSet&lt;&gt;"(All)",SelectionsTable[[#This Row],[Data Set]]="All"))</f>
        <v>1</v>
      </c>
      <c r="J41" s="272" t="b">
        <f>OR(SelectionsTable[[#This Row],[Technology]]=SelectedTechnology,AND(SelectedTechnology&lt;&gt;"(Multiple Items)",SelectedTechnology&lt;&gt;"(All)",SelectionsTable[[#This Row],[Technology]]="All"))</f>
        <v>1</v>
      </c>
      <c r="K41" s="272" t="b">
        <f>OR(SelectionsTable[[#This Row],[Data Source]]=SelectedDataSource,AND(SelectedDataSource&lt;&gt;"(Multiple Items)",SelectedDataSource&lt;&gt;"(All)",SelectionsTable[[#This Row],[Data Source]]="All"))</f>
        <v>1</v>
      </c>
      <c r="L41" s="273" t="b">
        <f t="shared" ca="1" si="3"/>
        <v>0</v>
      </c>
      <c r="M41" s="160" t="b">
        <f>SelectionsTable[[#This Row],[GREET1 Location]]&lt;&gt;""</f>
        <v>1</v>
      </c>
      <c r="N41" s="160" t="b">
        <f ca="1">AND(SelectionsTable[[#This Row],[Show Feedstock]:[Conditional to Show]])</f>
        <v>0</v>
      </c>
      <c r="O41" s="160" t="s">
        <v>1523</v>
      </c>
      <c r="P41" s="160" t="s">
        <v>1469</v>
      </c>
      <c r="Q41" s="160" t="s">
        <v>1757</v>
      </c>
      <c r="R41" s="262" cm="1">
        <f t="array" aca="1" ref="R41" ca="1">IF(AND(NOT(RefreshDefaults),NOT(SelectionsResetting)),VALUE(IFERROR(INDEX(Selection_UD, MATCH(SelectionsTable[[#This Row],[ID]], Selection_ID, 0)),SelectionsTable[[#This Row],[Default Value]])),VALUE(SelectionsTable[[#This Row],[Default Value]]))</f>
        <v>0.18881098710553978</v>
      </c>
      <c r="S41" s="263">
        <v>0.18881098710553978</v>
      </c>
      <c r="T41" s="264">
        <f ca="1">SelectionsTable[[#This Row],[Input Value]]</f>
        <v>0.18881098710553978</v>
      </c>
      <c r="U41" s="161" t="s">
        <v>1458</v>
      </c>
    </row>
    <row r="42" spans="1:24" x14ac:dyDescent="0.3">
      <c r="A42"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AllAllAllAllAll_SAF_Electricity_UserDefined_Hydroelectric</v>
      </c>
      <c r="B42" s="160" t="s">
        <v>435</v>
      </c>
      <c r="C42" s="160" t="s">
        <v>435</v>
      </c>
      <c r="D42" s="160" t="s">
        <v>435</v>
      </c>
      <c r="E42" s="160" t="s">
        <v>435</v>
      </c>
      <c r="F42" s="48" t="s">
        <v>435</v>
      </c>
      <c r="G42" s="272" t="b" cm="1">
        <f t="array" ref="G42">OR(NOT(ISERROR(MATCH(TRIM(_xlfn.TEXTSPLIT(SelectionsTable[[#This Row],[Feedstock]],",")),SelectedFeedstock,0))),AND(SelectedFeedstock&lt;&gt;"(Multiple Items)",SelectedFeedstock&lt;&gt;"(All)",SelectionsTable[[#This Row],[Feedstock]]="All"))</f>
        <v>1</v>
      </c>
      <c r="H42" s="272" t="b">
        <f>OR(SelectionsTable[[#This Row],[Conversion]]=SelectedConversion,AND(SelectedConversion&lt;&gt;"(Multiple Items)",SelectedConversion&lt;&gt;"(All)",SelectionsTable[[#This Row],[Conversion]]="All"))</f>
        <v>1</v>
      </c>
      <c r="I42" s="272" t="b">
        <f>OR(SelectionsTable[[#This Row],[Data Set]]=SelectedDataSet,AND(SelectedDataSet&lt;&gt;"(Multiple Items)",SelectedDataSet&lt;&gt;"(All)",SelectionsTable[[#This Row],[Data Set]]="All"))</f>
        <v>1</v>
      </c>
      <c r="J42" s="272" t="b">
        <f>OR(SelectionsTable[[#This Row],[Technology]]=SelectedTechnology,AND(SelectedTechnology&lt;&gt;"(Multiple Items)",SelectedTechnology&lt;&gt;"(All)",SelectionsTable[[#This Row],[Technology]]="All"))</f>
        <v>1</v>
      </c>
      <c r="K42" s="272" t="b">
        <f>OR(SelectionsTable[[#This Row],[Data Source]]=SelectedDataSource,AND(SelectedDataSource&lt;&gt;"(Multiple Items)",SelectedDataSource&lt;&gt;"(All)",SelectionsTable[[#This Row],[Data Source]]="All"))</f>
        <v>1</v>
      </c>
      <c r="L42" s="273" t="b">
        <f t="shared" ca="1" si="3"/>
        <v>0</v>
      </c>
      <c r="M42" s="160" t="b">
        <f>SelectionsTable[[#This Row],[GREET1 Location]]&lt;&gt;""</f>
        <v>1</v>
      </c>
      <c r="N42" s="160" t="b">
        <f ca="1">AND(SelectionsTable[[#This Row],[Show Feedstock]:[Conditional to Show]])</f>
        <v>0</v>
      </c>
      <c r="O42" s="160" t="s">
        <v>1524</v>
      </c>
      <c r="P42" s="160" t="s">
        <v>1469</v>
      </c>
      <c r="Q42" s="160" t="s">
        <v>1758</v>
      </c>
      <c r="R42" s="262" cm="1">
        <f t="array" aca="1" ref="R42" ca="1">IF(AND(NOT(RefreshDefaults),NOT(SelectionsResetting)),VALUE(IFERROR(INDEX(Selection_UD, MATCH(SelectionsTable[[#This Row],[ID]], Selection_ID, 0)),SelectionsTable[[#This Row],[Default Value]])),VALUE(SelectionsTable[[#This Row],[Default Value]]))</f>
        <v>6.7523807322926704E-2</v>
      </c>
      <c r="S42" s="263">
        <v>6.7523807322926704E-2</v>
      </c>
      <c r="T42" s="264">
        <f ca="1">SelectionsTable[[#This Row],[Input Value]]</f>
        <v>6.7523807322926704E-2</v>
      </c>
      <c r="U42" s="161" t="s">
        <v>1458</v>
      </c>
    </row>
    <row r="43" spans="1:24" x14ac:dyDescent="0.3">
      <c r="A43"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AllAllAllAllAll_SAF_Electricity_UserDefined_Geothermal</v>
      </c>
      <c r="B43" s="160" t="s">
        <v>435</v>
      </c>
      <c r="C43" s="160" t="s">
        <v>435</v>
      </c>
      <c r="D43" s="160" t="s">
        <v>435</v>
      </c>
      <c r="E43" s="160" t="s">
        <v>435</v>
      </c>
      <c r="F43" s="48" t="s">
        <v>435</v>
      </c>
      <c r="G43" s="272" t="b" cm="1">
        <f t="array" ref="G43">OR(NOT(ISERROR(MATCH(TRIM(_xlfn.TEXTSPLIT(SelectionsTable[[#This Row],[Feedstock]],",")),SelectedFeedstock,0))),AND(SelectedFeedstock&lt;&gt;"(Multiple Items)",SelectedFeedstock&lt;&gt;"(All)",SelectionsTable[[#This Row],[Feedstock]]="All"))</f>
        <v>1</v>
      </c>
      <c r="H43" s="272" t="b">
        <f>OR(SelectionsTable[[#This Row],[Conversion]]=SelectedConversion,AND(SelectedConversion&lt;&gt;"(Multiple Items)",SelectedConversion&lt;&gt;"(All)",SelectionsTable[[#This Row],[Conversion]]="All"))</f>
        <v>1</v>
      </c>
      <c r="I43" s="272" t="b">
        <f>OR(SelectionsTable[[#This Row],[Data Set]]=SelectedDataSet,AND(SelectedDataSet&lt;&gt;"(Multiple Items)",SelectedDataSet&lt;&gt;"(All)",SelectionsTable[[#This Row],[Data Set]]="All"))</f>
        <v>1</v>
      </c>
      <c r="J43" s="272" t="b">
        <f>OR(SelectionsTable[[#This Row],[Technology]]=SelectedTechnology,AND(SelectedTechnology&lt;&gt;"(Multiple Items)",SelectedTechnology&lt;&gt;"(All)",SelectionsTable[[#This Row],[Technology]]="All"))</f>
        <v>1</v>
      </c>
      <c r="K43" s="272" t="b">
        <f>OR(SelectionsTable[[#This Row],[Data Source]]=SelectedDataSource,AND(SelectedDataSource&lt;&gt;"(Multiple Items)",SelectedDataSource&lt;&gt;"(All)",SelectionsTable[[#This Row],[Data Source]]="All"))</f>
        <v>1</v>
      </c>
      <c r="L43" s="273" t="b">
        <f t="shared" ca="1" si="3"/>
        <v>0</v>
      </c>
      <c r="M43" s="160" t="b">
        <f>SelectionsTable[[#This Row],[GREET1 Location]]&lt;&gt;""</f>
        <v>1</v>
      </c>
      <c r="N43" s="160" t="b">
        <f ca="1">AND(SelectionsTable[[#This Row],[Show Feedstock]:[Conditional to Show]])</f>
        <v>0</v>
      </c>
      <c r="O43" s="160" t="s">
        <v>1525</v>
      </c>
      <c r="P43" s="160" t="s">
        <v>1469</v>
      </c>
      <c r="Q43" s="160" t="s">
        <v>1759</v>
      </c>
      <c r="R43" s="262" cm="1">
        <f t="array" aca="1" ref="R43" ca="1">IF(AND(NOT(RefreshDefaults),NOT(SelectionsResetting)),VALUE(IFERROR(INDEX(Selection_UD, MATCH(SelectionsTable[[#This Row],[ID]], Selection_ID, 0)),SelectionsTable[[#This Row],[Default Value]])),VALUE(SelectionsTable[[#This Row],[Default Value]]))</f>
        <v>3.8162816219673582E-3</v>
      </c>
      <c r="S43" s="263">
        <v>3.8162816219673582E-3</v>
      </c>
      <c r="T43" s="264">
        <f ca="1">SelectionsTable[[#This Row],[Input Value]]</f>
        <v>3.8162816219673582E-3</v>
      </c>
      <c r="U43" s="161" t="s">
        <v>1458</v>
      </c>
    </row>
    <row r="44" spans="1:24" x14ac:dyDescent="0.3">
      <c r="A44"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AllAllAllAllAll_SAF_Electricity_UserDefined_Wind</v>
      </c>
      <c r="B44" s="160" t="s">
        <v>435</v>
      </c>
      <c r="C44" s="160" t="s">
        <v>435</v>
      </c>
      <c r="D44" s="160" t="s">
        <v>435</v>
      </c>
      <c r="E44" s="160" t="s">
        <v>435</v>
      </c>
      <c r="F44" s="48" t="s">
        <v>435</v>
      </c>
      <c r="G44" s="272" t="b" cm="1">
        <f t="array" ref="G44">OR(NOT(ISERROR(MATCH(TRIM(_xlfn.TEXTSPLIT(SelectionsTable[[#This Row],[Feedstock]],",")),SelectedFeedstock,0))),AND(SelectedFeedstock&lt;&gt;"(Multiple Items)",SelectedFeedstock&lt;&gt;"(All)",SelectionsTable[[#This Row],[Feedstock]]="All"))</f>
        <v>1</v>
      </c>
      <c r="H44" s="272" t="b">
        <f>OR(SelectionsTable[[#This Row],[Conversion]]=SelectedConversion,AND(SelectedConversion&lt;&gt;"(Multiple Items)",SelectedConversion&lt;&gt;"(All)",SelectionsTable[[#This Row],[Conversion]]="All"))</f>
        <v>1</v>
      </c>
      <c r="I44" s="272" t="b">
        <f>OR(SelectionsTable[[#This Row],[Data Set]]=SelectedDataSet,AND(SelectedDataSet&lt;&gt;"(Multiple Items)",SelectedDataSet&lt;&gt;"(All)",SelectionsTable[[#This Row],[Data Set]]="All"))</f>
        <v>1</v>
      </c>
      <c r="J44" s="272" t="b">
        <f>OR(SelectionsTable[[#This Row],[Technology]]=SelectedTechnology,AND(SelectedTechnology&lt;&gt;"(Multiple Items)",SelectedTechnology&lt;&gt;"(All)",SelectionsTable[[#This Row],[Technology]]="All"))</f>
        <v>1</v>
      </c>
      <c r="K44" s="272" t="b">
        <f>OR(SelectionsTable[[#This Row],[Data Source]]=SelectedDataSource,AND(SelectedDataSource&lt;&gt;"(Multiple Items)",SelectedDataSource&lt;&gt;"(All)",SelectionsTable[[#This Row],[Data Source]]="All"))</f>
        <v>1</v>
      </c>
      <c r="L44" s="273" t="b">
        <f t="shared" ca="1" si="3"/>
        <v>0</v>
      </c>
      <c r="M44" s="160" t="b">
        <f>SelectionsTable[[#This Row],[GREET1 Location]]&lt;&gt;""</f>
        <v>1</v>
      </c>
      <c r="N44" s="160" t="b">
        <f ca="1">AND(SelectionsTable[[#This Row],[Show Feedstock]:[Conditional to Show]])</f>
        <v>0</v>
      </c>
      <c r="O44" s="160" t="s">
        <v>1526</v>
      </c>
      <c r="P44" s="160" t="s">
        <v>1469</v>
      </c>
      <c r="Q44" s="160" t="s">
        <v>1760</v>
      </c>
      <c r="R44" s="262" cm="1">
        <f t="array" aca="1" ref="R44" ca="1">IF(AND(NOT(RefreshDefaults),NOT(SelectionsResetting)),VALUE(IFERROR(INDEX(Selection_UD, MATCH(SelectionsTable[[#This Row],[ID]], Selection_ID, 0)),SelectionsTable[[#This Row],[Default Value]])),VALUE(SelectionsTable[[#This Row],[Default Value]]))</f>
        <v>0.10697758707614718</v>
      </c>
      <c r="S44" s="263">
        <v>0.10697758707614718</v>
      </c>
      <c r="T44" s="264">
        <f ca="1">SelectionsTable[[#This Row],[Input Value]]</f>
        <v>0.10697758707614718</v>
      </c>
      <c r="U44" s="161" t="s">
        <v>1458</v>
      </c>
    </row>
    <row r="45" spans="1:24" x14ac:dyDescent="0.3">
      <c r="A45"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AllAllAllAllAll_SAF_Electricity_UserDefined_SolarPV</v>
      </c>
      <c r="B45" s="160" t="s">
        <v>435</v>
      </c>
      <c r="C45" s="160" t="s">
        <v>435</v>
      </c>
      <c r="D45" s="160" t="s">
        <v>435</v>
      </c>
      <c r="E45" s="160" t="s">
        <v>435</v>
      </c>
      <c r="F45" s="48" t="s">
        <v>435</v>
      </c>
      <c r="G45" s="272" t="b" cm="1">
        <f t="array" ref="G45">OR(NOT(ISERROR(MATCH(TRIM(_xlfn.TEXTSPLIT(SelectionsTable[[#This Row],[Feedstock]],",")),SelectedFeedstock,0))),AND(SelectedFeedstock&lt;&gt;"(Multiple Items)",SelectedFeedstock&lt;&gt;"(All)",SelectionsTable[[#This Row],[Feedstock]]="All"))</f>
        <v>1</v>
      </c>
      <c r="H45" s="272" t="b">
        <f>OR(SelectionsTable[[#This Row],[Conversion]]=SelectedConversion,AND(SelectedConversion&lt;&gt;"(Multiple Items)",SelectedConversion&lt;&gt;"(All)",SelectionsTable[[#This Row],[Conversion]]="All"))</f>
        <v>1</v>
      </c>
      <c r="I45" s="272" t="b">
        <f>OR(SelectionsTable[[#This Row],[Data Set]]=SelectedDataSet,AND(SelectedDataSet&lt;&gt;"(Multiple Items)",SelectedDataSet&lt;&gt;"(All)",SelectionsTable[[#This Row],[Data Set]]="All"))</f>
        <v>1</v>
      </c>
      <c r="J45" s="272" t="b">
        <f>OR(SelectionsTable[[#This Row],[Technology]]=SelectedTechnology,AND(SelectedTechnology&lt;&gt;"(Multiple Items)",SelectedTechnology&lt;&gt;"(All)",SelectionsTable[[#This Row],[Technology]]="All"))</f>
        <v>1</v>
      </c>
      <c r="K45" s="272" t="b">
        <f>OR(SelectionsTable[[#This Row],[Data Source]]=SelectedDataSource,AND(SelectedDataSource&lt;&gt;"(Multiple Items)",SelectedDataSource&lt;&gt;"(All)",SelectionsTable[[#This Row],[Data Source]]="All"))</f>
        <v>1</v>
      </c>
      <c r="L45" s="273" t="b">
        <f t="shared" ca="1" si="3"/>
        <v>0</v>
      </c>
      <c r="M45" s="160" t="b">
        <f>SelectionsTable[[#This Row],[GREET1 Location]]&lt;&gt;""</f>
        <v>1</v>
      </c>
      <c r="N45" s="160" t="b">
        <f ca="1">AND(SelectionsTable[[#This Row],[Show Feedstock]:[Conditional to Show]])</f>
        <v>0</v>
      </c>
      <c r="O45" s="160" t="s">
        <v>1527</v>
      </c>
      <c r="P45" s="160" t="s">
        <v>1469</v>
      </c>
      <c r="Q45" s="160" t="s">
        <v>1761</v>
      </c>
      <c r="R45" s="262" cm="1">
        <f t="array" aca="1" ref="R45" ca="1">IF(AND(NOT(RefreshDefaults),NOT(SelectionsResetting)),VALUE(IFERROR(INDEX(Selection_UD, MATCH(SelectionsTable[[#This Row],[ID]], Selection_ID, 0)),SelectionsTable[[#This Row],[Default Value]])),VALUE(SelectionsTable[[#This Row],[Default Value]]))</f>
        <v>3.2796656801169541E-2</v>
      </c>
      <c r="S45" s="263">
        <v>3.2796656801169541E-2</v>
      </c>
      <c r="T45" s="264">
        <f ca="1">SelectionsTable[[#This Row],[Input Value]]</f>
        <v>3.2796656801169541E-2</v>
      </c>
      <c r="U45" s="161" t="s">
        <v>1458</v>
      </c>
    </row>
    <row r="46" spans="1:24" x14ac:dyDescent="0.3">
      <c r="A46"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AllAllAllAllAll_SAF_Electricity_UserDefined_Others</v>
      </c>
      <c r="B46" s="160" t="s">
        <v>435</v>
      </c>
      <c r="C46" s="160" t="s">
        <v>435</v>
      </c>
      <c r="D46" s="160" t="s">
        <v>435</v>
      </c>
      <c r="E46" s="160" t="s">
        <v>435</v>
      </c>
      <c r="F46" s="48" t="s">
        <v>435</v>
      </c>
      <c r="G46" s="272" t="b" cm="1">
        <f t="array" ref="G46">OR(NOT(ISERROR(MATCH(TRIM(_xlfn.TEXTSPLIT(SelectionsTable[[#This Row],[Feedstock]],",")),SelectedFeedstock,0))),AND(SelectedFeedstock&lt;&gt;"(Multiple Items)",SelectedFeedstock&lt;&gt;"(All)",SelectionsTable[[#This Row],[Feedstock]]="All"))</f>
        <v>1</v>
      </c>
      <c r="H46" s="272" t="b">
        <f>OR(SelectionsTable[[#This Row],[Conversion]]=SelectedConversion,AND(SelectedConversion&lt;&gt;"(Multiple Items)",SelectedConversion&lt;&gt;"(All)",SelectionsTable[[#This Row],[Conversion]]="All"))</f>
        <v>1</v>
      </c>
      <c r="I46" s="272" t="b">
        <f>OR(SelectionsTable[[#This Row],[Data Set]]=SelectedDataSet,AND(SelectedDataSet&lt;&gt;"(Multiple Items)",SelectedDataSet&lt;&gt;"(All)",SelectionsTable[[#This Row],[Data Set]]="All"))</f>
        <v>1</v>
      </c>
      <c r="J46" s="272" t="b">
        <f>OR(SelectionsTable[[#This Row],[Technology]]=SelectedTechnology,AND(SelectedTechnology&lt;&gt;"(Multiple Items)",SelectedTechnology&lt;&gt;"(All)",SelectionsTable[[#This Row],[Technology]]="All"))</f>
        <v>1</v>
      </c>
      <c r="K46" s="272" t="b">
        <f>OR(SelectionsTable[[#This Row],[Data Source]]=SelectedDataSource,AND(SelectedDataSource&lt;&gt;"(Multiple Items)",SelectedDataSource&lt;&gt;"(All)",SelectionsTable[[#This Row],[Data Source]]="All"))</f>
        <v>1</v>
      </c>
      <c r="L46" s="273" t="b">
        <f t="shared" ca="1" si="3"/>
        <v>0</v>
      </c>
      <c r="M46" s="160" t="b">
        <f>SelectionsTable[[#This Row],[GREET1 Location]]&lt;&gt;""</f>
        <v>1</v>
      </c>
      <c r="N46" s="160" t="b">
        <f ca="1">AND(SelectionsTable[[#This Row],[Show Feedstock]:[Conditional to Show]])</f>
        <v>0</v>
      </c>
      <c r="O46" s="160" t="s">
        <v>1528</v>
      </c>
      <c r="P46" s="160" t="s">
        <v>1469</v>
      </c>
      <c r="Q46" s="160" t="s">
        <v>1762</v>
      </c>
      <c r="R46" s="262" cm="1">
        <f t="array" aca="1" ref="R46" ca="1">IF(AND(NOT(RefreshDefaults),NOT(SelectionsResetting)),VALUE(IFERROR(INDEX(Selection_UD, MATCH(SelectionsTable[[#This Row],[ID]], Selection_ID, 0)),SelectionsTable[[#This Row],[Default Value]])),VALUE(SelectionsTable[[#This Row],[Default Value]]))</f>
        <v>3.7310985058660595E-3</v>
      </c>
      <c r="S46" s="263">
        <v>3.7310985058660595E-3</v>
      </c>
      <c r="T46" s="264">
        <f ca="1">SelectionsTable[[#This Row],[Input Value]]</f>
        <v>3.7310985058660595E-3</v>
      </c>
      <c r="U46" s="161" t="s">
        <v>1458</v>
      </c>
    </row>
    <row r="47" spans="1:24" x14ac:dyDescent="0.3">
      <c r="A47"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AllAllAllAllAll_SAF_Heat_Source_Option</v>
      </c>
      <c r="B47" s="160" t="s">
        <v>435</v>
      </c>
      <c r="C47" s="160" t="s">
        <v>435</v>
      </c>
      <c r="D47" s="160" t="s">
        <v>435</v>
      </c>
      <c r="E47" s="160" t="s">
        <v>435</v>
      </c>
      <c r="F47" s="48" t="s">
        <v>435</v>
      </c>
      <c r="G47" s="273" t="b" cm="1">
        <f t="array" ref="G47">OR(NOT(ISERROR(MATCH(TRIM(_xlfn.TEXTSPLIT(SelectionsTable[[#This Row],[Feedstock]],",")),SelectedFeedstock,0))),AND(SelectedFeedstock&lt;&gt;"(Multiple Items)",SelectedFeedstock&lt;&gt;"(All)",SelectionsTable[[#This Row],[Feedstock]]="All"))</f>
        <v>1</v>
      </c>
      <c r="H47" s="273" t="b">
        <f>OR(SelectionsTable[[#This Row],[Conversion]]=SelectedConversion,AND(SelectedConversion&lt;&gt;"(Multiple Items)",SelectedConversion&lt;&gt;"(All)",SelectionsTable[[#This Row],[Conversion]]="All"))</f>
        <v>1</v>
      </c>
      <c r="I47" s="273" t="b">
        <f>OR(SelectionsTable[[#This Row],[Data Set]]=SelectedDataSet,AND(SelectedDataSet&lt;&gt;"(Multiple Items)",SelectedDataSet&lt;&gt;"(All)",SelectionsTable[[#This Row],[Data Set]]="All"))</f>
        <v>1</v>
      </c>
      <c r="J47" s="273" t="b">
        <f>OR(SelectionsTable[[#This Row],[Technology]]=SelectedTechnology,AND(SelectedTechnology&lt;&gt;"(Multiple Items)",SelectedTechnology&lt;&gt;"(All)",SelectionsTable[[#This Row],[Technology]]="All"))</f>
        <v>1</v>
      </c>
      <c r="K47" s="273" t="b">
        <f>OR(SelectionsTable[[#This Row],[Data Source]]=SelectedDataSource,AND(SelectedDataSource&lt;&gt;"(Multiple Items)",SelectedDataSource&lt;&gt;"(All)",SelectionsTable[[#This Row],[Data Source]]="All"))</f>
        <v>1</v>
      </c>
      <c r="L47" s="273" t="b">
        <v>0</v>
      </c>
      <c r="M47" s="261" t="b">
        <f>SelectionsTable[[#This Row],[GREET1 Location]]&lt;&gt;""</f>
        <v>1</v>
      </c>
      <c r="N47" s="261" t="b">
        <f>AND(SelectionsTable[[#This Row],[Show Feedstock]:[Conditional to Show]])</f>
        <v>0</v>
      </c>
      <c r="O47" s="261" t="s">
        <v>1492</v>
      </c>
      <c r="P47" s="261" t="s">
        <v>1448</v>
      </c>
      <c r="Q47" s="261" t="s">
        <v>1879</v>
      </c>
      <c r="R47" s="267" cm="1">
        <f t="array" aca="1" ref="R47" ca="1">IF(AND(NOT(RefreshDefaults),NOT(SelectionsResetting)),VALUE(IFERROR(INDEX(Selection_UD, MATCH(SelectionsTable[[#This Row],[ID]], Selection_ID, 0)),SelectionsTable[[#This Row],[Default Value]])),VALUE(SelectionsTable[[#This Row],[Default Value]]))</f>
        <v>1</v>
      </c>
      <c r="S47" s="263">
        <v>1</v>
      </c>
      <c r="T47" s="264">
        <f ca="1">SelectionsTable[[#This Row],[Input Value]]</f>
        <v>1</v>
      </c>
      <c r="U47" s="162" t="s">
        <v>904</v>
      </c>
      <c r="V47">
        <v>1</v>
      </c>
      <c r="W47">
        <v>4</v>
      </c>
      <c r="X47" t="s">
        <v>1899</v>
      </c>
    </row>
    <row r="48" spans="1:24" x14ac:dyDescent="0.3">
      <c r="A48"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AllAllAllAllAll_Share_NG_Heat_SAF</v>
      </c>
      <c r="B48" s="160" t="s">
        <v>435</v>
      </c>
      <c r="C48" s="160" t="s">
        <v>435</v>
      </c>
      <c r="D48" s="160" t="s">
        <v>435</v>
      </c>
      <c r="E48" s="160" t="s">
        <v>435</v>
      </c>
      <c r="F48" s="48" t="s">
        <v>435</v>
      </c>
      <c r="G48" s="273" t="b" cm="1">
        <f t="array" ref="G48">OR(NOT(ISERROR(MATCH(TRIM(_xlfn.TEXTSPLIT(SelectionsTable[[#This Row],[Feedstock]],",")),SelectedFeedstock,0))),AND(SelectedFeedstock&lt;&gt;"(Multiple Items)",SelectedFeedstock&lt;&gt;"(All)",SelectionsTable[[#This Row],[Feedstock]]="All"))</f>
        <v>1</v>
      </c>
      <c r="H48" s="273" t="b">
        <f>OR(SelectionsTable[[#This Row],[Conversion]]=SelectedConversion,AND(SelectedConversion&lt;&gt;"(Multiple Items)",SelectedConversion&lt;&gt;"(All)",SelectionsTable[[#This Row],[Conversion]]="All"))</f>
        <v>1</v>
      </c>
      <c r="I48" s="273" t="b">
        <f>OR(SelectionsTable[[#This Row],[Data Set]]=SelectedDataSet,AND(SelectedDataSet&lt;&gt;"(Multiple Items)",SelectedDataSet&lt;&gt;"(All)",SelectionsTable[[#This Row],[Data Set]]="All"))</f>
        <v>1</v>
      </c>
      <c r="J48" s="273" t="b">
        <f>OR(SelectionsTable[[#This Row],[Technology]]=SelectedTechnology,AND(SelectedTechnology&lt;&gt;"(Multiple Items)",SelectedTechnology&lt;&gt;"(All)",SelectionsTable[[#This Row],[Technology]]="All"))</f>
        <v>1</v>
      </c>
      <c r="K48" s="273" t="b">
        <f>OR(SelectionsTable[[#This Row],[Data Source]]=SelectedDataSource,AND(SelectedDataSource&lt;&gt;"(Multiple Items)",SelectedDataSource&lt;&gt;"(All)",SelectionsTable[[#This Row],[Data Source]]="All"))</f>
        <v>1</v>
      </c>
      <c r="L48" s="272" t="b">
        <f ca="1">VALUE($R$47)=4</f>
        <v>0</v>
      </c>
      <c r="M48" s="261" t="b">
        <f>SelectionsTable[[#This Row],[GREET1 Location]]&lt;&gt;""</f>
        <v>1</v>
      </c>
      <c r="N48" s="261" t="b">
        <f ca="1">AND(SelectionsTable[[#This Row],[Show Feedstock]:[Conditional to Show]])</f>
        <v>0</v>
      </c>
      <c r="O48" s="261" t="s">
        <v>1690</v>
      </c>
      <c r="P48" s="261" t="s">
        <v>1448</v>
      </c>
      <c r="Q48" s="261" t="s">
        <v>1763</v>
      </c>
      <c r="R48" s="267" cm="1">
        <f t="array" aca="1" ref="R48" ca="1">IF(AND(NOT(RefreshDefaults),NOT(SelectionsResetting)),VALUE(IFERROR(INDEX(Selection_UD, MATCH(SelectionsTable[[#This Row],[ID]], Selection_ID, 0)),SelectionsTable[[#This Row],[Default Value]])),VALUE(SelectionsTable[[#This Row],[Default Value]]))</f>
        <v>1</v>
      </c>
      <c r="S48" s="263">
        <v>1</v>
      </c>
      <c r="T48" s="264">
        <f ca="1">SelectionsTable[[#This Row],[Input Value]]</f>
        <v>1</v>
      </c>
      <c r="U48" s="162" t="s">
        <v>1458</v>
      </c>
      <c r="X48" s="310"/>
    </row>
    <row r="49" spans="1:24" x14ac:dyDescent="0.3">
      <c r="A49"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AllAllAllAllAll_Share_RNG_LFG_Heat_SAF</v>
      </c>
      <c r="B49" s="160" t="s">
        <v>435</v>
      </c>
      <c r="C49" s="160" t="s">
        <v>435</v>
      </c>
      <c r="D49" s="160" t="s">
        <v>435</v>
      </c>
      <c r="E49" s="160" t="s">
        <v>435</v>
      </c>
      <c r="F49" s="48" t="s">
        <v>435</v>
      </c>
      <c r="G49" s="273" t="b" cm="1">
        <f t="array" ref="G49">OR(NOT(ISERROR(MATCH(TRIM(_xlfn.TEXTSPLIT(SelectionsTable[[#This Row],[Feedstock]],",")),SelectedFeedstock,0))),AND(SelectedFeedstock&lt;&gt;"(Multiple Items)",SelectedFeedstock&lt;&gt;"(All)",SelectionsTable[[#This Row],[Feedstock]]="All"))</f>
        <v>1</v>
      </c>
      <c r="H49" s="273" t="b">
        <f>OR(SelectionsTable[[#This Row],[Conversion]]=SelectedConversion,AND(SelectedConversion&lt;&gt;"(Multiple Items)",SelectedConversion&lt;&gt;"(All)",SelectionsTable[[#This Row],[Conversion]]="All"))</f>
        <v>1</v>
      </c>
      <c r="I49" s="273" t="b">
        <f>OR(SelectionsTable[[#This Row],[Data Set]]=SelectedDataSet,AND(SelectedDataSet&lt;&gt;"(Multiple Items)",SelectedDataSet&lt;&gt;"(All)",SelectionsTable[[#This Row],[Data Set]]="All"))</f>
        <v>1</v>
      </c>
      <c r="J49" s="273" t="b">
        <f>OR(SelectionsTable[[#This Row],[Technology]]=SelectedTechnology,AND(SelectedTechnology&lt;&gt;"(Multiple Items)",SelectedTechnology&lt;&gt;"(All)",SelectionsTable[[#This Row],[Technology]]="All"))</f>
        <v>1</v>
      </c>
      <c r="K49" s="273" t="b">
        <f>OR(SelectionsTable[[#This Row],[Data Source]]=SelectedDataSource,AND(SelectedDataSource&lt;&gt;"(Multiple Items)",SelectedDataSource&lt;&gt;"(All)",SelectionsTable[[#This Row],[Data Source]]="All"))</f>
        <v>1</v>
      </c>
      <c r="L49" s="272" t="b">
        <f ca="1">VALUE($R$47)=4</f>
        <v>0</v>
      </c>
      <c r="M49" s="261" t="b">
        <f>SelectionsTable[[#This Row],[GREET1 Location]]&lt;&gt;""</f>
        <v>1</v>
      </c>
      <c r="N49" s="261" t="b">
        <f ca="1">AND(SelectionsTable[[#This Row],[Show Feedstock]:[Conditional to Show]])</f>
        <v>0</v>
      </c>
      <c r="O49" s="261" t="s">
        <v>1691</v>
      </c>
      <c r="P49" s="261" t="s">
        <v>1448</v>
      </c>
      <c r="Q49" s="261" t="s">
        <v>1764</v>
      </c>
      <c r="R49" s="267" cm="1">
        <f t="array" aca="1" ref="R49" ca="1">IF(AND(NOT(RefreshDefaults),NOT(SelectionsResetting)),VALUE(IFERROR(INDEX(Selection_UD, MATCH(SelectionsTable[[#This Row],[ID]], Selection_ID, 0)),SelectionsTable[[#This Row],[Default Value]])),VALUE(SelectionsTable[[#This Row],[Default Value]]))</f>
        <v>0</v>
      </c>
      <c r="S49" s="263">
        <v>0</v>
      </c>
      <c r="T49" s="264">
        <f ca="1">SelectionsTable[[#This Row],[Input Value]]</f>
        <v>0</v>
      </c>
      <c r="U49" s="162" t="s">
        <v>1458</v>
      </c>
      <c r="X49" s="310"/>
    </row>
    <row r="50" spans="1:24" x14ac:dyDescent="0.3">
      <c r="A50"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AllAllAllAllAll_Share_RNG_Animal_Heat_SAF</v>
      </c>
      <c r="B50" s="160" t="s">
        <v>435</v>
      </c>
      <c r="C50" s="160" t="s">
        <v>435</v>
      </c>
      <c r="D50" s="160" t="s">
        <v>435</v>
      </c>
      <c r="E50" s="160" t="s">
        <v>435</v>
      </c>
      <c r="F50" s="48" t="s">
        <v>435</v>
      </c>
      <c r="G50" s="273" t="b" cm="1">
        <f t="array" ref="G50">OR(NOT(ISERROR(MATCH(TRIM(_xlfn.TEXTSPLIT(SelectionsTable[[#This Row],[Feedstock]],",")),SelectedFeedstock,0))),AND(SelectedFeedstock&lt;&gt;"(Multiple Items)",SelectedFeedstock&lt;&gt;"(All)",SelectionsTable[[#This Row],[Feedstock]]="All"))</f>
        <v>1</v>
      </c>
      <c r="H50" s="273" t="b">
        <f>OR(SelectionsTable[[#This Row],[Conversion]]=SelectedConversion,AND(SelectedConversion&lt;&gt;"(Multiple Items)",SelectedConversion&lt;&gt;"(All)",SelectionsTable[[#This Row],[Conversion]]="All"))</f>
        <v>1</v>
      </c>
      <c r="I50" s="273" t="b">
        <f>OR(SelectionsTable[[#This Row],[Data Set]]=SelectedDataSet,AND(SelectedDataSet&lt;&gt;"(Multiple Items)",SelectedDataSet&lt;&gt;"(All)",SelectionsTable[[#This Row],[Data Set]]="All"))</f>
        <v>1</v>
      </c>
      <c r="J50" s="273" t="b">
        <f>OR(SelectionsTable[[#This Row],[Technology]]=SelectedTechnology,AND(SelectedTechnology&lt;&gt;"(Multiple Items)",SelectedTechnology&lt;&gt;"(All)",SelectionsTable[[#This Row],[Technology]]="All"))</f>
        <v>1</v>
      </c>
      <c r="K50" s="273" t="b">
        <f>OR(SelectionsTable[[#This Row],[Data Source]]=SelectedDataSource,AND(SelectedDataSource&lt;&gt;"(Multiple Items)",SelectedDataSource&lt;&gt;"(All)",SelectionsTable[[#This Row],[Data Source]]="All"))</f>
        <v>1</v>
      </c>
      <c r="L50" s="272" t="b">
        <f t="shared" ref="L50:L52" ca="1" si="4">VALUE($R$47)=7</f>
        <v>0</v>
      </c>
      <c r="M50" s="261" t="b">
        <f>SelectionsTable[[#This Row],[GREET1 Location]]&lt;&gt;""</f>
        <v>1</v>
      </c>
      <c r="N50" s="261" t="b">
        <f ca="1">AND(SelectionsTable[[#This Row],[Show Feedstock]:[Conditional to Show]])</f>
        <v>0</v>
      </c>
      <c r="O50" s="261" t="s">
        <v>1692</v>
      </c>
      <c r="P50" s="261" t="s">
        <v>1448</v>
      </c>
      <c r="Q50" s="261" t="s">
        <v>1765</v>
      </c>
      <c r="R50" s="267" cm="1">
        <f t="array" aca="1" ref="R50" ca="1">IF(AND(NOT(RefreshDefaults),NOT(SelectionsResetting)),VALUE(IFERROR(INDEX(Selection_UD, MATCH(SelectionsTable[[#This Row],[ID]], Selection_ID, 0)),SelectionsTable[[#This Row],[Default Value]])),VALUE(SelectionsTable[[#This Row],[Default Value]]))</f>
        <v>0</v>
      </c>
      <c r="S50" s="263">
        <v>0</v>
      </c>
      <c r="T50" s="264">
        <f ca="1">SelectionsTable[[#This Row],[Input Value]]</f>
        <v>0</v>
      </c>
      <c r="U50" s="162" t="s">
        <v>1458</v>
      </c>
      <c r="X50" s="310"/>
    </row>
    <row r="51" spans="1:24" x14ac:dyDescent="0.3">
      <c r="A51"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AllAllAllAllAll_Share_RNG_Sludge_Heat_SAF</v>
      </c>
      <c r="B51" s="160" t="s">
        <v>435</v>
      </c>
      <c r="C51" s="160" t="s">
        <v>435</v>
      </c>
      <c r="D51" s="160" t="s">
        <v>435</v>
      </c>
      <c r="E51" s="160" t="s">
        <v>435</v>
      </c>
      <c r="F51" s="48" t="s">
        <v>435</v>
      </c>
      <c r="G51" s="273" t="b" cm="1">
        <f t="array" ref="G51">OR(NOT(ISERROR(MATCH(TRIM(_xlfn.TEXTSPLIT(SelectionsTable[[#This Row],[Feedstock]],",")),SelectedFeedstock,0))),AND(SelectedFeedstock&lt;&gt;"(Multiple Items)",SelectedFeedstock&lt;&gt;"(All)",SelectionsTable[[#This Row],[Feedstock]]="All"))</f>
        <v>1</v>
      </c>
      <c r="H51" s="273" t="b">
        <f>OR(SelectionsTable[[#This Row],[Conversion]]=SelectedConversion,AND(SelectedConversion&lt;&gt;"(Multiple Items)",SelectedConversion&lt;&gt;"(All)",SelectionsTable[[#This Row],[Conversion]]="All"))</f>
        <v>1</v>
      </c>
      <c r="I51" s="273" t="b">
        <f>OR(SelectionsTable[[#This Row],[Data Set]]=SelectedDataSet,AND(SelectedDataSet&lt;&gt;"(Multiple Items)",SelectedDataSet&lt;&gt;"(All)",SelectionsTable[[#This Row],[Data Set]]="All"))</f>
        <v>1</v>
      </c>
      <c r="J51" s="273" t="b">
        <f>OR(SelectionsTable[[#This Row],[Technology]]=SelectedTechnology,AND(SelectedTechnology&lt;&gt;"(Multiple Items)",SelectedTechnology&lt;&gt;"(All)",SelectionsTable[[#This Row],[Technology]]="All"))</f>
        <v>1</v>
      </c>
      <c r="K51" s="273" t="b">
        <f>OR(SelectionsTable[[#This Row],[Data Source]]=SelectedDataSource,AND(SelectedDataSource&lt;&gt;"(Multiple Items)",SelectedDataSource&lt;&gt;"(All)",SelectionsTable[[#This Row],[Data Source]]="All"))</f>
        <v>1</v>
      </c>
      <c r="L51" s="272" t="b">
        <f t="shared" ca="1" si="4"/>
        <v>0</v>
      </c>
      <c r="M51" s="261" t="b">
        <f>SelectionsTable[[#This Row],[GREET1 Location]]&lt;&gt;""</f>
        <v>1</v>
      </c>
      <c r="N51" s="261" t="b">
        <f ca="1">AND(SelectionsTable[[#This Row],[Show Feedstock]:[Conditional to Show]])</f>
        <v>0</v>
      </c>
      <c r="O51" s="261" t="s">
        <v>1693</v>
      </c>
      <c r="P51" s="261" t="s">
        <v>1448</v>
      </c>
      <c r="Q51" s="261" t="s">
        <v>1766</v>
      </c>
      <c r="R51" s="267" cm="1">
        <f t="array" aca="1" ref="R51" ca="1">IF(AND(NOT(RefreshDefaults),NOT(SelectionsResetting)),VALUE(IFERROR(INDEX(Selection_UD, MATCH(SelectionsTable[[#This Row],[ID]], Selection_ID, 0)),SelectionsTable[[#This Row],[Default Value]])),VALUE(SelectionsTable[[#This Row],[Default Value]]))</f>
        <v>0</v>
      </c>
      <c r="S51" s="263">
        <v>0</v>
      </c>
      <c r="T51" s="264">
        <f ca="1">SelectionsTable[[#This Row],[Input Value]]</f>
        <v>0</v>
      </c>
      <c r="U51" s="162" t="s">
        <v>1458</v>
      </c>
      <c r="X51" s="310"/>
    </row>
    <row r="52" spans="1:24" x14ac:dyDescent="0.3">
      <c r="A52"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AllAllAllAllAll_Share_RNG_Food_Heat_SAF</v>
      </c>
      <c r="B52" s="160" t="s">
        <v>435</v>
      </c>
      <c r="C52" s="160" t="s">
        <v>435</v>
      </c>
      <c r="D52" s="160" t="s">
        <v>435</v>
      </c>
      <c r="E52" s="160" t="s">
        <v>435</v>
      </c>
      <c r="F52" s="48" t="s">
        <v>435</v>
      </c>
      <c r="G52" s="273" t="b" cm="1">
        <f t="array" ref="G52">OR(NOT(ISERROR(MATCH(TRIM(_xlfn.TEXTSPLIT(SelectionsTable[[#This Row],[Feedstock]],",")),SelectedFeedstock,0))),AND(SelectedFeedstock&lt;&gt;"(Multiple Items)",SelectedFeedstock&lt;&gt;"(All)",SelectionsTable[[#This Row],[Feedstock]]="All"))</f>
        <v>1</v>
      </c>
      <c r="H52" s="273" t="b">
        <f>OR(SelectionsTable[[#This Row],[Conversion]]=SelectedConversion,AND(SelectedConversion&lt;&gt;"(Multiple Items)",SelectedConversion&lt;&gt;"(All)",SelectionsTable[[#This Row],[Conversion]]="All"))</f>
        <v>1</v>
      </c>
      <c r="I52" s="273" t="b">
        <f>OR(SelectionsTable[[#This Row],[Data Set]]=SelectedDataSet,AND(SelectedDataSet&lt;&gt;"(Multiple Items)",SelectedDataSet&lt;&gt;"(All)",SelectionsTable[[#This Row],[Data Set]]="All"))</f>
        <v>1</v>
      </c>
      <c r="J52" s="273" t="b">
        <f>OR(SelectionsTable[[#This Row],[Technology]]=SelectedTechnology,AND(SelectedTechnology&lt;&gt;"(Multiple Items)",SelectedTechnology&lt;&gt;"(All)",SelectionsTable[[#This Row],[Technology]]="All"))</f>
        <v>1</v>
      </c>
      <c r="K52" s="273" t="b">
        <f>OR(SelectionsTable[[#This Row],[Data Source]]=SelectedDataSource,AND(SelectedDataSource&lt;&gt;"(Multiple Items)",SelectedDataSource&lt;&gt;"(All)",SelectionsTable[[#This Row],[Data Source]]="All"))</f>
        <v>1</v>
      </c>
      <c r="L52" s="272" t="b">
        <f t="shared" ca="1" si="4"/>
        <v>0</v>
      </c>
      <c r="M52" s="261" t="b">
        <f>SelectionsTable[[#This Row],[GREET1 Location]]&lt;&gt;""</f>
        <v>1</v>
      </c>
      <c r="N52" s="261" t="b">
        <f ca="1">AND(SelectionsTable[[#This Row],[Show Feedstock]:[Conditional to Show]])</f>
        <v>0</v>
      </c>
      <c r="O52" s="261" t="s">
        <v>1694</v>
      </c>
      <c r="P52" s="261" t="s">
        <v>1448</v>
      </c>
      <c r="Q52" s="261" t="s">
        <v>1767</v>
      </c>
      <c r="R52" s="267" cm="1">
        <f t="array" aca="1" ref="R52" ca="1">IF(AND(NOT(RefreshDefaults),NOT(SelectionsResetting)),VALUE(IFERROR(INDEX(Selection_UD, MATCH(SelectionsTable[[#This Row],[ID]], Selection_ID, 0)),SelectionsTable[[#This Row],[Default Value]])),VALUE(SelectionsTable[[#This Row],[Default Value]]))</f>
        <v>0</v>
      </c>
      <c r="S52" s="263">
        <v>0</v>
      </c>
      <c r="T52" s="264">
        <f ca="1">SelectionsTable[[#This Row],[Input Value]]</f>
        <v>0</v>
      </c>
      <c r="U52" s="162" t="s">
        <v>1458</v>
      </c>
      <c r="X52" s="310"/>
    </row>
    <row r="53" spans="1:24" x14ac:dyDescent="0.3">
      <c r="A53"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AllAllAllAllAll_Share_Certified_RNG_SAF</v>
      </c>
      <c r="B53" s="160" t="s">
        <v>435</v>
      </c>
      <c r="C53" s="160" t="s">
        <v>435</v>
      </c>
      <c r="D53" s="160" t="s">
        <v>435</v>
      </c>
      <c r="E53" s="160" t="s">
        <v>435</v>
      </c>
      <c r="F53" s="48" t="s">
        <v>435</v>
      </c>
      <c r="G53" s="273" t="b" cm="1">
        <f t="array" ref="G53">OR(NOT(ISERROR(MATCH(TRIM(_xlfn.TEXTSPLIT(SelectionsTable[[#This Row],[Feedstock]],",")),SelectedFeedstock,0))),AND(SelectedFeedstock&lt;&gt;"(Multiple Items)",SelectedFeedstock&lt;&gt;"(All)",SelectionsTable[[#This Row],[Feedstock]]="All"))</f>
        <v>1</v>
      </c>
      <c r="H53" s="273" t="b">
        <f>OR(SelectionsTable[[#This Row],[Conversion]]=SelectedConversion,AND(SelectedConversion&lt;&gt;"(Multiple Items)",SelectedConversion&lt;&gt;"(All)",SelectionsTable[[#This Row],[Conversion]]="All"))</f>
        <v>1</v>
      </c>
      <c r="I53" s="273" t="b">
        <f>OR(SelectionsTable[[#This Row],[Data Set]]=SelectedDataSet,AND(SelectedDataSet&lt;&gt;"(Multiple Items)",SelectedDataSet&lt;&gt;"(All)",SelectionsTable[[#This Row],[Data Set]]="All"))</f>
        <v>1</v>
      </c>
      <c r="J53" s="273" t="b">
        <f>OR(SelectionsTable[[#This Row],[Technology]]=SelectedTechnology,AND(SelectedTechnology&lt;&gt;"(Multiple Items)",SelectedTechnology&lt;&gt;"(All)",SelectionsTable[[#This Row],[Technology]]="All"))</f>
        <v>1</v>
      </c>
      <c r="K53" s="273" t="b">
        <f>OR(SelectionsTable[[#This Row],[Data Source]]=SelectedDataSource,AND(SelectedDataSource&lt;&gt;"(Multiple Items)",SelectedDataSource&lt;&gt;"(All)",SelectionsTable[[#This Row],[Data Source]]="All"))</f>
        <v>1</v>
      </c>
      <c r="L53" s="272" t="b">
        <f ca="1">VALUE($R$47)=4</f>
        <v>0</v>
      </c>
      <c r="M53" s="261" t="b">
        <f>SelectionsTable[[#This Row],[GREET1 Location]]&lt;&gt;""</f>
        <v>1</v>
      </c>
      <c r="N53" s="261" t="b">
        <f ca="1">AND(SelectionsTable[[#This Row],[Show Feedstock]:[Conditional to Show]])</f>
        <v>0</v>
      </c>
      <c r="O53" s="261" t="s">
        <v>1719</v>
      </c>
      <c r="P53" s="261" t="s">
        <v>1448</v>
      </c>
      <c r="Q53" s="261" t="s">
        <v>1768</v>
      </c>
      <c r="R53" s="267" cm="1">
        <f t="array" aca="1" ref="R53" ca="1">IF(AND(NOT(RefreshDefaults),NOT(SelectionsResetting)),VALUE(IFERROR(INDEX(Selection_UD, MATCH(SelectionsTable[[#This Row],[ID]], Selection_ID, 0)),SelectionsTable[[#This Row],[Default Value]])),VALUE(SelectionsTable[[#This Row],[Default Value]]))</f>
        <v>0</v>
      </c>
      <c r="S53" s="263">
        <v>0</v>
      </c>
      <c r="T53" s="264">
        <f ca="1">SelectionsTable[[#This Row],[Input Value]]</f>
        <v>0</v>
      </c>
      <c r="U53" s="162" t="s">
        <v>1458</v>
      </c>
      <c r="X53" s="310"/>
    </row>
    <row r="54" spans="1:24" x14ac:dyDescent="0.3">
      <c r="A54"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AllAllAllAllAll_SAF_Certified_RNG_CI</v>
      </c>
      <c r="B54" s="261" t="s">
        <v>435</v>
      </c>
      <c r="C54" s="261" t="s">
        <v>435</v>
      </c>
      <c r="D54" s="261" t="s">
        <v>435</v>
      </c>
      <c r="E54" s="184" t="s">
        <v>435</v>
      </c>
      <c r="F54" s="184" t="s">
        <v>435</v>
      </c>
      <c r="G54" s="273" t="b" cm="1">
        <f t="array" ref="G54">OR(NOT(ISERROR(MATCH(TRIM(_xlfn.TEXTSPLIT(SelectionsTable[[#This Row],[Feedstock]],",")),SelectedFeedstock,0))),AND(SelectedFeedstock&lt;&gt;"(Multiple Items)",SelectedFeedstock&lt;&gt;"(All)",SelectionsTable[[#This Row],[Feedstock]]="All"))</f>
        <v>1</v>
      </c>
      <c r="H54" s="273" t="b">
        <f>OR(SelectionsTable[[#This Row],[Conversion]]=SelectedConversion,AND(SelectedConversion&lt;&gt;"(Multiple Items)",SelectedConversion&lt;&gt;"(All)",SelectionsTable[[#This Row],[Conversion]]="All"))</f>
        <v>1</v>
      </c>
      <c r="I54" s="273" t="b">
        <f>OR(SelectionsTable[[#This Row],[Data Set]]=SelectedDataSet,AND(SelectedDataSet&lt;&gt;"(Multiple Items)",SelectedDataSet&lt;&gt;"(All)",SelectionsTable[[#This Row],[Data Set]]="All"))</f>
        <v>1</v>
      </c>
      <c r="J54" s="273" t="b">
        <f>OR(SelectionsTable[[#This Row],[Technology]]=SelectedTechnology,AND(SelectedTechnology&lt;&gt;"(Multiple Items)",SelectedTechnology&lt;&gt;"(All)",SelectionsTable[[#This Row],[Technology]]="All"))</f>
        <v>1</v>
      </c>
      <c r="K54" s="273" t="b">
        <f>OR(SelectionsTable[[#This Row],[Data Source]]=SelectedDataSource,AND(SelectedDataSource&lt;&gt;"(Multiple Items)",SelectedDataSource&lt;&gt;"(All)",SelectionsTable[[#This Row],[Data Source]]="All"))</f>
        <v>1</v>
      </c>
      <c r="L54" s="273" t="b">
        <f ca="1">OR(VALUE($R$47)=3, VALUE($R$47)=4)</f>
        <v>0</v>
      </c>
      <c r="M54" s="261" t="b">
        <f>SelectionsTable[[#This Row],[GREET1 Location]]&lt;&gt;""</f>
        <v>1</v>
      </c>
      <c r="N54" s="261" t="b">
        <f ca="1">AND(SelectionsTable[[#This Row],[Show Feedstock]:[Conditional to Show]])</f>
        <v>0</v>
      </c>
      <c r="O54" s="261" t="s">
        <v>1650</v>
      </c>
      <c r="P54" s="261" t="s">
        <v>1448</v>
      </c>
      <c r="Q54" s="264" t="s">
        <v>1769</v>
      </c>
      <c r="R54" s="266" cm="1">
        <f t="array" aca="1" ref="R54" ca="1">IF(AND(NOT(RefreshDefaults),NOT(SelectionsResetting)),VALUE(IFERROR(INDEX(Selection_UD, MATCH(SelectionsTable[[#This Row],[ID]], Selection_ID, 0)),SelectionsTable[[#This Row],[Default Value]])),VALUE(SelectionsTable[[#This Row],[Default Value]]))</f>
        <v>30</v>
      </c>
      <c r="S54" s="263">
        <v>30</v>
      </c>
      <c r="T54" s="264">
        <f ca="1">SelectionsTable[[#This Row],[Input Value]]/MJ2mmBTU</f>
        <v>31651.675500000001</v>
      </c>
      <c r="U54" s="162" t="s">
        <v>174</v>
      </c>
      <c r="X54" s="310"/>
    </row>
    <row r="55" spans="1:24" x14ac:dyDescent="0.3">
      <c r="A55"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AllAllAllAllAll_SAF_H2_Source_Option</v>
      </c>
      <c r="B55" s="160" t="s">
        <v>435</v>
      </c>
      <c r="C55" s="160" t="s">
        <v>435</v>
      </c>
      <c r="D55" s="160" t="s">
        <v>435</v>
      </c>
      <c r="E55" s="160" t="s">
        <v>435</v>
      </c>
      <c r="F55" s="48" t="s">
        <v>435</v>
      </c>
      <c r="G55" s="273" t="b" cm="1">
        <f t="array" ref="G55">OR(NOT(ISERROR(MATCH(TRIM(_xlfn.TEXTSPLIT(SelectionsTable[[#This Row],[Feedstock]],",")),SelectedFeedstock,0))),AND(SelectedFeedstock&lt;&gt;"(Multiple Items)",SelectedFeedstock&lt;&gt;"(All)",SelectionsTable[[#This Row],[Feedstock]]="All"))</f>
        <v>1</v>
      </c>
      <c r="H55" s="273" t="b">
        <f>OR(SelectionsTable[[#This Row],[Conversion]]=SelectedConversion,AND(SelectedConversion&lt;&gt;"(Multiple Items)",SelectedConversion&lt;&gt;"(All)",SelectionsTable[[#This Row],[Conversion]]="All"))</f>
        <v>1</v>
      </c>
      <c r="I55" s="273" t="b">
        <f>OR(SelectionsTable[[#This Row],[Data Set]]=SelectedDataSet,AND(SelectedDataSet&lt;&gt;"(Multiple Items)",SelectedDataSet&lt;&gt;"(All)",SelectionsTable[[#This Row],[Data Set]]="All"))</f>
        <v>1</v>
      </c>
      <c r="J55" s="273" t="b">
        <f>OR(SelectionsTable[[#This Row],[Technology]]=SelectedTechnology,AND(SelectedTechnology&lt;&gt;"(Multiple Items)",SelectedTechnology&lt;&gt;"(All)",SelectionsTable[[#This Row],[Technology]]="All"))</f>
        <v>1</v>
      </c>
      <c r="K55" s="273" t="b">
        <f>OR(SelectionsTable[[#This Row],[Data Source]]=SelectedDataSource,AND(SelectedDataSource&lt;&gt;"(Multiple Items)",SelectedDataSource&lt;&gt;"(All)",SelectionsTable[[#This Row],[Data Source]]="All"))</f>
        <v>1</v>
      </c>
      <c r="L55" s="273" t="b">
        <v>0</v>
      </c>
      <c r="M55" s="261" t="b">
        <f>SelectionsTable[[#This Row],[GREET1 Location]]&lt;&gt;""</f>
        <v>1</v>
      </c>
      <c r="N55" s="261" t="b">
        <f>AND(SelectionsTable[[#This Row],[Show Feedstock]:[Conditional to Show]])</f>
        <v>0</v>
      </c>
      <c r="O55" s="261" t="s">
        <v>1493</v>
      </c>
      <c r="P55" s="261" t="s">
        <v>1448</v>
      </c>
      <c r="Q55" s="261" t="s">
        <v>1770</v>
      </c>
      <c r="R55" s="267" cm="1">
        <f t="array" aca="1" ref="R55" ca="1">IF(AND(NOT(RefreshDefaults),NOT(SelectionsResetting)),VALUE(IFERROR(INDEX(Selection_UD, MATCH(SelectionsTable[[#This Row],[ID]], Selection_ID, 0)),SelectionsTable[[#This Row],[Default Value]])),VALUE(SelectionsTable[[#This Row],[Default Value]]))</f>
        <v>1</v>
      </c>
      <c r="S55" s="263">
        <v>1</v>
      </c>
      <c r="T55" s="264">
        <f ca="1">SelectionsTable[[#This Row],[Input Value]]</f>
        <v>1</v>
      </c>
      <c r="U55" s="162" t="s">
        <v>904</v>
      </c>
      <c r="V55">
        <v>1</v>
      </c>
      <c r="W55">
        <v>4</v>
      </c>
      <c r="X55" t="s">
        <v>1897</v>
      </c>
    </row>
    <row r="56" spans="1:24" x14ac:dyDescent="0.3">
      <c r="A56"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AllAllAllAllAll_Share_NG_H2_SAF</v>
      </c>
      <c r="B56" s="160" t="s">
        <v>435</v>
      </c>
      <c r="C56" s="160" t="s">
        <v>435</v>
      </c>
      <c r="D56" s="160" t="s">
        <v>435</v>
      </c>
      <c r="E56" s="160" t="s">
        <v>435</v>
      </c>
      <c r="F56" s="48" t="s">
        <v>435</v>
      </c>
      <c r="G56" s="273" t="b" cm="1">
        <f t="array" ref="G56">OR(NOT(ISERROR(MATCH(TRIM(_xlfn.TEXTSPLIT(SelectionsTable[[#This Row],[Feedstock]],",")),SelectedFeedstock,0))),AND(SelectedFeedstock&lt;&gt;"(Multiple Items)",SelectedFeedstock&lt;&gt;"(All)",SelectionsTable[[#This Row],[Feedstock]]="All"))</f>
        <v>1</v>
      </c>
      <c r="H56" s="273" t="b">
        <f>OR(SelectionsTable[[#This Row],[Conversion]]=SelectedConversion,AND(SelectedConversion&lt;&gt;"(Multiple Items)",SelectedConversion&lt;&gt;"(All)",SelectionsTable[[#This Row],[Conversion]]="All"))</f>
        <v>1</v>
      </c>
      <c r="I56" s="273" t="b">
        <f>OR(SelectionsTable[[#This Row],[Data Set]]=SelectedDataSet,AND(SelectedDataSet&lt;&gt;"(Multiple Items)",SelectedDataSet&lt;&gt;"(All)",SelectionsTable[[#This Row],[Data Set]]="All"))</f>
        <v>1</v>
      </c>
      <c r="J56" s="273" t="b">
        <f>OR(SelectionsTable[[#This Row],[Technology]]=SelectedTechnology,AND(SelectedTechnology&lt;&gt;"(Multiple Items)",SelectedTechnology&lt;&gt;"(All)",SelectionsTable[[#This Row],[Technology]]="All"))</f>
        <v>1</v>
      </c>
      <c r="K56" s="273" t="b">
        <f>OR(SelectionsTable[[#This Row],[Data Source]]=SelectedDataSource,AND(SelectedDataSource&lt;&gt;"(Multiple Items)",SelectedDataSource&lt;&gt;"(All)",SelectionsTable[[#This Row],[Data Source]]="All"))</f>
        <v>1</v>
      </c>
      <c r="L56" s="272" t="b">
        <f ca="1">VALUE($R$55)=4</f>
        <v>0</v>
      </c>
      <c r="M56" s="261" t="b">
        <f>SelectionsTable[[#This Row],[GREET1 Location]]&lt;&gt;""</f>
        <v>1</v>
      </c>
      <c r="N56" s="261" t="b">
        <f ca="1">AND(SelectionsTable[[#This Row],[Show Feedstock]:[Conditional to Show]])</f>
        <v>0</v>
      </c>
      <c r="O56" s="261" t="s">
        <v>1695</v>
      </c>
      <c r="P56" s="261" t="s">
        <v>1448</v>
      </c>
      <c r="Q56" s="261" t="s">
        <v>1771</v>
      </c>
      <c r="R56" s="267" cm="1">
        <f t="array" aca="1" ref="R56" ca="1">IF(AND(NOT(RefreshDefaults),NOT(SelectionsResetting)),VALUE(IFERROR(INDEX(Selection_UD, MATCH(SelectionsTable[[#This Row],[ID]], Selection_ID, 0)),SelectionsTable[[#This Row],[Default Value]])),VALUE(SelectionsTable[[#This Row],[Default Value]]))</f>
        <v>1</v>
      </c>
      <c r="S56" s="263">
        <v>1</v>
      </c>
      <c r="T56" s="264">
        <f ca="1">SelectionsTable[[#This Row],[Input Value]]</f>
        <v>1</v>
      </c>
      <c r="U56" s="162" t="s">
        <v>1458</v>
      </c>
      <c r="V56">
        <v>1</v>
      </c>
    </row>
    <row r="57" spans="1:24" x14ac:dyDescent="0.3">
      <c r="A57"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AllAllAllAllAll_Share_RNG_LFG_H2_SAF</v>
      </c>
      <c r="B57" s="160" t="s">
        <v>435</v>
      </c>
      <c r="C57" s="160" t="s">
        <v>435</v>
      </c>
      <c r="D57" s="160" t="s">
        <v>435</v>
      </c>
      <c r="E57" s="160" t="s">
        <v>435</v>
      </c>
      <c r="F57" s="48" t="s">
        <v>435</v>
      </c>
      <c r="G57" s="273" t="b" cm="1">
        <f t="array" ref="G57">OR(NOT(ISERROR(MATCH(TRIM(_xlfn.TEXTSPLIT(SelectionsTable[[#This Row],[Feedstock]],",")),SelectedFeedstock,0))),AND(SelectedFeedstock&lt;&gt;"(Multiple Items)",SelectedFeedstock&lt;&gt;"(All)",SelectionsTable[[#This Row],[Feedstock]]="All"))</f>
        <v>1</v>
      </c>
      <c r="H57" s="273" t="b">
        <f>OR(SelectionsTable[[#This Row],[Conversion]]=SelectedConversion,AND(SelectedConversion&lt;&gt;"(Multiple Items)",SelectedConversion&lt;&gt;"(All)",SelectionsTable[[#This Row],[Conversion]]="All"))</f>
        <v>1</v>
      </c>
      <c r="I57" s="273" t="b">
        <f>OR(SelectionsTable[[#This Row],[Data Set]]=SelectedDataSet,AND(SelectedDataSet&lt;&gt;"(Multiple Items)",SelectedDataSet&lt;&gt;"(All)",SelectionsTable[[#This Row],[Data Set]]="All"))</f>
        <v>1</v>
      </c>
      <c r="J57" s="273" t="b">
        <f>OR(SelectionsTable[[#This Row],[Technology]]=SelectedTechnology,AND(SelectedTechnology&lt;&gt;"(Multiple Items)",SelectedTechnology&lt;&gt;"(All)",SelectionsTable[[#This Row],[Technology]]="All"))</f>
        <v>1</v>
      </c>
      <c r="K57" s="273" t="b">
        <f>OR(SelectionsTable[[#This Row],[Data Source]]=SelectedDataSource,AND(SelectedDataSource&lt;&gt;"(Multiple Items)",SelectedDataSource&lt;&gt;"(All)",SelectionsTable[[#This Row],[Data Source]]="All"))</f>
        <v>1</v>
      </c>
      <c r="L57" s="272" t="b">
        <f ca="1">VALUE($R$55)=4</f>
        <v>0</v>
      </c>
      <c r="M57" s="261" t="b">
        <f>SelectionsTable[[#This Row],[GREET1 Location]]&lt;&gt;""</f>
        <v>1</v>
      </c>
      <c r="N57" s="261" t="b">
        <f ca="1">AND(SelectionsTable[[#This Row],[Show Feedstock]:[Conditional to Show]])</f>
        <v>0</v>
      </c>
      <c r="O57" s="261" t="s">
        <v>1696</v>
      </c>
      <c r="P57" s="261" t="s">
        <v>1448</v>
      </c>
      <c r="Q57" s="261" t="s">
        <v>1772</v>
      </c>
      <c r="R57" s="267" cm="1">
        <f t="array" aca="1" ref="R57" ca="1">IF(AND(NOT(RefreshDefaults),NOT(SelectionsResetting)),VALUE(IFERROR(INDEX(Selection_UD, MATCH(SelectionsTable[[#This Row],[ID]], Selection_ID, 0)),SelectionsTable[[#This Row],[Default Value]])),VALUE(SelectionsTable[[#This Row],[Default Value]]))</f>
        <v>0</v>
      </c>
      <c r="S57" s="263">
        <v>0</v>
      </c>
      <c r="T57" s="264">
        <f ca="1">SelectionsTable[[#This Row],[Input Value]]</f>
        <v>0</v>
      </c>
      <c r="U57" s="162" t="s">
        <v>1458</v>
      </c>
      <c r="V57">
        <v>1</v>
      </c>
    </row>
    <row r="58" spans="1:24" x14ac:dyDescent="0.3">
      <c r="A58"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AllAllAllAllAll_Share_RNG_Animal_H2_SAF</v>
      </c>
      <c r="B58" s="160" t="s">
        <v>435</v>
      </c>
      <c r="C58" s="160" t="s">
        <v>435</v>
      </c>
      <c r="D58" s="160" t="s">
        <v>435</v>
      </c>
      <c r="E58" s="160" t="s">
        <v>435</v>
      </c>
      <c r="F58" s="48" t="s">
        <v>435</v>
      </c>
      <c r="G58" s="273" t="b" cm="1">
        <f t="array" ref="G58">OR(NOT(ISERROR(MATCH(TRIM(_xlfn.TEXTSPLIT(SelectionsTable[[#This Row],[Feedstock]],",")),SelectedFeedstock,0))),AND(SelectedFeedstock&lt;&gt;"(Multiple Items)",SelectedFeedstock&lt;&gt;"(All)",SelectionsTable[[#This Row],[Feedstock]]="All"))</f>
        <v>1</v>
      </c>
      <c r="H58" s="273" t="b">
        <f>OR(SelectionsTable[[#This Row],[Conversion]]=SelectedConversion,AND(SelectedConversion&lt;&gt;"(Multiple Items)",SelectedConversion&lt;&gt;"(All)",SelectionsTable[[#This Row],[Conversion]]="All"))</f>
        <v>1</v>
      </c>
      <c r="I58" s="273" t="b">
        <f>OR(SelectionsTable[[#This Row],[Data Set]]=SelectedDataSet,AND(SelectedDataSet&lt;&gt;"(Multiple Items)",SelectedDataSet&lt;&gt;"(All)",SelectionsTable[[#This Row],[Data Set]]="All"))</f>
        <v>1</v>
      </c>
      <c r="J58" s="273" t="b">
        <f>OR(SelectionsTable[[#This Row],[Technology]]=SelectedTechnology,AND(SelectedTechnology&lt;&gt;"(Multiple Items)",SelectedTechnology&lt;&gt;"(All)",SelectionsTable[[#This Row],[Technology]]="All"))</f>
        <v>1</v>
      </c>
      <c r="K58" s="273" t="b">
        <f>OR(SelectionsTable[[#This Row],[Data Source]]=SelectedDataSource,AND(SelectedDataSource&lt;&gt;"(Multiple Items)",SelectedDataSource&lt;&gt;"(All)",SelectionsTable[[#This Row],[Data Source]]="All"))</f>
        <v>1</v>
      </c>
      <c r="L58" s="272" t="b">
        <f t="shared" ref="L58:L60" ca="1" si="5">VALUE($R$55)=7</f>
        <v>0</v>
      </c>
      <c r="M58" s="261" t="b">
        <f>SelectionsTable[[#This Row],[GREET1 Location]]&lt;&gt;""</f>
        <v>1</v>
      </c>
      <c r="N58" s="261" t="b">
        <f ca="1">AND(SelectionsTable[[#This Row],[Show Feedstock]:[Conditional to Show]])</f>
        <v>0</v>
      </c>
      <c r="O58" s="261" t="s">
        <v>1697</v>
      </c>
      <c r="P58" s="261" t="s">
        <v>1448</v>
      </c>
      <c r="Q58" s="261" t="s">
        <v>1773</v>
      </c>
      <c r="R58" s="267" cm="1">
        <f t="array" aca="1" ref="R58" ca="1">IF(AND(NOT(RefreshDefaults),NOT(SelectionsResetting)),VALUE(IFERROR(INDEX(Selection_UD, MATCH(SelectionsTable[[#This Row],[ID]], Selection_ID, 0)),SelectionsTable[[#This Row],[Default Value]])),VALUE(SelectionsTable[[#This Row],[Default Value]]))</f>
        <v>0</v>
      </c>
      <c r="S58" s="263">
        <v>0</v>
      </c>
      <c r="T58" s="264">
        <f ca="1">SelectionsTable[[#This Row],[Input Value]]</f>
        <v>0</v>
      </c>
      <c r="U58" s="162" t="s">
        <v>1458</v>
      </c>
      <c r="V58">
        <v>1</v>
      </c>
    </row>
    <row r="59" spans="1:24" x14ac:dyDescent="0.3">
      <c r="A59"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AllAllAllAllAll_Share_RNG_Sludge_H2_SAF</v>
      </c>
      <c r="B59" s="160" t="s">
        <v>435</v>
      </c>
      <c r="C59" s="160" t="s">
        <v>435</v>
      </c>
      <c r="D59" s="160" t="s">
        <v>435</v>
      </c>
      <c r="E59" s="160" t="s">
        <v>435</v>
      </c>
      <c r="F59" s="48" t="s">
        <v>435</v>
      </c>
      <c r="G59" s="273" t="b" cm="1">
        <f t="array" ref="G59">OR(NOT(ISERROR(MATCH(TRIM(_xlfn.TEXTSPLIT(SelectionsTable[[#This Row],[Feedstock]],",")),SelectedFeedstock,0))),AND(SelectedFeedstock&lt;&gt;"(Multiple Items)",SelectedFeedstock&lt;&gt;"(All)",SelectionsTable[[#This Row],[Feedstock]]="All"))</f>
        <v>1</v>
      </c>
      <c r="H59" s="273" t="b">
        <f>OR(SelectionsTable[[#This Row],[Conversion]]=SelectedConversion,AND(SelectedConversion&lt;&gt;"(Multiple Items)",SelectedConversion&lt;&gt;"(All)",SelectionsTable[[#This Row],[Conversion]]="All"))</f>
        <v>1</v>
      </c>
      <c r="I59" s="273" t="b">
        <f>OR(SelectionsTable[[#This Row],[Data Set]]=SelectedDataSet,AND(SelectedDataSet&lt;&gt;"(Multiple Items)",SelectedDataSet&lt;&gt;"(All)",SelectionsTable[[#This Row],[Data Set]]="All"))</f>
        <v>1</v>
      </c>
      <c r="J59" s="273" t="b">
        <f>OR(SelectionsTable[[#This Row],[Technology]]=SelectedTechnology,AND(SelectedTechnology&lt;&gt;"(Multiple Items)",SelectedTechnology&lt;&gt;"(All)",SelectionsTable[[#This Row],[Technology]]="All"))</f>
        <v>1</v>
      </c>
      <c r="K59" s="273" t="b">
        <f>OR(SelectionsTable[[#This Row],[Data Source]]=SelectedDataSource,AND(SelectedDataSource&lt;&gt;"(Multiple Items)",SelectedDataSource&lt;&gt;"(All)",SelectionsTable[[#This Row],[Data Source]]="All"))</f>
        <v>1</v>
      </c>
      <c r="L59" s="272" t="b">
        <f t="shared" ca="1" si="5"/>
        <v>0</v>
      </c>
      <c r="M59" s="261" t="b">
        <f>SelectionsTable[[#This Row],[GREET1 Location]]&lt;&gt;""</f>
        <v>1</v>
      </c>
      <c r="N59" s="261" t="b">
        <f ca="1">AND(SelectionsTable[[#This Row],[Show Feedstock]:[Conditional to Show]])</f>
        <v>0</v>
      </c>
      <c r="O59" s="261" t="s">
        <v>1698</v>
      </c>
      <c r="P59" s="261" t="s">
        <v>1448</v>
      </c>
      <c r="Q59" s="261" t="s">
        <v>1774</v>
      </c>
      <c r="R59" s="267" cm="1">
        <f t="array" aca="1" ref="R59" ca="1">IF(AND(NOT(RefreshDefaults),NOT(SelectionsResetting)),VALUE(IFERROR(INDEX(Selection_UD, MATCH(SelectionsTable[[#This Row],[ID]], Selection_ID, 0)),SelectionsTable[[#This Row],[Default Value]])),VALUE(SelectionsTable[[#This Row],[Default Value]]))</f>
        <v>0</v>
      </c>
      <c r="S59" s="263">
        <v>0</v>
      </c>
      <c r="T59" s="264">
        <f ca="1">SelectionsTable[[#This Row],[Input Value]]</f>
        <v>0</v>
      </c>
      <c r="U59" s="162" t="s">
        <v>1458</v>
      </c>
      <c r="V59">
        <v>1</v>
      </c>
    </row>
    <row r="60" spans="1:24" x14ac:dyDescent="0.3">
      <c r="A60"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AllAllAllAllAll_Share_RNG_Food_H2_SAF</v>
      </c>
      <c r="B60" s="160" t="s">
        <v>435</v>
      </c>
      <c r="C60" s="160" t="s">
        <v>435</v>
      </c>
      <c r="D60" s="160" t="s">
        <v>435</v>
      </c>
      <c r="E60" s="160" t="s">
        <v>435</v>
      </c>
      <c r="F60" s="48" t="s">
        <v>435</v>
      </c>
      <c r="G60" s="273" t="b" cm="1">
        <f t="array" ref="G60">OR(NOT(ISERROR(MATCH(TRIM(_xlfn.TEXTSPLIT(SelectionsTable[[#This Row],[Feedstock]],",")),SelectedFeedstock,0))),AND(SelectedFeedstock&lt;&gt;"(Multiple Items)",SelectedFeedstock&lt;&gt;"(All)",SelectionsTable[[#This Row],[Feedstock]]="All"))</f>
        <v>1</v>
      </c>
      <c r="H60" s="273" t="b">
        <f>OR(SelectionsTable[[#This Row],[Conversion]]=SelectedConversion,AND(SelectedConversion&lt;&gt;"(Multiple Items)",SelectedConversion&lt;&gt;"(All)",SelectionsTable[[#This Row],[Conversion]]="All"))</f>
        <v>1</v>
      </c>
      <c r="I60" s="273" t="b">
        <f>OR(SelectionsTable[[#This Row],[Data Set]]=SelectedDataSet,AND(SelectedDataSet&lt;&gt;"(Multiple Items)",SelectedDataSet&lt;&gt;"(All)",SelectionsTable[[#This Row],[Data Set]]="All"))</f>
        <v>1</v>
      </c>
      <c r="J60" s="273" t="b">
        <f>OR(SelectionsTable[[#This Row],[Technology]]=SelectedTechnology,AND(SelectedTechnology&lt;&gt;"(Multiple Items)",SelectedTechnology&lt;&gt;"(All)",SelectionsTable[[#This Row],[Technology]]="All"))</f>
        <v>1</v>
      </c>
      <c r="K60" s="273" t="b">
        <f>OR(SelectionsTable[[#This Row],[Data Source]]=SelectedDataSource,AND(SelectedDataSource&lt;&gt;"(Multiple Items)",SelectedDataSource&lt;&gt;"(All)",SelectionsTable[[#This Row],[Data Source]]="All"))</f>
        <v>1</v>
      </c>
      <c r="L60" s="272" t="b">
        <f t="shared" ca="1" si="5"/>
        <v>0</v>
      </c>
      <c r="M60" s="261" t="b">
        <f>SelectionsTable[[#This Row],[GREET1 Location]]&lt;&gt;""</f>
        <v>1</v>
      </c>
      <c r="N60" s="261" t="b">
        <f ca="1">AND(SelectionsTable[[#This Row],[Show Feedstock]:[Conditional to Show]])</f>
        <v>0</v>
      </c>
      <c r="O60" s="261" t="s">
        <v>1699</v>
      </c>
      <c r="P60" s="261" t="s">
        <v>1448</v>
      </c>
      <c r="Q60" s="261" t="s">
        <v>1775</v>
      </c>
      <c r="R60" s="267" cm="1">
        <f t="array" aca="1" ref="R60" ca="1">IF(AND(NOT(RefreshDefaults),NOT(SelectionsResetting)),VALUE(IFERROR(INDEX(Selection_UD, MATCH(SelectionsTable[[#This Row],[ID]], Selection_ID, 0)),SelectionsTable[[#This Row],[Default Value]])),VALUE(SelectionsTable[[#This Row],[Default Value]]))</f>
        <v>0</v>
      </c>
      <c r="S60" s="263">
        <v>0</v>
      </c>
      <c r="T60" s="264">
        <f ca="1">SelectionsTable[[#This Row],[Input Value]]</f>
        <v>0</v>
      </c>
      <c r="U60" s="162" t="s">
        <v>1458</v>
      </c>
      <c r="V60">
        <v>1</v>
      </c>
    </row>
    <row r="61" spans="1:24" x14ac:dyDescent="0.3">
      <c r="A61"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AllAllAllAllAll_Share_45VModeled_H2_SAF</v>
      </c>
      <c r="B61" s="160" t="s">
        <v>435</v>
      </c>
      <c r="C61" s="160" t="s">
        <v>435</v>
      </c>
      <c r="D61" s="160" t="s">
        <v>435</v>
      </c>
      <c r="E61" s="160" t="s">
        <v>435</v>
      </c>
      <c r="F61" s="48" t="s">
        <v>435</v>
      </c>
      <c r="G61" s="273" t="b" cm="1">
        <f t="array" ref="G61">OR(NOT(ISERROR(MATCH(TRIM(_xlfn.TEXTSPLIT(SelectionsTable[[#This Row],[Feedstock]],",")),SelectedFeedstock,0))),AND(SelectedFeedstock&lt;&gt;"(Multiple Items)",SelectedFeedstock&lt;&gt;"(All)",SelectionsTable[[#This Row],[Feedstock]]="All"))</f>
        <v>1</v>
      </c>
      <c r="H61" s="273" t="b">
        <f>OR(SelectionsTable[[#This Row],[Conversion]]=SelectedConversion,AND(SelectedConversion&lt;&gt;"(Multiple Items)",SelectedConversion&lt;&gt;"(All)",SelectionsTable[[#This Row],[Conversion]]="All"))</f>
        <v>1</v>
      </c>
      <c r="I61" s="273" t="b">
        <f>OR(SelectionsTable[[#This Row],[Data Set]]=SelectedDataSet,AND(SelectedDataSet&lt;&gt;"(Multiple Items)",SelectedDataSet&lt;&gt;"(All)",SelectionsTable[[#This Row],[Data Set]]="All"))</f>
        <v>1</v>
      </c>
      <c r="J61" s="273" t="b">
        <f>OR(SelectionsTable[[#This Row],[Technology]]=SelectedTechnology,AND(SelectedTechnology&lt;&gt;"(Multiple Items)",SelectedTechnology&lt;&gt;"(All)",SelectionsTable[[#This Row],[Technology]]="All"))</f>
        <v>1</v>
      </c>
      <c r="K61" s="273" t="b">
        <f>OR(SelectionsTable[[#This Row],[Data Source]]=SelectedDataSource,AND(SelectedDataSource&lt;&gt;"(Multiple Items)",SelectedDataSource&lt;&gt;"(All)",SelectionsTable[[#This Row],[Data Source]]="All"))</f>
        <v>1</v>
      </c>
      <c r="L61" s="272" t="b">
        <f ca="1">VALUE($R$55)=4</f>
        <v>0</v>
      </c>
      <c r="M61" s="261" t="b">
        <f>SelectionsTable[[#This Row],[GREET1 Location]]&lt;&gt;""</f>
        <v>1</v>
      </c>
      <c r="N61" s="261" t="b">
        <f ca="1">AND(SelectionsTable[[#This Row],[Show Feedstock]:[Conditional to Show]])</f>
        <v>0</v>
      </c>
      <c r="O61" s="261" t="s">
        <v>2290</v>
      </c>
      <c r="P61" s="261" t="s">
        <v>1448</v>
      </c>
      <c r="Q61" s="261" t="s">
        <v>1776</v>
      </c>
      <c r="R61" s="267" cm="1">
        <f t="array" aca="1" ref="R61" ca="1">IF(AND(NOT(RefreshDefaults),NOT(SelectionsResetting)),VALUE(IFERROR(INDEX(Selection_UD, MATCH(SelectionsTable[[#This Row],[ID]], Selection_ID, 0)),SelectionsTable[[#This Row],[Default Value]])),VALUE(SelectionsTable[[#This Row],[Default Value]]))</f>
        <v>0</v>
      </c>
      <c r="S61" s="263">
        <v>0</v>
      </c>
      <c r="T61" s="264">
        <f ca="1">SelectionsTable[[#This Row],[Input Value]]</f>
        <v>0</v>
      </c>
      <c r="U61" s="162" t="s">
        <v>1458</v>
      </c>
      <c r="V61">
        <v>1</v>
      </c>
    </row>
    <row r="62" spans="1:24" x14ac:dyDescent="0.3">
      <c r="A62"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AllAllAllAllAll_SAF_45VModeled_H2_CI</v>
      </c>
      <c r="B62" s="261" t="s">
        <v>435</v>
      </c>
      <c r="C62" s="261" t="s">
        <v>435</v>
      </c>
      <c r="D62" s="261" t="s">
        <v>435</v>
      </c>
      <c r="E62" s="184" t="s">
        <v>435</v>
      </c>
      <c r="F62" s="184" t="s">
        <v>435</v>
      </c>
      <c r="G62" s="273" t="b" cm="1">
        <f t="array" ref="G62">OR(NOT(ISERROR(MATCH(TRIM(_xlfn.TEXTSPLIT(SelectionsTable[[#This Row],[Feedstock]],",")),SelectedFeedstock,0))),AND(SelectedFeedstock&lt;&gt;"(Multiple Items)",SelectedFeedstock&lt;&gt;"(All)",SelectionsTable[[#This Row],[Feedstock]]="All"))</f>
        <v>1</v>
      </c>
      <c r="H62" s="273" t="b">
        <f>OR(SelectionsTable[[#This Row],[Conversion]]=SelectedConversion,AND(SelectedConversion&lt;&gt;"(Multiple Items)",SelectedConversion&lt;&gt;"(All)",SelectionsTable[[#This Row],[Conversion]]="All"))</f>
        <v>1</v>
      </c>
      <c r="I62" s="273" t="b">
        <f>OR(SelectionsTable[[#This Row],[Data Set]]=SelectedDataSet,AND(SelectedDataSet&lt;&gt;"(Multiple Items)",SelectedDataSet&lt;&gt;"(All)",SelectionsTable[[#This Row],[Data Set]]="All"))</f>
        <v>1</v>
      </c>
      <c r="J62" s="273" t="b">
        <f>OR(SelectionsTable[[#This Row],[Technology]]=SelectedTechnology,AND(SelectedTechnology&lt;&gt;"(Multiple Items)",SelectedTechnology&lt;&gt;"(All)",SelectionsTable[[#This Row],[Technology]]="All"))</f>
        <v>1</v>
      </c>
      <c r="K62" s="273" t="b">
        <f>OR(SelectionsTable[[#This Row],[Data Source]]=SelectedDataSource,AND(SelectedDataSource&lt;&gt;"(Multiple Items)",SelectedDataSource&lt;&gt;"(All)",SelectionsTable[[#This Row],[Data Source]]="All"))</f>
        <v>1</v>
      </c>
      <c r="L62" s="272" t="b">
        <f ca="1">OR(VALUE($R$55)=4, VALUE($R$55)=3)</f>
        <v>0</v>
      </c>
      <c r="M62" s="261" t="b">
        <f>SelectionsTable[[#This Row],[GREET1 Location]]&lt;&gt;""</f>
        <v>1</v>
      </c>
      <c r="N62" s="261" t="b">
        <f ca="1">AND(SelectionsTable[[#This Row],[Show Feedstock]:[Conditional to Show]])</f>
        <v>0</v>
      </c>
      <c r="O62" t="s">
        <v>2291</v>
      </c>
      <c r="P62" s="261" t="s">
        <v>1448</v>
      </c>
      <c r="Q62" s="264" t="s">
        <v>1777</v>
      </c>
      <c r="R62" s="266" cm="1">
        <f t="array" aca="1" ref="R62" ca="1">IF(AND(NOT(RefreshDefaults),NOT(SelectionsResetting)),VALUE(IFERROR(INDEX(Selection_UD, MATCH(SelectionsTable[[#This Row],[ID]], Selection_ID, 0)),SelectionsTable[[#This Row],[Default Value]])),VALUE(SelectionsTable[[#This Row],[Default Value]]))</f>
        <v>3</v>
      </c>
      <c r="S62" s="263">
        <v>3</v>
      </c>
      <c r="T62" s="268">
        <f ca="1">SelectionsTable[[#This Row],[Input Value]]/kg2g*Fuel_Specs!$E$81/Fuel_Specs!$B$81/BTU2mmBTU*kg2g</f>
        <v>26379.310344827587</v>
      </c>
      <c r="U62" s="162" t="s">
        <v>174</v>
      </c>
      <c r="X62" s="310"/>
    </row>
    <row r="63" spans="1:24" x14ac:dyDescent="0.3">
      <c r="A63"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Canola/Rapeseed, Corn, SugarcaneAllAllAllAll_Conventional_Ammonia_Share</v>
      </c>
      <c r="B63" s="160" t="s">
        <v>1634</v>
      </c>
      <c r="C63" s="160" t="s">
        <v>435</v>
      </c>
      <c r="D63" s="160" t="s">
        <v>435</v>
      </c>
      <c r="E63" s="160" t="s">
        <v>435</v>
      </c>
      <c r="F63" s="48" t="s">
        <v>435</v>
      </c>
      <c r="G63" s="273" t="b" cm="1">
        <f t="array" ref="G63">OR(NOT(ISERROR(MATCH(TRIM(_xlfn.TEXTSPLIT(SelectionsTable[[#This Row],[Feedstock]],",")),SelectedFeedstock,0))),AND(SelectedFeedstock&lt;&gt;"(Multiple Items)",SelectedFeedstock&lt;&gt;"(All)",SelectionsTable[[#This Row],[Feedstock]]="All"))</f>
        <v>1</v>
      </c>
      <c r="H63" s="273" t="b">
        <f>OR(SelectionsTable[[#This Row],[Conversion]]=SelectedConversion,AND(SelectedConversion&lt;&gt;"(Multiple Items)",SelectedConversion&lt;&gt;"(All)",SelectionsTable[[#This Row],[Conversion]]="All"))</f>
        <v>1</v>
      </c>
      <c r="I63" s="273" t="b">
        <f>OR(SelectionsTable[[#This Row],[Data Set]]=SelectedDataSet,AND(SelectedDataSet&lt;&gt;"(Multiple Items)",SelectedDataSet&lt;&gt;"(All)",SelectionsTable[[#This Row],[Data Set]]="All"))</f>
        <v>1</v>
      </c>
      <c r="J63" s="273" t="b">
        <f>OR(SelectionsTable[[#This Row],[Technology]]=SelectedTechnology,AND(SelectedTechnology&lt;&gt;"(Multiple Items)",SelectedTechnology&lt;&gt;"(All)",SelectionsTable[[#This Row],[Technology]]="All"))</f>
        <v>1</v>
      </c>
      <c r="K63" s="273" t="b">
        <f>OR(SelectionsTable[[#This Row],[Data Source]]=SelectedDataSource,AND(SelectedDataSource&lt;&gt;"(Multiple Items)",SelectedDataSource&lt;&gt;"(All)",SelectionsTable[[#This Row],[Data Source]]="All"))</f>
        <v>1</v>
      </c>
      <c r="L63" s="273" t="b">
        <v>0</v>
      </c>
      <c r="M63" s="261" t="b">
        <f>SelectionsTable[[#This Row],[GREET1 Location]]&lt;&gt;""</f>
        <v>1</v>
      </c>
      <c r="N63" s="261" t="b">
        <f>AND(SelectionsTable[[#This Row],[Show Feedstock]:[Conditional to Show]])</f>
        <v>0</v>
      </c>
      <c r="O63" s="261" t="s">
        <v>1580</v>
      </c>
      <c r="P63" s="261" t="s">
        <v>1470</v>
      </c>
      <c r="Q63" s="261" t="s">
        <v>1778</v>
      </c>
      <c r="R63" s="267" cm="1">
        <f t="array" aca="1" ref="R63" ca="1">IF(AND(NOT(RefreshDefaults),NOT(SelectionsResetting)),VALUE(IFERROR(INDEX(Selection_UD, MATCH(SelectionsTable[[#This Row],[ID]], Selection_ID, 0)),SelectionsTable[[#This Row],[Default Value]])),VALUE(SelectionsTable[[#This Row],[Default Value]]))</f>
        <v>1</v>
      </c>
      <c r="S63" s="263">
        <v>1</v>
      </c>
      <c r="T63" s="261">
        <f ca="1">IF(SelectionsTable[[#This Row],[Input Value]]=1, 100%, 0)</f>
        <v>1</v>
      </c>
      <c r="U63" s="162" t="s">
        <v>904</v>
      </c>
      <c r="V63">
        <v>1</v>
      </c>
      <c r="W63">
        <v>2</v>
      </c>
      <c r="X63" t="s">
        <v>1609</v>
      </c>
    </row>
    <row r="64" spans="1:24" x14ac:dyDescent="0.3">
      <c r="A64"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dash_Soybean, Canola/Rapeseed, Corn, SugarcaneAllAllAllAll_Feedstock Production (Farming), Type of motor for ag machinery_Feedstock Production (Farming)</v>
      </c>
      <c r="B64" s="160" t="s">
        <v>1634</v>
      </c>
      <c r="C64" s="160" t="s">
        <v>435</v>
      </c>
      <c r="D64" s="160" t="s">
        <v>435</v>
      </c>
      <c r="E64" s="160" t="s">
        <v>435</v>
      </c>
      <c r="F64" s="48" t="s">
        <v>435</v>
      </c>
      <c r="G64" s="272" t="b" cm="1">
        <f t="array" ref="G64">OR(NOT(ISERROR(MATCH(TRIM(_xlfn.TEXTSPLIT(SelectionsTable[[#This Row],[Feedstock]],",")),SelectedFeedstock,0))),AND(SelectedFeedstock&lt;&gt;"(Multiple Items)",SelectedFeedstock&lt;&gt;"(All)",SelectionsTable[[#This Row],[Feedstock]]="All"))</f>
        <v>1</v>
      </c>
      <c r="H64" s="272" t="b">
        <f>OR(SelectionsTable[[#This Row],[Conversion]]=SelectedConversion,AND(SelectedConversion&lt;&gt;"(Multiple Items)",SelectedConversion&lt;&gt;"(All)",SelectionsTable[[#This Row],[Conversion]]="All"))</f>
        <v>1</v>
      </c>
      <c r="I64" s="272" t="b">
        <f>OR(SelectionsTable[[#This Row],[Data Set]]=SelectedDataSet,AND(SelectedDataSet&lt;&gt;"(Multiple Items)",SelectedDataSet&lt;&gt;"(All)",SelectionsTable[[#This Row],[Data Set]]="All"))</f>
        <v>1</v>
      </c>
      <c r="J64" s="272" t="b">
        <f>OR(SelectionsTable[[#This Row],[Technology]]=SelectedTechnology,AND(SelectedTechnology&lt;&gt;"(Multiple Items)",SelectedTechnology&lt;&gt;"(All)",SelectionsTable[[#This Row],[Technology]]="All"))</f>
        <v>1</v>
      </c>
      <c r="K64" s="272" t="b">
        <f>OR(SelectionsTable[[#This Row],[Data Source]]=SelectedDataSource,AND(SelectedDataSource&lt;&gt;"(Multiple Items)",SelectedDataSource&lt;&gt;"(All)",SelectionsTable[[#This Row],[Data Source]]="All"))</f>
        <v>1</v>
      </c>
      <c r="L64" s="273" t="b">
        <f>FALSE</f>
        <v>0</v>
      </c>
      <c r="M64" s="160" t="b">
        <f>SelectionsTable[[#This Row],[GREET1 Location]]&lt;&gt;""</f>
        <v>0</v>
      </c>
      <c r="N64" s="160" t="b">
        <f>AND(SelectionsTable[[#This Row],[Show Feedstock]:[Conditional to Show]])</f>
        <v>0</v>
      </c>
      <c r="O64" s="160"/>
      <c r="P64" s="160" t="s">
        <v>1470</v>
      </c>
      <c r="Q64" s="160" t="s">
        <v>1779</v>
      </c>
      <c r="R64" s="262" cm="1">
        <f t="array" aca="1" ref="R64" ca="1">IF(AND(NOT(RefreshDefaults),NOT(SelectionsResetting)),VALUE(IFERROR(INDEX(Selection_UD, MATCH(SelectionsTable[[#This Row],[ID]], Selection_ID, 0)),SelectionsTable[[#This Row],[Default Value]])),VALUE(SelectionsTable[[#This Row],[Default Value]]))</f>
        <v>1</v>
      </c>
      <c r="S64" s="263">
        <v>1</v>
      </c>
      <c r="T64" s="264">
        <f ca="1">SelectionsTable[[#This Row],[Input Value]]</f>
        <v>1</v>
      </c>
      <c r="U64" s="162" t="s">
        <v>904</v>
      </c>
      <c r="V64">
        <v>1</v>
      </c>
      <c r="W64">
        <v>2</v>
      </c>
      <c r="X64" t="s">
        <v>1610</v>
      </c>
    </row>
    <row r="65" spans="1:24" x14ac:dyDescent="0.3">
      <c r="A65"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dash_Soybean, Canola/Rapeseed, Corn, SugarcaneAllAllAllAll_Feedstock Production (Farming), Blend for diesel ag machinery_Feedstock Production (Farming)</v>
      </c>
      <c r="B65" s="160" t="s">
        <v>1634</v>
      </c>
      <c r="C65" s="160" t="s">
        <v>435</v>
      </c>
      <c r="D65" s="160" t="s">
        <v>435</v>
      </c>
      <c r="E65" s="160" t="s">
        <v>435</v>
      </c>
      <c r="F65" s="48" t="s">
        <v>435</v>
      </c>
      <c r="G65" s="272" t="b" cm="1">
        <f t="array" ref="G65">OR(NOT(ISERROR(MATCH(TRIM(_xlfn.TEXTSPLIT(SelectionsTable[[#This Row],[Feedstock]],",")),SelectedFeedstock,0))),AND(SelectedFeedstock&lt;&gt;"(Multiple Items)",SelectedFeedstock&lt;&gt;"(All)",SelectionsTable[[#This Row],[Feedstock]]="All"))</f>
        <v>1</v>
      </c>
      <c r="H65" s="272" t="b">
        <f>OR(SelectionsTable[[#This Row],[Conversion]]=SelectedConversion,AND(SelectedConversion&lt;&gt;"(Multiple Items)",SelectedConversion&lt;&gt;"(All)",SelectionsTable[[#This Row],[Conversion]]="All"))</f>
        <v>1</v>
      </c>
      <c r="I65" s="272" t="b">
        <f>OR(SelectionsTable[[#This Row],[Data Set]]=SelectedDataSet,AND(SelectedDataSet&lt;&gt;"(Multiple Items)",SelectedDataSet&lt;&gt;"(All)",SelectionsTable[[#This Row],[Data Set]]="All"))</f>
        <v>1</v>
      </c>
      <c r="J65" s="272" t="b">
        <f>OR(SelectionsTable[[#This Row],[Technology]]=SelectedTechnology,AND(SelectedTechnology&lt;&gt;"(Multiple Items)",SelectedTechnology&lt;&gt;"(All)",SelectionsTable[[#This Row],[Technology]]="All"))</f>
        <v>1</v>
      </c>
      <c r="K65" s="272" t="b">
        <f>OR(SelectionsTable[[#This Row],[Data Source]]=SelectedDataSource,AND(SelectedDataSource&lt;&gt;"(Multiple Items)",SelectedDataSource&lt;&gt;"(All)",SelectionsTable[[#This Row],[Data Source]]="All"))</f>
        <v>1</v>
      </c>
      <c r="L65" s="273" t="b">
        <f>FALSE</f>
        <v>0</v>
      </c>
      <c r="M65" s="160" t="b">
        <f>SelectionsTable[[#This Row],[GREET1 Location]]&lt;&gt;""</f>
        <v>0</v>
      </c>
      <c r="N65" s="160" t="b">
        <f>AND(SelectionsTable[[#This Row],[Show Feedstock]:[Conditional to Show]])</f>
        <v>0</v>
      </c>
      <c r="O65" s="160"/>
      <c r="P65" s="160" t="s">
        <v>1470</v>
      </c>
      <c r="Q65" s="160" t="s">
        <v>1780</v>
      </c>
      <c r="R65" s="262" cm="1">
        <f t="array" aca="1" ref="R65" ca="1">IF(AND(NOT(RefreshDefaults),NOT(SelectionsResetting)),VALUE(IFERROR(INDEX(Selection_UD, MATCH(SelectionsTable[[#This Row],[ID]], Selection_ID, 0)),SelectionsTable[[#This Row],[Default Value]])),VALUE(SelectionsTable[[#This Row],[Default Value]]))</f>
        <v>1</v>
      </c>
      <c r="S65" s="263">
        <v>1</v>
      </c>
      <c r="T65" s="264">
        <f ca="1">SelectionsTable[[#This Row],[Input Value]]</f>
        <v>1</v>
      </c>
      <c r="U65" s="162" t="s">
        <v>904</v>
      </c>
      <c r="V65">
        <v>1</v>
      </c>
      <c r="W65">
        <v>2</v>
      </c>
      <c r="X65" t="s">
        <v>1611</v>
      </c>
    </row>
    <row r="66" spans="1:24" x14ac:dyDescent="0.3">
      <c r="A66"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dash_Soybean, Canola/Rapeseed, Corn, SugarcaneAllAllAllAll_Source of diesel for agricultural machinery, Conventional Diesel - Volumetric Share_Source of diesel for agricultural machinery</v>
      </c>
      <c r="B66" s="160" t="s">
        <v>1634</v>
      </c>
      <c r="C66" s="160" t="s">
        <v>435</v>
      </c>
      <c r="D66" s="160" t="s">
        <v>435</v>
      </c>
      <c r="E66" s="160" t="s">
        <v>435</v>
      </c>
      <c r="F66" s="48" t="s">
        <v>435</v>
      </c>
      <c r="G66" s="273" t="b" cm="1">
        <f t="array" ref="G66">OR(NOT(ISERROR(MATCH(TRIM(_xlfn.TEXTSPLIT(SelectionsTable[[#This Row],[Feedstock]],",")),SelectedFeedstock,0))),AND(SelectedFeedstock&lt;&gt;"(Multiple Items)",SelectedFeedstock&lt;&gt;"(All)",SelectionsTable[[#This Row],[Feedstock]]="All"))</f>
        <v>1</v>
      </c>
      <c r="H66" s="273" t="b">
        <f>OR(SelectionsTable[[#This Row],[Conversion]]=SelectedConversion,AND(SelectedConversion&lt;&gt;"(Multiple Items)",SelectedConversion&lt;&gt;"(All)",SelectionsTable[[#This Row],[Conversion]]="All"))</f>
        <v>1</v>
      </c>
      <c r="I66" s="273" t="b">
        <f>OR(SelectionsTable[[#This Row],[Data Set]]=SelectedDataSet,AND(SelectedDataSet&lt;&gt;"(Multiple Items)",SelectedDataSet&lt;&gt;"(All)",SelectionsTable[[#This Row],[Data Set]]="All"))</f>
        <v>1</v>
      </c>
      <c r="J66" s="273" t="b">
        <f>OR(SelectionsTable[[#This Row],[Technology]]=SelectedTechnology,AND(SelectedTechnology&lt;&gt;"(Multiple Items)",SelectedTechnology&lt;&gt;"(All)",SelectionsTable[[#This Row],[Technology]]="All"))</f>
        <v>1</v>
      </c>
      <c r="K66" s="273" t="b">
        <f>OR(SelectionsTable[[#This Row],[Data Source]]=SelectedDataSource,AND(SelectedDataSource&lt;&gt;"(Multiple Items)",SelectedDataSource&lt;&gt;"(All)",SelectionsTable[[#This Row],[Data Source]]="All"))</f>
        <v>1</v>
      </c>
      <c r="L66" s="273" t="b">
        <f>FALSE</f>
        <v>0</v>
      </c>
      <c r="M66" s="261" t="b">
        <f>SelectionsTable[[#This Row],[GREET1 Location]]&lt;&gt;""</f>
        <v>0</v>
      </c>
      <c r="N66" s="261" t="b">
        <f>AND(SelectionsTable[[#This Row],[Show Feedstock]:[Conditional to Show]])</f>
        <v>0</v>
      </c>
      <c r="O66" s="261"/>
      <c r="P66" s="261" t="s">
        <v>1471</v>
      </c>
      <c r="Q66" s="261" t="s">
        <v>1781</v>
      </c>
      <c r="R66" s="163" cm="1">
        <f t="array" aca="1" ref="R66" ca="1">IF(AND(NOT(RefreshDefaults),NOT(SelectionsResetting)),VALUE(IFERROR(INDEX(Selection_UD, MATCH(SelectionsTable[[#This Row],[ID]], Selection_ID, 0)),SelectionsTable[[#This Row],[Default Value]])),VALUE(SelectionsTable[[#This Row],[Default Value]]))</f>
        <v>1</v>
      </c>
      <c r="S66" s="263">
        <f>IF(SelectedFeedstock="Sugarcane",90.0363036824983%,1)</f>
        <v>1</v>
      </c>
      <c r="T66" s="263">
        <f ca="1">SelectionsTable[[#This Row],[Input Value]]</f>
        <v>1</v>
      </c>
      <c r="U66" s="162" t="s">
        <v>1458</v>
      </c>
    </row>
    <row r="67" spans="1:24" x14ac:dyDescent="0.3">
      <c r="A67"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dash_Soybean, Canola/Rapeseed, Corn, SugarcaneAllAllAllAll_Source of diesel for agricultural machinery, Biodiesel - Volumetric Share_Source of diesel for agricultural machinery</v>
      </c>
      <c r="B67" s="160" t="s">
        <v>1634</v>
      </c>
      <c r="C67" s="160" t="s">
        <v>435</v>
      </c>
      <c r="D67" s="160" t="s">
        <v>435</v>
      </c>
      <c r="E67" s="160" t="s">
        <v>435</v>
      </c>
      <c r="F67" s="48" t="s">
        <v>435</v>
      </c>
      <c r="G67" s="273" t="b" cm="1">
        <f t="array" ref="G67">OR(NOT(ISERROR(MATCH(TRIM(_xlfn.TEXTSPLIT(SelectionsTable[[#This Row],[Feedstock]],",")),SelectedFeedstock,0))),AND(SelectedFeedstock&lt;&gt;"(Multiple Items)",SelectedFeedstock&lt;&gt;"(All)",SelectionsTable[[#This Row],[Feedstock]]="All"))</f>
        <v>1</v>
      </c>
      <c r="H67" s="273" t="b">
        <f>OR(SelectionsTable[[#This Row],[Conversion]]=SelectedConversion,AND(SelectedConversion&lt;&gt;"(Multiple Items)",SelectedConversion&lt;&gt;"(All)",SelectionsTable[[#This Row],[Conversion]]="All"))</f>
        <v>1</v>
      </c>
      <c r="I67" s="273" t="b">
        <f>OR(SelectionsTable[[#This Row],[Data Set]]=SelectedDataSet,AND(SelectedDataSet&lt;&gt;"(Multiple Items)",SelectedDataSet&lt;&gt;"(All)",SelectionsTable[[#This Row],[Data Set]]="All"))</f>
        <v>1</v>
      </c>
      <c r="J67" s="273" t="b">
        <f>OR(SelectionsTable[[#This Row],[Technology]]=SelectedTechnology,AND(SelectedTechnology&lt;&gt;"(Multiple Items)",SelectedTechnology&lt;&gt;"(All)",SelectionsTable[[#This Row],[Technology]]="All"))</f>
        <v>1</v>
      </c>
      <c r="K67" s="273" t="b">
        <f>OR(SelectionsTable[[#This Row],[Data Source]]=SelectedDataSource,AND(SelectedDataSource&lt;&gt;"(Multiple Items)",SelectedDataSource&lt;&gt;"(All)",SelectionsTable[[#This Row],[Data Source]]="All"))</f>
        <v>1</v>
      </c>
      <c r="L67" s="273" t="b">
        <f>FALSE</f>
        <v>0</v>
      </c>
      <c r="M67" s="261" t="b">
        <f>SelectionsTable[[#This Row],[GREET1 Location]]&lt;&gt;""</f>
        <v>0</v>
      </c>
      <c r="N67" s="261" t="b">
        <f>AND(SelectionsTable[[#This Row],[Show Feedstock]:[Conditional to Show]])</f>
        <v>0</v>
      </c>
      <c r="O67" s="261"/>
      <c r="P67" s="261" t="s">
        <v>1471</v>
      </c>
      <c r="Q67" s="261" t="s">
        <v>1782</v>
      </c>
      <c r="R67" s="163" cm="1">
        <f t="array" aca="1" ref="R67" ca="1">IF(AND(NOT(RefreshDefaults),NOT(SelectionsResetting)),VALUE(IFERROR(INDEX(Selection_UD, MATCH(SelectionsTable[[#This Row],[ID]], Selection_ID, 0)),SelectionsTable[[#This Row],[Default Value]])),VALUE(SelectionsTable[[#This Row],[Default Value]]))</f>
        <v>0</v>
      </c>
      <c r="S67" s="263">
        <f>1-S66</f>
        <v>0</v>
      </c>
      <c r="T67" s="263">
        <f ca="1">SelectionsTable[[#This Row],[Input Value]]</f>
        <v>0</v>
      </c>
      <c r="U67" s="162" t="s">
        <v>1458</v>
      </c>
    </row>
    <row r="68" spans="1:24" x14ac:dyDescent="0.3">
      <c r="A68"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dash_Soybean, Canola/Rapeseed, Corn, SugarcaneAllAllAllAll_Source of diesel for agricultural machinery, Renewable Diesel_Source of diesel for agricultural machinery</v>
      </c>
      <c r="B68" s="160" t="s">
        <v>1634</v>
      </c>
      <c r="C68" s="160" t="s">
        <v>435</v>
      </c>
      <c r="D68" s="160" t="s">
        <v>435</v>
      </c>
      <c r="E68" s="160" t="s">
        <v>435</v>
      </c>
      <c r="F68" s="48" t="s">
        <v>435</v>
      </c>
      <c r="G68" s="273" t="b" cm="1">
        <f t="array" ref="G68">OR(NOT(ISERROR(MATCH(TRIM(_xlfn.TEXTSPLIT(SelectionsTable[[#This Row],[Feedstock]],",")),SelectedFeedstock,0))),AND(SelectedFeedstock&lt;&gt;"(Multiple Items)",SelectedFeedstock&lt;&gt;"(All)",SelectionsTable[[#This Row],[Feedstock]]="All"))</f>
        <v>1</v>
      </c>
      <c r="H68" s="273" t="b">
        <f>OR(SelectionsTable[[#This Row],[Conversion]]=SelectedConversion,AND(SelectedConversion&lt;&gt;"(Multiple Items)",SelectedConversion&lt;&gt;"(All)",SelectionsTable[[#This Row],[Conversion]]="All"))</f>
        <v>1</v>
      </c>
      <c r="I68" s="273" t="b">
        <f>OR(SelectionsTable[[#This Row],[Data Set]]=SelectedDataSet,AND(SelectedDataSet&lt;&gt;"(Multiple Items)",SelectedDataSet&lt;&gt;"(All)",SelectionsTable[[#This Row],[Data Set]]="All"))</f>
        <v>1</v>
      </c>
      <c r="J68" s="273" t="b">
        <f>OR(SelectionsTable[[#This Row],[Technology]]=SelectedTechnology,AND(SelectedTechnology&lt;&gt;"(Multiple Items)",SelectedTechnology&lt;&gt;"(All)",SelectionsTable[[#This Row],[Technology]]="All"))</f>
        <v>1</v>
      </c>
      <c r="K68" s="273" t="b">
        <f>OR(SelectionsTable[[#This Row],[Data Source]]=SelectedDataSource,AND(SelectedDataSource&lt;&gt;"(Multiple Items)",SelectedDataSource&lt;&gt;"(All)",SelectionsTable[[#This Row],[Data Source]]="All"))</f>
        <v>1</v>
      </c>
      <c r="L68" s="273" t="b">
        <f ca="1">AND(VALUE(R65)=2,VALUE(R64)=1)</f>
        <v>0</v>
      </c>
      <c r="M68" s="261" t="b">
        <f>SelectionsTable[[#This Row],[GREET1 Location]]&lt;&gt;""</f>
        <v>0</v>
      </c>
      <c r="N68" s="261" t="b">
        <f ca="1">AND(SelectionsTable[[#This Row],[Show Feedstock]:[Conditional to Show]])</f>
        <v>0</v>
      </c>
      <c r="O68" s="261"/>
      <c r="P68" s="261" t="s">
        <v>1471</v>
      </c>
      <c r="Q68" s="261" t="s">
        <v>1783</v>
      </c>
      <c r="R68" s="163" cm="1">
        <f t="array" aca="1" ref="R68" ca="1">IF(AND(NOT(RefreshDefaults),NOT(SelectionsResetting)),VALUE(IFERROR(INDEX(Selection_UD, MATCH(SelectionsTable[[#This Row],[ID]], Selection_ID, 0)),SelectionsTable[[#This Row],[Default Value]])),VALUE(SelectionsTable[[#This Row],[Default Value]]))</f>
        <v>0</v>
      </c>
      <c r="S68" s="263">
        <f>1-S66</f>
        <v>0</v>
      </c>
      <c r="T68" s="263">
        <f ca="1">SelectionsTable[[#This Row],[Input Value]]</f>
        <v>0</v>
      </c>
      <c r="U68" s="162" t="s">
        <v>1458</v>
      </c>
    </row>
    <row r="69" spans="1:24" x14ac:dyDescent="0.3">
      <c r="A69"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SugarcaneAllAllAllAll_Sugarcane_Farming_Electricity_Source_Option</v>
      </c>
      <c r="B69" s="160" t="s">
        <v>447</v>
      </c>
      <c r="C69" s="160" t="s">
        <v>435</v>
      </c>
      <c r="D69" s="160" t="s">
        <v>435</v>
      </c>
      <c r="E69" s="160" t="s">
        <v>435</v>
      </c>
      <c r="F69" s="48" t="s">
        <v>435</v>
      </c>
      <c r="G69" s="272" t="b" cm="1">
        <f t="array" ref="G69">OR(NOT(ISERROR(MATCH(TRIM(_xlfn.TEXTSPLIT(SelectionsTable[[#This Row],[Feedstock]],",")),SelectedFeedstock,0))),AND(SelectedFeedstock&lt;&gt;"(Multiple Items)",SelectedFeedstock&lt;&gt;"(All)",SelectionsTable[[#This Row],[Feedstock]]="All"))</f>
        <v>0</v>
      </c>
      <c r="H69" s="272" t="b">
        <f>OR(SelectionsTable[[#This Row],[Conversion]]=SelectedConversion,AND(SelectedConversion&lt;&gt;"(Multiple Items)",SelectedConversion&lt;&gt;"(All)",SelectionsTable[[#This Row],[Conversion]]="All"))</f>
        <v>1</v>
      </c>
      <c r="I69" s="272" t="b">
        <f>OR(SelectionsTable[[#This Row],[Data Set]]=SelectedDataSet,AND(SelectedDataSet&lt;&gt;"(Multiple Items)",SelectedDataSet&lt;&gt;"(All)",SelectionsTable[[#This Row],[Data Set]]="All"))</f>
        <v>1</v>
      </c>
      <c r="J69" s="272" t="b">
        <f>OR(SelectionsTable[[#This Row],[Technology]]=SelectedTechnology,AND(SelectedTechnology&lt;&gt;"(Multiple Items)",SelectedTechnology&lt;&gt;"(All)",SelectionsTable[[#This Row],[Technology]]="All"))</f>
        <v>1</v>
      </c>
      <c r="K69" s="272" t="b">
        <f>OR(SelectionsTable[[#This Row],[Data Source]]=SelectedDataSource,AND(SelectedDataSource&lt;&gt;"(Multiple Items)",SelectedDataSource&lt;&gt;"(All)",SelectionsTable[[#This Row],[Data Source]]="All"))</f>
        <v>1</v>
      </c>
      <c r="L69" s="273" t="b">
        <v>0</v>
      </c>
      <c r="M69" s="160" t="b">
        <f>SelectionsTable[[#This Row],[GREET1 Location]]&lt;&gt;""</f>
        <v>1</v>
      </c>
      <c r="N69" s="160" t="b">
        <f>AND(SelectionsTable[[#This Row],[Show Feedstock]:[Conditional to Show]])</f>
        <v>0</v>
      </c>
      <c r="O69" s="160" t="s">
        <v>1529</v>
      </c>
      <c r="P69" s="160" t="s">
        <v>1530</v>
      </c>
      <c r="Q69" s="160" t="s">
        <v>2162</v>
      </c>
      <c r="R69" s="267" cm="1">
        <f t="array" aca="1" ref="R69" ca="1">IF(AND(NOT(RefreshDefaults),NOT(SelectionsResetting)),VALUE(IFERROR(INDEX(Selection_UD, MATCH(SelectionsTable[[#This Row],[ID]], Selection_ID, 0)),SelectionsTable[[#This Row],[Default Value]])),VALUE(SelectionsTable[[#This Row],[Default Value]]))</f>
        <v>1</v>
      </c>
      <c r="S69" s="263">
        <v>1</v>
      </c>
      <c r="T69" s="264">
        <f ca="1">SelectionsTable[[#This Row],[Input Value]]</f>
        <v>1</v>
      </c>
      <c r="U69" s="162" t="s">
        <v>904</v>
      </c>
      <c r="V69">
        <v>1</v>
      </c>
      <c r="W69">
        <v>2</v>
      </c>
      <c r="X69" s="310" t="s">
        <v>1704</v>
      </c>
    </row>
    <row r="70" spans="1:24" x14ac:dyDescent="0.3">
      <c r="A70"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SugarcaneAllAllAllAll_Sugarcane_Farming_Electricity_UserDefined_Oil</v>
      </c>
      <c r="B70" s="160" t="s">
        <v>447</v>
      </c>
      <c r="C70" s="160" t="s">
        <v>435</v>
      </c>
      <c r="D70" s="160" t="s">
        <v>435</v>
      </c>
      <c r="E70" s="160" t="s">
        <v>435</v>
      </c>
      <c r="F70" s="48" t="s">
        <v>435</v>
      </c>
      <c r="G70" s="272" t="b" cm="1">
        <f t="array" ref="G70">OR(NOT(ISERROR(MATCH(TRIM(_xlfn.TEXTSPLIT(SelectionsTable[[#This Row],[Feedstock]],",")),SelectedFeedstock,0))),AND(SelectedFeedstock&lt;&gt;"(Multiple Items)",SelectedFeedstock&lt;&gt;"(All)",SelectionsTable[[#This Row],[Feedstock]]="All"))</f>
        <v>0</v>
      </c>
      <c r="H70" s="272" t="b">
        <f>OR(SelectionsTable[[#This Row],[Conversion]]=SelectedConversion,AND(SelectedConversion&lt;&gt;"(Multiple Items)",SelectedConversion&lt;&gt;"(All)",SelectionsTable[[#This Row],[Conversion]]="All"))</f>
        <v>1</v>
      </c>
      <c r="I70" s="272" t="b">
        <f>OR(SelectionsTable[[#This Row],[Data Set]]=SelectedDataSet,AND(SelectedDataSet&lt;&gt;"(Multiple Items)",SelectedDataSet&lt;&gt;"(All)",SelectionsTable[[#This Row],[Data Set]]="All"))</f>
        <v>1</v>
      </c>
      <c r="J70" s="272" t="b">
        <f>OR(SelectionsTable[[#This Row],[Technology]]=SelectedTechnology,AND(SelectedTechnology&lt;&gt;"(Multiple Items)",SelectedTechnology&lt;&gt;"(All)",SelectionsTable[[#This Row],[Technology]]="All"))</f>
        <v>1</v>
      </c>
      <c r="K70" s="272" t="b">
        <f>OR(SelectionsTable[[#This Row],[Data Source]]=SelectedDataSource,AND(SelectedDataSource&lt;&gt;"(Multiple Items)",SelectedDataSource&lt;&gt;"(All)",SelectionsTable[[#This Row],[Data Source]]="All"))</f>
        <v>1</v>
      </c>
      <c r="L70" s="273" t="b">
        <f t="shared" ref="L70:L79" ca="1" si="6">VALUE($R$69)=9</f>
        <v>0</v>
      </c>
      <c r="M70" s="160" t="b">
        <f>SelectionsTable[[#This Row],[GREET1 Location]]&lt;&gt;""</f>
        <v>1</v>
      </c>
      <c r="N70" s="160" t="b">
        <f ca="1">AND(SelectionsTable[[#This Row],[Show Feedstock]:[Conditional to Show]])</f>
        <v>0</v>
      </c>
      <c r="O70" s="160" t="s">
        <v>1534</v>
      </c>
      <c r="P70" s="261" t="s">
        <v>1535</v>
      </c>
      <c r="Q70" s="261" t="s">
        <v>1784</v>
      </c>
      <c r="R70" s="266" cm="1">
        <f t="array" aca="1" ref="R70" ca="1">IF(AND(NOT(RefreshDefaults),NOT(SelectionsResetting)),VALUE(IFERROR(INDEX(Selection_UD, MATCH(SelectionsTable[[#This Row],[ID]], Selection_ID, 0)),SelectionsTable[[#This Row],[Default Value]])),VALUE(SelectionsTable[[#This Row],[Default Value]]))</f>
        <v>2.8557019295519688E-2</v>
      </c>
      <c r="S70" s="263">
        <v>2.8557019295519688E-2</v>
      </c>
      <c r="T70" s="264">
        <f ca="1">SelectionsTable[[#This Row],[Input Value]]</f>
        <v>2.8557019295519688E-2</v>
      </c>
      <c r="U70" s="162" t="s">
        <v>1458</v>
      </c>
    </row>
    <row r="71" spans="1:24" x14ac:dyDescent="0.3">
      <c r="A71"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SugarcaneAllAllAllAll_Sugarcane_Farming_Electricity_UserDefined_NG</v>
      </c>
      <c r="B71" s="160" t="s">
        <v>447</v>
      </c>
      <c r="C71" s="160" t="s">
        <v>435</v>
      </c>
      <c r="D71" s="160" t="s">
        <v>435</v>
      </c>
      <c r="E71" s="160" t="s">
        <v>435</v>
      </c>
      <c r="F71" s="48" t="s">
        <v>435</v>
      </c>
      <c r="G71" s="272" t="b" cm="1">
        <f t="array" ref="G71">OR(NOT(ISERROR(MATCH(TRIM(_xlfn.TEXTSPLIT(SelectionsTable[[#This Row],[Feedstock]],",")),SelectedFeedstock,0))),AND(SelectedFeedstock&lt;&gt;"(Multiple Items)",SelectedFeedstock&lt;&gt;"(All)",SelectionsTable[[#This Row],[Feedstock]]="All"))</f>
        <v>0</v>
      </c>
      <c r="H71" s="272" t="b">
        <f>OR(SelectionsTable[[#This Row],[Conversion]]=SelectedConversion,AND(SelectedConversion&lt;&gt;"(Multiple Items)",SelectedConversion&lt;&gt;"(All)",SelectionsTable[[#This Row],[Conversion]]="All"))</f>
        <v>1</v>
      </c>
      <c r="I71" s="272" t="b">
        <f>OR(SelectionsTable[[#This Row],[Data Set]]=SelectedDataSet,AND(SelectedDataSet&lt;&gt;"(Multiple Items)",SelectedDataSet&lt;&gt;"(All)",SelectionsTable[[#This Row],[Data Set]]="All"))</f>
        <v>1</v>
      </c>
      <c r="J71" s="272" t="b">
        <f>OR(SelectionsTable[[#This Row],[Technology]]=SelectedTechnology,AND(SelectedTechnology&lt;&gt;"(Multiple Items)",SelectedTechnology&lt;&gt;"(All)",SelectionsTable[[#This Row],[Technology]]="All"))</f>
        <v>1</v>
      </c>
      <c r="K71" s="272" t="b">
        <f>OR(SelectionsTable[[#This Row],[Data Source]]=SelectedDataSource,AND(SelectedDataSource&lt;&gt;"(Multiple Items)",SelectedDataSource&lt;&gt;"(All)",SelectionsTable[[#This Row],[Data Source]]="All"))</f>
        <v>1</v>
      </c>
      <c r="L71" s="273" t="b">
        <f t="shared" ca="1" si="6"/>
        <v>0</v>
      </c>
      <c r="M71" s="160" t="b">
        <f>SelectionsTable[[#This Row],[GREET1 Location]]&lt;&gt;""</f>
        <v>1</v>
      </c>
      <c r="N71" s="160" t="b">
        <f ca="1">AND(SelectionsTable[[#This Row],[Show Feedstock]:[Conditional to Show]])</f>
        <v>0</v>
      </c>
      <c r="O71" s="160" t="s">
        <v>1536</v>
      </c>
      <c r="P71" s="160" t="s">
        <v>1535</v>
      </c>
      <c r="Q71" s="160" t="s">
        <v>1785</v>
      </c>
      <c r="R71" s="266" cm="1">
        <f t="array" aca="1" ref="R71" ca="1">IF(AND(NOT(RefreshDefaults),NOT(SelectionsResetting)),VALUE(IFERROR(INDEX(Selection_UD, MATCH(SelectionsTable[[#This Row],[ID]], Selection_ID, 0)),SelectionsTable[[#This Row],[Default Value]])),VALUE(SelectionsTable[[#This Row],[Default Value]]))</f>
        <v>6.8156707955211282E-2</v>
      </c>
      <c r="S71" s="263">
        <v>6.8156707955211282E-2</v>
      </c>
      <c r="T71" s="264">
        <f ca="1">SelectionsTable[[#This Row],[Input Value]]</f>
        <v>6.8156707955211282E-2</v>
      </c>
      <c r="U71" s="161" t="s">
        <v>1458</v>
      </c>
    </row>
    <row r="72" spans="1:24" x14ac:dyDescent="0.3">
      <c r="A72"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SugarcaneAllAllAllAll_Sugarcane_Farming_Electricity_UserDefined_Coal</v>
      </c>
      <c r="B72" s="160" t="s">
        <v>447</v>
      </c>
      <c r="C72" s="160" t="s">
        <v>435</v>
      </c>
      <c r="D72" s="160" t="s">
        <v>435</v>
      </c>
      <c r="E72" s="160" t="s">
        <v>435</v>
      </c>
      <c r="F72" s="48" t="s">
        <v>435</v>
      </c>
      <c r="G72" s="272" t="b" cm="1">
        <f t="array" ref="G72">OR(NOT(ISERROR(MATCH(TRIM(_xlfn.TEXTSPLIT(SelectionsTable[[#This Row],[Feedstock]],",")),SelectedFeedstock,0))),AND(SelectedFeedstock&lt;&gt;"(Multiple Items)",SelectedFeedstock&lt;&gt;"(All)",SelectionsTable[[#This Row],[Feedstock]]="All"))</f>
        <v>0</v>
      </c>
      <c r="H72" s="272" t="b">
        <f>OR(SelectionsTable[[#This Row],[Conversion]]=SelectedConversion,AND(SelectedConversion&lt;&gt;"(Multiple Items)",SelectedConversion&lt;&gt;"(All)",SelectionsTable[[#This Row],[Conversion]]="All"))</f>
        <v>1</v>
      </c>
      <c r="I72" s="272" t="b">
        <f>OR(SelectionsTable[[#This Row],[Data Set]]=SelectedDataSet,AND(SelectedDataSet&lt;&gt;"(Multiple Items)",SelectedDataSet&lt;&gt;"(All)",SelectionsTable[[#This Row],[Data Set]]="All"))</f>
        <v>1</v>
      </c>
      <c r="J72" s="272" t="b">
        <f>OR(SelectionsTable[[#This Row],[Technology]]=SelectedTechnology,AND(SelectedTechnology&lt;&gt;"(Multiple Items)",SelectedTechnology&lt;&gt;"(All)",SelectionsTable[[#This Row],[Technology]]="All"))</f>
        <v>1</v>
      </c>
      <c r="K72" s="272" t="b">
        <f>OR(SelectionsTable[[#This Row],[Data Source]]=SelectedDataSource,AND(SelectedDataSource&lt;&gt;"(Multiple Items)",SelectedDataSource&lt;&gt;"(All)",SelectionsTable[[#This Row],[Data Source]]="All"))</f>
        <v>1</v>
      </c>
      <c r="L72" s="273" t="b">
        <f t="shared" ca="1" si="6"/>
        <v>0</v>
      </c>
      <c r="M72" s="160" t="b">
        <f>SelectionsTable[[#This Row],[GREET1 Location]]&lt;&gt;""</f>
        <v>1</v>
      </c>
      <c r="N72" s="160" t="b">
        <f ca="1">AND(SelectionsTable[[#This Row],[Show Feedstock]:[Conditional to Show]])</f>
        <v>0</v>
      </c>
      <c r="O72" s="160" t="s">
        <v>1537</v>
      </c>
      <c r="P72" s="160" t="s">
        <v>1535</v>
      </c>
      <c r="Q72" s="160" t="s">
        <v>1786</v>
      </c>
      <c r="R72" s="266" cm="1">
        <f t="array" aca="1" ref="R72" ca="1">IF(AND(NOT(RefreshDefaults),NOT(SelectionsResetting)),VALUE(IFERROR(INDEX(Selection_UD, MATCH(SelectionsTable[[#This Row],[ID]], Selection_ID, 0)),SelectionsTable[[#This Row],[Default Value]])),VALUE(SelectionsTable[[#This Row],[Default Value]]))</f>
        <v>2.0649616800715972E-2</v>
      </c>
      <c r="S72" s="263">
        <v>2.0649616800715972E-2</v>
      </c>
      <c r="T72" s="264">
        <f ca="1">SelectionsTable[[#This Row],[Input Value]]</f>
        <v>2.0649616800715972E-2</v>
      </c>
      <c r="U72" s="161" t="s">
        <v>1458</v>
      </c>
    </row>
    <row r="73" spans="1:24" x14ac:dyDescent="0.3">
      <c r="A73"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SugarcaneAllAllAllAll_Sugarcane_Farming_Electricity_UserDefined_Biomass</v>
      </c>
      <c r="B73" s="160" t="s">
        <v>447</v>
      </c>
      <c r="C73" s="160" t="s">
        <v>435</v>
      </c>
      <c r="D73" s="160" t="s">
        <v>435</v>
      </c>
      <c r="E73" s="160" t="s">
        <v>435</v>
      </c>
      <c r="F73" s="48" t="s">
        <v>435</v>
      </c>
      <c r="G73" s="272" t="b" cm="1">
        <f t="array" ref="G73">OR(NOT(ISERROR(MATCH(TRIM(_xlfn.TEXTSPLIT(SelectionsTable[[#This Row],[Feedstock]],",")),SelectedFeedstock,0))),AND(SelectedFeedstock&lt;&gt;"(Multiple Items)",SelectedFeedstock&lt;&gt;"(All)",SelectionsTable[[#This Row],[Feedstock]]="All"))</f>
        <v>0</v>
      </c>
      <c r="H73" s="272" t="b">
        <f>OR(SelectionsTable[[#This Row],[Conversion]]=SelectedConversion,AND(SelectedConversion&lt;&gt;"(Multiple Items)",SelectedConversion&lt;&gt;"(All)",SelectionsTable[[#This Row],[Conversion]]="All"))</f>
        <v>1</v>
      </c>
      <c r="I73" s="272" t="b">
        <f>OR(SelectionsTable[[#This Row],[Data Set]]=SelectedDataSet,AND(SelectedDataSet&lt;&gt;"(Multiple Items)",SelectedDataSet&lt;&gt;"(All)",SelectionsTable[[#This Row],[Data Set]]="All"))</f>
        <v>1</v>
      </c>
      <c r="J73" s="272" t="b">
        <f>OR(SelectionsTable[[#This Row],[Technology]]=SelectedTechnology,AND(SelectedTechnology&lt;&gt;"(Multiple Items)",SelectedTechnology&lt;&gt;"(All)",SelectionsTable[[#This Row],[Technology]]="All"))</f>
        <v>1</v>
      </c>
      <c r="K73" s="272" t="b">
        <f>OR(SelectionsTable[[#This Row],[Data Source]]=SelectedDataSource,AND(SelectedDataSource&lt;&gt;"(Multiple Items)",SelectedDataSource&lt;&gt;"(All)",SelectionsTable[[#This Row],[Data Source]]="All"))</f>
        <v>1</v>
      </c>
      <c r="L73" s="273" t="b">
        <f t="shared" ca="1" si="6"/>
        <v>0</v>
      </c>
      <c r="M73" s="160" t="b">
        <f>SelectionsTable[[#This Row],[GREET1 Location]]&lt;&gt;""</f>
        <v>1</v>
      </c>
      <c r="N73" s="160" t="b">
        <f ca="1">AND(SelectionsTable[[#This Row],[Show Feedstock]:[Conditional to Show]])</f>
        <v>0</v>
      </c>
      <c r="O73" s="160" t="s">
        <v>1538</v>
      </c>
      <c r="P73" s="160" t="s">
        <v>1535</v>
      </c>
      <c r="Q73" s="160" t="s">
        <v>1787</v>
      </c>
      <c r="R73" s="266" cm="1">
        <f t="array" aca="1" ref="R73" ca="1">IF(AND(NOT(RefreshDefaults),NOT(SelectionsResetting)),VALUE(IFERROR(INDEX(Selection_UD, MATCH(SelectionsTable[[#This Row],[ID]], Selection_ID, 0)),SelectionsTable[[#This Row],[Default Value]])),VALUE(SelectionsTable[[#This Row],[Default Value]]))</f>
        <v>9.1639871382636656E-2</v>
      </c>
      <c r="S73" s="263">
        <v>9.1639871382636656E-2</v>
      </c>
      <c r="T73" s="264">
        <f ca="1">SelectionsTable[[#This Row],[Input Value]]</f>
        <v>9.1639871382636656E-2</v>
      </c>
      <c r="U73" s="161" t="s">
        <v>1458</v>
      </c>
    </row>
    <row r="74" spans="1:24" x14ac:dyDescent="0.3">
      <c r="A74"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SugarcaneAllAllAllAll_Sugarcane_Farming_Electricity_UserDefined_Nuclear</v>
      </c>
      <c r="B74" s="160" t="s">
        <v>447</v>
      </c>
      <c r="C74" s="160" t="s">
        <v>435</v>
      </c>
      <c r="D74" s="160" t="s">
        <v>435</v>
      </c>
      <c r="E74" s="160" t="s">
        <v>435</v>
      </c>
      <c r="F74" s="48" t="s">
        <v>435</v>
      </c>
      <c r="G74" s="272" t="b" cm="1">
        <f t="array" ref="G74">OR(NOT(ISERROR(MATCH(TRIM(_xlfn.TEXTSPLIT(SelectionsTable[[#This Row],[Feedstock]],",")),SelectedFeedstock,0))),AND(SelectedFeedstock&lt;&gt;"(Multiple Items)",SelectedFeedstock&lt;&gt;"(All)",SelectionsTable[[#This Row],[Feedstock]]="All"))</f>
        <v>0</v>
      </c>
      <c r="H74" s="272" t="b">
        <f>OR(SelectionsTable[[#This Row],[Conversion]]=SelectedConversion,AND(SelectedConversion&lt;&gt;"(Multiple Items)",SelectedConversion&lt;&gt;"(All)",SelectionsTable[[#This Row],[Conversion]]="All"))</f>
        <v>1</v>
      </c>
      <c r="I74" s="272" t="b">
        <f>OR(SelectionsTable[[#This Row],[Data Set]]=SelectedDataSet,AND(SelectedDataSet&lt;&gt;"(Multiple Items)",SelectedDataSet&lt;&gt;"(All)",SelectionsTable[[#This Row],[Data Set]]="All"))</f>
        <v>1</v>
      </c>
      <c r="J74" s="272" t="b">
        <f>OR(SelectionsTable[[#This Row],[Technology]]=SelectedTechnology,AND(SelectedTechnology&lt;&gt;"(Multiple Items)",SelectedTechnology&lt;&gt;"(All)",SelectionsTable[[#This Row],[Technology]]="All"))</f>
        <v>1</v>
      </c>
      <c r="K74" s="272" t="b">
        <f>OR(SelectionsTable[[#This Row],[Data Source]]=SelectedDataSource,AND(SelectedDataSource&lt;&gt;"(Multiple Items)",SelectedDataSource&lt;&gt;"(All)",SelectionsTable[[#This Row],[Data Source]]="All"))</f>
        <v>1</v>
      </c>
      <c r="L74" s="273" t="b">
        <f t="shared" ca="1" si="6"/>
        <v>0</v>
      </c>
      <c r="M74" s="160" t="b">
        <f>SelectionsTable[[#This Row],[GREET1 Location]]&lt;&gt;""</f>
        <v>1</v>
      </c>
      <c r="N74" s="160" t="b">
        <f ca="1">AND(SelectionsTable[[#This Row],[Show Feedstock]:[Conditional to Show]])</f>
        <v>0</v>
      </c>
      <c r="O74" s="160" t="s">
        <v>1539</v>
      </c>
      <c r="P74" s="160" t="s">
        <v>1535</v>
      </c>
      <c r="Q74" s="160" t="s">
        <v>1788</v>
      </c>
      <c r="R74" s="266" cm="1">
        <f t="array" aca="1" ref="R74" ca="1">IF(AND(NOT(RefreshDefaults),NOT(SelectionsResetting)),VALUE(IFERROR(INDEX(Selection_UD, MATCH(SelectionsTable[[#This Row],[ID]], Selection_ID, 0)),SelectionsTable[[#This Row],[Default Value]])),VALUE(SelectionsTable[[#This Row],[Default Value]]))</f>
        <v>2.2508038585209004E-2</v>
      </c>
      <c r="S74" s="263">
        <v>2.2508038585209004E-2</v>
      </c>
      <c r="T74" s="264">
        <f ca="1">SelectionsTable[[#This Row],[Input Value]]</f>
        <v>2.2508038585209004E-2</v>
      </c>
      <c r="U74" s="161" t="s">
        <v>1458</v>
      </c>
    </row>
    <row r="75" spans="1:24" x14ac:dyDescent="0.3">
      <c r="A75"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SugarcaneAllAllAllAll_Sugarcane_Farming_Electricity_UserDefined_Hydroelectric</v>
      </c>
      <c r="B75" s="160" t="s">
        <v>447</v>
      </c>
      <c r="C75" s="160" t="s">
        <v>435</v>
      </c>
      <c r="D75" s="160" t="s">
        <v>435</v>
      </c>
      <c r="E75" s="160" t="s">
        <v>435</v>
      </c>
      <c r="F75" s="48" t="s">
        <v>435</v>
      </c>
      <c r="G75" s="272" t="b" cm="1">
        <f t="array" ref="G75">OR(NOT(ISERROR(MATCH(TRIM(_xlfn.TEXTSPLIT(SelectionsTable[[#This Row],[Feedstock]],",")),SelectedFeedstock,0))),AND(SelectedFeedstock&lt;&gt;"(Multiple Items)",SelectedFeedstock&lt;&gt;"(All)",SelectionsTable[[#This Row],[Feedstock]]="All"))</f>
        <v>0</v>
      </c>
      <c r="H75" s="272" t="b">
        <f>OR(SelectionsTable[[#This Row],[Conversion]]=SelectedConversion,AND(SelectedConversion&lt;&gt;"(Multiple Items)",SelectedConversion&lt;&gt;"(All)",SelectionsTable[[#This Row],[Conversion]]="All"))</f>
        <v>1</v>
      </c>
      <c r="I75" s="272" t="b">
        <f>OR(SelectionsTable[[#This Row],[Data Set]]=SelectedDataSet,AND(SelectedDataSet&lt;&gt;"(Multiple Items)",SelectedDataSet&lt;&gt;"(All)",SelectionsTable[[#This Row],[Data Set]]="All"))</f>
        <v>1</v>
      </c>
      <c r="J75" s="272" t="b">
        <f>OR(SelectionsTable[[#This Row],[Technology]]=SelectedTechnology,AND(SelectedTechnology&lt;&gt;"(Multiple Items)",SelectedTechnology&lt;&gt;"(All)",SelectionsTable[[#This Row],[Technology]]="All"))</f>
        <v>1</v>
      </c>
      <c r="K75" s="272" t="b">
        <f>OR(SelectionsTable[[#This Row],[Data Source]]=SelectedDataSource,AND(SelectedDataSource&lt;&gt;"(Multiple Items)",SelectedDataSource&lt;&gt;"(All)",SelectionsTable[[#This Row],[Data Source]]="All"))</f>
        <v>1</v>
      </c>
      <c r="L75" s="273" t="b">
        <f t="shared" ca="1" si="6"/>
        <v>0</v>
      </c>
      <c r="M75" s="160" t="b">
        <f>SelectionsTable[[#This Row],[GREET1 Location]]&lt;&gt;""</f>
        <v>1</v>
      </c>
      <c r="N75" s="160" t="b">
        <f ca="1">AND(SelectionsTable[[#This Row],[Show Feedstock]:[Conditional to Show]])</f>
        <v>0</v>
      </c>
      <c r="O75" s="160" t="s">
        <v>1540</v>
      </c>
      <c r="P75" s="160" t="s">
        <v>1535</v>
      </c>
      <c r="Q75" s="160" t="s">
        <v>1789</v>
      </c>
      <c r="R75" s="266" cm="1">
        <f t="array" aca="1" ref="R75" ca="1">IF(AND(NOT(RefreshDefaults),NOT(SelectionsResetting)),VALUE(IFERROR(INDEX(Selection_UD, MATCH(SelectionsTable[[#This Row],[ID]], Selection_ID, 0)),SelectionsTable[[#This Row],[Default Value]])),VALUE(SelectionsTable[[#This Row],[Default Value]]))</f>
        <v>0.65916398713826363</v>
      </c>
      <c r="S75" s="263">
        <v>0.65916398713826363</v>
      </c>
      <c r="T75" s="264">
        <f ca="1">SelectionsTable[[#This Row],[Input Value]]</f>
        <v>0.65916398713826363</v>
      </c>
      <c r="U75" s="161" t="s">
        <v>1458</v>
      </c>
    </row>
    <row r="76" spans="1:24" x14ac:dyDescent="0.3">
      <c r="A76"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SugarcaneAllAllAllAll_Sugarcane_Farming_Electricity_UserDefined_Geothermal</v>
      </c>
      <c r="B76" s="160" t="s">
        <v>447</v>
      </c>
      <c r="C76" s="160" t="s">
        <v>435</v>
      </c>
      <c r="D76" s="160" t="s">
        <v>435</v>
      </c>
      <c r="E76" s="160" t="s">
        <v>435</v>
      </c>
      <c r="F76" s="48" t="s">
        <v>435</v>
      </c>
      <c r="G76" s="272" t="b" cm="1">
        <f t="array" ref="G76">OR(NOT(ISERROR(MATCH(TRIM(_xlfn.TEXTSPLIT(SelectionsTable[[#This Row],[Feedstock]],",")),SelectedFeedstock,0))),AND(SelectedFeedstock&lt;&gt;"(Multiple Items)",SelectedFeedstock&lt;&gt;"(All)",SelectionsTable[[#This Row],[Feedstock]]="All"))</f>
        <v>0</v>
      </c>
      <c r="H76" s="272" t="b">
        <f>OR(SelectionsTable[[#This Row],[Conversion]]=SelectedConversion,AND(SelectedConversion&lt;&gt;"(Multiple Items)",SelectedConversion&lt;&gt;"(All)",SelectionsTable[[#This Row],[Conversion]]="All"))</f>
        <v>1</v>
      </c>
      <c r="I76" s="272" t="b">
        <f>OR(SelectionsTable[[#This Row],[Data Set]]=SelectedDataSet,AND(SelectedDataSet&lt;&gt;"(Multiple Items)",SelectedDataSet&lt;&gt;"(All)",SelectionsTable[[#This Row],[Data Set]]="All"))</f>
        <v>1</v>
      </c>
      <c r="J76" s="272" t="b">
        <f>OR(SelectionsTable[[#This Row],[Technology]]=SelectedTechnology,AND(SelectedTechnology&lt;&gt;"(Multiple Items)",SelectedTechnology&lt;&gt;"(All)",SelectionsTable[[#This Row],[Technology]]="All"))</f>
        <v>1</v>
      </c>
      <c r="K76" s="272" t="b">
        <f>OR(SelectionsTable[[#This Row],[Data Source]]=SelectedDataSource,AND(SelectedDataSource&lt;&gt;"(Multiple Items)",SelectedDataSource&lt;&gt;"(All)",SelectionsTable[[#This Row],[Data Source]]="All"))</f>
        <v>1</v>
      </c>
      <c r="L76" s="273" t="b">
        <f t="shared" ca="1" si="6"/>
        <v>0</v>
      </c>
      <c r="M76" s="160" t="b">
        <f>SelectionsTable[[#This Row],[GREET1 Location]]&lt;&gt;""</f>
        <v>1</v>
      </c>
      <c r="N76" s="160" t="b">
        <f ca="1">AND(SelectionsTable[[#This Row],[Show Feedstock]:[Conditional to Show]])</f>
        <v>0</v>
      </c>
      <c r="O76" s="160" t="s">
        <v>1541</v>
      </c>
      <c r="P76" s="160" t="s">
        <v>1535</v>
      </c>
      <c r="Q76" s="160" t="s">
        <v>1790</v>
      </c>
      <c r="R76" s="266" cm="1">
        <f t="array" aca="1" ref="R76" ca="1">IF(AND(NOT(RefreshDefaults),NOT(SelectionsResetting)),VALUE(IFERROR(INDEX(Selection_UD, MATCH(SelectionsTable[[#This Row],[ID]], Selection_ID, 0)),SelectionsTable[[#This Row],[Default Value]])),VALUE(SelectionsTable[[#This Row],[Default Value]]))</f>
        <v>3.6441586280814585E-2</v>
      </c>
      <c r="S76" s="263">
        <v>3.6441586280814585E-2</v>
      </c>
      <c r="T76" s="264">
        <f ca="1">SelectionsTable[[#This Row],[Input Value]]</f>
        <v>3.6441586280814585E-2</v>
      </c>
      <c r="U76" s="161" t="s">
        <v>1458</v>
      </c>
    </row>
    <row r="77" spans="1:24" x14ac:dyDescent="0.3">
      <c r="A77"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SugarcaneAllAllAllAll_Sugarcane_Farming_Electricity_UserDefined_Wind</v>
      </c>
      <c r="B77" s="160" t="s">
        <v>447</v>
      </c>
      <c r="C77" s="160" t="s">
        <v>435</v>
      </c>
      <c r="D77" s="160" t="s">
        <v>435</v>
      </c>
      <c r="E77" s="160" t="s">
        <v>435</v>
      </c>
      <c r="F77" s="48" t="s">
        <v>435</v>
      </c>
      <c r="G77" s="272" t="b" cm="1">
        <f t="array" ref="G77">OR(NOT(ISERROR(MATCH(TRIM(_xlfn.TEXTSPLIT(SelectionsTable[[#This Row],[Feedstock]],",")),SelectedFeedstock,0))),AND(SelectedFeedstock&lt;&gt;"(Multiple Items)",SelectedFeedstock&lt;&gt;"(All)",SelectionsTable[[#This Row],[Feedstock]]="All"))</f>
        <v>0</v>
      </c>
      <c r="H77" s="272" t="b">
        <f>OR(SelectionsTable[[#This Row],[Conversion]]=SelectedConversion,AND(SelectedConversion&lt;&gt;"(Multiple Items)",SelectedConversion&lt;&gt;"(All)",SelectionsTable[[#This Row],[Conversion]]="All"))</f>
        <v>1</v>
      </c>
      <c r="I77" s="272" t="b">
        <f>OR(SelectionsTable[[#This Row],[Data Set]]=SelectedDataSet,AND(SelectedDataSet&lt;&gt;"(Multiple Items)",SelectedDataSet&lt;&gt;"(All)",SelectionsTable[[#This Row],[Data Set]]="All"))</f>
        <v>1</v>
      </c>
      <c r="J77" s="272" t="b">
        <f>OR(SelectionsTable[[#This Row],[Technology]]=SelectedTechnology,AND(SelectedTechnology&lt;&gt;"(Multiple Items)",SelectedTechnology&lt;&gt;"(All)",SelectionsTable[[#This Row],[Technology]]="All"))</f>
        <v>1</v>
      </c>
      <c r="K77" s="272" t="b">
        <f>OR(SelectionsTable[[#This Row],[Data Source]]=SelectedDataSource,AND(SelectedDataSource&lt;&gt;"(Multiple Items)",SelectedDataSource&lt;&gt;"(All)",SelectionsTable[[#This Row],[Data Source]]="All"))</f>
        <v>1</v>
      </c>
      <c r="L77" s="273" t="b">
        <f t="shared" ca="1" si="6"/>
        <v>0</v>
      </c>
      <c r="M77" s="160" t="b">
        <f>SelectionsTable[[#This Row],[GREET1 Location]]&lt;&gt;""</f>
        <v>1</v>
      </c>
      <c r="N77" s="160" t="b">
        <f ca="1">AND(SelectionsTable[[#This Row],[Show Feedstock]:[Conditional to Show]])</f>
        <v>0</v>
      </c>
      <c r="O77" s="160" t="s">
        <v>1542</v>
      </c>
      <c r="P77" s="160" t="s">
        <v>1535</v>
      </c>
      <c r="Q77" s="160" t="s">
        <v>1791</v>
      </c>
      <c r="R77" s="266" cm="1">
        <f t="array" aca="1" ref="R77" ca="1">IF(AND(NOT(RefreshDefaults),NOT(SelectionsResetting)),VALUE(IFERROR(INDEX(Selection_UD, MATCH(SelectionsTable[[#This Row],[ID]], Selection_ID, 0)),SelectionsTable[[#This Row],[Default Value]])),VALUE(SelectionsTable[[#This Row],[Default Value]]))</f>
        <v>3.6441586280814585E-2</v>
      </c>
      <c r="S77" s="263">
        <v>3.6441586280814585E-2</v>
      </c>
      <c r="T77" s="264">
        <f ca="1">SelectionsTable[[#This Row],[Input Value]]</f>
        <v>3.6441586280814585E-2</v>
      </c>
      <c r="U77" s="161" t="s">
        <v>1458</v>
      </c>
    </row>
    <row r="78" spans="1:24" x14ac:dyDescent="0.3">
      <c r="A78"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SugarcaneAllAllAllAll_Sugarcane_Farming_Electricity_UserDefined_SolarPV</v>
      </c>
      <c r="B78" s="160" t="s">
        <v>447</v>
      </c>
      <c r="C78" s="160" t="s">
        <v>435</v>
      </c>
      <c r="D78" s="160" t="s">
        <v>435</v>
      </c>
      <c r="E78" s="160" t="s">
        <v>435</v>
      </c>
      <c r="F78" s="48" t="s">
        <v>435</v>
      </c>
      <c r="G78" s="272" t="b" cm="1">
        <f t="array" ref="G78">OR(NOT(ISERROR(MATCH(TRIM(_xlfn.TEXTSPLIT(SelectionsTable[[#This Row],[Feedstock]],",")),SelectedFeedstock,0))),AND(SelectedFeedstock&lt;&gt;"(Multiple Items)",SelectedFeedstock&lt;&gt;"(All)",SelectionsTable[[#This Row],[Feedstock]]="All"))</f>
        <v>0</v>
      </c>
      <c r="H78" s="272" t="b">
        <f>OR(SelectionsTable[[#This Row],[Conversion]]=SelectedConversion,AND(SelectedConversion&lt;&gt;"(Multiple Items)",SelectedConversion&lt;&gt;"(All)",SelectionsTable[[#This Row],[Conversion]]="All"))</f>
        <v>1</v>
      </c>
      <c r="I78" s="272" t="b">
        <f>OR(SelectionsTable[[#This Row],[Data Set]]=SelectedDataSet,AND(SelectedDataSet&lt;&gt;"(Multiple Items)",SelectedDataSet&lt;&gt;"(All)",SelectionsTable[[#This Row],[Data Set]]="All"))</f>
        <v>1</v>
      </c>
      <c r="J78" s="272" t="b">
        <f>OR(SelectionsTable[[#This Row],[Technology]]=SelectedTechnology,AND(SelectedTechnology&lt;&gt;"(Multiple Items)",SelectedTechnology&lt;&gt;"(All)",SelectionsTable[[#This Row],[Technology]]="All"))</f>
        <v>1</v>
      </c>
      <c r="K78" s="272" t="b">
        <f>OR(SelectionsTable[[#This Row],[Data Source]]=SelectedDataSource,AND(SelectedDataSource&lt;&gt;"(Multiple Items)",SelectedDataSource&lt;&gt;"(All)",SelectionsTable[[#This Row],[Data Source]]="All"))</f>
        <v>1</v>
      </c>
      <c r="L78" s="273" t="b">
        <f t="shared" ca="1" si="6"/>
        <v>0</v>
      </c>
      <c r="M78" s="160" t="b">
        <f>SelectionsTable[[#This Row],[GREET1 Location]]&lt;&gt;""</f>
        <v>1</v>
      </c>
      <c r="N78" s="160" t="b">
        <f ca="1">AND(SelectionsTable[[#This Row],[Show Feedstock]:[Conditional to Show]])</f>
        <v>0</v>
      </c>
      <c r="O78" s="160" t="s">
        <v>1543</v>
      </c>
      <c r="P78" s="160" t="s">
        <v>1535</v>
      </c>
      <c r="Q78" s="160" t="s">
        <v>1792</v>
      </c>
      <c r="R78" s="266" cm="1">
        <f t="array" aca="1" ref="R78" ca="1">IF(AND(NOT(RefreshDefaults),NOT(SelectionsResetting)),VALUE(IFERROR(INDEX(Selection_UD, MATCH(SelectionsTable[[#This Row],[ID]], Selection_ID, 0)),SelectionsTable[[#This Row],[Default Value]])),VALUE(SelectionsTable[[#This Row],[Default Value]]))</f>
        <v>3.6441586280814585E-2</v>
      </c>
      <c r="S78" s="263">
        <v>3.6441586280814585E-2</v>
      </c>
      <c r="T78" s="264">
        <f ca="1">SelectionsTable[[#This Row],[Input Value]]</f>
        <v>3.6441586280814585E-2</v>
      </c>
      <c r="U78" s="161" t="s">
        <v>1458</v>
      </c>
    </row>
    <row r="79" spans="1:24" x14ac:dyDescent="0.3">
      <c r="A79"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SugarcaneAllAllAllAll_Sugarcane_Farming_Electricity_UserDefined_Others</v>
      </c>
      <c r="B79" s="160" t="s">
        <v>447</v>
      </c>
      <c r="C79" s="160" t="s">
        <v>435</v>
      </c>
      <c r="D79" s="160" t="s">
        <v>435</v>
      </c>
      <c r="E79" s="160" t="s">
        <v>435</v>
      </c>
      <c r="F79" s="48" t="s">
        <v>435</v>
      </c>
      <c r="G79" s="272" t="b" cm="1">
        <f t="array" ref="G79">OR(NOT(ISERROR(MATCH(TRIM(_xlfn.TEXTSPLIT(SelectionsTable[[#This Row],[Feedstock]],",")),SelectedFeedstock,0))),AND(SelectedFeedstock&lt;&gt;"(Multiple Items)",SelectedFeedstock&lt;&gt;"(All)",SelectionsTable[[#This Row],[Feedstock]]="All"))</f>
        <v>0</v>
      </c>
      <c r="H79" s="272" t="b">
        <f>OR(SelectionsTable[[#This Row],[Conversion]]=SelectedConversion,AND(SelectedConversion&lt;&gt;"(Multiple Items)",SelectedConversion&lt;&gt;"(All)",SelectionsTable[[#This Row],[Conversion]]="All"))</f>
        <v>1</v>
      </c>
      <c r="I79" s="272" t="b">
        <f>OR(SelectionsTable[[#This Row],[Data Set]]=SelectedDataSet,AND(SelectedDataSet&lt;&gt;"(Multiple Items)",SelectedDataSet&lt;&gt;"(All)",SelectionsTable[[#This Row],[Data Set]]="All"))</f>
        <v>1</v>
      </c>
      <c r="J79" s="272" t="b">
        <f>OR(SelectionsTable[[#This Row],[Technology]]=SelectedTechnology,AND(SelectedTechnology&lt;&gt;"(Multiple Items)",SelectedTechnology&lt;&gt;"(All)",SelectionsTable[[#This Row],[Technology]]="All"))</f>
        <v>1</v>
      </c>
      <c r="K79" s="272" t="b">
        <f>OR(SelectionsTable[[#This Row],[Data Source]]=SelectedDataSource,AND(SelectedDataSource&lt;&gt;"(Multiple Items)",SelectedDataSource&lt;&gt;"(All)",SelectionsTable[[#This Row],[Data Source]]="All"))</f>
        <v>1</v>
      </c>
      <c r="L79" s="273" t="b">
        <f t="shared" ca="1" si="6"/>
        <v>0</v>
      </c>
      <c r="M79" s="160" t="b">
        <f>SelectionsTable[[#This Row],[GREET1 Location]]&lt;&gt;""</f>
        <v>1</v>
      </c>
      <c r="N79" s="160" t="b">
        <f ca="1">AND(SelectionsTable[[#This Row],[Show Feedstock]:[Conditional to Show]])</f>
        <v>0</v>
      </c>
      <c r="O79" s="160" t="s">
        <v>1544</v>
      </c>
      <c r="P79" s="160" t="s">
        <v>1535</v>
      </c>
      <c r="Q79" s="160" t="s">
        <v>1793</v>
      </c>
      <c r="R79" s="266" cm="1">
        <f t="array" aca="1" ref="R79" ca="1">IF(AND(NOT(RefreshDefaults),NOT(SelectionsResetting)),VALUE(IFERROR(INDEX(Selection_UD, MATCH(SelectionsTable[[#This Row],[ID]], Selection_ID, 0)),SelectionsTable[[#This Row],[Default Value]])),VALUE(SelectionsTable[[#This Row],[Default Value]]))</f>
        <v>0</v>
      </c>
      <c r="S79" s="263">
        <v>0</v>
      </c>
      <c r="T79" s="264">
        <f ca="1">SelectionsTable[[#This Row],[Input Value]]</f>
        <v>0</v>
      </c>
      <c r="U79" s="161" t="s">
        <v>1458</v>
      </c>
    </row>
    <row r="80" spans="1:24" x14ac:dyDescent="0.3">
      <c r="A80"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SugarcaneAllAllAllAll_Sugarcane_EtOH_Electricity_Source_Option</v>
      </c>
      <c r="B80" s="160" t="s">
        <v>447</v>
      </c>
      <c r="C80" s="160" t="s">
        <v>435</v>
      </c>
      <c r="D80" s="160" t="s">
        <v>435</v>
      </c>
      <c r="E80" s="160" t="s">
        <v>435</v>
      </c>
      <c r="F80" s="48" t="s">
        <v>435</v>
      </c>
      <c r="G80" s="272" t="b" cm="1">
        <f t="array" ref="G80">OR(NOT(ISERROR(MATCH(TRIM(_xlfn.TEXTSPLIT(SelectionsTable[[#This Row],[Feedstock]],",")),SelectedFeedstock,0))),AND(SelectedFeedstock&lt;&gt;"(Multiple Items)",SelectedFeedstock&lt;&gt;"(All)",SelectionsTable[[#This Row],[Feedstock]]="All"))</f>
        <v>0</v>
      </c>
      <c r="H80" s="272" t="b">
        <f>OR(SelectionsTable[[#This Row],[Conversion]]=SelectedConversion,AND(SelectedConversion&lt;&gt;"(Multiple Items)",SelectedConversion&lt;&gt;"(All)",SelectionsTable[[#This Row],[Conversion]]="All"))</f>
        <v>1</v>
      </c>
      <c r="I80" s="272" t="b">
        <f>OR(SelectionsTable[[#This Row],[Data Set]]=SelectedDataSet,AND(SelectedDataSet&lt;&gt;"(Multiple Items)",SelectedDataSet&lt;&gt;"(All)",SelectionsTable[[#This Row],[Data Set]]="All"))</f>
        <v>1</v>
      </c>
      <c r="J80" s="272" t="b">
        <f>OR(SelectionsTable[[#This Row],[Technology]]=SelectedTechnology,AND(SelectedTechnology&lt;&gt;"(Multiple Items)",SelectedTechnology&lt;&gt;"(All)",SelectionsTable[[#This Row],[Technology]]="All"))</f>
        <v>1</v>
      </c>
      <c r="K80" s="272" t="b">
        <f>OR(SelectionsTable[[#This Row],[Data Source]]=SelectedDataSource,AND(SelectedDataSource&lt;&gt;"(Multiple Items)",SelectedDataSource&lt;&gt;"(All)",SelectionsTable[[#This Row],[Data Source]]="All"))</f>
        <v>1</v>
      </c>
      <c r="L80" s="274" t="b">
        <v>0</v>
      </c>
      <c r="M80" s="160" t="b">
        <f>SelectionsTable[[#This Row],[GREET1 Location]]&lt;&gt;""</f>
        <v>1</v>
      </c>
      <c r="N80" s="160" t="b">
        <f>AND(SelectionsTable[[#This Row],[Show Feedstock]:[Conditional to Show]])</f>
        <v>0</v>
      </c>
      <c r="O80" s="160" t="s">
        <v>1531</v>
      </c>
      <c r="P80" s="160" t="s">
        <v>1532</v>
      </c>
      <c r="Q80" s="160" t="s">
        <v>2163</v>
      </c>
      <c r="R80" s="266" cm="1">
        <f t="array" aca="1" ref="R80" ca="1">IF(AND(NOT(RefreshDefaults),NOT(SelectionsResetting)),VALUE(IFERROR(INDEX(Selection_UD, MATCH(SelectionsTable[[#This Row],[ID]], Selection_ID, 0)),SelectionsTable[[#This Row],[Default Value]])),VALUE(SelectionsTable[[#This Row],[Default Value]]))</f>
        <v>1</v>
      </c>
      <c r="S80" s="263">
        <v>1</v>
      </c>
      <c r="T80" s="264">
        <f ca="1">SelectionsTable[[#This Row],[Input Value]]</f>
        <v>1</v>
      </c>
      <c r="U80" s="161" t="s">
        <v>904</v>
      </c>
      <c r="V80">
        <v>1</v>
      </c>
      <c r="W80">
        <v>2</v>
      </c>
      <c r="X80" s="310" t="s">
        <v>1704</v>
      </c>
    </row>
    <row r="81" spans="1:24" x14ac:dyDescent="0.3">
      <c r="A81"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SugarcaneAllAllAllAll_Sugarcane_Ethanol_Electricity_UserDefined_Oil</v>
      </c>
      <c r="B81" s="160" t="s">
        <v>447</v>
      </c>
      <c r="C81" s="160" t="s">
        <v>435</v>
      </c>
      <c r="D81" s="160" t="s">
        <v>435</v>
      </c>
      <c r="E81" s="160" t="s">
        <v>435</v>
      </c>
      <c r="F81" s="48" t="s">
        <v>435</v>
      </c>
      <c r="G81" s="272" t="b" cm="1">
        <f t="array" ref="G81">OR(NOT(ISERROR(MATCH(TRIM(_xlfn.TEXTSPLIT(SelectionsTable[[#This Row],[Feedstock]],",")),SelectedFeedstock,0))),AND(SelectedFeedstock&lt;&gt;"(Multiple Items)",SelectedFeedstock&lt;&gt;"(All)",SelectionsTable[[#This Row],[Feedstock]]="All"))</f>
        <v>0</v>
      </c>
      <c r="H81" s="272" t="b">
        <f>OR(SelectionsTable[[#This Row],[Conversion]]=SelectedConversion,AND(SelectedConversion&lt;&gt;"(Multiple Items)",SelectedConversion&lt;&gt;"(All)",SelectionsTable[[#This Row],[Conversion]]="All"))</f>
        <v>1</v>
      </c>
      <c r="I81" s="272" t="b">
        <f>OR(SelectionsTable[[#This Row],[Data Set]]=SelectedDataSet,AND(SelectedDataSet&lt;&gt;"(Multiple Items)",SelectedDataSet&lt;&gt;"(All)",SelectionsTable[[#This Row],[Data Set]]="All"))</f>
        <v>1</v>
      </c>
      <c r="J81" s="272" t="b">
        <f>OR(SelectionsTable[[#This Row],[Technology]]=SelectedTechnology,AND(SelectedTechnology&lt;&gt;"(Multiple Items)",SelectedTechnology&lt;&gt;"(All)",SelectionsTable[[#This Row],[Technology]]="All"))</f>
        <v>1</v>
      </c>
      <c r="K81" s="272" t="b">
        <f>OR(SelectionsTable[[#This Row],[Data Source]]=SelectedDataSource,AND(SelectedDataSource&lt;&gt;"(Multiple Items)",SelectedDataSource&lt;&gt;"(All)",SelectionsTable[[#This Row],[Data Source]]="All"))</f>
        <v>1</v>
      </c>
      <c r="L81" s="273" t="b">
        <f t="shared" ref="L81:L90" ca="1" si="7">VALUE($R$80)=9</f>
        <v>0</v>
      </c>
      <c r="M81" s="160" t="b">
        <f>SelectionsTable[[#This Row],[GREET1 Location]]&lt;&gt;""</f>
        <v>1</v>
      </c>
      <c r="N81" s="160" t="b">
        <f ca="1">AND(SelectionsTable[[#This Row],[Show Feedstock]:[Conditional to Show]])</f>
        <v>0</v>
      </c>
      <c r="O81" s="160" t="s">
        <v>1545</v>
      </c>
      <c r="P81" s="261" t="s">
        <v>1546</v>
      </c>
      <c r="Q81" s="261" t="s">
        <v>1794</v>
      </c>
      <c r="R81" s="266" cm="1">
        <f t="array" aca="1" ref="R81" ca="1">IF(AND(NOT(RefreshDefaults),NOT(SelectionsResetting)),VALUE(IFERROR(INDEX(Selection_UD, MATCH(SelectionsTable[[#This Row],[ID]], Selection_ID, 0)),SelectionsTable[[#This Row],[Default Value]])),VALUE(SelectionsTable[[#This Row],[Default Value]]))</f>
        <v>2.8557019295519688E-2</v>
      </c>
      <c r="S81" s="263">
        <v>2.8557019295519688E-2</v>
      </c>
      <c r="T81" s="264">
        <f ca="1">SelectionsTable[[#This Row],[Input Value]]</f>
        <v>2.8557019295519688E-2</v>
      </c>
      <c r="U81" s="162" t="s">
        <v>1458</v>
      </c>
    </row>
    <row r="82" spans="1:24" x14ac:dyDescent="0.3">
      <c r="A82"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SugarcaneAllAllAllAll_Sugarcane_Ethanol_Electricity_UserDefined_NG</v>
      </c>
      <c r="B82" s="160" t="s">
        <v>447</v>
      </c>
      <c r="C82" s="160" t="s">
        <v>435</v>
      </c>
      <c r="D82" s="160" t="s">
        <v>435</v>
      </c>
      <c r="E82" s="160" t="s">
        <v>435</v>
      </c>
      <c r="F82" s="48" t="s">
        <v>435</v>
      </c>
      <c r="G82" s="272" t="b" cm="1">
        <f t="array" ref="G82">OR(NOT(ISERROR(MATCH(TRIM(_xlfn.TEXTSPLIT(SelectionsTable[[#This Row],[Feedstock]],",")),SelectedFeedstock,0))),AND(SelectedFeedstock&lt;&gt;"(Multiple Items)",SelectedFeedstock&lt;&gt;"(All)",SelectionsTable[[#This Row],[Feedstock]]="All"))</f>
        <v>0</v>
      </c>
      <c r="H82" s="272" t="b">
        <f>OR(SelectionsTable[[#This Row],[Conversion]]=SelectedConversion,AND(SelectedConversion&lt;&gt;"(Multiple Items)",SelectedConversion&lt;&gt;"(All)",SelectionsTable[[#This Row],[Conversion]]="All"))</f>
        <v>1</v>
      </c>
      <c r="I82" s="272" t="b">
        <f>OR(SelectionsTable[[#This Row],[Data Set]]=SelectedDataSet,AND(SelectedDataSet&lt;&gt;"(Multiple Items)",SelectedDataSet&lt;&gt;"(All)",SelectionsTable[[#This Row],[Data Set]]="All"))</f>
        <v>1</v>
      </c>
      <c r="J82" s="272" t="b">
        <f>OR(SelectionsTable[[#This Row],[Technology]]=SelectedTechnology,AND(SelectedTechnology&lt;&gt;"(Multiple Items)",SelectedTechnology&lt;&gt;"(All)",SelectionsTable[[#This Row],[Technology]]="All"))</f>
        <v>1</v>
      </c>
      <c r="K82" s="272" t="b">
        <f>OR(SelectionsTable[[#This Row],[Data Source]]=SelectedDataSource,AND(SelectedDataSource&lt;&gt;"(Multiple Items)",SelectedDataSource&lt;&gt;"(All)",SelectionsTable[[#This Row],[Data Source]]="All"))</f>
        <v>1</v>
      </c>
      <c r="L82" s="273" t="b">
        <f t="shared" ca="1" si="7"/>
        <v>0</v>
      </c>
      <c r="M82" s="160" t="b">
        <f>SelectionsTable[[#This Row],[GREET1 Location]]&lt;&gt;""</f>
        <v>1</v>
      </c>
      <c r="N82" s="160" t="b">
        <f ca="1">AND(SelectionsTable[[#This Row],[Show Feedstock]:[Conditional to Show]])</f>
        <v>0</v>
      </c>
      <c r="O82" s="160" t="s">
        <v>1547</v>
      </c>
      <c r="P82" s="160" t="s">
        <v>1546</v>
      </c>
      <c r="Q82" s="160" t="s">
        <v>1795</v>
      </c>
      <c r="R82" s="266" cm="1">
        <f t="array" aca="1" ref="R82" ca="1">IF(AND(NOT(RefreshDefaults),NOT(SelectionsResetting)),VALUE(IFERROR(INDEX(Selection_UD, MATCH(SelectionsTable[[#This Row],[ID]], Selection_ID, 0)),SelectionsTable[[#This Row],[Default Value]])),VALUE(SelectionsTable[[#This Row],[Default Value]]))</f>
        <v>6.8156707955211282E-2</v>
      </c>
      <c r="S82" s="263">
        <v>6.8156707955211282E-2</v>
      </c>
      <c r="T82" s="264">
        <f ca="1">SelectionsTable[[#This Row],[Input Value]]</f>
        <v>6.8156707955211282E-2</v>
      </c>
      <c r="U82" s="161" t="s">
        <v>1458</v>
      </c>
    </row>
    <row r="83" spans="1:24" x14ac:dyDescent="0.3">
      <c r="A83"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SugarcaneAllAllAllAll_Sugarcane_Ethanol_Electricity_UserDefined_Coal</v>
      </c>
      <c r="B83" s="160" t="s">
        <v>447</v>
      </c>
      <c r="C83" s="160" t="s">
        <v>435</v>
      </c>
      <c r="D83" s="160" t="s">
        <v>435</v>
      </c>
      <c r="E83" s="160" t="s">
        <v>435</v>
      </c>
      <c r="F83" s="48" t="s">
        <v>435</v>
      </c>
      <c r="G83" s="272" t="b" cm="1">
        <f t="array" ref="G83">OR(NOT(ISERROR(MATCH(TRIM(_xlfn.TEXTSPLIT(SelectionsTable[[#This Row],[Feedstock]],",")),SelectedFeedstock,0))),AND(SelectedFeedstock&lt;&gt;"(Multiple Items)",SelectedFeedstock&lt;&gt;"(All)",SelectionsTable[[#This Row],[Feedstock]]="All"))</f>
        <v>0</v>
      </c>
      <c r="H83" s="272" t="b">
        <f>OR(SelectionsTable[[#This Row],[Conversion]]=SelectedConversion,AND(SelectedConversion&lt;&gt;"(Multiple Items)",SelectedConversion&lt;&gt;"(All)",SelectionsTable[[#This Row],[Conversion]]="All"))</f>
        <v>1</v>
      </c>
      <c r="I83" s="272" t="b">
        <f>OR(SelectionsTable[[#This Row],[Data Set]]=SelectedDataSet,AND(SelectedDataSet&lt;&gt;"(Multiple Items)",SelectedDataSet&lt;&gt;"(All)",SelectionsTable[[#This Row],[Data Set]]="All"))</f>
        <v>1</v>
      </c>
      <c r="J83" s="272" t="b">
        <f>OR(SelectionsTable[[#This Row],[Technology]]=SelectedTechnology,AND(SelectedTechnology&lt;&gt;"(Multiple Items)",SelectedTechnology&lt;&gt;"(All)",SelectionsTable[[#This Row],[Technology]]="All"))</f>
        <v>1</v>
      </c>
      <c r="K83" s="272" t="b">
        <f>OR(SelectionsTable[[#This Row],[Data Source]]=SelectedDataSource,AND(SelectedDataSource&lt;&gt;"(Multiple Items)",SelectedDataSource&lt;&gt;"(All)",SelectionsTable[[#This Row],[Data Source]]="All"))</f>
        <v>1</v>
      </c>
      <c r="L83" s="273" t="b">
        <f t="shared" ca="1" si="7"/>
        <v>0</v>
      </c>
      <c r="M83" s="160" t="b">
        <f>SelectionsTable[[#This Row],[GREET1 Location]]&lt;&gt;""</f>
        <v>1</v>
      </c>
      <c r="N83" s="160" t="b">
        <f ca="1">AND(SelectionsTable[[#This Row],[Show Feedstock]:[Conditional to Show]])</f>
        <v>0</v>
      </c>
      <c r="O83" s="160" t="s">
        <v>1548</v>
      </c>
      <c r="P83" s="160" t="s">
        <v>1546</v>
      </c>
      <c r="Q83" s="160" t="s">
        <v>1796</v>
      </c>
      <c r="R83" s="266" cm="1">
        <f t="array" aca="1" ref="R83" ca="1">IF(AND(NOT(RefreshDefaults),NOT(SelectionsResetting)),VALUE(IFERROR(INDEX(Selection_UD, MATCH(SelectionsTable[[#This Row],[ID]], Selection_ID, 0)),SelectionsTable[[#This Row],[Default Value]])),VALUE(SelectionsTable[[#This Row],[Default Value]]))</f>
        <v>2.0649616800715972E-2</v>
      </c>
      <c r="S83" s="263">
        <v>2.0649616800715972E-2</v>
      </c>
      <c r="T83" s="264">
        <f ca="1">SelectionsTable[[#This Row],[Input Value]]</f>
        <v>2.0649616800715972E-2</v>
      </c>
      <c r="U83" s="161" t="s">
        <v>1458</v>
      </c>
    </row>
    <row r="84" spans="1:24" x14ac:dyDescent="0.3">
      <c r="A84"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SugarcaneAllAllAllAll_Sugarcane_Ethanol_Electricity_UserDefined_Biomass</v>
      </c>
      <c r="B84" s="160" t="s">
        <v>447</v>
      </c>
      <c r="C84" s="160" t="s">
        <v>435</v>
      </c>
      <c r="D84" s="160" t="s">
        <v>435</v>
      </c>
      <c r="E84" s="160" t="s">
        <v>435</v>
      </c>
      <c r="F84" s="48" t="s">
        <v>435</v>
      </c>
      <c r="G84" s="272" t="b" cm="1">
        <f t="array" ref="G84">OR(NOT(ISERROR(MATCH(TRIM(_xlfn.TEXTSPLIT(SelectionsTable[[#This Row],[Feedstock]],",")),SelectedFeedstock,0))),AND(SelectedFeedstock&lt;&gt;"(Multiple Items)",SelectedFeedstock&lt;&gt;"(All)",SelectionsTable[[#This Row],[Feedstock]]="All"))</f>
        <v>0</v>
      </c>
      <c r="H84" s="272" t="b">
        <f>OR(SelectionsTable[[#This Row],[Conversion]]=SelectedConversion,AND(SelectedConversion&lt;&gt;"(Multiple Items)",SelectedConversion&lt;&gt;"(All)",SelectionsTable[[#This Row],[Conversion]]="All"))</f>
        <v>1</v>
      </c>
      <c r="I84" s="272" t="b">
        <f>OR(SelectionsTable[[#This Row],[Data Set]]=SelectedDataSet,AND(SelectedDataSet&lt;&gt;"(Multiple Items)",SelectedDataSet&lt;&gt;"(All)",SelectionsTable[[#This Row],[Data Set]]="All"))</f>
        <v>1</v>
      </c>
      <c r="J84" s="272" t="b">
        <f>OR(SelectionsTable[[#This Row],[Technology]]=SelectedTechnology,AND(SelectedTechnology&lt;&gt;"(Multiple Items)",SelectedTechnology&lt;&gt;"(All)",SelectionsTable[[#This Row],[Technology]]="All"))</f>
        <v>1</v>
      </c>
      <c r="K84" s="272" t="b">
        <f>OR(SelectionsTable[[#This Row],[Data Source]]=SelectedDataSource,AND(SelectedDataSource&lt;&gt;"(Multiple Items)",SelectedDataSource&lt;&gt;"(All)",SelectionsTable[[#This Row],[Data Source]]="All"))</f>
        <v>1</v>
      </c>
      <c r="L84" s="273" t="b">
        <f t="shared" ca="1" si="7"/>
        <v>0</v>
      </c>
      <c r="M84" s="160" t="b">
        <f>SelectionsTable[[#This Row],[GREET1 Location]]&lt;&gt;""</f>
        <v>1</v>
      </c>
      <c r="N84" s="160" t="b">
        <f ca="1">AND(SelectionsTable[[#This Row],[Show Feedstock]:[Conditional to Show]])</f>
        <v>0</v>
      </c>
      <c r="O84" s="160" t="s">
        <v>1549</v>
      </c>
      <c r="P84" s="160" t="s">
        <v>1546</v>
      </c>
      <c r="Q84" s="160" t="s">
        <v>1797</v>
      </c>
      <c r="R84" s="266" cm="1">
        <f t="array" aca="1" ref="R84" ca="1">IF(AND(NOT(RefreshDefaults),NOT(SelectionsResetting)),VALUE(IFERROR(INDEX(Selection_UD, MATCH(SelectionsTable[[#This Row],[ID]], Selection_ID, 0)),SelectionsTable[[#This Row],[Default Value]])),VALUE(SelectionsTable[[#This Row],[Default Value]]))</f>
        <v>9.1639871382636656E-2</v>
      </c>
      <c r="S84" s="263">
        <v>9.1639871382636656E-2</v>
      </c>
      <c r="T84" s="264">
        <f ca="1">SelectionsTable[[#This Row],[Input Value]]</f>
        <v>9.1639871382636656E-2</v>
      </c>
      <c r="U84" s="161" t="s">
        <v>1458</v>
      </c>
    </row>
    <row r="85" spans="1:24" x14ac:dyDescent="0.3">
      <c r="A85"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SugarcaneAllAllAllAll_Sugarcane_Ethanol_Electricity_UserDefined_Nuclear</v>
      </c>
      <c r="B85" s="160" t="s">
        <v>447</v>
      </c>
      <c r="C85" s="160" t="s">
        <v>435</v>
      </c>
      <c r="D85" s="160" t="s">
        <v>435</v>
      </c>
      <c r="E85" s="160" t="s">
        <v>435</v>
      </c>
      <c r="F85" s="48" t="s">
        <v>435</v>
      </c>
      <c r="G85" s="272" t="b" cm="1">
        <f t="array" ref="G85">OR(NOT(ISERROR(MATCH(TRIM(_xlfn.TEXTSPLIT(SelectionsTable[[#This Row],[Feedstock]],",")),SelectedFeedstock,0))),AND(SelectedFeedstock&lt;&gt;"(Multiple Items)",SelectedFeedstock&lt;&gt;"(All)",SelectionsTable[[#This Row],[Feedstock]]="All"))</f>
        <v>0</v>
      </c>
      <c r="H85" s="272" t="b">
        <f>OR(SelectionsTable[[#This Row],[Conversion]]=SelectedConversion,AND(SelectedConversion&lt;&gt;"(Multiple Items)",SelectedConversion&lt;&gt;"(All)",SelectionsTable[[#This Row],[Conversion]]="All"))</f>
        <v>1</v>
      </c>
      <c r="I85" s="272" t="b">
        <f>OR(SelectionsTable[[#This Row],[Data Set]]=SelectedDataSet,AND(SelectedDataSet&lt;&gt;"(Multiple Items)",SelectedDataSet&lt;&gt;"(All)",SelectionsTable[[#This Row],[Data Set]]="All"))</f>
        <v>1</v>
      </c>
      <c r="J85" s="272" t="b">
        <f>OR(SelectionsTable[[#This Row],[Technology]]=SelectedTechnology,AND(SelectedTechnology&lt;&gt;"(Multiple Items)",SelectedTechnology&lt;&gt;"(All)",SelectionsTable[[#This Row],[Technology]]="All"))</f>
        <v>1</v>
      </c>
      <c r="K85" s="272" t="b">
        <f>OR(SelectionsTable[[#This Row],[Data Source]]=SelectedDataSource,AND(SelectedDataSource&lt;&gt;"(Multiple Items)",SelectedDataSource&lt;&gt;"(All)",SelectionsTable[[#This Row],[Data Source]]="All"))</f>
        <v>1</v>
      </c>
      <c r="L85" s="273" t="b">
        <f t="shared" ca="1" si="7"/>
        <v>0</v>
      </c>
      <c r="M85" s="160" t="b">
        <f>SelectionsTable[[#This Row],[GREET1 Location]]&lt;&gt;""</f>
        <v>1</v>
      </c>
      <c r="N85" s="160" t="b">
        <f ca="1">AND(SelectionsTable[[#This Row],[Show Feedstock]:[Conditional to Show]])</f>
        <v>0</v>
      </c>
      <c r="O85" s="160" t="s">
        <v>1550</v>
      </c>
      <c r="P85" s="160" t="s">
        <v>1546</v>
      </c>
      <c r="Q85" s="160" t="s">
        <v>1798</v>
      </c>
      <c r="R85" s="266" cm="1">
        <f t="array" aca="1" ref="R85" ca="1">IF(AND(NOT(RefreshDefaults),NOT(SelectionsResetting)),VALUE(IFERROR(INDEX(Selection_UD, MATCH(SelectionsTable[[#This Row],[ID]], Selection_ID, 0)),SelectionsTable[[#This Row],[Default Value]])),VALUE(SelectionsTable[[#This Row],[Default Value]]))</f>
        <v>2.2508038585209004E-2</v>
      </c>
      <c r="S85" s="263">
        <v>2.2508038585209004E-2</v>
      </c>
      <c r="T85" s="264">
        <f ca="1">SelectionsTable[[#This Row],[Input Value]]</f>
        <v>2.2508038585209004E-2</v>
      </c>
      <c r="U85" s="161" t="s">
        <v>1458</v>
      </c>
    </row>
    <row r="86" spans="1:24" x14ac:dyDescent="0.3">
      <c r="A86"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SugarcaneAllAllAllAll_Sugarcane_Ethanol_Electricity_UserDefined_Hydroelectric</v>
      </c>
      <c r="B86" s="160" t="s">
        <v>447</v>
      </c>
      <c r="C86" s="160" t="s">
        <v>435</v>
      </c>
      <c r="D86" s="160" t="s">
        <v>435</v>
      </c>
      <c r="E86" s="160" t="s">
        <v>435</v>
      </c>
      <c r="F86" s="48" t="s">
        <v>435</v>
      </c>
      <c r="G86" s="272" t="b" cm="1">
        <f t="array" ref="G86">OR(NOT(ISERROR(MATCH(TRIM(_xlfn.TEXTSPLIT(SelectionsTable[[#This Row],[Feedstock]],",")),SelectedFeedstock,0))),AND(SelectedFeedstock&lt;&gt;"(Multiple Items)",SelectedFeedstock&lt;&gt;"(All)",SelectionsTable[[#This Row],[Feedstock]]="All"))</f>
        <v>0</v>
      </c>
      <c r="H86" s="272" t="b">
        <f>OR(SelectionsTable[[#This Row],[Conversion]]=SelectedConversion,AND(SelectedConversion&lt;&gt;"(Multiple Items)",SelectedConversion&lt;&gt;"(All)",SelectionsTable[[#This Row],[Conversion]]="All"))</f>
        <v>1</v>
      </c>
      <c r="I86" s="272" t="b">
        <f>OR(SelectionsTable[[#This Row],[Data Set]]=SelectedDataSet,AND(SelectedDataSet&lt;&gt;"(Multiple Items)",SelectedDataSet&lt;&gt;"(All)",SelectionsTable[[#This Row],[Data Set]]="All"))</f>
        <v>1</v>
      </c>
      <c r="J86" s="272" t="b">
        <f>OR(SelectionsTable[[#This Row],[Technology]]=SelectedTechnology,AND(SelectedTechnology&lt;&gt;"(Multiple Items)",SelectedTechnology&lt;&gt;"(All)",SelectionsTable[[#This Row],[Technology]]="All"))</f>
        <v>1</v>
      </c>
      <c r="K86" s="272" t="b">
        <f>OR(SelectionsTable[[#This Row],[Data Source]]=SelectedDataSource,AND(SelectedDataSource&lt;&gt;"(Multiple Items)",SelectedDataSource&lt;&gt;"(All)",SelectionsTable[[#This Row],[Data Source]]="All"))</f>
        <v>1</v>
      </c>
      <c r="L86" s="273" t="b">
        <f t="shared" ca="1" si="7"/>
        <v>0</v>
      </c>
      <c r="M86" s="160" t="b">
        <f>SelectionsTable[[#This Row],[GREET1 Location]]&lt;&gt;""</f>
        <v>1</v>
      </c>
      <c r="N86" s="160" t="b">
        <f ca="1">AND(SelectionsTable[[#This Row],[Show Feedstock]:[Conditional to Show]])</f>
        <v>0</v>
      </c>
      <c r="O86" s="160" t="s">
        <v>1551</v>
      </c>
      <c r="P86" s="160" t="s">
        <v>1546</v>
      </c>
      <c r="Q86" s="160" t="s">
        <v>1799</v>
      </c>
      <c r="R86" s="266" cm="1">
        <f t="array" aca="1" ref="R86" ca="1">IF(AND(NOT(RefreshDefaults),NOT(SelectionsResetting)),VALUE(IFERROR(INDEX(Selection_UD, MATCH(SelectionsTable[[#This Row],[ID]], Selection_ID, 0)),SelectionsTable[[#This Row],[Default Value]])),VALUE(SelectionsTable[[#This Row],[Default Value]]))</f>
        <v>0.65916398713826363</v>
      </c>
      <c r="S86" s="263">
        <v>0.65916398713826363</v>
      </c>
      <c r="T86" s="264">
        <f ca="1">SelectionsTable[[#This Row],[Input Value]]</f>
        <v>0.65916398713826363</v>
      </c>
      <c r="U86" s="161" t="s">
        <v>1458</v>
      </c>
    </row>
    <row r="87" spans="1:24" x14ac:dyDescent="0.3">
      <c r="A87"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SugarcaneAllAllAllAll_Sugarcane_Ethanol_Electricity_UserDefined_Geothermal</v>
      </c>
      <c r="B87" s="160" t="s">
        <v>447</v>
      </c>
      <c r="C87" s="160" t="s">
        <v>435</v>
      </c>
      <c r="D87" s="160" t="s">
        <v>435</v>
      </c>
      <c r="E87" s="160" t="s">
        <v>435</v>
      </c>
      <c r="F87" s="48" t="s">
        <v>435</v>
      </c>
      <c r="G87" s="272" t="b" cm="1">
        <f t="array" ref="G87">OR(NOT(ISERROR(MATCH(TRIM(_xlfn.TEXTSPLIT(SelectionsTable[[#This Row],[Feedstock]],",")),SelectedFeedstock,0))),AND(SelectedFeedstock&lt;&gt;"(Multiple Items)",SelectedFeedstock&lt;&gt;"(All)",SelectionsTable[[#This Row],[Feedstock]]="All"))</f>
        <v>0</v>
      </c>
      <c r="H87" s="272" t="b">
        <f>OR(SelectionsTable[[#This Row],[Conversion]]=SelectedConversion,AND(SelectedConversion&lt;&gt;"(Multiple Items)",SelectedConversion&lt;&gt;"(All)",SelectionsTable[[#This Row],[Conversion]]="All"))</f>
        <v>1</v>
      </c>
      <c r="I87" s="272" t="b">
        <f>OR(SelectionsTable[[#This Row],[Data Set]]=SelectedDataSet,AND(SelectedDataSet&lt;&gt;"(Multiple Items)",SelectedDataSet&lt;&gt;"(All)",SelectionsTable[[#This Row],[Data Set]]="All"))</f>
        <v>1</v>
      </c>
      <c r="J87" s="272" t="b">
        <f>OR(SelectionsTable[[#This Row],[Technology]]=SelectedTechnology,AND(SelectedTechnology&lt;&gt;"(Multiple Items)",SelectedTechnology&lt;&gt;"(All)",SelectionsTable[[#This Row],[Technology]]="All"))</f>
        <v>1</v>
      </c>
      <c r="K87" s="272" t="b">
        <f>OR(SelectionsTable[[#This Row],[Data Source]]=SelectedDataSource,AND(SelectedDataSource&lt;&gt;"(Multiple Items)",SelectedDataSource&lt;&gt;"(All)",SelectionsTable[[#This Row],[Data Source]]="All"))</f>
        <v>1</v>
      </c>
      <c r="L87" s="273" t="b">
        <f t="shared" ca="1" si="7"/>
        <v>0</v>
      </c>
      <c r="M87" s="160" t="b">
        <f>SelectionsTable[[#This Row],[GREET1 Location]]&lt;&gt;""</f>
        <v>1</v>
      </c>
      <c r="N87" s="160" t="b">
        <f ca="1">AND(SelectionsTable[[#This Row],[Show Feedstock]:[Conditional to Show]])</f>
        <v>0</v>
      </c>
      <c r="O87" s="160" t="s">
        <v>1552</v>
      </c>
      <c r="P87" s="160" t="s">
        <v>1546</v>
      </c>
      <c r="Q87" s="160" t="s">
        <v>1800</v>
      </c>
      <c r="R87" s="266" cm="1">
        <f t="array" aca="1" ref="R87" ca="1">IF(AND(NOT(RefreshDefaults),NOT(SelectionsResetting)),VALUE(IFERROR(INDEX(Selection_UD, MATCH(SelectionsTable[[#This Row],[ID]], Selection_ID, 0)),SelectionsTable[[#This Row],[Default Value]])),VALUE(SelectionsTable[[#This Row],[Default Value]]))</f>
        <v>3.6441586280814585E-2</v>
      </c>
      <c r="S87" s="263">
        <v>3.6441586280814585E-2</v>
      </c>
      <c r="T87" s="263">
        <f ca="1">SelectionsTable[[#This Row],[Input Value]]</f>
        <v>3.6441586280814585E-2</v>
      </c>
      <c r="U87" s="161" t="s">
        <v>1458</v>
      </c>
    </row>
    <row r="88" spans="1:24" x14ac:dyDescent="0.3">
      <c r="A88"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SugarcaneAllAllAllAll_Sugarcane_Ethanol_Electricity_UserDefined_Wind</v>
      </c>
      <c r="B88" s="160" t="s">
        <v>447</v>
      </c>
      <c r="C88" s="160" t="s">
        <v>435</v>
      </c>
      <c r="D88" s="160" t="s">
        <v>435</v>
      </c>
      <c r="E88" s="160" t="s">
        <v>435</v>
      </c>
      <c r="F88" s="48" t="s">
        <v>435</v>
      </c>
      <c r="G88" s="272" t="b" cm="1">
        <f t="array" ref="G88">OR(NOT(ISERROR(MATCH(TRIM(_xlfn.TEXTSPLIT(SelectionsTable[[#This Row],[Feedstock]],",")),SelectedFeedstock,0))),AND(SelectedFeedstock&lt;&gt;"(Multiple Items)",SelectedFeedstock&lt;&gt;"(All)",SelectionsTable[[#This Row],[Feedstock]]="All"))</f>
        <v>0</v>
      </c>
      <c r="H88" s="272" t="b">
        <f>OR(SelectionsTable[[#This Row],[Conversion]]=SelectedConversion,AND(SelectedConversion&lt;&gt;"(Multiple Items)",SelectedConversion&lt;&gt;"(All)",SelectionsTable[[#This Row],[Conversion]]="All"))</f>
        <v>1</v>
      </c>
      <c r="I88" s="272" t="b">
        <f>OR(SelectionsTable[[#This Row],[Data Set]]=SelectedDataSet,AND(SelectedDataSet&lt;&gt;"(Multiple Items)",SelectedDataSet&lt;&gt;"(All)",SelectionsTable[[#This Row],[Data Set]]="All"))</f>
        <v>1</v>
      </c>
      <c r="J88" s="272" t="b">
        <f>OR(SelectionsTable[[#This Row],[Technology]]=SelectedTechnology,AND(SelectedTechnology&lt;&gt;"(Multiple Items)",SelectedTechnology&lt;&gt;"(All)",SelectionsTable[[#This Row],[Technology]]="All"))</f>
        <v>1</v>
      </c>
      <c r="K88" s="272" t="b">
        <f>OR(SelectionsTable[[#This Row],[Data Source]]=SelectedDataSource,AND(SelectedDataSource&lt;&gt;"(Multiple Items)",SelectedDataSource&lt;&gt;"(All)",SelectionsTable[[#This Row],[Data Source]]="All"))</f>
        <v>1</v>
      </c>
      <c r="L88" s="273" t="b">
        <f t="shared" ca="1" si="7"/>
        <v>0</v>
      </c>
      <c r="M88" s="160" t="b">
        <f>SelectionsTable[[#This Row],[GREET1 Location]]&lt;&gt;""</f>
        <v>1</v>
      </c>
      <c r="N88" s="160" t="b">
        <f ca="1">AND(SelectionsTable[[#This Row],[Show Feedstock]:[Conditional to Show]])</f>
        <v>0</v>
      </c>
      <c r="O88" s="160" t="s">
        <v>1553</v>
      </c>
      <c r="P88" s="160" t="s">
        <v>1546</v>
      </c>
      <c r="Q88" s="160" t="s">
        <v>1801</v>
      </c>
      <c r="R88" s="266" cm="1">
        <f t="array" aca="1" ref="R88" ca="1">IF(AND(NOT(RefreshDefaults),NOT(SelectionsResetting)),VALUE(IFERROR(INDEX(Selection_UD, MATCH(SelectionsTable[[#This Row],[ID]], Selection_ID, 0)),SelectionsTable[[#This Row],[Default Value]])),VALUE(SelectionsTable[[#This Row],[Default Value]]))</f>
        <v>3.6441586280814585E-2</v>
      </c>
      <c r="S88" s="263">
        <v>3.6441586280814585E-2</v>
      </c>
      <c r="T88" s="263">
        <f ca="1">SelectionsTable[[#This Row],[Input Value]]</f>
        <v>3.6441586280814585E-2</v>
      </c>
      <c r="U88" s="161" t="s">
        <v>1458</v>
      </c>
    </row>
    <row r="89" spans="1:24" x14ac:dyDescent="0.3">
      <c r="A89"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SugarcaneAllAllAllAll_Sugarcane_Ethanol_Electricity_UserDefined_SolarPV</v>
      </c>
      <c r="B89" s="160" t="s">
        <v>447</v>
      </c>
      <c r="C89" s="160" t="s">
        <v>435</v>
      </c>
      <c r="D89" s="160" t="s">
        <v>435</v>
      </c>
      <c r="E89" s="160" t="s">
        <v>435</v>
      </c>
      <c r="F89" s="48" t="s">
        <v>435</v>
      </c>
      <c r="G89" s="272" t="b" cm="1">
        <f t="array" ref="G89">OR(NOT(ISERROR(MATCH(TRIM(_xlfn.TEXTSPLIT(SelectionsTable[[#This Row],[Feedstock]],",")),SelectedFeedstock,0))),AND(SelectedFeedstock&lt;&gt;"(Multiple Items)",SelectedFeedstock&lt;&gt;"(All)",SelectionsTable[[#This Row],[Feedstock]]="All"))</f>
        <v>0</v>
      </c>
      <c r="H89" s="272" t="b">
        <f>OR(SelectionsTable[[#This Row],[Conversion]]=SelectedConversion,AND(SelectedConversion&lt;&gt;"(Multiple Items)",SelectedConversion&lt;&gt;"(All)",SelectionsTable[[#This Row],[Conversion]]="All"))</f>
        <v>1</v>
      </c>
      <c r="I89" s="272" t="b">
        <f>OR(SelectionsTable[[#This Row],[Data Set]]=SelectedDataSet,AND(SelectedDataSet&lt;&gt;"(Multiple Items)",SelectedDataSet&lt;&gt;"(All)",SelectionsTable[[#This Row],[Data Set]]="All"))</f>
        <v>1</v>
      </c>
      <c r="J89" s="272" t="b">
        <f>OR(SelectionsTable[[#This Row],[Technology]]=SelectedTechnology,AND(SelectedTechnology&lt;&gt;"(Multiple Items)",SelectedTechnology&lt;&gt;"(All)",SelectionsTable[[#This Row],[Technology]]="All"))</f>
        <v>1</v>
      </c>
      <c r="K89" s="272" t="b">
        <f>OR(SelectionsTable[[#This Row],[Data Source]]=SelectedDataSource,AND(SelectedDataSource&lt;&gt;"(Multiple Items)",SelectedDataSource&lt;&gt;"(All)",SelectionsTable[[#This Row],[Data Source]]="All"))</f>
        <v>1</v>
      </c>
      <c r="L89" s="273" t="b">
        <f t="shared" ca="1" si="7"/>
        <v>0</v>
      </c>
      <c r="M89" s="160" t="b">
        <f>SelectionsTable[[#This Row],[GREET1 Location]]&lt;&gt;""</f>
        <v>1</v>
      </c>
      <c r="N89" s="160" t="b">
        <f ca="1">AND(SelectionsTable[[#This Row],[Show Feedstock]:[Conditional to Show]])</f>
        <v>0</v>
      </c>
      <c r="O89" s="160" t="s">
        <v>1554</v>
      </c>
      <c r="P89" s="160" t="s">
        <v>1546</v>
      </c>
      <c r="Q89" s="160" t="s">
        <v>1802</v>
      </c>
      <c r="R89" s="266" cm="1">
        <f t="array" aca="1" ref="R89" ca="1">IF(AND(NOT(RefreshDefaults),NOT(SelectionsResetting)),VALUE(IFERROR(INDEX(Selection_UD, MATCH(SelectionsTable[[#This Row],[ID]], Selection_ID, 0)),SelectionsTable[[#This Row],[Default Value]])),VALUE(SelectionsTable[[#This Row],[Default Value]]))</f>
        <v>3.6441586280814585E-2</v>
      </c>
      <c r="S89" s="263">
        <v>3.6441586280814585E-2</v>
      </c>
      <c r="T89" s="263">
        <f ca="1">SelectionsTable[[#This Row],[Input Value]]</f>
        <v>3.6441586280814585E-2</v>
      </c>
      <c r="U89" s="161" t="s">
        <v>1458</v>
      </c>
    </row>
    <row r="90" spans="1:24" x14ac:dyDescent="0.3">
      <c r="A90"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SugarcaneAllAllAllAll_Sugarcane_Ethanol_Electricity_UserDefined_Others</v>
      </c>
      <c r="B90" s="160" t="s">
        <v>447</v>
      </c>
      <c r="C90" s="160" t="s">
        <v>435</v>
      </c>
      <c r="D90" s="160" t="s">
        <v>435</v>
      </c>
      <c r="E90" s="160" t="s">
        <v>435</v>
      </c>
      <c r="F90" s="48" t="s">
        <v>435</v>
      </c>
      <c r="G90" s="272" t="b" cm="1">
        <f t="array" ref="G90">OR(NOT(ISERROR(MATCH(TRIM(_xlfn.TEXTSPLIT(SelectionsTable[[#This Row],[Feedstock]],",")),SelectedFeedstock,0))),AND(SelectedFeedstock&lt;&gt;"(Multiple Items)",SelectedFeedstock&lt;&gt;"(All)",SelectionsTable[[#This Row],[Feedstock]]="All"))</f>
        <v>0</v>
      </c>
      <c r="H90" s="272" t="b">
        <f>OR(SelectionsTable[[#This Row],[Conversion]]=SelectedConversion,AND(SelectedConversion&lt;&gt;"(Multiple Items)",SelectedConversion&lt;&gt;"(All)",SelectionsTable[[#This Row],[Conversion]]="All"))</f>
        <v>1</v>
      </c>
      <c r="I90" s="272" t="b">
        <f>OR(SelectionsTable[[#This Row],[Data Set]]=SelectedDataSet,AND(SelectedDataSet&lt;&gt;"(Multiple Items)",SelectedDataSet&lt;&gt;"(All)",SelectionsTable[[#This Row],[Data Set]]="All"))</f>
        <v>1</v>
      </c>
      <c r="J90" s="272" t="b">
        <f>OR(SelectionsTable[[#This Row],[Technology]]=SelectedTechnology,AND(SelectedTechnology&lt;&gt;"(Multiple Items)",SelectedTechnology&lt;&gt;"(All)",SelectionsTable[[#This Row],[Technology]]="All"))</f>
        <v>1</v>
      </c>
      <c r="K90" s="272" t="b">
        <f>OR(SelectionsTable[[#This Row],[Data Source]]=SelectedDataSource,AND(SelectedDataSource&lt;&gt;"(Multiple Items)",SelectedDataSource&lt;&gt;"(All)",SelectionsTable[[#This Row],[Data Source]]="All"))</f>
        <v>1</v>
      </c>
      <c r="L90" s="273" t="b">
        <f t="shared" ca="1" si="7"/>
        <v>0</v>
      </c>
      <c r="M90" s="160" t="b">
        <f>SelectionsTable[[#This Row],[GREET1 Location]]&lt;&gt;""</f>
        <v>1</v>
      </c>
      <c r="N90" s="160" t="b">
        <f ca="1">AND(SelectionsTable[[#This Row],[Show Feedstock]:[Conditional to Show]])</f>
        <v>0</v>
      </c>
      <c r="O90" s="160" t="s">
        <v>1555</v>
      </c>
      <c r="P90" s="160" t="s">
        <v>1546</v>
      </c>
      <c r="Q90" s="160" t="s">
        <v>1803</v>
      </c>
      <c r="R90" s="266" cm="1">
        <f t="array" aca="1" ref="R90" ca="1">IF(AND(NOT(RefreshDefaults),NOT(SelectionsResetting)),VALUE(IFERROR(INDEX(Selection_UD, MATCH(SelectionsTable[[#This Row],[ID]], Selection_ID, 0)),SelectionsTable[[#This Row],[Default Value]])),VALUE(SelectionsTable[[#This Row],[Default Value]]))</f>
        <v>0</v>
      </c>
      <c r="S90" s="263">
        <v>0</v>
      </c>
      <c r="T90" s="263">
        <f ca="1">SelectionsTable[[#This Row],[Input Value]]</f>
        <v>0</v>
      </c>
      <c r="U90" s="161" t="s">
        <v>1458</v>
      </c>
    </row>
    <row r="91" spans="1:24" x14ac:dyDescent="0.3">
      <c r="A91"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SugarcaneAllAllAllAll_Sugarcane_EtOH_Heat_Source_Option</v>
      </c>
      <c r="B91" s="160" t="s">
        <v>447</v>
      </c>
      <c r="C91" s="160" t="s">
        <v>435</v>
      </c>
      <c r="D91" s="160" t="s">
        <v>435</v>
      </c>
      <c r="E91" s="160" t="s">
        <v>435</v>
      </c>
      <c r="F91" s="48" t="s">
        <v>435</v>
      </c>
      <c r="G91" s="272" t="b" cm="1">
        <f t="array" ref="G91">OR(NOT(ISERROR(MATCH(TRIM(_xlfn.TEXTSPLIT(SelectionsTable[[#This Row],[Feedstock]],",")),SelectedFeedstock,0))),AND(SelectedFeedstock&lt;&gt;"(Multiple Items)",SelectedFeedstock&lt;&gt;"(All)",SelectionsTable[[#This Row],[Feedstock]]="All"))</f>
        <v>0</v>
      </c>
      <c r="H91" s="272" t="b">
        <f>OR(SelectionsTable[[#This Row],[Conversion]]=SelectedConversion,AND(SelectedConversion&lt;&gt;"(Multiple Items)",SelectedConversion&lt;&gt;"(All)",SelectionsTable[[#This Row],[Conversion]]="All"))</f>
        <v>1</v>
      </c>
      <c r="I91" s="272" t="b">
        <f>OR(SelectionsTable[[#This Row],[Data Set]]=SelectedDataSet,AND(SelectedDataSet&lt;&gt;"(Multiple Items)",SelectedDataSet&lt;&gt;"(All)",SelectionsTable[[#This Row],[Data Set]]="All"))</f>
        <v>1</v>
      </c>
      <c r="J91" s="272" t="b">
        <f>OR(SelectionsTable[[#This Row],[Technology]]=SelectedTechnology,AND(SelectedTechnology&lt;&gt;"(Multiple Items)",SelectedTechnology&lt;&gt;"(All)",SelectionsTable[[#This Row],[Technology]]="All"))</f>
        <v>1</v>
      </c>
      <c r="K91" s="272" t="b">
        <f>OR(SelectionsTable[[#This Row],[Data Source]]=SelectedDataSource,AND(SelectedDataSource&lt;&gt;"(Multiple Items)",SelectedDataSource&lt;&gt;"(All)",SelectionsTable[[#This Row],[Data Source]]="All"))</f>
        <v>1</v>
      </c>
      <c r="L91" s="274" t="b">
        <f>FALSE</f>
        <v>0</v>
      </c>
      <c r="M91" s="160" t="b">
        <f>SelectionsTable[[#This Row],[GREET1 Location]]&lt;&gt;""</f>
        <v>1</v>
      </c>
      <c r="N91" s="160" t="b">
        <f>AND(SelectionsTable[[#This Row],[Show Feedstock]:[Conditional to Show]])</f>
        <v>0</v>
      </c>
      <c r="O91" s="160" t="s">
        <v>1533</v>
      </c>
      <c r="P91" s="160" t="s">
        <v>1532</v>
      </c>
      <c r="Q91" s="160" t="s">
        <v>1804</v>
      </c>
      <c r="R91" s="266" cm="1">
        <f t="array" aca="1" ref="R91" ca="1">IF(AND(NOT(RefreshDefaults),NOT(SelectionsResetting)),VALUE(IFERROR(INDEX(Selection_UD, MATCH(SelectionsTable[[#This Row],[ID]], Selection_ID, 0)),SelectionsTable[[#This Row],[Default Value]])),VALUE(SelectionsTable[[#This Row],[Default Value]]))</f>
        <v>1</v>
      </c>
      <c r="S91" s="263">
        <v>1</v>
      </c>
      <c r="T91" s="264">
        <f ca="1">SelectionsTable[[#This Row],[Input Value]]</f>
        <v>1</v>
      </c>
      <c r="U91" s="161" t="s">
        <v>904</v>
      </c>
      <c r="V91">
        <v>1</v>
      </c>
      <c r="W91">
        <v>4</v>
      </c>
      <c r="X91" s="310" t="s">
        <v>1900</v>
      </c>
    </row>
    <row r="92" spans="1:24" x14ac:dyDescent="0.3">
      <c r="A92"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AllAllAllAllAll_Ethanol_Certified_RNG_CI</v>
      </c>
      <c r="B92" s="160" t="s">
        <v>435</v>
      </c>
      <c r="C92" s="160" t="s">
        <v>435</v>
      </c>
      <c r="D92" s="160" t="s">
        <v>435</v>
      </c>
      <c r="E92" s="160" t="s">
        <v>435</v>
      </c>
      <c r="F92" s="48" t="s">
        <v>435</v>
      </c>
      <c r="G92" s="272" t="b" cm="1">
        <f t="array" ref="G92">OR(NOT(ISERROR(MATCH(TRIM(_xlfn.TEXTSPLIT(SelectionsTable[[#This Row],[Feedstock]],",")),SelectedFeedstock,0))),AND(SelectedFeedstock&lt;&gt;"(Multiple Items)",SelectedFeedstock&lt;&gt;"(All)",SelectionsTable[[#This Row],[Feedstock]]="All"))</f>
        <v>1</v>
      </c>
      <c r="H92" s="272" t="b">
        <f>OR(SelectionsTable[[#This Row],[Conversion]]=SelectedConversion,AND(SelectedConversion&lt;&gt;"(Multiple Items)",SelectedConversion&lt;&gt;"(All)",SelectionsTable[[#This Row],[Conversion]]="All"))</f>
        <v>1</v>
      </c>
      <c r="I92" s="272" t="b">
        <f>OR(SelectionsTable[[#This Row],[Data Set]]=SelectedDataSet,AND(SelectedDataSet&lt;&gt;"(Multiple Items)",SelectedDataSet&lt;&gt;"(All)",SelectionsTable[[#This Row],[Data Set]]="All"))</f>
        <v>1</v>
      </c>
      <c r="J92" s="272" t="b">
        <f>OR(SelectionsTable[[#This Row],[Technology]]=SelectedTechnology,AND(SelectedTechnology&lt;&gt;"(Multiple Items)",SelectedTechnology&lt;&gt;"(All)",SelectionsTable[[#This Row],[Technology]]="All"))</f>
        <v>1</v>
      </c>
      <c r="K92" s="272" t="b">
        <f>OR(SelectionsTable[[#This Row],[Data Source]]=SelectedDataSource,AND(SelectedDataSource&lt;&gt;"(Multiple Items)",SelectedDataSource&lt;&gt;"(All)",SelectionsTable[[#This Row],[Data Source]]="All"))</f>
        <v>1</v>
      </c>
      <c r="L92" s="273" t="b">
        <f ca="1">VALUE($R$91)=6</f>
        <v>0</v>
      </c>
      <c r="M92" s="261" t="b">
        <f>SelectionsTable[[#This Row],[GREET1 Location]]&lt;&gt;""</f>
        <v>1</v>
      </c>
      <c r="N92" s="261" t="b">
        <f ca="1">AND(SelectionsTable[[#This Row],[Show Feedstock]:[Conditional to Show]])</f>
        <v>0</v>
      </c>
      <c r="O92" s="261" t="s">
        <v>1649</v>
      </c>
      <c r="P92" s="261" t="s">
        <v>1532</v>
      </c>
      <c r="Q92" s="264" t="s">
        <v>1805</v>
      </c>
      <c r="R92" s="266" cm="1">
        <f t="array" aca="1" ref="R92" ca="1">IF(AND(NOT(RefreshDefaults),NOT(SelectionsResetting)),VALUE(IFERROR(INDEX(Selection_UD, MATCH(SelectionsTable[[#This Row],[ID]], Selection_ID, 0)),SelectionsTable[[#This Row],[Default Value]])),VALUE(SelectionsTable[[#This Row],[Default Value]]))</f>
        <v>30</v>
      </c>
      <c r="S92" s="263">
        <v>30</v>
      </c>
      <c r="T92" s="264">
        <f ca="1">SelectionsTable[[#This Row],[Input Value]]/MJ2mmBTU</f>
        <v>31651.675500000001</v>
      </c>
      <c r="U92" s="162" t="s">
        <v>174</v>
      </c>
      <c r="X92" s="310"/>
    </row>
    <row r="93" spans="1:24" x14ac:dyDescent="0.3">
      <c r="A93"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CornAllAllAllAll_N_Management_Corn</v>
      </c>
      <c r="B93" s="261" t="s">
        <v>136</v>
      </c>
      <c r="C93" s="160" t="s">
        <v>435</v>
      </c>
      <c r="D93" s="160" t="s">
        <v>435</v>
      </c>
      <c r="E93" s="160" t="s">
        <v>435</v>
      </c>
      <c r="F93" s="48" t="s">
        <v>435</v>
      </c>
      <c r="G93" s="273" t="b" cm="1">
        <f t="array" ref="G93">OR(NOT(ISERROR(MATCH(TRIM(_xlfn.TEXTSPLIT(SelectionsTable[[#This Row],[Feedstock]],",")),SelectedFeedstock,0))),AND(SelectedFeedstock&lt;&gt;"(Multiple Items)",SelectedFeedstock&lt;&gt;"(All)",SelectionsTable[[#This Row],[Feedstock]]="All"))</f>
        <v>0</v>
      </c>
      <c r="H93" s="273" t="b">
        <f>OR(SelectionsTable[[#This Row],[Conversion]]=SelectedConversion,AND(SelectedConversion&lt;&gt;"(Multiple Items)",SelectedConversion&lt;&gt;"(All)",SelectionsTable[[#This Row],[Conversion]]="All"))</f>
        <v>1</v>
      </c>
      <c r="I93" s="273" t="b">
        <f>OR(SelectionsTable[[#This Row],[Data Set]]=SelectedDataSet,AND(SelectedDataSet&lt;&gt;"(Multiple Items)",SelectedDataSet&lt;&gt;"(All)",SelectionsTable[[#This Row],[Data Set]]="All"))</f>
        <v>1</v>
      </c>
      <c r="J93" s="273" t="b">
        <f>OR(SelectionsTable[[#This Row],[Technology]]=SelectedTechnology,AND(SelectedTechnology&lt;&gt;"(Multiple Items)",SelectedTechnology&lt;&gt;"(All)",SelectionsTable[[#This Row],[Technology]]="All"))</f>
        <v>1</v>
      </c>
      <c r="K93" s="273" t="b">
        <f>OR(SelectionsTable[[#This Row],[Data Source]]=SelectedDataSource,AND(SelectedDataSource&lt;&gt;"(Multiple Items)",SelectedDataSource&lt;&gt;"(All)",SelectionsTable[[#This Row],[Data Source]]="All"))</f>
        <v>1</v>
      </c>
      <c r="L93" s="273" t="b">
        <f>FALSE</f>
        <v>0</v>
      </c>
      <c r="M93" s="261" t="b">
        <f>SelectionsTable[[#This Row],[GREET1 Location]]&lt;&gt;""</f>
        <v>1</v>
      </c>
      <c r="N93" s="261" t="b">
        <f>AND(SelectionsTable[[#This Row],[Show Feedstock]:[Conditional to Show]])</f>
        <v>0</v>
      </c>
      <c r="O93" s="160" t="s">
        <v>1568</v>
      </c>
      <c r="P93" s="261" t="s">
        <v>1472</v>
      </c>
      <c r="Q93" s="261" t="s">
        <v>1806</v>
      </c>
      <c r="R93" s="267" cm="1">
        <f t="array" aca="1" ref="R93" ca="1">IF(AND(NOT(RefreshDefaults),NOT(SelectionsResetting)),VALUE(IFERROR(INDEX(Selection_UD, MATCH(SelectionsTable[[#This Row],[ID]], Selection_ID, 0)),SelectionsTable[[#This Row],[Default Value]])),VALUE(SelectionsTable[[#This Row],[Default Value]]))</f>
        <v>1</v>
      </c>
      <c r="S93" s="263">
        <v>1</v>
      </c>
      <c r="T93" s="263" t="str">
        <f ca="1">IF(SelectionsTable[[#This Row],[Input Value]]=1, "BAU", IF(SelectionsTable[[#This Row],[Input Value]]=2, "4R", "EEF"))</f>
        <v>BAU</v>
      </c>
      <c r="U93" s="162" t="s">
        <v>904</v>
      </c>
      <c r="V93">
        <v>1</v>
      </c>
      <c r="W93">
        <v>3</v>
      </c>
      <c r="X93" t="s">
        <v>1612</v>
      </c>
    </row>
    <row r="94" spans="1:24" ht="25.5" customHeight="1" x14ac:dyDescent="0.3">
      <c r="A94"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dash_CornAllAllAllAll_Nitrogen Fertilizer Management, Deduction Rate_Nitrogen Fertilizer Management</v>
      </c>
      <c r="B94" s="261" t="s">
        <v>136</v>
      </c>
      <c r="C94" s="160" t="s">
        <v>435</v>
      </c>
      <c r="D94" s="160" t="s">
        <v>435</v>
      </c>
      <c r="E94" s="160" t="s">
        <v>435</v>
      </c>
      <c r="F94" s="48" t="s">
        <v>435</v>
      </c>
      <c r="G94" s="273" t="b" cm="1">
        <f t="array" ref="G94">OR(NOT(ISERROR(MATCH(TRIM(_xlfn.TEXTSPLIT(SelectionsTable[[#This Row],[Feedstock]],",")),SelectedFeedstock,0))),AND(SelectedFeedstock&lt;&gt;"(Multiple Items)",SelectedFeedstock&lt;&gt;"(All)",SelectionsTable[[#This Row],[Feedstock]]="All"))</f>
        <v>0</v>
      </c>
      <c r="H94" s="273" t="b">
        <f>OR(SelectionsTable[[#This Row],[Conversion]]=SelectedConversion,AND(SelectedConversion&lt;&gt;"(Multiple Items)",SelectedConversion&lt;&gt;"(All)",SelectionsTable[[#This Row],[Conversion]]="All"))</f>
        <v>1</v>
      </c>
      <c r="I94" s="273" t="b">
        <f>OR(SelectionsTable[[#This Row],[Data Set]]=SelectedDataSet,AND(SelectedDataSet&lt;&gt;"(Multiple Items)",SelectedDataSet&lt;&gt;"(All)",SelectionsTable[[#This Row],[Data Set]]="All"))</f>
        <v>1</v>
      </c>
      <c r="J94" s="273" t="b">
        <f>OR(SelectionsTable[[#This Row],[Technology]]=SelectedTechnology,AND(SelectedTechnology&lt;&gt;"(Multiple Items)",SelectedTechnology&lt;&gt;"(All)",SelectionsTable[[#This Row],[Technology]]="All"))</f>
        <v>1</v>
      </c>
      <c r="K94" s="273" t="b">
        <f>OR(SelectionsTable[[#This Row],[Data Source]]=SelectedDataSource,AND(SelectedDataSource&lt;&gt;"(Multiple Items)",SelectedDataSource&lt;&gt;"(All)",SelectionsTable[[#This Row],[Data Source]]="All"))</f>
        <v>1</v>
      </c>
      <c r="L94" s="273" t="b">
        <f>FALSE</f>
        <v>0</v>
      </c>
      <c r="M94" s="261" t="b">
        <f>SelectionsTable[[#This Row],[GREET1 Location]]&lt;&gt;""</f>
        <v>0</v>
      </c>
      <c r="N94" s="261" t="b">
        <f>AND(SelectionsTable[[#This Row],[Show Feedstock]:[Conditional to Show]])</f>
        <v>0</v>
      </c>
      <c r="O94" s="261"/>
      <c r="P94" s="261" t="s">
        <v>1472</v>
      </c>
      <c r="Q94" s="261" t="s">
        <v>1807</v>
      </c>
      <c r="R94" s="267" cm="1">
        <f t="array" aca="1" ref="R94" ca="1">IF(AND(NOT(RefreshDefaults),NOT(SelectionsResetting)),VALUE(IFERROR(INDEX(Selection_UD, MATCH(SelectionsTable[[#This Row],[ID]], Selection_ID, 0)),SelectionsTable[[#This Row],[Default Value]])),VALUE(SelectionsTable[[#This Row],[Default Value]]))</f>
        <v>1</v>
      </c>
      <c r="S94" s="263">
        <v>1</v>
      </c>
      <c r="T94" s="263">
        <f ca="1">SelectionsTable[[#This Row],[Input Value]]</f>
        <v>1</v>
      </c>
      <c r="U94" s="162" t="s">
        <v>904</v>
      </c>
      <c r="V94">
        <v>1</v>
      </c>
      <c r="W94">
        <v>2</v>
      </c>
      <c r="X94" t="s">
        <v>1648</v>
      </c>
    </row>
    <row r="95" spans="1:24" x14ac:dyDescent="0.3">
      <c r="A95"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CornAllAllAllAll_N_Reduction_Rate_Under_4R</v>
      </c>
      <c r="B95" s="261" t="s">
        <v>136</v>
      </c>
      <c r="C95" s="160" t="s">
        <v>435</v>
      </c>
      <c r="D95" s="160" t="s">
        <v>435</v>
      </c>
      <c r="E95" s="160" t="s">
        <v>435</v>
      </c>
      <c r="F95" s="48" t="s">
        <v>435</v>
      </c>
      <c r="G95" s="273" t="b" cm="1">
        <f t="array" ref="G95">OR(NOT(ISERROR(MATCH(TRIM(_xlfn.TEXTSPLIT(SelectionsTable[[#This Row],[Feedstock]],",")),SelectedFeedstock,0))),AND(SelectedFeedstock&lt;&gt;"(Multiple Items)",SelectedFeedstock&lt;&gt;"(All)",SelectionsTable[[#This Row],[Feedstock]]="All"))</f>
        <v>0</v>
      </c>
      <c r="H95" s="273" t="b">
        <f>OR(SelectionsTable[[#This Row],[Conversion]]=SelectedConversion,AND(SelectedConversion&lt;&gt;"(Multiple Items)",SelectedConversion&lt;&gt;"(All)",SelectionsTable[[#This Row],[Conversion]]="All"))</f>
        <v>1</v>
      </c>
      <c r="I95" s="273" t="b">
        <f>OR(SelectionsTable[[#This Row],[Data Set]]=SelectedDataSet,AND(SelectedDataSet&lt;&gt;"(Multiple Items)",SelectedDataSet&lt;&gt;"(All)",SelectionsTable[[#This Row],[Data Set]]="All"))</f>
        <v>1</v>
      </c>
      <c r="J95" s="273" t="b">
        <f>OR(SelectionsTable[[#This Row],[Technology]]=SelectedTechnology,AND(SelectedTechnology&lt;&gt;"(Multiple Items)",SelectedTechnology&lt;&gt;"(All)",SelectionsTable[[#This Row],[Technology]]="All"))</f>
        <v>1</v>
      </c>
      <c r="K95" s="273" t="b">
        <f>OR(SelectionsTable[[#This Row],[Data Source]]=SelectedDataSource,AND(SelectedDataSource&lt;&gt;"(Multiple Items)",SelectedDataSource&lt;&gt;"(All)",SelectionsTable[[#This Row],[Data Source]]="All"))</f>
        <v>1</v>
      </c>
      <c r="L95" s="273" t="b">
        <f ca="1">AND(VALUE(R93)=2)</f>
        <v>0</v>
      </c>
      <c r="M95" s="261" t="b">
        <f>SelectionsTable[[#This Row],[GREET1 Location]]&lt;&gt;""</f>
        <v>1</v>
      </c>
      <c r="N95" s="261" t="b">
        <f ca="1">AND(SelectionsTable[[#This Row],[Show Feedstock]:[Conditional to Show]])</f>
        <v>0</v>
      </c>
      <c r="O95" s="261" t="s">
        <v>1581</v>
      </c>
      <c r="P95" s="261" t="s">
        <v>1472</v>
      </c>
      <c r="Q95" s="261" t="s">
        <v>1808</v>
      </c>
      <c r="R95" s="267" cm="1">
        <f t="array" aca="1" ref="R95" ca="1">IF(AND(NOT(RefreshDefaults),NOT(SelectionsResetting)),VALUE(IFERROR(INDEX(Selection_UD, MATCH(SelectionsTable[[#This Row],[ID]], Selection_ID, 0)),SelectionsTable[[#This Row],[Default Value]])),VALUE(SelectionsTable[[#This Row],[Default Value]]))</f>
        <v>0.14000000000000001</v>
      </c>
      <c r="S95" s="269">
        <v>0.14000000000000001</v>
      </c>
      <c r="T95" s="263">
        <f ca="1">SelectionsTable[[#This Row],[Input Value]]</f>
        <v>0.14000000000000001</v>
      </c>
      <c r="U95" s="162" t="s">
        <v>1458</v>
      </c>
    </row>
    <row r="96" spans="1:24" x14ac:dyDescent="0.3">
      <c r="A96"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CornAllAllAllAll_Tillage_Type_Corn</v>
      </c>
      <c r="B96" s="160" t="s">
        <v>1565</v>
      </c>
      <c r="C96" s="160" t="s">
        <v>435</v>
      </c>
      <c r="D96" s="160" t="s">
        <v>435</v>
      </c>
      <c r="E96" s="160" t="s">
        <v>435</v>
      </c>
      <c r="F96" s="48" t="s">
        <v>435</v>
      </c>
      <c r="G96" s="272" t="b" cm="1">
        <f t="array" ref="G96">OR(NOT(ISERROR(MATCH(TRIM(_xlfn.TEXTSPLIT(SelectionsTable[[#This Row],[Feedstock]],",")),SelectedFeedstock,0))),AND(SelectedFeedstock&lt;&gt;"(Multiple Items)",SelectedFeedstock&lt;&gt;"(All)",SelectionsTable[[#This Row],[Feedstock]]="All"))</f>
        <v>0</v>
      </c>
      <c r="H96" s="272" t="b">
        <f>OR(SelectionsTable[[#This Row],[Conversion]]=SelectedConversion,AND(SelectedConversion&lt;&gt;"(Multiple Items)",SelectedConversion&lt;&gt;"(All)",SelectionsTable[[#This Row],[Conversion]]="All"))</f>
        <v>1</v>
      </c>
      <c r="I96" s="272" t="b">
        <f>OR(SelectionsTable[[#This Row],[Data Set]]=SelectedDataSet,AND(SelectedDataSet&lt;&gt;"(Multiple Items)",SelectedDataSet&lt;&gt;"(All)",SelectionsTable[[#This Row],[Data Set]]="All"))</f>
        <v>1</v>
      </c>
      <c r="J96" s="272" t="b">
        <f>OR(SelectionsTable[[#This Row],[Technology]]=SelectedTechnology,AND(SelectedTechnology&lt;&gt;"(Multiple Items)",SelectedTechnology&lt;&gt;"(All)",SelectionsTable[[#This Row],[Technology]]="All"))</f>
        <v>1</v>
      </c>
      <c r="K96" s="272" t="b">
        <f>OR(SelectionsTable[[#This Row],[Data Source]]=SelectedDataSource,AND(SelectedDataSource&lt;&gt;"(Multiple Items)",SelectedDataSource&lt;&gt;"(All)",SelectionsTable[[#This Row],[Data Source]]="All"))</f>
        <v>1</v>
      </c>
      <c r="L96" s="273" t="b">
        <f>FALSE</f>
        <v>0</v>
      </c>
      <c r="M96" s="160" t="b">
        <f>SelectionsTable[[#This Row],[GREET1 Location]]&lt;&gt;""</f>
        <v>1</v>
      </c>
      <c r="N96" s="160" t="b">
        <f>AND(SelectionsTable[[#This Row],[Show Feedstock]:[Conditional to Show]])</f>
        <v>0</v>
      </c>
      <c r="O96" s="160" t="str">
        <f>IF(SelectedFeedstock="Soybean","Tillage_Type_Soybean","Tillage_Type_Corn")</f>
        <v>Tillage_Type_Corn</v>
      </c>
      <c r="P96" s="160" t="s">
        <v>1473</v>
      </c>
      <c r="Q96" s="160" t="s">
        <v>1809</v>
      </c>
      <c r="R96" s="262" cm="1">
        <f t="array" aca="1" ref="R96" ca="1">IF(AND(NOT(RefreshDefaults),NOT(SelectionsResetting)),VALUE(IFERROR(INDEX(Selection_UD, MATCH(SelectionsTable[[#This Row],[ID]], Selection_ID, 0)),SelectionsTable[[#This Row],[Default Value]])),VALUE(SelectionsTable[[#This Row],[Default Value]]))</f>
        <v>4</v>
      </c>
      <c r="S96" s="263">
        <v>4</v>
      </c>
      <c r="T96" s="263">
        <f ca="1">SelectionsTable[[#This Row],[Input Value]]</f>
        <v>4</v>
      </c>
      <c r="U96" s="162" t="s">
        <v>904</v>
      </c>
      <c r="V96">
        <v>1</v>
      </c>
      <c r="W96">
        <v>4</v>
      </c>
      <c r="X96" t="s">
        <v>1613</v>
      </c>
    </row>
    <row r="97" spans="1:24" x14ac:dyDescent="0.3">
      <c r="A97"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CornAllAllAllAll_CC_Choice_Corn</v>
      </c>
      <c r="B97" s="160" t="s">
        <v>1565</v>
      </c>
      <c r="C97" s="160" t="s">
        <v>435</v>
      </c>
      <c r="D97" s="160" t="s">
        <v>435</v>
      </c>
      <c r="E97" s="160" t="s">
        <v>435</v>
      </c>
      <c r="F97" s="48" t="s">
        <v>435</v>
      </c>
      <c r="G97" s="272" t="b" cm="1">
        <f t="array" ref="G97">OR(NOT(ISERROR(MATCH(TRIM(_xlfn.TEXTSPLIT(SelectionsTable[[#This Row],[Feedstock]],",")),SelectedFeedstock,0))),AND(SelectedFeedstock&lt;&gt;"(Multiple Items)",SelectedFeedstock&lt;&gt;"(All)",SelectionsTable[[#This Row],[Feedstock]]="All"))</f>
        <v>0</v>
      </c>
      <c r="H97" s="272" t="b">
        <f>OR(SelectionsTable[[#This Row],[Conversion]]=SelectedConversion,AND(SelectedConversion&lt;&gt;"(Multiple Items)",SelectedConversion&lt;&gt;"(All)",SelectionsTable[[#This Row],[Conversion]]="All"))</f>
        <v>1</v>
      </c>
      <c r="I97" s="272" t="b">
        <f>OR(SelectionsTable[[#This Row],[Data Set]]=SelectedDataSet,AND(SelectedDataSet&lt;&gt;"(Multiple Items)",SelectedDataSet&lt;&gt;"(All)",SelectionsTable[[#This Row],[Data Set]]="All"))</f>
        <v>1</v>
      </c>
      <c r="J97" s="272" t="b">
        <f>OR(SelectionsTable[[#This Row],[Technology]]=SelectedTechnology,AND(SelectedTechnology&lt;&gt;"(Multiple Items)",SelectedTechnology&lt;&gt;"(All)",SelectionsTable[[#This Row],[Technology]]="All"))</f>
        <v>1</v>
      </c>
      <c r="K97" s="272" t="b">
        <f>OR(SelectionsTable[[#This Row],[Data Source]]=SelectedDataSource,AND(SelectedDataSource&lt;&gt;"(Multiple Items)",SelectedDataSource&lt;&gt;"(All)",SelectionsTable[[#This Row],[Data Source]]="All"))</f>
        <v>1</v>
      </c>
      <c r="L97" s="273" t="b">
        <f>FALSE</f>
        <v>0</v>
      </c>
      <c r="M97" s="160" t="b">
        <f>SelectionsTable[[#This Row],[GREET1 Location]]&lt;&gt;""</f>
        <v>1</v>
      </c>
      <c r="N97" s="160" t="b">
        <f>AND(SelectionsTable[[#This Row],[Show Feedstock]:[Conditional to Show]])</f>
        <v>0</v>
      </c>
      <c r="O97" s="160" t="str">
        <f>IF(SelectedFeedstock="Soybean","CC_Choice_Soybean","CC_Choice_Corn")</f>
        <v>CC_Choice_Corn</v>
      </c>
      <c r="P97" s="160" t="s">
        <v>1645</v>
      </c>
      <c r="Q97" s="160" t="s">
        <v>1810</v>
      </c>
      <c r="R97" s="262" cm="1">
        <f t="array" aca="1" ref="R97" ca="1">IF(AND(NOT(RefreshDefaults),NOT(SelectionsResetting)),VALUE(IFERROR(INDEX(Selection_UD, MATCH(SelectionsTable[[#This Row],[ID]], Selection_ID, 0)),SelectionsTable[[#This Row],[Default Value]])),VALUE(SelectionsTable[[#This Row],[Default Value]]))</f>
        <v>1</v>
      </c>
      <c r="S97" s="263">
        <v>1</v>
      </c>
      <c r="T97" s="263">
        <f ca="1">SelectionsTable[[#This Row],[Input Value]]</f>
        <v>1</v>
      </c>
      <c r="U97" s="162" t="s">
        <v>904</v>
      </c>
      <c r="V97">
        <v>1</v>
      </c>
      <c r="W97">
        <v>2</v>
      </c>
      <c r="X97" t="s">
        <v>1614</v>
      </c>
    </row>
    <row r="98" spans="1:24" x14ac:dyDescent="0.3">
      <c r="A98"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Canola/Rapeseed, Corn, SugarcaneAllAllAllAll_Rye_CC_Farming_Energy</v>
      </c>
      <c r="B98" s="160" t="s">
        <v>1634</v>
      </c>
      <c r="C98" s="160" t="s">
        <v>435</v>
      </c>
      <c r="D98" s="160" t="s">
        <v>435</v>
      </c>
      <c r="E98" s="160" t="s">
        <v>435</v>
      </c>
      <c r="F98" s="48" t="s">
        <v>435</v>
      </c>
      <c r="G98" s="272" t="b" cm="1">
        <f t="array" ref="G98">OR(NOT(ISERROR(MATCH(TRIM(_xlfn.TEXTSPLIT(SelectionsTable[[#This Row],[Feedstock]],",")),SelectedFeedstock,0))),AND(SelectedFeedstock&lt;&gt;"(Multiple Items)",SelectedFeedstock&lt;&gt;"(All)",SelectionsTable[[#This Row],[Feedstock]]="All"))</f>
        <v>1</v>
      </c>
      <c r="H98" s="272" t="b">
        <f>OR(SelectionsTable[[#This Row],[Conversion]]=SelectedConversion,AND(SelectedConversion&lt;&gt;"(Multiple Items)",SelectedConversion&lt;&gt;"(All)",SelectionsTable[[#This Row],[Conversion]]="All"))</f>
        <v>1</v>
      </c>
      <c r="I98" s="272" t="b">
        <f>OR(SelectionsTable[[#This Row],[Data Set]]=SelectedDataSet,AND(SelectedDataSet&lt;&gt;"(Multiple Items)",SelectedDataSet&lt;&gt;"(All)",SelectionsTable[[#This Row],[Data Set]]="All"))</f>
        <v>1</v>
      </c>
      <c r="J98" s="272" t="b">
        <f>OR(SelectionsTable[[#This Row],[Technology]]=SelectedTechnology,AND(SelectedTechnology&lt;&gt;"(Multiple Items)",SelectedTechnology&lt;&gt;"(All)",SelectionsTable[[#This Row],[Technology]]="All"))</f>
        <v>1</v>
      </c>
      <c r="K98" s="272" t="b">
        <f>OR(SelectionsTable[[#This Row],[Data Source]]=SelectedDataSource,AND(SelectedDataSource&lt;&gt;"(Multiple Items)",SelectedDataSource&lt;&gt;"(All)",SelectionsTable[[#This Row],[Data Source]]="All"))</f>
        <v>1</v>
      </c>
      <c r="L98" s="274" t="b">
        <f ca="1">AND(VALUE($R$97)=2,VALUE($R$64)=2)</f>
        <v>0</v>
      </c>
      <c r="M98" s="160" t="b">
        <f>SelectionsTable[[#This Row],[GREET1 Location]]&lt;&gt;""</f>
        <v>1</v>
      </c>
      <c r="N98" s="160" t="b">
        <f ca="1">AND(SelectionsTable[[#This Row],[Show Feedstock]:[Conditional to Show]])</f>
        <v>0</v>
      </c>
      <c r="O98" s="160" t="s">
        <v>1569</v>
      </c>
      <c r="P98" s="160" t="s">
        <v>1645</v>
      </c>
      <c r="Q98" s="261" t="s">
        <v>1811</v>
      </c>
      <c r="R98" s="262" cm="1">
        <f t="array" aca="1" ref="R98" ca="1">IF(AND(NOT(RefreshDefaults),NOT(SelectionsResetting)),VALUE(IFERROR(INDEX(Selection_UD, MATCH(SelectionsTable[[#This Row],[ID]], Selection_ID, 0)),SelectionsTable[[#This Row],[Default Value]])),VALUE(SelectionsTable[[#This Row],[Default Value]]))</f>
        <v>0</v>
      </c>
      <c r="S98" s="263">
        <f ca="1">IF(R64=2,8.72063726471448,0)</f>
        <v>0</v>
      </c>
      <c r="T98" s="263">
        <f ca="1">SelectionsTable[[#This Row],[Input Value]]*kWh2BTU</f>
        <v>0</v>
      </c>
      <c r="U98" s="162" t="s">
        <v>174</v>
      </c>
      <c r="X98" s="107" t="s">
        <v>1561</v>
      </c>
    </row>
    <row r="99" spans="1:24" x14ac:dyDescent="0.3">
      <c r="A99"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Canola/Rapeseed, Corn, SugarcaneAllAllAllAll_Rye_CC_Farming_Energy</v>
      </c>
      <c r="B99" s="160" t="s">
        <v>1634</v>
      </c>
      <c r="C99" s="160" t="s">
        <v>435</v>
      </c>
      <c r="D99" s="160" t="s">
        <v>435</v>
      </c>
      <c r="E99" s="160" t="s">
        <v>435</v>
      </c>
      <c r="F99" s="48" t="s">
        <v>435</v>
      </c>
      <c r="G99" s="272" t="b" cm="1">
        <f t="array" ref="G99">OR(NOT(ISERROR(MATCH(TRIM(_xlfn.TEXTSPLIT(SelectionsTable[[#This Row],[Feedstock]],",")),SelectedFeedstock,0))),AND(SelectedFeedstock&lt;&gt;"(Multiple Items)",SelectedFeedstock&lt;&gt;"(All)",SelectionsTable[[#This Row],[Feedstock]]="All"))</f>
        <v>1</v>
      </c>
      <c r="H99" s="272" t="b">
        <f>OR(SelectionsTable[[#This Row],[Conversion]]=SelectedConversion,AND(SelectedConversion&lt;&gt;"(Multiple Items)",SelectedConversion&lt;&gt;"(All)",SelectionsTable[[#This Row],[Conversion]]="All"))</f>
        <v>1</v>
      </c>
      <c r="I99" s="272" t="b">
        <f>OR(SelectionsTable[[#This Row],[Data Set]]=SelectedDataSet,AND(SelectedDataSet&lt;&gt;"(Multiple Items)",SelectedDataSet&lt;&gt;"(All)",SelectionsTable[[#This Row],[Data Set]]="All"))</f>
        <v>1</v>
      </c>
      <c r="J99" s="272" t="b">
        <f>OR(SelectionsTable[[#This Row],[Technology]]=SelectedTechnology,AND(SelectedTechnology&lt;&gt;"(Multiple Items)",SelectedTechnology&lt;&gt;"(All)",SelectionsTable[[#This Row],[Technology]]="All"))</f>
        <v>1</v>
      </c>
      <c r="K99" s="272" t="b">
        <f>OR(SelectionsTable[[#This Row],[Data Source]]=SelectedDataSource,AND(SelectedDataSource&lt;&gt;"(Multiple Items)",SelectedDataSource&lt;&gt;"(All)",SelectionsTable[[#This Row],[Data Source]]="All"))</f>
        <v>1</v>
      </c>
      <c r="L99" s="274" t="b">
        <f ca="1">AND(VALUE($R$97)=2,VALUE($R$64)=1)</f>
        <v>0</v>
      </c>
      <c r="M99" s="160" t="b">
        <f>SelectionsTable[[#This Row],[GREET1 Location]]&lt;&gt;""</f>
        <v>1</v>
      </c>
      <c r="N99" s="160" t="b">
        <f ca="1">AND(SelectionsTable[[#This Row],[Show Feedstock]:[Conditional to Show]])</f>
        <v>0</v>
      </c>
      <c r="O99" s="160" t="s">
        <v>1569</v>
      </c>
      <c r="P99" s="160" t="s">
        <v>1645</v>
      </c>
      <c r="Q99" s="261" t="s">
        <v>1812</v>
      </c>
      <c r="R99" s="262" cm="1">
        <f t="array" aca="1" ref="R99" ca="1">IF(AND(NOT(RefreshDefaults),NOT(SelectionsResetting)),VALUE(IFERROR(INDEX(Selection_UD, MATCH(SelectionsTable[[#This Row],[ID]], Selection_ID, 0)),SelectionsTable[[#This Row],[Default Value]])),VALUE(SelectionsTable[[#This Row],[Default Value]]))</f>
        <v>0.48314519268197698</v>
      </c>
      <c r="S99" s="263">
        <f ca="1">IF(R64=1,0.483145192681977,0)</f>
        <v>0.48314519268197698</v>
      </c>
      <c r="T99" s="263">
        <f ca="1">SelectionsTable[[#This Row],[Input Value]]*Fuel_Specs!B21</f>
        <v>62059.999999999942</v>
      </c>
      <c r="U99" s="162" t="s">
        <v>174</v>
      </c>
      <c r="X99" s="107" t="s">
        <v>1484</v>
      </c>
    </row>
    <row r="100" spans="1:24" x14ac:dyDescent="0.3">
      <c r="A100"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Canola/Rapeseed, Corn, SugarcaneAllAllAllAll_Rye_CC_Herbicide</v>
      </c>
      <c r="B100" s="160" t="s">
        <v>1634</v>
      </c>
      <c r="C100" s="160" t="s">
        <v>435</v>
      </c>
      <c r="D100" s="160" t="s">
        <v>435</v>
      </c>
      <c r="E100" s="160" t="s">
        <v>435</v>
      </c>
      <c r="F100" s="48" t="s">
        <v>435</v>
      </c>
      <c r="G100" s="272" t="b" cm="1">
        <f t="array" ref="G100">OR(NOT(ISERROR(MATCH(TRIM(_xlfn.TEXTSPLIT(SelectionsTable[[#This Row],[Feedstock]],",")),SelectedFeedstock,0))),AND(SelectedFeedstock&lt;&gt;"(Multiple Items)",SelectedFeedstock&lt;&gt;"(All)",SelectionsTable[[#This Row],[Feedstock]]="All"))</f>
        <v>1</v>
      </c>
      <c r="H100" s="272" t="b">
        <f>OR(SelectionsTable[[#This Row],[Conversion]]=SelectedConversion,AND(SelectedConversion&lt;&gt;"(Multiple Items)",SelectedConversion&lt;&gt;"(All)",SelectionsTable[[#This Row],[Conversion]]="All"))</f>
        <v>1</v>
      </c>
      <c r="I100" s="272" t="b">
        <f>OR(SelectionsTable[[#This Row],[Data Set]]=SelectedDataSet,AND(SelectedDataSet&lt;&gt;"(Multiple Items)",SelectedDataSet&lt;&gt;"(All)",SelectionsTable[[#This Row],[Data Set]]="All"))</f>
        <v>1</v>
      </c>
      <c r="J100" s="272" t="b">
        <f>OR(SelectionsTable[[#This Row],[Technology]]=SelectedTechnology,AND(SelectedTechnology&lt;&gt;"(Multiple Items)",SelectedTechnology&lt;&gt;"(All)",SelectionsTable[[#This Row],[Technology]]="All"))</f>
        <v>1</v>
      </c>
      <c r="K100" s="272" t="b">
        <f>OR(SelectionsTable[[#This Row],[Data Source]]=SelectedDataSource,AND(SelectedDataSource&lt;&gt;"(Multiple Items)",SelectedDataSource&lt;&gt;"(All)",SelectionsTable[[#This Row],[Data Source]]="All"))</f>
        <v>1</v>
      </c>
      <c r="L100" s="274" t="b">
        <f ca="1">VALUE($R$97)=2</f>
        <v>0</v>
      </c>
      <c r="M100" s="160" t="b">
        <f>SelectionsTable[[#This Row],[GREET1 Location]]&lt;&gt;""</f>
        <v>1</v>
      </c>
      <c r="N100" s="160" t="b">
        <f ca="1">AND(SelectionsTable[[#This Row],[Show Feedstock]:[Conditional to Show]])</f>
        <v>0</v>
      </c>
      <c r="O100" s="160" t="s">
        <v>1570</v>
      </c>
      <c r="P100" s="160" t="s">
        <v>1645</v>
      </c>
      <c r="Q100" s="261" t="s">
        <v>1813</v>
      </c>
      <c r="R100" s="262" cm="1">
        <f t="array" aca="1" ref="R100" ca="1">IF(AND(NOT(RefreshDefaults),NOT(SelectionsResetting)),VALUE(IFERROR(INDEX(Selection_UD, MATCH(SelectionsTable[[#This Row],[ID]], Selection_ID, 0)),SelectionsTable[[#This Row],[Default Value]])),VALUE(SelectionsTable[[#This Row],[Default Value]]))</f>
        <v>1.35</v>
      </c>
      <c r="S100" s="263">
        <v>1.35</v>
      </c>
      <c r="T100" s="263">
        <f ca="1">SelectionsTable[[#This Row],[Input Value]]*lb2g</f>
        <v>612.34969950000004</v>
      </c>
      <c r="U100" s="162" t="s">
        <v>174</v>
      </c>
      <c r="X100" t="s">
        <v>1485</v>
      </c>
    </row>
    <row r="101" spans="1:24" x14ac:dyDescent="0.3">
      <c r="A101"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Canola/Rapeseed, Corn, SugarcaneAllAllAllAll_Rye_CC_Yield</v>
      </c>
      <c r="B101" s="160" t="s">
        <v>1634</v>
      </c>
      <c r="C101" s="160" t="s">
        <v>435</v>
      </c>
      <c r="D101" s="160" t="s">
        <v>435</v>
      </c>
      <c r="E101" s="160" t="s">
        <v>435</v>
      </c>
      <c r="F101" s="48" t="s">
        <v>435</v>
      </c>
      <c r="G101" s="273" t="b" cm="1">
        <f t="array" ref="G101">OR(NOT(ISERROR(MATCH(TRIM(_xlfn.TEXTSPLIT(SelectionsTable[[#This Row],[Feedstock]],",")),SelectedFeedstock,0))),AND(SelectedFeedstock&lt;&gt;"(Multiple Items)",SelectedFeedstock&lt;&gt;"(All)",SelectionsTable[[#This Row],[Feedstock]]="All"))</f>
        <v>1</v>
      </c>
      <c r="H101" s="273" t="b">
        <f>OR(SelectionsTable[[#This Row],[Conversion]]=SelectedConversion,AND(SelectedConversion&lt;&gt;"(Multiple Items)",SelectedConversion&lt;&gt;"(All)",SelectionsTable[[#This Row],[Conversion]]="All"))</f>
        <v>1</v>
      </c>
      <c r="I101" s="273" t="b">
        <f>OR(SelectionsTable[[#This Row],[Data Set]]=SelectedDataSet,AND(SelectedDataSet&lt;&gt;"(Multiple Items)",SelectedDataSet&lt;&gt;"(All)",SelectionsTable[[#This Row],[Data Set]]="All"))</f>
        <v>1</v>
      </c>
      <c r="J101" s="273" t="b">
        <f>OR(SelectionsTable[[#This Row],[Technology]]=SelectedTechnology,AND(SelectedTechnology&lt;&gt;"(Multiple Items)",SelectedTechnology&lt;&gt;"(All)",SelectionsTable[[#This Row],[Technology]]="All"))</f>
        <v>1</v>
      </c>
      <c r="K101" s="273" t="b">
        <f>OR(SelectionsTable[[#This Row],[Data Source]]=SelectedDataSource,AND(SelectedDataSource&lt;&gt;"(Multiple Items)",SelectedDataSource&lt;&gt;"(All)",SelectionsTable[[#This Row],[Data Source]]="All"))</f>
        <v>1</v>
      </c>
      <c r="L101" s="274" t="b">
        <f ca="1">VALUE($R$97)=2</f>
        <v>0</v>
      </c>
      <c r="M101" s="261" t="b">
        <f>SelectionsTable[[#This Row],[GREET1 Location]]&lt;&gt;""</f>
        <v>1</v>
      </c>
      <c r="N101" s="261" t="b">
        <f ca="1">AND(SelectionsTable[[#This Row],[Show Feedstock]:[Conditional to Show]])</f>
        <v>0</v>
      </c>
      <c r="O101" s="261" t="s">
        <v>1571</v>
      </c>
      <c r="P101" s="160" t="s">
        <v>1645</v>
      </c>
      <c r="Q101" s="261" t="s">
        <v>1814</v>
      </c>
      <c r="R101" s="267" cm="1">
        <f t="array" aca="1" ref="R101" ca="1">IF(AND(NOT(RefreshDefaults),NOT(SelectionsResetting)),VALUE(IFERROR(INDEX(Selection_UD, MATCH(SelectionsTable[[#This Row],[ID]], Selection_ID, 0)),SelectionsTable[[#This Row],[Default Value]])),VALUE(SelectionsTable[[#This Row],[Default Value]]))</f>
        <v>1.214058800914591</v>
      </c>
      <c r="S101" s="263">
        <v>1.214058800914591</v>
      </c>
      <c r="T101" s="263">
        <f ca="1">SelectionsTable[[#This Row],[Input Value]]</f>
        <v>1.214058800914591</v>
      </c>
      <c r="U101" s="162" t="s">
        <v>174</v>
      </c>
      <c r="X101" s="95" t="s">
        <v>1474</v>
      </c>
    </row>
    <row r="102" spans="1:24" x14ac:dyDescent="0.3">
      <c r="A102"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CornAllAllAllAll_Manure_Choice_Corn</v>
      </c>
      <c r="B102" s="160" t="s">
        <v>1565</v>
      </c>
      <c r="C102" s="261" t="s">
        <v>435</v>
      </c>
      <c r="D102" s="261" t="s">
        <v>435</v>
      </c>
      <c r="E102" s="184" t="s">
        <v>435</v>
      </c>
      <c r="F102" s="184" t="s">
        <v>435</v>
      </c>
      <c r="G102" s="273" t="b" cm="1">
        <f t="array" ref="G102">OR(NOT(ISERROR(MATCH(TRIM(_xlfn.TEXTSPLIT(SelectionsTable[[#This Row],[Feedstock]],",")),SelectedFeedstock,0))),AND(SelectedFeedstock&lt;&gt;"(Multiple Items)",SelectedFeedstock&lt;&gt;"(All)",SelectionsTable[[#This Row],[Feedstock]]="All"))</f>
        <v>0</v>
      </c>
      <c r="H102" s="273" t="b">
        <f>OR(SelectionsTable[[#This Row],[Conversion]]=SelectedConversion,AND(SelectedConversion&lt;&gt;"(Multiple Items)",SelectedConversion&lt;&gt;"(All)",SelectionsTable[[#This Row],[Conversion]]="All"))</f>
        <v>1</v>
      </c>
      <c r="I102" s="273" t="b">
        <f>OR(SelectionsTable[[#This Row],[Data Set]]=SelectedDataSet,AND(SelectedDataSet&lt;&gt;"(Multiple Items)",SelectedDataSet&lt;&gt;"(All)",SelectionsTable[[#This Row],[Data Set]]="All"))</f>
        <v>1</v>
      </c>
      <c r="J102" s="273" t="b">
        <f>OR(SelectionsTable[[#This Row],[Technology]]=SelectedTechnology,AND(SelectedTechnology&lt;&gt;"(Multiple Items)",SelectedTechnology&lt;&gt;"(All)",SelectionsTable[[#This Row],[Technology]]="All"))</f>
        <v>1</v>
      </c>
      <c r="K102" s="273" t="b">
        <f>OR(SelectionsTable[[#This Row],[Data Source]]=SelectedDataSource,AND(SelectedDataSource&lt;&gt;"(Multiple Items)",SelectedDataSource&lt;&gt;"(All)",SelectionsTable[[#This Row],[Data Source]]="All"))</f>
        <v>1</v>
      </c>
      <c r="L102" s="273" t="b">
        <f>FALSE</f>
        <v>0</v>
      </c>
      <c r="M102" s="261" t="b">
        <f>SelectionsTable[[#This Row],[GREET1 Location]]&lt;&gt;""</f>
        <v>1</v>
      </c>
      <c r="N102" s="261" t="b">
        <f>AND(SelectionsTable[[#This Row],[Show Feedstock]:[Conditional to Show]])</f>
        <v>0</v>
      </c>
      <c r="O102" s="261" t="str">
        <f>IF(SelectedFeedstock="Soybean","Manure_Choice_Soybean","Manure_Choice_Corn")</f>
        <v>Manure_Choice_Corn</v>
      </c>
      <c r="P102" s="261" t="s">
        <v>1475</v>
      </c>
      <c r="Q102" s="261" t="s">
        <v>1815</v>
      </c>
      <c r="R102" s="267" cm="1">
        <f t="array" aca="1" ref="R102" ca="1">IF(AND(NOT(RefreshDefaults),NOT(SelectionsResetting)),VALUE(IFERROR(INDEX(Selection_UD, MATCH(SelectionsTable[[#This Row],[ID]], Selection_ID, 0)),SelectionsTable[[#This Row],[Default Value]])),VALUE(SelectionsTable[[#This Row],[Default Value]]))</f>
        <v>1</v>
      </c>
      <c r="S102" s="263">
        <v>1</v>
      </c>
      <c r="T102" s="263">
        <f ca="1">SelectionsTable[[#This Row],[Input Value]]</f>
        <v>1</v>
      </c>
      <c r="U102" s="162" t="s">
        <v>904</v>
      </c>
      <c r="V102">
        <v>1</v>
      </c>
      <c r="W102">
        <v>2</v>
      </c>
      <c r="X102" s="310" t="s">
        <v>1615</v>
      </c>
    </row>
    <row r="103" spans="1:24" x14ac:dyDescent="0.3">
      <c r="A103"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CornAllAllAllAll_Swine_manure_share</v>
      </c>
      <c r="B103" s="160" t="s">
        <v>1565</v>
      </c>
      <c r="C103" s="261" t="s">
        <v>435</v>
      </c>
      <c r="D103" s="261" t="s">
        <v>435</v>
      </c>
      <c r="E103" s="184" t="s">
        <v>435</v>
      </c>
      <c r="F103" s="184" t="s">
        <v>435</v>
      </c>
      <c r="G103" s="272" t="b" cm="1">
        <f t="array" ref="G103">OR(NOT(ISERROR(MATCH(TRIM(_xlfn.TEXTSPLIT(SelectionsTable[[#This Row],[Feedstock]],",")),SelectedFeedstock,0))),AND(SelectedFeedstock&lt;&gt;"(Multiple Items)",SelectedFeedstock&lt;&gt;"(All)",SelectionsTable[[#This Row],[Feedstock]]="All"))</f>
        <v>0</v>
      </c>
      <c r="H103" s="272" t="b">
        <f>OR(SelectionsTable[[#This Row],[Conversion]]=SelectedConversion,AND(SelectedConversion&lt;&gt;"(Multiple Items)",SelectedConversion&lt;&gt;"(All)",SelectionsTable[[#This Row],[Conversion]]="All"))</f>
        <v>1</v>
      </c>
      <c r="I103" s="272" t="b">
        <f>OR(SelectionsTable[[#This Row],[Data Set]]=SelectedDataSet,AND(SelectedDataSet&lt;&gt;"(Multiple Items)",SelectedDataSet&lt;&gt;"(All)",SelectionsTable[[#This Row],[Data Set]]="All"))</f>
        <v>1</v>
      </c>
      <c r="J103" s="272" t="b">
        <f>OR(SelectionsTable[[#This Row],[Technology]]=SelectedTechnology,AND(SelectedTechnology&lt;&gt;"(Multiple Items)",SelectedTechnology&lt;&gt;"(All)",SelectionsTable[[#This Row],[Technology]]="All"))</f>
        <v>1</v>
      </c>
      <c r="K103" s="272" t="b">
        <f>OR(SelectionsTable[[#This Row],[Data Source]]=SelectedDataSource,AND(SelectedDataSource&lt;&gt;"(Multiple Items)",SelectedDataSource&lt;&gt;"(All)",SelectionsTable[[#This Row],[Data Source]]="All"))</f>
        <v>1</v>
      </c>
      <c r="L103" s="273" t="b">
        <f ca="1">VALUE($R$102)=2</f>
        <v>0</v>
      </c>
      <c r="M103" s="160" t="b">
        <f>SelectionsTable[[#This Row],[GREET1 Location]]&lt;&gt;""</f>
        <v>1</v>
      </c>
      <c r="N103" s="160" t="b">
        <f ca="1">AND(SelectionsTable[[#This Row],[Show Feedstock]:[Conditional to Show]])</f>
        <v>0</v>
      </c>
      <c r="O103" s="261" t="s">
        <v>1584</v>
      </c>
      <c r="P103" s="261" t="s">
        <v>1475</v>
      </c>
      <c r="Q103" s="261" t="s">
        <v>1816</v>
      </c>
      <c r="R103" s="148" cm="1">
        <f t="array" aca="1" ref="R103" ca="1">IF(AND(NOT(RefreshDefaults),NOT(SelectionsResetting)),VALUE(IFERROR(INDEX(Selection_UD, MATCH(SelectionsTable[[#This Row],[ID]], Selection_ID, 0)),SelectionsTable[[#This Row],[Default Value]])),VALUE(SelectionsTable[[#This Row],[Default Value]]))</f>
        <v>0.24299999999999999</v>
      </c>
      <c r="S103" s="185">
        <v>0.24299999999999999</v>
      </c>
      <c r="T103" s="186">
        <f ca="1">SelectionsTable[[#This Row],[Input Value]]</f>
        <v>0.24299999999999999</v>
      </c>
      <c r="U103" s="162" t="s">
        <v>1458</v>
      </c>
      <c r="X103" s="310"/>
    </row>
    <row r="104" spans="1:24" x14ac:dyDescent="0.3">
      <c r="A104"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CornAllAllAllAll_Dairy_manure_share</v>
      </c>
      <c r="B104" s="160" t="s">
        <v>1565</v>
      </c>
      <c r="C104" s="261" t="s">
        <v>435</v>
      </c>
      <c r="D104" s="261" t="s">
        <v>435</v>
      </c>
      <c r="E104" s="184" t="s">
        <v>435</v>
      </c>
      <c r="F104" s="184" t="s">
        <v>435</v>
      </c>
      <c r="G104" s="272" t="b" cm="1">
        <f t="array" ref="G104">OR(NOT(ISERROR(MATCH(TRIM(_xlfn.TEXTSPLIT(SelectionsTable[[#This Row],[Feedstock]],",")),SelectedFeedstock,0))),AND(SelectedFeedstock&lt;&gt;"(Multiple Items)",SelectedFeedstock&lt;&gt;"(All)",SelectionsTable[[#This Row],[Feedstock]]="All"))</f>
        <v>0</v>
      </c>
      <c r="H104" s="272" t="b">
        <f>OR(SelectionsTable[[#This Row],[Conversion]]=SelectedConversion,AND(SelectedConversion&lt;&gt;"(Multiple Items)",SelectedConversion&lt;&gt;"(All)",SelectionsTable[[#This Row],[Conversion]]="All"))</f>
        <v>1</v>
      </c>
      <c r="I104" s="272" t="b">
        <f>OR(SelectionsTable[[#This Row],[Data Set]]=SelectedDataSet,AND(SelectedDataSet&lt;&gt;"(Multiple Items)",SelectedDataSet&lt;&gt;"(All)",SelectionsTable[[#This Row],[Data Set]]="All"))</f>
        <v>1</v>
      </c>
      <c r="J104" s="272" t="b">
        <f>OR(SelectionsTable[[#This Row],[Technology]]=SelectedTechnology,AND(SelectedTechnology&lt;&gt;"(Multiple Items)",SelectedTechnology&lt;&gt;"(All)",SelectionsTable[[#This Row],[Technology]]="All"))</f>
        <v>1</v>
      </c>
      <c r="K104" s="272" t="b">
        <f>OR(SelectionsTable[[#This Row],[Data Source]]=SelectedDataSource,AND(SelectedDataSource&lt;&gt;"(Multiple Items)",SelectedDataSource&lt;&gt;"(All)",SelectionsTable[[#This Row],[Data Source]]="All"))</f>
        <v>1</v>
      </c>
      <c r="L104" s="273" t="b">
        <f ca="1">VALUE($R$102)=2</f>
        <v>0</v>
      </c>
      <c r="M104" s="160" t="b">
        <f>SelectionsTable[[#This Row],[GREET1 Location]]&lt;&gt;""</f>
        <v>1</v>
      </c>
      <c r="N104" s="160" t="b">
        <f ca="1">AND(SelectionsTable[[#This Row],[Show Feedstock]:[Conditional to Show]])</f>
        <v>0</v>
      </c>
      <c r="O104" s="261" t="s">
        <v>1585</v>
      </c>
      <c r="P104" s="261" t="s">
        <v>1475</v>
      </c>
      <c r="Q104" s="261" t="s">
        <v>1817</v>
      </c>
      <c r="R104" s="148" cm="1">
        <f t="array" aca="1" ref="R104" ca="1">IF(AND(NOT(RefreshDefaults),NOT(SelectionsResetting)),VALUE(IFERROR(INDEX(Selection_UD, MATCH(SelectionsTable[[#This Row],[ID]], Selection_ID, 0)),SelectionsTable[[#This Row],[Default Value]])),VALUE(SelectionsTable[[#This Row],[Default Value]]))</f>
        <v>0.42299999999999999</v>
      </c>
      <c r="S104" s="185">
        <v>0.42299999999999999</v>
      </c>
      <c r="T104" s="186">
        <f ca="1">SelectionsTable[[#This Row],[Input Value]]</f>
        <v>0.42299999999999999</v>
      </c>
      <c r="U104" s="162" t="s">
        <v>1458</v>
      </c>
      <c r="X104" s="310"/>
    </row>
    <row r="105" spans="1:24" x14ac:dyDescent="0.3">
      <c r="A105"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CornAllAllAllAll_Beef_manure_share</v>
      </c>
      <c r="B105" s="160" t="s">
        <v>1565</v>
      </c>
      <c r="C105" s="261" t="s">
        <v>435</v>
      </c>
      <c r="D105" s="261" t="s">
        <v>435</v>
      </c>
      <c r="E105" s="184" t="s">
        <v>435</v>
      </c>
      <c r="F105" s="184" t="s">
        <v>435</v>
      </c>
      <c r="G105" s="272" t="b" cm="1">
        <f t="array" ref="G105">OR(NOT(ISERROR(MATCH(TRIM(_xlfn.TEXTSPLIT(SelectionsTable[[#This Row],[Feedstock]],",")),SelectedFeedstock,0))),AND(SelectedFeedstock&lt;&gt;"(Multiple Items)",SelectedFeedstock&lt;&gt;"(All)",SelectionsTable[[#This Row],[Feedstock]]="All"))</f>
        <v>0</v>
      </c>
      <c r="H105" s="272" t="b">
        <f>OR(SelectionsTable[[#This Row],[Conversion]]=SelectedConversion,AND(SelectedConversion&lt;&gt;"(Multiple Items)",SelectedConversion&lt;&gt;"(All)",SelectionsTable[[#This Row],[Conversion]]="All"))</f>
        <v>1</v>
      </c>
      <c r="I105" s="272" t="b">
        <f>OR(SelectionsTable[[#This Row],[Data Set]]=SelectedDataSet,AND(SelectedDataSet&lt;&gt;"(Multiple Items)",SelectedDataSet&lt;&gt;"(All)",SelectionsTable[[#This Row],[Data Set]]="All"))</f>
        <v>1</v>
      </c>
      <c r="J105" s="272" t="b">
        <f>OR(SelectionsTable[[#This Row],[Technology]]=SelectedTechnology,AND(SelectedTechnology&lt;&gt;"(Multiple Items)",SelectedTechnology&lt;&gt;"(All)",SelectionsTable[[#This Row],[Technology]]="All"))</f>
        <v>1</v>
      </c>
      <c r="K105" s="272" t="b">
        <f>OR(SelectionsTable[[#This Row],[Data Source]]=SelectedDataSource,AND(SelectedDataSource&lt;&gt;"(Multiple Items)",SelectedDataSource&lt;&gt;"(All)",SelectionsTable[[#This Row],[Data Source]]="All"))</f>
        <v>1</v>
      </c>
      <c r="L105" s="273" t="b">
        <f ca="1">VALUE($R$102)=2</f>
        <v>0</v>
      </c>
      <c r="M105" s="160" t="b">
        <f>SelectionsTable[[#This Row],[GREET1 Location]]&lt;&gt;""</f>
        <v>1</v>
      </c>
      <c r="N105" s="160" t="b">
        <f ca="1">AND(SelectionsTable[[#This Row],[Show Feedstock]:[Conditional to Show]])</f>
        <v>0</v>
      </c>
      <c r="O105" s="261" t="s">
        <v>1586</v>
      </c>
      <c r="P105" s="261" t="s">
        <v>1475</v>
      </c>
      <c r="Q105" s="261" t="s">
        <v>1818</v>
      </c>
      <c r="R105" s="148" cm="1">
        <f t="array" aca="1" ref="R105" ca="1">IF(AND(NOT(RefreshDefaults),NOT(SelectionsResetting)),VALUE(IFERROR(INDEX(Selection_UD, MATCH(SelectionsTable[[#This Row],[ID]], Selection_ID, 0)),SelectionsTable[[#This Row],[Default Value]])),VALUE(SelectionsTable[[#This Row],[Default Value]]))</f>
        <v>0.216</v>
      </c>
      <c r="S105" s="185">
        <v>0.216</v>
      </c>
      <c r="T105" s="186">
        <f ca="1">SelectionsTable[[#This Row],[Input Value]]</f>
        <v>0.216</v>
      </c>
      <c r="U105" s="162" t="s">
        <v>1458</v>
      </c>
      <c r="X105" s="310"/>
    </row>
    <row r="106" spans="1:24" x14ac:dyDescent="0.3">
      <c r="A106"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CornAllAllAllAll_Chicken_manure_share</v>
      </c>
      <c r="B106" s="160" t="s">
        <v>1565</v>
      </c>
      <c r="C106" s="261" t="s">
        <v>435</v>
      </c>
      <c r="D106" s="261" t="s">
        <v>435</v>
      </c>
      <c r="E106" s="184" t="s">
        <v>435</v>
      </c>
      <c r="F106" s="184" t="s">
        <v>435</v>
      </c>
      <c r="G106" s="272" t="b" cm="1">
        <f t="array" ref="G106">OR(NOT(ISERROR(MATCH(TRIM(_xlfn.TEXTSPLIT(SelectionsTable[[#This Row],[Feedstock]],",")),SelectedFeedstock,0))),AND(SelectedFeedstock&lt;&gt;"(Multiple Items)",SelectedFeedstock&lt;&gt;"(All)",SelectionsTable[[#This Row],[Feedstock]]="All"))</f>
        <v>0</v>
      </c>
      <c r="H106" s="272" t="b">
        <f>OR(SelectionsTable[[#This Row],[Conversion]]=SelectedConversion,AND(SelectedConversion&lt;&gt;"(Multiple Items)",SelectedConversion&lt;&gt;"(All)",SelectionsTable[[#This Row],[Conversion]]="All"))</f>
        <v>1</v>
      </c>
      <c r="I106" s="272" t="b">
        <f>OR(SelectionsTable[[#This Row],[Data Set]]=SelectedDataSet,AND(SelectedDataSet&lt;&gt;"(Multiple Items)",SelectedDataSet&lt;&gt;"(All)",SelectionsTable[[#This Row],[Data Set]]="All"))</f>
        <v>1</v>
      </c>
      <c r="J106" s="272" t="b">
        <f>OR(SelectionsTable[[#This Row],[Technology]]=SelectedTechnology,AND(SelectedTechnology&lt;&gt;"(Multiple Items)",SelectedTechnology&lt;&gt;"(All)",SelectionsTable[[#This Row],[Technology]]="All"))</f>
        <v>1</v>
      </c>
      <c r="K106" s="272" t="b">
        <f>OR(SelectionsTable[[#This Row],[Data Source]]=SelectedDataSource,AND(SelectedDataSource&lt;&gt;"(Multiple Items)",SelectedDataSource&lt;&gt;"(All)",SelectionsTable[[#This Row],[Data Source]]="All"))</f>
        <v>1</v>
      </c>
      <c r="L106" s="273" t="b">
        <f ca="1">VALUE($R$102)=2</f>
        <v>0</v>
      </c>
      <c r="M106" s="160" t="b">
        <f>SelectionsTable[[#This Row],[GREET1 Location]]&lt;&gt;""</f>
        <v>1</v>
      </c>
      <c r="N106" s="160" t="b">
        <f ca="1">AND(SelectionsTable[[#This Row],[Show Feedstock]:[Conditional to Show]])</f>
        <v>0</v>
      </c>
      <c r="O106" s="261" t="s">
        <v>1587</v>
      </c>
      <c r="P106" s="261" t="s">
        <v>1475</v>
      </c>
      <c r="Q106" s="261" t="s">
        <v>1819</v>
      </c>
      <c r="R106" s="148" cm="1">
        <f t="array" aca="1" ref="R106" ca="1">IF(AND(NOT(RefreshDefaults),NOT(SelectionsResetting)),VALUE(IFERROR(INDEX(Selection_UD, MATCH(SelectionsTable[[#This Row],[ID]], Selection_ID, 0)),SelectionsTable[[#This Row],[Default Value]])),VALUE(SelectionsTable[[#This Row],[Default Value]]))</f>
        <v>0.11799999999999999</v>
      </c>
      <c r="S106" s="185">
        <v>0.11799999999999999</v>
      </c>
      <c r="T106" s="186">
        <f ca="1">SelectionsTable[[#This Row],[Input Value]]</f>
        <v>0.11799999999999999</v>
      </c>
      <c r="U106" s="162" t="s">
        <v>1458</v>
      </c>
      <c r="X106" s="310"/>
    </row>
    <row r="107" spans="1:24" x14ac:dyDescent="0.3">
      <c r="A107"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CornAllAllAllAll_Manure_application_rate</v>
      </c>
      <c r="B107" s="160" t="s">
        <v>1565</v>
      </c>
      <c r="C107" s="261" t="s">
        <v>435</v>
      </c>
      <c r="D107" s="261" t="s">
        <v>435</v>
      </c>
      <c r="E107" s="184" t="s">
        <v>435</v>
      </c>
      <c r="F107" s="184" t="s">
        <v>435</v>
      </c>
      <c r="G107" s="273" t="b" cm="1">
        <f t="array" ref="G107">OR(NOT(ISERROR(MATCH(TRIM(_xlfn.TEXTSPLIT(SelectionsTable[[#This Row],[Feedstock]],",")),SelectedFeedstock,0))),AND(SelectedFeedstock&lt;&gt;"(Multiple Items)",SelectedFeedstock&lt;&gt;"(All)",SelectionsTable[[#This Row],[Feedstock]]="All"))</f>
        <v>0</v>
      </c>
      <c r="H107" s="273" t="b">
        <f>OR(SelectionsTable[[#This Row],[Conversion]]=SelectedConversion,AND(SelectedConversion&lt;&gt;"(Multiple Items)",SelectedConversion&lt;&gt;"(All)",SelectionsTable[[#This Row],[Conversion]]="All"))</f>
        <v>1</v>
      </c>
      <c r="I107" s="273" t="b">
        <f>OR(SelectionsTable[[#This Row],[Data Set]]=SelectedDataSet,AND(SelectedDataSet&lt;&gt;"(Multiple Items)",SelectedDataSet&lt;&gt;"(All)",SelectionsTable[[#This Row],[Data Set]]="All"))</f>
        <v>1</v>
      </c>
      <c r="J107" s="273" t="b">
        <f>OR(SelectionsTable[[#This Row],[Technology]]=SelectedTechnology,AND(SelectedTechnology&lt;&gt;"(Multiple Items)",SelectedTechnology&lt;&gt;"(All)",SelectionsTable[[#This Row],[Technology]]="All"))</f>
        <v>1</v>
      </c>
      <c r="K107" s="273" t="b">
        <f>OR(SelectionsTable[[#This Row],[Data Source]]=SelectedDataSource,AND(SelectedDataSource&lt;&gt;"(Multiple Items)",SelectedDataSource&lt;&gt;"(All)",SelectionsTable[[#This Row],[Data Source]]="All"))</f>
        <v>1</v>
      </c>
      <c r="L107" s="273" t="b">
        <f ca="1">VALUE($R$102)=2</f>
        <v>0</v>
      </c>
      <c r="M107" s="261" t="b">
        <f>SelectionsTable[[#This Row],[GREET1 Location]]&lt;&gt;""</f>
        <v>1</v>
      </c>
      <c r="N107" s="261" t="b">
        <f ca="1">AND(SelectionsTable[[#This Row],[Show Feedstock]:[Conditional to Show]])</f>
        <v>0</v>
      </c>
      <c r="O107" s="160" t="s">
        <v>1572</v>
      </c>
      <c r="P107" s="261" t="s">
        <v>1475</v>
      </c>
      <c r="Q107" s="261" t="s">
        <v>1820</v>
      </c>
      <c r="R107" s="267" cm="1">
        <f t="array" aca="1" ref="R107" ca="1">IF(AND(NOT(RefreshDefaults),NOT(SelectionsResetting)),VALUE(IFERROR(INDEX(Selection_UD, MATCH(SelectionsTable[[#This Row],[ID]], Selection_ID, 0)),SelectionsTable[[#This Row],[Default Value]])),VALUE(SelectionsTable[[#This Row],[Default Value]]))</f>
        <v>7.8540000000000001</v>
      </c>
      <c r="S107" s="263">
        <v>7.8540000000000001</v>
      </c>
      <c r="T107" s="263">
        <f ca="1">SelectionsTable[[#This Row],[Input Value]]</f>
        <v>7.8540000000000001</v>
      </c>
      <c r="U107" s="162" t="s">
        <v>174</v>
      </c>
    </row>
    <row r="108" spans="1:24" x14ac:dyDescent="0.3">
      <c r="A108"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CornAllAllAllAll_Manure_application_energy</v>
      </c>
      <c r="B108" s="160" t="s">
        <v>1565</v>
      </c>
      <c r="C108" s="261" t="s">
        <v>435</v>
      </c>
      <c r="D108" s="261" t="s">
        <v>435</v>
      </c>
      <c r="E108" s="184" t="s">
        <v>435</v>
      </c>
      <c r="F108" s="184" t="s">
        <v>435</v>
      </c>
      <c r="G108" s="273" t="b" cm="1">
        <f t="array" ref="G108">OR(NOT(ISERROR(MATCH(TRIM(_xlfn.TEXTSPLIT(SelectionsTable[[#This Row],[Feedstock]],",")),SelectedFeedstock,0))),AND(SelectedFeedstock&lt;&gt;"(Multiple Items)",SelectedFeedstock&lt;&gt;"(All)",SelectionsTable[[#This Row],[Feedstock]]="All"))</f>
        <v>0</v>
      </c>
      <c r="H108" s="273" t="b">
        <f>OR(SelectionsTable[[#This Row],[Conversion]]=SelectedConversion,AND(SelectedConversion&lt;&gt;"(Multiple Items)",SelectedConversion&lt;&gt;"(All)",SelectionsTable[[#This Row],[Conversion]]="All"))</f>
        <v>1</v>
      </c>
      <c r="I108" s="273" t="b">
        <f>OR(SelectionsTable[[#This Row],[Data Set]]=SelectedDataSet,AND(SelectedDataSet&lt;&gt;"(Multiple Items)",SelectedDataSet&lt;&gt;"(All)",SelectionsTable[[#This Row],[Data Set]]="All"))</f>
        <v>1</v>
      </c>
      <c r="J108" s="273" t="b">
        <f>OR(SelectionsTable[[#This Row],[Technology]]=SelectedTechnology,AND(SelectedTechnology&lt;&gt;"(Multiple Items)",SelectedTechnology&lt;&gt;"(All)",SelectionsTable[[#This Row],[Technology]]="All"))</f>
        <v>1</v>
      </c>
      <c r="K108" s="273" t="b">
        <f>OR(SelectionsTable[[#This Row],[Data Source]]=SelectedDataSource,AND(SelectedDataSource&lt;&gt;"(Multiple Items)",SelectedDataSource&lt;&gt;"(All)",SelectionsTable[[#This Row],[Data Source]]="All"))</f>
        <v>1</v>
      </c>
      <c r="L108" s="273" t="b">
        <f ca="1">AND(VALUE($R$102)=2,VALUE($R$64)=1)</f>
        <v>0</v>
      </c>
      <c r="M108" s="261" t="b">
        <f>SelectionsTable[[#This Row],[GREET1 Location]]&lt;&gt;""</f>
        <v>1</v>
      </c>
      <c r="N108" s="261" t="b">
        <f ca="1">AND(SelectionsTable[[#This Row],[Show Feedstock]:[Conditional to Show]])</f>
        <v>0</v>
      </c>
      <c r="O108" t="s">
        <v>1573</v>
      </c>
      <c r="P108" s="261" t="s">
        <v>1475</v>
      </c>
      <c r="Q108" s="261" t="s">
        <v>1821</v>
      </c>
      <c r="R108" s="267" cm="1">
        <f t="array" aca="1" ref="R108" ca="1">IF(AND(NOT(RefreshDefaults),NOT(SelectionsResetting)),VALUE(IFERROR(INDEX(Selection_UD, MATCH(SelectionsTable[[#This Row],[ID]], Selection_ID, 0)),SelectionsTable[[#This Row],[Default Value]])),VALUE(SelectionsTable[[#This Row],[Default Value]]))</f>
        <v>1.7233599820000001</v>
      </c>
      <c r="S108" s="263">
        <f ca="1">IF(R64=1,1.723359982,0)</f>
        <v>1.7233599820000001</v>
      </c>
      <c r="T108" s="263">
        <f ca="1">SelectionsTable[[#This Row],[Input Value]]*Fuel_Specs!B21</f>
        <v>221365.58968790001</v>
      </c>
      <c r="U108" s="162" t="s">
        <v>174</v>
      </c>
    </row>
    <row r="109" spans="1:24" x14ac:dyDescent="0.3">
      <c r="A109"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CornAllAllAllAll_Manure_application_energy</v>
      </c>
      <c r="B109" s="160" t="s">
        <v>1565</v>
      </c>
      <c r="C109" s="261" t="s">
        <v>435</v>
      </c>
      <c r="D109" s="261" t="s">
        <v>435</v>
      </c>
      <c r="E109" s="184" t="s">
        <v>435</v>
      </c>
      <c r="F109" s="184" t="s">
        <v>435</v>
      </c>
      <c r="G109" s="273" t="b" cm="1">
        <f t="array" ref="G109">OR(NOT(ISERROR(MATCH(TRIM(_xlfn.TEXTSPLIT(SelectionsTable[[#This Row],[Feedstock]],",")),SelectedFeedstock,0))),AND(SelectedFeedstock&lt;&gt;"(Multiple Items)",SelectedFeedstock&lt;&gt;"(All)",SelectionsTable[[#This Row],[Feedstock]]="All"))</f>
        <v>0</v>
      </c>
      <c r="H109" s="273" t="b">
        <f>OR(SelectionsTable[[#This Row],[Conversion]]=SelectedConversion,AND(SelectedConversion&lt;&gt;"(Multiple Items)",SelectedConversion&lt;&gt;"(All)",SelectionsTable[[#This Row],[Conversion]]="All"))</f>
        <v>1</v>
      </c>
      <c r="I109" s="273" t="b">
        <f>OR(SelectionsTable[[#This Row],[Data Set]]=SelectedDataSet,AND(SelectedDataSet&lt;&gt;"(Multiple Items)",SelectedDataSet&lt;&gt;"(All)",SelectionsTable[[#This Row],[Data Set]]="All"))</f>
        <v>1</v>
      </c>
      <c r="J109" s="273" t="b">
        <f>OR(SelectionsTable[[#This Row],[Technology]]=SelectedTechnology,AND(SelectedTechnology&lt;&gt;"(Multiple Items)",SelectedTechnology&lt;&gt;"(All)",SelectionsTable[[#This Row],[Technology]]="All"))</f>
        <v>1</v>
      </c>
      <c r="K109" s="273" t="b">
        <f>OR(SelectionsTable[[#This Row],[Data Source]]=SelectedDataSource,AND(SelectedDataSource&lt;&gt;"(Multiple Items)",SelectedDataSource&lt;&gt;"(All)",SelectionsTable[[#This Row],[Data Source]]="All"))</f>
        <v>1</v>
      </c>
      <c r="L109" s="273" t="b">
        <f ca="1">AND(VALUE($R$102)=2,VALUE($R$64)=2)</f>
        <v>0</v>
      </c>
      <c r="M109" s="261" t="b">
        <f>SelectionsTable[[#This Row],[GREET1 Location]]&lt;&gt;""</f>
        <v>1</v>
      </c>
      <c r="N109" s="261" t="b">
        <f ca="1">AND(SelectionsTable[[#This Row],[Show Feedstock]:[Conditional to Show]])</f>
        <v>0</v>
      </c>
      <c r="O109" t="s">
        <v>1573</v>
      </c>
      <c r="P109" s="261" t="s">
        <v>1475</v>
      </c>
      <c r="Q109" s="261" t="s">
        <v>1822</v>
      </c>
      <c r="R109" s="267" cm="1">
        <f t="array" aca="1" ref="R109" ca="1">IF(AND(NOT(RefreshDefaults),NOT(SelectionsResetting)),VALUE(IFERROR(INDEX(Selection_UD, MATCH(SelectionsTable[[#This Row],[ID]], Selection_ID, 0)),SelectionsTable[[#This Row],[Default Value]])),VALUE(SelectionsTable[[#This Row],[Default Value]]))</f>
        <v>0</v>
      </c>
      <c r="S109" s="263">
        <f ca="1">IF(R64=2,31.1061716116116,0)</f>
        <v>0</v>
      </c>
      <c r="T109" s="263">
        <f ca="1">SelectionsTable[[#This Row],[Input Value]]*kWh2BTU</f>
        <v>0</v>
      </c>
      <c r="U109" s="162" t="s">
        <v>174</v>
      </c>
    </row>
    <row r="110" spans="1:24" x14ac:dyDescent="0.3">
      <c r="A110"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CornAllAllAllAll_Manure_transportation_distance_mile</v>
      </c>
      <c r="B110" s="160" t="s">
        <v>1565</v>
      </c>
      <c r="C110" s="160" t="s">
        <v>435</v>
      </c>
      <c r="D110" s="160" t="s">
        <v>435</v>
      </c>
      <c r="E110" s="48" t="s">
        <v>435</v>
      </c>
      <c r="F110" s="48" t="s">
        <v>435</v>
      </c>
      <c r="G110" s="272" t="b" cm="1">
        <f t="array" ref="G110">OR(NOT(ISERROR(MATCH(TRIM(_xlfn.TEXTSPLIT(SelectionsTable[[#This Row],[Feedstock]],",")),SelectedFeedstock,0))),AND(SelectedFeedstock&lt;&gt;"(Multiple Items)",SelectedFeedstock&lt;&gt;"(All)",SelectionsTable[[#This Row],[Feedstock]]="All"))</f>
        <v>0</v>
      </c>
      <c r="H110" s="272" t="b">
        <f>OR(SelectionsTable[[#This Row],[Conversion]]=SelectedConversion,AND(SelectedConversion&lt;&gt;"(Multiple Items)",SelectedConversion&lt;&gt;"(All)",SelectionsTable[[#This Row],[Conversion]]="All"))</f>
        <v>1</v>
      </c>
      <c r="I110" s="272" t="b">
        <f>OR(SelectionsTable[[#This Row],[Data Set]]=SelectedDataSet,AND(SelectedDataSet&lt;&gt;"(Multiple Items)",SelectedDataSet&lt;&gt;"(All)",SelectionsTable[[#This Row],[Data Set]]="All"))</f>
        <v>1</v>
      </c>
      <c r="J110" s="272" t="b">
        <f>OR(SelectionsTable[[#This Row],[Technology]]=SelectedTechnology,AND(SelectedTechnology&lt;&gt;"(Multiple Items)",SelectedTechnology&lt;&gt;"(All)",SelectionsTable[[#This Row],[Technology]]="All"))</f>
        <v>1</v>
      </c>
      <c r="K110" s="272" t="b">
        <f>OR(SelectionsTable[[#This Row],[Data Source]]=SelectedDataSource,AND(SelectedDataSource&lt;&gt;"(Multiple Items)",SelectedDataSource&lt;&gt;"(All)",SelectionsTable[[#This Row],[Data Source]]="All"))</f>
        <v>1</v>
      </c>
      <c r="L110" s="273" t="b">
        <f ca="1">VALUE($R$102)=2</f>
        <v>0</v>
      </c>
      <c r="M110" s="160" t="b">
        <f>SelectionsTable[[#This Row],[GREET1 Location]]&lt;&gt;""</f>
        <v>1</v>
      </c>
      <c r="N110" s="160" t="b">
        <f ca="1">AND(SelectionsTable[[#This Row],[Show Feedstock]:[Conditional to Show]])</f>
        <v>0</v>
      </c>
      <c r="O110" s="160" t="s">
        <v>1574</v>
      </c>
      <c r="P110" s="261" t="s">
        <v>1475</v>
      </c>
      <c r="Q110" s="261" t="s">
        <v>1823</v>
      </c>
      <c r="R110" s="267" cm="1">
        <f t="array" aca="1" ref="R110" ca="1">IF(AND(NOT(RefreshDefaults),NOT(SelectionsResetting)),VALUE(IFERROR(INDEX(Selection_UD, MATCH(SelectionsTable[[#This Row],[ID]], Selection_ID, 0)),SelectionsTable[[#This Row],[Default Value]])),VALUE(SelectionsTable[[#This Row],[Default Value]]))</f>
        <v>0.36699999999999999</v>
      </c>
      <c r="S110" s="263">
        <v>0.36699999999999999</v>
      </c>
      <c r="T110" s="263">
        <f ca="1">SelectionsTable[[#This Row],[Input Value]]</f>
        <v>0.36699999999999999</v>
      </c>
      <c r="U110" s="161" t="s">
        <v>174</v>
      </c>
    </row>
    <row r="111" spans="1:24" x14ac:dyDescent="0.3">
      <c r="A111"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CornAllAllAllAll_Manure_transportation_energy_ton_mile</v>
      </c>
      <c r="B111" s="160" t="s">
        <v>1565</v>
      </c>
      <c r="C111" s="261" t="s">
        <v>435</v>
      </c>
      <c r="D111" s="261" t="s">
        <v>435</v>
      </c>
      <c r="E111" s="184" t="s">
        <v>435</v>
      </c>
      <c r="F111" s="184" t="s">
        <v>435</v>
      </c>
      <c r="G111" s="273" t="b" cm="1">
        <f t="array" ref="G111">OR(NOT(ISERROR(MATCH(TRIM(_xlfn.TEXTSPLIT(SelectionsTable[[#This Row],[Feedstock]],",")),SelectedFeedstock,0))),AND(SelectedFeedstock&lt;&gt;"(Multiple Items)",SelectedFeedstock&lt;&gt;"(All)",SelectionsTable[[#This Row],[Feedstock]]="All"))</f>
        <v>0</v>
      </c>
      <c r="H111" s="273" t="b">
        <f>OR(SelectionsTable[[#This Row],[Conversion]]=SelectedConversion,AND(SelectedConversion&lt;&gt;"(Multiple Items)",SelectedConversion&lt;&gt;"(All)",SelectionsTable[[#This Row],[Conversion]]="All"))</f>
        <v>1</v>
      </c>
      <c r="I111" s="273" t="b">
        <f>OR(SelectionsTable[[#This Row],[Data Set]]=SelectedDataSet,AND(SelectedDataSet&lt;&gt;"(Multiple Items)",SelectedDataSet&lt;&gt;"(All)",SelectionsTable[[#This Row],[Data Set]]="All"))</f>
        <v>1</v>
      </c>
      <c r="J111" s="273" t="b">
        <f>OR(SelectionsTable[[#This Row],[Technology]]=SelectedTechnology,AND(SelectedTechnology&lt;&gt;"(Multiple Items)",SelectedTechnology&lt;&gt;"(All)",SelectionsTable[[#This Row],[Technology]]="All"))</f>
        <v>1</v>
      </c>
      <c r="K111" s="273" t="b">
        <f>OR(SelectionsTable[[#This Row],[Data Source]]=SelectedDataSource,AND(SelectedDataSource&lt;&gt;"(Multiple Items)",SelectedDataSource&lt;&gt;"(All)",SelectionsTable[[#This Row],[Data Source]]="All"))</f>
        <v>1</v>
      </c>
      <c r="L111" s="273" t="b">
        <f ca="1">AND(VALUE($R$102)=2,VALUE($R$64)=1)</f>
        <v>0</v>
      </c>
      <c r="M111" s="261" t="b">
        <f>SelectionsTable[[#This Row],[GREET1 Location]]&lt;&gt;""</f>
        <v>1</v>
      </c>
      <c r="N111" s="261" t="b">
        <f ca="1">AND(SelectionsTable[[#This Row],[Show Feedstock]:[Conditional to Show]])</f>
        <v>0</v>
      </c>
      <c r="O111" s="261" t="s">
        <v>1575</v>
      </c>
      <c r="P111" s="264" t="s">
        <v>1475</v>
      </c>
      <c r="Q111" s="261" t="s">
        <v>1824</v>
      </c>
      <c r="R111" s="267" cm="1">
        <f t="array" aca="1" ref="R111" ca="1">IF(AND(NOT(RefreshDefaults),NOT(SelectionsResetting)),VALUE(IFERROR(INDEX(Selection_UD, MATCH(SelectionsTable[[#This Row],[ID]], Selection_ID, 0)),SelectionsTable[[#This Row],[Default Value]])),VALUE(SelectionsTable[[#This Row],[Default Value]]))</f>
        <v>8.1093756247567206E-2</v>
      </c>
      <c r="S111" s="263">
        <f ca="1">IF(R64=1,0.0810937562475672,0)</f>
        <v>8.1093756247567206E-2</v>
      </c>
      <c r="T111" s="263">
        <f ca="1">SelectionsTable[[#This Row],[Input Value]]*Fuel_Specs!B21</f>
        <v>10416.492990000008</v>
      </c>
      <c r="U111" s="162" t="s">
        <v>174</v>
      </c>
    </row>
    <row r="112" spans="1:24" x14ac:dyDescent="0.3">
      <c r="A112"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CornAllAllAllAll_Manure_transportation_energy_ton_mile</v>
      </c>
      <c r="B112" s="160" t="s">
        <v>1565</v>
      </c>
      <c r="C112" s="261" t="s">
        <v>435</v>
      </c>
      <c r="D112" s="261" t="s">
        <v>435</v>
      </c>
      <c r="E112" s="184" t="s">
        <v>435</v>
      </c>
      <c r="F112" s="184" t="s">
        <v>435</v>
      </c>
      <c r="G112" s="273" t="b" cm="1">
        <f t="array" ref="G112">OR(NOT(ISERROR(MATCH(TRIM(_xlfn.TEXTSPLIT(SelectionsTable[[#This Row],[Feedstock]],",")),SelectedFeedstock,0))),AND(SelectedFeedstock&lt;&gt;"(Multiple Items)",SelectedFeedstock&lt;&gt;"(All)",SelectionsTable[[#This Row],[Feedstock]]="All"))</f>
        <v>0</v>
      </c>
      <c r="H112" s="273" t="b">
        <f>OR(SelectionsTable[[#This Row],[Conversion]]=SelectedConversion,AND(SelectedConversion&lt;&gt;"(Multiple Items)",SelectedConversion&lt;&gt;"(All)",SelectionsTable[[#This Row],[Conversion]]="All"))</f>
        <v>1</v>
      </c>
      <c r="I112" s="273" t="b">
        <f>OR(SelectionsTable[[#This Row],[Data Set]]=SelectedDataSet,AND(SelectedDataSet&lt;&gt;"(Multiple Items)",SelectedDataSet&lt;&gt;"(All)",SelectionsTable[[#This Row],[Data Set]]="All"))</f>
        <v>1</v>
      </c>
      <c r="J112" s="273" t="b">
        <f>OR(SelectionsTable[[#This Row],[Technology]]=SelectedTechnology,AND(SelectedTechnology&lt;&gt;"(Multiple Items)",SelectedTechnology&lt;&gt;"(All)",SelectionsTable[[#This Row],[Technology]]="All"))</f>
        <v>1</v>
      </c>
      <c r="K112" s="273" t="b">
        <f>OR(SelectionsTable[[#This Row],[Data Source]]=SelectedDataSource,AND(SelectedDataSource&lt;&gt;"(Multiple Items)",SelectedDataSource&lt;&gt;"(All)",SelectionsTable[[#This Row],[Data Source]]="All"))</f>
        <v>1</v>
      </c>
      <c r="L112" s="273" t="b">
        <f ca="1">AND(VALUE($R$102)=2,VALUE($R$64)=2)</f>
        <v>0</v>
      </c>
      <c r="M112" s="261" t="b">
        <f>SelectionsTable[[#This Row],[GREET1 Location]]&lt;&gt;""</f>
        <v>1</v>
      </c>
      <c r="N112" s="261" t="b">
        <f ca="1">AND(SelectionsTable[[#This Row],[Show Feedstock]:[Conditional to Show]])</f>
        <v>0</v>
      </c>
      <c r="O112" s="261" t="s">
        <v>1575</v>
      </c>
      <c r="P112" s="261" t="s">
        <v>1475</v>
      </c>
      <c r="Q112" s="261" t="s">
        <v>1825</v>
      </c>
      <c r="R112" s="267" cm="1">
        <f t="array" aca="1" ref="R112" ca="1">IF(AND(NOT(RefreshDefaults),NOT(SelectionsResetting)),VALUE(IFERROR(INDEX(Selection_UD, MATCH(SelectionsTable[[#This Row],[ID]], Selection_ID, 0)),SelectionsTable[[#This Row],[Default Value]])),VALUE(SelectionsTable[[#This Row],[Default Value]]))</f>
        <v>0</v>
      </c>
      <c r="S112" s="263">
        <f ca="1">IF(R64=2,1.46371989906915,0)</f>
        <v>0</v>
      </c>
      <c r="T112" s="263">
        <f ca="1">SelectionsTable[[#This Row],[Input Value]]*kWh2BTU</f>
        <v>0</v>
      </c>
      <c r="U112" s="162" t="s">
        <v>174</v>
      </c>
    </row>
    <row r="113" spans="1:24" x14ac:dyDescent="0.3">
      <c r="A113"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Canola/RapeseedAllAllAllAll_Oil_Farming_Electricity_Source_Option</v>
      </c>
      <c r="B113" s="160" t="s">
        <v>1594</v>
      </c>
      <c r="C113" s="160" t="s">
        <v>435</v>
      </c>
      <c r="D113" s="160" t="s">
        <v>435</v>
      </c>
      <c r="E113" s="48" t="s">
        <v>435</v>
      </c>
      <c r="F113" s="48" t="s">
        <v>435</v>
      </c>
      <c r="G113" s="272" t="b" cm="1">
        <f t="array" ref="G113">OR(NOT(ISERROR(MATCH(TRIM(_xlfn.TEXTSPLIT(SelectionsTable[[#This Row],[Feedstock]],",")),SelectedFeedstock,0))),AND(SelectedFeedstock&lt;&gt;"(Multiple Items)",SelectedFeedstock&lt;&gt;"(All)",SelectionsTable[[#This Row],[Feedstock]]="All"))</f>
        <v>1</v>
      </c>
      <c r="H113" s="272" t="b">
        <f>OR(SelectionsTable[[#This Row],[Conversion]]=SelectedConversion,AND(SelectedConversion&lt;&gt;"(Multiple Items)",SelectedConversion&lt;&gt;"(All)",SelectionsTable[[#This Row],[Conversion]]="All"))</f>
        <v>1</v>
      </c>
      <c r="I113" s="272" t="b">
        <f>OR(SelectionsTable[[#This Row],[Data Set]]=SelectedDataSet,AND(SelectedDataSet&lt;&gt;"(Multiple Items)",SelectedDataSet&lt;&gt;"(All)",SelectionsTable[[#This Row],[Data Set]]="All"))</f>
        <v>1</v>
      </c>
      <c r="J113" s="272" t="b">
        <f>OR(SelectionsTable[[#This Row],[Technology]]=SelectedTechnology,AND(SelectedTechnology&lt;&gt;"(Multiple Items)",SelectedTechnology&lt;&gt;"(All)",SelectionsTable[[#This Row],[Technology]]="All"))</f>
        <v>1</v>
      </c>
      <c r="K113" s="272" t="b">
        <f>OR(SelectionsTable[[#This Row],[Data Source]]=SelectedDataSource,AND(SelectedDataSource&lt;&gt;"(Multiple Items)",SelectedDataSource&lt;&gt;"(All)",SelectionsTable[[#This Row],[Data Source]]="All"))</f>
        <v>1</v>
      </c>
      <c r="L113" s="273" t="b">
        <v>0</v>
      </c>
      <c r="M113" s="160" t="b">
        <f>SelectionsTable[[#This Row],[GREET1 Location]]&lt;&gt;""</f>
        <v>1</v>
      </c>
      <c r="N113" s="160" t="b">
        <f>AND(SelectionsTable[[#This Row],[Show Feedstock]:[Conditional to Show]])</f>
        <v>0</v>
      </c>
      <c r="O113" s="160" t="s">
        <v>1595</v>
      </c>
      <c r="P113" s="261" t="s">
        <v>14</v>
      </c>
      <c r="Q113" s="160" t="s">
        <v>2164</v>
      </c>
      <c r="R113" s="267" cm="1">
        <f t="array" aca="1" ref="R113" ca="1">IF(AND(NOT(RefreshDefaults),NOT(SelectionsResetting)),VALUE(IFERROR(INDEX(Selection_UD, MATCH(SelectionsTable[[#This Row],[ID]], Selection_ID, 0)),SelectionsTable[[#This Row],[Default Value]])),VALUE(SelectionsTable[[#This Row],[Default Value]]))</f>
        <v>1</v>
      </c>
      <c r="S113" s="263">
        <v>1</v>
      </c>
      <c r="T113" s="264">
        <f ca="1">SelectionsTable[[#This Row],[Input Value]]</f>
        <v>1</v>
      </c>
      <c r="U113" s="161" t="s">
        <v>904</v>
      </c>
      <c r="V113">
        <v>1</v>
      </c>
      <c r="W113" s="263">
        <v>27</v>
      </c>
      <c r="X113" s="265" t="s">
        <v>1702</v>
      </c>
    </row>
    <row r="114" spans="1:24" x14ac:dyDescent="0.3">
      <c r="A114"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Canola/RapeseedAllAllAllAll_Oil_Farming_Electricity_UserDefined_Oil</v>
      </c>
      <c r="B114" s="160" t="s">
        <v>1594</v>
      </c>
      <c r="C114" s="160" t="s">
        <v>435</v>
      </c>
      <c r="D114" s="160" t="s">
        <v>435</v>
      </c>
      <c r="E114" s="48" t="s">
        <v>435</v>
      </c>
      <c r="F114" s="48" t="s">
        <v>435</v>
      </c>
      <c r="G114" s="272" t="b" cm="1">
        <f t="array" ref="G114">OR(NOT(ISERROR(MATCH(TRIM(_xlfn.TEXTSPLIT(SelectionsTable[[#This Row],[Feedstock]],",")),SelectedFeedstock,0))),AND(SelectedFeedstock&lt;&gt;"(Multiple Items)",SelectedFeedstock&lt;&gt;"(All)",SelectionsTable[[#This Row],[Feedstock]]="All"))</f>
        <v>1</v>
      </c>
      <c r="H114" s="272" t="b">
        <f>OR(SelectionsTable[[#This Row],[Conversion]]=SelectedConversion,AND(SelectedConversion&lt;&gt;"(Multiple Items)",SelectedConversion&lt;&gt;"(All)",SelectionsTable[[#This Row],[Conversion]]="All"))</f>
        <v>1</v>
      </c>
      <c r="I114" s="272" t="b">
        <f>OR(SelectionsTable[[#This Row],[Data Set]]=SelectedDataSet,AND(SelectedDataSet&lt;&gt;"(Multiple Items)",SelectedDataSet&lt;&gt;"(All)",SelectionsTable[[#This Row],[Data Set]]="All"))</f>
        <v>1</v>
      </c>
      <c r="J114" s="272" t="b">
        <f>OR(SelectionsTable[[#This Row],[Technology]]=SelectedTechnology,AND(SelectedTechnology&lt;&gt;"(Multiple Items)",SelectedTechnology&lt;&gt;"(All)",SelectionsTable[[#This Row],[Technology]]="All"))</f>
        <v>1</v>
      </c>
      <c r="K114" s="272" t="b">
        <f>OR(SelectionsTable[[#This Row],[Data Source]]=SelectedDataSource,AND(SelectedDataSource&lt;&gt;"(Multiple Items)",SelectedDataSource&lt;&gt;"(All)",SelectionsTable[[#This Row],[Data Source]]="All"))</f>
        <v>1</v>
      </c>
      <c r="L114" s="273" t="b">
        <f t="shared" ref="L114:L123" ca="1" si="8">VALUE(R$113)=28</f>
        <v>0</v>
      </c>
      <c r="M114" s="160" t="b">
        <f>SelectionsTable[[#This Row],[GREET1 Location]]&lt;&gt;""</f>
        <v>1</v>
      </c>
      <c r="N114" s="160" t="b">
        <f ca="1">AND(SelectionsTable[[#This Row],[Show Feedstock]:[Conditional to Show]])</f>
        <v>0</v>
      </c>
      <c r="O114" s="160" t="s">
        <v>1596</v>
      </c>
      <c r="P114" s="261" t="s">
        <v>1651</v>
      </c>
      <c r="Q114" s="261" t="s">
        <v>1826</v>
      </c>
      <c r="R114" s="267" cm="1">
        <f t="array" aca="1" ref="R114" ca="1">IF(AND(NOT(RefreshDefaults),NOT(SelectionsResetting)),VALUE(IFERROR(INDEX(Selection_UD, MATCH(SelectionsTable[[#This Row],[ID]], Selection_ID, 0)),SelectionsTable[[#This Row],[Default Value]])),VALUE(SelectionsTable[[#This Row],[Default Value]]))</f>
        <v>2.582885815863092E-3</v>
      </c>
      <c r="S114" s="270">
        <v>2.582885815863092E-3</v>
      </c>
      <c r="T114" s="264">
        <f ca="1">SelectionsTable[[#This Row],[Input Value]]</f>
        <v>2.582885815863092E-3</v>
      </c>
      <c r="U114" s="161" t="s">
        <v>1458</v>
      </c>
    </row>
    <row r="115" spans="1:24" x14ac:dyDescent="0.3">
      <c r="A115"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Canola/RapeseedAllAllAllAll_Oil_Farming_Electricity_UserDefined_NG</v>
      </c>
      <c r="B115" s="160" t="s">
        <v>1594</v>
      </c>
      <c r="C115" s="160" t="s">
        <v>435</v>
      </c>
      <c r="D115" s="160" t="s">
        <v>435</v>
      </c>
      <c r="E115" s="48" t="s">
        <v>435</v>
      </c>
      <c r="F115" s="48" t="s">
        <v>435</v>
      </c>
      <c r="G115" s="272" t="b" cm="1">
        <f t="array" ref="G115">OR(NOT(ISERROR(MATCH(TRIM(_xlfn.TEXTSPLIT(SelectionsTable[[#This Row],[Feedstock]],",")),SelectedFeedstock,0))),AND(SelectedFeedstock&lt;&gt;"(Multiple Items)",SelectedFeedstock&lt;&gt;"(All)",SelectionsTable[[#This Row],[Feedstock]]="All"))</f>
        <v>1</v>
      </c>
      <c r="H115" s="272" t="b">
        <f>OR(SelectionsTable[[#This Row],[Conversion]]=SelectedConversion,AND(SelectedConversion&lt;&gt;"(Multiple Items)",SelectedConversion&lt;&gt;"(All)",SelectionsTable[[#This Row],[Conversion]]="All"))</f>
        <v>1</v>
      </c>
      <c r="I115" s="272" t="b">
        <f>OR(SelectionsTable[[#This Row],[Data Set]]=SelectedDataSet,AND(SelectedDataSet&lt;&gt;"(Multiple Items)",SelectedDataSet&lt;&gt;"(All)",SelectionsTable[[#This Row],[Data Set]]="All"))</f>
        <v>1</v>
      </c>
      <c r="J115" s="272" t="b">
        <f>OR(SelectionsTable[[#This Row],[Technology]]=SelectedTechnology,AND(SelectedTechnology&lt;&gt;"(Multiple Items)",SelectedTechnology&lt;&gt;"(All)",SelectionsTable[[#This Row],[Technology]]="All"))</f>
        <v>1</v>
      </c>
      <c r="K115" s="272" t="b">
        <f>OR(SelectionsTable[[#This Row],[Data Source]]=SelectedDataSource,AND(SelectedDataSource&lt;&gt;"(Multiple Items)",SelectedDataSource&lt;&gt;"(All)",SelectionsTable[[#This Row],[Data Source]]="All"))</f>
        <v>1</v>
      </c>
      <c r="L115" s="273" t="b">
        <f t="shared" ca="1" si="8"/>
        <v>0</v>
      </c>
      <c r="M115" s="160" t="b">
        <f>SelectionsTable[[#This Row],[GREET1 Location]]&lt;&gt;""</f>
        <v>1</v>
      </c>
      <c r="N115" s="160" t="b">
        <f ca="1">AND(SelectionsTable[[#This Row],[Show Feedstock]:[Conditional to Show]])</f>
        <v>0</v>
      </c>
      <c r="O115" s="160" t="s">
        <v>1597</v>
      </c>
      <c r="P115" s="261" t="s">
        <v>1651</v>
      </c>
      <c r="Q115" s="261" t="s">
        <v>1827</v>
      </c>
      <c r="R115" s="267" cm="1">
        <f t="array" aca="1" ref="R115" ca="1">IF(AND(NOT(RefreshDefaults),NOT(SelectionsResetting)),VALUE(IFERROR(INDEX(Selection_UD, MATCH(SelectionsTable[[#This Row],[ID]], Selection_ID, 0)),SelectionsTable[[#This Row],[Default Value]])),VALUE(SelectionsTable[[#This Row],[Default Value]]))</f>
        <v>0.38508401518155788</v>
      </c>
      <c r="S115" s="270">
        <v>0.38508401518155788</v>
      </c>
      <c r="T115" s="264">
        <f ca="1">SelectionsTable[[#This Row],[Input Value]]</f>
        <v>0.38508401518155788</v>
      </c>
      <c r="U115" s="161" t="s">
        <v>1458</v>
      </c>
    </row>
    <row r="116" spans="1:24" x14ac:dyDescent="0.3">
      <c r="A116"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Canola/RapeseedAllAllAllAll_Oil_Farming_Electricity_UserDefined_Coal</v>
      </c>
      <c r="B116" s="160" t="s">
        <v>1594</v>
      </c>
      <c r="C116" s="160" t="s">
        <v>435</v>
      </c>
      <c r="D116" s="160" t="s">
        <v>435</v>
      </c>
      <c r="E116" s="48" t="s">
        <v>435</v>
      </c>
      <c r="F116" s="48" t="s">
        <v>435</v>
      </c>
      <c r="G116" s="272" t="b" cm="1">
        <f t="array" ref="G116">OR(NOT(ISERROR(MATCH(TRIM(_xlfn.TEXTSPLIT(SelectionsTable[[#This Row],[Feedstock]],",")),SelectedFeedstock,0))),AND(SelectedFeedstock&lt;&gt;"(Multiple Items)",SelectedFeedstock&lt;&gt;"(All)",SelectionsTable[[#This Row],[Feedstock]]="All"))</f>
        <v>1</v>
      </c>
      <c r="H116" s="272" t="b">
        <f>OR(SelectionsTable[[#This Row],[Conversion]]=SelectedConversion,AND(SelectedConversion&lt;&gt;"(Multiple Items)",SelectedConversion&lt;&gt;"(All)",SelectionsTable[[#This Row],[Conversion]]="All"))</f>
        <v>1</v>
      </c>
      <c r="I116" s="272" t="b">
        <f>OR(SelectionsTable[[#This Row],[Data Set]]=SelectedDataSet,AND(SelectedDataSet&lt;&gt;"(Multiple Items)",SelectedDataSet&lt;&gt;"(All)",SelectionsTable[[#This Row],[Data Set]]="All"))</f>
        <v>1</v>
      </c>
      <c r="J116" s="272" t="b">
        <f>OR(SelectionsTable[[#This Row],[Technology]]=SelectedTechnology,AND(SelectedTechnology&lt;&gt;"(Multiple Items)",SelectedTechnology&lt;&gt;"(All)",SelectionsTable[[#This Row],[Technology]]="All"))</f>
        <v>1</v>
      </c>
      <c r="K116" s="272" t="b">
        <f>OR(SelectionsTable[[#This Row],[Data Source]]=SelectedDataSource,AND(SelectedDataSource&lt;&gt;"(Multiple Items)",SelectedDataSource&lt;&gt;"(All)",SelectionsTable[[#This Row],[Data Source]]="All"))</f>
        <v>1</v>
      </c>
      <c r="L116" s="273" t="b">
        <f t="shared" ca="1" si="8"/>
        <v>0</v>
      </c>
      <c r="M116" s="160" t="b">
        <f>SelectionsTable[[#This Row],[GREET1 Location]]&lt;&gt;""</f>
        <v>1</v>
      </c>
      <c r="N116" s="160" t="b">
        <f ca="1">AND(SelectionsTable[[#This Row],[Show Feedstock]:[Conditional to Show]])</f>
        <v>0</v>
      </c>
      <c r="O116" s="160" t="s">
        <v>1598</v>
      </c>
      <c r="P116" s="261" t="s">
        <v>1651</v>
      </c>
      <c r="Q116" s="261" t="s">
        <v>1828</v>
      </c>
      <c r="R116" s="267" cm="1">
        <f t="array" aca="1" ref="R116" ca="1">IF(AND(NOT(RefreshDefaults),NOT(SelectionsResetting)),VALUE(IFERROR(INDEX(Selection_UD, MATCH(SelectionsTable[[#This Row],[ID]], Selection_ID, 0)),SelectionsTable[[#This Row],[Default Value]])),VALUE(SelectionsTable[[#This Row],[Default Value]]))</f>
        <v>0.20597265709067647</v>
      </c>
      <c r="S116" s="270">
        <v>0.20597265709067647</v>
      </c>
      <c r="T116" s="264">
        <f ca="1">SelectionsTable[[#This Row],[Input Value]]</f>
        <v>0.20597265709067647</v>
      </c>
      <c r="U116" s="161" t="s">
        <v>1458</v>
      </c>
    </row>
    <row r="117" spans="1:24" x14ac:dyDescent="0.3">
      <c r="A117"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Canola/RapeseedAllAllAllAll_Oil_Farming_Electricity_UserDefined_Biomass</v>
      </c>
      <c r="B117" s="160" t="s">
        <v>1594</v>
      </c>
      <c r="C117" s="160" t="s">
        <v>435</v>
      </c>
      <c r="D117" s="160" t="s">
        <v>435</v>
      </c>
      <c r="E117" s="48" t="s">
        <v>435</v>
      </c>
      <c r="F117" s="48" t="s">
        <v>435</v>
      </c>
      <c r="G117" s="272" t="b" cm="1">
        <f t="array" ref="G117">OR(NOT(ISERROR(MATCH(TRIM(_xlfn.TEXTSPLIT(SelectionsTable[[#This Row],[Feedstock]],",")),SelectedFeedstock,0))),AND(SelectedFeedstock&lt;&gt;"(Multiple Items)",SelectedFeedstock&lt;&gt;"(All)",SelectionsTable[[#This Row],[Feedstock]]="All"))</f>
        <v>1</v>
      </c>
      <c r="H117" s="272" t="b">
        <f>OR(SelectionsTable[[#This Row],[Conversion]]=SelectedConversion,AND(SelectedConversion&lt;&gt;"(Multiple Items)",SelectedConversion&lt;&gt;"(All)",SelectionsTable[[#This Row],[Conversion]]="All"))</f>
        <v>1</v>
      </c>
      <c r="I117" s="272" t="b">
        <f>OR(SelectionsTable[[#This Row],[Data Set]]=SelectedDataSet,AND(SelectedDataSet&lt;&gt;"(Multiple Items)",SelectedDataSet&lt;&gt;"(All)",SelectionsTable[[#This Row],[Data Set]]="All"))</f>
        <v>1</v>
      </c>
      <c r="J117" s="272" t="b">
        <f>OR(SelectionsTable[[#This Row],[Technology]]=SelectedTechnology,AND(SelectedTechnology&lt;&gt;"(Multiple Items)",SelectedTechnology&lt;&gt;"(All)",SelectionsTable[[#This Row],[Technology]]="All"))</f>
        <v>1</v>
      </c>
      <c r="K117" s="272" t="b">
        <f>OR(SelectionsTable[[#This Row],[Data Source]]=SelectedDataSource,AND(SelectedDataSource&lt;&gt;"(Multiple Items)",SelectedDataSource&lt;&gt;"(All)",SelectionsTable[[#This Row],[Data Source]]="All"))</f>
        <v>1</v>
      </c>
      <c r="L117" s="273" t="b">
        <f t="shared" ca="1" si="8"/>
        <v>0</v>
      </c>
      <c r="M117" s="160" t="b">
        <f>SelectionsTable[[#This Row],[GREET1 Location]]&lt;&gt;""</f>
        <v>1</v>
      </c>
      <c r="N117" s="160" t="b">
        <f ca="1">AND(SelectionsTable[[#This Row],[Show Feedstock]:[Conditional to Show]])</f>
        <v>0</v>
      </c>
      <c r="O117" s="160" t="s">
        <v>1599</v>
      </c>
      <c r="P117" s="261" t="s">
        <v>1651</v>
      </c>
      <c r="Q117" s="261" t="s">
        <v>1829</v>
      </c>
      <c r="R117" s="267" cm="1">
        <f t="array" aca="1" ref="R117" ca="1">IF(AND(NOT(RefreshDefaults),NOT(SelectionsResetting)),VALUE(IFERROR(INDEX(Selection_UD, MATCH(SelectionsTable[[#This Row],[ID]], Selection_ID, 0)),SelectionsTable[[#This Row],[Default Value]])),VALUE(SelectionsTable[[#This Row],[Default Value]]))</f>
        <v>2.7040234782859745E-3</v>
      </c>
      <c r="S117" s="270">
        <v>2.7040234782859745E-3</v>
      </c>
      <c r="T117" s="264">
        <f ca="1">SelectionsTable[[#This Row],[Input Value]]</f>
        <v>2.7040234782859745E-3</v>
      </c>
      <c r="U117" s="161" t="s">
        <v>1458</v>
      </c>
    </row>
    <row r="118" spans="1:24" x14ac:dyDescent="0.3">
      <c r="A118"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Canola/RapeseedAllAllAllAll_Oil_Farming_Electricity_UserDefined_Nuclear</v>
      </c>
      <c r="B118" s="160" t="s">
        <v>1594</v>
      </c>
      <c r="C118" s="160" t="s">
        <v>435</v>
      </c>
      <c r="D118" s="160" t="s">
        <v>435</v>
      </c>
      <c r="E118" s="48" t="s">
        <v>435</v>
      </c>
      <c r="F118" s="48" t="s">
        <v>435</v>
      </c>
      <c r="G118" s="272" t="b" cm="1">
        <f t="array" ref="G118">OR(NOT(ISERROR(MATCH(TRIM(_xlfn.TEXTSPLIT(SelectionsTable[[#This Row],[Feedstock]],",")),SelectedFeedstock,0))),AND(SelectedFeedstock&lt;&gt;"(Multiple Items)",SelectedFeedstock&lt;&gt;"(All)",SelectionsTable[[#This Row],[Feedstock]]="All"))</f>
        <v>1</v>
      </c>
      <c r="H118" s="272" t="b">
        <f>OR(SelectionsTable[[#This Row],[Conversion]]=SelectedConversion,AND(SelectedConversion&lt;&gt;"(Multiple Items)",SelectedConversion&lt;&gt;"(All)",SelectionsTable[[#This Row],[Conversion]]="All"))</f>
        <v>1</v>
      </c>
      <c r="I118" s="272" t="b">
        <f>OR(SelectionsTable[[#This Row],[Data Set]]=SelectedDataSet,AND(SelectedDataSet&lt;&gt;"(Multiple Items)",SelectedDataSet&lt;&gt;"(All)",SelectionsTable[[#This Row],[Data Set]]="All"))</f>
        <v>1</v>
      </c>
      <c r="J118" s="272" t="b">
        <f>OR(SelectionsTable[[#This Row],[Technology]]=SelectedTechnology,AND(SelectedTechnology&lt;&gt;"(Multiple Items)",SelectedTechnology&lt;&gt;"(All)",SelectionsTable[[#This Row],[Technology]]="All"))</f>
        <v>1</v>
      </c>
      <c r="K118" s="272" t="b">
        <f>OR(SelectionsTable[[#This Row],[Data Source]]=SelectedDataSource,AND(SelectedDataSource&lt;&gt;"(Multiple Items)",SelectedDataSource&lt;&gt;"(All)",SelectionsTable[[#This Row],[Data Source]]="All"))</f>
        <v>1</v>
      </c>
      <c r="L118" s="273" t="b">
        <f t="shared" ca="1" si="8"/>
        <v>0</v>
      </c>
      <c r="M118" s="160" t="b">
        <f>SelectionsTable[[#This Row],[GREET1 Location]]&lt;&gt;""</f>
        <v>1</v>
      </c>
      <c r="N118" s="160" t="b">
        <f ca="1">AND(SelectionsTable[[#This Row],[Show Feedstock]:[Conditional to Show]])</f>
        <v>0</v>
      </c>
      <c r="O118" s="160" t="s">
        <v>1600</v>
      </c>
      <c r="P118" s="261" t="s">
        <v>1651</v>
      </c>
      <c r="Q118" s="261" t="s">
        <v>1830</v>
      </c>
      <c r="R118" s="267" cm="1">
        <f t="array" aca="1" ref="R118" ca="1">IF(AND(NOT(RefreshDefaults),NOT(SelectionsResetting)),VALUE(IFERROR(INDEX(Selection_UD, MATCH(SelectionsTable[[#This Row],[ID]], Selection_ID, 0)),SelectionsTable[[#This Row],[Default Value]])),VALUE(SelectionsTable[[#This Row],[Default Value]]))</f>
        <v>0.18881098710553978</v>
      </c>
      <c r="S118" s="270">
        <v>0.18881098710553978</v>
      </c>
      <c r="T118" s="264">
        <f ca="1">SelectionsTable[[#This Row],[Input Value]]</f>
        <v>0.18881098710553978</v>
      </c>
      <c r="U118" s="161" t="s">
        <v>1458</v>
      </c>
    </row>
    <row r="119" spans="1:24" x14ac:dyDescent="0.3">
      <c r="A119"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Canola/RapeseedAllAllAllAll_Oil_Farming_Electricity_UserDefined_Hydroelectric</v>
      </c>
      <c r="B119" s="160" t="s">
        <v>1594</v>
      </c>
      <c r="C119" s="160" t="s">
        <v>435</v>
      </c>
      <c r="D119" s="160" t="s">
        <v>435</v>
      </c>
      <c r="E119" s="48" t="s">
        <v>435</v>
      </c>
      <c r="F119" s="48" t="s">
        <v>435</v>
      </c>
      <c r="G119" s="272" t="b" cm="1">
        <f t="array" ref="G119">OR(NOT(ISERROR(MATCH(TRIM(_xlfn.TEXTSPLIT(SelectionsTable[[#This Row],[Feedstock]],",")),SelectedFeedstock,0))),AND(SelectedFeedstock&lt;&gt;"(Multiple Items)",SelectedFeedstock&lt;&gt;"(All)",SelectionsTable[[#This Row],[Feedstock]]="All"))</f>
        <v>1</v>
      </c>
      <c r="H119" s="272" t="b">
        <f>OR(SelectionsTable[[#This Row],[Conversion]]=SelectedConversion,AND(SelectedConversion&lt;&gt;"(Multiple Items)",SelectedConversion&lt;&gt;"(All)",SelectionsTable[[#This Row],[Conversion]]="All"))</f>
        <v>1</v>
      </c>
      <c r="I119" s="272" t="b">
        <f>OR(SelectionsTable[[#This Row],[Data Set]]=SelectedDataSet,AND(SelectedDataSet&lt;&gt;"(Multiple Items)",SelectedDataSet&lt;&gt;"(All)",SelectionsTable[[#This Row],[Data Set]]="All"))</f>
        <v>1</v>
      </c>
      <c r="J119" s="272" t="b">
        <f>OR(SelectionsTable[[#This Row],[Technology]]=SelectedTechnology,AND(SelectedTechnology&lt;&gt;"(Multiple Items)",SelectedTechnology&lt;&gt;"(All)",SelectionsTable[[#This Row],[Technology]]="All"))</f>
        <v>1</v>
      </c>
      <c r="K119" s="272" t="b">
        <f>OR(SelectionsTable[[#This Row],[Data Source]]=SelectedDataSource,AND(SelectedDataSource&lt;&gt;"(Multiple Items)",SelectedDataSource&lt;&gt;"(All)",SelectionsTable[[#This Row],[Data Source]]="All"))</f>
        <v>1</v>
      </c>
      <c r="L119" s="273" t="b">
        <f t="shared" ca="1" si="8"/>
        <v>0</v>
      </c>
      <c r="M119" s="160" t="b">
        <f>SelectionsTable[[#This Row],[GREET1 Location]]&lt;&gt;""</f>
        <v>1</v>
      </c>
      <c r="N119" s="160" t="b">
        <f ca="1">AND(SelectionsTable[[#This Row],[Show Feedstock]:[Conditional to Show]])</f>
        <v>0</v>
      </c>
      <c r="O119" s="160" t="s">
        <v>1601</v>
      </c>
      <c r="P119" s="261" t="s">
        <v>1651</v>
      </c>
      <c r="Q119" s="261" t="s">
        <v>1831</v>
      </c>
      <c r="R119" s="267" cm="1">
        <f t="array" aca="1" ref="R119" ca="1">IF(AND(NOT(RefreshDefaults),NOT(SelectionsResetting)),VALUE(IFERROR(INDEX(Selection_UD, MATCH(SelectionsTable[[#This Row],[ID]], Selection_ID, 0)),SelectionsTable[[#This Row],[Default Value]])),VALUE(SelectionsTable[[#This Row],[Default Value]]))</f>
        <v>6.7523807322926704E-2</v>
      </c>
      <c r="S119" s="270">
        <v>6.7523807322926704E-2</v>
      </c>
      <c r="T119" s="264">
        <f ca="1">SelectionsTable[[#This Row],[Input Value]]</f>
        <v>6.7523807322926704E-2</v>
      </c>
      <c r="U119" s="161" t="s">
        <v>1458</v>
      </c>
    </row>
    <row r="120" spans="1:24" x14ac:dyDescent="0.3">
      <c r="A120"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Canola/RapeseedAllAllAllAll_Oil_Farming_Electricity_UserDefined_Geothermal</v>
      </c>
      <c r="B120" s="160" t="s">
        <v>1594</v>
      </c>
      <c r="C120" s="160" t="s">
        <v>435</v>
      </c>
      <c r="D120" s="160" t="s">
        <v>435</v>
      </c>
      <c r="E120" s="48" t="s">
        <v>435</v>
      </c>
      <c r="F120" s="48" t="s">
        <v>435</v>
      </c>
      <c r="G120" s="272" t="b" cm="1">
        <f t="array" ref="G120">OR(NOT(ISERROR(MATCH(TRIM(_xlfn.TEXTSPLIT(SelectionsTable[[#This Row],[Feedstock]],",")),SelectedFeedstock,0))),AND(SelectedFeedstock&lt;&gt;"(Multiple Items)",SelectedFeedstock&lt;&gt;"(All)",SelectionsTable[[#This Row],[Feedstock]]="All"))</f>
        <v>1</v>
      </c>
      <c r="H120" s="272" t="b">
        <f>OR(SelectionsTable[[#This Row],[Conversion]]=SelectedConversion,AND(SelectedConversion&lt;&gt;"(Multiple Items)",SelectedConversion&lt;&gt;"(All)",SelectionsTable[[#This Row],[Conversion]]="All"))</f>
        <v>1</v>
      </c>
      <c r="I120" s="272" t="b">
        <f>OR(SelectionsTable[[#This Row],[Data Set]]=SelectedDataSet,AND(SelectedDataSet&lt;&gt;"(Multiple Items)",SelectedDataSet&lt;&gt;"(All)",SelectionsTable[[#This Row],[Data Set]]="All"))</f>
        <v>1</v>
      </c>
      <c r="J120" s="272" t="b">
        <f>OR(SelectionsTable[[#This Row],[Technology]]=SelectedTechnology,AND(SelectedTechnology&lt;&gt;"(Multiple Items)",SelectedTechnology&lt;&gt;"(All)",SelectionsTable[[#This Row],[Technology]]="All"))</f>
        <v>1</v>
      </c>
      <c r="K120" s="272" t="b">
        <f>OR(SelectionsTable[[#This Row],[Data Source]]=SelectedDataSource,AND(SelectedDataSource&lt;&gt;"(Multiple Items)",SelectedDataSource&lt;&gt;"(All)",SelectionsTable[[#This Row],[Data Source]]="All"))</f>
        <v>1</v>
      </c>
      <c r="L120" s="273" t="b">
        <f t="shared" ca="1" si="8"/>
        <v>0</v>
      </c>
      <c r="M120" s="160" t="b">
        <f>SelectionsTable[[#This Row],[GREET1 Location]]&lt;&gt;""</f>
        <v>1</v>
      </c>
      <c r="N120" s="160" t="b">
        <f ca="1">AND(SelectionsTable[[#This Row],[Show Feedstock]:[Conditional to Show]])</f>
        <v>0</v>
      </c>
      <c r="O120" s="160" t="s">
        <v>1602</v>
      </c>
      <c r="P120" s="261" t="s">
        <v>1651</v>
      </c>
      <c r="Q120" s="261" t="s">
        <v>1832</v>
      </c>
      <c r="R120" s="267" cm="1">
        <f t="array" aca="1" ref="R120" ca="1">IF(AND(NOT(RefreshDefaults),NOT(SelectionsResetting)),VALUE(IFERROR(INDEX(Selection_UD, MATCH(SelectionsTable[[#This Row],[ID]], Selection_ID, 0)),SelectionsTable[[#This Row],[Default Value]])),VALUE(SelectionsTable[[#This Row],[Default Value]]))</f>
        <v>3.8162816219673582E-3</v>
      </c>
      <c r="S120" s="270">
        <v>3.8162816219673582E-3</v>
      </c>
      <c r="T120" s="264">
        <f ca="1">SelectionsTable[[#This Row],[Input Value]]</f>
        <v>3.8162816219673582E-3</v>
      </c>
      <c r="U120" s="161" t="s">
        <v>1458</v>
      </c>
    </row>
    <row r="121" spans="1:24" x14ac:dyDescent="0.3">
      <c r="A121"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Canola/RapeseedAllAllAllAll_Oil_Farming_Electricity_UserDefined_Wind</v>
      </c>
      <c r="B121" s="160" t="s">
        <v>1594</v>
      </c>
      <c r="C121" s="160" t="s">
        <v>435</v>
      </c>
      <c r="D121" s="160" t="s">
        <v>435</v>
      </c>
      <c r="E121" s="48" t="s">
        <v>435</v>
      </c>
      <c r="F121" s="48" t="s">
        <v>435</v>
      </c>
      <c r="G121" s="272" t="b" cm="1">
        <f t="array" ref="G121">OR(NOT(ISERROR(MATCH(TRIM(_xlfn.TEXTSPLIT(SelectionsTable[[#This Row],[Feedstock]],",")),SelectedFeedstock,0))),AND(SelectedFeedstock&lt;&gt;"(Multiple Items)",SelectedFeedstock&lt;&gt;"(All)",SelectionsTable[[#This Row],[Feedstock]]="All"))</f>
        <v>1</v>
      </c>
      <c r="H121" s="272" t="b">
        <f>OR(SelectionsTable[[#This Row],[Conversion]]=SelectedConversion,AND(SelectedConversion&lt;&gt;"(Multiple Items)",SelectedConversion&lt;&gt;"(All)",SelectionsTable[[#This Row],[Conversion]]="All"))</f>
        <v>1</v>
      </c>
      <c r="I121" s="272" t="b">
        <f>OR(SelectionsTable[[#This Row],[Data Set]]=SelectedDataSet,AND(SelectedDataSet&lt;&gt;"(Multiple Items)",SelectedDataSet&lt;&gt;"(All)",SelectionsTable[[#This Row],[Data Set]]="All"))</f>
        <v>1</v>
      </c>
      <c r="J121" s="272" t="b">
        <f>OR(SelectionsTable[[#This Row],[Technology]]=SelectedTechnology,AND(SelectedTechnology&lt;&gt;"(Multiple Items)",SelectedTechnology&lt;&gt;"(All)",SelectionsTable[[#This Row],[Technology]]="All"))</f>
        <v>1</v>
      </c>
      <c r="K121" s="272" t="b">
        <f>OR(SelectionsTable[[#This Row],[Data Source]]=SelectedDataSource,AND(SelectedDataSource&lt;&gt;"(Multiple Items)",SelectedDataSource&lt;&gt;"(All)",SelectionsTable[[#This Row],[Data Source]]="All"))</f>
        <v>1</v>
      </c>
      <c r="L121" s="273" t="b">
        <f t="shared" ca="1" si="8"/>
        <v>0</v>
      </c>
      <c r="M121" s="160" t="b">
        <f>SelectionsTable[[#This Row],[GREET1 Location]]&lt;&gt;""</f>
        <v>1</v>
      </c>
      <c r="N121" s="160" t="b">
        <f ca="1">AND(SelectionsTable[[#This Row],[Show Feedstock]:[Conditional to Show]])</f>
        <v>0</v>
      </c>
      <c r="O121" s="160" t="s">
        <v>1603</v>
      </c>
      <c r="P121" s="261" t="s">
        <v>1651</v>
      </c>
      <c r="Q121" s="261" t="s">
        <v>1833</v>
      </c>
      <c r="R121" s="267" cm="1">
        <f t="array" aca="1" ref="R121" ca="1">IF(AND(NOT(RefreshDefaults),NOT(SelectionsResetting)),VALUE(IFERROR(INDEX(Selection_UD, MATCH(SelectionsTable[[#This Row],[ID]], Selection_ID, 0)),SelectionsTable[[#This Row],[Default Value]])),VALUE(SelectionsTable[[#This Row],[Default Value]]))</f>
        <v>0.10697758707614718</v>
      </c>
      <c r="S121" s="270">
        <v>0.10697758707614718</v>
      </c>
      <c r="T121" s="264">
        <f ca="1">SelectionsTable[[#This Row],[Input Value]]</f>
        <v>0.10697758707614718</v>
      </c>
      <c r="U121" s="161" t="s">
        <v>1458</v>
      </c>
    </row>
    <row r="122" spans="1:24" x14ac:dyDescent="0.3">
      <c r="A122"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Canola/RapeseedAllAllAllAll_Oil_Farming_Electricity_UserDefined_SolarPV</v>
      </c>
      <c r="B122" s="160" t="s">
        <v>1594</v>
      </c>
      <c r="C122" s="160" t="s">
        <v>435</v>
      </c>
      <c r="D122" s="160" t="s">
        <v>435</v>
      </c>
      <c r="E122" s="48" t="s">
        <v>435</v>
      </c>
      <c r="F122" s="48" t="s">
        <v>435</v>
      </c>
      <c r="G122" s="272" t="b" cm="1">
        <f t="array" ref="G122">OR(NOT(ISERROR(MATCH(TRIM(_xlfn.TEXTSPLIT(SelectionsTable[[#This Row],[Feedstock]],",")),SelectedFeedstock,0))),AND(SelectedFeedstock&lt;&gt;"(Multiple Items)",SelectedFeedstock&lt;&gt;"(All)",SelectionsTable[[#This Row],[Feedstock]]="All"))</f>
        <v>1</v>
      </c>
      <c r="H122" s="272" t="b">
        <f>OR(SelectionsTable[[#This Row],[Conversion]]=SelectedConversion,AND(SelectedConversion&lt;&gt;"(Multiple Items)",SelectedConversion&lt;&gt;"(All)",SelectionsTable[[#This Row],[Conversion]]="All"))</f>
        <v>1</v>
      </c>
      <c r="I122" s="272" t="b">
        <f>OR(SelectionsTable[[#This Row],[Data Set]]=SelectedDataSet,AND(SelectedDataSet&lt;&gt;"(Multiple Items)",SelectedDataSet&lt;&gt;"(All)",SelectionsTable[[#This Row],[Data Set]]="All"))</f>
        <v>1</v>
      </c>
      <c r="J122" s="272" t="b">
        <f>OR(SelectionsTable[[#This Row],[Technology]]=SelectedTechnology,AND(SelectedTechnology&lt;&gt;"(Multiple Items)",SelectedTechnology&lt;&gt;"(All)",SelectionsTable[[#This Row],[Technology]]="All"))</f>
        <v>1</v>
      </c>
      <c r="K122" s="272" t="b">
        <f>OR(SelectionsTable[[#This Row],[Data Source]]=SelectedDataSource,AND(SelectedDataSource&lt;&gt;"(Multiple Items)",SelectedDataSource&lt;&gt;"(All)",SelectionsTable[[#This Row],[Data Source]]="All"))</f>
        <v>1</v>
      </c>
      <c r="L122" s="273" t="b">
        <f t="shared" ca="1" si="8"/>
        <v>0</v>
      </c>
      <c r="M122" s="160" t="b">
        <f>SelectionsTable[[#This Row],[GREET1 Location]]&lt;&gt;""</f>
        <v>1</v>
      </c>
      <c r="N122" s="160" t="b">
        <f ca="1">AND(SelectionsTable[[#This Row],[Show Feedstock]:[Conditional to Show]])</f>
        <v>0</v>
      </c>
      <c r="O122" s="160" t="s">
        <v>1604</v>
      </c>
      <c r="P122" s="261" t="s">
        <v>1651</v>
      </c>
      <c r="Q122" s="261" t="s">
        <v>1834</v>
      </c>
      <c r="R122" s="267" cm="1">
        <f t="array" aca="1" ref="R122" ca="1">IF(AND(NOT(RefreshDefaults),NOT(SelectionsResetting)),VALUE(IFERROR(INDEX(Selection_UD, MATCH(SelectionsTable[[#This Row],[ID]], Selection_ID, 0)),SelectionsTable[[#This Row],[Default Value]])),VALUE(SelectionsTable[[#This Row],[Default Value]]))</f>
        <v>3.2796656801169541E-2</v>
      </c>
      <c r="S122" s="270">
        <v>3.2796656801169541E-2</v>
      </c>
      <c r="T122" s="264">
        <f ca="1">SelectionsTable[[#This Row],[Input Value]]</f>
        <v>3.2796656801169541E-2</v>
      </c>
      <c r="U122" s="161" t="s">
        <v>1458</v>
      </c>
    </row>
    <row r="123" spans="1:24" x14ac:dyDescent="0.3">
      <c r="A123" t="str">
        <f>IF(SelectionsTable[[#This Row],[GREET1 Location]]="", "dash_"&amp;SelectionsTable[[#This Row],[Feedstock]]&amp;SelectionsTable[[#This Row],[Conversion]]&amp;SelectionsTable[[#This Row],[Data Source]]&amp;SelectionsTable[[#This Row],[Data Set]]&amp;SelectionsTable[[#This Row],[Technology]]&amp;"_"&amp;SelectionsTable[[#This Row],[Input Name]]&amp;"_" &amp; SelectionsTable[[#This Row],[Input Category]], SelectionsTable[[#This Row],[Feedstock]]&amp;SelectionsTable[[#This Row],[Conversion]]&amp;SelectionsTable[[#This Row],[Data Source]]&amp;SelectionsTable[[#This Row],[Data Set]]&amp;SelectionsTable[[#This Row],[Technology]]&amp;"_"&amp;SelectionsTable[[#This Row],[GREET1 Location]])</f>
        <v>Soybean, Canola/RapeseedAllAllAllAll_Oil_Farming_Electricity_UserDefined_Others</v>
      </c>
      <c r="B123" s="261" t="s">
        <v>1594</v>
      </c>
      <c r="C123" s="261" t="s">
        <v>435</v>
      </c>
      <c r="D123" s="261" t="s">
        <v>435</v>
      </c>
      <c r="E123" s="184" t="s">
        <v>435</v>
      </c>
      <c r="F123" s="184" t="s">
        <v>435</v>
      </c>
      <c r="G123" s="273" t="b" cm="1">
        <f t="array" ref="G123">OR(NOT(ISERROR(MATCH(TRIM(_xlfn.TEXTSPLIT(SelectionsTable[[#This Row],[Feedstock]],",")),SelectedFeedstock,0))),AND(SelectedFeedstock&lt;&gt;"(Multiple Items)",SelectedFeedstock&lt;&gt;"(All)",SelectionsTable[[#This Row],[Feedstock]]="All"))</f>
        <v>1</v>
      </c>
      <c r="H123" s="273" t="b">
        <f>OR(SelectionsTable[[#This Row],[Conversion]]=SelectedConversion,AND(SelectedConversion&lt;&gt;"(Multiple Items)",SelectedConversion&lt;&gt;"(All)",SelectionsTable[[#This Row],[Conversion]]="All"))</f>
        <v>1</v>
      </c>
      <c r="I123" s="273" t="b">
        <f>OR(SelectionsTable[[#This Row],[Data Set]]=SelectedDataSet,AND(SelectedDataSet&lt;&gt;"(Multiple Items)",SelectedDataSet&lt;&gt;"(All)",SelectionsTable[[#This Row],[Data Set]]="All"))</f>
        <v>1</v>
      </c>
      <c r="J123" s="273" t="b">
        <f>OR(SelectionsTable[[#This Row],[Technology]]=SelectedTechnology,AND(SelectedTechnology&lt;&gt;"(Multiple Items)",SelectedTechnology&lt;&gt;"(All)",SelectionsTable[[#This Row],[Technology]]="All"))</f>
        <v>1</v>
      </c>
      <c r="K123" s="273" t="b">
        <f>OR(SelectionsTable[[#This Row],[Data Source]]=SelectedDataSource,AND(SelectedDataSource&lt;&gt;"(Multiple Items)",SelectedDataSource&lt;&gt;"(All)",SelectionsTable[[#This Row],[Data Source]]="All"))</f>
        <v>1</v>
      </c>
      <c r="L123" s="273" t="b">
        <f t="shared" ca="1" si="8"/>
        <v>0</v>
      </c>
      <c r="M123" s="261" t="b">
        <f>SelectionsTable[[#This Row],[GREET1 Location]]&lt;&gt;""</f>
        <v>1</v>
      </c>
      <c r="N123" s="261" t="b">
        <f ca="1">AND(SelectionsTable[[#This Row],[Show Feedstock]:[Conditional to Show]])</f>
        <v>0</v>
      </c>
      <c r="O123" s="261" t="s">
        <v>1605</v>
      </c>
      <c r="P123" s="261" t="s">
        <v>1651</v>
      </c>
      <c r="Q123" s="261" t="s">
        <v>1835</v>
      </c>
      <c r="R123" s="267" cm="1">
        <f t="array" aca="1" ref="R123" ca="1">IF(AND(NOT(RefreshDefaults),NOT(SelectionsResetting)),VALUE(IFERROR(INDEX(Selection_UD, MATCH(SelectionsTable[[#This Row],[ID]], Selection_ID, 0)),SelectionsTable[[#This Row],[Default Value]])),VALUE(SelectionsTable[[#This Row],[Default Value]]))</f>
        <v>3.7310985058660595E-3</v>
      </c>
      <c r="S123" s="271">
        <v>3.7310985058660595E-3</v>
      </c>
      <c r="T123" s="264">
        <f ca="1">SelectionsTable[[#This Row],[Input Value]]</f>
        <v>3.7310985058660595E-3</v>
      </c>
      <c r="U123" s="162" t="s">
        <v>1458</v>
      </c>
    </row>
  </sheetData>
  <conditionalFormatting sqref="C32:E32 C33:F35 F2:F24 F54:F55 F31:F32 F36:F47 F61:F112">
    <cfRule type="cellIs" dxfId="1508" priority="9" operator="equal">
      <formula>"Share"</formula>
    </cfRule>
  </conditionalFormatting>
  <conditionalFormatting sqref="F113:F123">
    <cfRule type="cellIs" dxfId="1507" priority="8" operator="equal">
      <formula>"Share"</formula>
    </cfRule>
  </conditionalFormatting>
  <conditionalFormatting sqref="F62">
    <cfRule type="cellIs" dxfId="1506" priority="7" operator="equal">
      <formula>"Share"</formula>
    </cfRule>
  </conditionalFormatting>
  <conditionalFormatting sqref="F31:F35">
    <cfRule type="cellIs" dxfId="1505" priority="6" operator="equal">
      <formula>"Share"</formula>
    </cfRule>
  </conditionalFormatting>
  <conditionalFormatting sqref="F54">
    <cfRule type="cellIs" dxfId="1504" priority="5" operator="equal">
      <formula>"Share"</formula>
    </cfRule>
  </conditionalFormatting>
  <conditionalFormatting sqref="F25:F30">
    <cfRule type="cellIs" dxfId="1503" priority="4" operator="equal">
      <formula>"Share"</formula>
    </cfRule>
  </conditionalFormatting>
  <conditionalFormatting sqref="F48:F53">
    <cfRule type="cellIs" dxfId="1502" priority="3" operator="equal">
      <formula>"Share"</formula>
    </cfRule>
  </conditionalFormatting>
  <conditionalFormatting sqref="F56:F61">
    <cfRule type="cellIs" dxfId="1501" priority="2" operator="equal">
      <formula>"Share"</formula>
    </cfRule>
  </conditionalFormatting>
  <conditionalFormatting sqref="X98:X101">
    <cfRule type="cellIs" dxfId="1500" priority="1" operator="equal">
      <formula>"Share"</formula>
    </cfRule>
  </conditionalFormatting>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3506F-8152-47DD-B5B8-1DDE5F134585}">
  <sheetPr codeName="Hsetup"/>
  <dimension ref="A1:M10"/>
  <sheetViews>
    <sheetView workbookViewId="0">
      <selection activeCell="F35" sqref="F35"/>
    </sheetView>
  </sheetViews>
  <sheetFormatPr defaultRowHeight="14.4" x14ac:dyDescent="0.3"/>
  <cols>
    <col min="1" max="1" width="35" customWidth="1"/>
    <col min="2" max="2" width="28.88671875" customWidth="1"/>
    <col min="5" max="6" width="23.44140625" customWidth="1"/>
    <col min="7" max="7" width="18.33203125" customWidth="1"/>
    <col min="8" max="8" width="19.44140625" customWidth="1"/>
    <col min="9" max="9" width="37.5546875" customWidth="1"/>
  </cols>
  <sheetData>
    <row r="1" spans="1:13" x14ac:dyDescent="0.3">
      <c r="A1" t="s">
        <v>136</v>
      </c>
      <c r="H1" t="s">
        <v>1680</v>
      </c>
    </row>
    <row r="2" spans="1:13" x14ac:dyDescent="0.3">
      <c r="A2" s="124" t="s">
        <v>1487</v>
      </c>
      <c r="B2" s="124" t="s">
        <v>2165</v>
      </c>
      <c r="C2" s="18">
        <v>2</v>
      </c>
      <c r="D2" s="237">
        <v>28</v>
      </c>
      <c r="E2" s="238" t="s">
        <v>1702</v>
      </c>
      <c r="F2" s="173" t="s">
        <v>1616</v>
      </c>
      <c r="H2" s="124" t="s">
        <v>1448</v>
      </c>
      <c r="I2" s="124" t="s">
        <v>2165</v>
      </c>
      <c r="J2" s="18">
        <v>2</v>
      </c>
      <c r="K2" s="237">
        <v>28</v>
      </c>
      <c r="L2" s="238" t="s">
        <v>1702</v>
      </c>
      <c r="M2" s="172" t="s">
        <v>1837</v>
      </c>
    </row>
    <row r="3" spans="1:13" x14ac:dyDescent="0.3">
      <c r="A3" s="160" t="s">
        <v>1487</v>
      </c>
      <c r="B3" s="160" t="s">
        <v>1453</v>
      </c>
      <c r="C3" s="168">
        <v>2</v>
      </c>
      <c r="D3" s="168">
        <v>7</v>
      </c>
      <c r="E3" s="169" t="s">
        <v>1705</v>
      </c>
      <c r="F3" s="172" t="s">
        <v>1617</v>
      </c>
      <c r="H3" s="160" t="s">
        <v>1448</v>
      </c>
      <c r="I3" s="160" t="s">
        <v>1453</v>
      </c>
      <c r="J3" s="168">
        <v>2</v>
      </c>
      <c r="K3" s="168">
        <v>7</v>
      </c>
      <c r="L3" s="169" t="s">
        <v>1705</v>
      </c>
      <c r="M3" s="173" t="s">
        <v>1838</v>
      </c>
    </row>
    <row r="4" spans="1:13" x14ac:dyDescent="0.3">
      <c r="A4" s="124" t="s">
        <v>1449</v>
      </c>
      <c r="B4" s="124" t="s">
        <v>1641</v>
      </c>
      <c r="C4" s="18">
        <v>2</v>
      </c>
      <c r="D4" s="18">
        <v>2</v>
      </c>
      <c r="E4" s="171" t="s">
        <v>1456</v>
      </c>
      <c r="F4" s="173" t="s">
        <v>1618</v>
      </c>
      <c r="H4" s="124" t="s">
        <v>1448</v>
      </c>
      <c r="I4" s="124" t="s">
        <v>1454</v>
      </c>
      <c r="J4" s="18">
        <v>2</v>
      </c>
      <c r="K4" s="237">
        <v>3</v>
      </c>
      <c r="L4" s="239" t="s">
        <v>1703</v>
      </c>
      <c r="M4" s="172" t="s">
        <v>1839</v>
      </c>
    </row>
    <row r="5" spans="1:13" x14ac:dyDescent="0.3">
      <c r="A5" s="160" t="s">
        <v>1448</v>
      </c>
      <c r="B5" s="160" t="s">
        <v>2165</v>
      </c>
      <c r="C5" s="168">
        <v>2</v>
      </c>
      <c r="D5" s="237">
        <v>28</v>
      </c>
      <c r="E5" s="238" t="s">
        <v>1702</v>
      </c>
      <c r="F5" s="172" t="s">
        <v>1619</v>
      </c>
      <c r="H5" s="160"/>
      <c r="I5" s="160"/>
      <c r="J5" s="168"/>
      <c r="K5" s="168"/>
      <c r="L5" s="169"/>
    </row>
    <row r="6" spans="1:13" x14ac:dyDescent="0.3">
      <c r="A6" s="124" t="s">
        <v>1448</v>
      </c>
      <c r="B6" s="124" t="s">
        <v>1453</v>
      </c>
      <c r="C6" s="18">
        <v>2</v>
      </c>
      <c r="D6" s="18">
        <v>7</v>
      </c>
      <c r="E6" s="167" t="s">
        <v>1705</v>
      </c>
      <c r="F6" s="173" t="s">
        <v>1620</v>
      </c>
      <c r="H6" s="124"/>
      <c r="I6" s="124"/>
      <c r="J6" s="18"/>
      <c r="K6" s="18"/>
      <c r="L6" s="167"/>
      <c r="M6" s="174"/>
    </row>
    <row r="7" spans="1:13" x14ac:dyDescent="0.3">
      <c r="A7" s="160" t="s">
        <v>1448</v>
      </c>
      <c r="B7" s="160" t="s">
        <v>1454</v>
      </c>
      <c r="C7" s="168">
        <v>2</v>
      </c>
      <c r="D7" s="237">
        <v>3</v>
      </c>
      <c r="E7" s="239" t="s">
        <v>1703</v>
      </c>
      <c r="F7" s="172" t="s">
        <v>1621</v>
      </c>
      <c r="H7" s="124"/>
      <c r="I7" s="124"/>
      <c r="J7" s="18"/>
      <c r="K7" s="18"/>
      <c r="L7" s="170"/>
      <c r="M7" s="172"/>
    </row>
    <row r="8" spans="1:13" x14ac:dyDescent="0.3">
      <c r="H8" s="160"/>
      <c r="I8" s="160"/>
      <c r="J8" s="168"/>
      <c r="K8" s="168"/>
      <c r="L8" s="169"/>
    </row>
    <row r="9" spans="1:13" x14ac:dyDescent="0.3">
      <c r="H9" s="124"/>
      <c r="I9" s="124"/>
      <c r="J9" s="18"/>
      <c r="K9" s="18"/>
      <c r="L9" s="167"/>
      <c r="M9" s="174"/>
    </row>
    <row r="10" spans="1:13" x14ac:dyDescent="0.3">
      <c r="H10" s="160"/>
      <c r="I10" s="160"/>
      <c r="J10" s="168"/>
      <c r="K10" s="168"/>
      <c r="L10" s="169"/>
    </row>
  </sheetData>
  <phoneticPr fontId="13"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CAE10-37FE-47AF-A2D5-2311C752BFA9}">
  <sheetPr codeName="HResults"/>
  <dimension ref="A1:W4851"/>
  <sheetViews>
    <sheetView topLeftCell="A3662" zoomScale="85" zoomScaleNormal="85" workbookViewId="0">
      <selection activeCell="D3683" sqref="D3683"/>
    </sheetView>
  </sheetViews>
  <sheetFormatPr defaultRowHeight="14.4" x14ac:dyDescent="0.3"/>
  <cols>
    <col min="1" max="1" width="15.5546875" customWidth="1"/>
    <col min="2" max="2" width="34.6640625" customWidth="1"/>
    <col min="3" max="3" width="14.109375" customWidth="1"/>
    <col min="4" max="4" width="15" customWidth="1"/>
    <col min="5" max="5" width="22.109375" customWidth="1"/>
  </cols>
  <sheetData>
    <row r="1" spans="1:23" x14ac:dyDescent="0.3">
      <c r="B1" s="42"/>
      <c r="C1" s="18"/>
      <c r="D1" s="53"/>
      <c r="E1" s="53"/>
      <c r="L1" s="42"/>
      <c r="M1" s="18"/>
      <c r="N1" s="53"/>
      <c r="P1" s="53"/>
      <c r="Q1" s="11"/>
      <c r="S1" s="7"/>
      <c r="T1" s="8"/>
      <c r="U1" s="8"/>
      <c r="V1" s="8"/>
      <c r="W1" s="11"/>
    </row>
    <row r="2" spans="1:23" x14ac:dyDescent="0.3">
      <c r="A2" t="s">
        <v>1628</v>
      </c>
      <c r="B2">
        <v>32.301522932110188</v>
      </c>
      <c r="C2" t="s">
        <v>2047</v>
      </c>
      <c r="D2" t="s">
        <v>2024</v>
      </c>
    </row>
    <row r="3" spans="1:23" x14ac:dyDescent="0.3">
      <c r="A3" t="s">
        <v>17</v>
      </c>
      <c r="B3">
        <v>18.474082805176593</v>
      </c>
      <c r="C3" t="s">
        <v>2047</v>
      </c>
      <c r="D3" t="s">
        <v>2024</v>
      </c>
    </row>
    <row r="4" spans="1:23" x14ac:dyDescent="0.3">
      <c r="A4" t="s">
        <v>209</v>
      </c>
      <c r="B4">
        <v>13.786842063146915</v>
      </c>
      <c r="C4" t="s">
        <v>2047</v>
      </c>
      <c r="D4" t="s">
        <v>2024</v>
      </c>
    </row>
    <row r="5" spans="1:23" x14ac:dyDescent="0.3">
      <c r="A5" t="s">
        <v>446</v>
      </c>
      <c r="B5">
        <v>4.0598063786682376E-2</v>
      </c>
      <c r="C5" t="s">
        <v>2047</v>
      </c>
      <c r="D5" t="s">
        <v>2024</v>
      </c>
    </row>
    <row r="6" spans="1:23" x14ac:dyDescent="0.3">
      <c r="A6" t="s">
        <v>1632</v>
      </c>
      <c r="B6">
        <v>23.738198918430708</v>
      </c>
      <c r="C6" t="s">
        <v>2047</v>
      </c>
      <c r="D6" t="s">
        <v>2024</v>
      </c>
    </row>
    <row r="7" spans="1:23" x14ac:dyDescent="0.3">
      <c r="A7" t="s">
        <v>1626</v>
      </c>
      <c r="B7">
        <v>18.058215830673674</v>
      </c>
      <c r="C7" t="s">
        <v>2047</v>
      </c>
      <c r="D7" t="s">
        <v>2024</v>
      </c>
    </row>
    <row r="8" spans="1:23" x14ac:dyDescent="0.3">
      <c r="A8" t="s">
        <v>1627</v>
      </c>
      <c r="B8">
        <v>5.9308426230761953</v>
      </c>
      <c r="C8" t="s">
        <v>2047</v>
      </c>
      <c r="D8" t="s">
        <v>2024</v>
      </c>
    </row>
    <row r="9" spans="1:23" x14ac:dyDescent="0.3">
      <c r="A9" t="s">
        <v>1625</v>
      </c>
      <c r="B9">
        <v>7.3358256797885601E-2</v>
      </c>
      <c r="C9" t="s">
        <v>2047</v>
      </c>
      <c r="D9" t="s">
        <v>2024</v>
      </c>
    </row>
    <row r="10" spans="1:23" x14ac:dyDescent="0.3">
      <c r="A10" t="s">
        <v>1623</v>
      </c>
      <c r="B10">
        <v>-0.32421779211704416</v>
      </c>
      <c r="C10" t="s">
        <v>2047</v>
      </c>
      <c r="D10" t="s">
        <v>2024</v>
      </c>
    </row>
    <row r="11" spans="1:23" x14ac:dyDescent="0.3">
      <c r="A11" t="s">
        <v>1633</v>
      </c>
      <c r="B11">
        <v>56.0397218505409</v>
      </c>
      <c r="C11" t="s">
        <v>2047</v>
      </c>
      <c r="D11" t="s">
        <v>2024</v>
      </c>
    </row>
    <row r="12" spans="1:23" x14ac:dyDescent="0.3">
      <c r="A12" t="s">
        <v>1628</v>
      </c>
      <c r="B12">
        <v>65.014720858252758</v>
      </c>
      <c r="C12" t="s">
        <v>2047</v>
      </c>
      <c r="D12" t="s">
        <v>2025</v>
      </c>
    </row>
    <row r="13" spans="1:23" x14ac:dyDescent="0.3">
      <c r="A13" t="s">
        <v>17</v>
      </c>
      <c r="B13">
        <v>37.427903553823462</v>
      </c>
      <c r="C13" t="s">
        <v>2047</v>
      </c>
      <c r="D13" t="s">
        <v>2025</v>
      </c>
    </row>
    <row r="14" spans="1:23" x14ac:dyDescent="0.3">
      <c r="A14" t="s">
        <v>209</v>
      </c>
      <c r="B14">
        <v>27.546219240642614</v>
      </c>
      <c r="C14" t="s">
        <v>2047</v>
      </c>
      <c r="D14" t="s">
        <v>2025</v>
      </c>
    </row>
    <row r="15" spans="1:23" x14ac:dyDescent="0.3">
      <c r="A15" t="s">
        <v>446</v>
      </c>
      <c r="B15">
        <v>4.0598063786682376E-2</v>
      </c>
      <c r="C15" t="s">
        <v>2047</v>
      </c>
      <c r="D15" t="s">
        <v>2025</v>
      </c>
    </row>
    <row r="16" spans="1:23" x14ac:dyDescent="0.3">
      <c r="A16" t="s">
        <v>1632</v>
      </c>
      <c r="B16">
        <v>48.092835191338651</v>
      </c>
      <c r="C16" t="s">
        <v>2047</v>
      </c>
      <c r="D16" t="s">
        <v>2025</v>
      </c>
    </row>
    <row r="17" spans="1:4" x14ac:dyDescent="0.3">
      <c r="A17" t="s">
        <v>1626</v>
      </c>
      <c r="B17">
        <v>36.585370304564997</v>
      </c>
      <c r="C17" t="s">
        <v>2047</v>
      </c>
      <c r="D17" t="s">
        <v>2025</v>
      </c>
    </row>
    <row r="18" spans="1:4" x14ac:dyDescent="0.3">
      <c r="A18" t="s">
        <v>1627</v>
      </c>
      <c r="B18">
        <v>12.015698318035083</v>
      </c>
      <c r="C18" t="s">
        <v>2047</v>
      </c>
      <c r="D18" t="s">
        <v>2025</v>
      </c>
    </row>
    <row r="19" spans="1:4" x14ac:dyDescent="0.3">
      <c r="A19" t="s">
        <v>1625</v>
      </c>
      <c r="B19">
        <v>0.14862149256679333</v>
      </c>
      <c r="C19" t="s">
        <v>2047</v>
      </c>
      <c r="D19" t="s">
        <v>2025</v>
      </c>
    </row>
    <row r="20" spans="1:4" x14ac:dyDescent="0.3">
      <c r="A20" t="s">
        <v>1623</v>
      </c>
      <c r="B20">
        <v>-0.65685492382821009</v>
      </c>
      <c r="C20" t="s">
        <v>2047</v>
      </c>
      <c r="D20" t="s">
        <v>2025</v>
      </c>
    </row>
    <row r="21" spans="1:4" x14ac:dyDescent="0.3">
      <c r="A21" t="s">
        <v>1633</v>
      </c>
      <c r="B21">
        <v>113.10755604959141</v>
      </c>
      <c r="C21" t="s">
        <v>2047</v>
      </c>
      <c r="D21" t="s">
        <v>2025</v>
      </c>
    </row>
    <row r="22" spans="1:4" x14ac:dyDescent="0.3">
      <c r="A22" t="s">
        <v>1628</v>
      </c>
      <c r="B22">
        <v>32.301522932110188</v>
      </c>
      <c r="C22" t="s">
        <v>2047</v>
      </c>
      <c r="D22" t="s">
        <v>2026</v>
      </c>
    </row>
    <row r="23" spans="1:4" x14ac:dyDescent="0.3">
      <c r="A23" t="s">
        <v>17</v>
      </c>
      <c r="B23">
        <v>18.474082805176593</v>
      </c>
      <c r="C23" t="s">
        <v>2047</v>
      </c>
      <c r="D23" t="s">
        <v>2026</v>
      </c>
    </row>
    <row r="24" spans="1:4" x14ac:dyDescent="0.3">
      <c r="A24" t="s">
        <v>209</v>
      </c>
      <c r="B24">
        <v>13.786842063146915</v>
      </c>
      <c r="C24" t="s">
        <v>2047</v>
      </c>
      <c r="D24" t="s">
        <v>2026</v>
      </c>
    </row>
    <row r="25" spans="1:4" x14ac:dyDescent="0.3">
      <c r="A25" s="42" t="s">
        <v>446</v>
      </c>
      <c r="B25" s="18">
        <v>4.0598063786682376E-2</v>
      </c>
      <c r="C25" s="53" t="s">
        <v>2047</v>
      </c>
      <c r="D25" t="s">
        <v>2026</v>
      </c>
    </row>
    <row r="26" spans="1:4" x14ac:dyDescent="0.3">
      <c r="A26" s="233" t="s">
        <v>1632</v>
      </c>
      <c r="B26" s="168">
        <v>23.738198918430708</v>
      </c>
      <c r="C26" s="52" t="s">
        <v>2047</v>
      </c>
      <c r="D26" t="s">
        <v>2026</v>
      </c>
    </row>
    <row r="27" spans="1:4" x14ac:dyDescent="0.3">
      <c r="A27" s="42" t="s">
        <v>1626</v>
      </c>
      <c r="B27" s="18">
        <v>18.058215830673674</v>
      </c>
      <c r="C27" s="52" t="s">
        <v>2047</v>
      </c>
      <c r="D27" t="s">
        <v>2026</v>
      </c>
    </row>
    <row r="28" spans="1:4" x14ac:dyDescent="0.3">
      <c r="A28" s="52" t="s">
        <v>1627</v>
      </c>
      <c r="B28" s="168">
        <v>5.9308426230761953</v>
      </c>
      <c r="C28" s="52" t="s">
        <v>2047</v>
      </c>
      <c r="D28" t="s">
        <v>2026</v>
      </c>
    </row>
    <row r="29" spans="1:4" x14ac:dyDescent="0.3">
      <c r="A29" s="42" t="s">
        <v>1625</v>
      </c>
      <c r="B29" s="18">
        <v>7.3358256797885601E-2</v>
      </c>
      <c r="C29" s="52" t="s">
        <v>2047</v>
      </c>
      <c r="D29" s="18" t="s">
        <v>2026</v>
      </c>
    </row>
    <row r="30" spans="1:4" x14ac:dyDescent="0.3">
      <c r="A30" s="233" t="s">
        <v>1623</v>
      </c>
      <c r="B30" s="168">
        <v>-0.32421779211704416</v>
      </c>
      <c r="C30" s="52" t="s">
        <v>2047</v>
      </c>
      <c r="D30" s="168" t="s">
        <v>2026</v>
      </c>
    </row>
    <row r="31" spans="1:4" x14ac:dyDescent="0.3">
      <c r="A31" s="42" t="s">
        <v>1633</v>
      </c>
      <c r="B31" s="18">
        <v>56.0397218505409</v>
      </c>
      <c r="C31" s="52" t="s">
        <v>2047</v>
      </c>
      <c r="D31" t="s">
        <v>2026</v>
      </c>
    </row>
    <row r="32" spans="1:4" x14ac:dyDescent="0.3">
      <c r="A32" t="s">
        <v>1628</v>
      </c>
      <c r="B32">
        <v>32.301522932110188</v>
      </c>
      <c r="C32" t="s">
        <v>2047</v>
      </c>
      <c r="D32" t="s">
        <v>2027</v>
      </c>
    </row>
    <row r="33" spans="1:4" x14ac:dyDescent="0.3">
      <c r="A33" t="s">
        <v>17</v>
      </c>
      <c r="B33">
        <v>18.474082805176593</v>
      </c>
      <c r="C33" t="s">
        <v>2047</v>
      </c>
      <c r="D33" t="s">
        <v>2027</v>
      </c>
    </row>
    <row r="34" spans="1:4" x14ac:dyDescent="0.3">
      <c r="A34" t="s">
        <v>209</v>
      </c>
      <c r="B34">
        <v>13.786842063146915</v>
      </c>
      <c r="C34" t="s">
        <v>2047</v>
      </c>
      <c r="D34" t="s">
        <v>2027</v>
      </c>
    </row>
    <row r="35" spans="1:4" x14ac:dyDescent="0.3">
      <c r="A35" t="s">
        <v>446</v>
      </c>
      <c r="B35">
        <v>4.0598063786682376E-2</v>
      </c>
      <c r="C35" t="s">
        <v>2047</v>
      </c>
      <c r="D35" t="s">
        <v>2027</v>
      </c>
    </row>
    <row r="36" spans="1:4" x14ac:dyDescent="0.3">
      <c r="A36" t="s">
        <v>1632</v>
      </c>
      <c r="B36">
        <v>23.738198918430708</v>
      </c>
      <c r="C36" t="s">
        <v>2047</v>
      </c>
      <c r="D36" t="s">
        <v>2027</v>
      </c>
    </row>
    <row r="37" spans="1:4" x14ac:dyDescent="0.3">
      <c r="A37" t="s">
        <v>1626</v>
      </c>
      <c r="B37">
        <v>18.058215830673674</v>
      </c>
      <c r="C37" t="s">
        <v>2047</v>
      </c>
      <c r="D37" t="s">
        <v>2027</v>
      </c>
    </row>
    <row r="38" spans="1:4" x14ac:dyDescent="0.3">
      <c r="A38" t="s">
        <v>1627</v>
      </c>
      <c r="B38">
        <v>5.9308426230761953</v>
      </c>
      <c r="C38" t="s">
        <v>2047</v>
      </c>
      <c r="D38" t="s">
        <v>2027</v>
      </c>
    </row>
    <row r="39" spans="1:4" x14ac:dyDescent="0.3">
      <c r="A39" t="s">
        <v>1625</v>
      </c>
      <c r="B39">
        <v>7.3358256797885601E-2</v>
      </c>
      <c r="C39" t="s">
        <v>2047</v>
      </c>
      <c r="D39" t="s">
        <v>2027</v>
      </c>
    </row>
    <row r="40" spans="1:4" x14ac:dyDescent="0.3">
      <c r="A40" t="s">
        <v>1623</v>
      </c>
      <c r="B40">
        <v>-0.32421779211704416</v>
      </c>
      <c r="C40" t="s">
        <v>2047</v>
      </c>
      <c r="D40" t="s">
        <v>2027</v>
      </c>
    </row>
    <row r="41" spans="1:4" x14ac:dyDescent="0.3">
      <c r="A41" t="s">
        <v>1633</v>
      </c>
      <c r="B41">
        <v>56.0397218505409</v>
      </c>
      <c r="C41" t="s">
        <v>2047</v>
      </c>
      <c r="D41" t="s">
        <v>2027</v>
      </c>
    </row>
    <row r="42" spans="1:4" x14ac:dyDescent="0.3">
      <c r="A42" t="s">
        <v>1628</v>
      </c>
      <c r="B42">
        <v>31.211179714421547</v>
      </c>
      <c r="C42" t="s">
        <v>2047</v>
      </c>
      <c r="D42" t="s">
        <v>2028</v>
      </c>
    </row>
    <row r="43" spans="1:4" x14ac:dyDescent="0.3">
      <c r="A43" t="s">
        <v>17</v>
      </c>
      <c r="B43">
        <v>18.474082805176593</v>
      </c>
      <c r="C43" t="s">
        <v>2047</v>
      </c>
      <c r="D43" t="s">
        <v>2028</v>
      </c>
    </row>
    <row r="44" spans="1:4" x14ac:dyDescent="0.3">
      <c r="A44" t="s">
        <v>209</v>
      </c>
      <c r="B44">
        <v>12.696498845458271</v>
      </c>
      <c r="C44" t="s">
        <v>2047</v>
      </c>
      <c r="D44" t="s">
        <v>2028</v>
      </c>
    </row>
    <row r="45" spans="1:4" x14ac:dyDescent="0.3">
      <c r="A45" t="s">
        <v>446</v>
      </c>
      <c r="B45">
        <v>4.0598063786682376E-2</v>
      </c>
      <c r="C45" t="s">
        <v>2047</v>
      </c>
      <c r="D45" t="s">
        <v>2028</v>
      </c>
    </row>
    <row r="46" spans="1:4" x14ac:dyDescent="0.3">
      <c r="A46" t="s">
        <v>1632</v>
      </c>
      <c r="B46">
        <v>23.738198918430708</v>
      </c>
      <c r="C46" t="s">
        <v>2047</v>
      </c>
      <c r="D46" t="s">
        <v>2028</v>
      </c>
    </row>
    <row r="47" spans="1:4" x14ac:dyDescent="0.3">
      <c r="A47" t="s">
        <v>1626</v>
      </c>
      <c r="B47">
        <v>18.058215830673674</v>
      </c>
      <c r="C47" t="s">
        <v>2047</v>
      </c>
      <c r="D47" t="s">
        <v>2028</v>
      </c>
    </row>
    <row r="48" spans="1:4" x14ac:dyDescent="0.3">
      <c r="A48" t="s">
        <v>1627</v>
      </c>
      <c r="B48">
        <v>5.9308426230761953</v>
      </c>
      <c r="C48" t="s">
        <v>2047</v>
      </c>
      <c r="D48" t="s">
        <v>2028</v>
      </c>
    </row>
    <row r="49" spans="1:4" x14ac:dyDescent="0.3">
      <c r="A49" t="s">
        <v>1625</v>
      </c>
      <c r="B49">
        <v>7.3358256797885601E-2</v>
      </c>
      <c r="C49" t="s">
        <v>2047</v>
      </c>
      <c r="D49" t="s">
        <v>2028</v>
      </c>
    </row>
    <row r="50" spans="1:4" x14ac:dyDescent="0.3">
      <c r="A50" t="s">
        <v>1623</v>
      </c>
      <c r="B50">
        <v>-0.32421779211704416</v>
      </c>
      <c r="C50" t="s">
        <v>2047</v>
      </c>
      <c r="D50" t="s">
        <v>2028</v>
      </c>
    </row>
    <row r="51" spans="1:4" x14ac:dyDescent="0.3">
      <c r="A51" t="s">
        <v>1633</v>
      </c>
      <c r="B51">
        <v>54.949378632852259</v>
      </c>
      <c r="C51" t="s">
        <v>2047</v>
      </c>
      <c r="D51" t="s">
        <v>2028</v>
      </c>
    </row>
    <row r="52" spans="1:4" x14ac:dyDescent="0.3">
      <c r="A52" t="s">
        <v>1628</v>
      </c>
      <c r="B52">
        <v>32.301522932110188</v>
      </c>
      <c r="C52" t="s">
        <v>2047</v>
      </c>
      <c r="D52" t="s">
        <v>2029</v>
      </c>
    </row>
    <row r="53" spans="1:4" x14ac:dyDescent="0.3">
      <c r="A53" t="s">
        <v>17</v>
      </c>
      <c r="B53">
        <v>18.474082805176593</v>
      </c>
      <c r="C53" t="s">
        <v>2047</v>
      </c>
      <c r="D53" t="s">
        <v>2029</v>
      </c>
    </row>
    <row r="54" spans="1:4" x14ac:dyDescent="0.3">
      <c r="A54" t="s">
        <v>209</v>
      </c>
      <c r="B54">
        <v>13.786842063146915</v>
      </c>
      <c r="C54" t="s">
        <v>2047</v>
      </c>
      <c r="D54" t="s">
        <v>2029</v>
      </c>
    </row>
    <row r="55" spans="1:4" x14ac:dyDescent="0.3">
      <c r="A55" t="s">
        <v>446</v>
      </c>
      <c r="B55">
        <v>4.0598063786682376E-2</v>
      </c>
      <c r="C55" t="s">
        <v>2047</v>
      </c>
      <c r="D55" t="s">
        <v>2029</v>
      </c>
    </row>
    <row r="56" spans="1:4" x14ac:dyDescent="0.3">
      <c r="A56" t="s">
        <v>1632</v>
      </c>
      <c r="B56">
        <v>23.738198918430708</v>
      </c>
      <c r="C56" t="s">
        <v>2047</v>
      </c>
      <c r="D56" t="s">
        <v>2029</v>
      </c>
    </row>
    <row r="57" spans="1:4" x14ac:dyDescent="0.3">
      <c r="A57" t="s">
        <v>1626</v>
      </c>
      <c r="B57">
        <v>18.058215830673674</v>
      </c>
      <c r="C57" t="s">
        <v>2047</v>
      </c>
      <c r="D57" t="s">
        <v>2029</v>
      </c>
    </row>
    <row r="58" spans="1:4" x14ac:dyDescent="0.3">
      <c r="A58" t="s">
        <v>1627</v>
      </c>
      <c r="B58">
        <v>5.9308426230761953</v>
      </c>
      <c r="C58" t="s">
        <v>2047</v>
      </c>
      <c r="D58" t="s">
        <v>2029</v>
      </c>
    </row>
    <row r="59" spans="1:4" x14ac:dyDescent="0.3">
      <c r="A59" t="s">
        <v>1625</v>
      </c>
      <c r="B59">
        <v>7.3358256797885601E-2</v>
      </c>
      <c r="C59" t="s">
        <v>2047</v>
      </c>
      <c r="D59" t="s">
        <v>2029</v>
      </c>
    </row>
    <row r="60" spans="1:4" x14ac:dyDescent="0.3">
      <c r="A60" t="s">
        <v>1623</v>
      </c>
      <c r="B60">
        <v>-0.32421779211704416</v>
      </c>
      <c r="C60" t="s">
        <v>2047</v>
      </c>
      <c r="D60" t="s">
        <v>2029</v>
      </c>
    </row>
    <row r="61" spans="1:4" x14ac:dyDescent="0.3">
      <c r="A61" t="s">
        <v>1633</v>
      </c>
      <c r="B61">
        <v>56.0397218505409</v>
      </c>
      <c r="C61" t="s">
        <v>2047</v>
      </c>
      <c r="D61" t="s">
        <v>2029</v>
      </c>
    </row>
    <row r="62" spans="1:4" x14ac:dyDescent="0.3">
      <c r="A62" t="s">
        <v>1628</v>
      </c>
      <c r="B62">
        <v>32.301522932110188</v>
      </c>
      <c r="C62" t="s">
        <v>2047</v>
      </c>
      <c r="D62" t="s">
        <v>2030</v>
      </c>
    </row>
    <row r="63" spans="1:4" x14ac:dyDescent="0.3">
      <c r="A63" t="s">
        <v>17</v>
      </c>
      <c r="B63">
        <v>18.474082805176593</v>
      </c>
      <c r="C63" t="s">
        <v>2047</v>
      </c>
      <c r="D63" t="s">
        <v>2030</v>
      </c>
    </row>
    <row r="64" spans="1:4" x14ac:dyDescent="0.3">
      <c r="A64" t="s">
        <v>209</v>
      </c>
      <c r="B64">
        <v>13.786842063146915</v>
      </c>
      <c r="C64" t="s">
        <v>2047</v>
      </c>
      <c r="D64" t="s">
        <v>2030</v>
      </c>
    </row>
    <row r="65" spans="1:4" x14ac:dyDescent="0.3">
      <c r="A65" t="s">
        <v>446</v>
      </c>
      <c r="B65">
        <v>4.0598063786682376E-2</v>
      </c>
      <c r="C65" t="s">
        <v>2047</v>
      </c>
      <c r="D65" t="s">
        <v>2030</v>
      </c>
    </row>
    <row r="66" spans="1:4" x14ac:dyDescent="0.3">
      <c r="A66" t="s">
        <v>1632</v>
      </c>
      <c r="B66">
        <v>23.738198918430708</v>
      </c>
      <c r="C66" t="s">
        <v>2047</v>
      </c>
      <c r="D66" t="s">
        <v>2030</v>
      </c>
    </row>
    <row r="67" spans="1:4" x14ac:dyDescent="0.3">
      <c r="A67" t="s">
        <v>1626</v>
      </c>
      <c r="B67">
        <v>18.058215830673674</v>
      </c>
      <c r="C67" t="s">
        <v>2047</v>
      </c>
      <c r="D67" t="s">
        <v>2030</v>
      </c>
    </row>
    <row r="68" spans="1:4" x14ac:dyDescent="0.3">
      <c r="A68" t="s">
        <v>1627</v>
      </c>
      <c r="B68">
        <v>5.9308426230761953</v>
      </c>
      <c r="C68" t="s">
        <v>2047</v>
      </c>
      <c r="D68" t="s">
        <v>2030</v>
      </c>
    </row>
    <row r="69" spans="1:4" x14ac:dyDescent="0.3">
      <c r="A69" t="s">
        <v>1625</v>
      </c>
      <c r="B69">
        <v>7.3358256797885601E-2</v>
      </c>
      <c r="C69" t="s">
        <v>2047</v>
      </c>
      <c r="D69" t="s">
        <v>2030</v>
      </c>
    </row>
    <row r="70" spans="1:4" x14ac:dyDescent="0.3">
      <c r="A70" t="s">
        <v>1623</v>
      </c>
      <c r="B70">
        <v>-0.32421779211704416</v>
      </c>
      <c r="C70" t="s">
        <v>2047</v>
      </c>
      <c r="D70" t="s">
        <v>2030</v>
      </c>
    </row>
    <row r="71" spans="1:4" x14ac:dyDescent="0.3">
      <c r="A71" t="s">
        <v>1633</v>
      </c>
      <c r="B71">
        <v>56.0397218505409</v>
      </c>
      <c r="C71" t="s">
        <v>2047</v>
      </c>
      <c r="D71" t="s">
        <v>2030</v>
      </c>
    </row>
    <row r="72" spans="1:4" x14ac:dyDescent="0.3">
      <c r="A72" t="s">
        <v>1628</v>
      </c>
      <c r="B72">
        <v>31.126826363594287</v>
      </c>
      <c r="C72" t="s">
        <v>2047</v>
      </c>
      <c r="D72" t="s">
        <v>2031</v>
      </c>
    </row>
    <row r="73" spans="1:4" x14ac:dyDescent="0.3">
      <c r="A73" t="s">
        <v>17</v>
      </c>
      <c r="B73">
        <v>18.474082805176593</v>
      </c>
      <c r="C73" t="s">
        <v>2047</v>
      </c>
      <c r="D73" t="s">
        <v>2031</v>
      </c>
    </row>
    <row r="74" spans="1:4" x14ac:dyDescent="0.3">
      <c r="A74" t="s">
        <v>209</v>
      </c>
      <c r="B74">
        <v>12.612145494631012</v>
      </c>
      <c r="C74" t="s">
        <v>2047</v>
      </c>
      <c r="D74" t="s">
        <v>2031</v>
      </c>
    </row>
    <row r="75" spans="1:4" x14ac:dyDescent="0.3">
      <c r="A75" t="s">
        <v>446</v>
      </c>
      <c r="B75">
        <v>4.0598063786682376E-2</v>
      </c>
      <c r="C75" t="s">
        <v>2047</v>
      </c>
      <c r="D75" t="s">
        <v>2031</v>
      </c>
    </row>
    <row r="76" spans="1:4" x14ac:dyDescent="0.3">
      <c r="A76" t="s">
        <v>1632</v>
      </c>
      <c r="B76">
        <v>23.738198918430708</v>
      </c>
      <c r="C76" t="s">
        <v>2047</v>
      </c>
      <c r="D76" t="s">
        <v>2031</v>
      </c>
    </row>
    <row r="77" spans="1:4" x14ac:dyDescent="0.3">
      <c r="A77" t="s">
        <v>1626</v>
      </c>
      <c r="B77">
        <v>18.058215830673674</v>
      </c>
      <c r="C77" t="s">
        <v>2047</v>
      </c>
      <c r="D77" t="s">
        <v>2031</v>
      </c>
    </row>
    <row r="78" spans="1:4" x14ac:dyDescent="0.3">
      <c r="A78" t="s">
        <v>1627</v>
      </c>
      <c r="B78">
        <v>5.9308426230761953</v>
      </c>
      <c r="C78" t="s">
        <v>2047</v>
      </c>
      <c r="D78" t="s">
        <v>2031</v>
      </c>
    </row>
    <row r="79" spans="1:4" x14ac:dyDescent="0.3">
      <c r="A79" t="s">
        <v>1625</v>
      </c>
      <c r="B79">
        <v>7.3358256797885601E-2</v>
      </c>
      <c r="C79" t="s">
        <v>2047</v>
      </c>
      <c r="D79" t="s">
        <v>2031</v>
      </c>
    </row>
    <row r="80" spans="1:4" x14ac:dyDescent="0.3">
      <c r="A80" t="s">
        <v>1623</v>
      </c>
      <c r="B80">
        <v>-0.32421779211704416</v>
      </c>
      <c r="C80" t="s">
        <v>2047</v>
      </c>
      <c r="D80" t="s">
        <v>2031</v>
      </c>
    </row>
    <row r="81" spans="1:4" x14ac:dyDescent="0.3">
      <c r="A81" t="s">
        <v>1633</v>
      </c>
      <c r="B81">
        <v>54.865025282024995</v>
      </c>
      <c r="C81" t="s">
        <v>2047</v>
      </c>
      <c r="D81" t="s">
        <v>2031</v>
      </c>
    </row>
    <row r="82" spans="1:4" x14ac:dyDescent="0.3">
      <c r="A82" t="s">
        <v>1628</v>
      </c>
      <c r="B82">
        <v>32.301522932110188</v>
      </c>
      <c r="C82" t="s">
        <v>2047</v>
      </c>
      <c r="D82" t="s">
        <v>2032</v>
      </c>
    </row>
    <row r="83" spans="1:4" x14ac:dyDescent="0.3">
      <c r="A83" t="s">
        <v>17</v>
      </c>
      <c r="B83">
        <v>18.474082805176593</v>
      </c>
      <c r="C83" t="s">
        <v>2047</v>
      </c>
      <c r="D83" t="s">
        <v>2032</v>
      </c>
    </row>
    <row r="84" spans="1:4" x14ac:dyDescent="0.3">
      <c r="A84" t="s">
        <v>209</v>
      </c>
      <c r="B84">
        <v>13.786842063146915</v>
      </c>
      <c r="C84" t="s">
        <v>2047</v>
      </c>
      <c r="D84" t="s">
        <v>2032</v>
      </c>
    </row>
    <row r="85" spans="1:4" x14ac:dyDescent="0.3">
      <c r="A85" t="s">
        <v>446</v>
      </c>
      <c r="B85">
        <v>4.0598063786682376E-2</v>
      </c>
      <c r="C85" t="s">
        <v>2047</v>
      </c>
      <c r="D85" t="s">
        <v>2032</v>
      </c>
    </row>
    <row r="86" spans="1:4" x14ac:dyDescent="0.3">
      <c r="A86" t="s">
        <v>1632</v>
      </c>
      <c r="B86">
        <v>23.738198918430708</v>
      </c>
      <c r="C86" t="s">
        <v>2047</v>
      </c>
      <c r="D86" t="s">
        <v>2032</v>
      </c>
    </row>
    <row r="87" spans="1:4" x14ac:dyDescent="0.3">
      <c r="A87" t="s">
        <v>1626</v>
      </c>
      <c r="B87">
        <v>18.058215830673674</v>
      </c>
      <c r="C87" t="s">
        <v>2047</v>
      </c>
      <c r="D87" t="s">
        <v>2032</v>
      </c>
    </row>
    <row r="88" spans="1:4" x14ac:dyDescent="0.3">
      <c r="A88" t="s">
        <v>1627</v>
      </c>
      <c r="B88">
        <v>5.9308426230761953</v>
      </c>
      <c r="C88" t="s">
        <v>2047</v>
      </c>
      <c r="D88" t="s">
        <v>2032</v>
      </c>
    </row>
    <row r="89" spans="1:4" x14ac:dyDescent="0.3">
      <c r="A89" t="s">
        <v>1625</v>
      </c>
      <c r="B89">
        <v>7.3358256797885601E-2</v>
      </c>
      <c r="C89" t="s">
        <v>2047</v>
      </c>
      <c r="D89" t="s">
        <v>2032</v>
      </c>
    </row>
    <row r="90" spans="1:4" x14ac:dyDescent="0.3">
      <c r="A90" t="s">
        <v>1623</v>
      </c>
      <c r="B90">
        <v>-0.32421779211704416</v>
      </c>
      <c r="C90" t="s">
        <v>2047</v>
      </c>
      <c r="D90" t="s">
        <v>2032</v>
      </c>
    </row>
    <row r="91" spans="1:4" x14ac:dyDescent="0.3">
      <c r="A91" t="s">
        <v>1633</v>
      </c>
      <c r="B91">
        <v>56.0397218505409</v>
      </c>
      <c r="C91" t="s">
        <v>2047</v>
      </c>
      <c r="D91" t="s">
        <v>2032</v>
      </c>
    </row>
    <row r="92" spans="1:4" x14ac:dyDescent="0.3">
      <c r="A92" t="s">
        <v>1628</v>
      </c>
      <c r="B92">
        <v>24.438456021113016</v>
      </c>
      <c r="C92" t="s">
        <v>2047</v>
      </c>
      <c r="D92" t="s">
        <v>2033</v>
      </c>
    </row>
    <row r="93" spans="1:4" x14ac:dyDescent="0.3">
      <c r="A93" t="s">
        <v>17</v>
      </c>
      <c r="B93">
        <v>18.474082805176593</v>
      </c>
      <c r="C93" t="s">
        <v>2047</v>
      </c>
      <c r="D93" t="s">
        <v>2033</v>
      </c>
    </row>
    <row r="94" spans="1:4" x14ac:dyDescent="0.3">
      <c r="A94" t="s">
        <v>209</v>
      </c>
      <c r="B94">
        <v>5.9237751521497408</v>
      </c>
      <c r="C94" t="s">
        <v>2047</v>
      </c>
      <c r="D94" t="s">
        <v>2033</v>
      </c>
    </row>
    <row r="95" spans="1:4" x14ac:dyDescent="0.3">
      <c r="A95" t="s">
        <v>446</v>
      </c>
      <c r="B95">
        <v>4.0598063786682376E-2</v>
      </c>
      <c r="C95" t="s">
        <v>2047</v>
      </c>
      <c r="D95" t="s">
        <v>2033</v>
      </c>
    </row>
    <row r="96" spans="1:4" x14ac:dyDescent="0.3">
      <c r="A96" t="s">
        <v>1632</v>
      </c>
      <c r="B96">
        <v>23.738198918430708</v>
      </c>
      <c r="C96" t="s">
        <v>2047</v>
      </c>
      <c r="D96" t="s">
        <v>2033</v>
      </c>
    </row>
    <row r="97" spans="1:4" x14ac:dyDescent="0.3">
      <c r="A97" t="s">
        <v>1626</v>
      </c>
      <c r="B97">
        <v>18.058215830673674</v>
      </c>
      <c r="C97" t="s">
        <v>2047</v>
      </c>
      <c r="D97" t="s">
        <v>2033</v>
      </c>
    </row>
    <row r="98" spans="1:4" x14ac:dyDescent="0.3">
      <c r="A98" t="s">
        <v>1627</v>
      </c>
      <c r="B98">
        <v>5.9308426230761953</v>
      </c>
      <c r="C98" t="s">
        <v>2047</v>
      </c>
      <c r="D98" t="s">
        <v>2033</v>
      </c>
    </row>
    <row r="99" spans="1:4" x14ac:dyDescent="0.3">
      <c r="A99" t="s">
        <v>1625</v>
      </c>
      <c r="B99">
        <v>7.3358256797885601E-2</v>
      </c>
      <c r="C99" t="s">
        <v>2047</v>
      </c>
      <c r="D99" t="s">
        <v>2033</v>
      </c>
    </row>
    <row r="100" spans="1:4" x14ac:dyDescent="0.3">
      <c r="A100" t="s">
        <v>1623</v>
      </c>
      <c r="B100">
        <v>-0.32421779211704416</v>
      </c>
      <c r="C100" t="s">
        <v>2047</v>
      </c>
      <c r="D100" t="s">
        <v>2033</v>
      </c>
    </row>
    <row r="101" spans="1:4" x14ac:dyDescent="0.3">
      <c r="A101" t="s">
        <v>1633</v>
      </c>
      <c r="B101">
        <v>48.176654939543724</v>
      </c>
      <c r="C101" t="s">
        <v>2047</v>
      </c>
      <c r="D101" t="s">
        <v>2033</v>
      </c>
    </row>
    <row r="102" spans="1:4" x14ac:dyDescent="0.3">
      <c r="A102" t="s">
        <v>1628</v>
      </c>
      <c r="B102">
        <v>32.301522932110188</v>
      </c>
      <c r="C102" t="s">
        <v>2047</v>
      </c>
      <c r="D102" t="s">
        <v>2274</v>
      </c>
    </row>
    <row r="103" spans="1:4" x14ac:dyDescent="0.3">
      <c r="A103" t="s">
        <v>17</v>
      </c>
      <c r="B103">
        <v>18.474082805176593</v>
      </c>
      <c r="C103" t="s">
        <v>2047</v>
      </c>
      <c r="D103" t="s">
        <v>2274</v>
      </c>
    </row>
    <row r="104" spans="1:4" x14ac:dyDescent="0.3">
      <c r="A104" t="s">
        <v>209</v>
      </c>
      <c r="B104">
        <v>13.786842063146915</v>
      </c>
      <c r="C104" t="s">
        <v>2047</v>
      </c>
      <c r="D104" t="s">
        <v>2274</v>
      </c>
    </row>
    <row r="105" spans="1:4" x14ac:dyDescent="0.3">
      <c r="A105" t="s">
        <v>446</v>
      </c>
      <c r="B105">
        <v>4.0598063786682376E-2</v>
      </c>
      <c r="C105" t="s">
        <v>2047</v>
      </c>
      <c r="D105" t="s">
        <v>2274</v>
      </c>
    </row>
    <row r="106" spans="1:4" x14ac:dyDescent="0.3">
      <c r="A106" t="s">
        <v>1632</v>
      </c>
      <c r="B106">
        <v>23.738198918430708</v>
      </c>
      <c r="C106" t="s">
        <v>2047</v>
      </c>
      <c r="D106" t="s">
        <v>2274</v>
      </c>
    </row>
    <row r="107" spans="1:4" x14ac:dyDescent="0.3">
      <c r="A107" t="s">
        <v>1626</v>
      </c>
      <c r="B107">
        <v>18.058215830673674</v>
      </c>
      <c r="C107" t="s">
        <v>2047</v>
      </c>
      <c r="D107" t="s">
        <v>2274</v>
      </c>
    </row>
    <row r="108" spans="1:4" x14ac:dyDescent="0.3">
      <c r="A108" t="s">
        <v>1627</v>
      </c>
      <c r="B108">
        <v>5.9308426230761953</v>
      </c>
      <c r="C108" t="s">
        <v>2047</v>
      </c>
      <c r="D108" t="s">
        <v>2274</v>
      </c>
    </row>
    <row r="109" spans="1:4" x14ac:dyDescent="0.3">
      <c r="A109" t="s">
        <v>1625</v>
      </c>
      <c r="B109">
        <v>7.3358256797885601E-2</v>
      </c>
      <c r="C109" t="s">
        <v>2047</v>
      </c>
      <c r="D109" t="s">
        <v>2274</v>
      </c>
    </row>
    <row r="110" spans="1:4" x14ac:dyDescent="0.3">
      <c r="A110" t="s">
        <v>1623</v>
      </c>
      <c r="B110">
        <v>-0.32421779211704416</v>
      </c>
      <c r="C110" t="s">
        <v>2047</v>
      </c>
      <c r="D110" t="s">
        <v>2274</v>
      </c>
    </row>
    <row r="111" spans="1:4" x14ac:dyDescent="0.3">
      <c r="A111" t="s">
        <v>1633</v>
      </c>
      <c r="B111">
        <v>56.0397218505409</v>
      </c>
      <c r="C111" t="s">
        <v>2047</v>
      </c>
      <c r="D111" t="s">
        <v>2274</v>
      </c>
    </row>
    <row r="112" spans="1:4" x14ac:dyDescent="0.3">
      <c r="A112" t="s">
        <v>1628</v>
      </c>
      <c r="B112">
        <v>32.301522932110188</v>
      </c>
      <c r="C112" t="s">
        <v>2047</v>
      </c>
      <c r="D112" t="s">
        <v>2275</v>
      </c>
    </row>
    <row r="113" spans="1:4" x14ac:dyDescent="0.3">
      <c r="A113" t="s">
        <v>17</v>
      </c>
      <c r="B113">
        <v>18.474082805176593</v>
      </c>
      <c r="C113" t="s">
        <v>2047</v>
      </c>
      <c r="D113" t="s">
        <v>2275</v>
      </c>
    </row>
    <row r="114" spans="1:4" x14ac:dyDescent="0.3">
      <c r="A114" t="s">
        <v>209</v>
      </c>
      <c r="B114">
        <v>13.786842063146915</v>
      </c>
      <c r="C114" t="s">
        <v>2047</v>
      </c>
      <c r="D114" t="s">
        <v>2275</v>
      </c>
    </row>
    <row r="115" spans="1:4" x14ac:dyDescent="0.3">
      <c r="A115" t="s">
        <v>446</v>
      </c>
      <c r="B115">
        <v>4.0598063786682376E-2</v>
      </c>
      <c r="C115" t="s">
        <v>2047</v>
      </c>
      <c r="D115" t="s">
        <v>2275</v>
      </c>
    </row>
    <row r="116" spans="1:4" x14ac:dyDescent="0.3">
      <c r="A116" t="s">
        <v>1632</v>
      </c>
      <c r="B116">
        <v>23.738198918430708</v>
      </c>
      <c r="C116" t="s">
        <v>2047</v>
      </c>
      <c r="D116" t="s">
        <v>2275</v>
      </c>
    </row>
    <row r="117" spans="1:4" x14ac:dyDescent="0.3">
      <c r="A117" t="s">
        <v>1626</v>
      </c>
      <c r="B117">
        <v>18.058215830673674</v>
      </c>
      <c r="C117" t="s">
        <v>2047</v>
      </c>
      <c r="D117" t="s">
        <v>2275</v>
      </c>
    </row>
    <row r="118" spans="1:4" x14ac:dyDescent="0.3">
      <c r="A118" t="s">
        <v>1627</v>
      </c>
      <c r="B118">
        <v>5.9308426230761953</v>
      </c>
      <c r="C118" t="s">
        <v>2047</v>
      </c>
      <c r="D118" t="s">
        <v>2275</v>
      </c>
    </row>
    <row r="119" spans="1:4" x14ac:dyDescent="0.3">
      <c r="A119" t="s">
        <v>1625</v>
      </c>
      <c r="B119">
        <v>7.3358256797885601E-2</v>
      </c>
      <c r="C119" t="s">
        <v>2047</v>
      </c>
      <c r="D119" t="s">
        <v>2275</v>
      </c>
    </row>
    <row r="120" spans="1:4" x14ac:dyDescent="0.3">
      <c r="A120" t="s">
        <v>1623</v>
      </c>
      <c r="B120">
        <v>-0.32421779211704416</v>
      </c>
      <c r="C120" t="s">
        <v>2047</v>
      </c>
      <c r="D120" t="s">
        <v>2275</v>
      </c>
    </row>
    <row r="121" spans="1:4" x14ac:dyDescent="0.3">
      <c r="A121" t="s">
        <v>1633</v>
      </c>
      <c r="B121">
        <v>56.0397218505409</v>
      </c>
      <c r="C121" t="s">
        <v>2047</v>
      </c>
      <c r="D121" t="s">
        <v>2275</v>
      </c>
    </row>
    <row r="122" spans="1:4" x14ac:dyDescent="0.3">
      <c r="A122" t="s">
        <v>1628</v>
      </c>
      <c r="B122">
        <v>32.709009451305164</v>
      </c>
      <c r="C122" t="s">
        <v>2047</v>
      </c>
      <c r="D122" t="s">
        <v>2166</v>
      </c>
    </row>
    <row r="123" spans="1:4" x14ac:dyDescent="0.3">
      <c r="A123" t="s">
        <v>17</v>
      </c>
      <c r="B123">
        <v>18.474082805176593</v>
      </c>
      <c r="C123" t="s">
        <v>2047</v>
      </c>
      <c r="D123" t="s">
        <v>2166</v>
      </c>
    </row>
    <row r="124" spans="1:4" x14ac:dyDescent="0.3">
      <c r="A124" t="s">
        <v>209</v>
      </c>
      <c r="B124">
        <v>14.194328582341887</v>
      </c>
      <c r="C124" t="s">
        <v>2047</v>
      </c>
      <c r="D124" t="s">
        <v>2166</v>
      </c>
    </row>
    <row r="125" spans="1:4" x14ac:dyDescent="0.3">
      <c r="A125" t="s">
        <v>446</v>
      </c>
      <c r="B125">
        <v>4.0598063786682376E-2</v>
      </c>
      <c r="C125" t="s">
        <v>2047</v>
      </c>
      <c r="D125" t="s">
        <v>2166</v>
      </c>
    </row>
    <row r="126" spans="1:4" x14ac:dyDescent="0.3">
      <c r="A126" t="s">
        <v>1632</v>
      </c>
      <c r="B126">
        <v>23.738198918430708</v>
      </c>
      <c r="C126" t="s">
        <v>2047</v>
      </c>
      <c r="D126" t="s">
        <v>2166</v>
      </c>
    </row>
    <row r="127" spans="1:4" x14ac:dyDescent="0.3">
      <c r="A127" t="s">
        <v>1626</v>
      </c>
      <c r="B127">
        <v>18.058215830673674</v>
      </c>
      <c r="C127" t="s">
        <v>2047</v>
      </c>
      <c r="D127" t="s">
        <v>2166</v>
      </c>
    </row>
    <row r="128" spans="1:4" x14ac:dyDescent="0.3">
      <c r="A128" t="s">
        <v>1627</v>
      </c>
      <c r="B128">
        <v>5.9308426230761953</v>
      </c>
      <c r="C128" t="s">
        <v>2047</v>
      </c>
      <c r="D128" t="s">
        <v>2166</v>
      </c>
    </row>
    <row r="129" spans="1:4" x14ac:dyDescent="0.3">
      <c r="A129" t="s">
        <v>1625</v>
      </c>
      <c r="B129">
        <v>7.3358256797885601E-2</v>
      </c>
      <c r="C129" t="s">
        <v>2047</v>
      </c>
      <c r="D129" t="s">
        <v>2166</v>
      </c>
    </row>
    <row r="130" spans="1:4" x14ac:dyDescent="0.3">
      <c r="A130" t="s">
        <v>1623</v>
      </c>
      <c r="B130">
        <v>-0.32421779211704416</v>
      </c>
      <c r="C130" t="s">
        <v>2047</v>
      </c>
      <c r="D130" t="s">
        <v>2166</v>
      </c>
    </row>
    <row r="131" spans="1:4" x14ac:dyDescent="0.3">
      <c r="A131" t="s">
        <v>1633</v>
      </c>
      <c r="B131">
        <v>56.447208369735876</v>
      </c>
      <c r="C131" t="s">
        <v>2047</v>
      </c>
      <c r="D131" t="s">
        <v>2166</v>
      </c>
    </row>
    <row r="132" spans="1:4" x14ac:dyDescent="0.3">
      <c r="A132" t="s">
        <v>1628</v>
      </c>
      <c r="B132">
        <v>31.979503611562585</v>
      </c>
      <c r="C132" t="s">
        <v>2047</v>
      </c>
      <c r="D132" t="s">
        <v>2167</v>
      </c>
    </row>
    <row r="133" spans="1:4" x14ac:dyDescent="0.3">
      <c r="A133" t="s">
        <v>17</v>
      </c>
      <c r="B133">
        <v>18.474082805176593</v>
      </c>
      <c r="C133" t="s">
        <v>2047</v>
      </c>
      <c r="D133" t="s">
        <v>2167</v>
      </c>
    </row>
    <row r="134" spans="1:4" x14ac:dyDescent="0.3">
      <c r="A134" t="s">
        <v>209</v>
      </c>
      <c r="B134">
        <v>13.464822742599312</v>
      </c>
      <c r="C134" t="s">
        <v>2047</v>
      </c>
      <c r="D134" t="s">
        <v>2167</v>
      </c>
    </row>
    <row r="135" spans="1:4" x14ac:dyDescent="0.3">
      <c r="A135" t="s">
        <v>446</v>
      </c>
      <c r="B135">
        <v>4.0598063786682376E-2</v>
      </c>
      <c r="C135" t="s">
        <v>2047</v>
      </c>
      <c r="D135" t="s">
        <v>2167</v>
      </c>
    </row>
    <row r="136" spans="1:4" x14ac:dyDescent="0.3">
      <c r="A136" t="s">
        <v>1632</v>
      </c>
      <c r="B136">
        <v>23.738198918430708</v>
      </c>
      <c r="C136" t="s">
        <v>2047</v>
      </c>
      <c r="D136" t="s">
        <v>2167</v>
      </c>
    </row>
    <row r="137" spans="1:4" x14ac:dyDescent="0.3">
      <c r="A137" t="s">
        <v>1626</v>
      </c>
      <c r="B137">
        <v>18.058215830673674</v>
      </c>
      <c r="C137" t="s">
        <v>2047</v>
      </c>
      <c r="D137" t="s">
        <v>2167</v>
      </c>
    </row>
    <row r="138" spans="1:4" x14ac:dyDescent="0.3">
      <c r="A138" t="s">
        <v>1627</v>
      </c>
      <c r="B138">
        <v>5.9308426230761953</v>
      </c>
      <c r="C138" t="s">
        <v>2047</v>
      </c>
      <c r="D138" t="s">
        <v>2167</v>
      </c>
    </row>
    <row r="139" spans="1:4" x14ac:dyDescent="0.3">
      <c r="A139" t="s">
        <v>1625</v>
      </c>
      <c r="B139">
        <v>7.3358256797885601E-2</v>
      </c>
      <c r="C139" t="s">
        <v>2047</v>
      </c>
      <c r="D139" t="s">
        <v>2167</v>
      </c>
    </row>
    <row r="140" spans="1:4" x14ac:dyDescent="0.3">
      <c r="A140" t="s">
        <v>1623</v>
      </c>
      <c r="B140">
        <v>-0.32421779211704416</v>
      </c>
      <c r="C140" t="s">
        <v>2047</v>
      </c>
      <c r="D140" t="s">
        <v>2167</v>
      </c>
    </row>
    <row r="141" spans="1:4" x14ac:dyDescent="0.3">
      <c r="A141" t="s">
        <v>1633</v>
      </c>
      <c r="B141">
        <v>55.717702529993289</v>
      </c>
      <c r="C141" t="s">
        <v>2047</v>
      </c>
      <c r="D141" t="s">
        <v>2167</v>
      </c>
    </row>
    <row r="142" spans="1:4" x14ac:dyDescent="0.3">
      <c r="A142" t="s">
        <v>1628</v>
      </c>
      <c r="B142">
        <v>32.287985754682332</v>
      </c>
      <c r="C142" t="s">
        <v>2047</v>
      </c>
      <c r="D142" t="s">
        <v>2168</v>
      </c>
    </row>
    <row r="143" spans="1:4" x14ac:dyDescent="0.3">
      <c r="A143" t="s">
        <v>17</v>
      </c>
      <c r="B143">
        <v>18.474082805176593</v>
      </c>
      <c r="C143" t="s">
        <v>2047</v>
      </c>
      <c r="D143" t="s">
        <v>2168</v>
      </c>
    </row>
    <row r="144" spans="1:4" x14ac:dyDescent="0.3">
      <c r="A144" t="s">
        <v>209</v>
      </c>
      <c r="B144">
        <v>13.773304885719057</v>
      </c>
      <c r="C144" t="s">
        <v>2047</v>
      </c>
      <c r="D144" t="s">
        <v>2168</v>
      </c>
    </row>
    <row r="145" spans="1:4" x14ac:dyDescent="0.3">
      <c r="A145" t="s">
        <v>446</v>
      </c>
      <c r="B145">
        <v>4.0598063786682376E-2</v>
      </c>
      <c r="C145" t="s">
        <v>2047</v>
      </c>
      <c r="D145" t="s">
        <v>2168</v>
      </c>
    </row>
    <row r="146" spans="1:4" x14ac:dyDescent="0.3">
      <c r="A146" t="s">
        <v>1632</v>
      </c>
      <c r="B146">
        <v>23.738198918430708</v>
      </c>
      <c r="C146" t="s">
        <v>2047</v>
      </c>
      <c r="D146" t="s">
        <v>2168</v>
      </c>
    </row>
    <row r="147" spans="1:4" x14ac:dyDescent="0.3">
      <c r="A147" t="s">
        <v>1626</v>
      </c>
      <c r="B147">
        <v>18.058215830673674</v>
      </c>
      <c r="C147" t="s">
        <v>2047</v>
      </c>
      <c r="D147" t="s">
        <v>2168</v>
      </c>
    </row>
    <row r="148" spans="1:4" x14ac:dyDescent="0.3">
      <c r="A148" t="s">
        <v>1627</v>
      </c>
      <c r="B148">
        <v>5.9308426230761953</v>
      </c>
      <c r="C148" t="s">
        <v>2047</v>
      </c>
      <c r="D148" t="s">
        <v>2168</v>
      </c>
    </row>
    <row r="149" spans="1:4" x14ac:dyDescent="0.3">
      <c r="A149" t="s">
        <v>1625</v>
      </c>
      <c r="B149">
        <v>7.3358256797885601E-2</v>
      </c>
      <c r="C149" t="s">
        <v>2047</v>
      </c>
      <c r="D149" t="s">
        <v>2168</v>
      </c>
    </row>
    <row r="150" spans="1:4" x14ac:dyDescent="0.3">
      <c r="A150" t="s">
        <v>1623</v>
      </c>
      <c r="B150">
        <v>-0.32421779211704416</v>
      </c>
      <c r="C150" t="s">
        <v>2047</v>
      </c>
      <c r="D150" t="s">
        <v>2168</v>
      </c>
    </row>
    <row r="151" spans="1:4" x14ac:dyDescent="0.3">
      <c r="A151" t="s">
        <v>1633</v>
      </c>
      <c r="B151">
        <v>56.026184673113036</v>
      </c>
      <c r="C151" t="s">
        <v>2047</v>
      </c>
      <c r="D151" t="s">
        <v>2168</v>
      </c>
    </row>
    <row r="152" spans="1:4" x14ac:dyDescent="0.3">
      <c r="A152" t="s">
        <v>1628</v>
      </c>
      <c r="B152">
        <v>31.985907977595723</v>
      </c>
      <c r="C152" t="s">
        <v>2047</v>
      </c>
      <c r="D152" t="s">
        <v>2169</v>
      </c>
    </row>
    <row r="153" spans="1:4" x14ac:dyDescent="0.3">
      <c r="A153" t="s">
        <v>17</v>
      </c>
      <c r="B153">
        <v>18.474082805176593</v>
      </c>
      <c r="C153" t="s">
        <v>2047</v>
      </c>
      <c r="D153" t="s">
        <v>2169</v>
      </c>
    </row>
    <row r="154" spans="1:4" x14ac:dyDescent="0.3">
      <c r="A154" t="s">
        <v>209</v>
      </c>
      <c r="B154">
        <v>13.471227108632446</v>
      </c>
      <c r="C154" t="s">
        <v>2047</v>
      </c>
      <c r="D154" t="s">
        <v>2169</v>
      </c>
    </row>
    <row r="155" spans="1:4" x14ac:dyDescent="0.3">
      <c r="A155" t="s">
        <v>446</v>
      </c>
      <c r="B155">
        <v>4.0598063786682376E-2</v>
      </c>
      <c r="C155" t="s">
        <v>2047</v>
      </c>
      <c r="D155" t="s">
        <v>2169</v>
      </c>
    </row>
    <row r="156" spans="1:4" x14ac:dyDescent="0.3">
      <c r="A156" t="s">
        <v>1632</v>
      </c>
      <c r="B156">
        <v>23.738198918430708</v>
      </c>
      <c r="C156" t="s">
        <v>2047</v>
      </c>
      <c r="D156" t="s">
        <v>2169</v>
      </c>
    </row>
    <row r="157" spans="1:4" x14ac:dyDescent="0.3">
      <c r="A157" t="s">
        <v>1626</v>
      </c>
      <c r="B157">
        <v>18.058215830673674</v>
      </c>
      <c r="C157" t="s">
        <v>2047</v>
      </c>
      <c r="D157" t="s">
        <v>2169</v>
      </c>
    </row>
    <row r="158" spans="1:4" x14ac:dyDescent="0.3">
      <c r="A158" t="s">
        <v>1627</v>
      </c>
      <c r="B158">
        <v>5.9308426230761953</v>
      </c>
      <c r="C158" t="s">
        <v>2047</v>
      </c>
      <c r="D158" t="s">
        <v>2169</v>
      </c>
    </row>
    <row r="159" spans="1:4" x14ac:dyDescent="0.3">
      <c r="A159" t="s">
        <v>1625</v>
      </c>
      <c r="B159">
        <v>7.3358256797885601E-2</v>
      </c>
      <c r="C159" t="s">
        <v>2047</v>
      </c>
      <c r="D159" t="s">
        <v>2169</v>
      </c>
    </row>
    <row r="160" spans="1:4" x14ac:dyDescent="0.3">
      <c r="A160" t="s">
        <v>1623</v>
      </c>
      <c r="B160">
        <v>-0.32421779211704416</v>
      </c>
      <c r="C160" t="s">
        <v>2047</v>
      </c>
      <c r="D160" t="s">
        <v>2169</v>
      </c>
    </row>
    <row r="161" spans="1:4" x14ac:dyDescent="0.3">
      <c r="A161" t="s">
        <v>1633</v>
      </c>
      <c r="B161">
        <v>55.724106896026427</v>
      </c>
      <c r="C161" t="s">
        <v>2047</v>
      </c>
      <c r="D161" t="s">
        <v>2169</v>
      </c>
    </row>
    <row r="162" spans="1:4" x14ac:dyDescent="0.3">
      <c r="A162" t="s">
        <v>1628</v>
      </c>
      <c r="B162">
        <v>32.334220132519171</v>
      </c>
      <c r="C162" t="s">
        <v>2047</v>
      </c>
      <c r="D162" t="s">
        <v>2170</v>
      </c>
    </row>
    <row r="163" spans="1:4" x14ac:dyDescent="0.3">
      <c r="A163" t="s">
        <v>17</v>
      </c>
      <c r="B163">
        <v>18.474082805176593</v>
      </c>
      <c r="C163" t="s">
        <v>2047</v>
      </c>
      <c r="D163" t="s">
        <v>2170</v>
      </c>
    </row>
    <row r="164" spans="1:4" x14ac:dyDescent="0.3">
      <c r="A164" t="s">
        <v>209</v>
      </c>
      <c r="B164">
        <v>13.819539263555892</v>
      </c>
      <c r="C164" t="s">
        <v>2047</v>
      </c>
      <c r="D164" t="s">
        <v>2170</v>
      </c>
    </row>
    <row r="165" spans="1:4" x14ac:dyDescent="0.3">
      <c r="A165" t="s">
        <v>446</v>
      </c>
      <c r="B165">
        <v>4.0598063786682376E-2</v>
      </c>
      <c r="C165" t="s">
        <v>2047</v>
      </c>
      <c r="D165" t="s">
        <v>2170</v>
      </c>
    </row>
    <row r="166" spans="1:4" x14ac:dyDescent="0.3">
      <c r="A166" t="s">
        <v>1632</v>
      </c>
      <c r="B166">
        <v>23.738198918430708</v>
      </c>
      <c r="C166" t="s">
        <v>2047</v>
      </c>
      <c r="D166" t="s">
        <v>2170</v>
      </c>
    </row>
    <row r="167" spans="1:4" x14ac:dyDescent="0.3">
      <c r="A167" t="s">
        <v>1626</v>
      </c>
      <c r="B167">
        <v>18.058215830673674</v>
      </c>
      <c r="C167" t="s">
        <v>2047</v>
      </c>
      <c r="D167" t="s">
        <v>2170</v>
      </c>
    </row>
    <row r="168" spans="1:4" x14ac:dyDescent="0.3">
      <c r="A168" t="s">
        <v>1627</v>
      </c>
      <c r="B168">
        <v>5.9308426230761953</v>
      </c>
      <c r="C168" t="s">
        <v>2047</v>
      </c>
      <c r="D168" t="s">
        <v>2170</v>
      </c>
    </row>
    <row r="169" spans="1:4" x14ac:dyDescent="0.3">
      <c r="A169" t="s">
        <v>1625</v>
      </c>
      <c r="B169">
        <v>7.3358256797885601E-2</v>
      </c>
      <c r="C169" t="s">
        <v>2047</v>
      </c>
      <c r="D169" t="s">
        <v>2170</v>
      </c>
    </row>
    <row r="170" spans="1:4" x14ac:dyDescent="0.3">
      <c r="A170" t="s">
        <v>1623</v>
      </c>
      <c r="B170">
        <v>-0.32421779211704416</v>
      </c>
      <c r="C170" t="s">
        <v>2047</v>
      </c>
      <c r="D170" t="s">
        <v>2170</v>
      </c>
    </row>
    <row r="171" spans="1:4" x14ac:dyDescent="0.3">
      <c r="A171" t="s">
        <v>1633</v>
      </c>
      <c r="B171">
        <v>56.072419050949875</v>
      </c>
      <c r="C171" t="s">
        <v>2047</v>
      </c>
      <c r="D171" t="s">
        <v>2170</v>
      </c>
    </row>
    <row r="172" spans="1:4" x14ac:dyDescent="0.3">
      <c r="A172" t="s">
        <v>1628</v>
      </c>
      <c r="B172">
        <v>32.443875194667527</v>
      </c>
      <c r="C172" t="s">
        <v>2047</v>
      </c>
      <c r="D172" t="s">
        <v>2171</v>
      </c>
    </row>
    <row r="173" spans="1:4" x14ac:dyDescent="0.3">
      <c r="A173" t="s">
        <v>17</v>
      </c>
      <c r="B173">
        <v>18.474082805176593</v>
      </c>
      <c r="C173" t="s">
        <v>2047</v>
      </c>
      <c r="D173" t="s">
        <v>2171</v>
      </c>
    </row>
    <row r="174" spans="1:4" x14ac:dyDescent="0.3">
      <c r="A174" t="s">
        <v>209</v>
      </c>
      <c r="B174">
        <v>13.92919432570425</v>
      </c>
      <c r="C174" t="s">
        <v>2047</v>
      </c>
      <c r="D174" t="s">
        <v>2171</v>
      </c>
    </row>
    <row r="175" spans="1:4" x14ac:dyDescent="0.3">
      <c r="A175" t="s">
        <v>446</v>
      </c>
      <c r="B175">
        <v>4.0598063786682376E-2</v>
      </c>
      <c r="C175" t="s">
        <v>2047</v>
      </c>
      <c r="D175" t="s">
        <v>2171</v>
      </c>
    </row>
    <row r="176" spans="1:4" x14ac:dyDescent="0.3">
      <c r="A176" t="s">
        <v>1632</v>
      </c>
      <c r="B176">
        <v>23.738198918430708</v>
      </c>
      <c r="C176" t="s">
        <v>2047</v>
      </c>
      <c r="D176" t="s">
        <v>2171</v>
      </c>
    </row>
    <row r="177" spans="1:4" x14ac:dyDescent="0.3">
      <c r="A177" t="s">
        <v>1626</v>
      </c>
      <c r="B177">
        <v>18.058215830673674</v>
      </c>
      <c r="C177" t="s">
        <v>2047</v>
      </c>
      <c r="D177" t="s">
        <v>2171</v>
      </c>
    </row>
    <row r="178" spans="1:4" x14ac:dyDescent="0.3">
      <c r="A178" t="s">
        <v>1627</v>
      </c>
      <c r="B178">
        <v>5.9308426230761953</v>
      </c>
      <c r="C178" t="s">
        <v>2047</v>
      </c>
      <c r="D178" t="s">
        <v>2171</v>
      </c>
    </row>
    <row r="179" spans="1:4" x14ac:dyDescent="0.3">
      <c r="A179" t="s">
        <v>1625</v>
      </c>
      <c r="B179">
        <v>7.3358256797885601E-2</v>
      </c>
      <c r="C179" t="s">
        <v>2047</v>
      </c>
      <c r="D179" t="s">
        <v>2171</v>
      </c>
    </row>
    <row r="180" spans="1:4" x14ac:dyDescent="0.3">
      <c r="A180" t="s">
        <v>1623</v>
      </c>
      <c r="B180">
        <v>-0.32421779211704416</v>
      </c>
      <c r="C180" t="s">
        <v>2047</v>
      </c>
      <c r="D180" t="s">
        <v>2171</v>
      </c>
    </row>
    <row r="181" spans="1:4" x14ac:dyDescent="0.3">
      <c r="A181" t="s">
        <v>1633</v>
      </c>
      <c r="B181">
        <v>56.182074113098238</v>
      </c>
      <c r="C181" t="s">
        <v>2047</v>
      </c>
      <c r="D181" t="s">
        <v>2171</v>
      </c>
    </row>
    <row r="182" spans="1:4" x14ac:dyDescent="0.3">
      <c r="A182" t="s">
        <v>1628</v>
      </c>
      <c r="B182">
        <v>32.992926542756251</v>
      </c>
      <c r="C182" t="s">
        <v>2047</v>
      </c>
      <c r="D182" t="s">
        <v>2172</v>
      </c>
    </row>
    <row r="183" spans="1:4" x14ac:dyDescent="0.3">
      <c r="A183" t="s">
        <v>17</v>
      </c>
      <c r="B183">
        <v>18.474082805176593</v>
      </c>
      <c r="C183" t="s">
        <v>2047</v>
      </c>
      <c r="D183" t="s">
        <v>2172</v>
      </c>
    </row>
    <row r="184" spans="1:4" x14ac:dyDescent="0.3">
      <c r="A184" t="s">
        <v>209</v>
      </c>
      <c r="B184">
        <v>14.478245673792975</v>
      </c>
      <c r="C184" t="s">
        <v>2047</v>
      </c>
      <c r="D184" t="s">
        <v>2172</v>
      </c>
    </row>
    <row r="185" spans="1:4" x14ac:dyDescent="0.3">
      <c r="A185" t="s">
        <v>446</v>
      </c>
      <c r="B185">
        <v>4.0598063786682376E-2</v>
      </c>
      <c r="C185" t="s">
        <v>2047</v>
      </c>
      <c r="D185" t="s">
        <v>2172</v>
      </c>
    </row>
    <row r="186" spans="1:4" x14ac:dyDescent="0.3">
      <c r="A186" t="s">
        <v>1632</v>
      </c>
      <c r="B186">
        <v>23.738198918430708</v>
      </c>
      <c r="C186" t="s">
        <v>2047</v>
      </c>
      <c r="D186" t="s">
        <v>2172</v>
      </c>
    </row>
    <row r="187" spans="1:4" x14ac:dyDescent="0.3">
      <c r="A187" t="s">
        <v>1626</v>
      </c>
      <c r="B187">
        <v>18.058215830673674</v>
      </c>
      <c r="C187" t="s">
        <v>2047</v>
      </c>
      <c r="D187" t="s">
        <v>2172</v>
      </c>
    </row>
    <row r="188" spans="1:4" x14ac:dyDescent="0.3">
      <c r="A188" t="s">
        <v>1627</v>
      </c>
      <c r="B188">
        <v>5.9308426230761953</v>
      </c>
      <c r="C188" t="s">
        <v>2047</v>
      </c>
      <c r="D188" t="s">
        <v>2172</v>
      </c>
    </row>
    <row r="189" spans="1:4" x14ac:dyDescent="0.3">
      <c r="A189" t="s">
        <v>1625</v>
      </c>
      <c r="B189">
        <v>7.3358256797885601E-2</v>
      </c>
      <c r="C189" t="s">
        <v>2047</v>
      </c>
      <c r="D189" t="s">
        <v>2172</v>
      </c>
    </row>
    <row r="190" spans="1:4" x14ac:dyDescent="0.3">
      <c r="A190" t="s">
        <v>1623</v>
      </c>
      <c r="B190">
        <v>-0.32421779211704416</v>
      </c>
      <c r="C190" t="s">
        <v>2047</v>
      </c>
      <c r="D190" t="s">
        <v>2172</v>
      </c>
    </row>
    <row r="191" spans="1:4" x14ac:dyDescent="0.3">
      <c r="A191" t="s">
        <v>1633</v>
      </c>
      <c r="B191">
        <v>56.731125461186963</v>
      </c>
      <c r="C191" t="s">
        <v>2047</v>
      </c>
      <c r="D191" t="s">
        <v>2172</v>
      </c>
    </row>
    <row r="192" spans="1:4" x14ac:dyDescent="0.3">
      <c r="A192" t="s">
        <v>1628</v>
      </c>
      <c r="B192">
        <v>33.616598417604344</v>
      </c>
      <c r="C192" t="s">
        <v>2047</v>
      </c>
      <c r="D192" t="s">
        <v>2173</v>
      </c>
    </row>
    <row r="193" spans="1:4" x14ac:dyDescent="0.3">
      <c r="A193" t="s">
        <v>17</v>
      </c>
      <c r="B193">
        <v>18.474082805176593</v>
      </c>
      <c r="C193" t="s">
        <v>2047</v>
      </c>
      <c r="D193" t="s">
        <v>2173</v>
      </c>
    </row>
    <row r="194" spans="1:4" x14ac:dyDescent="0.3">
      <c r="A194" t="s">
        <v>209</v>
      </c>
      <c r="B194">
        <v>15.101917548641067</v>
      </c>
      <c r="C194" t="s">
        <v>2047</v>
      </c>
      <c r="D194" t="s">
        <v>2173</v>
      </c>
    </row>
    <row r="195" spans="1:4" x14ac:dyDescent="0.3">
      <c r="A195" t="s">
        <v>446</v>
      </c>
      <c r="B195">
        <v>4.0598063786682376E-2</v>
      </c>
      <c r="C195" t="s">
        <v>2047</v>
      </c>
      <c r="D195" t="s">
        <v>2173</v>
      </c>
    </row>
    <row r="196" spans="1:4" x14ac:dyDescent="0.3">
      <c r="A196" t="s">
        <v>1632</v>
      </c>
      <c r="B196">
        <v>23.738198918430708</v>
      </c>
      <c r="C196" t="s">
        <v>2047</v>
      </c>
      <c r="D196" t="s">
        <v>2173</v>
      </c>
    </row>
    <row r="197" spans="1:4" x14ac:dyDescent="0.3">
      <c r="A197" t="s">
        <v>1626</v>
      </c>
      <c r="B197">
        <v>18.058215830673674</v>
      </c>
      <c r="C197" t="s">
        <v>2047</v>
      </c>
      <c r="D197" t="s">
        <v>2173</v>
      </c>
    </row>
    <row r="198" spans="1:4" x14ac:dyDescent="0.3">
      <c r="A198" t="s">
        <v>1627</v>
      </c>
      <c r="B198">
        <v>5.9308426230761953</v>
      </c>
      <c r="C198" t="s">
        <v>2047</v>
      </c>
      <c r="D198" t="s">
        <v>2173</v>
      </c>
    </row>
    <row r="199" spans="1:4" x14ac:dyDescent="0.3">
      <c r="A199" t="s">
        <v>1625</v>
      </c>
      <c r="B199">
        <v>7.3358256797885601E-2</v>
      </c>
      <c r="C199" t="s">
        <v>2047</v>
      </c>
      <c r="D199" t="s">
        <v>2173</v>
      </c>
    </row>
    <row r="200" spans="1:4" x14ac:dyDescent="0.3">
      <c r="A200" t="s">
        <v>1623</v>
      </c>
      <c r="B200">
        <v>-0.32421779211704416</v>
      </c>
      <c r="C200" t="s">
        <v>2047</v>
      </c>
      <c r="D200" t="s">
        <v>2173</v>
      </c>
    </row>
    <row r="201" spans="1:4" x14ac:dyDescent="0.3">
      <c r="A201" t="s">
        <v>1633</v>
      </c>
      <c r="B201">
        <v>57.354797336035048</v>
      </c>
      <c r="C201" t="s">
        <v>2047</v>
      </c>
      <c r="D201" t="s">
        <v>2173</v>
      </c>
    </row>
    <row r="202" spans="1:4" x14ac:dyDescent="0.3">
      <c r="A202" t="s">
        <v>1628</v>
      </c>
      <c r="B202">
        <v>33.176104085245278</v>
      </c>
      <c r="C202" t="s">
        <v>2047</v>
      </c>
      <c r="D202" t="s">
        <v>2174</v>
      </c>
    </row>
    <row r="203" spans="1:4" x14ac:dyDescent="0.3">
      <c r="A203" t="s">
        <v>17</v>
      </c>
      <c r="B203">
        <v>18.474082805176593</v>
      </c>
      <c r="C203" t="s">
        <v>2047</v>
      </c>
      <c r="D203" t="s">
        <v>2174</v>
      </c>
    </row>
    <row r="204" spans="1:4" x14ac:dyDescent="0.3">
      <c r="A204" t="s">
        <v>209</v>
      </c>
      <c r="B204">
        <v>14.661423216282</v>
      </c>
      <c r="C204" t="s">
        <v>2047</v>
      </c>
      <c r="D204" t="s">
        <v>2174</v>
      </c>
    </row>
    <row r="205" spans="1:4" x14ac:dyDescent="0.3">
      <c r="A205" t="s">
        <v>446</v>
      </c>
      <c r="B205">
        <v>4.0598063786682376E-2</v>
      </c>
      <c r="C205" t="s">
        <v>2047</v>
      </c>
      <c r="D205" t="s">
        <v>2174</v>
      </c>
    </row>
    <row r="206" spans="1:4" x14ac:dyDescent="0.3">
      <c r="A206" t="s">
        <v>1632</v>
      </c>
      <c r="B206">
        <v>23.738198918430708</v>
      </c>
      <c r="C206" t="s">
        <v>2047</v>
      </c>
      <c r="D206" t="s">
        <v>2174</v>
      </c>
    </row>
    <row r="207" spans="1:4" x14ac:dyDescent="0.3">
      <c r="A207" t="s">
        <v>1626</v>
      </c>
      <c r="B207">
        <v>18.058215830673674</v>
      </c>
      <c r="C207" t="s">
        <v>2047</v>
      </c>
      <c r="D207" t="s">
        <v>2174</v>
      </c>
    </row>
    <row r="208" spans="1:4" x14ac:dyDescent="0.3">
      <c r="A208" t="s">
        <v>1627</v>
      </c>
      <c r="B208">
        <v>5.9308426230761953</v>
      </c>
      <c r="C208" t="s">
        <v>2047</v>
      </c>
      <c r="D208" t="s">
        <v>2174</v>
      </c>
    </row>
    <row r="209" spans="1:4" x14ac:dyDescent="0.3">
      <c r="A209" t="s">
        <v>1625</v>
      </c>
      <c r="B209">
        <v>7.3358256797885601E-2</v>
      </c>
      <c r="C209" t="s">
        <v>2047</v>
      </c>
      <c r="D209" t="s">
        <v>2174</v>
      </c>
    </row>
    <row r="210" spans="1:4" x14ac:dyDescent="0.3">
      <c r="A210" t="s">
        <v>1623</v>
      </c>
      <c r="B210">
        <v>-0.32421779211704416</v>
      </c>
      <c r="C210" t="s">
        <v>2047</v>
      </c>
      <c r="D210" t="s">
        <v>2174</v>
      </c>
    </row>
    <row r="211" spans="1:4" x14ac:dyDescent="0.3">
      <c r="A211" t="s">
        <v>1633</v>
      </c>
      <c r="B211">
        <v>56.914303003675982</v>
      </c>
      <c r="C211" t="s">
        <v>2047</v>
      </c>
      <c r="D211" t="s">
        <v>2174</v>
      </c>
    </row>
    <row r="212" spans="1:4" x14ac:dyDescent="0.3">
      <c r="A212" t="s">
        <v>1628</v>
      </c>
      <c r="B212">
        <v>32.457407932956656</v>
      </c>
      <c r="C212" t="s">
        <v>2047</v>
      </c>
      <c r="D212" t="s">
        <v>2175</v>
      </c>
    </row>
    <row r="213" spans="1:4" x14ac:dyDescent="0.3">
      <c r="A213" t="s">
        <v>17</v>
      </c>
      <c r="B213">
        <v>18.474082805176593</v>
      </c>
      <c r="C213" t="s">
        <v>2047</v>
      </c>
      <c r="D213" t="s">
        <v>2175</v>
      </c>
    </row>
    <row r="214" spans="1:4" x14ac:dyDescent="0.3">
      <c r="A214" t="s">
        <v>209</v>
      </c>
      <c r="B214">
        <v>13.942727063993381</v>
      </c>
      <c r="C214" t="s">
        <v>2047</v>
      </c>
      <c r="D214" t="s">
        <v>2175</v>
      </c>
    </row>
    <row r="215" spans="1:4" x14ac:dyDescent="0.3">
      <c r="A215" t="s">
        <v>446</v>
      </c>
      <c r="B215">
        <v>4.0598063786682376E-2</v>
      </c>
      <c r="C215" t="s">
        <v>2047</v>
      </c>
      <c r="D215" t="s">
        <v>2175</v>
      </c>
    </row>
    <row r="216" spans="1:4" x14ac:dyDescent="0.3">
      <c r="A216" t="s">
        <v>1632</v>
      </c>
      <c r="B216">
        <v>23.738198918430708</v>
      </c>
      <c r="C216" t="s">
        <v>2047</v>
      </c>
      <c r="D216" t="s">
        <v>2175</v>
      </c>
    </row>
    <row r="217" spans="1:4" x14ac:dyDescent="0.3">
      <c r="A217" t="s">
        <v>1626</v>
      </c>
      <c r="B217">
        <v>18.058215830673674</v>
      </c>
      <c r="C217" t="s">
        <v>2047</v>
      </c>
      <c r="D217" t="s">
        <v>2175</v>
      </c>
    </row>
    <row r="218" spans="1:4" x14ac:dyDescent="0.3">
      <c r="A218" t="s">
        <v>1627</v>
      </c>
      <c r="B218">
        <v>5.9308426230761953</v>
      </c>
      <c r="C218" t="s">
        <v>2047</v>
      </c>
      <c r="D218" t="s">
        <v>2175</v>
      </c>
    </row>
    <row r="219" spans="1:4" x14ac:dyDescent="0.3">
      <c r="A219" t="s">
        <v>1625</v>
      </c>
      <c r="B219">
        <v>7.3358256797885601E-2</v>
      </c>
      <c r="C219" t="s">
        <v>2047</v>
      </c>
      <c r="D219" t="s">
        <v>2175</v>
      </c>
    </row>
    <row r="220" spans="1:4" x14ac:dyDescent="0.3">
      <c r="A220" t="s">
        <v>1623</v>
      </c>
      <c r="B220">
        <v>-0.32421779211704416</v>
      </c>
      <c r="C220" t="s">
        <v>2047</v>
      </c>
      <c r="D220" t="s">
        <v>2175</v>
      </c>
    </row>
    <row r="221" spans="1:4" x14ac:dyDescent="0.3">
      <c r="A221" t="s">
        <v>1633</v>
      </c>
      <c r="B221">
        <v>56.195606851387367</v>
      </c>
      <c r="C221" t="s">
        <v>2047</v>
      </c>
      <c r="D221" t="s">
        <v>2175</v>
      </c>
    </row>
    <row r="222" spans="1:4" x14ac:dyDescent="0.3">
      <c r="A222" t="s">
        <v>1628</v>
      </c>
      <c r="B222">
        <v>32.01213832132737</v>
      </c>
      <c r="C222" t="s">
        <v>2047</v>
      </c>
      <c r="D222" t="s">
        <v>2176</v>
      </c>
    </row>
    <row r="223" spans="1:4" x14ac:dyDescent="0.3">
      <c r="A223" t="s">
        <v>17</v>
      </c>
      <c r="B223">
        <v>18.474082805176593</v>
      </c>
      <c r="C223" t="s">
        <v>2047</v>
      </c>
      <c r="D223" t="s">
        <v>2176</v>
      </c>
    </row>
    <row r="224" spans="1:4" x14ac:dyDescent="0.3">
      <c r="A224" t="s">
        <v>209</v>
      </c>
      <c r="B224">
        <v>13.497457452364094</v>
      </c>
      <c r="C224" t="s">
        <v>2047</v>
      </c>
      <c r="D224" t="s">
        <v>2176</v>
      </c>
    </row>
    <row r="225" spans="1:4" x14ac:dyDescent="0.3">
      <c r="A225" t="s">
        <v>446</v>
      </c>
      <c r="B225">
        <v>4.0598063786682376E-2</v>
      </c>
      <c r="C225" t="s">
        <v>2047</v>
      </c>
      <c r="D225" t="s">
        <v>2176</v>
      </c>
    </row>
    <row r="226" spans="1:4" x14ac:dyDescent="0.3">
      <c r="A226" t="s">
        <v>1632</v>
      </c>
      <c r="B226">
        <v>23.738198918430708</v>
      </c>
      <c r="C226" t="s">
        <v>2047</v>
      </c>
      <c r="D226" t="s">
        <v>2176</v>
      </c>
    </row>
    <row r="227" spans="1:4" x14ac:dyDescent="0.3">
      <c r="A227" t="s">
        <v>1626</v>
      </c>
      <c r="B227">
        <v>18.058215830673674</v>
      </c>
      <c r="C227" t="s">
        <v>2047</v>
      </c>
      <c r="D227" t="s">
        <v>2176</v>
      </c>
    </row>
    <row r="228" spans="1:4" x14ac:dyDescent="0.3">
      <c r="A228" t="s">
        <v>1627</v>
      </c>
      <c r="B228">
        <v>5.9308426230761953</v>
      </c>
      <c r="C228" t="s">
        <v>2047</v>
      </c>
      <c r="D228" t="s">
        <v>2176</v>
      </c>
    </row>
    <row r="229" spans="1:4" x14ac:dyDescent="0.3">
      <c r="A229" t="s">
        <v>1625</v>
      </c>
      <c r="B229">
        <v>7.3358256797885601E-2</v>
      </c>
      <c r="C229" t="s">
        <v>2047</v>
      </c>
      <c r="D229" t="s">
        <v>2176</v>
      </c>
    </row>
    <row r="230" spans="1:4" x14ac:dyDescent="0.3">
      <c r="A230" t="s">
        <v>1623</v>
      </c>
      <c r="B230">
        <v>-0.32421779211704416</v>
      </c>
      <c r="C230" t="s">
        <v>2047</v>
      </c>
      <c r="D230" t="s">
        <v>2176</v>
      </c>
    </row>
    <row r="231" spans="1:4" x14ac:dyDescent="0.3">
      <c r="A231" t="s">
        <v>1633</v>
      </c>
      <c r="B231">
        <v>55.750337239758082</v>
      </c>
      <c r="C231" t="s">
        <v>2047</v>
      </c>
      <c r="D231" t="s">
        <v>2176</v>
      </c>
    </row>
    <row r="232" spans="1:4" x14ac:dyDescent="0.3">
      <c r="A232" t="s">
        <v>1628</v>
      </c>
      <c r="B232">
        <v>32.031774173620711</v>
      </c>
      <c r="C232" t="s">
        <v>2047</v>
      </c>
      <c r="D232" t="s">
        <v>2177</v>
      </c>
    </row>
    <row r="233" spans="1:4" x14ac:dyDescent="0.3">
      <c r="A233" t="s">
        <v>17</v>
      </c>
      <c r="B233">
        <v>18.474082805176593</v>
      </c>
      <c r="C233" t="s">
        <v>2047</v>
      </c>
      <c r="D233" t="s">
        <v>2177</v>
      </c>
    </row>
    <row r="234" spans="1:4" x14ac:dyDescent="0.3">
      <c r="A234" t="s">
        <v>209</v>
      </c>
      <c r="B234">
        <v>13.517093304657433</v>
      </c>
      <c r="C234" t="s">
        <v>2047</v>
      </c>
      <c r="D234" t="s">
        <v>2177</v>
      </c>
    </row>
    <row r="235" spans="1:4" x14ac:dyDescent="0.3">
      <c r="A235" t="s">
        <v>446</v>
      </c>
      <c r="B235">
        <v>4.0598063786682376E-2</v>
      </c>
      <c r="C235" t="s">
        <v>2047</v>
      </c>
      <c r="D235" t="s">
        <v>2177</v>
      </c>
    </row>
    <row r="236" spans="1:4" x14ac:dyDescent="0.3">
      <c r="A236" t="s">
        <v>1632</v>
      </c>
      <c r="B236">
        <v>23.738198918430708</v>
      </c>
      <c r="C236" t="s">
        <v>2047</v>
      </c>
      <c r="D236" t="s">
        <v>2177</v>
      </c>
    </row>
    <row r="237" spans="1:4" x14ac:dyDescent="0.3">
      <c r="A237" t="s">
        <v>1626</v>
      </c>
      <c r="B237">
        <v>18.058215830673674</v>
      </c>
      <c r="C237" t="s">
        <v>2047</v>
      </c>
      <c r="D237" t="s">
        <v>2177</v>
      </c>
    </row>
    <row r="238" spans="1:4" x14ac:dyDescent="0.3">
      <c r="A238" t="s">
        <v>1627</v>
      </c>
      <c r="B238">
        <v>5.9308426230761953</v>
      </c>
      <c r="C238" t="s">
        <v>2047</v>
      </c>
      <c r="D238" t="s">
        <v>2177</v>
      </c>
    </row>
    <row r="239" spans="1:4" x14ac:dyDescent="0.3">
      <c r="A239" t="s">
        <v>1625</v>
      </c>
      <c r="B239">
        <v>7.3358256797885601E-2</v>
      </c>
      <c r="C239" t="s">
        <v>2047</v>
      </c>
      <c r="D239" t="s">
        <v>2177</v>
      </c>
    </row>
    <row r="240" spans="1:4" x14ac:dyDescent="0.3">
      <c r="A240" t="s">
        <v>1623</v>
      </c>
      <c r="B240">
        <v>-0.32421779211704416</v>
      </c>
      <c r="C240" t="s">
        <v>2047</v>
      </c>
      <c r="D240" t="s">
        <v>2177</v>
      </c>
    </row>
    <row r="241" spans="1:4" x14ac:dyDescent="0.3">
      <c r="A241" t="s">
        <v>1633</v>
      </c>
      <c r="B241">
        <v>55.769973092051416</v>
      </c>
      <c r="C241" t="s">
        <v>2047</v>
      </c>
      <c r="D241" t="s">
        <v>2177</v>
      </c>
    </row>
    <row r="242" spans="1:4" x14ac:dyDescent="0.3">
      <c r="A242" t="s">
        <v>1628</v>
      </c>
      <c r="B242">
        <v>32.430299715268269</v>
      </c>
      <c r="C242" t="s">
        <v>2047</v>
      </c>
      <c r="D242" t="s">
        <v>2178</v>
      </c>
    </row>
    <row r="243" spans="1:4" x14ac:dyDescent="0.3">
      <c r="A243" t="s">
        <v>17</v>
      </c>
      <c r="B243">
        <v>18.474082805176593</v>
      </c>
      <c r="C243" t="s">
        <v>2047</v>
      </c>
      <c r="D243" t="s">
        <v>2178</v>
      </c>
    </row>
    <row r="244" spans="1:4" x14ac:dyDescent="0.3">
      <c r="A244" t="s">
        <v>209</v>
      </c>
      <c r="B244">
        <v>13.915618846304994</v>
      </c>
      <c r="C244" t="s">
        <v>2047</v>
      </c>
      <c r="D244" t="s">
        <v>2178</v>
      </c>
    </row>
    <row r="245" spans="1:4" x14ac:dyDescent="0.3">
      <c r="A245" t="s">
        <v>446</v>
      </c>
      <c r="B245">
        <v>4.0598063786682376E-2</v>
      </c>
      <c r="C245" t="s">
        <v>2047</v>
      </c>
      <c r="D245" t="s">
        <v>2178</v>
      </c>
    </row>
    <row r="246" spans="1:4" x14ac:dyDescent="0.3">
      <c r="A246" t="s">
        <v>1632</v>
      </c>
      <c r="B246">
        <v>23.738198918430708</v>
      </c>
      <c r="C246" t="s">
        <v>2047</v>
      </c>
      <c r="D246" t="s">
        <v>2178</v>
      </c>
    </row>
    <row r="247" spans="1:4" x14ac:dyDescent="0.3">
      <c r="A247" t="s">
        <v>1626</v>
      </c>
      <c r="B247">
        <v>18.058215830673674</v>
      </c>
      <c r="C247" t="s">
        <v>2047</v>
      </c>
      <c r="D247" t="s">
        <v>2178</v>
      </c>
    </row>
    <row r="248" spans="1:4" x14ac:dyDescent="0.3">
      <c r="A248" t="s">
        <v>1627</v>
      </c>
      <c r="B248">
        <v>5.9308426230761953</v>
      </c>
      <c r="C248" t="s">
        <v>2047</v>
      </c>
      <c r="D248" t="s">
        <v>2178</v>
      </c>
    </row>
    <row r="249" spans="1:4" x14ac:dyDescent="0.3">
      <c r="A249" t="s">
        <v>1625</v>
      </c>
      <c r="B249">
        <v>7.3358256797885601E-2</v>
      </c>
      <c r="C249" t="s">
        <v>2047</v>
      </c>
      <c r="D249" t="s">
        <v>2178</v>
      </c>
    </row>
    <row r="250" spans="1:4" x14ac:dyDescent="0.3">
      <c r="A250" t="s">
        <v>1623</v>
      </c>
      <c r="B250">
        <v>-0.32421779211704416</v>
      </c>
      <c r="C250" t="s">
        <v>2047</v>
      </c>
      <c r="D250" t="s">
        <v>2178</v>
      </c>
    </row>
    <row r="251" spans="1:4" x14ac:dyDescent="0.3">
      <c r="A251" t="s">
        <v>1633</v>
      </c>
      <c r="B251">
        <v>56.168498633698974</v>
      </c>
      <c r="C251" t="s">
        <v>2047</v>
      </c>
      <c r="D251" t="s">
        <v>2178</v>
      </c>
    </row>
    <row r="252" spans="1:4" x14ac:dyDescent="0.3">
      <c r="A252" t="s">
        <v>1628</v>
      </c>
      <c r="B252">
        <v>32.609373386682755</v>
      </c>
      <c r="C252" t="s">
        <v>2047</v>
      </c>
      <c r="D252" t="s">
        <v>2179</v>
      </c>
    </row>
    <row r="253" spans="1:4" x14ac:dyDescent="0.3">
      <c r="A253" t="s">
        <v>17</v>
      </c>
      <c r="B253">
        <v>18.474082805176593</v>
      </c>
      <c r="C253" t="s">
        <v>2047</v>
      </c>
      <c r="D253" t="s">
        <v>2179</v>
      </c>
    </row>
    <row r="254" spans="1:4" x14ac:dyDescent="0.3">
      <c r="A254" t="s">
        <v>209</v>
      </c>
      <c r="B254">
        <v>14.094692517719482</v>
      </c>
      <c r="C254" t="s">
        <v>2047</v>
      </c>
      <c r="D254" t="s">
        <v>2179</v>
      </c>
    </row>
    <row r="255" spans="1:4" x14ac:dyDescent="0.3">
      <c r="A255" t="s">
        <v>446</v>
      </c>
      <c r="B255">
        <v>4.0598063786682376E-2</v>
      </c>
      <c r="C255" t="s">
        <v>2047</v>
      </c>
      <c r="D255" t="s">
        <v>2179</v>
      </c>
    </row>
    <row r="256" spans="1:4" x14ac:dyDescent="0.3">
      <c r="A256" t="s">
        <v>1632</v>
      </c>
      <c r="B256">
        <v>23.738198918430708</v>
      </c>
      <c r="C256" t="s">
        <v>2047</v>
      </c>
      <c r="D256" t="s">
        <v>2179</v>
      </c>
    </row>
    <row r="257" spans="1:4" x14ac:dyDescent="0.3">
      <c r="A257" t="s">
        <v>1626</v>
      </c>
      <c r="B257">
        <v>18.058215830673674</v>
      </c>
      <c r="C257" t="s">
        <v>2047</v>
      </c>
      <c r="D257" t="s">
        <v>2179</v>
      </c>
    </row>
    <row r="258" spans="1:4" x14ac:dyDescent="0.3">
      <c r="A258" t="s">
        <v>1627</v>
      </c>
      <c r="B258">
        <v>5.9308426230761953</v>
      </c>
      <c r="C258" t="s">
        <v>2047</v>
      </c>
      <c r="D258" t="s">
        <v>2179</v>
      </c>
    </row>
    <row r="259" spans="1:4" x14ac:dyDescent="0.3">
      <c r="A259" t="s">
        <v>1625</v>
      </c>
      <c r="B259">
        <v>7.3358256797885601E-2</v>
      </c>
      <c r="C259" t="s">
        <v>2047</v>
      </c>
      <c r="D259" t="s">
        <v>2179</v>
      </c>
    </row>
    <row r="260" spans="1:4" x14ac:dyDescent="0.3">
      <c r="A260" t="s">
        <v>1623</v>
      </c>
      <c r="B260">
        <v>-0.32421779211704416</v>
      </c>
      <c r="C260" t="s">
        <v>2047</v>
      </c>
      <c r="D260" t="s">
        <v>2179</v>
      </c>
    </row>
    <row r="261" spans="1:4" x14ac:dyDescent="0.3">
      <c r="A261" t="s">
        <v>1633</v>
      </c>
      <c r="B261">
        <v>56.347572305113459</v>
      </c>
      <c r="C261" t="s">
        <v>2047</v>
      </c>
      <c r="D261" t="s">
        <v>2179</v>
      </c>
    </row>
    <row r="262" spans="1:4" x14ac:dyDescent="0.3">
      <c r="A262" t="s">
        <v>1628</v>
      </c>
      <c r="B262">
        <v>31.571101236051206</v>
      </c>
      <c r="C262" t="s">
        <v>2047</v>
      </c>
      <c r="D262" t="s">
        <v>2180</v>
      </c>
    </row>
    <row r="263" spans="1:4" x14ac:dyDescent="0.3">
      <c r="A263" t="s">
        <v>17</v>
      </c>
      <c r="B263">
        <v>18.474082805176593</v>
      </c>
      <c r="C263" t="s">
        <v>2047</v>
      </c>
      <c r="D263" t="s">
        <v>2180</v>
      </c>
    </row>
    <row r="264" spans="1:4" x14ac:dyDescent="0.3">
      <c r="A264" t="s">
        <v>209</v>
      </c>
      <c r="B264">
        <v>13.056420367087933</v>
      </c>
      <c r="C264" t="s">
        <v>2047</v>
      </c>
      <c r="D264" t="s">
        <v>2180</v>
      </c>
    </row>
    <row r="265" spans="1:4" x14ac:dyDescent="0.3">
      <c r="A265" t="s">
        <v>446</v>
      </c>
      <c r="B265">
        <v>4.0598063786682376E-2</v>
      </c>
      <c r="C265" t="s">
        <v>2047</v>
      </c>
      <c r="D265" t="s">
        <v>2180</v>
      </c>
    </row>
    <row r="266" spans="1:4" x14ac:dyDescent="0.3">
      <c r="A266" t="s">
        <v>1632</v>
      </c>
      <c r="B266">
        <v>23.738198918430708</v>
      </c>
      <c r="C266" t="s">
        <v>2047</v>
      </c>
      <c r="D266" t="s">
        <v>2180</v>
      </c>
    </row>
    <row r="267" spans="1:4" x14ac:dyDescent="0.3">
      <c r="A267" t="s">
        <v>1626</v>
      </c>
      <c r="B267">
        <v>18.058215830673674</v>
      </c>
      <c r="C267" t="s">
        <v>2047</v>
      </c>
      <c r="D267" t="s">
        <v>2180</v>
      </c>
    </row>
    <row r="268" spans="1:4" x14ac:dyDescent="0.3">
      <c r="A268" t="s">
        <v>1627</v>
      </c>
      <c r="B268">
        <v>5.9308426230761953</v>
      </c>
      <c r="C268" t="s">
        <v>2047</v>
      </c>
      <c r="D268" t="s">
        <v>2180</v>
      </c>
    </row>
    <row r="269" spans="1:4" x14ac:dyDescent="0.3">
      <c r="A269" t="s">
        <v>1625</v>
      </c>
      <c r="B269">
        <v>7.3358256797885601E-2</v>
      </c>
      <c r="C269" t="s">
        <v>2047</v>
      </c>
      <c r="D269" t="s">
        <v>2180</v>
      </c>
    </row>
    <row r="270" spans="1:4" x14ac:dyDescent="0.3">
      <c r="A270" t="s">
        <v>1623</v>
      </c>
      <c r="B270">
        <v>-0.32421779211704416</v>
      </c>
      <c r="C270" t="s">
        <v>2047</v>
      </c>
      <c r="D270" t="s">
        <v>2180</v>
      </c>
    </row>
    <row r="271" spans="1:4" x14ac:dyDescent="0.3">
      <c r="A271" t="s">
        <v>1633</v>
      </c>
      <c r="B271">
        <v>55.309300154481917</v>
      </c>
      <c r="C271" t="s">
        <v>2047</v>
      </c>
      <c r="D271" t="s">
        <v>2180</v>
      </c>
    </row>
    <row r="272" spans="1:4" x14ac:dyDescent="0.3">
      <c r="A272" t="s">
        <v>1628</v>
      </c>
      <c r="B272">
        <v>33.281960098201012</v>
      </c>
      <c r="C272" t="s">
        <v>2047</v>
      </c>
      <c r="D272" t="s">
        <v>2181</v>
      </c>
    </row>
    <row r="273" spans="1:4" x14ac:dyDescent="0.3">
      <c r="A273" t="s">
        <v>17</v>
      </c>
      <c r="B273">
        <v>18.474082805176593</v>
      </c>
      <c r="C273" t="s">
        <v>2047</v>
      </c>
      <c r="D273" t="s">
        <v>2181</v>
      </c>
    </row>
    <row r="274" spans="1:4" x14ac:dyDescent="0.3">
      <c r="A274" t="s">
        <v>209</v>
      </c>
      <c r="B274">
        <v>14.767279229237735</v>
      </c>
      <c r="C274" t="s">
        <v>2047</v>
      </c>
      <c r="D274" t="s">
        <v>2181</v>
      </c>
    </row>
    <row r="275" spans="1:4" x14ac:dyDescent="0.3">
      <c r="A275" t="s">
        <v>446</v>
      </c>
      <c r="B275">
        <v>4.0598063786682376E-2</v>
      </c>
      <c r="C275" t="s">
        <v>2047</v>
      </c>
      <c r="D275" t="s">
        <v>2181</v>
      </c>
    </row>
    <row r="276" spans="1:4" x14ac:dyDescent="0.3">
      <c r="A276" t="s">
        <v>1632</v>
      </c>
      <c r="B276">
        <v>23.738198918430708</v>
      </c>
      <c r="C276" t="s">
        <v>2047</v>
      </c>
      <c r="D276" t="s">
        <v>2181</v>
      </c>
    </row>
    <row r="277" spans="1:4" x14ac:dyDescent="0.3">
      <c r="A277" t="s">
        <v>1626</v>
      </c>
      <c r="B277">
        <v>18.058215830673674</v>
      </c>
      <c r="C277" t="s">
        <v>2047</v>
      </c>
      <c r="D277" t="s">
        <v>2181</v>
      </c>
    </row>
    <row r="278" spans="1:4" x14ac:dyDescent="0.3">
      <c r="A278" t="s">
        <v>1627</v>
      </c>
      <c r="B278">
        <v>5.9308426230761953</v>
      </c>
      <c r="C278" t="s">
        <v>2047</v>
      </c>
      <c r="D278" t="s">
        <v>2181</v>
      </c>
    </row>
    <row r="279" spans="1:4" x14ac:dyDescent="0.3">
      <c r="A279" t="s">
        <v>1625</v>
      </c>
      <c r="B279">
        <v>7.3358256797885601E-2</v>
      </c>
      <c r="C279" t="s">
        <v>2047</v>
      </c>
      <c r="D279" t="s">
        <v>2181</v>
      </c>
    </row>
    <row r="280" spans="1:4" x14ac:dyDescent="0.3">
      <c r="A280" t="s">
        <v>1623</v>
      </c>
      <c r="B280">
        <v>-0.32421779211704416</v>
      </c>
      <c r="C280" t="s">
        <v>2047</v>
      </c>
      <c r="D280" t="s">
        <v>2181</v>
      </c>
    </row>
    <row r="281" spans="1:4" x14ac:dyDescent="0.3">
      <c r="A281" t="s">
        <v>1633</v>
      </c>
      <c r="B281">
        <v>57.020159016631723</v>
      </c>
      <c r="C281" t="s">
        <v>2047</v>
      </c>
      <c r="D281" t="s">
        <v>2181</v>
      </c>
    </row>
    <row r="282" spans="1:4" x14ac:dyDescent="0.3">
      <c r="A282" t="s">
        <v>1628</v>
      </c>
      <c r="B282">
        <v>32.169041947619569</v>
      </c>
      <c r="C282" t="s">
        <v>2047</v>
      </c>
      <c r="D282" t="s">
        <v>2182</v>
      </c>
    </row>
    <row r="283" spans="1:4" x14ac:dyDescent="0.3">
      <c r="A283" t="s">
        <v>17</v>
      </c>
      <c r="B283">
        <v>18.474082805176593</v>
      </c>
      <c r="C283" t="s">
        <v>2047</v>
      </c>
      <c r="D283" t="s">
        <v>2182</v>
      </c>
    </row>
    <row r="284" spans="1:4" x14ac:dyDescent="0.3">
      <c r="A284" t="s">
        <v>209</v>
      </c>
      <c r="B284">
        <v>13.654361078656297</v>
      </c>
      <c r="C284" t="s">
        <v>2047</v>
      </c>
      <c r="D284" t="s">
        <v>2182</v>
      </c>
    </row>
    <row r="285" spans="1:4" x14ac:dyDescent="0.3">
      <c r="A285" t="s">
        <v>446</v>
      </c>
      <c r="B285">
        <v>4.0598063786682376E-2</v>
      </c>
      <c r="C285" t="s">
        <v>2047</v>
      </c>
      <c r="D285" t="s">
        <v>2182</v>
      </c>
    </row>
    <row r="286" spans="1:4" x14ac:dyDescent="0.3">
      <c r="A286" t="s">
        <v>1632</v>
      </c>
      <c r="B286">
        <v>23.738198918430708</v>
      </c>
      <c r="C286" t="s">
        <v>2047</v>
      </c>
      <c r="D286" t="s">
        <v>2182</v>
      </c>
    </row>
    <row r="287" spans="1:4" x14ac:dyDescent="0.3">
      <c r="A287" t="s">
        <v>1626</v>
      </c>
      <c r="B287">
        <v>18.058215830673674</v>
      </c>
      <c r="C287" t="s">
        <v>2047</v>
      </c>
      <c r="D287" t="s">
        <v>2182</v>
      </c>
    </row>
    <row r="288" spans="1:4" x14ac:dyDescent="0.3">
      <c r="A288" t="s">
        <v>1627</v>
      </c>
      <c r="B288">
        <v>5.9308426230761953</v>
      </c>
      <c r="C288" t="s">
        <v>2047</v>
      </c>
      <c r="D288" t="s">
        <v>2182</v>
      </c>
    </row>
    <row r="289" spans="1:4" x14ac:dyDescent="0.3">
      <c r="A289" t="s">
        <v>1625</v>
      </c>
      <c r="B289">
        <v>7.3358256797885601E-2</v>
      </c>
      <c r="C289" t="s">
        <v>2047</v>
      </c>
      <c r="D289" t="s">
        <v>2182</v>
      </c>
    </row>
    <row r="290" spans="1:4" x14ac:dyDescent="0.3">
      <c r="A290" t="s">
        <v>1623</v>
      </c>
      <c r="B290">
        <v>-0.32421779211704416</v>
      </c>
      <c r="C290" t="s">
        <v>2047</v>
      </c>
      <c r="D290" t="s">
        <v>2182</v>
      </c>
    </row>
    <row r="291" spans="1:4" x14ac:dyDescent="0.3">
      <c r="A291" t="s">
        <v>1633</v>
      </c>
      <c r="B291">
        <v>55.907240866050273</v>
      </c>
      <c r="C291" t="s">
        <v>2047</v>
      </c>
      <c r="D291" t="s">
        <v>2182</v>
      </c>
    </row>
    <row r="292" spans="1:4" x14ac:dyDescent="0.3">
      <c r="A292" t="s">
        <v>1628</v>
      </c>
      <c r="B292">
        <v>32.776858314584814</v>
      </c>
      <c r="C292" t="s">
        <v>2047</v>
      </c>
      <c r="D292" t="s">
        <v>2183</v>
      </c>
    </row>
    <row r="293" spans="1:4" x14ac:dyDescent="0.3">
      <c r="A293" t="s">
        <v>17</v>
      </c>
      <c r="B293">
        <v>18.474082805176593</v>
      </c>
      <c r="C293" t="s">
        <v>2047</v>
      </c>
      <c r="D293" t="s">
        <v>2183</v>
      </c>
    </row>
    <row r="294" spans="1:4" x14ac:dyDescent="0.3">
      <c r="A294" t="s">
        <v>209</v>
      </c>
      <c r="B294">
        <v>14.262177445621539</v>
      </c>
      <c r="C294" t="s">
        <v>2047</v>
      </c>
      <c r="D294" t="s">
        <v>2183</v>
      </c>
    </row>
    <row r="295" spans="1:4" x14ac:dyDescent="0.3">
      <c r="A295" t="s">
        <v>446</v>
      </c>
      <c r="B295">
        <v>4.0598063786682376E-2</v>
      </c>
      <c r="C295" t="s">
        <v>2047</v>
      </c>
      <c r="D295" t="s">
        <v>2183</v>
      </c>
    </row>
    <row r="296" spans="1:4" x14ac:dyDescent="0.3">
      <c r="A296" t="s">
        <v>1632</v>
      </c>
      <c r="B296">
        <v>23.738198918430708</v>
      </c>
      <c r="C296" t="s">
        <v>2047</v>
      </c>
      <c r="D296" t="s">
        <v>2183</v>
      </c>
    </row>
    <row r="297" spans="1:4" x14ac:dyDescent="0.3">
      <c r="A297" t="s">
        <v>1626</v>
      </c>
      <c r="B297">
        <v>18.058215830673674</v>
      </c>
      <c r="C297" t="s">
        <v>2047</v>
      </c>
      <c r="D297" t="s">
        <v>2183</v>
      </c>
    </row>
    <row r="298" spans="1:4" x14ac:dyDescent="0.3">
      <c r="A298" t="s">
        <v>1627</v>
      </c>
      <c r="B298">
        <v>5.9308426230761953</v>
      </c>
      <c r="C298" t="s">
        <v>2047</v>
      </c>
      <c r="D298" t="s">
        <v>2183</v>
      </c>
    </row>
    <row r="299" spans="1:4" x14ac:dyDescent="0.3">
      <c r="A299" t="s">
        <v>1625</v>
      </c>
      <c r="B299">
        <v>7.3358256797885601E-2</v>
      </c>
      <c r="C299" t="s">
        <v>2047</v>
      </c>
      <c r="D299" t="s">
        <v>2183</v>
      </c>
    </row>
    <row r="300" spans="1:4" x14ac:dyDescent="0.3">
      <c r="A300" t="s">
        <v>1623</v>
      </c>
      <c r="B300">
        <v>-0.32421779211704416</v>
      </c>
      <c r="C300" t="s">
        <v>2047</v>
      </c>
      <c r="D300" t="s">
        <v>2183</v>
      </c>
    </row>
    <row r="301" spans="1:4" x14ac:dyDescent="0.3">
      <c r="A301" t="s">
        <v>1633</v>
      </c>
      <c r="B301">
        <v>56.515057233015526</v>
      </c>
      <c r="C301" t="s">
        <v>2047</v>
      </c>
      <c r="D301" t="s">
        <v>2183</v>
      </c>
    </row>
    <row r="302" spans="1:4" x14ac:dyDescent="0.3">
      <c r="A302" t="s">
        <v>1628</v>
      </c>
      <c r="B302">
        <v>32.593369764886269</v>
      </c>
      <c r="C302" t="s">
        <v>2047</v>
      </c>
      <c r="D302" t="s">
        <v>2184</v>
      </c>
    </row>
    <row r="303" spans="1:4" x14ac:dyDescent="0.3">
      <c r="A303" t="s">
        <v>17</v>
      </c>
      <c r="B303">
        <v>18.474082805176593</v>
      </c>
      <c r="C303" t="s">
        <v>2047</v>
      </c>
      <c r="D303" t="s">
        <v>2184</v>
      </c>
    </row>
    <row r="304" spans="1:4" x14ac:dyDescent="0.3">
      <c r="A304" t="s">
        <v>209</v>
      </c>
      <c r="B304">
        <v>14.078688895922992</v>
      </c>
      <c r="C304" t="s">
        <v>2047</v>
      </c>
      <c r="D304" t="s">
        <v>2184</v>
      </c>
    </row>
    <row r="305" spans="1:4" x14ac:dyDescent="0.3">
      <c r="A305" t="s">
        <v>446</v>
      </c>
      <c r="B305">
        <v>4.0598063786682376E-2</v>
      </c>
      <c r="C305" t="s">
        <v>2047</v>
      </c>
      <c r="D305" t="s">
        <v>2184</v>
      </c>
    </row>
    <row r="306" spans="1:4" x14ac:dyDescent="0.3">
      <c r="A306" t="s">
        <v>1632</v>
      </c>
      <c r="B306">
        <v>23.738198918430708</v>
      </c>
      <c r="C306" t="s">
        <v>2047</v>
      </c>
      <c r="D306" t="s">
        <v>2184</v>
      </c>
    </row>
    <row r="307" spans="1:4" x14ac:dyDescent="0.3">
      <c r="A307" t="s">
        <v>1626</v>
      </c>
      <c r="B307">
        <v>18.058215830673674</v>
      </c>
      <c r="C307" t="s">
        <v>2047</v>
      </c>
      <c r="D307" t="s">
        <v>2184</v>
      </c>
    </row>
    <row r="308" spans="1:4" x14ac:dyDescent="0.3">
      <c r="A308" t="s">
        <v>1627</v>
      </c>
      <c r="B308">
        <v>5.9308426230761953</v>
      </c>
      <c r="C308" t="s">
        <v>2047</v>
      </c>
      <c r="D308" t="s">
        <v>2184</v>
      </c>
    </row>
    <row r="309" spans="1:4" x14ac:dyDescent="0.3">
      <c r="A309" t="s">
        <v>1625</v>
      </c>
      <c r="B309">
        <v>7.3358256797885601E-2</v>
      </c>
      <c r="C309" t="s">
        <v>2047</v>
      </c>
      <c r="D309" t="s">
        <v>2184</v>
      </c>
    </row>
    <row r="310" spans="1:4" x14ac:dyDescent="0.3">
      <c r="A310" t="s">
        <v>1623</v>
      </c>
      <c r="B310">
        <v>-0.32421779211704416</v>
      </c>
      <c r="C310" t="s">
        <v>2047</v>
      </c>
      <c r="D310" t="s">
        <v>2184</v>
      </c>
    </row>
    <row r="311" spans="1:4" x14ac:dyDescent="0.3">
      <c r="A311" t="s">
        <v>1633</v>
      </c>
      <c r="B311">
        <v>56.331568683316974</v>
      </c>
      <c r="C311" t="s">
        <v>2047</v>
      </c>
      <c r="D311" t="s">
        <v>2184</v>
      </c>
    </row>
    <row r="312" spans="1:4" x14ac:dyDescent="0.3">
      <c r="A312" t="s">
        <v>1628</v>
      </c>
      <c r="B312">
        <v>32.615781945196368</v>
      </c>
      <c r="C312" t="s">
        <v>2047</v>
      </c>
      <c r="D312" t="s">
        <v>2185</v>
      </c>
    </row>
    <row r="313" spans="1:4" x14ac:dyDescent="0.3">
      <c r="A313" t="s">
        <v>17</v>
      </c>
      <c r="B313">
        <v>18.474082805176593</v>
      </c>
      <c r="C313" t="s">
        <v>2047</v>
      </c>
      <c r="D313" t="s">
        <v>2185</v>
      </c>
    </row>
    <row r="314" spans="1:4" x14ac:dyDescent="0.3">
      <c r="A314" t="s">
        <v>209</v>
      </c>
      <c r="B314">
        <v>14.101101076233091</v>
      </c>
      <c r="C314" t="s">
        <v>2047</v>
      </c>
      <c r="D314" t="s">
        <v>2185</v>
      </c>
    </row>
    <row r="315" spans="1:4" x14ac:dyDescent="0.3">
      <c r="A315" t="s">
        <v>446</v>
      </c>
      <c r="B315">
        <v>4.0598063786682376E-2</v>
      </c>
      <c r="C315" t="s">
        <v>2047</v>
      </c>
      <c r="D315" t="s">
        <v>2185</v>
      </c>
    </row>
    <row r="316" spans="1:4" x14ac:dyDescent="0.3">
      <c r="A316" t="s">
        <v>1632</v>
      </c>
      <c r="B316">
        <v>23.738198918430708</v>
      </c>
      <c r="C316" t="s">
        <v>2047</v>
      </c>
      <c r="D316" t="s">
        <v>2185</v>
      </c>
    </row>
    <row r="317" spans="1:4" x14ac:dyDescent="0.3">
      <c r="A317" t="s">
        <v>1626</v>
      </c>
      <c r="B317">
        <v>18.058215830673674</v>
      </c>
      <c r="C317" t="s">
        <v>2047</v>
      </c>
      <c r="D317" t="s">
        <v>2185</v>
      </c>
    </row>
    <row r="318" spans="1:4" x14ac:dyDescent="0.3">
      <c r="A318" t="s">
        <v>1627</v>
      </c>
      <c r="B318">
        <v>5.9308426230761953</v>
      </c>
      <c r="C318" t="s">
        <v>2047</v>
      </c>
      <c r="D318" t="s">
        <v>2185</v>
      </c>
    </row>
    <row r="319" spans="1:4" x14ac:dyDescent="0.3">
      <c r="A319" t="s">
        <v>1625</v>
      </c>
      <c r="B319">
        <v>7.3358256797885601E-2</v>
      </c>
      <c r="C319" t="s">
        <v>2047</v>
      </c>
      <c r="D319" t="s">
        <v>2185</v>
      </c>
    </row>
    <row r="320" spans="1:4" x14ac:dyDescent="0.3">
      <c r="A320" t="s">
        <v>1623</v>
      </c>
      <c r="B320">
        <v>-0.32421779211704416</v>
      </c>
      <c r="C320" t="s">
        <v>2047</v>
      </c>
      <c r="D320" t="s">
        <v>2185</v>
      </c>
    </row>
    <row r="321" spans="1:4" x14ac:dyDescent="0.3">
      <c r="A321" t="s">
        <v>1633</v>
      </c>
      <c r="B321">
        <v>56.353980863627072</v>
      </c>
      <c r="C321" t="s">
        <v>2047</v>
      </c>
      <c r="D321" t="s">
        <v>2185</v>
      </c>
    </row>
    <row r="322" spans="1:4" x14ac:dyDescent="0.3">
      <c r="A322" t="s">
        <v>1628</v>
      </c>
      <c r="B322">
        <v>32.4697442684664</v>
      </c>
      <c r="C322" t="s">
        <v>2047</v>
      </c>
      <c r="D322" t="s">
        <v>2186</v>
      </c>
    </row>
    <row r="323" spans="1:4" x14ac:dyDescent="0.3">
      <c r="A323" t="s">
        <v>17</v>
      </c>
      <c r="B323">
        <v>18.474082805176593</v>
      </c>
      <c r="C323" t="s">
        <v>2047</v>
      </c>
      <c r="D323" t="s">
        <v>2186</v>
      </c>
    </row>
    <row r="324" spans="1:4" x14ac:dyDescent="0.3">
      <c r="A324" t="s">
        <v>209</v>
      </c>
      <c r="B324">
        <v>13.955063399503125</v>
      </c>
      <c r="C324" t="s">
        <v>2047</v>
      </c>
      <c r="D324" t="s">
        <v>2186</v>
      </c>
    </row>
    <row r="325" spans="1:4" x14ac:dyDescent="0.3">
      <c r="A325" t="s">
        <v>446</v>
      </c>
      <c r="B325">
        <v>4.0598063786682376E-2</v>
      </c>
      <c r="C325" t="s">
        <v>2047</v>
      </c>
      <c r="D325" t="s">
        <v>2186</v>
      </c>
    </row>
    <row r="326" spans="1:4" x14ac:dyDescent="0.3">
      <c r="A326" t="s">
        <v>1632</v>
      </c>
      <c r="B326">
        <v>23.738198918430708</v>
      </c>
      <c r="C326" t="s">
        <v>2047</v>
      </c>
      <c r="D326" t="s">
        <v>2186</v>
      </c>
    </row>
    <row r="327" spans="1:4" x14ac:dyDescent="0.3">
      <c r="A327" t="s">
        <v>1626</v>
      </c>
      <c r="B327">
        <v>18.058215830673674</v>
      </c>
      <c r="C327" t="s">
        <v>2047</v>
      </c>
      <c r="D327" t="s">
        <v>2186</v>
      </c>
    </row>
    <row r="328" spans="1:4" x14ac:dyDescent="0.3">
      <c r="A328" t="s">
        <v>1627</v>
      </c>
      <c r="B328">
        <v>5.9308426230761953</v>
      </c>
      <c r="C328" t="s">
        <v>2047</v>
      </c>
      <c r="D328" t="s">
        <v>2186</v>
      </c>
    </row>
    <row r="329" spans="1:4" x14ac:dyDescent="0.3">
      <c r="A329" t="s">
        <v>1625</v>
      </c>
      <c r="B329">
        <v>7.3358256797885601E-2</v>
      </c>
      <c r="C329" t="s">
        <v>2047</v>
      </c>
      <c r="D329" t="s">
        <v>2186</v>
      </c>
    </row>
    <row r="330" spans="1:4" x14ac:dyDescent="0.3">
      <c r="A330" t="s">
        <v>1623</v>
      </c>
      <c r="B330">
        <v>-0.32421779211704416</v>
      </c>
      <c r="C330" t="s">
        <v>2047</v>
      </c>
      <c r="D330" t="s">
        <v>2186</v>
      </c>
    </row>
    <row r="331" spans="1:4" x14ac:dyDescent="0.3">
      <c r="A331" t="s">
        <v>1633</v>
      </c>
      <c r="B331">
        <v>56.207943186897111</v>
      </c>
      <c r="C331" t="s">
        <v>2047</v>
      </c>
      <c r="D331" t="s">
        <v>2186</v>
      </c>
    </row>
    <row r="332" spans="1:4" x14ac:dyDescent="0.3">
      <c r="A332" t="s">
        <v>1628</v>
      </c>
      <c r="B332">
        <v>32.485913931785205</v>
      </c>
      <c r="C332" t="s">
        <v>2047</v>
      </c>
      <c r="D332" t="s">
        <v>2187</v>
      </c>
    </row>
    <row r="333" spans="1:4" x14ac:dyDescent="0.3">
      <c r="A333" t="s">
        <v>17</v>
      </c>
      <c r="B333">
        <v>18.474082805176593</v>
      </c>
      <c r="C333" t="s">
        <v>2047</v>
      </c>
      <c r="D333" t="s">
        <v>2187</v>
      </c>
    </row>
    <row r="334" spans="1:4" x14ac:dyDescent="0.3">
      <c r="A334" t="s">
        <v>209</v>
      </c>
      <c r="B334">
        <v>13.971233062821929</v>
      </c>
      <c r="C334" t="s">
        <v>2047</v>
      </c>
      <c r="D334" t="s">
        <v>2187</v>
      </c>
    </row>
    <row r="335" spans="1:4" x14ac:dyDescent="0.3">
      <c r="A335" t="s">
        <v>446</v>
      </c>
      <c r="B335">
        <v>4.0598063786682376E-2</v>
      </c>
      <c r="C335" t="s">
        <v>2047</v>
      </c>
      <c r="D335" t="s">
        <v>2187</v>
      </c>
    </row>
    <row r="336" spans="1:4" x14ac:dyDescent="0.3">
      <c r="A336" t="s">
        <v>1632</v>
      </c>
      <c r="B336">
        <v>23.738198918430708</v>
      </c>
      <c r="C336" t="s">
        <v>2047</v>
      </c>
      <c r="D336" t="s">
        <v>2187</v>
      </c>
    </row>
    <row r="337" spans="1:4" x14ac:dyDescent="0.3">
      <c r="A337" t="s">
        <v>1626</v>
      </c>
      <c r="B337">
        <v>18.058215830673674</v>
      </c>
      <c r="C337" t="s">
        <v>2047</v>
      </c>
      <c r="D337" t="s">
        <v>2187</v>
      </c>
    </row>
    <row r="338" spans="1:4" x14ac:dyDescent="0.3">
      <c r="A338" t="s">
        <v>1627</v>
      </c>
      <c r="B338">
        <v>5.9308426230761953</v>
      </c>
      <c r="C338" t="s">
        <v>2047</v>
      </c>
      <c r="D338" t="s">
        <v>2187</v>
      </c>
    </row>
    <row r="339" spans="1:4" x14ac:dyDescent="0.3">
      <c r="A339" t="s">
        <v>1625</v>
      </c>
      <c r="B339">
        <v>7.3358256797885601E-2</v>
      </c>
      <c r="C339" t="s">
        <v>2047</v>
      </c>
      <c r="D339" t="s">
        <v>2187</v>
      </c>
    </row>
    <row r="340" spans="1:4" x14ac:dyDescent="0.3">
      <c r="A340" t="s">
        <v>1623</v>
      </c>
      <c r="B340">
        <v>-0.32421779211704416</v>
      </c>
      <c r="C340" t="s">
        <v>2047</v>
      </c>
      <c r="D340" t="s">
        <v>2187</v>
      </c>
    </row>
    <row r="341" spans="1:4" x14ac:dyDescent="0.3">
      <c r="A341" t="s">
        <v>1633</v>
      </c>
      <c r="B341">
        <v>56.224112850215917</v>
      </c>
      <c r="C341" t="s">
        <v>2047</v>
      </c>
      <c r="D341" t="s">
        <v>2187</v>
      </c>
    </row>
    <row r="342" spans="1:4" x14ac:dyDescent="0.3">
      <c r="A342" t="s">
        <v>1628</v>
      </c>
      <c r="B342">
        <v>32.360256267440377</v>
      </c>
      <c r="C342" t="s">
        <v>2047</v>
      </c>
      <c r="D342" t="s">
        <v>2188</v>
      </c>
    </row>
    <row r="343" spans="1:4" x14ac:dyDescent="0.3">
      <c r="A343" t="s">
        <v>17</v>
      </c>
      <c r="B343">
        <v>18.474082805176593</v>
      </c>
      <c r="C343" t="s">
        <v>2047</v>
      </c>
      <c r="D343" t="s">
        <v>2188</v>
      </c>
    </row>
    <row r="344" spans="1:4" x14ac:dyDescent="0.3">
      <c r="A344" t="s">
        <v>209</v>
      </c>
      <c r="B344">
        <v>13.8455753984771</v>
      </c>
      <c r="C344" t="s">
        <v>2047</v>
      </c>
      <c r="D344" t="s">
        <v>2188</v>
      </c>
    </row>
    <row r="345" spans="1:4" x14ac:dyDescent="0.3">
      <c r="A345" t="s">
        <v>446</v>
      </c>
      <c r="B345">
        <v>4.0598063786682376E-2</v>
      </c>
      <c r="C345" t="s">
        <v>2047</v>
      </c>
      <c r="D345" t="s">
        <v>2188</v>
      </c>
    </row>
    <row r="346" spans="1:4" x14ac:dyDescent="0.3">
      <c r="A346" t="s">
        <v>1632</v>
      </c>
      <c r="B346">
        <v>23.738198918430708</v>
      </c>
      <c r="C346" t="s">
        <v>2047</v>
      </c>
      <c r="D346" t="s">
        <v>2188</v>
      </c>
    </row>
    <row r="347" spans="1:4" x14ac:dyDescent="0.3">
      <c r="A347" t="s">
        <v>1626</v>
      </c>
      <c r="B347">
        <v>18.058215830673674</v>
      </c>
      <c r="C347" t="s">
        <v>2047</v>
      </c>
      <c r="D347" t="s">
        <v>2188</v>
      </c>
    </row>
    <row r="348" spans="1:4" x14ac:dyDescent="0.3">
      <c r="A348" t="s">
        <v>1627</v>
      </c>
      <c r="B348">
        <v>5.9308426230761953</v>
      </c>
      <c r="C348" t="s">
        <v>2047</v>
      </c>
      <c r="D348" t="s">
        <v>2188</v>
      </c>
    </row>
    <row r="349" spans="1:4" x14ac:dyDescent="0.3">
      <c r="A349" t="s">
        <v>1625</v>
      </c>
      <c r="B349">
        <v>7.3358256797885601E-2</v>
      </c>
      <c r="C349" t="s">
        <v>2047</v>
      </c>
      <c r="D349" t="s">
        <v>2188</v>
      </c>
    </row>
    <row r="350" spans="1:4" x14ac:dyDescent="0.3">
      <c r="A350" t="s">
        <v>1623</v>
      </c>
      <c r="B350">
        <v>-0.32421779211704416</v>
      </c>
      <c r="C350" t="s">
        <v>2047</v>
      </c>
      <c r="D350" t="s">
        <v>2188</v>
      </c>
    </row>
    <row r="351" spans="1:4" x14ac:dyDescent="0.3">
      <c r="A351" t="s">
        <v>1633</v>
      </c>
      <c r="B351">
        <v>56.098455185871089</v>
      </c>
      <c r="C351" t="s">
        <v>2047</v>
      </c>
      <c r="D351" t="s">
        <v>2188</v>
      </c>
    </row>
    <row r="352" spans="1:4" x14ac:dyDescent="0.3">
      <c r="A352" t="s">
        <v>1628</v>
      </c>
      <c r="B352">
        <v>33.22360374075005</v>
      </c>
      <c r="C352" t="s">
        <v>2047</v>
      </c>
      <c r="D352" t="s">
        <v>2189</v>
      </c>
    </row>
    <row r="353" spans="1:4" x14ac:dyDescent="0.3">
      <c r="A353" t="s">
        <v>17</v>
      </c>
      <c r="B353">
        <v>18.474082805176593</v>
      </c>
      <c r="C353" t="s">
        <v>2047</v>
      </c>
      <c r="D353" t="s">
        <v>2189</v>
      </c>
    </row>
    <row r="354" spans="1:4" x14ac:dyDescent="0.3">
      <c r="A354" t="s">
        <v>209</v>
      </c>
      <c r="B354">
        <v>14.708922871786774</v>
      </c>
      <c r="C354" t="s">
        <v>2047</v>
      </c>
      <c r="D354" t="s">
        <v>2189</v>
      </c>
    </row>
    <row r="355" spans="1:4" x14ac:dyDescent="0.3">
      <c r="A355" t="s">
        <v>446</v>
      </c>
      <c r="B355">
        <v>4.0598063786682376E-2</v>
      </c>
      <c r="C355" t="s">
        <v>2047</v>
      </c>
      <c r="D355" t="s">
        <v>2189</v>
      </c>
    </row>
    <row r="356" spans="1:4" x14ac:dyDescent="0.3">
      <c r="A356" t="s">
        <v>1632</v>
      </c>
      <c r="B356">
        <v>23.738198918430708</v>
      </c>
      <c r="C356" t="s">
        <v>2047</v>
      </c>
      <c r="D356" t="s">
        <v>2189</v>
      </c>
    </row>
    <row r="357" spans="1:4" x14ac:dyDescent="0.3">
      <c r="A357" t="s">
        <v>1626</v>
      </c>
      <c r="B357">
        <v>18.058215830673674</v>
      </c>
      <c r="C357" t="s">
        <v>2047</v>
      </c>
      <c r="D357" t="s">
        <v>2189</v>
      </c>
    </row>
    <row r="358" spans="1:4" x14ac:dyDescent="0.3">
      <c r="A358" t="s">
        <v>1627</v>
      </c>
      <c r="B358">
        <v>5.9308426230761953</v>
      </c>
      <c r="C358" t="s">
        <v>2047</v>
      </c>
      <c r="D358" t="s">
        <v>2189</v>
      </c>
    </row>
    <row r="359" spans="1:4" x14ac:dyDescent="0.3">
      <c r="A359" t="s">
        <v>1625</v>
      </c>
      <c r="B359">
        <v>7.3358256797885601E-2</v>
      </c>
      <c r="C359" t="s">
        <v>2047</v>
      </c>
      <c r="D359" t="s">
        <v>2189</v>
      </c>
    </row>
    <row r="360" spans="1:4" x14ac:dyDescent="0.3">
      <c r="A360" t="s">
        <v>1623</v>
      </c>
      <c r="B360">
        <v>-0.32421779211704416</v>
      </c>
      <c r="C360" t="s">
        <v>2047</v>
      </c>
      <c r="D360" t="s">
        <v>2189</v>
      </c>
    </row>
    <row r="361" spans="1:4" x14ac:dyDescent="0.3">
      <c r="A361" t="s">
        <v>1633</v>
      </c>
      <c r="B361">
        <v>56.961802659180762</v>
      </c>
      <c r="C361" t="s">
        <v>2047</v>
      </c>
      <c r="D361" t="s">
        <v>2189</v>
      </c>
    </row>
    <row r="362" spans="1:4" x14ac:dyDescent="0.3">
      <c r="A362" t="s">
        <v>1628</v>
      </c>
      <c r="B362">
        <v>32.435595534389634</v>
      </c>
      <c r="C362" t="s">
        <v>2047</v>
      </c>
      <c r="D362" t="s">
        <v>2190</v>
      </c>
    </row>
    <row r="363" spans="1:4" x14ac:dyDescent="0.3">
      <c r="A363" t="s">
        <v>17</v>
      </c>
      <c r="B363">
        <v>18.474082805176593</v>
      </c>
      <c r="C363" t="s">
        <v>2047</v>
      </c>
      <c r="D363" t="s">
        <v>2190</v>
      </c>
    </row>
    <row r="364" spans="1:4" x14ac:dyDescent="0.3">
      <c r="A364" t="s">
        <v>209</v>
      </c>
      <c r="B364">
        <v>13.920914665426357</v>
      </c>
      <c r="C364" t="s">
        <v>2047</v>
      </c>
      <c r="D364" t="s">
        <v>2190</v>
      </c>
    </row>
    <row r="365" spans="1:4" x14ac:dyDescent="0.3">
      <c r="A365" t="s">
        <v>446</v>
      </c>
      <c r="B365">
        <v>4.0598063786682376E-2</v>
      </c>
      <c r="C365" t="s">
        <v>2047</v>
      </c>
      <c r="D365" t="s">
        <v>2190</v>
      </c>
    </row>
    <row r="366" spans="1:4" x14ac:dyDescent="0.3">
      <c r="A366" t="s">
        <v>1632</v>
      </c>
      <c r="B366">
        <v>23.738198918430708</v>
      </c>
      <c r="C366" t="s">
        <v>2047</v>
      </c>
      <c r="D366" t="s">
        <v>2190</v>
      </c>
    </row>
    <row r="367" spans="1:4" x14ac:dyDescent="0.3">
      <c r="A367" t="s">
        <v>1626</v>
      </c>
      <c r="B367">
        <v>18.058215830673674</v>
      </c>
      <c r="C367" t="s">
        <v>2047</v>
      </c>
      <c r="D367" t="s">
        <v>2190</v>
      </c>
    </row>
    <row r="368" spans="1:4" x14ac:dyDescent="0.3">
      <c r="A368" t="s">
        <v>1627</v>
      </c>
      <c r="B368">
        <v>5.9308426230761953</v>
      </c>
      <c r="C368" t="s">
        <v>2047</v>
      </c>
      <c r="D368" t="s">
        <v>2190</v>
      </c>
    </row>
    <row r="369" spans="1:4" x14ac:dyDescent="0.3">
      <c r="A369" t="s">
        <v>1625</v>
      </c>
      <c r="B369">
        <v>7.3358256797885601E-2</v>
      </c>
      <c r="C369" t="s">
        <v>2047</v>
      </c>
      <c r="D369" t="s">
        <v>2190</v>
      </c>
    </row>
    <row r="370" spans="1:4" x14ac:dyDescent="0.3">
      <c r="A370" t="s">
        <v>1623</v>
      </c>
      <c r="B370">
        <v>-0.32421779211704416</v>
      </c>
      <c r="C370" t="s">
        <v>2047</v>
      </c>
      <c r="D370" t="s">
        <v>2190</v>
      </c>
    </row>
    <row r="371" spans="1:4" x14ac:dyDescent="0.3">
      <c r="A371" t="s">
        <v>1633</v>
      </c>
      <c r="B371">
        <v>56.173794452820346</v>
      </c>
      <c r="C371" t="s">
        <v>2047</v>
      </c>
      <c r="D371" t="s">
        <v>2190</v>
      </c>
    </row>
    <row r="372" spans="1:4" x14ac:dyDescent="0.3">
      <c r="A372" t="s">
        <v>1628</v>
      </c>
      <c r="B372">
        <v>32.437623541618073</v>
      </c>
      <c r="C372" t="s">
        <v>2047</v>
      </c>
      <c r="D372" t="s">
        <v>2191</v>
      </c>
    </row>
    <row r="373" spans="1:4" x14ac:dyDescent="0.3">
      <c r="A373" t="s">
        <v>17</v>
      </c>
      <c r="B373">
        <v>18.474082805176593</v>
      </c>
      <c r="C373" t="s">
        <v>2047</v>
      </c>
      <c r="D373" t="s">
        <v>2191</v>
      </c>
    </row>
    <row r="374" spans="1:4" x14ac:dyDescent="0.3">
      <c r="A374" t="s">
        <v>209</v>
      </c>
      <c r="B374">
        <v>13.922942672654802</v>
      </c>
      <c r="C374" t="s">
        <v>2047</v>
      </c>
      <c r="D374" t="s">
        <v>2191</v>
      </c>
    </row>
    <row r="375" spans="1:4" x14ac:dyDescent="0.3">
      <c r="A375" t="s">
        <v>446</v>
      </c>
      <c r="B375">
        <v>4.0598063786682376E-2</v>
      </c>
      <c r="C375" t="s">
        <v>2047</v>
      </c>
      <c r="D375" t="s">
        <v>2191</v>
      </c>
    </row>
    <row r="376" spans="1:4" x14ac:dyDescent="0.3">
      <c r="A376" t="s">
        <v>1632</v>
      </c>
      <c r="B376">
        <v>23.738198918430708</v>
      </c>
      <c r="C376" t="s">
        <v>2047</v>
      </c>
      <c r="D376" t="s">
        <v>2191</v>
      </c>
    </row>
    <row r="377" spans="1:4" x14ac:dyDescent="0.3">
      <c r="A377" t="s">
        <v>1626</v>
      </c>
      <c r="B377">
        <v>18.058215830673674</v>
      </c>
      <c r="C377" t="s">
        <v>2047</v>
      </c>
      <c r="D377" t="s">
        <v>2191</v>
      </c>
    </row>
    <row r="378" spans="1:4" x14ac:dyDescent="0.3">
      <c r="A378" t="s">
        <v>1627</v>
      </c>
      <c r="B378">
        <v>5.9308426230761953</v>
      </c>
      <c r="C378" t="s">
        <v>2047</v>
      </c>
      <c r="D378" t="s">
        <v>2191</v>
      </c>
    </row>
    <row r="379" spans="1:4" x14ac:dyDescent="0.3">
      <c r="A379" t="s">
        <v>1625</v>
      </c>
      <c r="B379">
        <v>7.3358256797885601E-2</v>
      </c>
      <c r="C379" t="s">
        <v>2047</v>
      </c>
      <c r="D379" t="s">
        <v>2191</v>
      </c>
    </row>
    <row r="380" spans="1:4" x14ac:dyDescent="0.3">
      <c r="A380" t="s">
        <v>1623</v>
      </c>
      <c r="B380">
        <v>-0.32421779211704416</v>
      </c>
      <c r="C380" t="s">
        <v>2047</v>
      </c>
      <c r="D380" t="s">
        <v>2191</v>
      </c>
    </row>
    <row r="381" spans="1:4" x14ac:dyDescent="0.3">
      <c r="A381" t="s">
        <v>1633</v>
      </c>
      <c r="B381">
        <v>56.175822460048778</v>
      </c>
      <c r="C381" t="s">
        <v>2047</v>
      </c>
      <c r="D381" t="s">
        <v>2191</v>
      </c>
    </row>
    <row r="382" spans="1:4" x14ac:dyDescent="0.3">
      <c r="A382" t="s">
        <v>1628</v>
      </c>
      <c r="B382">
        <v>32.104470613077993</v>
      </c>
      <c r="C382" t="s">
        <v>2047</v>
      </c>
      <c r="D382" t="s">
        <v>2192</v>
      </c>
    </row>
    <row r="383" spans="1:4" x14ac:dyDescent="0.3">
      <c r="A383" t="s">
        <v>17</v>
      </c>
      <c r="B383">
        <v>18.474082805176593</v>
      </c>
      <c r="C383" t="s">
        <v>2047</v>
      </c>
      <c r="D383" t="s">
        <v>2192</v>
      </c>
    </row>
    <row r="384" spans="1:4" x14ac:dyDescent="0.3">
      <c r="A384" t="s">
        <v>209</v>
      </c>
      <c r="B384">
        <v>13.589789744114718</v>
      </c>
      <c r="C384" t="s">
        <v>2047</v>
      </c>
      <c r="D384" t="s">
        <v>2192</v>
      </c>
    </row>
    <row r="385" spans="1:4" x14ac:dyDescent="0.3">
      <c r="A385" t="s">
        <v>446</v>
      </c>
      <c r="B385">
        <v>4.0598063786682376E-2</v>
      </c>
      <c r="C385" t="s">
        <v>2047</v>
      </c>
      <c r="D385" t="s">
        <v>2192</v>
      </c>
    </row>
    <row r="386" spans="1:4" x14ac:dyDescent="0.3">
      <c r="A386" t="s">
        <v>1632</v>
      </c>
      <c r="B386">
        <v>23.738198918430708</v>
      </c>
      <c r="C386" t="s">
        <v>2047</v>
      </c>
      <c r="D386" t="s">
        <v>2192</v>
      </c>
    </row>
    <row r="387" spans="1:4" x14ac:dyDescent="0.3">
      <c r="A387" t="s">
        <v>1626</v>
      </c>
      <c r="B387">
        <v>18.058215830673674</v>
      </c>
      <c r="C387" t="s">
        <v>2047</v>
      </c>
      <c r="D387" t="s">
        <v>2192</v>
      </c>
    </row>
    <row r="388" spans="1:4" x14ac:dyDescent="0.3">
      <c r="A388" t="s">
        <v>1627</v>
      </c>
      <c r="B388">
        <v>5.9308426230761953</v>
      </c>
      <c r="C388" t="s">
        <v>2047</v>
      </c>
      <c r="D388" t="s">
        <v>2192</v>
      </c>
    </row>
    <row r="389" spans="1:4" x14ac:dyDescent="0.3">
      <c r="A389" t="s">
        <v>1625</v>
      </c>
      <c r="B389">
        <v>7.3358256797885601E-2</v>
      </c>
      <c r="C389" t="s">
        <v>2047</v>
      </c>
      <c r="D389" t="s">
        <v>2192</v>
      </c>
    </row>
    <row r="390" spans="1:4" x14ac:dyDescent="0.3">
      <c r="A390" t="s">
        <v>1623</v>
      </c>
      <c r="B390">
        <v>-0.32421779211704416</v>
      </c>
      <c r="C390" t="s">
        <v>2047</v>
      </c>
      <c r="D390" t="s">
        <v>2192</v>
      </c>
    </row>
    <row r="391" spans="1:4" x14ac:dyDescent="0.3">
      <c r="A391" t="s">
        <v>1633</v>
      </c>
      <c r="B391">
        <v>55.842669531508704</v>
      </c>
      <c r="C391" t="s">
        <v>2047</v>
      </c>
      <c r="D391" t="s">
        <v>2192</v>
      </c>
    </row>
    <row r="392" spans="1:4" x14ac:dyDescent="0.3">
      <c r="A392" t="s">
        <v>1628</v>
      </c>
      <c r="B392">
        <v>31.37103664480146</v>
      </c>
      <c r="C392" t="s">
        <v>2047</v>
      </c>
      <c r="D392" t="s">
        <v>2107</v>
      </c>
    </row>
    <row r="393" spans="1:4" x14ac:dyDescent="0.3">
      <c r="A393" t="s">
        <v>17</v>
      </c>
      <c r="B393">
        <v>18.474082805176593</v>
      </c>
      <c r="C393" t="s">
        <v>2047</v>
      </c>
      <c r="D393" t="s">
        <v>2107</v>
      </c>
    </row>
    <row r="394" spans="1:4" x14ac:dyDescent="0.3">
      <c r="A394" t="s">
        <v>209</v>
      </c>
      <c r="B394">
        <v>12.856355775838185</v>
      </c>
      <c r="C394" t="s">
        <v>2047</v>
      </c>
      <c r="D394" t="s">
        <v>2107</v>
      </c>
    </row>
    <row r="395" spans="1:4" x14ac:dyDescent="0.3">
      <c r="A395" t="s">
        <v>446</v>
      </c>
      <c r="B395">
        <v>4.0598063786682376E-2</v>
      </c>
      <c r="C395" t="s">
        <v>2047</v>
      </c>
      <c r="D395" t="s">
        <v>2107</v>
      </c>
    </row>
    <row r="396" spans="1:4" x14ac:dyDescent="0.3">
      <c r="A396" t="s">
        <v>1632</v>
      </c>
      <c r="B396">
        <v>23.738198918430708</v>
      </c>
      <c r="C396" t="s">
        <v>2047</v>
      </c>
      <c r="D396" t="s">
        <v>2107</v>
      </c>
    </row>
    <row r="397" spans="1:4" x14ac:dyDescent="0.3">
      <c r="A397" t="s">
        <v>1626</v>
      </c>
      <c r="B397">
        <v>18.058215830673674</v>
      </c>
      <c r="C397" t="s">
        <v>2047</v>
      </c>
      <c r="D397" t="s">
        <v>2107</v>
      </c>
    </row>
    <row r="398" spans="1:4" x14ac:dyDescent="0.3">
      <c r="A398" t="s">
        <v>1627</v>
      </c>
      <c r="B398">
        <v>5.9308426230761953</v>
      </c>
      <c r="C398" t="s">
        <v>2047</v>
      </c>
      <c r="D398" t="s">
        <v>2107</v>
      </c>
    </row>
    <row r="399" spans="1:4" x14ac:dyDescent="0.3">
      <c r="A399" t="s">
        <v>1625</v>
      </c>
      <c r="B399">
        <v>7.3358256797885601E-2</v>
      </c>
      <c r="C399" t="s">
        <v>2047</v>
      </c>
      <c r="D399" t="s">
        <v>2107</v>
      </c>
    </row>
    <row r="400" spans="1:4" x14ac:dyDescent="0.3">
      <c r="A400" t="s">
        <v>1623</v>
      </c>
      <c r="B400">
        <v>-0.32421779211704416</v>
      </c>
      <c r="C400" t="s">
        <v>2047</v>
      </c>
      <c r="D400" t="s">
        <v>2107</v>
      </c>
    </row>
    <row r="401" spans="1:4" x14ac:dyDescent="0.3">
      <c r="A401" t="s">
        <v>1633</v>
      </c>
      <c r="B401">
        <v>55.109235563232168</v>
      </c>
      <c r="C401" t="s">
        <v>2047</v>
      </c>
      <c r="D401" t="s">
        <v>2107</v>
      </c>
    </row>
    <row r="402" spans="1:4" x14ac:dyDescent="0.3">
      <c r="A402" t="s">
        <v>1628</v>
      </c>
      <c r="B402">
        <v>32.257517641365389</v>
      </c>
      <c r="C402" t="s">
        <v>2047</v>
      </c>
      <c r="D402" t="s">
        <v>2034</v>
      </c>
    </row>
    <row r="403" spans="1:4" x14ac:dyDescent="0.3">
      <c r="A403" t="s">
        <v>17</v>
      </c>
      <c r="B403">
        <v>18.474082805176593</v>
      </c>
      <c r="C403" t="s">
        <v>2047</v>
      </c>
      <c r="D403" t="s">
        <v>2034</v>
      </c>
    </row>
    <row r="404" spans="1:4" x14ac:dyDescent="0.3">
      <c r="A404" t="s">
        <v>209</v>
      </c>
      <c r="B404">
        <v>13.742836772402113</v>
      </c>
      <c r="C404" t="s">
        <v>2047</v>
      </c>
      <c r="D404" t="s">
        <v>2034</v>
      </c>
    </row>
    <row r="405" spans="1:4" x14ac:dyDescent="0.3">
      <c r="A405" t="s">
        <v>446</v>
      </c>
      <c r="B405">
        <v>4.0598063786682376E-2</v>
      </c>
      <c r="C405" t="s">
        <v>2047</v>
      </c>
      <c r="D405" t="s">
        <v>2034</v>
      </c>
    </row>
    <row r="406" spans="1:4" x14ac:dyDescent="0.3">
      <c r="A406" t="s">
        <v>1632</v>
      </c>
      <c r="B406">
        <v>23.738198918430708</v>
      </c>
      <c r="C406" t="s">
        <v>2047</v>
      </c>
      <c r="D406" t="s">
        <v>2034</v>
      </c>
    </row>
    <row r="407" spans="1:4" x14ac:dyDescent="0.3">
      <c r="A407" t="s">
        <v>1626</v>
      </c>
      <c r="B407">
        <v>18.058215830673674</v>
      </c>
      <c r="C407" t="s">
        <v>2047</v>
      </c>
      <c r="D407" t="s">
        <v>2034</v>
      </c>
    </row>
    <row r="408" spans="1:4" x14ac:dyDescent="0.3">
      <c r="A408" t="s">
        <v>1627</v>
      </c>
      <c r="B408">
        <v>5.9308426230761953</v>
      </c>
      <c r="C408" t="s">
        <v>2047</v>
      </c>
      <c r="D408" t="s">
        <v>2034</v>
      </c>
    </row>
    <row r="409" spans="1:4" x14ac:dyDescent="0.3">
      <c r="A409" t="s">
        <v>1625</v>
      </c>
      <c r="B409">
        <v>7.3358256797885601E-2</v>
      </c>
      <c r="C409" t="s">
        <v>2047</v>
      </c>
      <c r="D409" t="s">
        <v>2034</v>
      </c>
    </row>
    <row r="410" spans="1:4" x14ac:dyDescent="0.3">
      <c r="A410" t="s">
        <v>1623</v>
      </c>
      <c r="B410">
        <v>-0.32421779211704416</v>
      </c>
      <c r="C410" t="s">
        <v>2047</v>
      </c>
      <c r="D410" t="s">
        <v>2034</v>
      </c>
    </row>
    <row r="411" spans="1:4" x14ac:dyDescent="0.3">
      <c r="A411" t="s">
        <v>1633</v>
      </c>
      <c r="B411">
        <v>55.995716559796094</v>
      </c>
      <c r="C411" t="s">
        <v>2047</v>
      </c>
      <c r="D411" t="s">
        <v>2034</v>
      </c>
    </row>
    <row r="412" spans="1:4" x14ac:dyDescent="0.3">
      <c r="A412" t="s">
        <v>1628</v>
      </c>
      <c r="B412">
        <v>32.627391900616736</v>
      </c>
      <c r="C412" t="s">
        <v>2047</v>
      </c>
      <c r="D412" t="s">
        <v>2035</v>
      </c>
    </row>
    <row r="413" spans="1:4" x14ac:dyDescent="0.3">
      <c r="A413" t="s">
        <v>17</v>
      </c>
      <c r="B413">
        <v>18.474082805176593</v>
      </c>
      <c r="C413" t="s">
        <v>2047</v>
      </c>
      <c r="D413" t="s">
        <v>2035</v>
      </c>
    </row>
    <row r="414" spans="1:4" x14ac:dyDescent="0.3">
      <c r="A414" t="s">
        <v>209</v>
      </c>
      <c r="B414">
        <v>14.112711031653463</v>
      </c>
      <c r="C414" t="s">
        <v>2047</v>
      </c>
      <c r="D414" t="s">
        <v>2035</v>
      </c>
    </row>
    <row r="415" spans="1:4" x14ac:dyDescent="0.3">
      <c r="A415" t="s">
        <v>446</v>
      </c>
      <c r="B415">
        <v>4.0598063786682376E-2</v>
      </c>
      <c r="C415" t="s">
        <v>2047</v>
      </c>
      <c r="D415" t="s">
        <v>2035</v>
      </c>
    </row>
    <row r="416" spans="1:4" x14ac:dyDescent="0.3">
      <c r="A416" t="s">
        <v>1632</v>
      </c>
      <c r="B416">
        <v>23.738198918430708</v>
      </c>
      <c r="C416" t="s">
        <v>2047</v>
      </c>
      <c r="D416" t="s">
        <v>2035</v>
      </c>
    </row>
    <row r="417" spans="1:4" x14ac:dyDescent="0.3">
      <c r="A417" t="s">
        <v>1626</v>
      </c>
      <c r="B417">
        <v>18.058215830673674</v>
      </c>
      <c r="C417" t="s">
        <v>2047</v>
      </c>
      <c r="D417" t="s">
        <v>2035</v>
      </c>
    </row>
    <row r="418" spans="1:4" x14ac:dyDescent="0.3">
      <c r="A418" t="s">
        <v>1627</v>
      </c>
      <c r="B418">
        <v>5.9308426230761953</v>
      </c>
      <c r="C418" t="s">
        <v>2047</v>
      </c>
      <c r="D418" t="s">
        <v>2035</v>
      </c>
    </row>
    <row r="419" spans="1:4" x14ac:dyDescent="0.3">
      <c r="A419" t="s">
        <v>1625</v>
      </c>
      <c r="B419">
        <v>7.3358256797885601E-2</v>
      </c>
      <c r="C419" t="s">
        <v>2047</v>
      </c>
      <c r="D419" t="s">
        <v>2035</v>
      </c>
    </row>
    <row r="420" spans="1:4" x14ac:dyDescent="0.3">
      <c r="A420" t="s">
        <v>1623</v>
      </c>
      <c r="B420">
        <v>-0.32421779211704416</v>
      </c>
      <c r="C420" t="s">
        <v>2047</v>
      </c>
      <c r="D420" t="s">
        <v>2035</v>
      </c>
    </row>
    <row r="421" spans="1:4" x14ac:dyDescent="0.3">
      <c r="A421" t="s">
        <v>1633</v>
      </c>
      <c r="B421">
        <v>56.365590819047441</v>
      </c>
      <c r="C421" t="s">
        <v>2047</v>
      </c>
      <c r="D421" t="s">
        <v>2035</v>
      </c>
    </row>
    <row r="422" spans="1:4" x14ac:dyDescent="0.3">
      <c r="A422" t="s">
        <v>1628</v>
      </c>
      <c r="B422">
        <v>32.301522932110188</v>
      </c>
      <c r="C422" t="s">
        <v>2047</v>
      </c>
      <c r="D422" t="s">
        <v>2036</v>
      </c>
    </row>
    <row r="423" spans="1:4" x14ac:dyDescent="0.3">
      <c r="A423" t="s">
        <v>17</v>
      </c>
      <c r="B423">
        <v>18.474082805176593</v>
      </c>
      <c r="C423" t="s">
        <v>2047</v>
      </c>
      <c r="D423" t="s">
        <v>2036</v>
      </c>
    </row>
    <row r="424" spans="1:4" x14ac:dyDescent="0.3">
      <c r="A424" t="s">
        <v>209</v>
      </c>
      <c r="B424">
        <v>13.786842063146915</v>
      </c>
      <c r="C424" t="s">
        <v>2047</v>
      </c>
      <c r="D424" t="s">
        <v>2036</v>
      </c>
    </row>
    <row r="425" spans="1:4" x14ac:dyDescent="0.3">
      <c r="A425" t="s">
        <v>446</v>
      </c>
      <c r="B425">
        <v>4.0598063786682376E-2</v>
      </c>
      <c r="C425" t="s">
        <v>2047</v>
      </c>
      <c r="D425" t="s">
        <v>2036</v>
      </c>
    </row>
    <row r="426" spans="1:4" x14ac:dyDescent="0.3">
      <c r="A426" t="s">
        <v>1632</v>
      </c>
      <c r="B426">
        <v>23.738198918430708</v>
      </c>
      <c r="C426" t="s">
        <v>2047</v>
      </c>
      <c r="D426" t="s">
        <v>2036</v>
      </c>
    </row>
    <row r="427" spans="1:4" x14ac:dyDescent="0.3">
      <c r="A427" t="s">
        <v>1626</v>
      </c>
      <c r="B427">
        <v>18.058215830673674</v>
      </c>
      <c r="C427" t="s">
        <v>2047</v>
      </c>
      <c r="D427" t="s">
        <v>2036</v>
      </c>
    </row>
    <row r="428" spans="1:4" x14ac:dyDescent="0.3">
      <c r="A428" t="s">
        <v>1627</v>
      </c>
      <c r="B428">
        <v>5.9308426230761953</v>
      </c>
      <c r="C428" t="s">
        <v>2047</v>
      </c>
      <c r="D428" t="s">
        <v>2036</v>
      </c>
    </row>
    <row r="429" spans="1:4" x14ac:dyDescent="0.3">
      <c r="A429" t="s">
        <v>1625</v>
      </c>
      <c r="B429">
        <v>7.3358256797885601E-2</v>
      </c>
      <c r="C429" t="s">
        <v>2047</v>
      </c>
      <c r="D429" t="s">
        <v>2036</v>
      </c>
    </row>
    <row r="430" spans="1:4" x14ac:dyDescent="0.3">
      <c r="A430" t="s">
        <v>1623</v>
      </c>
      <c r="B430">
        <v>-0.32421779211704416</v>
      </c>
      <c r="C430" t="s">
        <v>2047</v>
      </c>
      <c r="D430" t="s">
        <v>2036</v>
      </c>
    </row>
    <row r="431" spans="1:4" x14ac:dyDescent="0.3">
      <c r="A431" t="s">
        <v>1633</v>
      </c>
      <c r="B431">
        <v>56.0397218505409</v>
      </c>
      <c r="C431" t="s">
        <v>2047</v>
      </c>
      <c r="D431" t="s">
        <v>2036</v>
      </c>
    </row>
    <row r="432" spans="1:4" x14ac:dyDescent="0.3">
      <c r="A432" t="s">
        <v>1628</v>
      </c>
      <c r="B432">
        <v>32.626073450117474</v>
      </c>
      <c r="C432" t="s">
        <v>2047</v>
      </c>
      <c r="D432" t="s">
        <v>2037</v>
      </c>
    </row>
    <row r="433" spans="1:4" x14ac:dyDescent="0.3">
      <c r="A433" t="s">
        <v>17</v>
      </c>
      <c r="B433">
        <v>18.474082805176593</v>
      </c>
      <c r="C433" t="s">
        <v>2047</v>
      </c>
      <c r="D433" t="s">
        <v>2037</v>
      </c>
    </row>
    <row r="434" spans="1:4" x14ac:dyDescent="0.3">
      <c r="A434" t="s">
        <v>209</v>
      </c>
      <c r="B434">
        <v>14.111392581154201</v>
      </c>
      <c r="C434" t="s">
        <v>2047</v>
      </c>
      <c r="D434" t="s">
        <v>2037</v>
      </c>
    </row>
    <row r="435" spans="1:4" x14ac:dyDescent="0.3">
      <c r="A435" t="s">
        <v>446</v>
      </c>
      <c r="B435">
        <v>4.0598063786682376E-2</v>
      </c>
      <c r="C435" t="s">
        <v>2047</v>
      </c>
      <c r="D435" t="s">
        <v>2037</v>
      </c>
    </row>
    <row r="436" spans="1:4" x14ac:dyDescent="0.3">
      <c r="A436" t="s">
        <v>1632</v>
      </c>
      <c r="B436">
        <v>23.738198918430708</v>
      </c>
      <c r="C436" t="s">
        <v>2047</v>
      </c>
      <c r="D436" t="s">
        <v>2037</v>
      </c>
    </row>
    <row r="437" spans="1:4" x14ac:dyDescent="0.3">
      <c r="A437" t="s">
        <v>1626</v>
      </c>
      <c r="B437">
        <v>18.058215830673674</v>
      </c>
      <c r="C437" t="s">
        <v>2047</v>
      </c>
      <c r="D437" t="s">
        <v>2037</v>
      </c>
    </row>
    <row r="438" spans="1:4" x14ac:dyDescent="0.3">
      <c r="A438" t="s">
        <v>1627</v>
      </c>
      <c r="B438">
        <v>5.9308426230761953</v>
      </c>
      <c r="C438" t="s">
        <v>2047</v>
      </c>
      <c r="D438" t="s">
        <v>2037</v>
      </c>
    </row>
    <row r="439" spans="1:4" x14ac:dyDescent="0.3">
      <c r="A439" t="s">
        <v>1625</v>
      </c>
      <c r="B439">
        <v>7.3358256797885601E-2</v>
      </c>
      <c r="C439" t="s">
        <v>2047</v>
      </c>
      <c r="D439" t="s">
        <v>2037</v>
      </c>
    </row>
    <row r="440" spans="1:4" x14ac:dyDescent="0.3">
      <c r="A440" t="s">
        <v>1623</v>
      </c>
      <c r="B440">
        <v>-0.32421779211704416</v>
      </c>
      <c r="C440" t="s">
        <v>2047</v>
      </c>
      <c r="D440" t="s">
        <v>2037</v>
      </c>
    </row>
    <row r="441" spans="1:4" x14ac:dyDescent="0.3">
      <c r="A441" t="s">
        <v>1633</v>
      </c>
      <c r="B441">
        <v>56.364272368548185</v>
      </c>
      <c r="C441" t="s">
        <v>2047</v>
      </c>
      <c r="D441" t="s">
        <v>2037</v>
      </c>
    </row>
    <row r="442" spans="1:4" x14ac:dyDescent="0.3">
      <c r="A442" t="s">
        <v>1628</v>
      </c>
      <c r="B442">
        <v>32.150986052479055</v>
      </c>
      <c r="C442" t="s">
        <v>2047</v>
      </c>
      <c r="D442" t="s">
        <v>2038</v>
      </c>
    </row>
    <row r="443" spans="1:4" x14ac:dyDescent="0.3">
      <c r="A443" t="s">
        <v>17</v>
      </c>
      <c r="B443">
        <v>18.474082805176593</v>
      </c>
      <c r="C443" t="s">
        <v>2047</v>
      </c>
      <c r="D443" t="s">
        <v>2038</v>
      </c>
    </row>
    <row r="444" spans="1:4" x14ac:dyDescent="0.3">
      <c r="A444" t="s">
        <v>209</v>
      </c>
      <c r="B444">
        <v>13.636305183515779</v>
      </c>
      <c r="C444" t="s">
        <v>2047</v>
      </c>
      <c r="D444" t="s">
        <v>2038</v>
      </c>
    </row>
    <row r="445" spans="1:4" x14ac:dyDescent="0.3">
      <c r="A445" t="s">
        <v>446</v>
      </c>
      <c r="B445">
        <v>4.0598063786682376E-2</v>
      </c>
      <c r="C445" t="s">
        <v>2047</v>
      </c>
      <c r="D445" t="s">
        <v>2038</v>
      </c>
    </row>
    <row r="446" spans="1:4" x14ac:dyDescent="0.3">
      <c r="A446" t="s">
        <v>1632</v>
      </c>
      <c r="B446">
        <v>23.738198918430708</v>
      </c>
      <c r="C446" t="s">
        <v>2047</v>
      </c>
      <c r="D446" t="s">
        <v>2038</v>
      </c>
    </row>
    <row r="447" spans="1:4" x14ac:dyDescent="0.3">
      <c r="A447" t="s">
        <v>1626</v>
      </c>
      <c r="B447">
        <v>18.058215830673674</v>
      </c>
      <c r="C447" t="s">
        <v>2047</v>
      </c>
      <c r="D447" t="s">
        <v>2038</v>
      </c>
    </row>
    <row r="448" spans="1:4" x14ac:dyDescent="0.3">
      <c r="A448" t="s">
        <v>1627</v>
      </c>
      <c r="B448">
        <v>5.9308426230761953</v>
      </c>
      <c r="C448" t="s">
        <v>2047</v>
      </c>
      <c r="D448" t="s">
        <v>2038</v>
      </c>
    </row>
    <row r="449" spans="1:4" x14ac:dyDescent="0.3">
      <c r="A449" t="s">
        <v>1625</v>
      </c>
      <c r="B449">
        <v>7.3358256797885601E-2</v>
      </c>
      <c r="C449" t="s">
        <v>2047</v>
      </c>
      <c r="D449" t="s">
        <v>2038</v>
      </c>
    </row>
    <row r="450" spans="1:4" x14ac:dyDescent="0.3">
      <c r="A450" t="s">
        <v>1623</v>
      </c>
      <c r="B450">
        <v>-0.32421779211704416</v>
      </c>
      <c r="C450" t="s">
        <v>2047</v>
      </c>
      <c r="D450" t="s">
        <v>2038</v>
      </c>
    </row>
    <row r="451" spans="1:4" x14ac:dyDescent="0.3">
      <c r="A451" t="s">
        <v>1633</v>
      </c>
      <c r="B451">
        <v>55.889184970909767</v>
      </c>
      <c r="C451" t="s">
        <v>2047</v>
      </c>
      <c r="D451" t="s">
        <v>2038</v>
      </c>
    </row>
    <row r="452" spans="1:4" x14ac:dyDescent="0.3">
      <c r="A452" t="s">
        <v>1628</v>
      </c>
      <c r="B452">
        <v>32.106980761734256</v>
      </c>
      <c r="C452" t="s">
        <v>2047</v>
      </c>
      <c r="D452" t="s">
        <v>2039</v>
      </c>
    </row>
    <row r="453" spans="1:4" x14ac:dyDescent="0.3">
      <c r="A453" t="s">
        <v>17</v>
      </c>
      <c r="B453">
        <v>18.474082805176593</v>
      </c>
      <c r="C453" t="s">
        <v>2047</v>
      </c>
      <c r="D453" t="s">
        <v>2039</v>
      </c>
    </row>
    <row r="454" spans="1:4" x14ac:dyDescent="0.3">
      <c r="A454" t="s">
        <v>209</v>
      </c>
      <c r="B454">
        <v>13.592299892770979</v>
      </c>
      <c r="C454" t="s">
        <v>2047</v>
      </c>
      <c r="D454" t="s">
        <v>2039</v>
      </c>
    </row>
    <row r="455" spans="1:4" x14ac:dyDescent="0.3">
      <c r="A455" t="s">
        <v>446</v>
      </c>
      <c r="B455">
        <v>4.0598063786682376E-2</v>
      </c>
      <c r="C455" t="s">
        <v>2047</v>
      </c>
      <c r="D455" t="s">
        <v>2039</v>
      </c>
    </row>
    <row r="456" spans="1:4" x14ac:dyDescent="0.3">
      <c r="A456" t="s">
        <v>1632</v>
      </c>
      <c r="B456">
        <v>23.738198918430708</v>
      </c>
      <c r="C456" t="s">
        <v>2047</v>
      </c>
      <c r="D456" t="s">
        <v>2039</v>
      </c>
    </row>
    <row r="457" spans="1:4" x14ac:dyDescent="0.3">
      <c r="A457" t="s">
        <v>1626</v>
      </c>
      <c r="B457">
        <v>18.058215830673674</v>
      </c>
      <c r="C457" t="s">
        <v>2047</v>
      </c>
      <c r="D457" t="s">
        <v>2039</v>
      </c>
    </row>
    <row r="458" spans="1:4" x14ac:dyDescent="0.3">
      <c r="A458" t="s">
        <v>1627</v>
      </c>
      <c r="B458">
        <v>5.9308426230761953</v>
      </c>
      <c r="C458" t="s">
        <v>2047</v>
      </c>
      <c r="D458" t="s">
        <v>2039</v>
      </c>
    </row>
    <row r="459" spans="1:4" x14ac:dyDescent="0.3">
      <c r="A459" t="s">
        <v>1625</v>
      </c>
      <c r="B459">
        <v>7.3358256797885601E-2</v>
      </c>
      <c r="C459" t="s">
        <v>2047</v>
      </c>
      <c r="D459" t="s">
        <v>2039</v>
      </c>
    </row>
    <row r="460" spans="1:4" x14ac:dyDescent="0.3">
      <c r="A460" t="s">
        <v>1623</v>
      </c>
      <c r="B460">
        <v>-0.32421779211704416</v>
      </c>
      <c r="C460" t="s">
        <v>2047</v>
      </c>
      <c r="D460" t="s">
        <v>2039</v>
      </c>
    </row>
    <row r="461" spans="1:4" x14ac:dyDescent="0.3">
      <c r="A461" t="s">
        <v>1633</v>
      </c>
      <c r="B461">
        <v>55.845179680164961</v>
      </c>
      <c r="C461" t="s">
        <v>2047</v>
      </c>
      <c r="D461" t="s">
        <v>2039</v>
      </c>
    </row>
    <row r="462" spans="1:4" x14ac:dyDescent="0.3">
      <c r="A462" t="s">
        <v>1628</v>
      </c>
      <c r="B462">
        <v>32.210365684708911</v>
      </c>
      <c r="C462" t="s">
        <v>2047</v>
      </c>
      <c r="D462" t="s">
        <v>2040</v>
      </c>
    </row>
    <row r="463" spans="1:4" x14ac:dyDescent="0.3">
      <c r="A463" t="s">
        <v>17</v>
      </c>
      <c r="B463">
        <v>18.474082805176593</v>
      </c>
      <c r="C463" t="s">
        <v>2047</v>
      </c>
      <c r="D463" t="s">
        <v>2040</v>
      </c>
    </row>
    <row r="464" spans="1:4" x14ac:dyDescent="0.3">
      <c r="A464" t="s">
        <v>209</v>
      </c>
      <c r="B464">
        <v>13.695684815745633</v>
      </c>
      <c r="C464" t="s">
        <v>2047</v>
      </c>
      <c r="D464" t="s">
        <v>2040</v>
      </c>
    </row>
    <row r="465" spans="1:4" x14ac:dyDescent="0.3">
      <c r="A465" t="s">
        <v>446</v>
      </c>
      <c r="B465">
        <v>4.0598063786682376E-2</v>
      </c>
      <c r="C465" t="s">
        <v>2047</v>
      </c>
      <c r="D465" t="s">
        <v>2040</v>
      </c>
    </row>
    <row r="466" spans="1:4" x14ac:dyDescent="0.3">
      <c r="A466" t="s">
        <v>1632</v>
      </c>
      <c r="B466">
        <v>23.738198918430708</v>
      </c>
      <c r="C466" t="s">
        <v>2047</v>
      </c>
      <c r="D466" t="s">
        <v>2040</v>
      </c>
    </row>
    <row r="467" spans="1:4" x14ac:dyDescent="0.3">
      <c r="A467" t="s">
        <v>1626</v>
      </c>
      <c r="B467">
        <v>18.058215830673674</v>
      </c>
      <c r="C467" t="s">
        <v>2047</v>
      </c>
      <c r="D467" t="s">
        <v>2040</v>
      </c>
    </row>
    <row r="468" spans="1:4" x14ac:dyDescent="0.3">
      <c r="A468" t="s">
        <v>1627</v>
      </c>
      <c r="B468">
        <v>5.9308426230761953</v>
      </c>
      <c r="C468" t="s">
        <v>2047</v>
      </c>
      <c r="D468" t="s">
        <v>2040</v>
      </c>
    </row>
    <row r="469" spans="1:4" x14ac:dyDescent="0.3">
      <c r="A469" t="s">
        <v>1625</v>
      </c>
      <c r="B469">
        <v>7.3358256797885601E-2</v>
      </c>
      <c r="C469" t="s">
        <v>2047</v>
      </c>
      <c r="D469" t="s">
        <v>2040</v>
      </c>
    </row>
    <row r="470" spans="1:4" x14ac:dyDescent="0.3">
      <c r="A470" t="s">
        <v>1623</v>
      </c>
      <c r="B470">
        <v>-0.32421779211704416</v>
      </c>
      <c r="C470" t="s">
        <v>2047</v>
      </c>
      <c r="D470" t="s">
        <v>2040</v>
      </c>
    </row>
    <row r="471" spans="1:4" x14ac:dyDescent="0.3">
      <c r="A471" t="s">
        <v>1633</v>
      </c>
      <c r="B471">
        <v>55.948564603139616</v>
      </c>
      <c r="C471" t="s">
        <v>2047</v>
      </c>
      <c r="D471" t="s">
        <v>2040</v>
      </c>
    </row>
    <row r="472" spans="1:4" x14ac:dyDescent="0.3">
      <c r="A472" t="s">
        <v>1628</v>
      </c>
      <c r="B472">
        <v>32.301522932110188</v>
      </c>
      <c r="C472" t="s">
        <v>2047</v>
      </c>
      <c r="D472" t="s">
        <v>2041</v>
      </c>
    </row>
    <row r="473" spans="1:4" x14ac:dyDescent="0.3">
      <c r="A473" t="s">
        <v>17</v>
      </c>
      <c r="B473">
        <v>18.474082805176593</v>
      </c>
      <c r="C473" t="s">
        <v>2047</v>
      </c>
      <c r="D473" t="s">
        <v>2041</v>
      </c>
    </row>
    <row r="474" spans="1:4" x14ac:dyDescent="0.3">
      <c r="A474" t="s">
        <v>209</v>
      </c>
      <c r="B474">
        <v>13.786842063146915</v>
      </c>
      <c r="C474" t="s">
        <v>2047</v>
      </c>
      <c r="D474" t="s">
        <v>2041</v>
      </c>
    </row>
    <row r="475" spans="1:4" x14ac:dyDescent="0.3">
      <c r="A475" t="s">
        <v>446</v>
      </c>
      <c r="B475">
        <v>4.0598063786682376E-2</v>
      </c>
      <c r="C475" t="s">
        <v>2047</v>
      </c>
      <c r="D475" t="s">
        <v>2041</v>
      </c>
    </row>
    <row r="476" spans="1:4" x14ac:dyDescent="0.3">
      <c r="A476" t="s">
        <v>1632</v>
      </c>
      <c r="B476">
        <v>23.738198918430708</v>
      </c>
      <c r="C476" t="s">
        <v>2047</v>
      </c>
      <c r="D476" t="s">
        <v>2041</v>
      </c>
    </row>
    <row r="477" spans="1:4" x14ac:dyDescent="0.3">
      <c r="A477" t="s">
        <v>1626</v>
      </c>
      <c r="B477">
        <v>18.058215830673674</v>
      </c>
      <c r="C477" t="s">
        <v>2047</v>
      </c>
      <c r="D477" t="s">
        <v>2041</v>
      </c>
    </row>
    <row r="478" spans="1:4" x14ac:dyDescent="0.3">
      <c r="A478" t="s">
        <v>1627</v>
      </c>
      <c r="B478">
        <v>5.9308426230761953</v>
      </c>
      <c r="C478" t="s">
        <v>2047</v>
      </c>
      <c r="D478" t="s">
        <v>2041</v>
      </c>
    </row>
    <row r="479" spans="1:4" x14ac:dyDescent="0.3">
      <c r="A479" t="s">
        <v>1625</v>
      </c>
      <c r="B479">
        <v>7.3358256797885601E-2</v>
      </c>
      <c r="C479" t="s">
        <v>2047</v>
      </c>
      <c r="D479" t="s">
        <v>2041</v>
      </c>
    </row>
    <row r="480" spans="1:4" x14ac:dyDescent="0.3">
      <c r="A480" t="s">
        <v>1623</v>
      </c>
      <c r="B480">
        <v>-0.32421779211704416</v>
      </c>
      <c r="C480" t="s">
        <v>2047</v>
      </c>
      <c r="D480" t="s">
        <v>2041</v>
      </c>
    </row>
    <row r="481" spans="1:4" x14ac:dyDescent="0.3">
      <c r="A481" t="s">
        <v>1633</v>
      </c>
      <c r="B481">
        <v>56.0397218505409</v>
      </c>
      <c r="C481" t="s">
        <v>2047</v>
      </c>
      <c r="D481" t="s">
        <v>2041</v>
      </c>
    </row>
    <row r="482" spans="1:4" x14ac:dyDescent="0.3">
      <c r="A482" t="s">
        <v>1628</v>
      </c>
      <c r="B482">
        <v>32.220163897774491</v>
      </c>
      <c r="C482" t="s">
        <v>2047</v>
      </c>
      <c r="D482" t="s">
        <v>2042</v>
      </c>
    </row>
    <row r="483" spans="1:4" x14ac:dyDescent="0.3">
      <c r="A483" t="s">
        <v>17</v>
      </c>
      <c r="B483">
        <v>18.474082805176593</v>
      </c>
      <c r="C483" t="s">
        <v>2047</v>
      </c>
      <c r="D483" t="s">
        <v>2042</v>
      </c>
    </row>
    <row r="484" spans="1:4" x14ac:dyDescent="0.3">
      <c r="A484" t="s">
        <v>209</v>
      </c>
      <c r="B484">
        <v>13.705483028811214</v>
      </c>
      <c r="C484" t="s">
        <v>2047</v>
      </c>
      <c r="D484" t="s">
        <v>2042</v>
      </c>
    </row>
    <row r="485" spans="1:4" x14ac:dyDescent="0.3">
      <c r="A485" t="s">
        <v>446</v>
      </c>
      <c r="B485">
        <v>4.0598063786682376E-2</v>
      </c>
      <c r="C485" t="s">
        <v>2047</v>
      </c>
      <c r="D485" t="s">
        <v>2042</v>
      </c>
    </row>
    <row r="486" spans="1:4" x14ac:dyDescent="0.3">
      <c r="A486" t="s">
        <v>1632</v>
      </c>
      <c r="B486">
        <v>23.738198918430708</v>
      </c>
      <c r="C486" t="s">
        <v>2047</v>
      </c>
      <c r="D486" t="s">
        <v>2042</v>
      </c>
    </row>
    <row r="487" spans="1:4" x14ac:dyDescent="0.3">
      <c r="A487" t="s">
        <v>1626</v>
      </c>
      <c r="B487">
        <v>18.058215830673674</v>
      </c>
      <c r="C487" t="s">
        <v>2047</v>
      </c>
      <c r="D487" t="s">
        <v>2042</v>
      </c>
    </row>
    <row r="488" spans="1:4" x14ac:dyDescent="0.3">
      <c r="A488" t="s">
        <v>1627</v>
      </c>
      <c r="B488">
        <v>5.9308426230761953</v>
      </c>
      <c r="C488" t="s">
        <v>2047</v>
      </c>
      <c r="D488" t="s">
        <v>2042</v>
      </c>
    </row>
    <row r="489" spans="1:4" x14ac:dyDescent="0.3">
      <c r="A489" t="s">
        <v>1625</v>
      </c>
      <c r="B489">
        <v>7.3358256797885601E-2</v>
      </c>
      <c r="C489" t="s">
        <v>2047</v>
      </c>
      <c r="D489" t="s">
        <v>2042</v>
      </c>
    </row>
    <row r="490" spans="1:4" x14ac:dyDescent="0.3">
      <c r="A490" t="s">
        <v>1623</v>
      </c>
      <c r="B490">
        <v>-0.32421779211704416</v>
      </c>
      <c r="C490" t="s">
        <v>2047</v>
      </c>
      <c r="D490" t="s">
        <v>2042</v>
      </c>
    </row>
    <row r="491" spans="1:4" x14ac:dyDescent="0.3">
      <c r="A491" t="s">
        <v>1633</v>
      </c>
      <c r="B491">
        <v>55.958362816205195</v>
      </c>
      <c r="C491" t="s">
        <v>2047</v>
      </c>
      <c r="D491" t="s">
        <v>2042</v>
      </c>
    </row>
    <row r="492" spans="1:4" x14ac:dyDescent="0.3">
      <c r="A492" t="s">
        <v>1628</v>
      </c>
      <c r="B492">
        <v>32.915749030773434</v>
      </c>
      <c r="C492" t="s">
        <v>2047</v>
      </c>
      <c r="D492" t="s">
        <v>2043</v>
      </c>
    </row>
    <row r="493" spans="1:4" x14ac:dyDescent="0.3">
      <c r="A493" t="s">
        <v>17</v>
      </c>
      <c r="B493">
        <v>18.474082805176593</v>
      </c>
      <c r="C493" t="s">
        <v>2047</v>
      </c>
      <c r="D493" t="s">
        <v>2043</v>
      </c>
    </row>
    <row r="494" spans="1:4" x14ac:dyDescent="0.3">
      <c r="A494" t="s">
        <v>209</v>
      </c>
      <c r="B494">
        <v>14.401068161810155</v>
      </c>
      <c r="C494" t="s">
        <v>2047</v>
      </c>
      <c r="D494" t="s">
        <v>2043</v>
      </c>
    </row>
    <row r="495" spans="1:4" x14ac:dyDescent="0.3">
      <c r="A495" t="s">
        <v>446</v>
      </c>
      <c r="B495">
        <v>4.0598063786682376E-2</v>
      </c>
      <c r="C495" t="s">
        <v>2047</v>
      </c>
      <c r="D495" t="s">
        <v>2043</v>
      </c>
    </row>
    <row r="496" spans="1:4" x14ac:dyDescent="0.3">
      <c r="A496" t="s">
        <v>1632</v>
      </c>
      <c r="B496">
        <v>23.738198918430708</v>
      </c>
      <c r="C496" t="s">
        <v>2047</v>
      </c>
      <c r="D496" t="s">
        <v>2043</v>
      </c>
    </row>
    <row r="497" spans="1:4" x14ac:dyDescent="0.3">
      <c r="A497" t="s">
        <v>1626</v>
      </c>
      <c r="B497">
        <v>18.058215830673674</v>
      </c>
      <c r="C497" t="s">
        <v>2047</v>
      </c>
      <c r="D497" t="s">
        <v>2043</v>
      </c>
    </row>
    <row r="498" spans="1:4" x14ac:dyDescent="0.3">
      <c r="A498" t="s">
        <v>1627</v>
      </c>
      <c r="B498">
        <v>5.9308426230761953</v>
      </c>
      <c r="C498" t="s">
        <v>2047</v>
      </c>
      <c r="D498" t="s">
        <v>2043</v>
      </c>
    </row>
    <row r="499" spans="1:4" x14ac:dyDescent="0.3">
      <c r="A499" t="s">
        <v>1625</v>
      </c>
      <c r="B499">
        <v>7.3358256797885601E-2</v>
      </c>
      <c r="C499" t="s">
        <v>2047</v>
      </c>
      <c r="D499" t="s">
        <v>2043</v>
      </c>
    </row>
    <row r="500" spans="1:4" x14ac:dyDescent="0.3">
      <c r="A500" t="s">
        <v>1623</v>
      </c>
      <c r="B500">
        <v>-0.32421779211704416</v>
      </c>
      <c r="C500" t="s">
        <v>2047</v>
      </c>
      <c r="D500" t="s">
        <v>2043</v>
      </c>
    </row>
    <row r="501" spans="1:4" x14ac:dyDescent="0.3">
      <c r="A501" t="s">
        <v>1633</v>
      </c>
      <c r="B501">
        <v>56.653947949204138</v>
      </c>
      <c r="C501" t="s">
        <v>2047</v>
      </c>
      <c r="D501" t="s">
        <v>2043</v>
      </c>
    </row>
    <row r="502" spans="1:4" x14ac:dyDescent="0.3">
      <c r="A502" t="s">
        <v>1628</v>
      </c>
      <c r="B502">
        <v>32.301522932110188</v>
      </c>
      <c r="C502" t="s">
        <v>2047</v>
      </c>
      <c r="D502" t="s">
        <v>2044</v>
      </c>
    </row>
    <row r="503" spans="1:4" x14ac:dyDescent="0.3">
      <c r="A503" t="s">
        <v>17</v>
      </c>
      <c r="B503">
        <v>18.474082805176593</v>
      </c>
      <c r="C503" t="s">
        <v>2047</v>
      </c>
      <c r="D503" t="s">
        <v>2044</v>
      </c>
    </row>
    <row r="504" spans="1:4" x14ac:dyDescent="0.3">
      <c r="A504" t="s">
        <v>209</v>
      </c>
      <c r="B504">
        <v>13.786842063146915</v>
      </c>
      <c r="C504" t="s">
        <v>2047</v>
      </c>
      <c r="D504" t="s">
        <v>2044</v>
      </c>
    </row>
    <row r="505" spans="1:4" x14ac:dyDescent="0.3">
      <c r="A505" t="s">
        <v>446</v>
      </c>
      <c r="B505">
        <v>4.0598063786682376E-2</v>
      </c>
      <c r="C505" t="s">
        <v>2047</v>
      </c>
      <c r="D505" t="s">
        <v>2044</v>
      </c>
    </row>
    <row r="506" spans="1:4" x14ac:dyDescent="0.3">
      <c r="A506" t="s">
        <v>1632</v>
      </c>
      <c r="B506">
        <v>23.738198918430708</v>
      </c>
      <c r="C506" t="s">
        <v>2047</v>
      </c>
      <c r="D506" t="s">
        <v>2044</v>
      </c>
    </row>
    <row r="507" spans="1:4" x14ac:dyDescent="0.3">
      <c r="A507" t="s">
        <v>1626</v>
      </c>
      <c r="B507">
        <v>18.058215830673674</v>
      </c>
      <c r="C507" t="s">
        <v>2047</v>
      </c>
      <c r="D507" t="s">
        <v>2044</v>
      </c>
    </row>
    <row r="508" spans="1:4" x14ac:dyDescent="0.3">
      <c r="A508" t="s">
        <v>1627</v>
      </c>
      <c r="B508">
        <v>5.9308426230761953</v>
      </c>
      <c r="C508" t="s">
        <v>2047</v>
      </c>
      <c r="D508" t="s">
        <v>2044</v>
      </c>
    </row>
    <row r="509" spans="1:4" x14ac:dyDescent="0.3">
      <c r="A509" t="s">
        <v>1625</v>
      </c>
      <c r="B509">
        <v>7.3358256797885601E-2</v>
      </c>
      <c r="C509" t="s">
        <v>2047</v>
      </c>
      <c r="D509" t="s">
        <v>2044</v>
      </c>
    </row>
    <row r="510" spans="1:4" x14ac:dyDescent="0.3">
      <c r="A510" t="s">
        <v>1623</v>
      </c>
      <c r="B510">
        <v>-0.32421779211704416</v>
      </c>
      <c r="C510" t="s">
        <v>2047</v>
      </c>
      <c r="D510" t="s">
        <v>2044</v>
      </c>
    </row>
    <row r="511" spans="1:4" x14ac:dyDescent="0.3">
      <c r="A511" t="s">
        <v>1633</v>
      </c>
      <c r="B511">
        <v>56.0397218505409</v>
      </c>
      <c r="C511" t="s">
        <v>2047</v>
      </c>
      <c r="D511" t="s">
        <v>2044</v>
      </c>
    </row>
    <row r="512" spans="1:4" x14ac:dyDescent="0.3">
      <c r="A512" t="s">
        <v>1628</v>
      </c>
      <c r="B512">
        <v>36.401782915513245</v>
      </c>
      <c r="C512" t="s">
        <v>2047</v>
      </c>
      <c r="D512" t="s">
        <v>2045</v>
      </c>
    </row>
    <row r="513" spans="1:4" x14ac:dyDescent="0.3">
      <c r="A513" t="s">
        <v>17</v>
      </c>
      <c r="B513">
        <v>18.474082805176593</v>
      </c>
      <c r="C513" t="s">
        <v>2047</v>
      </c>
      <c r="D513" t="s">
        <v>2045</v>
      </c>
    </row>
    <row r="514" spans="1:4" x14ac:dyDescent="0.3">
      <c r="A514" t="s">
        <v>209</v>
      </c>
      <c r="B514">
        <v>17.88710204654997</v>
      </c>
      <c r="C514" t="s">
        <v>2047</v>
      </c>
      <c r="D514" t="s">
        <v>2045</v>
      </c>
    </row>
    <row r="515" spans="1:4" x14ac:dyDescent="0.3">
      <c r="A515" t="s">
        <v>446</v>
      </c>
      <c r="B515">
        <v>4.0598063786682376E-2</v>
      </c>
      <c r="C515" t="s">
        <v>2047</v>
      </c>
      <c r="D515" t="s">
        <v>2045</v>
      </c>
    </row>
    <row r="516" spans="1:4" x14ac:dyDescent="0.3">
      <c r="A516" t="s">
        <v>1632</v>
      </c>
      <c r="B516">
        <v>23.738198918430708</v>
      </c>
      <c r="C516" t="s">
        <v>2047</v>
      </c>
      <c r="D516" t="s">
        <v>2045</v>
      </c>
    </row>
    <row r="517" spans="1:4" x14ac:dyDescent="0.3">
      <c r="A517" t="s">
        <v>1626</v>
      </c>
      <c r="B517">
        <v>18.058215830673674</v>
      </c>
      <c r="C517" t="s">
        <v>2047</v>
      </c>
      <c r="D517" t="s">
        <v>2045</v>
      </c>
    </row>
    <row r="518" spans="1:4" x14ac:dyDescent="0.3">
      <c r="A518" t="s">
        <v>1627</v>
      </c>
      <c r="B518">
        <v>5.9308426230761953</v>
      </c>
      <c r="C518" t="s">
        <v>2047</v>
      </c>
      <c r="D518" t="s">
        <v>2045</v>
      </c>
    </row>
    <row r="519" spans="1:4" x14ac:dyDescent="0.3">
      <c r="A519" t="s">
        <v>1625</v>
      </c>
      <c r="B519">
        <v>7.3358256797885601E-2</v>
      </c>
      <c r="C519" t="s">
        <v>2047</v>
      </c>
      <c r="D519" t="s">
        <v>2045</v>
      </c>
    </row>
    <row r="520" spans="1:4" x14ac:dyDescent="0.3">
      <c r="A520" t="s">
        <v>1623</v>
      </c>
      <c r="B520">
        <v>-0.32421779211704416</v>
      </c>
      <c r="C520" t="s">
        <v>2047</v>
      </c>
      <c r="D520" t="s">
        <v>2045</v>
      </c>
    </row>
    <row r="521" spans="1:4" x14ac:dyDescent="0.3">
      <c r="A521" t="s">
        <v>1633</v>
      </c>
      <c r="B521">
        <v>60.139981833943949</v>
      </c>
      <c r="C521" t="s">
        <v>2047</v>
      </c>
      <c r="D521" t="s">
        <v>2045</v>
      </c>
    </row>
    <row r="522" spans="1:4" x14ac:dyDescent="0.3">
      <c r="A522" t="s">
        <v>1628</v>
      </c>
      <c r="B522">
        <v>32.301522932110188</v>
      </c>
      <c r="C522" t="s">
        <v>2047</v>
      </c>
      <c r="D522" t="s">
        <v>2046</v>
      </c>
    </row>
    <row r="523" spans="1:4" x14ac:dyDescent="0.3">
      <c r="A523" t="s">
        <v>17</v>
      </c>
      <c r="B523">
        <v>18.474082805176593</v>
      </c>
      <c r="C523" t="s">
        <v>2047</v>
      </c>
      <c r="D523" t="s">
        <v>2046</v>
      </c>
    </row>
    <row r="524" spans="1:4" x14ac:dyDescent="0.3">
      <c r="A524" t="s">
        <v>209</v>
      </c>
      <c r="B524">
        <v>13.786842063146915</v>
      </c>
      <c r="C524" t="s">
        <v>2047</v>
      </c>
      <c r="D524" t="s">
        <v>2046</v>
      </c>
    </row>
    <row r="525" spans="1:4" x14ac:dyDescent="0.3">
      <c r="A525" t="s">
        <v>446</v>
      </c>
      <c r="B525">
        <v>4.0598063786682376E-2</v>
      </c>
      <c r="C525" t="s">
        <v>2047</v>
      </c>
      <c r="D525" t="s">
        <v>2046</v>
      </c>
    </row>
    <row r="526" spans="1:4" x14ac:dyDescent="0.3">
      <c r="A526" t="s">
        <v>1632</v>
      </c>
      <c r="B526">
        <v>23.738198918430708</v>
      </c>
      <c r="C526" t="s">
        <v>2047</v>
      </c>
      <c r="D526" t="s">
        <v>2046</v>
      </c>
    </row>
    <row r="527" spans="1:4" x14ac:dyDescent="0.3">
      <c r="A527" t="s">
        <v>1626</v>
      </c>
      <c r="B527">
        <v>18.058215830673674</v>
      </c>
      <c r="C527" t="s">
        <v>2047</v>
      </c>
      <c r="D527" t="s">
        <v>2046</v>
      </c>
    </row>
    <row r="528" spans="1:4" x14ac:dyDescent="0.3">
      <c r="A528" t="s">
        <v>1627</v>
      </c>
      <c r="B528">
        <v>5.9308426230761953</v>
      </c>
      <c r="C528" t="s">
        <v>2047</v>
      </c>
      <c r="D528" t="s">
        <v>2046</v>
      </c>
    </row>
    <row r="529" spans="1:4" x14ac:dyDescent="0.3">
      <c r="A529" t="s">
        <v>1625</v>
      </c>
      <c r="B529">
        <v>7.3358256797885601E-2</v>
      </c>
      <c r="C529" t="s">
        <v>2047</v>
      </c>
      <c r="D529" t="s">
        <v>2046</v>
      </c>
    </row>
    <row r="530" spans="1:4" x14ac:dyDescent="0.3">
      <c r="A530" t="s">
        <v>1623</v>
      </c>
      <c r="B530">
        <v>-0.32421779211704416</v>
      </c>
      <c r="C530" t="s">
        <v>2047</v>
      </c>
      <c r="D530" t="s">
        <v>2046</v>
      </c>
    </row>
    <row r="531" spans="1:4" x14ac:dyDescent="0.3">
      <c r="A531" t="s">
        <v>1633</v>
      </c>
      <c r="B531">
        <v>56.0397218505409</v>
      </c>
      <c r="C531" t="s">
        <v>2047</v>
      </c>
      <c r="D531" t="s">
        <v>2046</v>
      </c>
    </row>
    <row r="532" spans="1:4" x14ac:dyDescent="0.3">
      <c r="A532" t="s">
        <v>1628</v>
      </c>
      <c r="B532">
        <v>32.301522932110188</v>
      </c>
      <c r="C532" t="s">
        <v>2047</v>
      </c>
      <c r="D532" t="s">
        <v>2276</v>
      </c>
    </row>
    <row r="533" spans="1:4" x14ac:dyDescent="0.3">
      <c r="A533" t="s">
        <v>17</v>
      </c>
      <c r="B533">
        <v>18.474082805176593</v>
      </c>
      <c r="C533" t="s">
        <v>2047</v>
      </c>
      <c r="D533" t="s">
        <v>2276</v>
      </c>
    </row>
    <row r="534" spans="1:4" x14ac:dyDescent="0.3">
      <c r="A534" t="s">
        <v>209</v>
      </c>
      <c r="B534">
        <v>13.786842063146915</v>
      </c>
      <c r="C534" t="s">
        <v>2047</v>
      </c>
      <c r="D534" t="s">
        <v>2276</v>
      </c>
    </row>
    <row r="535" spans="1:4" x14ac:dyDescent="0.3">
      <c r="A535" t="s">
        <v>446</v>
      </c>
      <c r="B535">
        <v>4.0598063786682376E-2</v>
      </c>
      <c r="C535" t="s">
        <v>2047</v>
      </c>
      <c r="D535" t="s">
        <v>2276</v>
      </c>
    </row>
    <row r="536" spans="1:4" x14ac:dyDescent="0.3">
      <c r="A536" t="s">
        <v>1632</v>
      </c>
      <c r="B536">
        <v>23.738198918430708</v>
      </c>
      <c r="C536" t="s">
        <v>2047</v>
      </c>
      <c r="D536" t="s">
        <v>2276</v>
      </c>
    </row>
    <row r="537" spans="1:4" x14ac:dyDescent="0.3">
      <c r="A537" t="s">
        <v>1626</v>
      </c>
      <c r="B537">
        <v>18.058215830673674</v>
      </c>
      <c r="C537" t="s">
        <v>2047</v>
      </c>
      <c r="D537" t="s">
        <v>2276</v>
      </c>
    </row>
    <row r="538" spans="1:4" x14ac:dyDescent="0.3">
      <c r="A538" t="s">
        <v>1627</v>
      </c>
      <c r="B538">
        <v>5.9308426230761953</v>
      </c>
      <c r="C538" t="s">
        <v>2047</v>
      </c>
      <c r="D538" t="s">
        <v>2276</v>
      </c>
    </row>
    <row r="539" spans="1:4" x14ac:dyDescent="0.3">
      <c r="A539" t="s">
        <v>1625</v>
      </c>
      <c r="B539">
        <v>7.3358256797885601E-2</v>
      </c>
      <c r="C539" t="s">
        <v>2047</v>
      </c>
      <c r="D539" t="s">
        <v>2276</v>
      </c>
    </row>
    <row r="540" spans="1:4" x14ac:dyDescent="0.3">
      <c r="A540" t="s">
        <v>1623</v>
      </c>
      <c r="B540">
        <v>-0.32421779211704416</v>
      </c>
      <c r="C540" t="s">
        <v>2047</v>
      </c>
      <c r="D540" t="s">
        <v>2276</v>
      </c>
    </row>
    <row r="541" spans="1:4" x14ac:dyDescent="0.3">
      <c r="A541" t="s">
        <v>1633</v>
      </c>
      <c r="B541">
        <v>56.0397218505409</v>
      </c>
      <c r="C541" t="s">
        <v>2047</v>
      </c>
      <c r="D541" t="s">
        <v>2276</v>
      </c>
    </row>
    <row r="542" spans="1:4" x14ac:dyDescent="0.3">
      <c r="A542" t="s">
        <v>1628</v>
      </c>
      <c r="B542">
        <v>32.301522932110188</v>
      </c>
      <c r="C542" t="s">
        <v>2047</v>
      </c>
      <c r="D542" t="s">
        <v>2277</v>
      </c>
    </row>
    <row r="543" spans="1:4" x14ac:dyDescent="0.3">
      <c r="A543" t="s">
        <v>17</v>
      </c>
      <c r="B543">
        <v>18.474082805176593</v>
      </c>
      <c r="C543" t="s">
        <v>2047</v>
      </c>
      <c r="D543" t="s">
        <v>2277</v>
      </c>
    </row>
    <row r="544" spans="1:4" x14ac:dyDescent="0.3">
      <c r="A544" t="s">
        <v>209</v>
      </c>
      <c r="B544">
        <v>13.786842063146915</v>
      </c>
      <c r="C544" t="s">
        <v>2047</v>
      </c>
      <c r="D544" t="s">
        <v>2277</v>
      </c>
    </row>
    <row r="545" spans="1:4" x14ac:dyDescent="0.3">
      <c r="A545" t="s">
        <v>446</v>
      </c>
      <c r="B545">
        <v>4.0598063786682376E-2</v>
      </c>
      <c r="C545" t="s">
        <v>2047</v>
      </c>
      <c r="D545" t="s">
        <v>2277</v>
      </c>
    </row>
    <row r="546" spans="1:4" x14ac:dyDescent="0.3">
      <c r="A546" t="s">
        <v>1632</v>
      </c>
      <c r="B546">
        <v>23.738198918430708</v>
      </c>
      <c r="C546" t="s">
        <v>2047</v>
      </c>
      <c r="D546" t="s">
        <v>2277</v>
      </c>
    </row>
    <row r="547" spans="1:4" x14ac:dyDescent="0.3">
      <c r="A547" t="s">
        <v>1626</v>
      </c>
      <c r="B547">
        <v>18.058215830673674</v>
      </c>
      <c r="C547" t="s">
        <v>2047</v>
      </c>
      <c r="D547" t="s">
        <v>2277</v>
      </c>
    </row>
    <row r="548" spans="1:4" x14ac:dyDescent="0.3">
      <c r="A548" t="s">
        <v>1627</v>
      </c>
      <c r="B548">
        <v>5.9308426230761953</v>
      </c>
      <c r="C548" t="s">
        <v>2047</v>
      </c>
      <c r="D548" t="s">
        <v>2277</v>
      </c>
    </row>
    <row r="549" spans="1:4" x14ac:dyDescent="0.3">
      <c r="A549" t="s">
        <v>1625</v>
      </c>
      <c r="B549">
        <v>7.3358256797885601E-2</v>
      </c>
      <c r="C549" t="s">
        <v>2047</v>
      </c>
      <c r="D549" t="s">
        <v>2277</v>
      </c>
    </row>
    <row r="550" spans="1:4" x14ac:dyDescent="0.3">
      <c r="A550" t="s">
        <v>1623</v>
      </c>
      <c r="B550">
        <v>-0.32421779211704416</v>
      </c>
      <c r="C550" t="s">
        <v>2047</v>
      </c>
      <c r="D550" t="s">
        <v>2277</v>
      </c>
    </row>
    <row r="551" spans="1:4" x14ac:dyDescent="0.3">
      <c r="A551" t="s">
        <v>1633</v>
      </c>
      <c r="B551">
        <v>56.0397218505409</v>
      </c>
      <c r="C551" t="s">
        <v>2047</v>
      </c>
      <c r="D551" t="s">
        <v>2277</v>
      </c>
    </row>
    <row r="552" spans="1:4" x14ac:dyDescent="0.3">
      <c r="A552" t="s">
        <v>1628</v>
      </c>
      <c r="B552">
        <v>32.301522932110188</v>
      </c>
      <c r="C552" t="s">
        <v>2047</v>
      </c>
      <c r="D552" t="s">
        <v>2278</v>
      </c>
    </row>
    <row r="553" spans="1:4" x14ac:dyDescent="0.3">
      <c r="A553" t="s">
        <v>17</v>
      </c>
      <c r="B553">
        <v>18.474082805176593</v>
      </c>
      <c r="C553" t="s">
        <v>2047</v>
      </c>
      <c r="D553" t="s">
        <v>2278</v>
      </c>
    </row>
    <row r="554" spans="1:4" x14ac:dyDescent="0.3">
      <c r="A554" t="s">
        <v>209</v>
      </c>
      <c r="B554">
        <v>13.786842063146915</v>
      </c>
      <c r="C554" t="s">
        <v>2047</v>
      </c>
      <c r="D554" t="s">
        <v>2278</v>
      </c>
    </row>
    <row r="555" spans="1:4" x14ac:dyDescent="0.3">
      <c r="A555" t="s">
        <v>446</v>
      </c>
      <c r="B555">
        <v>4.0598063786682376E-2</v>
      </c>
      <c r="C555" t="s">
        <v>2047</v>
      </c>
      <c r="D555" t="s">
        <v>2278</v>
      </c>
    </row>
    <row r="556" spans="1:4" x14ac:dyDescent="0.3">
      <c r="A556" t="s">
        <v>1632</v>
      </c>
      <c r="B556">
        <v>23.738198918430708</v>
      </c>
      <c r="C556" t="s">
        <v>2047</v>
      </c>
      <c r="D556" t="s">
        <v>2278</v>
      </c>
    </row>
    <row r="557" spans="1:4" x14ac:dyDescent="0.3">
      <c r="A557" t="s">
        <v>1626</v>
      </c>
      <c r="B557">
        <v>18.058215830673674</v>
      </c>
      <c r="C557" t="s">
        <v>2047</v>
      </c>
      <c r="D557" t="s">
        <v>2278</v>
      </c>
    </row>
    <row r="558" spans="1:4" x14ac:dyDescent="0.3">
      <c r="A558" t="s">
        <v>1627</v>
      </c>
      <c r="B558">
        <v>5.9308426230761953</v>
      </c>
      <c r="C558" t="s">
        <v>2047</v>
      </c>
      <c r="D558" t="s">
        <v>2278</v>
      </c>
    </row>
    <row r="559" spans="1:4" x14ac:dyDescent="0.3">
      <c r="A559" t="s">
        <v>1625</v>
      </c>
      <c r="B559">
        <v>7.3358256797885601E-2</v>
      </c>
      <c r="C559" t="s">
        <v>2047</v>
      </c>
      <c r="D559" t="s">
        <v>2278</v>
      </c>
    </row>
    <row r="560" spans="1:4" x14ac:dyDescent="0.3">
      <c r="A560" t="s">
        <v>1623</v>
      </c>
      <c r="B560">
        <v>-0.32421779211704416</v>
      </c>
      <c r="C560" t="s">
        <v>2047</v>
      </c>
      <c r="D560" t="s">
        <v>2278</v>
      </c>
    </row>
    <row r="561" spans="1:4" x14ac:dyDescent="0.3">
      <c r="A561" t="s">
        <v>1633</v>
      </c>
      <c r="B561">
        <v>56.0397218505409</v>
      </c>
      <c r="C561" t="s">
        <v>2047</v>
      </c>
      <c r="D561" t="s">
        <v>2278</v>
      </c>
    </row>
    <row r="562" spans="1:4" x14ac:dyDescent="0.3">
      <c r="A562" t="s">
        <v>1628</v>
      </c>
      <c r="B562">
        <v>32.301522932110188</v>
      </c>
      <c r="C562" t="s">
        <v>2047</v>
      </c>
      <c r="D562" t="s">
        <v>2279</v>
      </c>
    </row>
    <row r="563" spans="1:4" x14ac:dyDescent="0.3">
      <c r="A563" t="s">
        <v>17</v>
      </c>
      <c r="B563">
        <v>18.474082805176593</v>
      </c>
      <c r="C563" t="s">
        <v>2047</v>
      </c>
      <c r="D563" t="s">
        <v>2279</v>
      </c>
    </row>
    <row r="564" spans="1:4" x14ac:dyDescent="0.3">
      <c r="A564" t="s">
        <v>209</v>
      </c>
      <c r="B564">
        <v>13.786842063146915</v>
      </c>
      <c r="C564" t="s">
        <v>2047</v>
      </c>
      <c r="D564" t="s">
        <v>2279</v>
      </c>
    </row>
    <row r="565" spans="1:4" x14ac:dyDescent="0.3">
      <c r="A565" t="s">
        <v>446</v>
      </c>
      <c r="B565">
        <v>4.0598063786682376E-2</v>
      </c>
      <c r="C565" t="s">
        <v>2047</v>
      </c>
      <c r="D565" t="s">
        <v>2279</v>
      </c>
    </row>
    <row r="566" spans="1:4" x14ac:dyDescent="0.3">
      <c r="A566" t="s">
        <v>1632</v>
      </c>
      <c r="B566">
        <v>23.738198918430708</v>
      </c>
      <c r="C566" t="s">
        <v>2047</v>
      </c>
      <c r="D566" t="s">
        <v>2279</v>
      </c>
    </row>
    <row r="567" spans="1:4" x14ac:dyDescent="0.3">
      <c r="A567" t="s">
        <v>1626</v>
      </c>
      <c r="B567">
        <v>18.058215830673674</v>
      </c>
      <c r="C567" t="s">
        <v>2047</v>
      </c>
      <c r="D567" t="s">
        <v>2279</v>
      </c>
    </row>
    <row r="568" spans="1:4" x14ac:dyDescent="0.3">
      <c r="A568" t="s">
        <v>1627</v>
      </c>
      <c r="B568">
        <v>5.9308426230761953</v>
      </c>
      <c r="C568" t="s">
        <v>2047</v>
      </c>
      <c r="D568" t="s">
        <v>2279</v>
      </c>
    </row>
    <row r="569" spans="1:4" x14ac:dyDescent="0.3">
      <c r="A569" t="s">
        <v>1625</v>
      </c>
      <c r="B569">
        <v>7.3358256797885601E-2</v>
      </c>
      <c r="C569" t="s">
        <v>2047</v>
      </c>
      <c r="D569" t="s">
        <v>2279</v>
      </c>
    </row>
    <row r="570" spans="1:4" x14ac:dyDescent="0.3">
      <c r="A570" t="s">
        <v>1623</v>
      </c>
      <c r="B570">
        <v>-0.32421779211704416</v>
      </c>
      <c r="C570" t="s">
        <v>2047</v>
      </c>
      <c r="D570" t="s">
        <v>2279</v>
      </c>
    </row>
    <row r="571" spans="1:4" x14ac:dyDescent="0.3">
      <c r="A571" t="s">
        <v>1633</v>
      </c>
      <c r="B571">
        <v>56.0397218505409</v>
      </c>
      <c r="C571" t="s">
        <v>2047</v>
      </c>
      <c r="D571" t="s">
        <v>2279</v>
      </c>
    </row>
    <row r="572" spans="1:4" x14ac:dyDescent="0.3">
      <c r="A572" t="s">
        <v>1628</v>
      </c>
      <c r="B572">
        <v>32.301522932110188</v>
      </c>
      <c r="C572" t="s">
        <v>2047</v>
      </c>
      <c r="D572" t="s">
        <v>2280</v>
      </c>
    </row>
    <row r="573" spans="1:4" x14ac:dyDescent="0.3">
      <c r="A573" t="s">
        <v>17</v>
      </c>
      <c r="B573">
        <v>18.474082805176593</v>
      </c>
      <c r="C573" t="s">
        <v>2047</v>
      </c>
      <c r="D573" t="s">
        <v>2280</v>
      </c>
    </row>
    <row r="574" spans="1:4" x14ac:dyDescent="0.3">
      <c r="A574" t="s">
        <v>209</v>
      </c>
      <c r="B574">
        <v>13.786842063146915</v>
      </c>
      <c r="C574" t="s">
        <v>2047</v>
      </c>
      <c r="D574" t="s">
        <v>2280</v>
      </c>
    </row>
    <row r="575" spans="1:4" x14ac:dyDescent="0.3">
      <c r="A575" t="s">
        <v>446</v>
      </c>
      <c r="B575">
        <v>4.0598063786682376E-2</v>
      </c>
      <c r="C575" t="s">
        <v>2047</v>
      </c>
      <c r="D575" t="s">
        <v>2280</v>
      </c>
    </row>
    <row r="576" spans="1:4" x14ac:dyDescent="0.3">
      <c r="A576" t="s">
        <v>1632</v>
      </c>
      <c r="B576">
        <v>23.738198918430708</v>
      </c>
      <c r="C576" t="s">
        <v>2047</v>
      </c>
      <c r="D576" t="s">
        <v>2280</v>
      </c>
    </row>
    <row r="577" spans="1:4" x14ac:dyDescent="0.3">
      <c r="A577" t="s">
        <v>1626</v>
      </c>
      <c r="B577">
        <v>18.058215830673674</v>
      </c>
      <c r="C577" t="s">
        <v>2047</v>
      </c>
      <c r="D577" t="s">
        <v>2280</v>
      </c>
    </row>
    <row r="578" spans="1:4" x14ac:dyDescent="0.3">
      <c r="A578" t="s">
        <v>1627</v>
      </c>
      <c r="B578">
        <v>5.9308426230761953</v>
      </c>
      <c r="C578" t="s">
        <v>2047</v>
      </c>
      <c r="D578" t="s">
        <v>2280</v>
      </c>
    </row>
    <row r="579" spans="1:4" x14ac:dyDescent="0.3">
      <c r="A579" t="s">
        <v>1625</v>
      </c>
      <c r="B579">
        <v>7.3358256797885601E-2</v>
      </c>
      <c r="C579" t="s">
        <v>2047</v>
      </c>
      <c r="D579" t="s">
        <v>2280</v>
      </c>
    </row>
    <row r="580" spans="1:4" x14ac:dyDescent="0.3">
      <c r="A580" t="s">
        <v>1623</v>
      </c>
      <c r="B580">
        <v>-0.32421779211704416</v>
      </c>
      <c r="C580" t="s">
        <v>2047</v>
      </c>
      <c r="D580" t="s">
        <v>2280</v>
      </c>
    </row>
    <row r="581" spans="1:4" x14ac:dyDescent="0.3">
      <c r="A581" t="s">
        <v>1633</v>
      </c>
      <c r="B581">
        <v>56.0397218505409</v>
      </c>
      <c r="C581" t="s">
        <v>2047</v>
      </c>
      <c r="D581" t="s">
        <v>2280</v>
      </c>
    </row>
    <row r="582" spans="1:4" x14ac:dyDescent="0.3">
      <c r="A582" t="s">
        <v>1628</v>
      </c>
      <c r="B582">
        <v>32.301522932110188</v>
      </c>
      <c r="C582" t="s">
        <v>2047</v>
      </c>
      <c r="D582" t="s">
        <v>2281</v>
      </c>
    </row>
    <row r="583" spans="1:4" x14ac:dyDescent="0.3">
      <c r="A583" t="s">
        <v>17</v>
      </c>
      <c r="B583">
        <v>18.474082805176593</v>
      </c>
      <c r="C583" t="s">
        <v>2047</v>
      </c>
      <c r="D583" t="s">
        <v>2281</v>
      </c>
    </row>
    <row r="584" spans="1:4" x14ac:dyDescent="0.3">
      <c r="A584" t="s">
        <v>209</v>
      </c>
      <c r="B584">
        <v>13.786842063146915</v>
      </c>
      <c r="C584" t="s">
        <v>2047</v>
      </c>
      <c r="D584" t="s">
        <v>2281</v>
      </c>
    </row>
    <row r="585" spans="1:4" x14ac:dyDescent="0.3">
      <c r="A585" t="s">
        <v>446</v>
      </c>
      <c r="B585">
        <v>4.0598063786682376E-2</v>
      </c>
      <c r="C585" t="s">
        <v>2047</v>
      </c>
      <c r="D585" t="s">
        <v>2281</v>
      </c>
    </row>
    <row r="586" spans="1:4" x14ac:dyDescent="0.3">
      <c r="A586" t="s">
        <v>1632</v>
      </c>
      <c r="B586">
        <v>23.738198918430708</v>
      </c>
      <c r="C586" t="s">
        <v>2047</v>
      </c>
      <c r="D586" t="s">
        <v>2281</v>
      </c>
    </row>
    <row r="587" spans="1:4" x14ac:dyDescent="0.3">
      <c r="A587" t="s">
        <v>1626</v>
      </c>
      <c r="B587">
        <v>18.058215830673674</v>
      </c>
      <c r="C587" t="s">
        <v>2047</v>
      </c>
      <c r="D587" t="s">
        <v>2281</v>
      </c>
    </row>
    <row r="588" spans="1:4" x14ac:dyDescent="0.3">
      <c r="A588" t="s">
        <v>1627</v>
      </c>
      <c r="B588">
        <v>5.9308426230761953</v>
      </c>
      <c r="C588" t="s">
        <v>2047</v>
      </c>
      <c r="D588" t="s">
        <v>2281</v>
      </c>
    </row>
    <row r="589" spans="1:4" x14ac:dyDescent="0.3">
      <c r="A589" t="s">
        <v>1625</v>
      </c>
      <c r="B589">
        <v>7.3358256797885601E-2</v>
      </c>
      <c r="C589" t="s">
        <v>2047</v>
      </c>
      <c r="D589" t="s">
        <v>2281</v>
      </c>
    </row>
    <row r="590" spans="1:4" x14ac:dyDescent="0.3">
      <c r="A590" t="s">
        <v>1623</v>
      </c>
      <c r="B590">
        <v>-0.32421779211704416</v>
      </c>
      <c r="C590" t="s">
        <v>2047</v>
      </c>
      <c r="D590" t="s">
        <v>2281</v>
      </c>
    </row>
    <row r="591" spans="1:4" x14ac:dyDescent="0.3">
      <c r="A591" t="s">
        <v>1633</v>
      </c>
      <c r="B591">
        <v>56.0397218505409</v>
      </c>
      <c r="C591" t="s">
        <v>2047</v>
      </c>
      <c r="D591" t="s">
        <v>2281</v>
      </c>
    </row>
    <row r="592" spans="1:4" x14ac:dyDescent="0.3">
      <c r="A592" t="s">
        <v>1628</v>
      </c>
      <c r="B592">
        <v>60.965851545524664</v>
      </c>
      <c r="C592" t="s">
        <v>2051</v>
      </c>
      <c r="D592" t="s">
        <v>2024</v>
      </c>
    </row>
    <row r="593" spans="1:4" x14ac:dyDescent="0.3">
      <c r="A593" t="s">
        <v>17</v>
      </c>
      <c r="B593">
        <v>16.71703668757138</v>
      </c>
      <c r="C593" t="s">
        <v>2051</v>
      </c>
      <c r="D593" t="s">
        <v>2024</v>
      </c>
    </row>
    <row r="594" spans="1:4" x14ac:dyDescent="0.3">
      <c r="A594" t="s">
        <v>209</v>
      </c>
      <c r="B594">
        <v>44.302283089624375</v>
      </c>
      <c r="C594" t="s">
        <v>2051</v>
      </c>
      <c r="D594" t="s">
        <v>2024</v>
      </c>
    </row>
    <row r="595" spans="1:4" x14ac:dyDescent="0.3">
      <c r="A595" t="s">
        <v>446</v>
      </c>
      <c r="B595">
        <v>4.0598063786682376E-2</v>
      </c>
      <c r="C595" t="s">
        <v>2051</v>
      </c>
      <c r="D595" t="s">
        <v>2024</v>
      </c>
    </row>
    <row r="596" spans="1:4" x14ac:dyDescent="0.3">
      <c r="A596" t="s">
        <v>1632</v>
      </c>
      <c r="B596">
        <v>11.063460790161059</v>
      </c>
      <c r="C596" t="s">
        <v>2051</v>
      </c>
      <c r="D596" t="s">
        <v>2024</v>
      </c>
    </row>
    <row r="597" spans="1:4" x14ac:dyDescent="0.3">
      <c r="A597" t="s">
        <v>1626</v>
      </c>
      <c r="B597">
        <v>9.0097422748211198</v>
      </c>
      <c r="C597" t="s">
        <v>2051</v>
      </c>
      <c r="D597" t="s">
        <v>2024</v>
      </c>
    </row>
    <row r="598" spans="1:4" x14ac:dyDescent="0.3">
      <c r="A598" t="s">
        <v>1627</v>
      </c>
      <c r="B598">
        <v>3.7646719755045757</v>
      </c>
      <c r="C598" t="s">
        <v>2051</v>
      </c>
      <c r="D598" t="s">
        <v>2024</v>
      </c>
    </row>
    <row r="599" spans="1:4" x14ac:dyDescent="0.3">
      <c r="A599" t="s">
        <v>1625</v>
      </c>
      <c r="B599">
        <v>-1.4138237660730051</v>
      </c>
      <c r="C599" t="s">
        <v>2051</v>
      </c>
      <c r="D599" t="s">
        <v>2024</v>
      </c>
    </row>
    <row r="600" spans="1:4" x14ac:dyDescent="0.3">
      <c r="A600" t="s">
        <v>1623</v>
      </c>
      <c r="B600">
        <v>-0.2971296940916287</v>
      </c>
      <c r="C600" t="s">
        <v>2051</v>
      </c>
      <c r="D600" t="s">
        <v>2024</v>
      </c>
    </row>
    <row r="601" spans="1:4" x14ac:dyDescent="0.3">
      <c r="A601" t="s">
        <v>1633</v>
      </c>
      <c r="B601">
        <v>72.029312335685717</v>
      </c>
      <c r="C601" t="s">
        <v>2051</v>
      </c>
      <c r="D601" t="s">
        <v>2024</v>
      </c>
    </row>
    <row r="602" spans="1:4" x14ac:dyDescent="0.3">
      <c r="A602" t="s">
        <v>1628</v>
      </c>
      <c r="B602">
        <v>60.96585154552465</v>
      </c>
      <c r="C602" t="s">
        <v>2051</v>
      </c>
      <c r="D602" t="s">
        <v>2029</v>
      </c>
    </row>
    <row r="603" spans="1:4" x14ac:dyDescent="0.3">
      <c r="A603" t="s">
        <v>17</v>
      </c>
      <c r="B603">
        <v>16.71703668757138</v>
      </c>
      <c r="C603" t="s">
        <v>2051</v>
      </c>
      <c r="D603" t="s">
        <v>2029</v>
      </c>
    </row>
    <row r="604" spans="1:4" x14ac:dyDescent="0.3">
      <c r="A604" t="s">
        <v>209</v>
      </c>
      <c r="B604">
        <v>44.30228308962436</v>
      </c>
      <c r="C604" t="s">
        <v>2051</v>
      </c>
      <c r="D604" t="s">
        <v>2029</v>
      </c>
    </row>
    <row r="605" spans="1:4" x14ac:dyDescent="0.3">
      <c r="A605" t="s">
        <v>446</v>
      </c>
      <c r="B605">
        <v>4.0598063786682376E-2</v>
      </c>
      <c r="C605" t="s">
        <v>2051</v>
      </c>
      <c r="D605" t="s">
        <v>2029</v>
      </c>
    </row>
    <row r="606" spans="1:4" x14ac:dyDescent="0.3">
      <c r="A606" t="s">
        <v>1632</v>
      </c>
      <c r="B606">
        <v>11.063460790161059</v>
      </c>
      <c r="C606" t="s">
        <v>2051</v>
      </c>
      <c r="D606" t="s">
        <v>2029</v>
      </c>
    </row>
    <row r="607" spans="1:4" x14ac:dyDescent="0.3">
      <c r="A607" t="s">
        <v>1626</v>
      </c>
      <c r="B607">
        <v>9.0097422748211198</v>
      </c>
      <c r="C607" t="s">
        <v>2051</v>
      </c>
      <c r="D607" t="s">
        <v>2029</v>
      </c>
    </row>
    <row r="608" spans="1:4" x14ac:dyDescent="0.3">
      <c r="A608" t="s">
        <v>1627</v>
      </c>
      <c r="B608">
        <v>3.7646719755045757</v>
      </c>
      <c r="C608" t="s">
        <v>2051</v>
      </c>
      <c r="D608" t="s">
        <v>2029</v>
      </c>
    </row>
    <row r="609" spans="1:4" x14ac:dyDescent="0.3">
      <c r="A609" t="s">
        <v>1625</v>
      </c>
      <c r="B609">
        <v>-1.4138237660730051</v>
      </c>
      <c r="C609" t="s">
        <v>2051</v>
      </c>
      <c r="D609" t="s">
        <v>2029</v>
      </c>
    </row>
    <row r="610" spans="1:4" x14ac:dyDescent="0.3">
      <c r="A610" t="s">
        <v>1623</v>
      </c>
      <c r="B610">
        <v>-0.2971296940916287</v>
      </c>
      <c r="C610" t="s">
        <v>2051</v>
      </c>
      <c r="D610" t="s">
        <v>2029</v>
      </c>
    </row>
    <row r="611" spans="1:4" x14ac:dyDescent="0.3">
      <c r="A611" t="s">
        <v>1633</v>
      </c>
      <c r="B611">
        <v>72.029312335685717</v>
      </c>
      <c r="C611" t="s">
        <v>2051</v>
      </c>
      <c r="D611" t="s">
        <v>2029</v>
      </c>
    </row>
    <row r="612" spans="1:4" x14ac:dyDescent="0.3">
      <c r="A612" t="s">
        <v>1628</v>
      </c>
      <c r="B612">
        <v>60.96585154552465</v>
      </c>
      <c r="C612" t="s">
        <v>2051</v>
      </c>
      <c r="D612" t="s">
        <v>2030</v>
      </c>
    </row>
    <row r="613" spans="1:4" x14ac:dyDescent="0.3">
      <c r="A613" t="s">
        <v>17</v>
      </c>
      <c r="B613">
        <v>16.71703668757138</v>
      </c>
      <c r="C613" t="s">
        <v>2051</v>
      </c>
      <c r="D613" t="s">
        <v>2030</v>
      </c>
    </row>
    <row r="614" spans="1:4" x14ac:dyDescent="0.3">
      <c r="A614" t="s">
        <v>209</v>
      </c>
      <c r="B614">
        <v>44.30228308962436</v>
      </c>
      <c r="C614" t="s">
        <v>2051</v>
      </c>
      <c r="D614" t="s">
        <v>2030</v>
      </c>
    </row>
    <row r="615" spans="1:4" x14ac:dyDescent="0.3">
      <c r="A615" t="s">
        <v>446</v>
      </c>
      <c r="B615">
        <v>4.0598063786682376E-2</v>
      </c>
      <c r="C615" t="s">
        <v>2051</v>
      </c>
      <c r="D615" t="s">
        <v>2030</v>
      </c>
    </row>
    <row r="616" spans="1:4" x14ac:dyDescent="0.3">
      <c r="A616" t="s">
        <v>1632</v>
      </c>
      <c r="B616">
        <v>11.063460790161059</v>
      </c>
      <c r="C616" t="s">
        <v>2051</v>
      </c>
      <c r="D616" t="s">
        <v>2030</v>
      </c>
    </row>
    <row r="617" spans="1:4" x14ac:dyDescent="0.3">
      <c r="A617" t="s">
        <v>1626</v>
      </c>
      <c r="B617">
        <v>9.0097422748211198</v>
      </c>
      <c r="C617" t="s">
        <v>2051</v>
      </c>
      <c r="D617" t="s">
        <v>2030</v>
      </c>
    </row>
    <row r="618" spans="1:4" x14ac:dyDescent="0.3">
      <c r="A618" t="s">
        <v>1627</v>
      </c>
      <c r="B618">
        <v>3.7646719755045757</v>
      </c>
      <c r="C618" t="s">
        <v>2051</v>
      </c>
      <c r="D618" t="s">
        <v>2030</v>
      </c>
    </row>
    <row r="619" spans="1:4" x14ac:dyDescent="0.3">
      <c r="A619" t="s">
        <v>1625</v>
      </c>
      <c r="B619">
        <v>-1.4138237660730051</v>
      </c>
      <c r="C619" t="s">
        <v>2051</v>
      </c>
      <c r="D619" t="s">
        <v>2030</v>
      </c>
    </row>
    <row r="620" spans="1:4" x14ac:dyDescent="0.3">
      <c r="A620" t="s">
        <v>1623</v>
      </c>
      <c r="B620">
        <v>-0.2971296940916287</v>
      </c>
      <c r="C620" t="s">
        <v>2051</v>
      </c>
      <c r="D620" t="s">
        <v>2030</v>
      </c>
    </row>
    <row r="621" spans="1:4" x14ac:dyDescent="0.3">
      <c r="A621" t="s">
        <v>1633</v>
      </c>
      <c r="B621">
        <v>72.029312335685717</v>
      </c>
      <c r="C621" t="s">
        <v>2051</v>
      </c>
      <c r="D621" t="s">
        <v>2030</v>
      </c>
    </row>
    <row r="622" spans="1:4" x14ac:dyDescent="0.3">
      <c r="A622" t="s">
        <v>1628</v>
      </c>
      <c r="B622">
        <v>60.96585154552465</v>
      </c>
      <c r="C622" t="s">
        <v>2051</v>
      </c>
      <c r="D622" t="s">
        <v>2052</v>
      </c>
    </row>
    <row r="623" spans="1:4" x14ac:dyDescent="0.3">
      <c r="A623" t="s">
        <v>17</v>
      </c>
      <c r="B623">
        <v>16.71703668757138</v>
      </c>
      <c r="C623" t="s">
        <v>2051</v>
      </c>
      <c r="D623" t="s">
        <v>2052</v>
      </c>
    </row>
    <row r="624" spans="1:4" x14ac:dyDescent="0.3">
      <c r="A624" t="s">
        <v>209</v>
      </c>
      <c r="B624">
        <v>44.30228308962436</v>
      </c>
      <c r="C624" t="s">
        <v>2051</v>
      </c>
      <c r="D624" t="s">
        <v>2052</v>
      </c>
    </row>
    <row r="625" spans="1:4" x14ac:dyDescent="0.3">
      <c r="A625" t="s">
        <v>446</v>
      </c>
      <c r="B625">
        <v>4.0598063786682376E-2</v>
      </c>
      <c r="C625" t="s">
        <v>2051</v>
      </c>
      <c r="D625" t="s">
        <v>2052</v>
      </c>
    </row>
    <row r="626" spans="1:4" x14ac:dyDescent="0.3">
      <c r="A626" t="s">
        <v>1632</v>
      </c>
      <c r="B626">
        <v>11.063460790161059</v>
      </c>
      <c r="C626" t="s">
        <v>2051</v>
      </c>
      <c r="D626" t="s">
        <v>2052</v>
      </c>
    </row>
    <row r="627" spans="1:4" x14ac:dyDescent="0.3">
      <c r="A627" t="s">
        <v>1626</v>
      </c>
      <c r="B627">
        <v>9.0097422748211198</v>
      </c>
      <c r="C627" t="s">
        <v>2051</v>
      </c>
      <c r="D627" t="s">
        <v>2052</v>
      </c>
    </row>
    <row r="628" spans="1:4" x14ac:dyDescent="0.3">
      <c r="A628" t="s">
        <v>1627</v>
      </c>
      <c r="B628">
        <v>3.7646719755045757</v>
      </c>
      <c r="C628" t="s">
        <v>2051</v>
      </c>
      <c r="D628" t="s">
        <v>2052</v>
      </c>
    </row>
    <row r="629" spans="1:4" x14ac:dyDescent="0.3">
      <c r="A629" t="s">
        <v>1625</v>
      </c>
      <c r="B629">
        <v>-1.4138237660730051</v>
      </c>
      <c r="C629" t="s">
        <v>2051</v>
      </c>
      <c r="D629" t="s">
        <v>2052</v>
      </c>
    </row>
    <row r="630" spans="1:4" x14ac:dyDescent="0.3">
      <c r="A630" t="s">
        <v>1623</v>
      </c>
      <c r="B630">
        <v>-0.2971296940916287</v>
      </c>
      <c r="C630" t="s">
        <v>2051</v>
      </c>
      <c r="D630" t="s">
        <v>2052</v>
      </c>
    </row>
    <row r="631" spans="1:4" x14ac:dyDescent="0.3">
      <c r="A631" t="s">
        <v>1633</v>
      </c>
      <c r="B631">
        <v>72.029312335685717</v>
      </c>
      <c r="C631" t="s">
        <v>2051</v>
      </c>
      <c r="D631" t="s">
        <v>2052</v>
      </c>
    </row>
    <row r="632" spans="1:4" x14ac:dyDescent="0.3">
      <c r="A632" t="s">
        <v>1628</v>
      </c>
      <c r="B632">
        <v>40.459265501860934</v>
      </c>
      <c r="C632" t="s">
        <v>2051</v>
      </c>
      <c r="D632" t="s">
        <v>2053</v>
      </c>
    </row>
    <row r="633" spans="1:4" x14ac:dyDescent="0.3">
      <c r="A633" t="s">
        <v>17</v>
      </c>
      <c r="B633">
        <v>16.71703668757138</v>
      </c>
      <c r="C633" t="s">
        <v>2051</v>
      </c>
      <c r="D633" t="s">
        <v>2053</v>
      </c>
    </row>
    <row r="634" spans="1:4" x14ac:dyDescent="0.3">
      <c r="A634" t="s">
        <v>209</v>
      </c>
      <c r="B634">
        <v>23.795697045960644</v>
      </c>
      <c r="C634" t="s">
        <v>2051</v>
      </c>
      <c r="D634" t="s">
        <v>2053</v>
      </c>
    </row>
    <row r="635" spans="1:4" x14ac:dyDescent="0.3">
      <c r="A635" t="s">
        <v>446</v>
      </c>
      <c r="B635">
        <v>4.0598063786682376E-2</v>
      </c>
      <c r="C635" t="s">
        <v>2051</v>
      </c>
      <c r="D635" t="s">
        <v>2053</v>
      </c>
    </row>
    <row r="636" spans="1:4" x14ac:dyDescent="0.3">
      <c r="A636" t="s">
        <v>1632</v>
      </c>
      <c r="B636">
        <v>11.063460790161059</v>
      </c>
      <c r="C636" t="s">
        <v>2051</v>
      </c>
      <c r="D636" t="s">
        <v>2053</v>
      </c>
    </row>
    <row r="637" spans="1:4" x14ac:dyDescent="0.3">
      <c r="A637" t="s">
        <v>1626</v>
      </c>
      <c r="B637">
        <v>9.0097422748211198</v>
      </c>
      <c r="C637" t="s">
        <v>2051</v>
      </c>
      <c r="D637" t="s">
        <v>2053</v>
      </c>
    </row>
    <row r="638" spans="1:4" x14ac:dyDescent="0.3">
      <c r="A638" t="s">
        <v>1627</v>
      </c>
      <c r="B638">
        <v>3.7646719755045757</v>
      </c>
      <c r="C638" t="s">
        <v>2051</v>
      </c>
      <c r="D638" t="s">
        <v>2053</v>
      </c>
    </row>
    <row r="639" spans="1:4" x14ac:dyDescent="0.3">
      <c r="A639" t="s">
        <v>1625</v>
      </c>
      <c r="B639">
        <v>-1.4138237660730051</v>
      </c>
      <c r="C639" t="s">
        <v>2051</v>
      </c>
      <c r="D639" t="s">
        <v>2053</v>
      </c>
    </row>
    <row r="640" spans="1:4" x14ac:dyDescent="0.3">
      <c r="A640" t="s">
        <v>1623</v>
      </c>
      <c r="B640">
        <v>-0.2971296940916287</v>
      </c>
      <c r="C640" t="s">
        <v>2051</v>
      </c>
      <c r="D640" t="s">
        <v>2053</v>
      </c>
    </row>
    <row r="641" spans="1:4" x14ac:dyDescent="0.3">
      <c r="A641" t="s">
        <v>1633</v>
      </c>
      <c r="B641">
        <v>51.522726292021993</v>
      </c>
      <c r="C641" t="s">
        <v>2051</v>
      </c>
      <c r="D641" t="s">
        <v>2053</v>
      </c>
    </row>
    <row r="642" spans="1:4" x14ac:dyDescent="0.3">
      <c r="A642" t="s">
        <v>1628</v>
      </c>
      <c r="B642">
        <v>60.96585154552465</v>
      </c>
      <c r="C642" t="s">
        <v>2051</v>
      </c>
      <c r="D642" t="s">
        <v>2032</v>
      </c>
    </row>
    <row r="643" spans="1:4" x14ac:dyDescent="0.3">
      <c r="A643" t="s">
        <v>17</v>
      </c>
      <c r="B643">
        <v>16.71703668757138</v>
      </c>
      <c r="C643" t="s">
        <v>2051</v>
      </c>
      <c r="D643" t="s">
        <v>2032</v>
      </c>
    </row>
    <row r="644" spans="1:4" x14ac:dyDescent="0.3">
      <c r="A644" t="s">
        <v>209</v>
      </c>
      <c r="B644">
        <v>44.30228308962436</v>
      </c>
      <c r="C644" t="s">
        <v>2051</v>
      </c>
      <c r="D644" t="s">
        <v>2032</v>
      </c>
    </row>
    <row r="645" spans="1:4" x14ac:dyDescent="0.3">
      <c r="A645" t="s">
        <v>446</v>
      </c>
      <c r="B645">
        <v>4.0598063786682376E-2</v>
      </c>
      <c r="C645" t="s">
        <v>2051</v>
      </c>
      <c r="D645" t="s">
        <v>2032</v>
      </c>
    </row>
    <row r="646" spans="1:4" x14ac:dyDescent="0.3">
      <c r="A646" t="s">
        <v>1632</v>
      </c>
      <c r="B646">
        <v>11.063460790161059</v>
      </c>
      <c r="C646" t="s">
        <v>2051</v>
      </c>
      <c r="D646" t="s">
        <v>2032</v>
      </c>
    </row>
    <row r="647" spans="1:4" x14ac:dyDescent="0.3">
      <c r="A647" t="s">
        <v>1626</v>
      </c>
      <c r="B647">
        <v>9.0097422748211198</v>
      </c>
      <c r="C647" t="s">
        <v>2051</v>
      </c>
      <c r="D647" t="s">
        <v>2032</v>
      </c>
    </row>
    <row r="648" spans="1:4" x14ac:dyDescent="0.3">
      <c r="A648" t="s">
        <v>1627</v>
      </c>
      <c r="B648">
        <v>3.7646719755045757</v>
      </c>
      <c r="C648" t="s">
        <v>2051</v>
      </c>
      <c r="D648" t="s">
        <v>2032</v>
      </c>
    </row>
    <row r="649" spans="1:4" x14ac:dyDescent="0.3">
      <c r="A649" t="s">
        <v>1625</v>
      </c>
      <c r="B649">
        <v>-1.4138237660730051</v>
      </c>
      <c r="C649" t="s">
        <v>2051</v>
      </c>
      <c r="D649" t="s">
        <v>2032</v>
      </c>
    </row>
    <row r="650" spans="1:4" x14ac:dyDescent="0.3">
      <c r="A650" t="s">
        <v>1623</v>
      </c>
      <c r="B650">
        <v>-0.2971296940916287</v>
      </c>
      <c r="C650" t="s">
        <v>2051</v>
      </c>
      <c r="D650" t="s">
        <v>2032</v>
      </c>
    </row>
    <row r="651" spans="1:4" x14ac:dyDescent="0.3">
      <c r="A651" t="s">
        <v>1633</v>
      </c>
      <c r="B651">
        <v>72.029312335685717</v>
      </c>
      <c r="C651" t="s">
        <v>2051</v>
      </c>
      <c r="D651" t="s">
        <v>2032</v>
      </c>
    </row>
    <row r="652" spans="1:4" x14ac:dyDescent="0.3">
      <c r="A652" t="s">
        <v>1628</v>
      </c>
      <c r="B652">
        <v>60.942789656391724</v>
      </c>
      <c r="C652" t="s">
        <v>2051</v>
      </c>
      <c r="D652" t="s">
        <v>2054</v>
      </c>
    </row>
    <row r="653" spans="1:4" x14ac:dyDescent="0.3">
      <c r="A653" t="s">
        <v>17</v>
      </c>
      <c r="B653">
        <v>16.71703668757138</v>
      </c>
      <c r="C653" t="s">
        <v>2051</v>
      </c>
      <c r="D653" t="s">
        <v>2054</v>
      </c>
    </row>
    <row r="654" spans="1:4" x14ac:dyDescent="0.3">
      <c r="A654" t="s">
        <v>209</v>
      </c>
      <c r="B654">
        <v>44.279221200491435</v>
      </c>
      <c r="C654" t="s">
        <v>2051</v>
      </c>
      <c r="D654" t="s">
        <v>2054</v>
      </c>
    </row>
    <row r="655" spans="1:4" x14ac:dyDescent="0.3">
      <c r="A655" t="s">
        <v>446</v>
      </c>
      <c r="B655">
        <v>4.0598063786682376E-2</v>
      </c>
      <c r="C655" t="s">
        <v>2051</v>
      </c>
      <c r="D655" t="s">
        <v>2054</v>
      </c>
    </row>
    <row r="656" spans="1:4" x14ac:dyDescent="0.3">
      <c r="A656" t="s">
        <v>1632</v>
      </c>
      <c r="B656">
        <v>11.063460790161059</v>
      </c>
      <c r="C656" t="s">
        <v>2051</v>
      </c>
      <c r="D656" t="s">
        <v>2054</v>
      </c>
    </row>
    <row r="657" spans="1:4" x14ac:dyDescent="0.3">
      <c r="A657" t="s">
        <v>1626</v>
      </c>
      <c r="B657">
        <v>9.0097422748211198</v>
      </c>
      <c r="C657" t="s">
        <v>2051</v>
      </c>
      <c r="D657" t="s">
        <v>2054</v>
      </c>
    </row>
    <row r="658" spans="1:4" x14ac:dyDescent="0.3">
      <c r="A658" t="s">
        <v>1627</v>
      </c>
      <c r="B658">
        <v>3.7646719755045757</v>
      </c>
      <c r="C658" t="s">
        <v>2051</v>
      </c>
      <c r="D658" t="s">
        <v>2054</v>
      </c>
    </row>
    <row r="659" spans="1:4" x14ac:dyDescent="0.3">
      <c r="A659" t="s">
        <v>1625</v>
      </c>
      <c r="B659">
        <v>-1.4138237660730051</v>
      </c>
      <c r="C659" t="s">
        <v>2051</v>
      </c>
      <c r="D659" t="s">
        <v>2054</v>
      </c>
    </row>
    <row r="660" spans="1:4" x14ac:dyDescent="0.3">
      <c r="A660" t="s">
        <v>1623</v>
      </c>
      <c r="B660">
        <v>-0.2971296940916287</v>
      </c>
      <c r="C660" t="s">
        <v>2051</v>
      </c>
      <c r="D660" t="s">
        <v>2054</v>
      </c>
    </row>
    <row r="661" spans="1:4" x14ac:dyDescent="0.3">
      <c r="A661" t="s">
        <v>1633</v>
      </c>
      <c r="B661">
        <v>72.006250446552784</v>
      </c>
      <c r="C661" t="s">
        <v>2051</v>
      </c>
      <c r="D661" t="s">
        <v>2054</v>
      </c>
    </row>
    <row r="662" spans="1:4" x14ac:dyDescent="0.3">
      <c r="A662" t="s">
        <v>1628</v>
      </c>
      <c r="B662">
        <v>64.139805283901396</v>
      </c>
      <c r="C662" t="s">
        <v>2051</v>
      </c>
      <c r="D662" t="s">
        <v>2055</v>
      </c>
    </row>
    <row r="663" spans="1:4" x14ac:dyDescent="0.3">
      <c r="A663" t="s">
        <v>17</v>
      </c>
      <c r="B663">
        <v>17.596880723759348</v>
      </c>
      <c r="C663" t="s">
        <v>2051</v>
      </c>
      <c r="D663" t="s">
        <v>2055</v>
      </c>
    </row>
    <row r="664" spans="1:4" x14ac:dyDescent="0.3">
      <c r="A664" t="s">
        <v>209</v>
      </c>
      <c r="B664">
        <v>46.601343649468802</v>
      </c>
      <c r="C664" t="s">
        <v>2051</v>
      </c>
      <c r="D664" t="s">
        <v>2055</v>
      </c>
    </row>
    <row r="665" spans="1:4" x14ac:dyDescent="0.3">
      <c r="A665" t="s">
        <v>446</v>
      </c>
      <c r="B665">
        <v>4.0598063786682376E-2</v>
      </c>
      <c r="C665" t="s">
        <v>2051</v>
      </c>
      <c r="D665" t="s">
        <v>2055</v>
      </c>
    </row>
    <row r="666" spans="1:4" x14ac:dyDescent="0.3">
      <c r="A666" t="s">
        <v>1632</v>
      </c>
      <c r="B666">
        <v>11.645748200169537</v>
      </c>
      <c r="C666" t="s">
        <v>2051</v>
      </c>
      <c r="D666" t="s">
        <v>2055</v>
      </c>
    </row>
    <row r="667" spans="1:4" x14ac:dyDescent="0.3">
      <c r="A667" t="s">
        <v>1626</v>
      </c>
      <c r="B667">
        <v>9.4839392366538107</v>
      </c>
      <c r="C667" t="s">
        <v>2051</v>
      </c>
      <c r="D667" t="s">
        <v>2055</v>
      </c>
    </row>
    <row r="668" spans="1:4" x14ac:dyDescent="0.3">
      <c r="A668" t="s">
        <v>1627</v>
      </c>
      <c r="B668">
        <v>3.9628126057942903</v>
      </c>
      <c r="C668" t="s">
        <v>2051</v>
      </c>
      <c r="D668" t="s">
        <v>2055</v>
      </c>
    </row>
    <row r="669" spans="1:4" x14ac:dyDescent="0.3">
      <c r="A669" t="s">
        <v>1625</v>
      </c>
      <c r="B669">
        <v>-1.4882355432347423</v>
      </c>
      <c r="C669" t="s">
        <v>2051</v>
      </c>
      <c r="D669" t="s">
        <v>2055</v>
      </c>
    </row>
    <row r="670" spans="1:4" x14ac:dyDescent="0.3">
      <c r="A670" t="s">
        <v>1623</v>
      </c>
      <c r="B670">
        <v>-0.31276809904381969</v>
      </c>
      <c r="C670" t="s">
        <v>2051</v>
      </c>
      <c r="D670" t="s">
        <v>2055</v>
      </c>
    </row>
    <row r="671" spans="1:4" x14ac:dyDescent="0.3">
      <c r="A671" t="s">
        <v>1633</v>
      </c>
      <c r="B671">
        <v>75.785553484070931</v>
      </c>
      <c r="C671" t="s">
        <v>2051</v>
      </c>
      <c r="D671" t="s">
        <v>2055</v>
      </c>
    </row>
    <row r="672" spans="1:4" x14ac:dyDescent="0.3">
      <c r="A672" t="s">
        <v>1628</v>
      </c>
      <c r="B672">
        <v>60.96585154552465</v>
      </c>
      <c r="C672" t="s">
        <v>2051</v>
      </c>
      <c r="D672" t="s">
        <v>2026</v>
      </c>
    </row>
    <row r="673" spans="1:4" x14ac:dyDescent="0.3">
      <c r="A673" t="s">
        <v>17</v>
      </c>
      <c r="B673">
        <v>16.71703668757138</v>
      </c>
      <c r="C673" t="s">
        <v>2051</v>
      </c>
      <c r="D673" t="s">
        <v>2026</v>
      </c>
    </row>
    <row r="674" spans="1:4" x14ac:dyDescent="0.3">
      <c r="A674" t="s">
        <v>209</v>
      </c>
      <c r="B674">
        <v>44.30228308962436</v>
      </c>
      <c r="C674" t="s">
        <v>2051</v>
      </c>
      <c r="D674" t="s">
        <v>2026</v>
      </c>
    </row>
    <row r="675" spans="1:4" x14ac:dyDescent="0.3">
      <c r="A675" t="s">
        <v>446</v>
      </c>
      <c r="B675">
        <v>4.0598063786682376E-2</v>
      </c>
      <c r="C675" t="s">
        <v>2051</v>
      </c>
      <c r="D675" t="s">
        <v>2026</v>
      </c>
    </row>
    <row r="676" spans="1:4" x14ac:dyDescent="0.3">
      <c r="A676" t="s">
        <v>1632</v>
      </c>
      <c r="B676">
        <v>11.063460790161059</v>
      </c>
      <c r="C676" t="s">
        <v>2051</v>
      </c>
      <c r="D676" t="s">
        <v>2026</v>
      </c>
    </row>
    <row r="677" spans="1:4" x14ac:dyDescent="0.3">
      <c r="A677" t="s">
        <v>1626</v>
      </c>
      <c r="B677">
        <v>9.0097422748211198</v>
      </c>
      <c r="C677" t="s">
        <v>2051</v>
      </c>
      <c r="D677" t="s">
        <v>2026</v>
      </c>
    </row>
    <row r="678" spans="1:4" x14ac:dyDescent="0.3">
      <c r="A678" t="s">
        <v>1627</v>
      </c>
      <c r="B678">
        <v>3.7646719755045757</v>
      </c>
      <c r="C678" t="s">
        <v>2051</v>
      </c>
      <c r="D678" t="s">
        <v>2026</v>
      </c>
    </row>
    <row r="679" spans="1:4" x14ac:dyDescent="0.3">
      <c r="A679" t="s">
        <v>1625</v>
      </c>
      <c r="B679">
        <v>-1.4138237660730051</v>
      </c>
      <c r="C679" t="s">
        <v>2051</v>
      </c>
      <c r="D679" t="s">
        <v>2026</v>
      </c>
    </row>
    <row r="680" spans="1:4" x14ac:dyDescent="0.3">
      <c r="A680" t="s">
        <v>1623</v>
      </c>
      <c r="B680">
        <v>-0.2971296940916287</v>
      </c>
      <c r="C680" t="s">
        <v>2051</v>
      </c>
      <c r="D680" t="s">
        <v>2026</v>
      </c>
    </row>
    <row r="681" spans="1:4" x14ac:dyDescent="0.3">
      <c r="A681" t="s">
        <v>1633</v>
      </c>
      <c r="B681">
        <v>72.029312335685717</v>
      </c>
      <c r="C681" t="s">
        <v>2051</v>
      </c>
      <c r="D681" t="s">
        <v>2026</v>
      </c>
    </row>
    <row r="682" spans="1:4" x14ac:dyDescent="0.3">
      <c r="A682" t="s">
        <v>1628</v>
      </c>
      <c r="B682">
        <v>60.96585154552465</v>
      </c>
      <c r="C682" t="s">
        <v>2051</v>
      </c>
      <c r="D682" t="s">
        <v>2027</v>
      </c>
    </row>
    <row r="683" spans="1:4" x14ac:dyDescent="0.3">
      <c r="A683" t="s">
        <v>17</v>
      </c>
      <c r="B683">
        <v>16.71703668757138</v>
      </c>
      <c r="C683" t="s">
        <v>2051</v>
      </c>
      <c r="D683" t="s">
        <v>2027</v>
      </c>
    </row>
    <row r="684" spans="1:4" x14ac:dyDescent="0.3">
      <c r="A684" t="s">
        <v>209</v>
      </c>
      <c r="B684">
        <v>44.30228308962436</v>
      </c>
      <c r="C684" t="s">
        <v>2051</v>
      </c>
      <c r="D684" t="s">
        <v>2027</v>
      </c>
    </row>
    <row r="685" spans="1:4" x14ac:dyDescent="0.3">
      <c r="A685" t="s">
        <v>446</v>
      </c>
      <c r="B685">
        <v>4.0598063786682376E-2</v>
      </c>
      <c r="C685" t="s">
        <v>2051</v>
      </c>
      <c r="D685" t="s">
        <v>2027</v>
      </c>
    </row>
    <row r="686" spans="1:4" x14ac:dyDescent="0.3">
      <c r="A686" t="s">
        <v>1632</v>
      </c>
      <c r="B686">
        <v>11.063460790161059</v>
      </c>
      <c r="C686" t="s">
        <v>2051</v>
      </c>
      <c r="D686" t="s">
        <v>2027</v>
      </c>
    </row>
    <row r="687" spans="1:4" x14ac:dyDescent="0.3">
      <c r="A687" t="s">
        <v>1626</v>
      </c>
      <c r="B687">
        <v>9.0097422748211198</v>
      </c>
      <c r="C687" t="s">
        <v>2051</v>
      </c>
      <c r="D687" t="s">
        <v>2027</v>
      </c>
    </row>
    <row r="688" spans="1:4" x14ac:dyDescent="0.3">
      <c r="A688" t="s">
        <v>1627</v>
      </c>
      <c r="B688">
        <v>3.7646719755045757</v>
      </c>
      <c r="C688" t="s">
        <v>2051</v>
      </c>
      <c r="D688" t="s">
        <v>2027</v>
      </c>
    </row>
    <row r="689" spans="1:4" x14ac:dyDescent="0.3">
      <c r="A689" t="s">
        <v>1625</v>
      </c>
      <c r="B689">
        <v>-1.4138237660730051</v>
      </c>
      <c r="C689" t="s">
        <v>2051</v>
      </c>
      <c r="D689" t="s">
        <v>2027</v>
      </c>
    </row>
    <row r="690" spans="1:4" x14ac:dyDescent="0.3">
      <c r="A690" t="s">
        <v>1623</v>
      </c>
      <c r="B690">
        <v>-0.2971296940916287</v>
      </c>
      <c r="C690" t="s">
        <v>2051</v>
      </c>
      <c r="D690" t="s">
        <v>2027</v>
      </c>
    </row>
    <row r="691" spans="1:4" x14ac:dyDescent="0.3">
      <c r="A691" t="s">
        <v>1633</v>
      </c>
      <c r="B691">
        <v>72.029312335685717</v>
      </c>
      <c r="C691" t="s">
        <v>2051</v>
      </c>
      <c r="D691" t="s">
        <v>2027</v>
      </c>
    </row>
    <row r="692" spans="1:4" x14ac:dyDescent="0.3">
      <c r="A692" t="s">
        <v>1628</v>
      </c>
      <c r="B692">
        <v>54.859893172970814</v>
      </c>
      <c r="C692" t="s">
        <v>2051</v>
      </c>
      <c r="D692" t="s">
        <v>2056</v>
      </c>
    </row>
    <row r="693" spans="1:4" x14ac:dyDescent="0.3">
      <c r="A693" t="s">
        <v>17</v>
      </c>
      <c r="B693">
        <v>16.71703668757138</v>
      </c>
      <c r="C693" t="s">
        <v>2051</v>
      </c>
      <c r="D693" t="s">
        <v>2056</v>
      </c>
    </row>
    <row r="694" spans="1:4" x14ac:dyDescent="0.3">
      <c r="A694" t="s">
        <v>209</v>
      </c>
      <c r="B694">
        <v>38.196324717070524</v>
      </c>
      <c r="C694" t="s">
        <v>2051</v>
      </c>
      <c r="D694" t="s">
        <v>2056</v>
      </c>
    </row>
    <row r="695" spans="1:4" x14ac:dyDescent="0.3">
      <c r="A695" t="s">
        <v>446</v>
      </c>
      <c r="B695">
        <v>4.0598063786682376E-2</v>
      </c>
      <c r="C695" t="s">
        <v>2051</v>
      </c>
      <c r="D695" t="s">
        <v>2056</v>
      </c>
    </row>
    <row r="696" spans="1:4" x14ac:dyDescent="0.3">
      <c r="A696" t="s">
        <v>1632</v>
      </c>
      <c r="B696">
        <v>11.063460790161059</v>
      </c>
      <c r="C696" t="s">
        <v>2051</v>
      </c>
      <c r="D696" t="s">
        <v>2056</v>
      </c>
    </row>
    <row r="697" spans="1:4" x14ac:dyDescent="0.3">
      <c r="A697" t="s">
        <v>1626</v>
      </c>
      <c r="B697">
        <v>9.0097422748211198</v>
      </c>
      <c r="C697" t="s">
        <v>2051</v>
      </c>
      <c r="D697" t="s">
        <v>2056</v>
      </c>
    </row>
    <row r="698" spans="1:4" x14ac:dyDescent="0.3">
      <c r="A698" t="s">
        <v>1627</v>
      </c>
      <c r="B698">
        <v>3.7646719755045757</v>
      </c>
      <c r="C698" t="s">
        <v>2051</v>
      </c>
      <c r="D698" t="s">
        <v>2056</v>
      </c>
    </row>
    <row r="699" spans="1:4" x14ac:dyDescent="0.3">
      <c r="A699" t="s">
        <v>1625</v>
      </c>
      <c r="B699">
        <v>-1.4138237660730051</v>
      </c>
      <c r="C699" t="s">
        <v>2051</v>
      </c>
      <c r="D699" t="s">
        <v>2056</v>
      </c>
    </row>
    <row r="700" spans="1:4" x14ac:dyDescent="0.3">
      <c r="A700" t="s">
        <v>1623</v>
      </c>
      <c r="B700">
        <v>-0.2971296940916287</v>
      </c>
      <c r="C700" t="s">
        <v>2051</v>
      </c>
      <c r="D700" t="s">
        <v>2056</v>
      </c>
    </row>
    <row r="701" spans="1:4" x14ac:dyDescent="0.3">
      <c r="A701" t="s">
        <v>1633</v>
      </c>
      <c r="B701">
        <v>65.923353963131873</v>
      </c>
      <c r="C701" t="s">
        <v>2051</v>
      </c>
      <c r="D701" t="s">
        <v>2056</v>
      </c>
    </row>
    <row r="702" spans="1:4" x14ac:dyDescent="0.3">
      <c r="A702" t="s">
        <v>1628</v>
      </c>
      <c r="B702">
        <v>60.96585154552465</v>
      </c>
      <c r="C702" t="s">
        <v>2051</v>
      </c>
      <c r="D702" t="s">
        <v>2029</v>
      </c>
    </row>
    <row r="703" spans="1:4" x14ac:dyDescent="0.3">
      <c r="A703" t="s">
        <v>17</v>
      </c>
      <c r="B703">
        <v>16.71703668757138</v>
      </c>
      <c r="C703" t="s">
        <v>2051</v>
      </c>
      <c r="D703" t="s">
        <v>2029</v>
      </c>
    </row>
    <row r="704" spans="1:4" x14ac:dyDescent="0.3">
      <c r="A704" t="s">
        <v>209</v>
      </c>
      <c r="B704">
        <v>44.30228308962436</v>
      </c>
      <c r="C704" t="s">
        <v>2051</v>
      </c>
      <c r="D704" t="s">
        <v>2029</v>
      </c>
    </row>
    <row r="705" spans="1:4" x14ac:dyDescent="0.3">
      <c r="A705" t="s">
        <v>446</v>
      </c>
      <c r="B705">
        <v>4.0598063786682376E-2</v>
      </c>
      <c r="C705" t="s">
        <v>2051</v>
      </c>
      <c r="D705" t="s">
        <v>2029</v>
      </c>
    </row>
    <row r="706" spans="1:4" x14ac:dyDescent="0.3">
      <c r="A706" t="s">
        <v>1632</v>
      </c>
      <c r="B706">
        <v>11.063460790161059</v>
      </c>
      <c r="C706" t="s">
        <v>2051</v>
      </c>
      <c r="D706" t="s">
        <v>2029</v>
      </c>
    </row>
    <row r="707" spans="1:4" x14ac:dyDescent="0.3">
      <c r="A707" t="s">
        <v>1626</v>
      </c>
      <c r="B707">
        <v>9.0097422748211198</v>
      </c>
      <c r="C707" t="s">
        <v>2051</v>
      </c>
      <c r="D707" t="s">
        <v>2029</v>
      </c>
    </row>
    <row r="708" spans="1:4" x14ac:dyDescent="0.3">
      <c r="A708" t="s">
        <v>1627</v>
      </c>
      <c r="B708">
        <v>3.7646719755045757</v>
      </c>
      <c r="C708" t="s">
        <v>2051</v>
      </c>
      <c r="D708" t="s">
        <v>2029</v>
      </c>
    </row>
    <row r="709" spans="1:4" x14ac:dyDescent="0.3">
      <c r="A709" t="s">
        <v>1625</v>
      </c>
      <c r="B709">
        <v>-1.4138237660730051</v>
      </c>
      <c r="C709" t="s">
        <v>2051</v>
      </c>
      <c r="D709" t="s">
        <v>2029</v>
      </c>
    </row>
    <row r="710" spans="1:4" x14ac:dyDescent="0.3">
      <c r="A710" t="s">
        <v>1623</v>
      </c>
      <c r="B710">
        <v>-0.2971296940916287</v>
      </c>
      <c r="C710" t="s">
        <v>2051</v>
      </c>
      <c r="D710" t="s">
        <v>2029</v>
      </c>
    </row>
    <row r="711" spans="1:4" x14ac:dyDescent="0.3">
      <c r="A711" t="s">
        <v>1633</v>
      </c>
      <c r="B711">
        <v>72.029312335685717</v>
      </c>
      <c r="C711" t="s">
        <v>2051</v>
      </c>
      <c r="D711" t="s">
        <v>2029</v>
      </c>
    </row>
    <row r="712" spans="1:4" x14ac:dyDescent="0.3">
      <c r="A712" t="s">
        <v>1628</v>
      </c>
      <c r="B712">
        <v>60.96585154552465</v>
      </c>
      <c r="C712" t="s">
        <v>2051</v>
      </c>
      <c r="D712" t="s">
        <v>2030</v>
      </c>
    </row>
    <row r="713" spans="1:4" x14ac:dyDescent="0.3">
      <c r="A713" t="s">
        <v>17</v>
      </c>
      <c r="B713">
        <v>16.71703668757138</v>
      </c>
      <c r="C713" t="s">
        <v>2051</v>
      </c>
      <c r="D713" t="s">
        <v>2030</v>
      </c>
    </row>
    <row r="714" spans="1:4" x14ac:dyDescent="0.3">
      <c r="A714" t="s">
        <v>209</v>
      </c>
      <c r="B714">
        <v>44.30228308962436</v>
      </c>
      <c r="C714" t="s">
        <v>2051</v>
      </c>
      <c r="D714" t="s">
        <v>2030</v>
      </c>
    </row>
    <row r="715" spans="1:4" x14ac:dyDescent="0.3">
      <c r="A715" t="s">
        <v>446</v>
      </c>
      <c r="B715">
        <v>4.0598063786682376E-2</v>
      </c>
      <c r="C715" t="s">
        <v>2051</v>
      </c>
      <c r="D715" t="s">
        <v>2030</v>
      </c>
    </row>
    <row r="716" spans="1:4" x14ac:dyDescent="0.3">
      <c r="A716" t="s">
        <v>1632</v>
      </c>
      <c r="B716">
        <v>11.063460790161059</v>
      </c>
      <c r="C716" t="s">
        <v>2051</v>
      </c>
      <c r="D716" t="s">
        <v>2030</v>
      </c>
    </row>
    <row r="717" spans="1:4" x14ac:dyDescent="0.3">
      <c r="A717" t="s">
        <v>1626</v>
      </c>
      <c r="B717">
        <v>9.0097422748211198</v>
      </c>
      <c r="C717" t="s">
        <v>2051</v>
      </c>
      <c r="D717" t="s">
        <v>2030</v>
      </c>
    </row>
    <row r="718" spans="1:4" x14ac:dyDescent="0.3">
      <c r="A718" t="s">
        <v>1627</v>
      </c>
      <c r="B718">
        <v>3.7646719755045757</v>
      </c>
      <c r="C718" t="s">
        <v>2051</v>
      </c>
      <c r="D718" t="s">
        <v>2030</v>
      </c>
    </row>
    <row r="719" spans="1:4" x14ac:dyDescent="0.3">
      <c r="A719" t="s">
        <v>1625</v>
      </c>
      <c r="B719">
        <v>-1.4138237660730051</v>
      </c>
      <c r="C719" t="s">
        <v>2051</v>
      </c>
      <c r="D719" t="s">
        <v>2030</v>
      </c>
    </row>
    <row r="720" spans="1:4" x14ac:dyDescent="0.3">
      <c r="A720" t="s">
        <v>1623</v>
      </c>
      <c r="B720">
        <v>-0.2971296940916287</v>
      </c>
      <c r="C720" t="s">
        <v>2051</v>
      </c>
      <c r="D720" t="s">
        <v>2030</v>
      </c>
    </row>
    <row r="721" spans="1:4" x14ac:dyDescent="0.3">
      <c r="A721" t="s">
        <v>1633</v>
      </c>
      <c r="B721">
        <v>72.029312335685717</v>
      </c>
      <c r="C721" t="s">
        <v>2051</v>
      </c>
      <c r="D721" t="s">
        <v>2030</v>
      </c>
    </row>
    <row r="722" spans="1:4" x14ac:dyDescent="0.3">
      <c r="A722" t="s">
        <v>1628</v>
      </c>
      <c r="B722">
        <v>54.046412487385126</v>
      </c>
      <c r="C722" t="s">
        <v>2051</v>
      </c>
      <c r="D722" t="s">
        <v>2057</v>
      </c>
    </row>
    <row r="723" spans="1:4" x14ac:dyDescent="0.3">
      <c r="A723" t="s">
        <v>17</v>
      </c>
      <c r="B723">
        <v>16.71703668757138</v>
      </c>
      <c r="C723" t="s">
        <v>2051</v>
      </c>
      <c r="D723" t="s">
        <v>2057</v>
      </c>
    </row>
    <row r="724" spans="1:4" x14ac:dyDescent="0.3">
      <c r="A724" t="s">
        <v>209</v>
      </c>
      <c r="B724">
        <v>37.382844031484836</v>
      </c>
      <c r="C724" t="s">
        <v>2051</v>
      </c>
      <c r="D724" t="s">
        <v>2057</v>
      </c>
    </row>
    <row r="725" spans="1:4" x14ac:dyDescent="0.3">
      <c r="A725" t="s">
        <v>446</v>
      </c>
      <c r="B725">
        <v>4.0598063786682376E-2</v>
      </c>
      <c r="C725" t="s">
        <v>2051</v>
      </c>
      <c r="D725" t="s">
        <v>2057</v>
      </c>
    </row>
    <row r="726" spans="1:4" x14ac:dyDescent="0.3">
      <c r="A726" t="s">
        <v>1632</v>
      </c>
      <c r="B726">
        <v>11.063460790161059</v>
      </c>
      <c r="C726" t="s">
        <v>2051</v>
      </c>
      <c r="D726" t="s">
        <v>2057</v>
      </c>
    </row>
    <row r="727" spans="1:4" x14ac:dyDescent="0.3">
      <c r="A727" t="s">
        <v>1626</v>
      </c>
      <c r="B727">
        <v>9.0097422748211198</v>
      </c>
      <c r="C727" t="s">
        <v>2051</v>
      </c>
      <c r="D727" t="s">
        <v>2057</v>
      </c>
    </row>
    <row r="728" spans="1:4" x14ac:dyDescent="0.3">
      <c r="A728" t="s">
        <v>1627</v>
      </c>
      <c r="B728">
        <v>3.7646719755045757</v>
      </c>
      <c r="C728" t="s">
        <v>2051</v>
      </c>
      <c r="D728" t="s">
        <v>2057</v>
      </c>
    </row>
    <row r="729" spans="1:4" x14ac:dyDescent="0.3">
      <c r="A729" t="s">
        <v>1625</v>
      </c>
      <c r="B729">
        <v>-1.4138237660730051</v>
      </c>
      <c r="C729" t="s">
        <v>2051</v>
      </c>
      <c r="D729" t="s">
        <v>2057</v>
      </c>
    </row>
    <row r="730" spans="1:4" x14ac:dyDescent="0.3">
      <c r="A730" t="s">
        <v>1623</v>
      </c>
      <c r="B730">
        <v>-0.2971296940916287</v>
      </c>
      <c r="C730" t="s">
        <v>2051</v>
      </c>
      <c r="D730" t="s">
        <v>2057</v>
      </c>
    </row>
    <row r="731" spans="1:4" x14ac:dyDescent="0.3">
      <c r="A731" t="s">
        <v>1633</v>
      </c>
      <c r="B731">
        <v>65.109873277546185</v>
      </c>
      <c r="C731" t="s">
        <v>2051</v>
      </c>
      <c r="D731" t="s">
        <v>2057</v>
      </c>
    </row>
    <row r="732" spans="1:4" x14ac:dyDescent="0.3">
      <c r="A732" t="s">
        <v>1628</v>
      </c>
      <c r="B732">
        <v>60.96585154552465</v>
      </c>
      <c r="C732" t="s">
        <v>2051</v>
      </c>
      <c r="D732" t="s">
        <v>2032</v>
      </c>
    </row>
    <row r="733" spans="1:4" x14ac:dyDescent="0.3">
      <c r="A733" t="s">
        <v>17</v>
      </c>
      <c r="B733">
        <v>16.71703668757138</v>
      </c>
      <c r="C733" t="s">
        <v>2051</v>
      </c>
      <c r="D733" t="s">
        <v>2032</v>
      </c>
    </row>
    <row r="734" spans="1:4" x14ac:dyDescent="0.3">
      <c r="A734" t="s">
        <v>209</v>
      </c>
      <c r="B734">
        <v>44.30228308962436</v>
      </c>
      <c r="C734" t="s">
        <v>2051</v>
      </c>
      <c r="D734" t="s">
        <v>2032</v>
      </c>
    </row>
    <row r="735" spans="1:4" x14ac:dyDescent="0.3">
      <c r="A735" t="s">
        <v>446</v>
      </c>
      <c r="B735">
        <v>4.0598063786682376E-2</v>
      </c>
      <c r="C735" t="s">
        <v>2051</v>
      </c>
      <c r="D735" t="s">
        <v>2032</v>
      </c>
    </row>
    <row r="736" spans="1:4" x14ac:dyDescent="0.3">
      <c r="A736" t="s">
        <v>1632</v>
      </c>
      <c r="B736">
        <v>11.063460790161059</v>
      </c>
      <c r="C736" t="s">
        <v>2051</v>
      </c>
      <c r="D736" t="s">
        <v>2032</v>
      </c>
    </row>
    <row r="737" spans="1:4" x14ac:dyDescent="0.3">
      <c r="A737" t="s">
        <v>1626</v>
      </c>
      <c r="B737">
        <v>9.0097422748211198</v>
      </c>
      <c r="C737" t="s">
        <v>2051</v>
      </c>
      <c r="D737" t="s">
        <v>2032</v>
      </c>
    </row>
    <row r="738" spans="1:4" x14ac:dyDescent="0.3">
      <c r="A738" t="s">
        <v>1627</v>
      </c>
      <c r="B738">
        <v>3.7646719755045757</v>
      </c>
      <c r="C738" t="s">
        <v>2051</v>
      </c>
      <c r="D738" t="s">
        <v>2032</v>
      </c>
    </row>
    <row r="739" spans="1:4" x14ac:dyDescent="0.3">
      <c r="A739" t="s">
        <v>1625</v>
      </c>
      <c r="B739">
        <v>-1.4138237660730051</v>
      </c>
      <c r="C739" t="s">
        <v>2051</v>
      </c>
      <c r="D739" t="s">
        <v>2032</v>
      </c>
    </row>
    <row r="740" spans="1:4" x14ac:dyDescent="0.3">
      <c r="A740" t="s">
        <v>1623</v>
      </c>
      <c r="B740">
        <v>-0.2971296940916287</v>
      </c>
      <c r="C740" t="s">
        <v>2051</v>
      </c>
      <c r="D740" t="s">
        <v>2032</v>
      </c>
    </row>
    <row r="741" spans="1:4" x14ac:dyDescent="0.3">
      <c r="A741" t="s">
        <v>1633</v>
      </c>
      <c r="B741">
        <v>72.029312335685717</v>
      </c>
      <c r="C741" t="s">
        <v>2051</v>
      </c>
      <c r="D741" t="s">
        <v>2032</v>
      </c>
    </row>
    <row r="742" spans="1:4" x14ac:dyDescent="0.3">
      <c r="A742" t="s">
        <v>1628</v>
      </c>
      <c r="B742">
        <v>57.815852535411373</v>
      </c>
      <c r="C742" t="s">
        <v>2051</v>
      </c>
      <c r="D742" t="s">
        <v>2058</v>
      </c>
    </row>
    <row r="743" spans="1:4" x14ac:dyDescent="0.3">
      <c r="A743" t="s">
        <v>17</v>
      </c>
      <c r="B743">
        <v>16.71703668757138</v>
      </c>
      <c r="C743" t="s">
        <v>2051</v>
      </c>
      <c r="D743" t="s">
        <v>2058</v>
      </c>
    </row>
    <row r="744" spans="1:4" x14ac:dyDescent="0.3">
      <c r="A744" t="s">
        <v>209</v>
      </c>
      <c r="B744">
        <v>41.152284079511084</v>
      </c>
      <c r="C744" t="s">
        <v>2051</v>
      </c>
      <c r="D744" t="s">
        <v>2058</v>
      </c>
    </row>
    <row r="745" spans="1:4" x14ac:dyDescent="0.3">
      <c r="A745" t="s">
        <v>446</v>
      </c>
      <c r="B745">
        <v>4.0598063786682376E-2</v>
      </c>
      <c r="C745" t="s">
        <v>2051</v>
      </c>
      <c r="D745" t="s">
        <v>2058</v>
      </c>
    </row>
    <row r="746" spans="1:4" x14ac:dyDescent="0.3">
      <c r="A746" t="s">
        <v>1632</v>
      </c>
      <c r="B746">
        <v>11.063460790161059</v>
      </c>
      <c r="C746" t="s">
        <v>2051</v>
      </c>
      <c r="D746" t="s">
        <v>2058</v>
      </c>
    </row>
    <row r="747" spans="1:4" x14ac:dyDescent="0.3">
      <c r="A747" t="s">
        <v>1626</v>
      </c>
      <c r="B747">
        <v>9.0097422748211198</v>
      </c>
      <c r="C747" t="s">
        <v>2051</v>
      </c>
      <c r="D747" t="s">
        <v>2058</v>
      </c>
    </row>
    <row r="748" spans="1:4" x14ac:dyDescent="0.3">
      <c r="A748" t="s">
        <v>1627</v>
      </c>
      <c r="B748">
        <v>3.7646719755045757</v>
      </c>
      <c r="C748" t="s">
        <v>2051</v>
      </c>
      <c r="D748" t="s">
        <v>2058</v>
      </c>
    </row>
    <row r="749" spans="1:4" x14ac:dyDescent="0.3">
      <c r="A749" t="s">
        <v>1625</v>
      </c>
      <c r="B749">
        <v>-1.4138237660730051</v>
      </c>
      <c r="C749" t="s">
        <v>2051</v>
      </c>
      <c r="D749" t="s">
        <v>2058</v>
      </c>
    </row>
    <row r="750" spans="1:4" x14ac:dyDescent="0.3">
      <c r="A750" t="s">
        <v>1623</v>
      </c>
      <c r="B750">
        <v>-0.2971296940916287</v>
      </c>
      <c r="C750" t="s">
        <v>2051</v>
      </c>
      <c r="D750" t="s">
        <v>2058</v>
      </c>
    </row>
    <row r="751" spans="1:4" x14ac:dyDescent="0.3">
      <c r="A751" t="s">
        <v>1633</v>
      </c>
      <c r="B751">
        <v>68.87931332557244</v>
      </c>
      <c r="C751" t="s">
        <v>2051</v>
      </c>
      <c r="D751" t="s">
        <v>2058</v>
      </c>
    </row>
    <row r="752" spans="1:4" x14ac:dyDescent="0.3">
      <c r="A752" t="s">
        <v>1628</v>
      </c>
      <c r="B752">
        <v>60.96585154552465</v>
      </c>
      <c r="C752" t="s">
        <v>2051</v>
      </c>
      <c r="D752" t="s">
        <v>2274</v>
      </c>
    </row>
    <row r="753" spans="1:4" x14ac:dyDescent="0.3">
      <c r="A753" t="s">
        <v>17</v>
      </c>
      <c r="B753">
        <v>16.71703668757138</v>
      </c>
      <c r="C753" t="s">
        <v>2051</v>
      </c>
      <c r="D753" t="s">
        <v>2274</v>
      </c>
    </row>
    <row r="754" spans="1:4" x14ac:dyDescent="0.3">
      <c r="A754" t="s">
        <v>209</v>
      </c>
      <c r="B754">
        <v>44.30228308962436</v>
      </c>
      <c r="C754" t="s">
        <v>2051</v>
      </c>
      <c r="D754" t="s">
        <v>2274</v>
      </c>
    </row>
    <row r="755" spans="1:4" x14ac:dyDescent="0.3">
      <c r="A755" t="s">
        <v>446</v>
      </c>
      <c r="B755">
        <v>4.0598063786682376E-2</v>
      </c>
      <c r="C755" t="s">
        <v>2051</v>
      </c>
      <c r="D755" t="s">
        <v>2274</v>
      </c>
    </row>
    <row r="756" spans="1:4" x14ac:dyDescent="0.3">
      <c r="A756" t="s">
        <v>1632</v>
      </c>
      <c r="B756">
        <v>11.063460790161059</v>
      </c>
      <c r="C756" t="s">
        <v>2051</v>
      </c>
      <c r="D756" t="s">
        <v>2274</v>
      </c>
    </row>
    <row r="757" spans="1:4" x14ac:dyDescent="0.3">
      <c r="A757" t="s">
        <v>1626</v>
      </c>
      <c r="B757">
        <v>9.0097422748211198</v>
      </c>
      <c r="C757" t="s">
        <v>2051</v>
      </c>
      <c r="D757" t="s">
        <v>2274</v>
      </c>
    </row>
    <row r="758" spans="1:4" x14ac:dyDescent="0.3">
      <c r="A758" t="s">
        <v>1627</v>
      </c>
      <c r="B758">
        <v>3.7646719755045757</v>
      </c>
      <c r="C758" t="s">
        <v>2051</v>
      </c>
      <c r="D758" t="s">
        <v>2274</v>
      </c>
    </row>
    <row r="759" spans="1:4" x14ac:dyDescent="0.3">
      <c r="A759" t="s">
        <v>1625</v>
      </c>
      <c r="B759">
        <v>-1.4138237660730051</v>
      </c>
      <c r="C759" t="s">
        <v>2051</v>
      </c>
      <c r="D759" t="s">
        <v>2274</v>
      </c>
    </row>
    <row r="760" spans="1:4" x14ac:dyDescent="0.3">
      <c r="A760" t="s">
        <v>1623</v>
      </c>
      <c r="B760">
        <v>-0.2971296940916287</v>
      </c>
      <c r="C760" t="s">
        <v>2051</v>
      </c>
      <c r="D760" t="s">
        <v>2274</v>
      </c>
    </row>
    <row r="761" spans="1:4" x14ac:dyDescent="0.3">
      <c r="A761" t="s">
        <v>1633</v>
      </c>
      <c r="B761">
        <v>72.029312335685717</v>
      </c>
      <c r="C761" t="s">
        <v>2051</v>
      </c>
      <c r="D761" t="s">
        <v>2274</v>
      </c>
    </row>
    <row r="762" spans="1:4" x14ac:dyDescent="0.3">
      <c r="A762" t="s">
        <v>1628</v>
      </c>
      <c r="B762">
        <v>60.96585154552465</v>
      </c>
      <c r="C762" t="s">
        <v>2051</v>
      </c>
      <c r="D762" t="s">
        <v>2275</v>
      </c>
    </row>
    <row r="763" spans="1:4" x14ac:dyDescent="0.3">
      <c r="A763" t="s">
        <v>17</v>
      </c>
      <c r="B763">
        <v>16.71703668757138</v>
      </c>
      <c r="C763" t="s">
        <v>2051</v>
      </c>
      <c r="D763" t="s">
        <v>2275</v>
      </c>
    </row>
    <row r="764" spans="1:4" x14ac:dyDescent="0.3">
      <c r="A764" t="s">
        <v>209</v>
      </c>
      <c r="B764">
        <v>44.30228308962436</v>
      </c>
      <c r="C764" t="s">
        <v>2051</v>
      </c>
      <c r="D764" t="s">
        <v>2275</v>
      </c>
    </row>
    <row r="765" spans="1:4" x14ac:dyDescent="0.3">
      <c r="A765" t="s">
        <v>446</v>
      </c>
      <c r="B765">
        <v>4.0598063786682376E-2</v>
      </c>
      <c r="C765" t="s">
        <v>2051</v>
      </c>
      <c r="D765" t="s">
        <v>2275</v>
      </c>
    </row>
    <row r="766" spans="1:4" x14ac:dyDescent="0.3">
      <c r="A766" t="s">
        <v>1632</v>
      </c>
      <c r="B766">
        <v>11.063460790161059</v>
      </c>
      <c r="C766" t="s">
        <v>2051</v>
      </c>
      <c r="D766" t="s">
        <v>2275</v>
      </c>
    </row>
    <row r="767" spans="1:4" x14ac:dyDescent="0.3">
      <c r="A767" t="s">
        <v>1626</v>
      </c>
      <c r="B767">
        <v>9.0097422748211198</v>
      </c>
      <c r="C767" t="s">
        <v>2051</v>
      </c>
      <c r="D767" t="s">
        <v>2275</v>
      </c>
    </row>
    <row r="768" spans="1:4" x14ac:dyDescent="0.3">
      <c r="A768" t="s">
        <v>1627</v>
      </c>
      <c r="B768">
        <v>3.7646719755045757</v>
      </c>
      <c r="C768" t="s">
        <v>2051</v>
      </c>
      <c r="D768" t="s">
        <v>2275</v>
      </c>
    </row>
    <row r="769" spans="1:4" x14ac:dyDescent="0.3">
      <c r="A769" t="s">
        <v>1625</v>
      </c>
      <c r="B769">
        <v>-1.4138237660730051</v>
      </c>
      <c r="C769" t="s">
        <v>2051</v>
      </c>
      <c r="D769" t="s">
        <v>2275</v>
      </c>
    </row>
    <row r="770" spans="1:4" x14ac:dyDescent="0.3">
      <c r="A770" t="s">
        <v>1623</v>
      </c>
      <c r="B770">
        <v>-0.2971296940916287</v>
      </c>
      <c r="C770" t="s">
        <v>2051</v>
      </c>
      <c r="D770" t="s">
        <v>2275</v>
      </c>
    </row>
    <row r="771" spans="1:4" x14ac:dyDescent="0.3">
      <c r="A771" t="s">
        <v>1633</v>
      </c>
      <c r="B771">
        <v>72.029312335685717</v>
      </c>
      <c r="C771" t="s">
        <v>2051</v>
      </c>
      <c r="D771" t="s">
        <v>2275</v>
      </c>
    </row>
    <row r="772" spans="1:4" x14ac:dyDescent="0.3">
      <c r="A772" t="s">
        <v>1628</v>
      </c>
      <c r="B772">
        <v>62.233423814082194</v>
      </c>
      <c r="C772" t="s">
        <v>2051</v>
      </c>
      <c r="D772" t="s">
        <v>2193</v>
      </c>
    </row>
    <row r="773" spans="1:4" x14ac:dyDescent="0.3">
      <c r="A773" t="s">
        <v>17</v>
      </c>
      <c r="B773">
        <v>16.71703668757138</v>
      </c>
      <c r="C773" t="s">
        <v>2051</v>
      </c>
      <c r="D773" t="s">
        <v>2193</v>
      </c>
    </row>
    <row r="774" spans="1:4" x14ac:dyDescent="0.3">
      <c r="A774" t="s">
        <v>209</v>
      </c>
      <c r="B774">
        <v>45.569855358181904</v>
      </c>
      <c r="C774" t="s">
        <v>2051</v>
      </c>
      <c r="D774" t="s">
        <v>2193</v>
      </c>
    </row>
    <row r="775" spans="1:4" x14ac:dyDescent="0.3">
      <c r="A775" t="s">
        <v>446</v>
      </c>
      <c r="B775">
        <v>4.0598063786682376E-2</v>
      </c>
      <c r="C775" t="s">
        <v>2051</v>
      </c>
      <c r="D775" t="s">
        <v>2193</v>
      </c>
    </row>
    <row r="776" spans="1:4" x14ac:dyDescent="0.3">
      <c r="A776" t="s">
        <v>1632</v>
      </c>
      <c r="B776">
        <v>11.063460790161059</v>
      </c>
      <c r="C776" t="s">
        <v>2051</v>
      </c>
      <c r="D776" t="s">
        <v>2193</v>
      </c>
    </row>
    <row r="777" spans="1:4" x14ac:dyDescent="0.3">
      <c r="A777" t="s">
        <v>1626</v>
      </c>
      <c r="B777">
        <v>9.0097422748211198</v>
      </c>
      <c r="C777" t="s">
        <v>2051</v>
      </c>
      <c r="D777" t="s">
        <v>2193</v>
      </c>
    </row>
    <row r="778" spans="1:4" x14ac:dyDescent="0.3">
      <c r="A778" t="s">
        <v>1627</v>
      </c>
      <c r="B778">
        <v>3.7646719755045757</v>
      </c>
      <c r="C778" t="s">
        <v>2051</v>
      </c>
      <c r="D778" t="s">
        <v>2193</v>
      </c>
    </row>
    <row r="779" spans="1:4" x14ac:dyDescent="0.3">
      <c r="A779" t="s">
        <v>1625</v>
      </c>
      <c r="B779">
        <v>-1.4138237660730051</v>
      </c>
      <c r="C779" t="s">
        <v>2051</v>
      </c>
      <c r="D779" t="s">
        <v>2193</v>
      </c>
    </row>
    <row r="780" spans="1:4" x14ac:dyDescent="0.3">
      <c r="A780" t="s">
        <v>1623</v>
      </c>
      <c r="B780">
        <v>-0.2971296940916287</v>
      </c>
      <c r="C780" t="s">
        <v>2051</v>
      </c>
      <c r="D780" t="s">
        <v>2193</v>
      </c>
    </row>
    <row r="781" spans="1:4" x14ac:dyDescent="0.3">
      <c r="A781" t="s">
        <v>1633</v>
      </c>
      <c r="B781">
        <v>73.296884604243246</v>
      </c>
      <c r="C781" t="s">
        <v>2051</v>
      </c>
      <c r="D781" t="s">
        <v>2193</v>
      </c>
    </row>
    <row r="782" spans="1:4" x14ac:dyDescent="0.3">
      <c r="A782" t="s">
        <v>1628</v>
      </c>
      <c r="B782">
        <v>59.964142920973657</v>
      </c>
      <c r="C782" t="s">
        <v>2051</v>
      </c>
      <c r="D782" t="s">
        <v>2194</v>
      </c>
    </row>
    <row r="783" spans="1:4" x14ac:dyDescent="0.3">
      <c r="A783" t="s">
        <v>17</v>
      </c>
      <c r="B783">
        <v>16.71703668757138</v>
      </c>
      <c r="C783" t="s">
        <v>2051</v>
      </c>
      <c r="D783" t="s">
        <v>2194</v>
      </c>
    </row>
    <row r="784" spans="1:4" x14ac:dyDescent="0.3">
      <c r="A784" t="s">
        <v>209</v>
      </c>
      <c r="B784">
        <v>43.300574465073367</v>
      </c>
      <c r="C784" t="s">
        <v>2051</v>
      </c>
      <c r="D784" t="s">
        <v>2194</v>
      </c>
    </row>
    <row r="785" spans="1:4" x14ac:dyDescent="0.3">
      <c r="A785" t="s">
        <v>446</v>
      </c>
      <c r="B785">
        <v>4.0598063786682376E-2</v>
      </c>
      <c r="C785" t="s">
        <v>2051</v>
      </c>
      <c r="D785" t="s">
        <v>2194</v>
      </c>
    </row>
    <row r="786" spans="1:4" x14ac:dyDescent="0.3">
      <c r="A786" t="s">
        <v>1632</v>
      </c>
      <c r="B786">
        <v>11.063460790161059</v>
      </c>
      <c r="C786" t="s">
        <v>2051</v>
      </c>
      <c r="D786" t="s">
        <v>2194</v>
      </c>
    </row>
    <row r="787" spans="1:4" x14ac:dyDescent="0.3">
      <c r="A787" t="s">
        <v>1626</v>
      </c>
      <c r="B787">
        <v>9.0097422748211198</v>
      </c>
      <c r="C787" t="s">
        <v>2051</v>
      </c>
      <c r="D787" t="s">
        <v>2194</v>
      </c>
    </row>
    <row r="788" spans="1:4" x14ac:dyDescent="0.3">
      <c r="A788" t="s">
        <v>1627</v>
      </c>
      <c r="B788">
        <v>3.7646719755045757</v>
      </c>
      <c r="C788" t="s">
        <v>2051</v>
      </c>
      <c r="D788" t="s">
        <v>2194</v>
      </c>
    </row>
    <row r="789" spans="1:4" x14ac:dyDescent="0.3">
      <c r="A789" t="s">
        <v>1625</v>
      </c>
      <c r="B789">
        <v>-1.4138237660730051</v>
      </c>
      <c r="C789" t="s">
        <v>2051</v>
      </c>
      <c r="D789" t="s">
        <v>2194</v>
      </c>
    </row>
    <row r="790" spans="1:4" x14ac:dyDescent="0.3">
      <c r="A790" t="s">
        <v>1623</v>
      </c>
      <c r="B790">
        <v>-0.2971296940916287</v>
      </c>
      <c r="C790" t="s">
        <v>2051</v>
      </c>
      <c r="D790" t="s">
        <v>2194</v>
      </c>
    </row>
    <row r="791" spans="1:4" x14ac:dyDescent="0.3">
      <c r="A791" t="s">
        <v>1633</v>
      </c>
      <c r="B791">
        <v>71.027603711134716</v>
      </c>
      <c r="C791" t="s">
        <v>2051</v>
      </c>
      <c r="D791" t="s">
        <v>2194</v>
      </c>
    </row>
    <row r="792" spans="1:4" x14ac:dyDescent="0.3">
      <c r="A792" t="s">
        <v>1628</v>
      </c>
      <c r="B792">
        <v>60.923741316366645</v>
      </c>
      <c r="C792" t="s">
        <v>2051</v>
      </c>
      <c r="D792" t="s">
        <v>2195</v>
      </c>
    </row>
    <row r="793" spans="1:4" x14ac:dyDescent="0.3">
      <c r="A793" t="s">
        <v>17</v>
      </c>
      <c r="B793">
        <v>16.71703668757138</v>
      </c>
      <c r="C793" t="s">
        <v>2051</v>
      </c>
      <c r="D793" t="s">
        <v>2195</v>
      </c>
    </row>
    <row r="794" spans="1:4" x14ac:dyDescent="0.3">
      <c r="A794" t="s">
        <v>209</v>
      </c>
      <c r="B794">
        <v>44.260172860466355</v>
      </c>
      <c r="C794" t="s">
        <v>2051</v>
      </c>
      <c r="D794" t="s">
        <v>2195</v>
      </c>
    </row>
    <row r="795" spans="1:4" x14ac:dyDescent="0.3">
      <c r="A795" t="s">
        <v>446</v>
      </c>
      <c r="B795">
        <v>4.0598063786682376E-2</v>
      </c>
      <c r="C795" t="s">
        <v>2051</v>
      </c>
      <c r="D795" t="s">
        <v>2195</v>
      </c>
    </row>
    <row r="796" spans="1:4" x14ac:dyDescent="0.3">
      <c r="A796" t="s">
        <v>1632</v>
      </c>
      <c r="B796">
        <v>11.063460790161059</v>
      </c>
      <c r="C796" t="s">
        <v>2051</v>
      </c>
      <c r="D796" t="s">
        <v>2195</v>
      </c>
    </row>
    <row r="797" spans="1:4" x14ac:dyDescent="0.3">
      <c r="A797" t="s">
        <v>1626</v>
      </c>
      <c r="B797">
        <v>9.0097422748211198</v>
      </c>
      <c r="C797" t="s">
        <v>2051</v>
      </c>
      <c r="D797" t="s">
        <v>2195</v>
      </c>
    </row>
    <row r="798" spans="1:4" x14ac:dyDescent="0.3">
      <c r="A798" t="s">
        <v>1627</v>
      </c>
      <c r="B798">
        <v>3.7646719755045757</v>
      </c>
      <c r="C798" t="s">
        <v>2051</v>
      </c>
      <c r="D798" t="s">
        <v>2195</v>
      </c>
    </row>
    <row r="799" spans="1:4" x14ac:dyDescent="0.3">
      <c r="A799" t="s">
        <v>1625</v>
      </c>
      <c r="B799">
        <v>-1.4138237660730051</v>
      </c>
      <c r="C799" t="s">
        <v>2051</v>
      </c>
      <c r="D799" t="s">
        <v>2195</v>
      </c>
    </row>
    <row r="800" spans="1:4" x14ac:dyDescent="0.3">
      <c r="A800" t="s">
        <v>1623</v>
      </c>
      <c r="B800">
        <v>-0.2971296940916287</v>
      </c>
      <c r="C800" t="s">
        <v>2051</v>
      </c>
      <c r="D800" t="s">
        <v>2195</v>
      </c>
    </row>
    <row r="801" spans="1:4" x14ac:dyDescent="0.3">
      <c r="A801" t="s">
        <v>1633</v>
      </c>
      <c r="B801">
        <v>71.987202106527704</v>
      </c>
      <c r="C801" t="s">
        <v>2051</v>
      </c>
      <c r="D801" t="s">
        <v>2195</v>
      </c>
    </row>
    <row r="802" spans="1:4" x14ac:dyDescent="0.3">
      <c r="A802" t="s">
        <v>1628</v>
      </c>
      <c r="B802">
        <v>59.984065044525934</v>
      </c>
      <c r="C802" t="s">
        <v>2051</v>
      </c>
      <c r="D802" t="s">
        <v>2196</v>
      </c>
    </row>
    <row r="803" spans="1:4" x14ac:dyDescent="0.3">
      <c r="A803" t="s">
        <v>17</v>
      </c>
      <c r="B803">
        <v>16.71703668757138</v>
      </c>
      <c r="C803" t="s">
        <v>2051</v>
      </c>
      <c r="D803" t="s">
        <v>2196</v>
      </c>
    </row>
    <row r="804" spans="1:4" x14ac:dyDescent="0.3">
      <c r="A804" t="s">
        <v>209</v>
      </c>
      <c r="B804">
        <v>43.320496588625645</v>
      </c>
      <c r="C804" t="s">
        <v>2051</v>
      </c>
      <c r="D804" t="s">
        <v>2196</v>
      </c>
    </row>
    <row r="805" spans="1:4" x14ac:dyDescent="0.3">
      <c r="A805" t="s">
        <v>446</v>
      </c>
      <c r="B805">
        <v>4.0598063786682376E-2</v>
      </c>
      <c r="C805" t="s">
        <v>2051</v>
      </c>
      <c r="D805" t="s">
        <v>2196</v>
      </c>
    </row>
    <row r="806" spans="1:4" x14ac:dyDescent="0.3">
      <c r="A806" t="s">
        <v>1632</v>
      </c>
      <c r="B806">
        <v>11.063460790161059</v>
      </c>
      <c r="C806" t="s">
        <v>2051</v>
      </c>
      <c r="D806" t="s">
        <v>2196</v>
      </c>
    </row>
    <row r="807" spans="1:4" x14ac:dyDescent="0.3">
      <c r="A807" t="s">
        <v>1626</v>
      </c>
      <c r="B807">
        <v>9.0097422748211198</v>
      </c>
      <c r="C807" t="s">
        <v>2051</v>
      </c>
      <c r="D807" t="s">
        <v>2196</v>
      </c>
    </row>
    <row r="808" spans="1:4" x14ac:dyDescent="0.3">
      <c r="A808" t="s">
        <v>1627</v>
      </c>
      <c r="B808">
        <v>3.7646719755045757</v>
      </c>
      <c r="C808" t="s">
        <v>2051</v>
      </c>
      <c r="D808" t="s">
        <v>2196</v>
      </c>
    </row>
    <row r="809" spans="1:4" x14ac:dyDescent="0.3">
      <c r="A809" t="s">
        <v>1625</v>
      </c>
      <c r="B809">
        <v>-1.4138237660730051</v>
      </c>
      <c r="C809" t="s">
        <v>2051</v>
      </c>
      <c r="D809" t="s">
        <v>2196</v>
      </c>
    </row>
    <row r="810" spans="1:4" x14ac:dyDescent="0.3">
      <c r="A810" t="s">
        <v>1623</v>
      </c>
      <c r="B810">
        <v>-0.2971296940916287</v>
      </c>
      <c r="C810" t="s">
        <v>2051</v>
      </c>
      <c r="D810" t="s">
        <v>2196</v>
      </c>
    </row>
    <row r="811" spans="1:4" x14ac:dyDescent="0.3">
      <c r="A811" t="s">
        <v>1633</v>
      </c>
      <c r="B811">
        <v>71.047525834686994</v>
      </c>
      <c r="C811" t="s">
        <v>2051</v>
      </c>
      <c r="D811" t="s">
        <v>2196</v>
      </c>
    </row>
    <row r="812" spans="1:4" x14ac:dyDescent="0.3">
      <c r="A812" t="s">
        <v>1628</v>
      </c>
      <c r="B812">
        <v>61.067563044054161</v>
      </c>
      <c r="C812" t="s">
        <v>2051</v>
      </c>
      <c r="D812" t="s">
        <v>2197</v>
      </c>
    </row>
    <row r="813" spans="1:4" x14ac:dyDescent="0.3">
      <c r="A813" t="s">
        <v>17</v>
      </c>
      <c r="B813">
        <v>16.71703668757138</v>
      </c>
      <c r="C813" t="s">
        <v>2051</v>
      </c>
      <c r="D813" t="s">
        <v>2197</v>
      </c>
    </row>
    <row r="814" spans="1:4" x14ac:dyDescent="0.3">
      <c r="A814" t="s">
        <v>209</v>
      </c>
      <c r="B814">
        <v>44.403994588153871</v>
      </c>
      <c r="C814" t="s">
        <v>2051</v>
      </c>
      <c r="D814" t="s">
        <v>2197</v>
      </c>
    </row>
    <row r="815" spans="1:4" x14ac:dyDescent="0.3">
      <c r="A815" t="s">
        <v>446</v>
      </c>
      <c r="B815">
        <v>4.0598063786682376E-2</v>
      </c>
      <c r="C815" t="s">
        <v>2051</v>
      </c>
      <c r="D815" t="s">
        <v>2197</v>
      </c>
    </row>
    <row r="816" spans="1:4" x14ac:dyDescent="0.3">
      <c r="A816" t="s">
        <v>1632</v>
      </c>
      <c r="B816">
        <v>11.063460790161059</v>
      </c>
      <c r="C816" t="s">
        <v>2051</v>
      </c>
      <c r="D816" t="s">
        <v>2197</v>
      </c>
    </row>
    <row r="817" spans="1:4" x14ac:dyDescent="0.3">
      <c r="A817" t="s">
        <v>1626</v>
      </c>
      <c r="B817">
        <v>9.0097422748211198</v>
      </c>
      <c r="C817" t="s">
        <v>2051</v>
      </c>
      <c r="D817" t="s">
        <v>2197</v>
      </c>
    </row>
    <row r="818" spans="1:4" x14ac:dyDescent="0.3">
      <c r="A818" t="s">
        <v>1627</v>
      </c>
      <c r="B818">
        <v>3.7646719755045757</v>
      </c>
      <c r="C818" t="s">
        <v>2051</v>
      </c>
      <c r="D818" t="s">
        <v>2197</v>
      </c>
    </row>
    <row r="819" spans="1:4" x14ac:dyDescent="0.3">
      <c r="A819" t="s">
        <v>1625</v>
      </c>
      <c r="B819">
        <v>-1.4138237660730051</v>
      </c>
      <c r="C819" t="s">
        <v>2051</v>
      </c>
      <c r="D819" t="s">
        <v>2197</v>
      </c>
    </row>
    <row r="820" spans="1:4" x14ac:dyDescent="0.3">
      <c r="A820" t="s">
        <v>1623</v>
      </c>
      <c r="B820">
        <v>-0.2971296940916287</v>
      </c>
      <c r="C820" t="s">
        <v>2051</v>
      </c>
      <c r="D820" t="s">
        <v>2197</v>
      </c>
    </row>
    <row r="821" spans="1:4" x14ac:dyDescent="0.3">
      <c r="A821" t="s">
        <v>1633</v>
      </c>
      <c r="B821">
        <v>72.131023834215227</v>
      </c>
      <c r="C821" t="s">
        <v>2051</v>
      </c>
      <c r="D821" t="s">
        <v>2197</v>
      </c>
    </row>
    <row r="822" spans="1:4" x14ac:dyDescent="0.3">
      <c r="A822" t="s">
        <v>1628</v>
      </c>
      <c r="B822">
        <v>61.408668109715734</v>
      </c>
      <c r="C822" t="s">
        <v>2051</v>
      </c>
      <c r="D822" t="s">
        <v>2198</v>
      </c>
    </row>
    <row r="823" spans="1:4" x14ac:dyDescent="0.3">
      <c r="A823" t="s">
        <v>17</v>
      </c>
      <c r="B823">
        <v>16.71703668757138</v>
      </c>
      <c r="C823" t="s">
        <v>2051</v>
      </c>
      <c r="D823" t="s">
        <v>2198</v>
      </c>
    </row>
    <row r="824" spans="1:4" x14ac:dyDescent="0.3">
      <c r="A824" t="s">
        <v>209</v>
      </c>
      <c r="B824">
        <v>44.745099653815444</v>
      </c>
      <c r="C824" t="s">
        <v>2051</v>
      </c>
      <c r="D824" t="s">
        <v>2198</v>
      </c>
    </row>
    <row r="825" spans="1:4" x14ac:dyDescent="0.3">
      <c r="A825" t="s">
        <v>446</v>
      </c>
      <c r="B825">
        <v>4.0598063786682376E-2</v>
      </c>
      <c r="C825" t="s">
        <v>2051</v>
      </c>
      <c r="D825" t="s">
        <v>2198</v>
      </c>
    </row>
    <row r="826" spans="1:4" x14ac:dyDescent="0.3">
      <c r="A826" t="s">
        <v>1632</v>
      </c>
      <c r="B826">
        <v>11.063460790161059</v>
      </c>
      <c r="C826" t="s">
        <v>2051</v>
      </c>
      <c r="D826" t="s">
        <v>2198</v>
      </c>
    </row>
    <row r="827" spans="1:4" x14ac:dyDescent="0.3">
      <c r="A827" t="s">
        <v>1626</v>
      </c>
      <c r="B827">
        <v>9.0097422748211198</v>
      </c>
      <c r="C827" t="s">
        <v>2051</v>
      </c>
      <c r="D827" t="s">
        <v>2198</v>
      </c>
    </row>
    <row r="828" spans="1:4" x14ac:dyDescent="0.3">
      <c r="A828" t="s">
        <v>1627</v>
      </c>
      <c r="B828">
        <v>3.7646719755045757</v>
      </c>
      <c r="C828" t="s">
        <v>2051</v>
      </c>
      <c r="D828" t="s">
        <v>2198</v>
      </c>
    </row>
    <row r="829" spans="1:4" x14ac:dyDescent="0.3">
      <c r="A829" t="s">
        <v>1625</v>
      </c>
      <c r="B829">
        <v>-1.4138237660730051</v>
      </c>
      <c r="C829" t="s">
        <v>2051</v>
      </c>
      <c r="D829" t="s">
        <v>2198</v>
      </c>
    </row>
    <row r="830" spans="1:4" x14ac:dyDescent="0.3">
      <c r="A830" t="s">
        <v>1623</v>
      </c>
      <c r="B830">
        <v>-0.2971296940916287</v>
      </c>
      <c r="C830" t="s">
        <v>2051</v>
      </c>
      <c r="D830" t="s">
        <v>2198</v>
      </c>
    </row>
    <row r="831" spans="1:4" x14ac:dyDescent="0.3">
      <c r="A831" t="s">
        <v>1633</v>
      </c>
      <c r="B831">
        <v>72.472128899876793</v>
      </c>
      <c r="C831" t="s">
        <v>2051</v>
      </c>
      <c r="D831" t="s">
        <v>2198</v>
      </c>
    </row>
    <row r="832" spans="1:4" x14ac:dyDescent="0.3">
      <c r="A832" t="s">
        <v>1628</v>
      </c>
      <c r="B832">
        <v>63.116607464927597</v>
      </c>
      <c r="C832" t="s">
        <v>2051</v>
      </c>
      <c r="D832" t="s">
        <v>2199</v>
      </c>
    </row>
    <row r="833" spans="1:4" x14ac:dyDescent="0.3">
      <c r="A833" t="s">
        <v>17</v>
      </c>
      <c r="B833">
        <v>16.71703668757138</v>
      </c>
      <c r="C833" t="s">
        <v>2051</v>
      </c>
      <c r="D833" t="s">
        <v>2199</v>
      </c>
    </row>
    <row r="834" spans="1:4" x14ac:dyDescent="0.3">
      <c r="A834" t="s">
        <v>209</v>
      </c>
      <c r="B834">
        <v>46.453039009027307</v>
      </c>
      <c r="C834" t="s">
        <v>2051</v>
      </c>
      <c r="D834" t="s">
        <v>2199</v>
      </c>
    </row>
    <row r="835" spans="1:4" x14ac:dyDescent="0.3">
      <c r="A835" t="s">
        <v>446</v>
      </c>
      <c r="B835">
        <v>4.0598063786682376E-2</v>
      </c>
      <c r="C835" t="s">
        <v>2051</v>
      </c>
      <c r="D835" t="s">
        <v>2199</v>
      </c>
    </row>
    <row r="836" spans="1:4" x14ac:dyDescent="0.3">
      <c r="A836" t="s">
        <v>1632</v>
      </c>
      <c r="B836">
        <v>11.063460790161059</v>
      </c>
      <c r="C836" t="s">
        <v>2051</v>
      </c>
      <c r="D836" t="s">
        <v>2199</v>
      </c>
    </row>
    <row r="837" spans="1:4" x14ac:dyDescent="0.3">
      <c r="A837" t="s">
        <v>1626</v>
      </c>
      <c r="B837">
        <v>9.0097422748211198</v>
      </c>
      <c r="C837" t="s">
        <v>2051</v>
      </c>
      <c r="D837" t="s">
        <v>2199</v>
      </c>
    </row>
    <row r="838" spans="1:4" x14ac:dyDescent="0.3">
      <c r="A838" t="s">
        <v>1627</v>
      </c>
      <c r="B838">
        <v>3.7646719755045757</v>
      </c>
      <c r="C838" t="s">
        <v>2051</v>
      </c>
      <c r="D838" t="s">
        <v>2199</v>
      </c>
    </row>
    <row r="839" spans="1:4" x14ac:dyDescent="0.3">
      <c r="A839" t="s">
        <v>1625</v>
      </c>
      <c r="B839">
        <v>-1.4138237660730051</v>
      </c>
      <c r="C839" t="s">
        <v>2051</v>
      </c>
      <c r="D839" t="s">
        <v>2199</v>
      </c>
    </row>
    <row r="840" spans="1:4" x14ac:dyDescent="0.3">
      <c r="A840" t="s">
        <v>1623</v>
      </c>
      <c r="B840">
        <v>-0.2971296940916287</v>
      </c>
      <c r="C840" t="s">
        <v>2051</v>
      </c>
      <c r="D840" t="s">
        <v>2199</v>
      </c>
    </row>
    <row r="841" spans="1:4" x14ac:dyDescent="0.3">
      <c r="A841" t="s">
        <v>1633</v>
      </c>
      <c r="B841">
        <v>74.180068255088656</v>
      </c>
      <c r="C841" t="s">
        <v>2051</v>
      </c>
      <c r="D841" t="s">
        <v>2199</v>
      </c>
    </row>
    <row r="842" spans="1:4" x14ac:dyDescent="0.3">
      <c r="A842" t="s">
        <v>1628</v>
      </c>
      <c r="B842">
        <v>65.05666961667319</v>
      </c>
      <c r="C842" t="s">
        <v>2051</v>
      </c>
      <c r="D842" t="s">
        <v>2200</v>
      </c>
    </row>
    <row r="843" spans="1:4" x14ac:dyDescent="0.3">
      <c r="A843" t="s">
        <v>17</v>
      </c>
      <c r="B843">
        <v>16.71703668757138</v>
      </c>
      <c r="C843" t="s">
        <v>2051</v>
      </c>
      <c r="D843" t="s">
        <v>2200</v>
      </c>
    </row>
    <row r="844" spans="1:4" x14ac:dyDescent="0.3">
      <c r="A844" t="s">
        <v>209</v>
      </c>
      <c r="B844">
        <v>48.3931011607729</v>
      </c>
      <c r="C844" t="s">
        <v>2051</v>
      </c>
      <c r="D844" t="s">
        <v>2200</v>
      </c>
    </row>
    <row r="845" spans="1:4" x14ac:dyDescent="0.3">
      <c r="A845" t="s">
        <v>446</v>
      </c>
      <c r="B845">
        <v>4.0598063786682376E-2</v>
      </c>
      <c r="C845" t="s">
        <v>2051</v>
      </c>
      <c r="D845" t="s">
        <v>2200</v>
      </c>
    </row>
    <row r="846" spans="1:4" x14ac:dyDescent="0.3">
      <c r="A846" t="s">
        <v>1632</v>
      </c>
      <c r="B846">
        <v>11.063460790161059</v>
      </c>
      <c r="C846" t="s">
        <v>2051</v>
      </c>
      <c r="D846" t="s">
        <v>2200</v>
      </c>
    </row>
    <row r="847" spans="1:4" x14ac:dyDescent="0.3">
      <c r="A847" t="s">
        <v>1626</v>
      </c>
      <c r="B847">
        <v>9.0097422748211198</v>
      </c>
      <c r="C847" t="s">
        <v>2051</v>
      </c>
      <c r="D847" t="s">
        <v>2200</v>
      </c>
    </row>
    <row r="848" spans="1:4" x14ac:dyDescent="0.3">
      <c r="A848" t="s">
        <v>1627</v>
      </c>
      <c r="B848">
        <v>3.7646719755045757</v>
      </c>
      <c r="C848" t="s">
        <v>2051</v>
      </c>
      <c r="D848" t="s">
        <v>2200</v>
      </c>
    </row>
    <row r="849" spans="1:4" x14ac:dyDescent="0.3">
      <c r="A849" t="s">
        <v>1625</v>
      </c>
      <c r="B849">
        <v>-1.4138237660730051</v>
      </c>
      <c r="C849" t="s">
        <v>2051</v>
      </c>
      <c r="D849" t="s">
        <v>2200</v>
      </c>
    </row>
    <row r="850" spans="1:4" x14ac:dyDescent="0.3">
      <c r="A850" t="s">
        <v>1623</v>
      </c>
      <c r="B850">
        <v>-0.2971296940916287</v>
      </c>
      <c r="C850" t="s">
        <v>2051</v>
      </c>
      <c r="D850" t="s">
        <v>2200</v>
      </c>
    </row>
    <row r="851" spans="1:4" x14ac:dyDescent="0.3">
      <c r="A851" t="s">
        <v>1633</v>
      </c>
      <c r="B851">
        <v>76.120130406834249</v>
      </c>
      <c r="C851" t="s">
        <v>2051</v>
      </c>
      <c r="D851" t="s">
        <v>2200</v>
      </c>
    </row>
    <row r="852" spans="1:4" x14ac:dyDescent="0.3">
      <c r="A852" t="s">
        <v>1628</v>
      </c>
      <c r="B852">
        <v>63.686419623475359</v>
      </c>
      <c r="C852" t="s">
        <v>2051</v>
      </c>
      <c r="D852" t="s">
        <v>2201</v>
      </c>
    </row>
    <row r="853" spans="1:4" x14ac:dyDescent="0.3">
      <c r="A853" t="s">
        <v>17</v>
      </c>
      <c r="B853">
        <v>16.71703668757138</v>
      </c>
      <c r="C853" t="s">
        <v>2051</v>
      </c>
      <c r="D853" t="s">
        <v>2201</v>
      </c>
    </row>
    <row r="854" spans="1:4" x14ac:dyDescent="0.3">
      <c r="A854" t="s">
        <v>209</v>
      </c>
      <c r="B854">
        <v>47.02285116757507</v>
      </c>
      <c r="C854" t="s">
        <v>2051</v>
      </c>
      <c r="D854" t="s">
        <v>2201</v>
      </c>
    </row>
    <row r="855" spans="1:4" x14ac:dyDescent="0.3">
      <c r="A855" t="s">
        <v>446</v>
      </c>
      <c r="B855">
        <v>4.0598063786682376E-2</v>
      </c>
      <c r="C855" t="s">
        <v>2051</v>
      </c>
      <c r="D855" t="s">
        <v>2201</v>
      </c>
    </row>
    <row r="856" spans="1:4" x14ac:dyDescent="0.3">
      <c r="A856" t="s">
        <v>1632</v>
      </c>
      <c r="B856">
        <v>11.063460790161059</v>
      </c>
      <c r="C856" t="s">
        <v>2051</v>
      </c>
      <c r="D856" t="s">
        <v>2201</v>
      </c>
    </row>
    <row r="857" spans="1:4" x14ac:dyDescent="0.3">
      <c r="A857" t="s">
        <v>1626</v>
      </c>
      <c r="B857">
        <v>9.0097422748211198</v>
      </c>
      <c r="C857" t="s">
        <v>2051</v>
      </c>
      <c r="D857" t="s">
        <v>2201</v>
      </c>
    </row>
    <row r="858" spans="1:4" x14ac:dyDescent="0.3">
      <c r="A858" t="s">
        <v>1627</v>
      </c>
      <c r="B858">
        <v>3.7646719755045757</v>
      </c>
      <c r="C858" t="s">
        <v>2051</v>
      </c>
      <c r="D858" t="s">
        <v>2201</v>
      </c>
    </row>
    <row r="859" spans="1:4" x14ac:dyDescent="0.3">
      <c r="A859" t="s">
        <v>1625</v>
      </c>
      <c r="B859">
        <v>-1.4138237660730051</v>
      </c>
      <c r="C859" t="s">
        <v>2051</v>
      </c>
      <c r="D859" t="s">
        <v>2201</v>
      </c>
    </row>
    <row r="860" spans="1:4" x14ac:dyDescent="0.3">
      <c r="A860" t="s">
        <v>1623</v>
      </c>
      <c r="B860">
        <v>-0.2971296940916287</v>
      </c>
      <c r="C860" t="s">
        <v>2051</v>
      </c>
      <c r="D860" t="s">
        <v>2201</v>
      </c>
    </row>
    <row r="861" spans="1:4" x14ac:dyDescent="0.3">
      <c r="A861" t="s">
        <v>1633</v>
      </c>
      <c r="B861">
        <v>74.749880413636419</v>
      </c>
      <c r="C861" t="s">
        <v>2051</v>
      </c>
      <c r="D861" t="s">
        <v>2201</v>
      </c>
    </row>
    <row r="862" spans="1:4" x14ac:dyDescent="0.3">
      <c r="A862" t="s">
        <v>1628</v>
      </c>
      <c r="B862">
        <v>61.450764530001813</v>
      </c>
      <c r="C862" t="s">
        <v>2051</v>
      </c>
      <c r="D862" t="s">
        <v>2202</v>
      </c>
    </row>
    <row r="863" spans="1:4" x14ac:dyDescent="0.3">
      <c r="A863" t="s">
        <v>17</v>
      </c>
      <c r="B863">
        <v>16.71703668757138</v>
      </c>
      <c r="C863" t="s">
        <v>2051</v>
      </c>
      <c r="D863" t="s">
        <v>2202</v>
      </c>
    </row>
    <row r="864" spans="1:4" x14ac:dyDescent="0.3">
      <c r="A864" t="s">
        <v>209</v>
      </c>
      <c r="B864">
        <v>44.787196074101523</v>
      </c>
      <c r="C864" t="s">
        <v>2051</v>
      </c>
      <c r="D864" t="s">
        <v>2202</v>
      </c>
    </row>
    <row r="865" spans="1:4" x14ac:dyDescent="0.3">
      <c r="A865" t="s">
        <v>446</v>
      </c>
      <c r="B865">
        <v>4.0598063786682376E-2</v>
      </c>
      <c r="C865" t="s">
        <v>2051</v>
      </c>
      <c r="D865" t="s">
        <v>2202</v>
      </c>
    </row>
    <row r="866" spans="1:4" x14ac:dyDescent="0.3">
      <c r="A866" t="s">
        <v>1632</v>
      </c>
      <c r="B866">
        <v>11.063460790161059</v>
      </c>
      <c r="C866" t="s">
        <v>2051</v>
      </c>
      <c r="D866" t="s">
        <v>2202</v>
      </c>
    </row>
    <row r="867" spans="1:4" x14ac:dyDescent="0.3">
      <c r="A867" t="s">
        <v>1626</v>
      </c>
      <c r="B867">
        <v>9.0097422748211198</v>
      </c>
      <c r="C867" t="s">
        <v>2051</v>
      </c>
      <c r="D867" t="s">
        <v>2202</v>
      </c>
    </row>
    <row r="868" spans="1:4" x14ac:dyDescent="0.3">
      <c r="A868" t="s">
        <v>1627</v>
      </c>
      <c r="B868">
        <v>3.7646719755045757</v>
      </c>
      <c r="C868" t="s">
        <v>2051</v>
      </c>
      <c r="D868" t="s">
        <v>2202</v>
      </c>
    </row>
    <row r="869" spans="1:4" x14ac:dyDescent="0.3">
      <c r="A869" t="s">
        <v>1625</v>
      </c>
      <c r="B869">
        <v>-1.4138237660730051</v>
      </c>
      <c r="C869" t="s">
        <v>2051</v>
      </c>
      <c r="D869" t="s">
        <v>2202</v>
      </c>
    </row>
    <row r="870" spans="1:4" x14ac:dyDescent="0.3">
      <c r="A870" t="s">
        <v>1623</v>
      </c>
      <c r="B870">
        <v>-0.2971296940916287</v>
      </c>
      <c r="C870" t="s">
        <v>2051</v>
      </c>
      <c r="D870" t="s">
        <v>2202</v>
      </c>
    </row>
    <row r="871" spans="1:4" x14ac:dyDescent="0.3">
      <c r="A871" t="s">
        <v>1633</v>
      </c>
      <c r="B871">
        <v>72.514225320162865</v>
      </c>
      <c r="C871" t="s">
        <v>2051</v>
      </c>
      <c r="D871" t="s">
        <v>2202</v>
      </c>
    </row>
    <row r="872" spans="1:4" x14ac:dyDescent="0.3">
      <c r="A872" t="s">
        <v>1628</v>
      </c>
      <c r="B872">
        <v>60.065660029249976</v>
      </c>
      <c r="C872" t="s">
        <v>2051</v>
      </c>
      <c r="D872" t="s">
        <v>2203</v>
      </c>
    </row>
    <row r="873" spans="1:4" x14ac:dyDescent="0.3">
      <c r="A873" t="s">
        <v>17</v>
      </c>
      <c r="B873">
        <v>16.71703668757138</v>
      </c>
      <c r="C873" t="s">
        <v>2051</v>
      </c>
      <c r="D873" t="s">
        <v>2203</v>
      </c>
    </row>
    <row r="874" spans="1:4" x14ac:dyDescent="0.3">
      <c r="A874" t="s">
        <v>209</v>
      </c>
      <c r="B874">
        <v>43.402091573349686</v>
      </c>
      <c r="C874" t="s">
        <v>2051</v>
      </c>
      <c r="D874" t="s">
        <v>2203</v>
      </c>
    </row>
    <row r="875" spans="1:4" x14ac:dyDescent="0.3">
      <c r="A875" t="s">
        <v>446</v>
      </c>
      <c r="B875">
        <v>4.0598063786682376E-2</v>
      </c>
      <c r="C875" t="s">
        <v>2051</v>
      </c>
      <c r="D875" t="s">
        <v>2203</v>
      </c>
    </row>
    <row r="876" spans="1:4" x14ac:dyDescent="0.3">
      <c r="A876" t="s">
        <v>1632</v>
      </c>
      <c r="B876">
        <v>11.063460790161059</v>
      </c>
      <c r="C876" t="s">
        <v>2051</v>
      </c>
      <c r="D876" t="s">
        <v>2203</v>
      </c>
    </row>
    <row r="877" spans="1:4" x14ac:dyDescent="0.3">
      <c r="A877" t="s">
        <v>1626</v>
      </c>
      <c r="B877">
        <v>9.0097422748211198</v>
      </c>
      <c r="C877" t="s">
        <v>2051</v>
      </c>
      <c r="D877" t="s">
        <v>2203</v>
      </c>
    </row>
    <row r="878" spans="1:4" x14ac:dyDescent="0.3">
      <c r="A878" t="s">
        <v>1627</v>
      </c>
      <c r="B878">
        <v>3.7646719755045757</v>
      </c>
      <c r="C878" t="s">
        <v>2051</v>
      </c>
      <c r="D878" t="s">
        <v>2203</v>
      </c>
    </row>
    <row r="879" spans="1:4" x14ac:dyDescent="0.3">
      <c r="A879" t="s">
        <v>1625</v>
      </c>
      <c r="B879">
        <v>-1.4138237660730051</v>
      </c>
      <c r="C879" t="s">
        <v>2051</v>
      </c>
      <c r="D879" t="s">
        <v>2203</v>
      </c>
    </row>
    <row r="880" spans="1:4" x14ac:dyDescent="0.3">
      <c r="A880" t="s">
        <v>1623</v>
      </c>
      <c r="B880">
        <v>-0.2971296940916287</v>
      </c>
      <c r="C880" t="s">
        <v>2051</v>
      </c>
      <c r="D880" t="s">
        <v>2203</v>
      </c>
    </row>
    <row r="881" spans="1:4" x14ac:dyDescent="0.3">
      <c r="A881" t="s">
        <v>1633</v>
      </c>
      <c r="B881">
        <v>71.129120819411042</v>
      </c>
      <c r="C881" t="s">
        <v>2051</v>
      </c>
      <c r="D881" t="s">
        <v>2203</v>
      </c>
    </row>
    <row r="882" spans="1:4" x14ac:dyDescent="0.3">
      <c r="A882" t="s">
        <v>1628</v>
      </c>
      <c r="B882">
        <v>60.12674146547932</v>
      </c>
      <c r="C882" t="s">
        <v>2051</v>
      </c>
      <c r="D882" t="s">
        <v>2204</v>
      </c>
    </row>
    <row r="883" spans="1:4" x14ac:dyDescent="0.3">
      <c r="A883" t="s">
        <v>17</v>
      </c>
      <c r="B883">
        <v>16.71703668757138</v>
      </c>
      <c r="C883" t="s">
        <v>2051</v>
      </c>
      <c r="D883" t="s">
        <v>2204</v>
      </c>
    </row>
    <row r="884" spans="1:4" x14ac:dyDescent="0.3">
      <c r="A884" t="s">
        <v>209</v>
      </c>
      <c r="B884">
        <v>43.46317300957903</v>
      </c>
      <c r="C884" t="s">
        <v>2051</v>
      </c>
      <c r="D884" t="s">
        <v>2204</v>
      </c>
    </row>
    <row r="885" spans="1:4" x14ac:dyDescent="0.3">
      <c r="A885" t="s">
        <v>446</v>
      </c>
      <c r="B885">
        <v>4.0598063786682376E-2</v>
      </c>
      <c r="C885" t="s">
        <v>2051</v>
      </c>
      <c r="D885" t="s">
        <v>2204</v>
      </c>
    </row>
    <row r="886" spans="1:4" x14ac:dyDescent="0.3">
      <c r="A886" t="s">
        <v>1632</v>
      </c>
      <c r="B886">
        <v>11.063460790161059</v>
      </c>
      <c r="C886" t="s">
        <v>2051</v>
      </c>
      <c r="D886" t="s">
        <v>2204</v>
      </c>
    </row>
    <row r="887" spans="1:4" x14ac:dyDescent="0.3">
      <c r="A887" t="s">
        <v>1626</v>
      </c>
      <c r="B887">
        <v>9.0097422748211198</v>
      </c>
      <c r="C887" t="s">
        <v>2051</v>
      </c>
      <c r="D887" t="s">
        <v>2204</v>
      </c>
    </row>
    <row r="888" spans="1:4" x14ac:dyDescent="0.3">
      <c r="A888" t="s">
        <v>1627</v>
      </c>
      <c r="B888">
        <v>3.7646719755045757</v>
      </c>
      <c r="C888" t="s">
        <v>2051</v>
      </c>
      <c r="D888" t="s">
        <v>2204</v>
      </c>
    </row>
    <row r="889" spans="1:4" x14ac:dyDescent="0.3">
      <c r="A889" t="s">
        <v>1625</v>
      </c>
      <c r="B889">
        <v>-1.4138237660730051</v>
      </c>
      <c r="C889" t="s">
        <v>2051</v>
      </c>
      <c r="D889" t="s">
        <v>2204</v>
      </c>
    </row>
    <row r="890" spans="1:4" x14ac:dyDescent="0.3">
      <c r="A890" t="s">
        <v>1623</v>
      </c>
      <c r="B890">
        <v>-0.2971296940916287</v>
      </c>
      <c r="C890" t="s">
        <v>2051</v>
      </c>
      <c r="D890" t="s">
        <v>2204</v>
      </c>
    </row>
    <row r="891" spans="1:4" x14ac:dyDescent="0.3">
      <c r="A891" t="s">
        <v>1633</v>
      </c>
      <c r="B891">
        <v>71.190202255640372</v>
      </c>
      <c r="C891" t="s">
        <v>2051</v>
      </c>
      <c r="D891" t="s">
        <v>2204</v>
      </c>
    </row>
    <row r="892" spans="1:4" x14ac:dyDescent="0.3">
      <c r="A892" t="s">
        <v>1628</v>
      </c>
      <c r="B892">
        <v>61.366438734243715</v>
      </c>
      <c r="C892" t="s">
        <v>2051</v>
      </c>
      <c r="D892" t="s">
        <v>2205</v>
      </c>
    </row>
    <row r="893" spans="1:4" x14ac:dyDescent="0.3">
      <c r="A893" t="s">
        <v>17</v>
      </c>
      <c r="B893">
        <v>16.71703668757138</v>
      </c>
      <c r="C893" t="s">
        <v>2051</v>
      </c>
      <c r="D893" t="s">
        <v>2205</v>
      </c>
    </row>
    <row r="894" spans="1:4" x14ac:dyDescent="0.3">
      <c r="A894" t="s">
        <v>209</v>
      </c>
      <c r="B894">
        <v>44.702870278343426</v>
      </c>
      <c r="C894" t="s">
        <v>2051</v>
      </c>
      <c r="D894" t="s">
        <v>2205</v>
      </c>
    </row>
    <row r="895" spans="1:4" x14ac:dyDescent="0.3">
      <c r="A895" t="s">
        <v>446</v>
      </c>
      <c r="B895">
        <v>4.0598063786682376E-2</v>
      </c>
      <c r="C895" t="s">
        <v>2051</v>
      </c>
      <c r="D895" t="s">
        <v>2205</v>
      </c>
    </row>
    <row r="896" spans="1:4" x14ac:dyDescent="0.3">
      <c r="A896" t="s">
        <v>1632</v>
      </c>
      <c r="B896">
        <v>11.063460790161059</v>
      </c>
      <c r="C896" t="s">
        <v>2051</v>
      </c>
      <c r="D896" t="s">
        <v>2205</v>
      </c>
    </row>
    <row r="897" spans="1:4" x14ac:dyDescent="0.3">
      <c r="A897" t="s">
        <v>1626</v>
      </c>
      <c r="B897">
        <v>9.0097422748211198</v>
      </c>
      <c r="C897" t="s">
        <v>2051</v>
      </c>
      <c r="D897" t="s">
        <v>2205</v>
      </c>
    </row>
    <row r="898" spans="1:4" x14ac:dyDescent="0.3">
      <c r="A898" t="s">
        <v>1627</v>
      </c>
      <c r="B898">
        <v>3.7646719755045757</v>
      </c>
      <c r="C898" t="s">
        <v>2051</v>
      </c>
      <c r="D898" t="s">
        <v>2205</v>
      </c>
    </row>
    <row r="899" spans="1:4" x14ac:dyDescent="0.3">
      <c r="A899" t="s">
        <v>1625</v>
      </c>
      <c r="B899">
        <v>-1.4138237660730051</v>
      </c>
      <c r="C899" t="s">
        <v>2051</v>
      </c>
      <c r="D899" t="s">
        <v>2205</v>
      </c>
    </row>
    <row r="900" spans="1:4" x14ac:dyDescent="0.3">
      <c r="A900" t="s">
        <v>1623</v>
      </c>
      <c r="B900">
        <v>-0.2971296940916287</v>
      </c>
      <c r="C900" t="s">
        <v>2051</v>
      </c>
      <c r="D900" t="s">
        <v>2205</v>
      </c>
    </row>
    <row r="901" spans="1:4" x14ac:dyDescent="0.3">
      <c r="A901" t="s">
        <v>1633</v>
      </c>
      <c r="B901">
        <v>72.429899524404775</v>
      </c>
      <c r="C901" t="s">
        <v>2051</v>
      </c>
      <c r="D901" t="s">
        <v>2205</v>
      </c>
    </row>
    <row r="902" spans="1:4" x14ac:dyDescent="0.3">
      <c r="A902" t="s">
        <v>1628</v>
      </c>
      <c r="B902">
        <v>61.923484941225539</v>
      </c>
      <c r="C902" t="s">
        <v>2051</v>
      </c>
      <c r="D902" t="s">
        <v>2206</v>
      </c>
    </row>
    <row r="903" spans="1:4" x14ac:dyDescent="0.3">
      <c r="A903" t="s">
        <v>17</v>
      </c>
      <c r="B903">
        <v>16.71703668757138</v>
      </c>
      <c r="C903" t="s">
        <v>2051</v>
      </c>
      <c r="D903" t="s">
        <v>2206</v>
      </c>
    </row>
    <row r="904" spans="1:4" x14ac:dyDescent="0.3">
      <c r="A904" t="s">
        <v>209</v>
      </c>
      <c r="B904">
        <v>45.259916485325249</v>
      </c>
      <c r="C904" t="s">
        <v>2051</v>
      </c>
      <c r="D904" t="s">
        <v>2206</v>
      </c>
    </row>
    <row r="905" spans="1:4" x14ac:dyDescent="0.3">
      <c r="A905" t="s">
        <v>446</v>
      </c>
      <c r="B905">
        <v>4.0598063786682376E-2</v>
      </c>
      <c r="C905" t="s">
        <v>2051</v>
      </c>
      <c r="D905" t="s">
        <v>2206</v>
      </c>
    </row>
    <row r="906" spans="1:4" x14ac:dyDescent="0.3">
      <c r="A906" t="s">
        <v>1632</v>
      </c>
      <c r="B906">
        <v>11.063460790161059</v>
      </c>
      <c r="C906" t="s">
        <v>2051</v>
      </c>
      <c r="D906" t="s">
        <v>2206</v>
      </c>
    </row>
    <row r="907" spans="1:4" x14ac:dyDescent="0.3">
      <c r="A907" t="s">
        <v>1626</v>
      </c>
      <c r="B907">
        <v>9.0097422748211198</v>
      </c>
      <c r="C907" t="s">
        <v>2051</v>
      </c>
      <c r="D907" t="s">
        <v>2206</v>
      </c>
    </row>
    <row r="908" spans="1:4" x14ac:dyDescent="0.3">
      <c r="A908" t="s">
        <v>1627</v>
      </c>
      <c r="B908">
        <v>3.7646719755045757</v>
      </c>
      <c r="C908" t="s">
        <v>2051</v>
      </c>
      <c r="D908" t="s">
        <v>2206</v>
      </c>
    </row>
    <row r="909" spans="1:4" x14ac:dyDescent="0.3">
      <c r="A909" t="s">
        <v>1625</v>
      </c>
      <c r="B909">
        <v>-1.4138237660730051</v>
      </c>
      <c r="C909" t="s">
        <v>2051</v>
      </c>
      <c r="D909" t="s">
        <v>2206</v>
      </c>
    </row>
    <row r="910" spans="1:4" x14ac:dyDescent="0.3">
      <c r="A910" t="s">
        <v>1623</v>
      </c>
      <c r="B910">
        <v>-0.2971296940916287</v>
      </c>
      <c r="C910" t="s">
        <v>2051</v>
      </c>
      <c r="D910" t="s">
        <v>2206</v>
      </c>
    </row>
    <row r="911" spans="1:4" x14ac:dyDescent="0.3">
      <c r="A911" t="s">
        <v>1633</v>
      </c>
      <c r="B911">
        <v>72.986945731386598</v>
      </c>
      <c r="C911" t="s">
        <v>2051</v>
      </c>
      <c r="D911" t="s">
        <v>2206</v>
      </c>
    </row>
    <row r="912" spans="1:4" x14ac:dyDescent="0.3">
      <c r="A912" t="s">
        <v>1628</v>
      </c>
      <c r="B912">
        <v>58.693721689287344</v>
      </c>
      <c r="C912" t="s">
        <v>2051</v>
      </c>
      <c r="D912" t="s">
        <v>2207</v>
      </c>
    </row>
    <row r="913" spans="1:4" x14ac:dyDescent="0.3">
      <c r="A913" t="s">
        <v>17</v>
      </c>
      <c r="B913">
        <v>16.71703668757138</v>
      </c>
      <c r="C913" t="s">
        <v>2051</v>
      </c>
      <c r="D913" t="s">
        <v>2207</v>
      </c>
    </row>
    <row r="914" spans="1:4" x14ac:dyDescent="0.3">
      <c r="A914" t="s">
        <v>209</v>
      </c>
      <c r="B914">
        <v>42.030153233387054</v>
      </c>
      <c r="C914" t="s">
        <v>2051</v>
      </c>
      <c r="D914" t="s">
        <v>2207</v>
      </c>
    </row>
    <row r="915" spans="1:4" x14ac:dyDescent="0.3">
      <c r="A915" t="s">
        <v>446</v>
      </c>
      <c r="B915">
        <v>4.0598063786682376E-2</v>
      </c>
      <c r="C915" t="s">
        <v>2051</v>
      </c>
      <c r="D915" t="s">
        <v>2207</v>
      </c>
    </row>
    <row r="916" spans="1:4" x14ac:dyDescent="0.3">
      <c r="A916" t="s">
        <v>1632</v>
      </c>
      <c r="B916">
        <v>11.063460790161059</v>
      </c>
      <c r="C916" t="s">
        <v>2051</v>
      </c>
      <c r="D916" t="s">
        <v>2207</v>
      </c>
    </row>
    <row r="917" spans="1:4" x14ac:dyDescent="0.3">
      <c r="A917" t="s">
        <v>1626</v>
      </c>
      <c r="B917">
        <v>9.0097422748211198</v>
      </c>
      <c r="C917" t="s">
        <v>2051</v>
      </c>
      <c r="D917" t="s">
        <v>2207</v>
      </c>
    </row>
    <row r="918" spans="1:4" x14ac:dyDescent="0.3">
      <c r="A918" t="s">
        <v>1627</v>
      </c>
      <c r="B918">
        <v>3.7646719755045757</v>
      </c>
      <c r="C918" t="s">
        <v>2051</v>
      </c>
      <c r="D918" t="s">
        <v>2207</v>
      </c>
    </row>
    <row r="919" spans="1:4" x14ac:dyDescent="0.3">
      <c r="A919" t="s">
        <v>1625</v>
      </c>
      <c r="B919">
        <v>-1.4138237660730051</v>
      </c>
      <c r="C919" t="s">
        <v>2051</v>
      </c>
      <c r="D919" t="s">
        <v>2207</v>
      </c>
    </row>
    <row r="920" spans="1:4" x14ac:dyDescent="0.3">
      <c r="A920" t="s">
        <v>1623</v>
      </c>
      <c r="B920">
        <v>-0.2971296940916287</v>
      </c>
      <c r="C920" t="s">
        <v>2051</v>
      </c>
      <c r="D920" t="s">
        <v>2207</v>
      </c>
    </row>
    <row r="921" spans="1:4" x14ac:dyDescent="0.3">
      <c r="A921" t="s">
        <v>1633</v>
      </c>
      <c r="B921">
        <v>69.757182479448403</v>
      </c>
      <c r="C921" t="s">
        <v>2051</v>
      </c>
      <c r="D921" t="s">
        <v>2207</v>
      </c>
    </row>
    <row r="922" spans="1:4" x14ac:dyDescent="0.3">
      <c r="A922" t="s">
        <v>1628</v>
      </c>
      <c r="B922">
        <v>64.015706949956339</v>
      </c>
      <c r="C922" t="s">
        <v>2051</v>
      </c>
      <c r="D922" t="s">
        <v>2208</v>
      </c>
    </row>
    <row r="923" spans="1:4" x14ac:dyDescent="0.3">
      <c r="A923" t="s">
        <v>17</v>
      </c>
      <c r="B923">
        <v>16.71703668757138</v>
      </c>
      <c r="C923" t="s">
        <v>2051</v>
      </c>
      <c r="D923" t="s">
        <v>2208</v>
      </c>
    </row>
    <row r="924" spans="1:4" x14ac:dyDescent="0.3">
      <c r="A924" t="s">
        <v>209</v>
      </c>
      <c r="B924">
        <v>47.352138494056057</v>
      </c>
      <c r="C924" t="s">
        <v>2051</v>
      </c>
      <c r="D924" t="s">
        <v>2208</v>
      </c>
    </row>
    <row r="925" spans="1:4" x14ac:dyDescent="0.3">
      <c r="A925" t="s">
        <v>446</v>
      </c>
      <c r="B925">
        <v>4.0598063786682376E-2</v>
      </c>
      <c r="C925" t="s">
        <v>2051</v>
      </c>
      <c r="D925" t="s">
        <v>2208</v>
      </c>
    </row>
    <row r="926" spans="1:4" x14ac:dyDescent="0.3">
      <c r="A926" t="s">
        <v>1632</v>
      </c>
      <c r="B926">
        <v>11.063460790161059</v>
      </c>
      <c r="C926" t="s">
        <v>2051</v>
      </c>
      <c r="D926" t="s">
        <v>2208</v>
      </c>
    </row>
    <row r="927" spans="1:4" x14ac:dyDescent="0.3">
      <c r="A927" t="s">
        <v>1626</v>
      </c>
      <c r="B927">
        <v>9.0097422748211198</v>
      </c>
      <c r="C927" t="s">
        <v>2051</v>
      </c>
      <c r="D927" t="s">
        <v>2208</v>
      </c>
    </row>
    <row r="928" spans="1:4" x14ac:dyDescent="0.3">
      <c r="A928" t="s">
        <v>1627</v>
      </c>
      <c r="B928">
        <v>3.7646719755045757</v>
      </c>
      <c r="C928" t="s">
        <v>2051</v>
      </c>
      <c r="D928" t="s">
        <v>2208</v>
      </c>
    </row>
    <row r="929" spans="1:4" x14ac:dyDescent="0.3">
      <c r="A929" t="s">
        <v>1625</v>
      </c>
      <c r="B929">
        <v>-1.4138237660730051</v>
      </c>
      <c r="C929" t="s">
        <v>2051</v>
      </c>
      <c r="D929" t="s">
        <v>2208</v>
      </c>
    </row>
    <row r="930" spans="1:4" x14ac:dyDescent="0.3">
      <c r="A930" t="s">
        <v>1623</v>
      </c>
      <c r="B930">
        <v>-0.2971296940916287</v>
      </c>
      <c r="C930" t="s">
        <v>2051</v>
      </c>
      <c r="D930" t="s">
        <v>2208</v>
      </c>
    </row>
    <row r="931" spans="1:4" x14ac:dyDescent="0.3">
      <c r="A931" t="s">
        <v>1633</v>
      </c>
      <c r="B931">
        <v>75.079167740117398</v>
      </c>
      <c r="C931" t="s">
        <v>2051</v>
      </c>
      <c r="D931" t="s">
        <v>2208</v>
      </c>
    </row>
    <row r="932" spans="1:4" x14ac:dyDescent="0.3">
      <c r="A932" t="s">
        <v>1628</v>
      </c>
      <c r="B932">
        <v>60.553741661783569</v>
      </c>
      <c r="C932" t="s">
        <v>2051</v>
      </c>
      <c r="D932" t="s">
        <v>2209</v>
      </c>
    </row>
    <row r="933" spans="1:4" x14ac:dyDescent="0.3">
      <c r="A933" t="s">
        <v>17</v>
      </c>
      <c r="B933">
        <v>16.71703668757138</v>
      </c>
      <c r="C933" t="s">
        <v>2051</v>
      </c>
      <c r="D933" t="s">
        <v>2209</v>
      </c>
    </row>
    <row r="934" spans="1:4" x14ac:dyDescent="0.3">
      <c r="A934" t="s">
        <v>209</v>
      </c>
      <c r="B934">
        <v>43.890173205883279</v>
      </c>
      <c r="C934" t="s">
        <v>2051</v>
      </c>
      <c r="D934" t="s">
        <v>2209</v>
      </c>
    </row>
    <row r="935" spans="1:4" x14ac:dyDescent="0.3">
      <c r="A935" t="s">
        <v>446</v>
      </c>
      <c r="B935">
        <v>4.0598063786682376E-2</v>
      </c>
      <c r="C935" t="s">
        <v>2051</v>
      </c>
      <c r="D935" t="s">
        <v>2209</v>
      </c>
    </row>
    <row r="936" spans="1:4" x14ac:dyDescent="0.3">
      <c r="A936" t="s">
        <v>1632</v>
      </c>
      <c r="B936">
        <v>11.063460790161059</v>
      </c>
      <c r="C936" t="s">
        <v>2051</v>
      </c>
      <c r="D936" t="s">
        <v>2209</v>
      </c>
    </row>
    <row r="937" spans="1:4" x14ac:dyDescent="0.3">
      <c r="A937" t="s">
        <v>1626</v>
      </c>
      <c r="B937">
        <v>9.0097422748211198</v>
      </c>
      <c r="C937" t="s">
        <v>2051</v>
      </c>
      <c r="D937" t="s">
        <v>2209</v>
      </c>
    </row>
    <row r="938" spans="1:4" x14ac:dyDescent="0.3">
      <c r="A938" t="s">
        <v>1627</v>
      </c>
      <c r="B938">
        <v>3.7646719755045757</v>
      </c>
      <c r="C938" t="s">
        <v>2051</v>
      </c>
      <c r="D938" t="s">
        <v>2209</v>
      </c>
    </row>
    <row r="939" spans="1:4" x14ac:dyDescent="0.3">
      <c r="A939" t="s">
        <v>1625</v>
      </c>
      <c r="B939">
        <v>-1.4138237660730051</v>
      </c>
      <c r="C939" t="s">
        <v>2051</v>
      </c>
      <c r="D939" t="s">
        <v>2209</v>
      </c>
    </row>
    <row r="940" spans="1:4" x14ac:dyDescent="0.3">
      <c r="A940" t="s">
        <v>1623</v>
      </c>
      <c r="B940">
        <v>-0.2971296940916287</v>
      </c>
      <c r="C940" t="s">
        <v>2051</v>
      </c>
      <c r="D940" t="s">
        <v>2209</v>
      </c>
    </row>
    <row r="941" spans="1:4" x14ac:dyDescent="0.3">
      <c r="A941" t="s">
        <v>1633</v>
      </c>
      <c r="B941">
        <v>71.617202451944621</v>
      </c>
      <c r="C941" t="s">
        <v>2051</v>
      </c>
      <c r="D941" t="s">
        <v>2209</v>
      </c>
    </row>
    <row r="942" spans="1:4" x14ac:dyDescent="0.3">
      <c r="A942" t="s">
        <v>1628</v>
      </c>
      <c r="B942">
        <v>62.444481931333144</v>
      </c>
      <c r="C942" t="s">
        <v>2051</v>
      </c>
      <c r="D942" t="s">
        <v>2210</v>
      </c>
    </row>
    <row r="943" spans="1:4" x14ac:dyDescent="0.3">
      <c r="A943" t="s">
        <v>17</v>
      </c>
      <c r="B943">
        <v>16.71703668757138</v>
      </c>
      <c r="C943" t="s">
        <v>2051</v>
      </c>
      <c r="D943" t="s">
        <v>2210</v>
      </c>
    </row>
    <row r="944" spans="1:4" x14ac:dyDescent="0.3">
      <c r="A944" t="s">
        <v>209</v>
      </c>
      <c r="B944">
        <v>45.780913475432854</v>
      </c>
      <c r="C944" t="s">
        <v>2051</v>
      </c>
      <c r="D944" t="s">
        <v>2210</v>
      </c>
    </row>
    <row r="945" spans="1:4" x14ac:dyDescent="0.3">
      <c r="A945" t="s">
        <v>446</v>
      </c>
      <c r="B945">
        <v>4.0598063786682376E-2</v>
      </c>
      <c r="C945" t="s">
        <v>2051</v>
      </c>
      <c r="D945" t="s">
        <v>2210</v>
      </c>
    </row>
    <row r="946" spans="1:4" x14ac:dyDescent="0.3">
      <c r="A946" t="s">
        <v>1632</v>
      </c>
      <c r="B946">
        <v>11.063460790161059</v>
      </c>
      <c r="C946" t="s">
        <v>2051</v>
      </c>
      <c r="D946" t="s">
        <v>2210</v>
      </c>
    </row>
    <row r="947" spans="1:4" x14ac:dyDescent="0.3">
      <c r="A947" t="s">
        <v>1626</v>
      </c>
      <c r="B947">
        <v>9.0097422748211198</v>
      </c>
      <c r="C947" t="s">
        <v>2051</v>
      </c>
      <c r="D947" t="s">
        <v>2210</v>
      </c>
    </row>
    <row r="948" spans="1:4" x14ac:dyDescent="0.3">
      <c r="A948" t="s">
        <v>1627</v>
      </c>
      <c r="B948">
        <v>3.7646719755045757</v>
      </c>
      <c r="C948" t="s">
        <v>2051</v>
      </c>
      <c r="D948" t="s">
        <v>2210</v>
      </c>
    </row>
    <row r="949" spans="1:4" x14ac:dyDescent="0.3">
      <c r="A949" t="s">
        <v>1625</v>
      </c>
      <c r="B949">
        <v>-1.4138237660730051</v>
      </c>
      <c r="C949" t="s">
        <v>2051</v>
      </c>
      <c r="D949" t="s">
        <v>2210</v>
      </c>
    </row>
    <row r="950" spans="1:4" x14ac:dyDescent="0.3">
      <c r="A950" t="s">
        <v>1623</v>
      </c>
      <c r="B950">
        <v>-0.2971296940916287</v>
      </c>
      <c r="C950" t="s">
        <v>2051</v>
      </c>
      <c r="D950" t="s">
        <v>2210</v>
      </c>
    </row>
    <row r="951" spans="1:4" x14ac:dyDescent="0.3">
      <c r="A951" t="s">
        <v>1633</v>
      </c>
      <c r="B951">
        <v>73.507942721494203</v>
      </c>
      <c r="C951" t="s">
        <v>2051</v>
      </c>
      <c r="D951" t="s">
        <v>2210</v>
      </c>
    </row>
    <row r="952" spans="1:4" x14ac:dyDescent="0.3">
      <c r="A952" t="s">
        <v>1628</v>
      </c>
      <c r="B952">
        <v>61.873702319641431</v>
      </c>
      <c r="C952" t="s">
        <v>2051</v>
      </c>
      <c r="D952" t="s">
        <v>2211</v>
      </c>
    </row>
    <row r="953" spans="1:4" x14ac:dyDescent="0.3">
      <c r="A953" t="s">
        <v>17</v>
      </c>
      <c r="B953">
        <v>16.71703668757138</v>
      </c>
      <c r="C953" t="s">
        <v>2051</v>
      </c>
      <c r="D953" t="s">
        <v>2211</v>
      </c>
    </row>
    <row r="954" spans="1:4" x14ac:dyDescent="0.3">
      <c r="A954" t="s">
        <v>209</v>
      </c>
      <c r="B954">
        <v>45.210133863741142</v>
      </c>
      <c r="C954" t="s">
        <v>2051</v>
      </c>
      <c r="D954" t="s">
        <v>2211</v>
      </c>
    </row>
    <row r="955" spans="1:4" x14ac:dyDescent="0.3">
      <c r="A955" t="s">
        <v>446</v>
      </c>
      <c r="B955">
        <v>4.0598063786682376E-2</v>
      </c>
      <c r="C955" t="s">
        <v>2051</v>
      </c>
      <c r="D955" t="s">
        <v>2211</v>
      </c>
    </row>
    <row r="956" spans="1:4" x14ac:dyDescent="0.3">
      <c r="A956" t="s">
        <v>1632</v>
      </c>
      <c r="B956">
        <v>11.063460790161059</v>
      </c>
      <c r="C956" t="s">
        <v>2051</v>
      </c>
      <c r="D956" t="s">
        <v>2211</v>
      </c>
    </row>
    <row r="957" spans="1:4" x14ac:dyDescent="0.3">
      <c r="A957" t="s">
        <v>1626</v>
      </c>
      <c r="B957">
        <v>9.0097422748211198</v>
      </c>
      <c r="C957" t="s">
        <v>2051</v>
      </c>
      <c r="D957" t="s">
        <v>2211</v>
      </c>
    </row>
    <row r="958" spans="1:4" x14ac:dyDescent="0.3">
      <c r="A958" t="s">
        <v>1627</v>
      </c>
      <c r="B958">
        <v>3.7646719755045757</v>
      </c>
      <c r="C958" t="s">
        <v>2051</v>
      </c>
      <c r="D958" t="s">
        <v>2211</v>
      </c>
    </row>
    <row r="959" spans="1:4" x14ac:dyDescent="0.3">
      <c r="A959" t="s">
        <v>1625</v>
      </c>
      <c r="B959">
        <v>-1.4138237660730051</v>
      </c>
      <c r="C959" t="s">
        <v>2051</v>
      </c>
      <c r="D959" t="s">
        <v>2211</v>
      </c>
    </row>
    <row r="960" spans="1:4" x14ac:dyDescent="0.3">
      <c r="A960" t="s">
        <v>1623</v>
      </c>
      <c r="B960">
        <v>-0.2971296940916287</v>
      </c>
      <c r="C960" t="s">
        <v>2051</v>
      </c>
      <c r="D960" t="s">
        <v>2211</v>
      </c>
    </row>
    <row r="961" spans="1:4" x14ac:dyDescent="0.3">
      <c r="A961" t="s">
        <v>1633</v>
      </c>
      <c r="B961">
        <v>72.937163109802498</v>
      </c>
      <c r="C961" t="s">
        <v>2051</v>
      </c>
      <c r="D961" t="s">
        <v>2211</v>
      </c>
    </row>
    <row r="962" spans="1:4" x14ac:dyDescent="0.3">
      <c r="A962" t="s">
        <v>1628</v>
      </c>
      <c r="B962">
        <v>61.943420106367505</v>
      </c>
      <c r="C962" t="s">
        <v>2051</v>
      </c>
      <c r="D962" t="s">
        <v>2212</v>
      </c>
    </row>
    <row r="963" spans="1:4" x14ac:dyDescent="0.3">
      <c r="A963" t="s">
        <v>17</v>
      </c>
      <c r="B963">
        <v>16.71703668757138</v>
      </c>
      <c r="C963" t="s">
        <v>2051</v>
      </c>
      <c r="D963" t="s">
        <v>2212</v>
      </c>
    </row>
    <row r="964" spans="1:4" x14ac:dyDescent="0.3">
      <c r="A964" t="s">
        <v>209</v>
      </c>
      <c r="B964">
        <v>45.279851650467215</v>
      </c>
      <c r="C964" t="s">
        <v>2051</v>
      </c>
      <c r="D964" t="s">
        <v>2212</v>
      </c>
    </row>
    <row r="965" spans="1:4" x14ac:dyDescent="0.3">
      <c r="A965" t="s">
        <v>446</v>
      </c>
      <c r="B965">
        <v>4.0598063786682376E-2</v>
      </c>
      <c r="C965" t="s">
        <v>2051</v>
      </c>
      <c r="D965" t="s">
        <v>2212</v>
      </c>
    </row>
    <row r="966" spans="1:4" x14ac:dyDescent="0.3">
      <c r="A966" t="s">
        <v>1632</v>
      </c>
      <c r="B966">
        <v>11.063460790161059</v>
      </c>
      <c r="C966" t="s">
        <v>2051</v>
      </c>
      <c r="D966" t="s">
        <v>2212</v>
      </c>
    </row>
    <row r="967" spans="1:4" x14ac:dyDescent="0.3">
      <c r="A967" t="s">
        <v>1626</v>
      </c>
      <c r="B967">
        <v>9.0097422748211198</v>
      </c>
      <c r="C967" t="s">
        <v>2051</v>
      </c>
      <c r="D967" t="s">
        <v>2212</v>
      </c>
    </row>
    <row r="968" spans="1:4" x14ac:dyDescent="0.3">
      <c r="A968" t="s">
        <v>1627</v>
      </c>
      <c r="B968">
        <v>3.7646719755045757</v>
      </c>
      <c r="C968" t="s">
        <v>2051</v>
      </c>
      <c r="D968" t="s">
        <v>2212</v>
      </c>
    </row>
    <row r="969" spans="1:4" x14ac:dyDescent="0.3">
      <c r="A969" t="s">
        <v>1625</v>
      </c>
      <c r="B969">
        <v>-1.4138237660730051</v>
      </c>
      <c r="C969" t="s">
        <v>2051</v>
      </c>
      <c r="D969" t="s">
        <v>2212</v>
      </c>
    </row>
    <row r="970" spans="1:4" x14ac:dyDescent="0.3">
      <c r="A970" t="s">
        <v>1623</v>
      </c>
      <c r="B970">
        <v>-0.2971296940916287</v>
      </c>
      <c r="C970" t="s">
        <v>2051</v>
      </c>
      <c r="D970" t="s">
        <v>2212</v>
      </c>
    </row>
    <row r="971" spans="1:4" x14ac:dyDescent="0.3">
      <c r="A971" t="s">
        <v>1633</v>
      </c>
      <c r="B971">
        <v>73.006880896528571</v>
      </c>
      <c r="C971" t="s">
        <v>2051</v>
      </c>
      <c r="D971" t="s">
        <v>2212</v>
      </c>
    </row>
    <row r="972" spans="1:4" x14ac:dyDescent="0.3">
      <c r="A972" t="s">
        <v>1628</v>
      </c>
      <c r="B972">
        <v>61.489139288554981</v>
      </c>
      <c r="C972" t="s">
        <v>2051</v>
      </c>
      <c r="D972" t="s">
        <v>2213</v>
      </c>
    </row>
    <row r="973" spans="1:4" x14ac:dyDescent="0.3">
      <c r="A973" t="s">
        <v>17</v>
      </c>
      <c r="B973">
        <v>16.71703668757138</v>
      </c>
      <c r="C973" t="s">
        <v>2051</v>
      </c>
      <c r="D973" t="s">
        <v>2213</v>
      </c>
    </row>
    <row r="974" spans="1:4" x14ac:dyDescent="0.3">
      <c r="A974" t="s">
        <v>209</v>
      </c>
      <c r="B974">
        <v>44.825570832654691</v>
      </c>
      <c r="C974" t="s">
        <v>2051</v>
      </c>
      <c r="D974" t="s">
        <v>2213</v>
      </c>
    </row>
    <row r="975" spans="1:4" x14ac:dyDescent="0.3">
      <c r="A975" t="s">
        <v>446</v>
      </c>
      <c r="B975">
        <v>4.0598063786682376E-2</v>
      </c>
      <c r="C975" t="s">
        <v>2051</v>
      </c>
      <c r="D975" t="s">
        <v>2213</v>
      </c>
    </row>
    <row r="976" spans="1:4" x14ac:dyDescent="0.3">
      <c r="A976" t="s">
        <v>1632</v>
      </c>
      <c r="B976">
        <v>11.063460790161059</v>
      </c>
      <c r="C976" t="s">
        <v>2051</v>
      </c>
      <c r="D976" t="s">
        <v>2213</v>
      </c>
    </row>
    <row r="977" spans="1:4" x14ac:dyDescent="0.3">
      <c r="A977" t="s">
        <v>1626</v>
      </c>
      <c r="B977">
        <v>9.0097422748211198</v>
      </c>
      <c r="C977" t="s">
        <v>2051</v>
      </c>
      <c r="D977" t="s">
        <v>2213</v>
      </c>
    </row>
    <row r="978" spans="1:4" x14ac:dyDescent="0.3">
      <c r="A978" t="s">
        <v>1627</v>
      </c>
      <c r="B978">
        <v>3.7646719755045757</v>
      </c>
      <c r="C978" t="s">
        <v>2051</v>
      </c>
      <c r="D978" t="s">
        <v>2213</v>
      </c>
    </row>
    <row r="979" spans="1:4" x14ac:dyDescent="0.3">
      <c r="A979" t="s">
        <v>1625</v>
      </c>
      <c r="B979">
        <v>-1.4138237660730051</v>
      </c>
      <c r="C979" t="s">
        <v>2051</v>
      </c>
      <c r="D979" t="s">
        <v>2213</v>
      </c>
    </row>
    <row r="980" spans="1:4" x14ac:dyDescent="0.3">
      <c r="A980" t="s">
        <v>1623</v>
      </c>
      <c r="B980">
        <v>-0.2971296940916287</v>
      </c>
      <c r="C980" t="s">
        <v>2051</v>
      </c>
      <c r="D980" t="s">
        <v>2213</v>
      </c>
    </row>
    <row r="981" spans="1:4" x14ac:dyDescent="0.3">
      <c r="A981" t="s">
        <v>1633</v>
      </c>
      <c r="B981">
        <v>72.55260007871604</v>
      </c>
      <c r="C981" t="s">
        <v>2051</v>
      </c>
      <c r="D981" t="s">
        <v>2213</v>
      </c>
    </row>
    <row r="982" spans="1:4" x14ac:dyDescent="0.3">
      <c r="A982" t="s">
        <v>1628</v>
      </c>
      <c r="B982">
        <v>61.539438417113445</v>
      </c>
      <c r="C982" t="s">
        <v>2051</v>
      </c>
      <c r="D982" t="s">
        <v>2214</v>
      </c>
    </row>
    <row r="983" spans="1:4" x14ac:dyDescent="0.3">
      <c r="A983" t="s">
        <v>17</v>
      </c>
      <c r="B983">
        <v>16.71703668757138</v>
      </c>
      <c r="C983" t="s">
        <v>2051</v>
      </c>
      <c r="D983" t="s">
        <v>2214</v>
      </c>
    </row>
    <row r="984" spans="1:4" x14ac:dyDescent="0.3">
      <c r="A984" t="s">
        <v>209</v>
      </c>
      <c r="B984">
        <v>44.875869961213155</v>
      </c>
      <c r="C984" t="s">
        <v>2051</v>
      </c>
      <c r="D984" t="s">
        <v>2214</v>
      </c>
    </row>
    <row r="985" spans="1:4" x14ac:dyDescent="0.3">
      <c r="A985" t="s">
        <v>446</v>
      </c>
      <c r="B985">
        <v>4.0598063786682376E-2</v>
      </c>
      <c r="C985" t="s">
        <v>2051</v>
      </c>
      <c r="D985" t="s">
        <v>2214</v>
      </c>
    </row>
    <row r="986" spans="1:4" x14ac:dyDescent="0.3">
      <c r="A986" t="s">
        <v>1632</v>
      </c>
      <c r="B986">
        <v>11.063460790161059</v>
      </c>
      <c r="C986" t="s">
        <v>2051</v>
      </c>
      <c r="D986" t="s">
        <v>2214</v>
      </c>
    </row>
    <row r="987" spans="1:4" x14ac:dyDescent="0.3">
      <c r="A987" t="s">
        <v>1626</v>
      </c>
      <c r="B987">
        <v>9.0097422748211198</v>
      </c>
      <c r="C987" t="s">
        <v>2051</v>
      </c>
      <c r="D987" t="s">
        <v>2214</v>
      </c>
    </row>
    <row r="988" spans="1:4" x14ac:dyDescent="0.3">
      <c r="A988" t="s">
        <v>1627</v>
      </c>
      <c r="B988">
        <v>3.7646719755045757</v>
      </c>
      <c r="C988" t="s">
        <v>2051</v>
      </c>
      <c r="D988" t="s">
        <v>2214</v>
      </c>
    </row>
    <row r="989" spans="1:4" x14ac:dyDescent="0.3">
      <c r="A989" t="s">
        <v>1625</v>
      </c>
      <c r="B989">
        <v>-1.4138237660730051</v>
      </c>
      <c r="C989" t="s">
        <v>2051</v>
      </c>
      <c r="D989" t="s">
        <v>2214</v>
      </c>
    </row>
    <row r="990" spans="1:4" x14ac:dyDescent="0.3">
      <c r="A990" t="s">
        <v>1623</v>
      </c>
      <c r="B990">
        <v>-0.2971296940916287</v>
      </c>
      <c r="C990" t="s">
        <v>2051</v>
      </c>
      <c r="D990" t="s">
        <v>2214</v>
      </c>
    </row>
    <row r="991" spans="1:4" x14ac:dyDescent="0.3">
      <c r="A991" t="s">
        <v>1633</v>
      </c>
      <c r="B991">
        <v>72.602899207274504</v>
      </c>
      <c r="C991" t="s">
        <v>2051</v>
      </c>
      <c r="D991" t="s">
        <v>2214</v>
      </c>
    </row>
    <row r="992" spans="1:4" x14ac:dyDescent="0.3">
      <c r="A992" t="s">
        <v>1628</v>
      </c>
      <c r="B992">
        <v>61.148553901547409</v>
      </c>
      <c r="C992" t="s">
        <v>2051</v>
      </c>
      <c r="D992" t="s">
        <v>2215</v>
      </c>
    </row>
    <row r="993" spans="1:4" x14ac:dyDescent="0.3">
      <c r="A993" t="s">
        <v>17</v>
      </c>
      <c r="B993">
        <v>16.71703668757138</v>
      </c>
      <c r="C993" t="s">
        <v>2051</v>
      </c>
      <c r="D993" t="s">
        <v>2215</v>
      </c>
    </row>
    <row r="994" spans="1:4" x14ac:dyDescent="0.3">
      <c r="A994" t="s">
        <v>209</v>
      </c>
      <c r="B994">
        <v>44.484985445647119</v>
      </c>
      <c r="C994" t="s">
        <v>2051</v>
      </c>
      <c r="D994" t="s">
        <v>2215</v>
      </c>
    </row>
    <row r="995" spans="1:4" x14ac:dyDescent="0.3">
      <c r="A995" t="s">
        <v>446</v>
      </c>
      <c r="B995">
        <v>4.0598063786682376E-2</v>
      </c>
      <c r="C995" t="s">
        <v>2051</v>
      </c>
      <c r="D995" t="s">
        <v>2215</v>
      </c>
    </row>
    <row r="996" spans="1:4" x14ac:dyDescent="0.3">
      <c r="A996" t="s">
        <v>1632</v>
      </c>
      <c r="B996">
        <v>11.063460790161059</v>
      </c>
      <c r="C996" t="s">
        <v>2051</v>
      </c>
      <c r="D996" t="s">
        <v>2215</v>
      </c>
    </row>
    <row r="997" spans="1:4" x14ac:dyDescent="0.3">
      <c r="A997" t="s">
        <v>1626</v>
      </c>
      <c r="B997">
        <v>9.0097422748211198</v>
      </c>
      <c r="C997" t="s">
        <v>2051</v>
      </c>
      <c r="D997" t="s">
        <v>2215</v>
      </c>
    </row>
    <row r="998" spans="1:4" x14ac:dyDescent="0.3">
      <c r="A998" t="s">
        <v>1627</v>
      </c>
      <c r="B998">
        <v>3.7646719755045757</v>
      </c>
      <c r="C998" t="s">
        <v>2051</v>
      </c>
      <c r="D998" t="s">
        <v>2215</v>
      </c>
    </row>
    <row r="999" spans="1:4" x14ac:dyDescent="0.3">
      <c r="A999" t="s">
        <v>1625</v>
      </c>
      <c r="B999">
        <v>-1.4138237660730051</v>
      </c>
      <c r="C999" t="s">
        <v>2051</v>
      </c>
      <c r="D999" t="s">
        <v>2215</v>
      </c>
    </row>
    <row r="1000" spans="1:4" x14ac:dyDescent="0.3">
      <c r="A1000" t="s">
        <v>1623</v>
      </c>
      <c r="B1000">
        <v>-0.2971296940916287</v>
      </c>
      <c r="C1000" t="s">
        <v>2051</v>
      </c>
      <c r="D1000" t="s">
        <v>2215</v>
      </c>
    </row>
    <row r="1001" spans="1:4" x14ac:dyDescent="0.3">
      <c r="A1001" t="s">
        <v>1633</v>
      </c>
      <c r="B1001">
        <v>72.212014691708475</v>
      </c>
      <c r="C1001" t="s">
        <v>2051</v>
      </c>
      <c r="D1001" t="s">
        <v>2215</v>
      </c>
    </row>
    <row r="1002" spans="1:4" x14ac:dyDescent="0.3">
      <c r="A1002" t="s">
        <v>1628</v>
      </c>
      <c r="B1002">
        <v>63.834177262679816</v>
      </c>
      <c r="C1002" t="s">
        <v>2051</v>
      </c>
      <c r="D1002" t="s">
        <v>2216</v>
      </c>
    </row>
    <row r="1003" spans="1:4" x14ac:dyDescent="0.3">
      <c r="A1003" t="s">
        <v>17</v>
      </c>
      <c r="B1003">
        <v>16.71703668757138</v>
      </c>
      <c r="C1003" t="s">
        <v>2051</v>
      </c>
      <c r="D1003" t="s">
        <v>2216</v>
      </c>
    </row>
    <row r="1004" spans="1:4" x14ac:dyDescent="0.3">
      <c r="A1004" t="s">
        <v>209</v>
      </c>
      <c r="B1004">
        <v>47.170608806779526</v>
      </c>
      <c r="C1004" t="s">
        <v>2051</v>
      </c>
      <c r="D1004" t="s">
        <v>2216</v>
      </c>
    </row>
    <row r="1005" spans="1:4" x14ac:dyDescent="0.3">
      <c r="A1005" t="s">
        <v>446</v>
      </c>
      <c r="B1005">
        <v>4.0598063786682376E-2</v>
      </c>
      <c r="C1005" t="s">
        <v>2051</v>
      </c>
      <c r="D1005" t="s">
        <v>2216</v>
      </c>
    </row>
    <row r="1006" spans="1:4" x14ac:dyDescent="0.3">
      <c r="A1006" t="s">
        <v>1632</v>
      </c>
      <c r="B1006">
        <v>11.063460790161059</v>
      </c>
      <c r="C1006" t="s">
        <v>2051</v>
      </c>
      <c r="D1006" t="s">
        <v>2216</v>
      </c>
    </row>
    <row r="1007" spans="1:4" x14ac:dyDescent="0.3">
      <c r="A1007" t="s">
        <v>1626</v>
      </c>
      <c r="B1007">
        <v>9.0097422748211198</v>
      </c>
      <c r="C1007" t="s">
        <v>2051</v>
      </c>
      <c r="D1007" t="s">
        <v>2216</v>
      </c>
    </row>
    <row r="1008" spans="1:4" x14ac:dyDescent="0.3">
      <c r="A1008" t="s">
        <v>1627</v>
      </c>
      <c r="B1008">
        <v>3.7646719755045757</v>
      </c>
      <c r="C1008" t="s">
        <v>2051</v>
      </c>
      <c r="D1008" t="s">
        <v>2216</v>
      </c>
    </row>
    <row r="1009" spans="1:4" x14ac:dyDescent="0.3">
      <c r="A1009" t="s">
        <v>1625</v>
      </c>
      <c r="B1009">
        <v>-1.4138237660730051</v>
      </c>
      <c r="C1009" t="s">
        <v>2051</v>
      </c>
      <c r="D1009" t="s">
        <v>2216</v>
      </c>
    </row>
    <row r="1010" spans="1:4" x14ac:dyDescent="0.3">
      <c r="A1010" t="s">
        <v>1623</v>
      </c>
      <c r="B1010">
        <v>-0.2971296940916287</v>
      </c>
      <c r="C1010" t="s">
        <v>2051</v>
      </c>
      <c r="D1010" t="s">
        <v>2216</v>
      </c>
    </row>
    <row r="1011" spans="1:4" x14ac:dyDescent="0.3">
      <c r="A1011" t="s">
        <v>1633</v>
      </c>
      <c r="B1011">
        <v>74.897638052840875</v>
      </c>
      <c r="C1011" t="s">
        <v>2051</v>
      </c>
      <c r="D1011" t="s">
        <v>2216</v>
      </c>
    </row>
    <row r="1012" spans="1:4" x14ac:dyDescent="0.3">
      <c r="A1012" t="s">
        <v>1628</v>
      </c>
      <c r="B1012">
        <v>61.382912490162802</v>
      </c>
      <c r="C1012" t="s">
        <v>2051</v>
      </c>
      <c r="D1012" t="s">
        <v>2217</v>
      </c>
    </row>
    <row r="1013" spans="1:4" x14ac:dyDescent="0.3">
      <c r="A1013" t="s">
        <v>17</v>
      </c>
      <c r="B1013">
        <v>16.71703668757138</v>
      </c>
      <c r="C1013" t="s">
        <v>2051</v>
      </c>
      <c r="D1013" t="s">
        <v>2217</v>
      </c>
    </row>
    <row r="1014" spans="1:4" x14ac:dyDescent="0.3">
      <c r="A1014" t="s">
        <v>209</v>
      </c>
      <c r="B1014">
        <v>44.719344034262512</v>
      </c>
      <c r="C1014" t="s">
        <v>2051</v>
      </c>
      <c r="D1014" t="s">
        <v>2217</v>
      </c>
    </row>
    <row r="1015" spans="1:4" x14ac:dyDescent="0.3">
      <c r="A1015" t="s">
        <v>446</v>
      </c>
      <c r="B1015">
        <v>4.0598063786682376E-2</v>
      </c>
      <c r="C1015" t="s">
        <v>2051</v>
      </c>
      <c r="D1015" t="s">
        <v>2217</v>
      </c>
    </row>
    <row r="1016" spans="1:4" x14ac:dyDescent="0.3">
      <c r="A1016" t="s">
        <v>1632</v>
      </c>
      <c r="B1016">
        <v>11.063460790161059</v>
      </c>
      <c r="C1016" t="s">
        <v>2051</v>
      </c>
      <c r="D1016" t="s">
        <v>2217</v>
      </c>
    </row>
    <row r="1017" spans="1:4" x14ac:dyDescent="0.3">
      <c r="A1017" t="s">
        <v>1626</v>
      </c>
      <c r="B1017">
        <v>9.0097422748211198</v>
      </c>
      <c r="C1017" t="s">
        <v>2051</v>
      </c>
      <c r="D1017" t="s">
        <v>2217</v>
      </c>
    </row>
    <row r="1018" spans="1:4" x14ac:dyDescent="0.3">
      <c r="A1018" t="s">
        <v>1627</v>
      </c>
      <c r="B1018">
        <v>3.7646719755045757</v>
      </c>
      <c r="C1018" t="s">
        <v>2051</v>
      </c>
      <c r="D1018" t="s">
        <v>2217</v>
      </c>
    </row>
    <row r="1019" spans="1:4" x14ac:dyDescent="0.3">
      <c r="A1019" t="s">
        <v>1625</v>
      </c>
      <c r="B1019">
        <v>-1.4138237660730051</v>
      </c>
      <c r="C1019" t="s">
        <v>2051</v>
      </c>
      <c r="D1019" t="s">
        <v>2217</v>
      </c>
    </row>
    <row r="1020" spans="1:4" x14ac:dyDescent="0.3">
      <c r="A1020" t="s">
        <v>1623</v>
      </c>
      <c r="B1020">
        <v>-0.2971296940916287</v>
      </c>
      <c r="C1020" t="s">
        <v>2051</v>
      </c>
      <c r="D1020" t="s">
        <v>2217</v>
      </c>
    </row>
    <row r="1021" spans="1:4" x14ac:dyDescent="0.3">
      <c r="A1021" t="s">
        <v>1633</v>
      </c>
      <c r="B1021">
        <v>72.446373280323854</v>
      </c>
      <c r="C1021" t="s">
        <v>2051</v>
      </c>
      <c r="D1021" t="s">
        <v>2217</v>
      </c>
    </row>
    <row r="1022" spans="1:4" x14ac:dyDescent="0.3">
      <c r="A1022" t="s">
        <v>1628</v>
      </c>
      <c r="B1022">
        <v>61.38922103192337</v>
      </c>
      <c r="C1022" t="s">
        <v>2051</v>
      </c>
      <c r="D1022" t="s">
        <v>2218</v>
      </c>
    </row>
    <row r="1023" spans="1:4" x14ac:dyDescent="0.3">
      <c r="A1023" t="s">
        <v>17</v>
      </c>
      <c r="B1023">
        <v>16.71703668757138</v>
      </c>
      <c r="C1023" t="s">
        <v>2051</v>
      </c>
      <c r="D1023" t="s">
        <v>2218</v>
      </c>
    </row>
    <row r="1024" spans="1:4" x14ac:dyDescent="0.3">
      <c r="A1024" t="s">
        <v>209</v>
      </c>
      <c r="B1024">
        <v>44.72565257602308</v>
      </c>
      <c r="C1024" t="s">
        <v>2051</v>
      </c>
      <c r="D1024" t="s">
        <v>2218</v>
      </c>
    </row>
    <row r="1025" spans="1:4" x14ac:dyDescent="0.3">
      <c r="A1025" t="s">
        <v>446</v>
      </c>
      <c r="B1025">
        <v>4.0598063786682376E-2</v>
      </c>
      <c r="C1025" t="s">
        <v>2051</v>
      </c>
      <c r="D1025" t="s">
        <v>2218</v>
      </c>
    </row>
    <row r="1026" spans="1:4" x14ac:dyDescent="0.3">
      <c r="A1026" t="s">
        <v>1632</v>
      </c>
      <c r="B1026">
        <v>11.063460790161059</v>
      </c>
      <c r="C1026" t="s">
        <v>2051</v>
      </c>
      <c r="D1026" t="s">
        <v>2218</v>
      </c>
    </row>
    <row r="1027" spans="1:4" x14ac:dyDescent="0.3">
      <c r="A1027" t="s">
        <v>1626</v>
      </c>
      <c r="B1027">
        <v>9.0097422748211198</v>
      </c>
      <c r="C1027" t="s">
        <v>2051</v>
      </c>
      <c r="D1027" t="s">
        <v>2218</v>
      </c>
    </row>
    <row r="1028" spans="1:4" x14ac:dyDescent="0.3">
      <c r="A1028" t="s">
        <v>1627</v>
      </c>
      <c r="B1028">
        <v>3.7646719755045757</v>
      </c>
      <c r="C1028" t="s">
        <v>2051</v>
      </c>
      <c r="D1028" t="s">
        <v>2218</v>
      </c>
    </row>
    <row r="1029" spans="1:4" x14ac:dyDescent="0.3">
      <c r="A1029" t="s">
        <v>1625</v>
      </c>
      <c r="B1029">
        <v>-1.4138237660730051</v>
      </c>
      <c r="C1029" t="s">
        <v>2051</v>
      </c>
      <c r="D1029" t="s">
        <v>2218</v>
      </c>
    </row>
    <row r="1030" spans="1:4" x14ac:dyDescent="0.3">
      <c r="A1030" t="s">
        <v>1623</v>
      </c>
      <c r="B1030">
        <v>-0.2971296940916287</v>
      </c>
      <c r="C1030" t="s">
        <v>2051</v>
      </c>
      <c r="D1030" t="s">
        <v>2218</v>
      </c>
    </row>
    <row r="1031" spans="1:4" x14ac:dyDescent="0.3">
      <c r="A1031" t="s">
        <v>1633</v>
      </c>
      <c r="B1031">
        <v>72.452681822084429</v>
      </c>
      <c r="C1031" t="s">
        <v>2051</v>
      </c>
      <c r="D1031" t="s">
        <v>2218</v>
      </c>
    </row>
    <row r="1032" spans="1:4" x14ac:dyDescent="0.3">
      <c r="A1032" t="s">
        <v>1628</v>
      </c>
      <c r="B1032">
        <v>60.352878984975618</v>
      </c>
      <c r="C1032" t="s">
        <v>2051</v>
      </c>
      <c r="D1032" t="s">
        <v>2219</v>
      </c>
    </row>
    <row r="1033" spans="1:4" x14ac:dyDescent="0.3">
      <c r="A1033" t="s">
        <v>17</v>
      </c>
      <c r="B1033">
        <v>16.71703668757138</v>
      </c>
      <c r="C1033" t="s">
        <v>2051</v>
      </c>
      <c r="D1033" t="s">
        <v>2219</v>
      </c>
    </row>
    <row r="1034" spans="1:4" x14ac:dyDescent="0.3">
      <c r="A1034" t="s">
        <v>209</v>
      </c>
      <c r="B1034">
        <v>43.689310529075328</v>
      </c>
      <c r="C1034" t="s">
        <v>2051</v>
      </c>
      <c r="D1034" t="s">
        <v>2219</v>
      </c>
    </row>
    <row r="1035" spans="1:4" x14ac:dyDescent="0.3">
      <c r="A1035" t="s">
        <v>446</v>
      </c>
      <c r="B1035">
        <v>4.0598063786682376E-2</v>
      </c>
      <c r="C1035" t="s">
        <v>2051</v>
      </c>
      <c r="D1035" t="s">
        <v>2219</v>
      </c>
    </row>
    <row r="1036" spans="1:4" x14ac:dyDescent="0.3">
      <c r="A1036" t="s">
        <v>1632</v>
      </c>
      <c r="B1036">
        <v>11.063460790161059</v>
      </c>
      <c r="C1036" t="s">
        <v>2051</v>
      </c>
      <c r="D1036" t="s">
        <v>2219</v>
      </c>
    </row>
    <row r="1037" spans="1:4" x14ac:dyDescent="0.3">
      <c r="A1037" t="s">
        <v>1626</v>
      </c>
      <c r="B1037">
        <v>9.0097422748211198</v>
      </c>
      <c r="C1037" t="s">
        <v>2051</v>
      </c>
      <c r="D1037" t="s">
        <v>2219</v>
      </c>
    </row>
    <row r="1038" spans="1:4" x14ac:dyDescent="0.3">
      <c r="A1038" t="s">
        <v>1627</v>
      </c>
      <c r="B1038">
        <v>3.7646719755045757</v>
      </c>
      <c r="C1038" t="s">
        <v>2051</v>
      </c>
      <c r="D1038" t="s">
        <v>2219</v>
      </c>
    </row>
    <row r="1039" spans="1:4" x14ac:dyDescent="0.3">
      <c r="A1039" t="s">
        <v>1625</v>
      </c>
      <c r="B1039">
        <v>-1.4138237660730051</v>
      </c>
      <c r="C1039" t="s">
        <v>2051</v>
      </c>
      <c r="D1039" t="s">
        <v>2219</v>
      </c>
    </row>
    <row r="1040" spans="1:4" x14ac:dyDescent="0.3">
      <c r="A1040" t="s">
        <v>1623</v>
      </c>
      <c r="B1040">
        <v>-0.2971296940916287</v>
      </c>
      <c r="C1040" t="s">
        <v>2051</v>
      </c>
      <c r="D1040" t="s">
        <v>2219</v>
      </c>
    </row>
    <row r="1041" spans="1:4" x14ac:dyDescent="0.3">
      <c r="A1041" t="s">
        <v>1633</v>
      </c>
      <c r="B1041">
        <v>71.416339775136677</v>
      </c>
      <c r="C1041" t="s">
        <v>2051</v>
      </c>
      <c r="D1041" t="s">
        <v>2219</v>
      </c>
    </row>
    <row r="1042" spans="1:4" x14ac:dyDescent="0.3">
      <c r="A1042" t="s">
        <v>1628</v>
      </c>
      <c r="B1042">
        <v>301.75736319624059</v>
      </c>
      <c r="C1042" t="s">
        <v>2051</v>
      </c>
      <c r="D1042" t="s">
        <v>2220</v>
      </c>
    </row>
    <row r="1043" spans="1:4" x14ac:dyDescent="0.3">
      <c r="A1043" t="s">
        <v>17</v>
      </c>
      <c r="B1043">
        <v>16.71703668757138</v>
      </c>
      <c r="C1043" t="s">
        <v>2051</v>
      </c>
      <c r="D1043" t="s">
        <v>2220</v>
      </c>
    </row>
    <row r="1044" spans="1:4" x14ac:dyDescent="0.3">
      <c r="A1044" t="s">
        <v>209</v>
      </c>
      <c r="B1044">
        <v>285.09379474034029</v>
      </c>
      <c r="C1044" t="s">
        <v>2051</v>
      </c>
      <c r="D1044" t="s">
        <v>2220</v>
      </c>
    </row>
    <row r="1045" spans="1:4" x14ac:dyDescent="0.3">
      <c r="A1045" t="s">
        <v>446</v>
      </c>
      <c r="B1045">
        <v>4.0598063786682376E-2</v>
      </c>
      <c r="C1045" t="s">
        <v>2051</v>
      </c>
      <c r="D1045" t="s">
        <v>2220</v>
      </c>
    </row>
    <row r="1046" spans="1:4" x14ac:dyDescent="0.3">
      <c r="A1046" t="s">
        <v>1632</v>
      </c>
      <c r="B1046">
        <v>11.063460790161059</v>
      </c>
      <c r="C1046" t="s">
        <v>2051</v>
      </c>
      <c r="D1046" t="s">
        <v>2220</v>
      </c>
    </row>
    <row r="1047" spans="1:4" x14ac:dyDescent="0.3">
      <c r="A1047" t="s">
        <v>1626</v>
      </c>
      <c r="B1047">
        <v>9.0097422748211198</v>
      </c>
      <c r="C1047" t="s">
        <v>2051</v>
      </c>
      <c r="D1047" t="s">
        <v>2220</v>
      </c>
    </row>
    <row r="1048" spans="1:4" x14ac:dyDescent="0.3">
      <c r="A1048" t="s">
        <v>1627</v>
      </c>
      <c r="B1048">
        <v>3.7646719755045757</v>
      </c>
      <c r="C1048" t="s">
        <v>2051</v>
      </c>
      <c r="D1048" t="s">
        <v>2220</v>
      </c>
    </row>
    <row r="1049" spans="1:4" x14ac:dyDescent="0.3">
      <c r="A1049" t="s">
        <v>1625</v>
      </c>
      <c r="B1049">
        <v>-1.4138237660730051</v>
      </c>
      <c r="C1049" t="s">
        <v>2051</v>
      </c>
      <c r="D1049" t="s">
        <v>2220</v>
      </c>
    </row>
    <row r="1050" spans="1:4" x14ac:dyDescent="0.3">
      <c r="A1050" t="s">
        <v>1623</v>
      </c>
      <c r="B1050">
        <v>-0.2971296940916287</v>
      </c>
      <c r="C1050" t="s">
        <v>2051</v>
      </c>
      <c r="D1050" t="s">
        <v>2220</v>
      </c>
    </row>
    <row r="1051" spans="1:4" x14ac:dyDescent="0.3">
      <c r="A1051" t="s">
        <v>1633</v>
      </c>
      <c r="B1051">
        <v>312.82082398640165</v>
      </c>
      <c r="C1051" t="s">
        <v>2051</v>
      </c>
      <c r="D1051" t="s">
        <v>2220</v>
      </c>
    </row>
    <row r="1052" spans="1:4" x14ac:dyDescent="0.3">
      <c r="A1052" t="s">
        <v>1628</v>
      </c>
      <c r="B1052">
        <v>297.67210617098419</v>
      </c>
      <c r="C1052" t="s">
        <v>2051</v>
      </c>
      <c r="D1052" t="s">
        <v>2167</v>
      </c>
    </row>
    <row r="1053" spans="1:4" x14ac:dyDescent="0.3">
      <c r="A1053" t="s">
        <v>17</v>
      </c>
      <c r="B1053">
        <v>16.71703668757138</v>
      </c>
      <c r="C1053" t="s">
        <v>2051</v>
      </c>
      <c r="D1053" t="s">
        <v>2167</v>
      </c>
    </row>
    <row r="1054" spans="1:4" x14ac:dyDescent="0.3">
      <c r="A1054" t="s">
        <v>209</v>
      </c>
      <c r="B1054">
        <v>281.00853771508395</v>
      </c>
      <c r="C1054" t="s">
        <v>2051</v>
      </c>
      <c r="D1054" t="s">
        <v>2167</v>
      </c>
    </row>
    <row r="1055" spans="1:4" x14ac:dyDescent="0.3">
      <c r="A1055" t="s">
        <v>446</v>
      </c>
      <c r="B1055">
        <v>4.0598063786682376E-2</v>
      </c>
      <c r="C1055" t="s">
        <v>2051</v>
      </c>
      <c r="D1055" t="s">
        <v>2167</v>
      </c>
    </row>
    <row r="1056" spans="1:4" x14ac:dyDescent="0.3">
      <c r="A1056" t="s">
        <v>1632</v>
      </c>
      <c r="B1056">
        <v>11.063460790161059</v>
      </c>
      <c r="C1056" t="s">
        <v>2051</v>
      </c>
      <c r="D1056" t="s">
        <v>2167</v>
      </c>
    </row>
    <row r="1057" spans="1:4" x14ac:dyDescent="0.3">
      <c r="A1057" t="s">
        <v>1626</v>
      </c>
      <c r="B1057">
        <v>9.0097422748211198</v>
      </c>
      <c r="C1057" t="s">
        <v>2051</v>
      </c>
      <c r="D1057" t="s">
        <v>2167</v>
      </c>
    </row>
    <row r="1058" spans="1:4" x14ac:dyDescent="0.3">
      <c r="A1058" t="s">
        <v>1627</v>
      </c>
      <c r="B1058">
        <v>3.7646719755045757</v>
      </c>
      <c r="C1058" t="s">
        <v>2051</v>
      </c>
      <c r="D1058" t="s">
        <v>2167</v>
      </c>
    </row>
    <row r="1059" spans="1:4" x14ac:dyDescent="0.3">
      <c r="A1059" t="s">
        <v>1625</v>
      </c>
      <c r="B1059">
        <v>-1.4138237660730051</v>
      </c>
      <c r="C1059" t="s">
        <v>2051</v>
      </c>
      <c r="D1059" t="s">
        <v>2167</v>
      </c>
    </row>
    <row r="1060" spans="1:4" x14ac:dyDescent="0.3">
      <c r="A1060" t="s">
        <v>1623</v>
      </c>
      <c r="B1060">
        <v>-0.2971296940916287</v>
      </c>
      <c r="C1060" t="s">
        <v>2051</v>
      </c>
      <c r="D1060" t="s">
        <v>2167</v>
      </c>
    </row>
    <row r="1061" spans="1:4" x14ac:dyDescent="0.3">
      <c r="A1061" t="s">
        <v>1633</v>
      </c>
      <c r="B1061">
        <v>308.73556696114525</v>
      </c>
      <c r="C1061" t="s">
        <v>2051</v>
      </c>
      <c r="D1061" t="s">
        <v>2167</v>
      </c>
    </row>
    <row r="1062" spans="1:4" x14ac:dyDescent="0.3">
      <c r="A1062" t="s">
        <v>1628</v>
      </c>
      <c r="B1062">
        <v>299.39961645766095</v>
      </c>
      <c r="C1062" t="s">
        <v>2051</v>
      </c>
      <c r="D1062" t="s">
        <v>2168</v>
      </c>
    </row>
    <row r="1063" spans="1:4" x14ac:dyDescent="0.3">
      <c r="A1063" t="s">
        <v>17</v>
      </c>
      <c r="B1063">
        <v>16.71703668757138</v>
      </c>
      <c r="C1063" t="s">
        <v>2051</v>
      </c>
      <c r="D1063" t="s">
        <v>2168</v>
      </c>
    </row>
    <row r="1064" spans="1:4" x14ac:dyDescent="0.3">
      <c r="A1064" t="s">
        <v>209</v>
      </c>
      <c r="B1064">
        <v>282.73604800176065</v>
      </c>
      <c r="C1064" t="s">
        <v>2051</v>
      </c>
      <c r="D1064" t="s">
        <v>2168</v>
      </c>
    </row>
    <row r="1065" spans="1:4" x14ac:dyDescent="0.3">
      <c r="A1065" t="s">
        <v>446</v>
      </c>
      <c r="B1065">
        <v>4.0598063786682376E-2</v>
      </c>
      <c r="C1065" t="s">
        <v>2051</v>
      </c>
      <c r="D1065" t="s">
        <v>2168</v>
      </c>
    </row>
    <row r="1066" spans="1:4" x14ac:dyDescent="0.3">
      <c r="A1066" t="s">
        <v>1632</v>
      </c>
      <c r="B1066">
        <v>11.063460790161059</v>
      </c>
      <c r="C1066" t="s">
        <v>2051</v>
      </c>
      <c r="D1066" t="s">
        <v>2168</v>
      </c>
    </row>
    <row r="1067" spans="1:4" x14ac:dyDescent="0.3">
      <c r="A1067" t="s">
        <v>1626</v>
      </c>
      <c r="B1067">
        <v>9.0097422748211198</v>
      </c>
      <c r="C1067" t="s">
        <v>2051</v>
      </c>
      <c r="D1067" t="s">
        <v>2168</v>
      </c>
    </row>
    <row r="1068" spans="1:4" x14ac:dyDescent="0.3">
      <c r="A1068" t="s">
        <v>1627</v>
      </c>
      <c r="B1068">
        <v>3.7646719755045757</v>
      </c>
      <c r="C1068" t="s">
        <v>2051</v>
      </c>
      <c r="D1068" t="s">
        <v>2168</v>
      </c>
    </row>
    <row r="1069" spans="1:4" x14ac:dyDescent="0.3">
      <c r="A1069" t="s">
        <v>1625</v>
      </c>
      <c r="B1069">
        <v>-1.4138237660730051</v>
      </c>
      <c r="C1069" t="s">
        <v>2051</v>
      </c>
      <c r="D1069" t="s">
        <v>2168</v>
      </c>
    </row>
    <row r="1070" spans="1:4" x14ac:dyDescent="0.3">
      <c r="A1070" t="s">
        <v>1623</v>
      </c>
      <c r="B1070">
        <v>-0.2971296940916287</v>
      </c>
      <c r="C1070" t="s">
        <v>2051</v>
      </c>
      <c r="D1070" t="s">
        <v>2168</v>
      </c>
    </row>
    <row r="1071" spans="1:4" x14ac:dyDescent="0.3">
      <c r="A1071" t="s">
        <v>1633</v>
      </c>
      <c r="B1071">
        <v>310.46307724782201</v>
      </c>
      <c r="C1071" t="s">
        <v>2051</v>
      </c>
      <c r="D1071" t="s">
        <v>2168</v>
      </c>
    </row>
    <row r="1072" spans="1:4" x14ac:dyDescent="0.3">
      <c r="A1072" t="s">
        <v>1628</v>
      </c>
      <c r="B1072">
        <v>297.70797083429989</v>
      </c>
      <c r="C1072" t="s">
        <v>2051</v>
      </c>
      <c r="D1072" t="s">
        <v>2169</v>
      </c>
    </row>
    <row r="1073" spans="1:4" x14ac:dyDescent="0.3">
      <c r="A1073" t="s">
        <v>17</v>
      </c>
      <c r="B1073">
        <v>16.71703668757138</v>
      </c>
      <c r="C1073" t="s">
        <v>2051</v>
      </c>
      <c r="D1073" t="s">
        <v>2169</v>
      </c>
    </row>
    <row r="1074" spans="1:4" x14ac:dyDescent="0.3">
      <c r="A1074" t="s">
        <v>209</v>
      </c>
      <c r="B1074">
        <v>281.04440237839958</v>
      </c>
      <c r="C1074" t="s">
        <v>2051</v>
      </c>
      <c r="D1074" t="s">
        <v>2169</v>
      </c>
    </row>
    <row r="1075" spans="1:4" x14ac:dyDescent="0.3">
      <c r="A1075" t="s">
        <v>446</v>
      </c>
      <c r="B1075">
        <v>4.0598063786682376E-2</v>
      </c>
      <c r="C1075" t="s">
        <v>2051</v>
      </c>
      <c r="D1075" t="s">
        <v>2169</v>
      </c>
    </row>
    <row r="1076" spans="1:4" x14ac:dyDescent="0.3">
      <c r="A1076" t="s">
        <v>1632</v>
      </c>
      <c r="B1076">
        <v>11.063460790161059</v>
      </c>
      <c r="C1076" t="s">
        <v>2051</v>
      </c>
      <c r="D1076" t="s">
        <v>2169</v>
      </c>
    </row>
    <row r="1077" spans="1:4" x14ac:dyDescent="0.3">
      <c r="A1077" t="s">
        <v>1626</v>
      </c>
      <c r="B1077">
        <v>9.0097422748211198</v>
      </c>
      <c r="C1077" t="s">
        <v>2051</v>
      </c>
      <c r="D1077" t="s">
        <v>2169</v>
      </c>
    </row>
    <row r="1078" spans="1:4" x14ac:dyDescent="0.3">
      <c r="A1078" t="s">
        <v>1627</v>
      </c>
      <c r="B1078">
        <v>3.7646719755045757</v>
      </c>
      <c r="C1078" t="s">
        <v>2051</v>
      </c>
      <c r="D1078" t="s">
        <v>2169</v>
      </c>
    </row>
    <row r="1079" spans="1:4" x14ac:dyDescent="0.3">
      <c r="A1079" t="s">
        <v>1625</v>
      </c>
      <c r="B1079">
        <v>-1.4138237660730051</v>
      </c>
      <c r="C1079" t="s">
        <v>2051</v>
      </c>
      <c r="D1079" t="s">
        <v>2169</v>
      </c>
    </row>
    <row r="1080" spans="1:4" x14ac:dyDescent="0.3">
      <c r="A1080" t="s">
        <v>1623</v>
      </c>
      <c r="B1080">
        <v>-0.2971296940916287</v>
      </c>
      <c r="C1080" t="s">
        <v>2051</v>
      </c>
      <c r="D1080" t="s">
        <v>2169</v>
      </c>
    </row>
    <row r="1081" spans="1:4" x14ac:dyDescent="0.3">
      <c r="A1081" t="s">
        <v>1633</v>
      </c>
      <c r="B1081">
        <v>308.77143162446094</v>
      </c>
      <c r="C1081" t="s">
        <v>2051</v>
      </c>
      <c r="D1081" t="s">
        <v>2169</v>
      </c>
    </row>
    <row r="1082" spans="1:4" x14ac:dyDescent="0.3">
      <c r="A1082" t="s">
        <v>1628</v>
      </c>
      <c r="B1082">
        <v>299.65853051506303</v>
      </c>
      <c r="C1082" t="s">
        <v>2051</v>
      </c>
      <c r="D1082" t="s">
        <v>2170</v>
      </c>
    </row>
    <row r="1083" spans="1:4" x14ac:dyDescent="0.3">
      <c r="A1083" t="s">
        <v>17</v>
      </c>
      <c r="B1083">
        <v>16.71703668757138</v>
      </c>
      <c r="C1083" t="s">
        <v>2051</v>
      </c>
      <c r="D1083" t="s">
        <v>2170</v>
      </c>
    </row>
    <row r="1084" spans="1:4" x14ac:dyDescent="0.3">
      <c r="A1084" t="s">
        <v>209</v>
      </c>
      <c r="B1084">
        <v>282.99496205916279</v>
      </c>
      <c r="C1084" t="s">
        <v>2051</v>
      </c>
      <c r="D1084" t="s">
        <v>2170</v>
      </c>
    </row>
    <row r="1085" spans="1:4" x14ac:dyDescent="0.3">
      <c r="A1085" t="s">
        <v>446</v>
      </c>
      <c r="B1085">
        <v>4.0598063786682376E-2</v>
      </c>
      <c r="C1085" t="s">
        <v>2051</v>
      </c>
      <c r="D1085" t="s">
        <v>2170</v>
      </c>
    </row>
    <row r="1086" spans="1:4" x14ac:dyDescent="0.3">
      <c r="A1086" t="s">
        <v>1632</v>
      </c>
      <c r="B1086">
        <v>11.063460790161059</v>
      </c>
      <c r="C1086" t="s">
        <v>2051</v>
      </c>
      <c r="D1086" t="s">
        <v>2170</v>
      </c>
    </row>
    <row r="1087" spans="1:4" x14ac:dyDescent="0.3">
      <c r="A1087" t="s">
        <v>1626</v>
      </c>
      <c r="B1087">
        <v>9.0097422748211198</v>
      </c>
      <c r="C1087" t="s">
        <v>2051</v>
      </c>
      <c r="D1087" t="s">
        <v>2170</v>
      </c>
    </row>
    <row r="1088" spans="1:4" x14ac:dyDescent="0.3">
      <c r="A1088" t="s">
        <v>1627</v>
      </c>
      <c r="B1088">
        <v>3.7646719755045757</v>
      </c>
      <c r="C1088" t="s">
        <v>2051</v>
      </c>
      <c r="D1088" t="s">
        <v>2170</v>
      </c>
    </row>
    <row r="1089" spans="1:4" x14ac:dyDescent="0.3">
      <c r="A1089" t="s">
        <v>1625</v>
      </c>
      <c r="B1089">
        <v>-1.4138237660730051</v>
      </c>
      <c r="C1089" t="s">
        <v>2051</v>
      </c>
      <c r="D1089" t="s">
        <v>2170</v>
      </c>
    </row>
    <row r="1090" spans="1:4" x14ac:dyDescent="0.3">
      <c r="A1090" t="s">
        <v>1623</v>
      </c>
      <c r="B1090">
        <v>-0.2971296940916287</v>
      </c>
      <c r="C1090" t="s">
        <v>2051</v>
      </c>
      <c r="D1090" t="s">
        <v>2170</v>
      </c>
    </row>
    <row r="1091" spans="1:4" x14ac:dyDescent="0.3">
      <c r="A1091" t="s">
        <v>1633</v>
      </c>
      <c r="B1091">
        <v>310.72199130522409</v>
      </c>
      <c r="C1091" t="s">
        <v>2051</v>
      </c>
      <c r="D1091" t="s">
        <v>2170</v>
      </c>
    </row>
    <row r="1092" spans="1:4" x14ac:dyDescent="0.3">
      <c r="A1092" t="s">
        <v>1628</v>
      </c>
      <c r="B1092">
        <v>300.27260251913992</v>
      </c>
      <c r="C1092" t="s">
        <v>2051</v>
      </c>
      <c r="D1092" t="s">
        <v>2171</v>
      </c>
    </row>
    <row r="1093" spans="1:4" x14ac:dyDescent="0.3">
      <c r="A1093" t="s">
        <v>17</v>
      </c>
      <c r="B1093">
        <v>16.71703668757138</v>
      </c>
      <c r="C1093" t="s">
        <v>2051</v>
      </c>
      <c r="D1093" t="s">
        <v>2171</v>
      </c>
    </row>
    <row r="1094" spans="1:4" x14ac:dyDescent="0.3">
      <c r="A1094" t="s">
        <v>209</v>
      </c>
      <c r="B1094">
        <v>283.60903406323968</v>
      </c>
      <c r="C1094" t="s">
        <v>2051</v>
      </c>
      <c r="D1094" t="s">
        <v>2171</v>
      </c>
    </row>
    <row r="1095" spans="1:4" x14ac:dyDescent="0.3">
      <c r="A1095" t="s">
        <v>446</v>
      </c>
      <c r="B1095">
        <v>4.0598063786682376E-2</v>
      </c>
      <c r="C1095" t="s">
        <v>2051</v>
      </c>
      <c r="D1095" t="s">
        <v>2171</v>
      </c>
    </row>
    <row r="1096" spans="1:4" x14ac:dyDescent="0.3">
      <c r="A1096" t="s">
        <v>1632</v>
      </c>
      <c r="B1096">
        <v>11.063460790161059</v>
      </c>
      <c r="C1096" t="s">
        <v>2051</v>
      </c>
      <c r="D1096" t="s">
        <v>2171</v>
      </c>
    </row>
    <row r="1097" spans="1:4" x14ac:dyDescent="0.3">
      <c r="A1097" t="s">
        <v>1626</v>
      </c>
      <c r="B1097">
        <v>9.0097422748211198</v>
      </c>
      <c r="C1097" t="s">
        <v>2051</v>
      </c>
      <c r="D1097" t="s">
        <v>2171</v>
      </c>
    </row>
    <row r="1098" spans="1:4" x14ac:dyDescent="0.3">
      <c r="A1098" t="s">
        <v>1627</v>
      </c>
      <c r="B1098">
        <v>3.7646719755045757</v>
      </c>
      <c r="C1098" t="s">
        <v>2051</v>
      </c>
      <c r="D1098" t="s">
        <v>2171</v>
      </c>
    </row>
    <row r="1099" spans="1:4" x14ac:dyDescent="0.3">
      <c r="A1099" t="s">
        <v>1625</v>
      </c>
      <c r="B1099">
        <v>-1.4138237660730051</v>
      </c>
      <c r="C1099" t="s">
        <v>2051</v>
      </c>
      <c r="D1099" t="s">
        <v>2171</v>
      </c>
    </row>
    <row r="1100" spans="1:4" x14ac:dyDescent="0.3">
      <c r="A1100" t="s">
        <v>1623</v>
      </c>
      <c r="B1100">
        <v>-0.2971296940916287</v>
      </c>
      <c r="C1100" t="s">
        <v>2051</v>
      </c>
      <c r="D1100" t="s">
        <v>2171</v>
      </c>
    </row>
    <row r="1101" spans="1:4" x14ac:dyDescent="0.3">
      <c r="A1101" t="s">
        <v>1633</v>
      </c>
      <c r="B1101">
        <v>311.33606330930098</v>
      </c>
      <c r="C1101" t="s">
        <v>2051</v>
      </c>
      <c r="D1101" t="s">
        <v>2171</v>
      </c>
    </row>
    <row r="1102" spans="1:4" x14ac:dyDescent="0.3">
      <c r="A1102" t="s">
        <v>1628</v>
      </c>
      <c r="B1102">
        <v>303.34730837454117</v>
      </c>
      <c r="C1102" t="s">
        <v>2051</v>
      </c>
      <c r="D1102" t="s">
        <v>2172</v>
      </c>
    </row>
    <row r="1103" spans="1:4" x14ac:dyDescent="0.3">
      <c r="A1103" t="s">
        <v>17</v>
      </c>
      <c r="B1103">
        <v>16.71703668757138</v>
      </c>
      <c r="C1103" t="s">
        <v>2051</v>
      </c>
      <c r="D1103" t="s">
        <v>2172</v>
      </c>
    </row>
    <row r="1104" spans="1:4" x14ac:dyDescent="0.3">
      <c r="A1104" t="s">
        <v>209</v>
      </c>
      <c r="B1104">
        <v>286.68373991864087</v>
      </c>
      <c r="C1104" t="s">
        <v>2051</v>
      </c>
      <c r="D1104" t="s">
        <v>2172</v>
      </c>
    </row>
    <row r="1105" spans="1:4" x14ac:dyDescent="0.3">
      <c r="A1105" t="s">
        <v>446</v>
      </c>
      <c r="B1105">
        <v>4.0598063786682376E-2</v>
      </c>
      <c r="C1105" t="s">
        <v>2051</v>
      </c>
      <c r="D1105" t="s">
        <v>2172</v>
      </c>
    </row>
    <row r="1106" spans="1:4" x14ac:dyDescent="0.3">
      <c r="A1106" t="s">
        <v>1632</v>
      </c>
      <c r="B1106">
        <v>11.063460790161059</v>
      </c>
      <c r="C1106" t="s">
        <v>2051</v>
      </c>
      <c r="D1106" t="s">
        <v>2172</v>
      </c>
    </row>
    <row r="1107" spans="1:4" x14ac:dyDescent="0.3">
      <c r="A1107" t="s">
        <v>1626</v>
      </c>
      <c r="B1107">
        <v>9.0097422748211198</v>
      </c>
      <c r="C1107" t="s">
        <v>2051</v>
      </c>
      <c r="D1107" t="s">
        <v>2172</v>
      </c>
    </row>
    <row r="1108" spans="1:4" x14ac:dyDescent="0.3">
      <c r="A1108" t="s">
        <v>1627</v>
      </c>
      <c r="B1108">
        <v>3.7646719755045757</v>
      </c>
      <c r="C1108" t="s">
        <v>2051</v>
      </c>
      <c r="D1108" t="s">
        <v>2172</v>
      </c>
    </row>
    <row r="1109" spans="1:4" x14ac:dyDescent="0.3">
      <c r="A1109" t="s">
        <v>1625</v>
      </c>
      <c r="B1109">
        <v>-1.4138237660730051</v>
      </c>
      <c r="C1109" t="s">
        <v>2051</v>
      </c>
      <c r="D1109" t="s">
        <v>2172</v>
      </c>
    </row>
    <row r="1110" spans="1:4" x14ac:dyDescent="0.3">
      <c r="A1110" t="s">
        <v>1623</v>
      </c>
      <c r="B1110">
        <v>-0.2971296940916287</v>
      </c>
      <c r="C1110" t="s">
        <v>2051</v>
      </c>
      <c r="D1110" t="s">
        <v>2172</v>
      </c>
    </row>
    <row r="1111" spans="1:4" x14ac:dyDescent="0.3">
      <c r="A1111" t="s">
        <v>1633</v>
      </c>
      <c r="B1111">
        <v>314.41076916470223</v>
      </c>
      <c r="C1111" t="s">
        <v>2051</v>
      </c>
      <c r="D1111" t="s">
        <v>2172</v>
      </c>
    </row>
    <row r="1112" spans="1:4" x14ac:dyDescent="0.3">
      <c r="A1112" t="s">
        <v>1628</v>
      </c>
      <c r="B1112">
        <v>306.83989166774279</v>
      </c>
      <c r="C1112" t="s">
        <v>2051</v>
      </c>
      <c r="D1112" t="s">
        <v>2173</v>
      </c>
    </row>
    <row r="1113" spans="1:4" x14ac:dyDescent="0.3">
      <c r="A1113" t="s">
        <v>17</v>
      </c>
      <c r="B1113">
        <v>16.71703668757138</v>
      </c>
      <c r="C1113" t="s">
        <v>2051</v>
      </c>
      <c r="D1113" t="s">
        <v>2173</v>
      </c>
    </row>
    <row r="1114" spans="1:4" x14ac:dyDescent="0.3">
      <c r="A1114" t="s">
        <v>209</v>
      </c>
      <c r="B1114">
        <v>290.17632321184249</v>
      </c>
      <c r="C1114" t="s">
        <v>2051</v>
      </c>
      <c r="D1114" t="s">
        <v>2173</v>
      </c>
    </row>
    <row r="1115" spans="1:4" x14ac:dyDescent="0.3">
      <c r="A1115" t="s">
        <v>446</v>
      </c>
      <c r="B1115">
        <v>4.0598063786682376E-2</v>
      </c>
      <c r="C1115" t="s">
        <v>2051</v>
      </c>
      <c r="D1115" t="s">
        <v>2173</v>
      </c>
    </row>
    <row r="1116" spans="1:4" x14ac:dyDescent="0.3">
      <c r="A1116" t="s">
        <v>1632</v>
      </c>
      <c r="B1116">
        <v>11.063460790161059</v>
      </c>
      <c r="C1116" t="s">
        <v>2051</v>
      </c>
      <c r="D1116" t="s">
        <v>2173</v>
      </c>
    </row>
    <row r="1117" spans="1:4" x14ac:dyDescent="0.3">
      <c r="A1117" t="s">
        <v>1626</v>
      </c>
      <c r="B1117">
        <v>9.0097422748211198</v>
      </c>
      <c r="C1117" t="s">
        <v>2051</v>
      </c>
      <c r="D1117" t="s">
        <v>2173</v>
      </c>
    </row>
    <row r="1118" spans="1:4" x14ac:dyDescent="0.3">
      <c r="A1118" t="s">
        <v>1627</v>
      </c>
      <c r="B1118">
        <v>3.7646719755045757</v>
      </c>
      <c r="C1118" t="s">
        <v>2051</v>
      </c>
      <c r="D1118" t="s">
        <v>2173</v>
      </c>
    </row>
    <row r="1119" spans="1:4" x14ac:dyDescent="0.3">
      <c r="A1119" t="s">
        <v>1625</v>
      </c>
      <c r="B1119">
        <v>-1.4138237660730051</v>
      </c>
      <c r="C1119" t="s">
        <v>2051</v>
      </c>
      <c r="D1119" t="s">
        <v>2173</v>
      </c>
    </row>
    <row r="1120" spans="1:4" x14ac:dyDescent="0.3">
      <c r="A1120" t="s">
        <v>1623</v>
      </c>
      <c r="B1120">
        <v>-0.2971296940916287</v>
      </c>
      <c r="C1120" t="s">
        <v>2051</v>
      </c>
      <c r="D1120" t="s">
        <v>2173</v>
      </c>
    </row>
    <row r="1121" spans="1:4" x14ac:dyDescent="0.3">
      <c r="A1121" t="s">
        <v>1633</v>
      </c>
      <c r="B1121">
        <v>317.90335245790385</v>
      </c>
      <c r="C1121" t="s">
        <v>2051</v>
      </c>
      <c r="D1121" t="s">
        <v>2173</v>
      </c>
    </row>
    <row r="1122" spans="1:4" x14ac:dyDescent="0.3">
      <c r="A1122" t="s">
        <v>1628</v>
      </c>
      <c r="B1122">
        <v>304.37310871986335</v>
      </c>
      <c r="C1122" t="s">
        <v>2051</v>
      </c>
      <c r="D1122" t="s">
        <v>2174</v>
      </c>
    </row>
    <row r="1123" spans="1:4" x14ac:dyDescent="0.3">
      <c r="A1123" t="s">
        <v>17</v>
      </c>
      <c r="B1123">
        <v>16.71703668757138</v>
      </c>
      <c r="C1123" t="s">
        <v>2051</v>
      </c>
      <c r="D1123" t="s">
        <v>2174</v>
      </c>
    </row>
    <row r="1124" spans="1:4" x14ac:dyDescent="0.3">
      <c r="A1124" t="s">
        <v>209</v>
      </c>
      <c r="B1124">
        <v>287.70954026396305</v>
      </c>
      <c r="C1124" t="s">
        <v>2051</v>
      </c>
      <c r="D1124" t="s">
        <v>2174</v>
      </c>
    </row>
    <row r="1125" spans="1:4" x14ac:dyDescent="0.3">
      <c r="A1125" t="s">
        <v>446</v>
      </c>
      <c r="B1125">
        <v>4.0598063786682376E-2</v>
      </c>
      <c r="C1125" t="s">
        <v>2051</v>
      </c>
      <c r="D1125" t="s">
        <v>2174</v>
      </c>
    </row>
    <row r="1126" spans="1:4" x14ac:dyDescent="0.3">
      <c r="A1126" t="s">
        <v>1632</v>
      </c>
      <c r="B1126">
        <v>11.063460790161059</v>
      </c>
      <c r="C1126" t="s">
        <v>2051</v>
      </c>
      <c r="D1126" t="s">
        <v>2174</v>
      </c>
    </row>
    <row r="1127" spans="1:4" x14ac:dyDescent="0.3">
      <c r="A1127" t="s">
        <v>1626</v>
      </c>
      <c r="B1127">
        <v>9.0097422748211198</v>
      </c>
      <c r="C1127" t="s">
        <v>2051</v>
      </c>
      <c r="D1127" t="s">
        <v>2174</v>
      </c>
    </row>
    <row r="1128" spans="1:4" x14ac:dyDescent="0.3">
      <c r="A1128" t="s">
        <v>1627</v>
      </c>
      <c r="B1128">
        <v>3.7646719755045757</v>
      </c>
      <c r="C1128" t="s">
        <v>2051</v>
      </c>
      <c r="D1128" t="s">
        <v>2174</v>
      </c>
    </row>
    <row r="1129" spans="1:4" x14ac:dyDescent="0.3">
      <c r="A1129" t="s">
        <v>1625</v>
      </c>
      <c r="B1129">
        <v>-1.4138237660730051</v>
      </c>
      <c r="C1129" t="s">
        <v>2051</v>
      </c>
      <c r="D1129" t="s">
        <v>2174</v>
      </c>
    </row>
    <row r="1130" spans="1:4" x14ac:dyDescent="0.3">
      <c r="A1130" t="s">
        <v>1623</v>
      </c>
      <c r="B1130">
        <v>-0.2971296940916287</v>
      </c>
      <c r="C1130" t="s">
        <v>2051</v>
      </c>
      <c r="D1130" t="s">
        <v>2174</v>
      </c>
    </row>
    <row r="1131" spans="1:4" x14ac:dyDescent="0.3">
      <c r="A1131" t="s">
        <v>1633</v>
      </c>
      <c r="B1131">
        <v>315.43656951002441</v>
      </c>
      <c r="C1131" t="s">
        <v>2051</v>
      </c>
      <c r="D1131" t="s">
        <v>2174</v>
      </c>
    </row>
    <row r="1132" spans="1:4" x14ac:dyDescent="0.3">
      <c r="A1132" t="s">
        <v>1628</v>
      </c>
      <c r="B1132">
        <v>300.34838630475861</v>
      </c>
      <c r="C1132" t="s">
        <v>2051</v>
      </c>
      <c r="D1132" t="s">
        <v>2175</v>
      </c>
    </row>
    <row r="1133" spans="1:4" x14ac:dyDescent="0.3">
      <c r="A1133" t="s">
        <v>17</v>
      </c>
      <c r="B1133">
        <v>16.71703668757138</v>
      </c>
      <c r="C1133" t="s">
        <v>2051</v>
      </c>
      <c r="D1133" t="s">
        <v>2175</v>
      </c>
    </row>
    <row r="1134" spans="1:4" x14ac:dyDescent="0.3">
      <c r="A1134" t="s">
        <v>209</v>
      </c>
      <c r="B1134">
        <v>283.6848178488583</v>
      </c>
      <c r="C1134" t="s">
        <v>2051</v>
      </c>
      <c r="D1134" t="s">
        <v>2175</v>
      </c>
    </row>
    <row r="1135" spans="1:4" x14ac:dyDescent="0.3">
      <c r="A1135" t="s">
        <v>446</v>
      </c>
      <c r="B1135">
        <v>4.0598063786682376E-2</v>
      </c>
      <c r="C1135" t="s">
        <v>2051</v>
      </c>
      <c r="D1135" t="s">
        <v>2175</v>
      </c>
    </row>
    <row r="1136" spans="1:4" x14ac:dyDescent="0.3">
      <c r="A1136" t="s">
        <v>1632</v>
      </c>
      <c r="B1136">
        <v>11.063460790161059</v>
      </c>
      <c r="C1136" t="s">
        <v>2051</v>
      </c>
      <c r="D1136" t="s">
        <v>2175</v>
      </c>
    </row>
    <row r="1137" spans="1:4" x14ac:dyDescent="0.3">
      <c r="A1137" t="s">
        <v>1626</v>
      </c>
      <c r="B1137">
        <v>9.0097422748211198</v>
      </c>
      <c r="C1137" t="s">
        <v>2051</v>
      </c>
      <c r="D1137" t="s">
        <v>2175</v>
      </c>
    </row>
    <row r="1138" spans="1:4" x14ac:dyDescent="0.3">
      <c r="A1138" t="s">
        <v>1627</v>
      </c>
      <c r="B1138">
        <v>3.7646719755045757</v>
      </c>
      <c r="C1138" t="s">
        <v>2051</v>
      </c>
      <c r="D1138" t="s">
        <v>2175</v>
      </c>
    </row>
    <row r="1139" spans="1:4" x14ac:dyDescent="0.3">
      <c r="A1139" t="s">
        <v>1625</v>
      </c>
      <c r="B1139">
        <v>-1.4138237660730051</v>
      </c>
      <c r="C1139" t="s">
        <v>2051</v>
      </c>
      <c r="D1139" t="s">
        <v>2175</v>
      </c>
    </row>
    <row r="1140" spans="1:4" x14ac:dyDescent="0.3">
      <c r="A1140" t="s">
        <v>1623</v>
      </c>
      <c r="B1140">
        <v>-0.2971296940916287</v>
      </c>
      <c r="C1140" t="s">
        <v>2051</v>
      </c>
      <c r="D1140" t="s">
        <v>2175</v>
      </c>
    </row>
    <row r="1141" spans="1:4" x14ac:dyDescent="0.3">
      <c r="A1141" t="s">
        <v>1633</v>
      </c>
      <c r="B1141">
        <v>311.41184709491966</v>
      </c>
      <c r="C1141" t="s">
        <v>2051</v>
      </c>
      <c r="D1141" t="s">
        <v>2175</v>
      </c>
    </row>
    <row r="1142" spans="1:4" x14ac:dyDescent="0.3">
      <c r="A1142" t="s">
        <v>1628</v>
      </c>
      <c r="B1142">
        <v>297.85486163375174</v>
      </c>
      <c r="C1142" t="s">
        <v>2051</v>
      </c>
      <c r="D1142" t="s">
        <v>2176</v>
      </c>
    </row>
    <row r="1143" spans="1:4" x14ac:dyDescent="0.3">
      <c r="A1143" t="s">
        <v>17</v>
      </c>
      <c r="B1143">
        <v>16.71703668757138</v>
      </c>
      <c r="C1143" t="s">
        <v>2051</v>
      </c>
      <c r="D1143" t="s">
        <v>2176</v>
      </c>
    </row>
    <row r="1144" spans="1:4" x14ac:dyDescent="0.3">
      <c r="A1144" t="s">
        <v>209</v>
      </c>
      <c r="B1144">
        <v>281.19129317785143</v>
      </c>
      <c r="C1144" t="s">
        <v>2051</v>
      </c>
      <c r="D1144" t="s">
        <v>2176</v>
      </c>
    </row>
    <row r="1145" spans="1:4" x14ac:dyDescent="0.3">
      <c r="A1145" t="s">
        <v>446</v>
      </c>
      <c r="B1145">
        <v>4.0598063786682376E-2</v>
      </c>
      <c r="C1145" t="s">
        <v>2051</v>
      </c>
      <c r="D1145" t="s">
        <v>2176</v>
      </c>
    </row>
    <row r="1146" spans="1:4" x14ac:dyDescent="0.3">
      <c r="A1146" t="s">
        <v>1632</v>
      </c>
      <c r="B1146">
        <v>11.063460790161059</v>
      </c>
      <c r="C1146" t="s">
        <v>2051</v>
      </c>
      <c r="D1146" t="s">
        <v>2176</v>
      </c>
    </row>
    <row r="1147" spans="1:4" x14ac:dyDescent="0.3">
      <c r="A1147" t="s">
        <v>1626</v>
      </c>
      <c r="B1147">
        <v>9.0097422748211198</v>
      </c>
      <c r="C1147" t="s">
        <v>2051</v>
      </c>
      <c r="D1147" t="s">
        <v>2176</v>
      </c>
    </row>
    <row r="1148" spans="1:4" x14ac:dyDescent="0.3">
      <c r="A1148" t="s">
        <v>1627</v>
      </c>
      <c r="B1148">
        <v>3.7646719755045757</v>
      </c>
      <c r="C1148" t="s">
        <v>2051</v>
      </c>
      <c r="D1148" t="s">
        <v>2176</v>
      </c>
    </row>
    <row r="1149" spans="1:4" x14ac:dyDescent="0.3">
      <c r="A1149" t="s">
        <v>1625</v>
      </c>
      <c r="B1149">
        <v>-1.4138237660730051</v>
      </c>
      <c r="C1149" t="s">
        <v>2051</v>
      </c>
      <c r="D1149" t="s">
        <v>2176</v>
      </c>
    </row>
    <row r="1150" spans="1:4" x14ac:dyDescent="0.3">
      <c r="A1150" t="s">
        <v>1623</v>
      </c>
      <c r="B1150">
        <v>-0.2971296940916287</v>
      </c>
      <c r="C1150" t="s">
        <v>2051</v>
      </c>
      <c r="D1150" t="s">
        <v>2176</v>
      </c>
    </row>
    <row r="1151" spans="1:4" x14ac:dyDescent="0.3">
      <c r="A1151" t="s">
        <v>1633</v>
      </c>
      <c r="B1151">
        <v>308.9183224239128</v>
      </c>
      <c r="C1151" t="s">
        <v>2051</v>
      </c>
      <c r="D1151" t="s">
        <v>2176</v>
      </c>
    </row>
    <row r="1152" spans="1:4" x14ac:dyDescent="0.3">
      <c r="A1152" t="s">
        <v>1628</v>
      </c>
      <c r="B1152">
        <v>297.96482306127996</v>
      </c>
      <c r="C1152" t="s">
        <v>2051</v>
      </c>
      <c r="D1152" t="s">
        <v>2177</v>
      </c>
    </row>
    <row r="1153" spans="1:4" x14ac:dyDescent="0.3">
      <c r="A1153" t="s">
        <v>17</v>
      </c>
      <c r="B1153">
        <v>16.71703668757138</v>
      </c>
      <c r="C1153" t="s">
        <v>2051</v>
      </c>
      <c r="D1153" t="s">
        <v>2177</v>
      </c>
    </row>
    <row r="1154" spans="1:4" x14ac:dyDescent="0.3">
      <c r="A1154" t="s">
        <v>209</v>
      </c>
      <c r="B1154">
        <v>281.30125460537965</v>
      </c>
      <c r="C1154" t="s">
        <v>2051</v>
      </c>
      <c r="D1154" t="s">
        <v>2177</v>
      </c>
    </row>
    <row r="1155" spans="1:4" x14ac:dyDescent="0.3">
      <c r="A1155" t="s">
        <v>446</v>
      </c>
      <c r="B1155">
        <v>4.0598063786682376E-2</v>
      </c>
      <c r="C1155" t="s">
        <v>2051</v>
      </c>
      <c r="D1155" t="s">
        <v>2177</v>
      </c>
    </row>
    <row r="1156" spans="1:4" x14ac:dyDescent="0.3">
      <c r="A1156" t="s">
        <v>1632</v>
      </c>
      <c r="B1156">
        <v>11.063460790161059</v>
      </c>
      <c r="C1156" t="s">
        <v>2051</v>
      </c>
      <c r="D1156" t="s">
        <v>2177</v>
      </c>
    </row>
    <row r="1157" spans="1:4" x14ac:dyDescent="0.3">
      <c r="A1157" t="s">
        <v>1626</v>
      </c>
      <c r="B1157">
        <v>9.0097422748211198</v>
      </c>
      <c r="C1157" t="s">
        <v>2051</v>
      </c>
      <c r="D1157" t="s">
        <v>2177</v>
      </c>
    </row>
    <row r="1158" spans="1:4" x14ac:dyDescent="0.3">
      <c r="A1158" t="s">
        <v>1627</v>
      </c>
      <c r="B1158">
        <v>3.7646719755045757</v>
      </c>
      <c r="C1158" t="s">
        <v>2051</v>
      </c>
      <c r="D1158" t="s">
        <v>2177</v>
      </c>
    </row>
    <row r="1159" spans="1:4" x14ac:dyDescent="0.3">
      <c r="A1159" t="s">
        <v>1625</v>
      </c>
      <c r="B1159">
        <v>-1.4138237660730051</v>
      </c>
      <c r="C1159" t="s">
        <v>2051</v>
      </c>
      <c r="D1159" t="s">
        <v>2177</v>
      </c>
    </row>
    <row r="1160" spans="1:4" x14ac:dyDescent="0.3">
      <c r="A1160" t="s">
        <v>1623</v>
      </c>
      <c r="B1160">
        <v>-0.2971296940916287</v>
      </c>
      <c r="C1160" t="s">
        <v>2051</v>
      </c>
      <c r="D1160" t="s">
        <v>2177</v>
      </c>
    </row>
    <row r="1161" spans="1:4" x14ac:dyDescent="0.3">
      <c r="A1161" t="s">
        <v>1633</v>
      </c>
      <c r="B1161">
        <v>309.02828385144102</v>
      </c>
      <c r="C1161" t="s">
        <v>2051</v>
      </c>
      <c r="D1161" t="s">
        <v>2177</v>
      </c>
    </row>
    <row r="1162" spans="1:4" x14ac:dyDescent="0.3">
      <c r="A1162" t="s">
        <v>1628</v>
      </c>
      <c r="B1162">
        <v>300.19657938187947</v>
      </c>
      <c r="C1162" t="s">
        <v>2051</v>
      </c>
      <c r="D1162" t="s">
        <v>2178</v>
      </c>
    </row>
    <row r="1163" spans="1:4" x14ac:dyDescent="0.3">
      <c r="A1163" t="s">
        <v>17</v>
      </c>
      <c r="B1163">
        <v>16.71703668757138</v>
      </c>
      <c r="C1163" t="s">
        <v>2051</v>
      </c>
      <c r="D1163" t="s">
        <v>2178</v>
      </c>
    </row>
    <row r="1164" spans="1:4" x14ac:dyDescent="0.3">
      <c r="A1164" t="s">
        <v>209</v>
      </c>
      <c r="B1164">
        <v>283.53301092597917</v>
      </c>
      <c r="C1164" t="s">
        <v>2051</v>
      </c>
      <c r="D1164" t="s">
        <v>2178</v>
      </c>
    </row>
    <row r="1165" spans="1:4" x14ac:dyDescent="0.3">
      <c r="A1165" t="s">
        <v>446</v>
      </c>
      <c r="B1165">
        <v>4.0598063786682376E-2</v>
      </c>
      <c r="C1165" t="s">
        <v>2051</v>
      </c>
      <c r="D1165" t="s">
        <v>2178</v>
      </c>
    </row>
    <row r="1166" spans="1:4" x14ac:dyDescent="0.3">
      <c r="A1166" t="s">
        <v>1632</v>
      </c>
      <c r="B1166">
        <v>11.063460790161059</v>
      </c>
      <c r="C1166" t="s">
        <v>2051</v>
      </c>
      <c r="D1166" t="s">
        <v>2178</v>
      </c>
    </row>
    <row r="1167" spans="1:4" x14ac:dyDescent="0.3">
      <c r="A1167" t="s">
        <v>1626</v>
      </c>
      <c r="B1167">
        <v>9.0097422748211198</v>
      </c>
      <c r="C1167" t="s">
        <v>2051</v>
      </c>
      <c r="D1167" t="s">
        <v>2178</v>
      </c>
    </row>
    <row r="1168" spans="1:4" x14ac:dyDescent="0.3">
      <c r="A1168" t="s">
        <v>1627</v>
      </c>
      <c r="B1168">
        <v>3.7646719755045757</v>
      </c>
      <c r="C1168" t="s">
        <v>2051</v>
      </c>
      <c r="D1168" t="s">
        <v>2178</v>
      </c>
    </row>
    <row r="1169" spans="1:4" x14ac:dyDescent="0.3">
      <c r="A1169" t="s">
        <v>1625</v>
      </c>
      <c r="B1169">
        <v>-1.4138237660730051</v>
      </c>
      <c r="C1169" t="s">
        <v>2051</v>
      </c>
      <c r="D1169" t="s">
        <v>2178</v>
      </c>
    </row>
    <row r="1170" spans="1:4" x14ac:dyDescent="0.3">
      <c r="A1170" t="s">
        <v>1623</v>
      </c>
      <c r="B1170">
        <v>-0.2971296940916287</v>
      </c>
      <c r="C1170" t="s">
        <v>2051</v>
      </c>
      <c r="D1170" t="s">
        <v>2178</v>
      </c>
    </row>
    <row r="1171" spans="1:4" x14ac:dyDescent="0.3">
      <c r="A1171" t="s">
        <v>1633</v>
      </c>
      <c r="B1171">
        <v>311.26004017204053</v>
      </c>
      <c r="C1171" t="s">
        <v>2051</v>
      </c>
      <c r="D1171" t="s">
        <v>2178</v>
      </c>
    </row>
    <row r="1172" spans="1:4" x14ac:dyDescent="0.3">
      <c r="A1172" t="s">
        <v>1628</v>
      </c>
      <c r="B1172">
        <v>301.19939791235572</v>
      </c>
      <c r="C1172" t="s">
        <v>2051</v>
      </c>
      <c r="D1172" t="s">
        <v>2179</v>
      </c>
    </row>
    <row r="1173" spans="1:4" x14ac:dyDescent="0.3">
      <c r="A1173" t="s">
        <v>17</v>
      </c>
      <c r="B1173">
        <v>16.71703668757138</v>
      </c>
      <c r="C1173" t="s">
        <v>2051</v>
      </c>
      <c r="D1173" t="s">
        <v>2179</v>
      </c>
    </row>
    <row r="1174" spans="1:4" x14ac:dyDescent="0.3">
      <c r="A1174" t="s">
        <v>209</v>
      </c>
      <c r="B1174">
        <v>284.53582945645547</v>
      </c>
      <c r="C1174" t="s">
        <v>2051</v>
      </c>
      <c r="D1174" t="s">
        <v>2179</v>
      </c>
    </row>
    <row r="1175" spans="1:4" x14ac:dyDescent="0.3">
      <c r="A1175" t="s">
        <v>446</v>
      </c>
      <c r="B1175">
        <v>4.0598063786682376E-2</v>
      </c>
      <c r="C1175" t="s">
        <v>2051</v>
      </c>
      <c r="D1175" t="s">
        <v>2179</v>
      </c>
    </row>
    <row r="1176" spans="1:4" x14ac:dyDescent="0.3">
      <c r="A1176" t="s">
        <v>1632</v>
      </c>
      <c r="B1176">
        <v>11.063460790161059</v>
      </c>
      <c r="C1176" t="s">
        <v>2051</v>
      </c>
      <c r="D1176" t="s">
        <v>2179</v>
      </c>
    </row>
    <row r="1177" spans="1:4" x14ac:dyDescent="0.3">
      <c r="A1177" t="s">
        <v>1626</v>
      </c>
      <c r="B1177">
        <v>9.0097422748211198</v>
      </c>
      <c r="C1177" t="s">
        <v>2051</v>
      </c>
      <c r="D1177" t="s">
        <v>2179</v>
      </c>
    </row>
    <row r="1178" spans="1:4" x14ac:dyDescent="0.3">
      <c r="A1178" t="s">
        <v>1627</v>
      </c>
      <c r="B1178">
        <v>3.7646719755045757</v>
      </c>
      <c r="C1178" t="s">
        <v>2051</v>
      </c>
      <c r="D1178" t="s">
        <v>2179</v>
      </c>
    </row>
    <row r="1179" spans="1:4" x14ac:dyDescent="0.3">
      <c r="A1179" t="s">
        <v>1625</v>
      </c>
      <c r="B1179">
        <v>-1.4138237660730051</v>
      </c>
      <c r="C1179" t="s">
        <v>2051</v>
      </c>
      <c r="D1179" t="s">
        <v>2179</v>
      </c>
    </row>
    <row r="1180" spans="1:4" x14ac:dyDescent="0.3">
      <c r="A1180" t="s">
        <v>1623</v>
      </c>
      <c r="B1180">
        <v>-0.2971296940916287</v>
      </c>
      <c r="C1180" t="s">
        <v>2051</v>
      </c>
      <c r="D1180" t="s">
        <v>2179</v>
      </c>
    </row>
    <row r="1181" spans="1:4" x14ac:dyDescent="0.3">
      <c r="A1181" t="s">
        <v>1633</v>
      </c>
      <c r="B1181">
        <v>312.26285870251678</v>
      </c>
      <c r="C1181" t="s">
        <v>2051</v>
      </c>
      <c r="D1181" t="s">
        <v>2179</v>
      </c>
    </row>
    <row r="1182" spans="1:4" x14ac:dyDescent="0.3">
      <c r="A1182" t="s">
        <v>1628</v>
      </c>
      <c r="B1182">
        <v>295.3850392514405</v>
      </c>
      <c r="C1182" t="s">
        <v>2051</v>
      </c>
      <c r="D1182" t="s">
        <v>2180</v>
      </c>
    </row>
    <row r="1183" spans="1:4" x14ac:dyDescent="0.3">
      <c r="A1183" t="s">
        <v>17</v>
      </c>
      <c r="B1183">
        <v>16.71703668757138</v>
      </c>
      <c r="C1183" t="s">
        <v>2051</v>
      </c>
      <c r="D1183" t="s">
        <v>2180</v>
      </c>
    </row>
    <row r="1184" spans="1:4" x14ac:dyDescent="0.3">
      <c r="A1184" t="s">
        <v>209</v>
      </c>
      <c r="B1184">
        <v>278.7214707955402</v>
      </c>
      <c r="C1184" t="s">
        <v>2051</v>
      </c>
      <c r="D1184" t="s">
        <v>2180</v>
      </c>
    </row>
    <row r="1185" spans="1:4" x14ac:dyDescent="0.3">
      <c r="A1185" t="s">
        <v>446</v>
      </c>
      <c r="B1185">
        <v>4.0598063786682376E-2</v>
      </c>
      <c r="C1185" t="s">
        <v>2051</v>
      </c>
      <c r="D1185" t="s">
        <v>2180</v>
      </c>
    </row>
    <row r="1186" spans="1:4" x14ac:dyDescent="0.3">
      <c r="A1186" t="s">
        <v>1632</v>
      </c>
      <c r="B1186">
        <v>11.063460790161059</v>
      </c>
      <c r="C1186" t="s">
        <v>2051</v>
      </c>
      <c r="D1186" t="s">
        <v>2180</v>
      </c>
    </row>
    <row r="1187" spans="1:4" x14ac:dyDescent="0.3">
      <c r="A1187" t="s">
        <v>1626</v>
      </c>
      <c r="B1187">
        <v>9.0097422748211198</v>
      </c>
      <c r="C1187" t="s">
        <v>2051</v>
      </c>
      <c r="D1187" t="s">
        <v>2180</v>
      </c>
    </row>
    <row r="1188" spans="1:4" x14ac:dyDescent="0.3">
      <c r="A1188" t="s">
        <v>1627</v>
      </c>
      <c r="B1188">
        <v>3.7646719755045757</v>
      </c>
      <c r="C1188" t="s">
        <v>2051</v>
      </c>
      <c r="D1188" t="s">
        <v>2180</v>
      </c>
    </row>
    <row r="1189" spans="1:4" x14ac:dyDescent="0.3">
      <c r="A1189" t="s">
        <v>1625</v>
      </c>
      <c r="B1189">
        <v>-1.4138237660730051</v>
      </c>
      <c r="C1189" t="s">
        <v>2051</v>
      </c>
      <c r="D1189" t="s">
        <v>2180</v>
      </c>
    </row>
    <row r="1190" spans="1:4" x14ac:dyDescent="0.3">
      <c r="A1190" t="s">
        <v>1623</v>
      </c>
      <c r="B1190">
        <v>-0.2971296940916287</v>
      </c>
      <c r="C1190" t="s">
        <v>2051</v>
      </c>
      <c r="D1190" t="s">
        <v>2180</v>
      </c>
    </row>
    <row r="1191" spans="1:4" x14ac:dyDescent="0.3">
      <c r="A1191" t="s">
        <v>1633</v>
      </c>
      <c r="B1191">
        <v>306.44850004160156</v>
      </c>
      <c r="C1191" t="s">
        <v>2051</v>
      </c>
      <c r="D1191" t="s">
        <v>2180</v>
      </c>
    </row>
    <row r="1192" spans="1:4" x14ac:dyDescent="0.3">
      <c r="A1192" t="s">
        <v>1628</v>
      </c>
      <c r="B1192">
        <v>304.96590592179621</v>
      </c>
      <c r="C1192" t="s">
        <v>2051</v>
      </c>
      <c r="D1192" t="s">
        <v>2181</v>
      </c>
    </row>
    <row r="1193" spans="1:4" x14ac:dyDescent="0.3">
      <c r="A1193" t="s">
        <v>17</v>
      </c>
      <c r="B1193">
        <v>16.71703668757138</v>
      </c>
      <c r="C1193" t="s">
        <v>2051</v>
      </c>
      <c r="D1193" t="s">
        <v>2181</v>
      </c>
    </row>
    <row r="1194" spans="1:4" x14ac:dyDescent="0.3">
      <c r="A1194" t="s">
        <v>209</v>
      </c>
      <c r="B1194">
        <v>288.3023374658959</v>
      </c>
      <c r="C1194" t="s">
        <v>2051</v>
      </c>
      <c r="D1194" t="s">
        <v>2181</v>
      </c>
    </row>
    <row r="1195" spans="1:4" x14ac:dyDescent="0.3">
      <c r="A1195" t="s">
        <v>446</v>
      </c>
      <c r="B1195">
        <v>4.0598063786682376E-2</v>
      </c>
      <c r="C1195" t="s">
        <v>2051</v>
      </c>
      <c r="D1195" t="s">
        <v>2181</v>
      </c>
    </row>
    <row r="1196" spans="1:4" x14ac:dyDescent="0.3">
      <c r="A1196" t="s">
        <v>1632</v>
      </c>
      <c r="B1196">
        <v>11.063460790161059</v>
      </c>
      <c r="C1196" t="s">
        <v>2051</v>
      </c>
      <c r="D1196" t="s">
        <v>2181</v>
      </c>
    </row>
    <row r="1197" spans="1:4" x14ac:dyDescent="0.3">
      <c r="A1197" t="s">
        <v>1626</v>
      </c>
      <c r="B1197">
        <v>9.0097422748211198</v>
      </c>
      <c r="C1197" t="s">
        <v>2051</v>
      </c>
      <c r="D1197" t="s">
        <v>2181</v>
      </c>
    </row>
    <row r="1198" spans="1:4" x14ac:dyDescent="0.3">
      <c r="A1198" t="s">
        <v>1627</v>
      </c>
      <c r="B1198">
        <v>3.7646719755045757</v>
      </c>
      <c r="C1198" t="s">
        <v>2051</v>
      </c>
      <c r="D1198" t="s">
        <v>2181</v>
      </c>
    </row>
    <row r="1199" spans="1:4" x14ac:dyDescent="0.3">
      <c r="A1199" t="s">
        <v>1625</v>
      </c>
      <c r="B1199">
        <v>-1.4138237660730051</v>
      </c>
      <c r="C1199" t="s">
        <v>2051</v>
      </c>
      <c r="D1199" t="s">
        <v>2181</v>
      </c>
    </row>
    <row r="1200" spans="1:4" x14ac:dyDescent="0.3">
      <c r="A1200" t="s">
        <v>1623</v>
      </c>
      <c r="B1200">
        <v>-0.2971296940916287</v>
      </c>
      <c r="C1200" t="s">
        <v>2051</v>
      </c>
      <c r="D1200" t="s">
        <v>2181</v>
      </c>
    </row>
    <row r="1201" spans="1:4" x14ac:dyDescent="0.3">
      <c r="A1201" t="s">
        <v>1633</v>
      </c>
      <c r="B1201">
        <v>316.02936671195727</v>
      </c>
      <c r="C1201" t="s">
        <v>2051</v>
      </c>
      <c r="D1201" t="s">
        <v>2181</v>
      </c>
    </row>
    <row r="1202" spans="1:4" x14ac:dyDescent="0.3">
      <c r="A1202" t="s">
        <v>1628</v>
      </c>
      <c r="B1202">
        <v>298.73352717236423</v>
      </c>
      <c r="C1202" t="s">
        <v>2051</v>
      </c>
      <c r="D1202" t="s">
        <v>2182</v>
      </c>
    </row>
    <row r="1203" spans="1:4" x14ac:dyDescent="0.3">
      <c r="A1203" t="s">
        <v>17</v>
      </c>
      <c r="B1203">
        <v>16.71703668757138</v>
      </c>
      <c r="C1203" t="s">
        <v>2051</v>
      </c>
      <c r="D1203" t="s">
        <v>2182</v>
      </c>
    </row>
    <row r="1204" spans="1:4" x14ac:dyDescent="0.3">
      <c r="A1204" t="s">
        <v>209</v>
      </c>
      <c r="B1204">
        <v>282.06995871646399</v>
      </c>
      <c r="C1204" t="s">
        <v>2051</v>
      </c>
      <c r="D1204" t="s">
        <v>2182</v>
      </c>
    </row>
    <row r="1205" spans="1:4" x14ac:dyDescent="0.3">
      <c r="A1205" t="s">
        <v>446</v>
      </c>
      <c r="B1205">
        <v>4.0598063786682376E-2</v>
      </c>
      <c r="C1205" t="s">
        <v>2051</v>
      </c>
      <c r="D1205" t="s">
        <v>2182</v>
      </c>
    </row>
    <row r="1206" spans="1:4" x14ac:dyDescent="0.3">
      <c r="A1206" t="s">
        <v>1632</v>
      </c>
      <c r="B1206">
        <v>11.063460790161059</v>
      </c>
      <c r="C1206" t="s">
        <v>2051</v>
      </c>
      <c r="D1206" t="s">
        <v>2182</v>
      </c>
    </row>
    <row r="1207" spans="1:4" x14ac:dyDescent="0.3">
      <c r="A1207" t="s">
        <v>1626</v>
      </c>
      <c r="B1207">
        <v>9.0097422748211198</v>
      </c>
      <c r="C1207" t="s">
        <v>2051</v>
      </c>
      <c r="D1207" t="s">
        <v>2182</v>
      </c>
    </row>
    <row r="1208" spans="1:4" x14ac:dyDescent="0.3">
      <c r="A1208" t="s">
        <v>1627</v>
      </c>
      <c r="B1208">
        <v>3.7646719755045757</v>
      </c>
      <c r="C1208" t="s">
        <v>2051</v>
      </c>
      <c r="D1208" t="s">
        <v>2182</v>
      </c>
    </row>
    <row r="1209" spans="1:4" x14ac:dyDescent="0.3">
      <c r="A1209" t="s">
        <v>1625</v>
      </c>
      <c r="B1209">
        <v>-1.4138237660730051</v>
      </c>
      <c r="C1209" t="s">
        <v>2051</v>
      </c>
      <c r="D1209" t="s">
        <v>2182</v>
      </c>
    </row>
    <row r="1210" spans="1:4" x14ac:dyDescent="0.3">
      <c r="A1210" t="s">
        <v>1623</v>
      </c>
      <c r="B1210">
        <v>-0.2971296940916287</v>
      </c>
      <c r="C1210" t="s">
        <v>2051</v>
      </c>
      <c r="D1210" t="s">
        <v>2182</v>
      </c>
    </row>
    <row r="1211" spans="1:4" x14ac:dyDescent="0.3">
      <c r="A1211" t="s">
        <v>1633</v>
      </c>
      <c r="B1211">
        <v>309.79698796252529</v>
      </c>
      <c r="C1211" t="s">
        <v>2051</v>
      </c>
      <c r="D1211" t="s">
        <v>2182</v>
      </c>
    </row>
    <row r="1212" spans="1:4" x14ac:dyDescent="0.3">
      <c r="A1212" t="s">
        <v>1628</v>
      </c>
      <c r="B1212">
        <v>302.13731909277817</v>
      </c>
      <c r="C1212" t="s">
        <v>2051</v>
      </c>
      <c r="D1212" t="s">
        <v>2183</v>
      </c>
    </row>
    <row r="1213" spans="1:4" x14ac:dyDescent="0.3">
      <c r="A1213" t="s">
        <v>17</v>
      </c>
      <c r="B1213">
        <v>16.71703668757138</v>
      </c>
      <c r="C1213" t="s">
        <v>2051</v>
      </c>
      <c r="D1213" t="s">
        <v>2183</v>
      </c>
    </row>
    <row r="1214" spans="1:4" x14ac:dyDescent="0.3">
      <c r="A1214" t="s">
        <v>209</v>
      </c>
      <c r="B1214">
        <v>285.47375063687787</v>
      </c>
      <c r="C1214" t="s">
        <v>2051</v>
      </c>
      <c r="D1214" t="s">
        <v>2183</v>
      </c>
    </row>
    <row r="1215" spans="1:4" x14ac:dyDescent="0.3">
      <c r="A1215" t="s">
        <v>446</v>
      </c>
      <c r="B1215">
        <v>4.0598063786682376E-2</v>
      </c>
      <c r="C1215" t="s">
        <v>2051</v>
      </c>
      <c r="D1215" t="s">
        <v>2183</v>
      </c>
    </row>
    <row r="1216" spans="1:4" x14ac:dyDescent="0.3">
      <c r="A1216" t="s">
        <v>1632</v>
      </c>
      <c r="B1216">
        <v>11.063460790161059</v>
      </c>
      <c r="C1216" t="s">
        <v>2051</v>
      </c>
      <c r="D1216" t="s">
        <v>2183</v>
      </c>
    </row>
    <row r="1217" spans="1:4" x14ac:dyDescent="0.3">
      <c r="A1217" t="s">
        <v>1626</v>
      </c>
      <c r="B1217">
        <v>9.0097422748211198</v>
      </c>
      <c r="C1217" t="s">
        <v>2051</v>
      </c>
      <c r="D1217" t="s">
        <v>2183</v>
      </c>
    </row>
    <row r="1218" spans="1:4" x14ac:dyDescent="0.3">
      <c r="A1218" t="s">
        <v>1627</v>
      </c>
      <c r="B1218">
        <v>3.7646719755045757</v>
      </c>
      <c r="C1218" t="s">
        <v>2051</v>
      </c>
      <c r="D1218" t="s">
        <v>2183</v>
      </c>
    </row>
    <row r="1219" spans="1:4" x14ac:dyDescent="0.3">
      <c r="A1219" t="s">
        <v>1625</v>
      </c>
      <c r="B1219">
        <v>-1.4138237660730051</v>
      </c>
      <c r="C1219" t="s">
        <v>2051</v>
      </c>
      <c r="D1219" t="s">
        <v>2183</v>
      </c>
    </row>
    <row r="1220" spans="1:4" x14ac:dyDescent="0.3">
      <c r="A1220" t="s">
        <v>1623</v>
      </c>
      <c r="B1220">
        <v>-0.2971296940916287</v>
      </c>
      <c r="C1220" t="s">
        <v>2051</v>
      </c>
      <c r="D1220" t="s">
        <v>2183</v>
      </c>
    </row>
    <row r="1221" spans="1:4" x14ac:dyDescent="0.3">
      <c r="A1221" t="s">
        <v>1633</v>
      </c>
      <c r="B1221">
        <v>313.20077988293923</v>
      </c>
      <c r="C1221" t="s">
        <v>2051</v>
      </c>
      <c r="D1221" t="s">
        <v>2183</v>
      </c>
    </row>
    <row r="1222" spans="1:4" x14ac:dyDescent="0.3">
      <c r="A1222" t="s">
        <v>1628</v>
      </c>
      <c r="B1222">
        <v>301.10977709671329</v>
      </c>
      <c r="C1222" t="s">
        <v>2051</v>
      </c>
      <c r="D1222" t="s">
        <v>2184</v>
      </c>
    </row>
    <row r="1223" spans="1:4" x14ac:dyDescent="0.3">
      <c r="A1223" t="s">
        <v>17</v>
      </c>
      <c r="B1223">
        <v>16.71703668757138</v>
      </c>
      <c r="C1223" t="s">
        <v>2051</v>
      </c>
      <c r="D1223" t="s">
        <v>2184</v>
      </c>
    </row>
    <row r="1224" spans="1:4" x14ac:dyDescent="0.3">
      <c r="A1224" t="s">
        <v>209</v>
      </c>
      <c r="B1224">
        <v>284.44620864081304</v>
      </c>
      <c r="C1224" t="s">
        <v>2051</v>
      </c>
      <c r="D1224" t="s">
        <v>2184</v>
      </c>
    </row>
    <row r="1225" spans="1:4" x14ac:dyDescent="0.3">
      <c r="A1225" t="s">
        <v>446</v>
      </c>
      <c r="B1225">
        <v>4.0598063786682376E-2</v>
      </c>
      <c r="C1225" t="s">
        <v>2051</v>
      </c>
      <c r="D1225" t="s">
        <v>2184</v>
      </c>
    </row>
    <row r="1226" spans="1:4" x14ac:dyDescent="0.3">
      <c r="A1226" t="s">
        <v>1632</v>
      </c>
      <c r="B1226">
        <v>11.063460790161059</v>
      </c>
      <c r="C1226" t="s">
        <v>2051</v>
      </c>
      <c r="D1226" t="s">
        <v>2184</v>
      </c>
    </row>
    <row r="1227" spans="1:4" x14ac:dyDescent="0.3">
      <c r="A1227" t="s">
        <v>1626</v>
      </c>
      <c r="B1227">
        <v>9.0097422748211198</v>
      </c>
      <c r="C1227" t="s">
        <v>2051</v>
      </c>
      <c r="D1227" t="s">
        <v>2184</v>
      </c>
    </row>
    <row r="1228" spans="1:4" x14ac:dyDescent="0.3">
      <c r="A1228" t="s">
        <v>1627</v>
      </c>
      <c r="B1228">
        <v>3.7646719755045757</v>
      </c>
      <c r="C1228" t="s">
        <v>2051</v>
      </c>
      <c r="D1228" t="s">
        <v>2184</v>
      </c>
    </row>
    <row r="1229" spans="1:4" x14ac:dyDescent="0.3">
      <c r="A1229" t="s">
        <v>1625</v>
      </c>
      <c r="B1229">
        <v>-1.4138237660730051</v>
      </c>
      <c r="C1229" t="s">
        <v>2051</v>
      </c>
      <c r="D1229" t="s">
        <v>2184</v>
      </c>
    </row>
    <row r="1230" spans="1:4" x14ac:dyDescent="0.3">
      <c r="A1230" t="s">
        <v>1623</v>
      </c>
      <c r="B1230">
        <v>-0.2971296940916287</v>
      </c>
      <c r="C1230" t="s">
        <v>2051</v>
      </c>
      <c r="D1230" t="s">
        <v>2184</v>
      </c>
    </row>
    <row r="1231" spans="1:4" x14ac:dyDescent="0.3">
      <c r="A1231" t="s">
        <v>1633</v>
      </c>
      <c r="B1231">
        <v>312.17323788687435</v>
      </c>
      <c r="C1231" t="s">
        <v>2051</v>
      </c>
      <c r="D1231" t="s">
        <v>2184</v>
      </c>
    </row>
    <row r="1232" spans="1:4" x14ac:dyDescent="0.3">
      <c r="A1232" t="s">
        <v>1628</v>
      </c>
      <c r="B1232">
        <v>301.23528605370177</v>
      </c>
      <c r="C1232" t="s">
        <v>2051</v>
      </c>
      <c r="D1232" t="s">
        <v>2185</v>
      </c>
    </row>
    <row r="1233" spans="1:4" x14ac:dyDescent="0.3">
      <c r="A1233" t="s">
        <v>17</v>
      </c>
      <c r="B1233">
        <v>16.71703668757138</v>
      </c>
      <c r="C1233" t="s">
        <v>2051</v>
      </c>
      <c r="D1233" t="s">
        <v>2185</v>
      </c>
    </row>
    <row r="1234" spans="1:4" x14ac:dyDescent="0.3">
      <c r="A1234" t="s">
        <v>209</v>
      </c>
      <c r="B1234">
        <v>284.57171759780152</v>
      </c>
      <c r="C1234" t="s">
        <v>2051</v>
      </c>
      <c r="D1234" t="s">
        <v>2185</v>
      </c>
    </row>
    <row r="1235" spans="1:4" x14ac:dyDescent="0.3">
      <c r="A1235" t="s">
        <v>446</v>
      </c>
      <c r="B1235">
        <v>4.0598063786682376E-2</v>
      </c>
      <c r="C1235" t="s">
        <v>2051</v>
      </c>
      <c r="D1235" t="s">
        <v>2185</v>
      </c>
    </row>
    <row r="1236" spans="1:4" x14ac:dyDescent="0.3">
      <c r="A1236" t="s">
        <v>1632</v>
      </c>
      <c r="B1236">
        <v>11.063460790161059</v>
      </c>
      <c r="C1236" t="s">
        <v>2051</v>
      </c>
      <c r="D1236" t="s">
        <v>2185</v>
      </c>
    </row>
    <row r="1237" spans="1:4" x14ac:dyDescent="0.3">
      <c r="A1237" t="s">
        <v>1626</v>
      </c>
      <c r="B1237">
        <v>9.0097422748211198</v>
      </c>
      <c r="C1237" t="s">
        <v>2051</v>
      </c>
      <c r="D1237" t="s">
        <v>2185</v>
      </c>
    </row>
    <row r="1238" spans="1:4" x14ac:dyDescent="0.3">
      <c r="A1238" t="s">
        <v>1627</v>
      </c>
      <c r="B1238">
        <v>3.7646719755045757</v>
      </c>
      <c r="C1238" t="s">
        <v>2051</v>
      </c>
      <c r="D1238" t="s">
        <v>2185</v>
      </c>
    </row>
    <row r="1239" spans="1:4" x14ac:dyDescent="0.3">
      <c r="A1239" t="s">
        <v>1625</v>
      </c>
      <c r="B1239">
        <v>-1.4138237660730051</v>
      </c>
      <c r="C1239" t="s">
        <v>2051</v>
      </c>
      <c r="D1239" t="s">
        <v>2185</v>
      </c>
    </row>
    <row r="1240" spans="1:4" x14ac:dyDescent="0.3">
      <c r="A1240" t="s">
        <v>1623</v>
      </c>
      <c r="B1240">
        <v>-0.2971296940916287</v>
      </c>
      <c r="C1240" t="s">
        <v>2051</v>
      </c>
      <c r="D1240" t="s">
        <v>2185</v>
      </c>
    </row>
    <row r="1241" spans="1:4" x14ac:dyDescent="0.3">
      <c r="A1241" t="s">
        <v>1633</v>
      </c>
      <c r="B1241">
        <v>312.29874684386283</v>
      </c>
      <c r="C1241" t="s">
        <v>2051</v>
      </c>
      <c r="D1241" t="s">
        <v>2185</v>
      </c>
    </row>
    <row r="1242" spans="1:4" x14ac:dyDescent="0.3">
      <c r="A1242" t="s">
        <v>1628</v>
      </c>
      <c r="B1242">
        <v>300.41747019492311</v>
      </c>
      <c r="C1242" t="s">
        <v>2051</v>
      </c>
      <c r="D1242" t="s">
        <v>2186</v>
      </c>
    </row>
    <row r="1243" spans="1:4" x14ac:dyDescent="0.3">
      <c r="A1243" t="s">
        <v>17</v>
      </c>
      <c r="B1243">
        <v>16.71703668757138</v>
      </c>
      <c r="C1243" t="s">
        <v>2051</v>
      </c>
      <c r="D1243" t="s">
        <v>2186</v>
      </c>
    </row>
    <row r="1244" spans="1:4" x14ac:dyDescent="0.3">
      <c r="A1244" t="s">
        <v>209</v>
      </c>
      <c r="B1244">
        <v>283.75390173902281</v>
      </c>
      <c r="C1244" t="s">
        <v>2051</v>
      </c>
      <c r="D1244" t="s">
        <v>2186</v>
      </c>
    </row>
    <row r="1245" spans="1:4" x14ac:dyDescent="0.3">
      <c r="A1245" t="s">
        <v>446</v>
      </c>
      <c r="B1245">
        <v>4.0598063786682376E-2</v>
      </c>
      <c r="C1245" t="s">
        <v>2051</v>
      </c>
      <c r="D1245" t="s">
        <v>2186</v>
      </c>
    </row>
    <row r="1246" spans="1:4" x14ac:dyDescent="0.3">
      <c r="A1246" t="s">
        <v>1632</v>
      </c>
      <c r="B1246">
        <v>11.063460790161059</v>
      </c>
      <c r="C1246" t="s">
        <v>2051</v>
      </c>
      <c r="D1246" t="s">
        <v>2186</v>
      </c>
    </row>
    <row r="1247" spans="1:4" x14ac:dyDescent="0.3">
      <c r="A1247" t="s">
        <v>1626</v>
      </c>
      <c r="B1247">
        <v>9.0097422748211198</v>
      </c>
      <c r="C1247" t="s">
        <v>2051</v>
      </c>
      <c r="D1247" t="s">
        <v>2186</v>
      </c>
    </row>
    <row r="1248" spans="1:4" x14ac:dyDescent="0.3">
      <c r="A1248" t="s">
        <v>1627</v>
      </c>
      <c r="B1248">
        <v>3.7646719755045757</v>
      </c>
      <c r="C1248" t="s">
        <v>2051</v>
      </c>
      <c r="D1248" t="s">
        <v>2186</v>
      </c>
    </row>
    <row r="1249" spans="1:4" x14ac:dyDescent="0.3">
      <c r="A1249" t="s">
        <v>1625</v>
      </c>
      <c r="B1249">
        <v>-1.4138237660730051</v>
      </c>
      <c r="C1249" t="s">
        <v>2051</v>
      </c>
      <c r="D1249" t="s">
        <v>2186</v>
      </c>
    </row>
    <row r="1250" spans="1:4" x14ac:dyDescent="0.3">
      <c r="A1250" t="s">
        <v>1623</v>
      </c>
      <c r="B1250">
        <v>-0.2971296940916287</v>
      </c>
      <c r="C1250" t="s">
        <v>2051</v>
      </c>
      <c r="D1250" t="s">
        <v>2186</v>
      </c>
    </row>
    <row r="1251" spans="1:4" x14ac:dyDescent="0.3">
      <c r="A1251" t="s">
        <v>1633</v>
      </c>
      <c r="B1251">
        <v>311.48093098508417</v>
      </c>
      <c r="C1251" t="s">
        <v>2051</v>
      </c>
      <c r="D1251" t="s">
        <v>2186</v>
      </c>
    </row>
    <row r="1252" spans="1:4" x14ac:dyDescent="0.3">
      <c r="A1252" t="s">
        <v>1628</v>
      </c>
      <c r="B1252">
        <v>300.50802084862653</v>
      </c>
      <c r="C1252" t="s">
        <v>2051</v>
      </c>
      <c r="D1252" t="s">
        <v>2187</v>
      </c>
    </row>
    <row r="1253" spans="1:4" x14ac:dyDescent="0.3">
      <c r="A1253" t="s">
        <v>17</v>
      </c>
      <c r="B1253">
        <v>16.71703668757138</v>
      </c>
      <c r="C1253" t="s">
        <v>2051</v>
      </c>
      <c r="D1253" t="s">
        <v>2187</v>
      </c>
    </row>
    <row r="1254" spans="1:4" x14ac:dyDescent="0.3">
      <c r="A1254" t="s">
        <v>209</v>
      </c>
      <c r="B1254">
        <v>283.84445239272628</v>
      </c>
      <c r="C1254" t="s">
        <v>2051</v>
      </c>
      <c r="D1254" t="s">
        <v>2187</v>
      </c>
    </row>
    <row r="1255" spans="1:4" x14ac:dyDescent="0.3">
      <c r="A1255" t="s">
        <v>446</v>
      </c>
      <c r="B1255">
        <v>4.0598063786682376E-2</v>
      </c>
      <c r="C1255" t="s">
        <v>2051</v>
      </c>
      <c r="D1255" t="s">
        <v>2187</v>
      </c>
    </row>
    <row r="1256" spans="1:4" x14ac:dyDescent="0.3">
      <c r="A1256" t="s">
        <v>1632</v>
      </c>
      <c r="B1256">
        <v>11.063460790161059</v>
      </c>
      <c r="C1256" t="s">
        <v>2051</v>
      </c>
      <c r="D1256" t="s">
        <v>2187</v>
      </c>
    </row>
    <row r="1257" spans="1:4" x14ac:dyDescent="0.3">
      <c r="A1257" t="s">
        <v>1626</v>
      </c>
      <c r="B1257">
        <v>9.0097422748211198</v>
      </c>
      <c r="C1257" t="s">
        <v>2051</v>
      </c>
      <c r="D1257" t="s">
        <v>2187</v>
      </c>
    </row>
    <row r="1258" spans="1:4" x14ac:dyDescent="0.3">
      <c r="A1258" t="s">
        <v>1627</v>
      </c>
      <c r="B1258">
        <v>3.7646719755045757</v>
      </c>
      <c r="C1258" t="s">
        <v>2051</v>
      </c>
      <c r="D1258" t="s">
        <v>2187</v>
      </c>
    </row>
    <row r="1259" spans="1:4" x14ac:dyDescent="0.3">
      <c r="A1259" t="s">
        <v>1625</v>
      </c>
      <c r="B1259">
        <v>-1.4138237660730051</v>
      </c>
      <c r="C1259" t="s">
        <v>2051</v>
      </c>
      <c r="D1259" t="s">
        <v>2187</v>
      </c>
    </row>
    <row r="1260" spans="1:4" x14ac:dyDescent="0.3">
      <c r="A1260" t="s">
        <v>1623</v>
      </c>
      <c r="B1260">
        <v>-0.2971296940916287</v>
      </c>
      <c r="C1260" t="s">
        <v>2051</v>
      </c>
      <c r="D1260" t="s">
        <v>2187</v>
      </c>
    </row>
    <row r="1261" spans="1:4" x14ac:dyDescent="0.3">
      <c r="A1261" t="s">
        <v>1633</v>
      </c>
      <c r="B1261">
        <v>311.57148163878759</v>
      </c>
      <c r="C1261" t="s">
        <v>2051</v>
      </c>
      <c r="D1261" t="s">
        <v>2187</v>
      </c>
    </row>
    <row r="1262" spans="1:4" x14ac:dyDescent="0.3">
      <c r="A1262" t="s">
        <v>1628</v>
      </c>
      <c r="B1262">
        <v>299.8043337387013</v>
      </c>
      <c r="C1262" t="s">
        <v>2051</v>
      </c>
      <c r="D1262" t="s">
        <v>2188</v>
      </c>
    </row>
    <row r="1263" spans="1:4" x14ac:dyDescent="0.3">
      <c r="A1263" t="s">
        <v>17</v>
      </c>
      <c r="B1263">
        <v>16.71703668757138</v>
      </c>
      <c r="C1263" t="s">
        <v>2051</v>
      </c>
      <c r="D1263" t="s">
        <v>2188</v>
      </c>
    </row>
    <row r="1264" spans="1:4" x14ac:dyDescent="0.3">
      <c r="A1264" t="s">
        <v>209</v>
      </c>
      <c r="B1264">
        <v>283.14076528280106</v>
      </c>
      <c r="C1264" t="s">
        <v>2051</v>
      </c>
      <c r="D1264" t="s">
        <v>2188</v>
      </c>
    </row>
    <row r="1265" spans="1:4" x14ac:dyDescent="0.3">
      <c r="A1265" t="s">
        <v>446</v>
      </c>
      <c r="B1265">
        <v>4.0598063786682376E-2</v>
      </c>
      <c r="C1265" t="s">
        <v>2051</v>
      </c>
      <c r="D1265" t="s">
        <v>2188</v>
      </c>
    </row>
    <row r="1266" spans="1:4" x14ac:dyDescent="0.3">
      <c r="A1266" t="s">
        <v>1632</v>
      </c>
      <c r="B1266">
        <v>11.063460790161059</v>
      </c>
      <c r="C1266" t="s">
        <v>2051</v>
      </c>
      <c r="D1266" t="s">
        <v>2188</v>
      </c>
    </row>
    <row r="1267" spans="1:4" x14ac:dyDescent="0.3">
      <c r="A1267" t="s">
        <v>1626</v>
      </c>
      <c r="B1267">
        <v>9.0097422748211198</v>
      </c>
      <c r="C1267" t="s">
        <v>2051</v>
      </c>
      <c r="D1267" t="s">
        <v>2188</v>
      </c>
    </row>
    <row r="1268" spans="1:4" x14ac:dyDescent="0.3">
      <c r="A1268" t="s">
        <v>1627</v>
      </c>
      <c r="B1268">
        <v>3.7646719755045757</v>
      </c>
      <c r="C1268" t="s">
        <v>2051</v>
      </c>
      <c r="D1268" t="s">
        <v>2188</v>
      </c>
    </row>
    <row r="1269" spans="1:4" x14ac:dyDescent="0.3">
      <c r="A1269" t="s">
        <v>1625</v>
      </c>
      <c r="B1269">
        <v>-1.4138237660730051</v>
      </c>
      <c r="C1269" t="s">
        <v>2051</v>
      </c>
      <c r="D1269" t="s">
        <v>2188</v>
      </c>
    </row>
    <row r="1270" spans="1:4" x14ac:dyDescent="0.3">
      <c r="A1270" t="s">
        <v>1623</v>
      </c>
      <c r="B1270">
        <v>-0.2971296940916287</v>
      </c>
      <c r="C1270" t="s">
        <v>2051</v>
      </c>
      <c r="D1270" t="s">
        <v>2188</v>
      </c>
    </row>
    <row r="1271" spans="1:4" x14ac:dyDescent="0.3">
      <c r="A1271" t="s">
        <v>1633</v>
      </c>
      <c r="B1271">
        <v>310.86779452886236</v>
      </c>
      <c r="C1271" t="s">
        <v>2051</v>
      </c>
      <c r="D1271" t="s">
        <v>2188</v>
      </c>
    </row>
    <row r="1272" spans="1:4" x14ac:dyDescent="0.3">
      <c r="A1272" t="s">
        <v>1628</v>
      </c>
      <c r="B1272">
        <v>304.63910837439198</v>
      </c>
      <c r="C1272" t="s">
        <v>2051</v>
      </c>
      <c r="D1272" t="s">
        <v>2189</v>
      </c>
    </row>
    <row r="1273" spans="1:4" x14ac:dyDescent="0.3">
      <c r="A1273" t="s">
        <v>17</v>
      </c>
      <c r="B1273">
        <v>16.71703668757138</v>
      </c>
      <c r="C1273" t="s">
        <v>2051</v>
      </c>
      <c r="D1273" t="s">
        <v>2189</v>
      </c>
    </row>
    <row r="1274" spans="1:4" x14ac:dyDescent="0.3">
      <c r="A1274" t="s">
        <v>209</v>
      </c>
      <c r="B1274">
        <v>287.97553991849168</v>
      </c>
      <c r="C1274" t="s">
        <v>2051</v>
      </c>
      <c r="D1274" t="s">
        <v>2189</v>
      </c>
    </row>
    <row r="1275" spans="1:4" x14ac:dyDescent="0.3">
      <c r="A1275" t="s">
        <v>446</v>
      </c>
      <c r="B1275">
        <v>4.0598063786682376E-2</v>
      </c>
      <c r="C1275" t="s">
        <v>2051</v>
      </c>
      <c r="D1275" t="s">
        <v>2189</v>
      </c>
    </row>
    <row r="1276" spans="1:4" x14ac:dyDescent="0.3">
      <c r="A1276" t="s">
        <v>1632</v>
      </c>
      <c r="B1276">
        <v>11.063460790161059</v>
      </c>
      <c r="C1276" t="s">
        <v>2051</v>
      </c>
      <c r="D1276" t="s">
        <v>2189</v>
      </c>
    </row>
    <row r="1277" spans="1:4" x14ac:dyDescent="0.3">
      <c r="A1277" t="s">
        <v>1626</v>
      </c>
      <c r="B1277">
        <v>9.0097422748211198</v>
      </c>
      <c r="C1277" t="s">
        <v>2051</v>
      </c>
      <c r="D1277" t="s">
        <v>2189</v>
      </c>
    </row>
    <row r="1278" spans="1:4" x14ac:dyDescent="0.3">
      <c r="A1278" t="s">
        <v>1627</v>
      </c>
      <c r="B1278">
        <v>3.7646719755045757</v>
      </c>
      <c r="C1278" t="s">
        <v>2051</v>
      </c>
      <c r="D1278" t="s">
        <v>2189</v>
      </c>
    </row>
    <row r="1279" spans="1:4" x14ac:dyDescent="0.3">
      <c r="A1279" t="s">
        <v>1625</v>
      </c>
      <c r="B1279">
        <v>-1.4138237660730051</v>
      </c>
      <c r="C1279" t="s">
        <v>2051</v>
      </c>
      <c r="D1279" t="s">
        <v>2189</v>
      </c>
    </row>
    <row r="1280" spans="1:4" x14ac:dyDescent="0.3">
      <c r="A1280" t="s">
        <v>1623</v>
      </c>
      <c r="B1280">
        <v>-0.2971296940916287</v>
      </c>
      <c r="C1280" t="s">
        <v>2051</v>
      </c>
      <c r="D1280" t="s">
        <v>2189</v>
      </c>
    </row>
    <row r="1281" spans="1:4" x14ac:dyDescent="0.3">
      <c r="A1281" t="s">
        <v>1633</v>
      </c>
      <c r="B1281">
        <v>315.70256916455304</v>
      </c>
      <c r="C1281" t="s">
        <v>2051</v>
      </c>
      <c r="D1281" t="s">
        <v>2189</v>
      </c>
    </row>
    <row r="1282" spans="1:4" x14ac:dyDescent="0.3">
      <c r="A1282" t="s">
        <v>1628</v>
      </c>
      <c r="B1282">
        <v>300.22623614552879</v>
      </c>
      <c r="C1282" t="s">
        <v>2051</v>
      </c>
      <c r="D1282" t="s">
        <v>2190</v>
      </c>
    </row>
    <row r="1283" spans="1:4" x14ac:dyDescent="0.3">
      <c r="A1283" t="s">
        <v>17</v>
      </c>
      <c r="B1283">
        <v>16.71703668757138</v>
      </c>
      <c r="C1283" t="s">
        <v>2051</v>
      </c>
      <c r="D1283" t="s">
        <v>2190</v>
      </c>
    </row>
    <row r="1284" spans="1:4" x14ac:dyDescent="0.3">
      <c r="A1284" t="s">
        <v>209</v>
      </c>
      <c r="B1284">
        <v>283.56266768962854</v>
      </c>
      <c r="C1284" t="s">
        <v>2051</v>
      </c>
      <c r="D1284" t="s">
        <v>2190</v>
      </c>
    </row>
    <row r="1285" spans="1:4" x14ac:dyDescent="0.3">
      <c r="A1285" t="s">
        <v>446</v>
      </c>
      <c r="B1285">
        <v>4.0598063786682376E-2</v>
      </c>
      <c r="C1285" t="s">
        <v>2051</v>
      </c>
      <c r="D1285" t="s">
        <v>2190</v>
      </c>
    </row>
    <row r="1286" spans="1:4" x14ac:dyDescent="0.3">
      <c r="A1286" t="s">
        <v>1632</v>
      </c>
      <c r="B1286">
        <v>11.063460790161059</v>
      </c>
      <c r="C1286" t="s">
        <v>2051</v>
      </c>
      <c r="D1286" t="s">
        <v>2190</v>
      </c>
    </row>
    <row r="1287" spans="1:4" x14ac:dyDescent="0.3">
      <c r="A1287" t="s">
        <v>1626</v>
      </c>
      <c r="B1287">
        <v>9.0097422748211198</v>
      </c>
      <c r="C1287" t="s">
        <v>2051</v>
      </c>
      <c r="D1287" t="s">
        <v>2190</v>
      </c>
    </row>
    <row r="1288" spans="1:4" x14ac:dyDescent="0.3">
      <c r="A1288" t="s">
        <v>1627</v>
      </c>
      <c r="B1288">
        <v>3.7646719755045757</v>
      </c>
      <c r="C1288" t="s">
        <v>2051</v>
      </c>
      <c r="D1288" t="s">
        <v>2190</v>
      </c>
    </row>
    <row r="1289" spans="1:4" x14ac:dyDescent="0.3">
      <c r="A1289" t="s">
        <v>1625</v>
      </c>
      <c r="B1289">
        <v>-1.4138237660730051</v>
      </c>
      <c r="C1289" t="s">
        <v>2051</v>
      </c>
      <c r="D1289" t="s">
        <v>2190</v>
      </c>
    </row>
    <row r="1290" spans="1:4" x14ac:dyDescent="0.3">
      <c r="A1290" t="s">
        <v>1623</v>
      </c>
      <c r="B1290">
        <v>-0.2971296940916287</v>
      </c>
      <c r="C1290" t="s">
        <v>2051</v>
      </c>
      <c r="D1290" t="s">
        <v>2190</v>
      </c>
    </row>
    <row r="1291" spans="1:4" x14ac:dyDescent="0.3">
      <c r="A1291" t="s">
        <v>1633</v>
      </c>
      <c r="B1291">
        <v>311.28969693568985</v>
      </c>
      <c r="C1291" t="s">
        <v>2051</v>
      </c>
      <c r="D1291" t="s">
        <v>2190</v>
      </c>
    </row>
    <row r="1292" spans="1:4" x14ac:dyDescent="0.3">
      <c r="A1292" t="s">
        <v>1628</v>
      </c>
      <c r="B1292">
        <v>300.23759305362455</v>
      </c>
      <c r="C1292" t="s">
        <v>2051</v>
      </c>
      <c r="D1292" t="s">
        <v>2191</v>
      </c>
    </row>
    <row r="1293" spans="1:4" x14ac:dyDescent="0.3">
      <c r="A1293" t="s">
        <v>17</v>
      </c>
      <c r="B1293">
        <v>16.71703668757138</v>
      </c>
      <c r="C1293" t="s">
        <v>2051</v>
      </c>
      <c r="D1293" t="s">
        <v>2191</v>
      </c>
    </row>
    <row r="1294" spans="1:4" x14ac:dyDescent="0.3">
      <c r="A1294" t="s">
        <v>209</v>
      </c>
      <c r="B1294">
        <v>283.57402459772425</v>
      </c>
      <c r="C1294" t="s">
        <v>2051</v>
      </c>
      <c r="D1294" t="s">
        <v>2191</v>
      </c>
    </row>
    <row r="1295" spans="1:4" x14ac:dyDescent="0.3">
      <c r="A1295" t="s">
        <v>446</v>
      </c>
      <c r="B1295">
        <v>4.0598063786682376E-2</v>
      </c>
      <c r="C1295" t="s">
        <v>2051</v>
      </c>
      <c r="D1295" t="s">
        <v>2191</v>
      </c>
    </row>
    <row r="1296" spans="1:4" x14ac:dyDescent="0.3">
      <c r="A1296" t="s">
        <v>1632</v>
      </c>
      <c r="B1296">
        <v>11.063460790161059</v>
      </c>
      <c r="C1296" t="s">
        <v>2051</v>
      </c>
      <c r="D1296" t="s">
        <v>2191</v>
      </c>
    </row>
    <row r="1297" spans="1:4" x14ac:dyDescent="0.3">
      <c r="A1297" t="s">
        <v>1626</v>
      </c>
      <c r="B1297">
        <v>9.0097422748211198</v>
      </c>
      <c r="C1297" t="s">
        <v>2051</v>
      </c>
      <c r="D1297" t="s">
        <v>2191</v>
      </c>
    </row>
    <row r="1298" spans="1:4" x14ac:dyDescent="0.3">
      <c r="A1298" t="s">
        <v>1627</v>
      </c>
      <c r="B1298">
        <v>3.7646719755045757</v>
      </c>
      <c r="C1298" t="s">
        <v>2051</v>
      </c>
      <c r="D1298" t="s">
        <v>2191</v>
      </c>
    </row>
    <row r="1299" spans="1:4" x14ac:dyDescent="0.3">
      <c r="A1299" t="s">
        <v>1625</v>
      </c>
      <c r="B1299">
        <v>-1.4138237660730051</v>
      </c>
      <c r="C1299" t="s">
        <v>2051</v>
      </c>
      <c r="D1299" t="s">
        <v>2191</v>
      </c>
    </row>
    <row r="1300" spans="1:4" x14ac:dyDescent="0.3">
      <c r="A1300" t="s">
        <v>1623</v>
      </c>
      <c r="B1300">
        <v>-0.2971296940916287</v>
      </c>
      <c r="C1300" t="s">
        <v>2051</v>
      </c>
      <c r="D1300" t="s">
        <v>2191</v>
      </c>
    </row>
    <row r="1301" spans="1:4" x14ac:dyDescent="0.3">
      <c r="A1301" t="s">
        <v>1633</v>
      </c>
      <c r="B1301">
        <v>311.30105384378561</v>
      </c>
      <c r="C1301" t="s">
        <v>2051</v>
      </c>
      <c r="D1301" t="s">
        <v>2191</v>
      </c>
    </row>
    <row r="1302" spans="1:4" x14ac:dyDescent="0.3">
      <c r="A1302" t="s">
        <v>1628</v>
      </c>
      <c r="B1302">
        <v>298.37192554603701</v>
      </c>
      <c r="C1302" t="s">
        <v>2051</v>
      </c>
      <c r="D1302" t="s">
        <v>2192</v>
      </c>
    </row>
    <row r="1303" spans="1:4" x14ac:dyDescent="0.3">
      <c r="A1303" t="s">
        <v>17</v>
      </c>
      <c r="B1303">
        <v>16.71703668757138</v>
      </c>
      <c r="C1303" t="s">
        <v>2051</v>
      </c>
      <c r="D1303" t="s">
        <v>2192</v>
      </c>
    </row>
    <row r="1304" spans="1:4" x14ac:dyDescent="0.3">
      <c r="A1304" t="s">
        <v>209</v>
      </c>
      <c r="B1304">
        <v>281.7083570901367</v>
      </c>
      <c r="C1304" t="s">
        <v>2051</v>
      </c>
      <c r="D1304" t="s">
        <v>2192</v>
      </c>
    </row>
    <row r="1305" spans="1:4" x14ac:dyDescent="0.3">
      <c r="A1305" t="s">
        <v>446</v>
      </c>
      <c r="B1305">
        <v>4.0598063786682376E-2</v>
      </c>
      <c r="C1305" t="s">
        <v>2051</v>
      </c>
      <c r="D1305" t="s">
        <v>2192</v>
      </c>
    </row>
    <row r="1306" spans="1:4" x14ac:dyDescent="0.3">
      <c r="A1306" t="s">
        <v>1632</v>
      </c>
      <c r="B1306">
        <v>11.063460790161059</v>
      </c>
      <c r="C1306" t="s">
        <v>2051</v>
      </c>
      <c r="D1306" t="s">
        <v>2192</v>
      </c>
    </row>
    <row r="1307" spans="1:4" x14ac:dyDescent="0.3">
      <c r="A1307" t="s">
        <v>1626</v>
      </c>
      <c r="B1307">
        <v>9.0097422748211198</v>
      </c>
      <c r="C1307" t="s">
        <v>2051</v>
      </c>
      <c r="D1307" t="s">
        <v>2192</v>
      </c>
    </row>
    <row r="1308" spans="1:4" x14ac:dyDescent="0.3">
      <c r="A1308" t="s">
        <v>1627</v>
      </c>
      <c r="B1308">
        <v>3.7646719755045757</v>
      </c>
      <c r="C1308" t="s">
        <v>2051</v>
      </c>
      <c r="D1308" t="s">
        <v>2192</v>
      </c>
    </row>
    <row r="1309" spans="1:4" x14ac:dyDescent="0.3">
      <c r="A1309" t="s">
        <v>1625</v>
      </c>
      <c r="B1309">
        <v>-1.4138237660730051</v>
      </c>
      <c r="C1309" t="s">
        <v>2051</v>
      </c>
      <c r="D1309" t="s">
        <v>2192</v>
      </c>
    </row>
    <row r="1310" spans="1:4" x14ac:dyDescent="0.3">
      <c r="A1310" t="s">
        <v>1623</v>
      </c>
      <c r="B1310">
        <v>-0.2971296940916287</v>
      </c>
      <c r="C1310" t="s">
        <v>2051</v>
      </c>
      <c r="D1310" t="s">
        <v>2192</v>
      </c>
    </row>
    <row r="1311" spans="1:4" x14ac:dyDescent="0.3">
      <c r="A1311" t="s">
        <v>1633</v>
      </c>
      <c r="B1311">
        <v>309.43538633619806</v>
      </c>
      <c r="C1311" t="s">
        <v>2051</v>
      </c>
      <c r="D1311" t="s">
        <v>2192</v>
      </c>
    </row>
    <row r="1312" spans="1:4" x14ac:dyDescent="0.3">
      <c r="A1312" t="s">
        <v>1628</v>
      </c>
      <c r="B1312">
        <v>55.142872892663384</v>
      </c>
      <c r="C1312" t="s">
        <v>2051</v>
      </c>
      <c r="D1312" t="s">
        <v>2066</v>
      </c>
    </row>
    <row r="1313" spans="1:4" x14ac:dyDescent="0.3">
      <c r="A1313" t="s">
        <v>17</v>
      </c>
      <c r="B1313">
        <v>16.71703668757138</v>
      </c>
      <c r="C1313" t="s">
        <v>2051</v>
      </c>
      <c r="D1313" t="s">
        <v>2066</v>
      </c>
    </row>
    <row r="1314" spans="1:4" x14ac:dyDescent="0.3">
      <c r="A1314" t="s">
        <v>209</v>
      </c>
      <c r="B1314">
        <v>38.479304436763094</v>
      </c>
      <c r="C1314" t="s">
        <v>2051</v>
      </c>
      <c r="D1314" t="s">
        <v>2066</v>
      </c>
    </row>
    <row r="1315" spans="1:4" x14ac:dyDescent="0.3">
      <c r="A1315" t="s">
        <v>446</v>
      </c>
      <c r="B1315">
        <v>4.0598063786682376E-2</v>
      </c>
      <c r="C1315" t="s">
        <v>2051</v>
      </c>
      <c r="D1315" t="s">
        <v>2066</v>
      </c>
    </row>
    <row r="1316" spans="1:4" x14ac:dyDescent="0.3">
      <c r="A1316" t="s">
        <v>1632</v>
      </c>
      <c r="B1316">
        <v>11.063460790161059</v>
      </c>
      <c r="C1316" t="s">
        <v>2051</v>
      </c>
      <c r="D1316" t="s">
        <v>2066</v>
      </c>
    </row>
    <row r="1317" spans="1:4" x14ac:dyDescent="0.3">
      <c r="A1317" t="s">
        <v>1626</v>
      </c>
      <c r="B1317">
        <v>9.0097422748211198</v>
      </c>
      <c r="C1317" t="s">
        <v>2051</v>
      </c>
      <c r="D1317" t="s">
        <v>2066</v>
      </c>
    </row>
    <row r="1318" spans="1:4" x14ac:dyDescent="0.3">
      <c r="A1318" t="s">
        <v>1627</v>
      </c>
      <c r="B1318">
        <v>3.7646719755045757</v>
      </c>
      <c r="C1318" t="s">
        <v>2051</v>
      </c>
      <c r="D1318" t="s">
        <v>2066</v>
      </c>
    </row>
    <row r="1319" spans="1:4" x14ac:dyDescent="0.3">
      <c r="A1319" t="s">
        <v>1625</v>
      </c>
      <c r="B1319">
        <v>-1.4138237660730051</v>
      </c>
      <c r="C1319" t="s">
        <v>2051</v>
      </c>
      <c r="D1319" t="s">
        <v>2066</v>
      </c>
    </row>
    <row r="1320" spans="1:4" x14ac:dyDescent="0.3">
      <c r="A1320" t="s">
        <v>1623</v>
      </c>
      <c r="B1320">
        <v>-0.2971296940916287</v>
      </c>
      <c r="C1320" t="s">
        <v>2051</v>
      </c>
      <c r="D1320" t="s">
        <v>2066</v>
      </c>
    </row>
    <row r="1321" spans="1:4" x14ac:dyDescent="0.3">
      <c r="A1321" t="s">
        <v>1633</v>
      </c>
      <c r="B1321">
        <v>66.206333682824436</v>
      </c>
      <c r="C1321" t="s">
        <v>2051</v>
      </c>
      <c r="D1321" t="s">
        <v>2066</v>
      </c>
    </row>
    <row r="1322" spans="1:4" x14ac:dyDescent="0.3">
      <c r="A1322" t="s">
        <v>1628</v>
      </c>
      <c r="B1322">
        <v>60.96585154552465</v>
      </c>
      <c r="C1322" t="s">
        <v>2051</v>
      </c>
      <c r="D1322" t="s">
        <v>2059</v>
      </c>
    </row>
    <row r="1323" spans="1:4" x14ac:dyDescent="0.3">
      <c r="A1323" t="s">
        <v>17</v>
      </c>
      <c r="B1323">
        <v>16.71703668757138</v>
      </c>
      <c r="C1323" t="s">
        <v>2051</v>
      </c>
      <c r="D1323" t="s">
        <v>2059</v>
      </c>
    </row>
    <row r="1324" spans="1:4" x14ac:dyDescent="0.3">
      <c r="A1324" t="s">
        <v>209</v>
      </c>
      <c r="B1324">
        <v>44.30228308962436</v>
      </c>
      <c r="C1324" t="s">
        <v>2051</v>
      </c>
      <c r="D1324" t="s">
        <v>2059</v>
      </c>
    </row>
    <row r="1325" spans="1:4" x14ac:dyDescent="0.3">
      <c r="A1325" t="s">
        <v>446</v>
      </c>
      <c r="B1325">
        <v>4.0598063786682376E-2</v>
      </c>
      <c r="C1325" t="s">
        <v>2051</v>
      </c>
      <c r="D1325" t="s">
        <v>2059</v>
      </c>
    </row>
    <row r="1326" spans="1:4" x14ac:dyDescent="0.3">
      <c r="A1326" t="s">
        <v>1632</v>
      </c>
      <c r="B1326">
        <v>11.063460790161059</v>
      </c>
      <c r="C1326" t="s">
        <v>2051</v>
      </c>
      <c r="D1326" t="s">
        <v>2059</v>
      </c>
    </row>
    <row r="1327" spans="1:4" x14ac:dyDescent="0.3">
      <c r="A1327" t="s">
        <v>1626</v>
      </c>
      <c r="B1327">
        <v>9.0097422748211198</v>
      </c>
      <c r="C1327" t="s">
        <v>2051</v>
      </c>
      <c r="D1327" t="s">
        <v>2059</v>
      </c>
    </row>
    <row r="1328" spans="1:4" x14ac:dyDescent="0.3">
      <c r="A1328" t="s">
        <v>1627</v>
      </c>
      <c r="B1328">
        <v>3.7646719755045757</v>
      </c>
      <c r="C1328" t="s">
        <v>2051</v>
      </c>
      <c r="D1328" t="s">
        <v>2059</v>
      </c>
    </row>
    <row r="1329" spans="1:4" x14ac:dyDescent="0.3">
      <c r="A1329" t="s">
        <v>1625</v>
      </c>
      <c r="B1329">
        <v>-1.4138237660730051</v>
      </c>
      <c r="C1329" t="s">
        <v>2051</v>
      </c>
      <c r="D1329" t="s">
        <v>2059</v>
      </c>
    </row>
    <row r="1330" spans="1:4" x14ac:dyDescent="0.3">
      <c r="A1330" t="s">
        <v>1623</v>
      </c>
      <c r="B1330">
        <v>-0.2971296940916287</v>
      </c>
      <c r="C1330" t="s">
        <v>2051</v>
      </c>
      <c r="D1330" t="s">
        <v>2059</v>
      </c>
    </row>
    <row r="1331" spans="1:4" x14ac:dyDescent="0.3">
      <c r="A1331" t="s">
        <v>1633</v>
      </c>
      <c r="B1331">
        <v>72.029312335685717</v>
      </c>
      <c r="C1331" t="s">
        <v>2051</v>
      </c>
      <c r="D1331" t="s">
        <v>2059</v>
      </c>
    </row>
    <row r="1332" spans="1:4" x14ac:dyDescent="0.3">
      <c r="A1332" t="s">
        <v>1628</v>
      </c>
      <c r="B1332">
        <v>60.96585154552465</v>
      </c>
      <c r="C1332" t="s">
        <v>2051</v>
      </c>
      <c r="D1332" t="s">
        <v>2060</v>
      </c>
    </row>
    <row r="1333" spans="1:4" x14ac:dyDescent="0.3">
      <c r="A1333" t="s">
        <v>17</v>
      </c>
      <c r="B1333">
        <v>16.71703668757138</v>
      </c>
      <c r="C1333" t="s">
        <v>2051</v>
      </c>
      <c r="D1333" t="s">
        <v>2060</v>
      </c>
    </row>
    <row r="1334" spans="1:4" x14ac:dyDescent="0.3">
      <c r="A1334" t="s">
        <v>209</v>
      </c>
      <c r="B1334">
        <v>44.30228308962436</v>
      </c>
      <c r="C1334" t="s">
        <v>2051</v>
      </c>
      <c r="D1334" t="s">
        <v>2060</v>
      </c>
    </row>
    <row r="1335" spans="1:4" x14ac:dyDescent="0.3">
      <c r="A1335" t="s">
        <v>446</v>
      </c>
      <c r="B1335">
        <v>4.0598063786682376E-2</v>
      </c>
      <c r="C1335" t="s">
        <v>2051</v>
      </c>
      <c r="D1335" t="s">
        <v>2060</v>
      </c>
    </row>
    <row r="1336" spans="1:4" x14ac:dyDescent="0.3">
      <c r="A1336" t="s">
        <v>1632</v>
      </c>
      <c r="B1336">
        <v>11.063460790161059</v>
      </c>
      <c r="C1336" t="s">
        <v>2051</v>
      </c>
      <c r="D1336" t="s">
        <v>2060</v>
      </c>
    </row>
    <row r="1337" spans="1:4" x14ac:dyDescent="0.3">
      <c r="A1337" t="s">
        <v>1626</v>
      </c>
      <c r="B1337">
        <v>9.0097422748211198</v>
      </c>
      <c r="C1337" t="s">
        <v>2051</v>
      </c>
      <c r="D1337" t="s">
        <v>2060</v>
      </c>
    </row>
    <row r="1338" spans="1:4" x14ac:dyDescent="0.3">
      <c r="A1338" t="s">
        <v>1627</v>
      </c>
      <c r="B1338">
        <v>3.7646719755045757</v>
      </c>
      <c r="C1338" t="s">
        <v>2051</v>
      </c>
      <c r="D1338" t="s">
        <v>2060</v>
      </c>
    </row>
    <row r="1339" spans="1:4" x14ac:dyDescent="0.3">
      <c r="A1339" t="s">
        <v>1625</v>
      </c>
      <c r="B1339">
        <v>-1.4138237660730051</v>
      </c>
      <c r="C1339" t="s">
        <v>2051</v>
      </c>
      <c r="D1339" t="s">
        <v>2060</v>
      </c>
    </row>
    <row r="1340" spans="1:4" x14ac:dyDescent="0.3">
      <c r="A1340" t="s">
        <v>1623</v>
      </c>
      <c r="B1340">
        <v>-0.2971296940916287</v>
      </c>
      <c r="C1340" t="s">
        <v>2051</v>
      </c>
      <c r="D1340" t="s">
        <v>2060</v>
      </c>
    </row>
    <row r="1341" spans="1:4" x14ac:dyDescent="0.3">
      <c r="A1341" t="s">
        <v>1633</v>
      </c>
      <c r="B1341">
        <v>72.029312335685717</v>
      </c>
      <c r="C1341" t="s">
        <v>2051</v>
      </c>
      <c r="D1341" t="s">
        <v>2060</v>
      </c>
    </row>
    <row r="1342" spans="1:4" x14ac:dyDescent="0.3">
      <c r="A1342" t="s">
        <v>1628</v>
      </c>
      <c r="B1342">
        <v>60.96585154552465</v>
      </c>
      <c r="C1342" t="s">
        <v>2051</v>
      </c>
      <c r="D1342" t="s">
        <v>2061</v>
      </c>
    </row>
    <row r="1343" spans="1:4" x14ac:dyDescent="0.3">
      <c r="A1343" t="s">
        <v>17</v>
      </c>
      <c r="B1343">
        <v>16.71703668757138</v>
      </c>
      <c r="C1343" t="s">
        <v>2051</v>
      </c>
      <c r="D1343" t="s">
        <v>2061</v>
      </c>
    </row>
    <row r="1344" spans="1:4" x14ac:dyDescent="0.3">
      <c r="A1344" t="s">
        <v>209</v>
      </c>
      <c r="B1344">
        <v>44.30228308962436</v>
      </c>
      <c r="C1344" t="s">
        <v>2051</v>
      </c>
      <c r="D1344" t="s">
        <v>2061</v>
      </c>
    </row>
    <row r="1345" spans="1:4" x14ac:dyDescent="0.3">
      <c r="A1345" t="s">
        <v>446</v>
      </c>
      <c r="B1345">
        <v>4.0598063786682376E-2</v>
      </c>
      <c r="C1345" t="s">
        <v>2051</v>
      </c>
      <c r="D1345" t="s">
        <v>2061</v>
      </c>
    </row>
    <row r="1346" spans="1:4" x14ac:dyDescent="0.3">
      <c r="A1346" t="s">
        <v>1632</v>
      </c>
      <c r="B1346">
        <v>11.063460790161059</v>
      </c>
      <c r="C1346" t="s">
        <v>2051</v>
      </c>
      <c r="D1346" t="s">
        <v>2061</v>
      </c>
    </row>
    <row r="1347" spans="1:4" x14ac:dyDescent="0.3">
      <c r="A1347" t="s">
        <v>1626</v>
      </c>
      <c r="B1347">
        <v>9.0097422748211198</v>
      </c>
      <c r="C1347" t="s">
        <v>2051</v>
      </c>
      <c r="D1347" t="s">
        <v>2061</v>
      </c>
    </row>
    <row r="1348" spans="1:4" x14ac:dyDescent="0.3">
      <c r="A1348" t="s">
        <v>1627</v>
      </c>
      <c r="B1348">
        <v>3.7646719755045757</v>
      </c>
      <c r="C1348" t="s">
        <v>2051</v>
      </c>
      <c r="D1348" t="s">
        <v>2061</v>
      </c>
    </row>
    <row r="1349" spans="1:4" x14ac:dyDescent="0.3">
      <c r="A1349" t="s">
        <v>1625</v>
      </c>
      <c r="B1349">
        <v>-1.4138237660730051</v>
      </c>
      <c r="C1349" t="s">
        <v>2051</v>
      </c>
      <c r="D1349" t="s">
        <v>2061</v>
      </c>
    </row>
    <row r="1350" spans="1:4" x14ac:dyDescent="0.3">
      <c r="A1350" t="s">
        <v>1623</v>
      </c>
      <c r="B1350">
        <v>-0.2971296940916287</v>
      </c>
      <c r="C1350" t="s">
        <v>2051</v>
      </c>
      <c r="D1350" t="s">
        <v>2061</v>
      </c>
    </row>
    <row r="1351" spans="1:4" x14ac:dyDescent="0.3">
      <c r="A1351" t="s">
        <v>1633</v>
      </c>
      <c r="B1351">
        <v>72.029312335685717</v>
      </c>
      <c r="C1351" t="s">
        <v>2051</v>
      </c>
      <c r="D1351" t="s">
        <v>2061</v>
      </c>
    </row>
    <row r="1352" spans="1:4" x14ac:dyDescent="0.3">
      <c r="A1352" t="s">
        <v>1628</v>
      </c>
      <c r="B1352">
        <v>60.96585154552465</v>
      </c>
      <c r="C1352" t="s">
        <v>2051</v>
      </c>
      <c r="D1352" t="s">
        <v>2062</v>
      </c>
    </row>
    <row r="1353" spans="1:4" x14ac:dyDescent="0.3">
      <c r="A1353" t="s">
        <v>17</v>
      </c>
      <c r="B1353">
        <v>16.71703668757138</v>
      </c>
      <c r="C1353" t="s">
        <v>2051</v>
      </c>
      <c r="D1353" t="s">
        <v>2062</v>
      </c>
    </row>
    <row r="1354" spans="1:4" x14ac:dyDescent="0.3">
      <c r="A1354" t="s">
        <v>209</v>
      </c>
      <c r="B1354">
        <v>44.30228308962436</v>
      </c>
      <c r="C1354" t="s">
        <v>2051</v>
      </c>
      <c r="D1354" t="s">
        <v>2062</v>
      </c>
    </row>
    <row r="1355" spans="1:4" x14ac:dyDescent="0.3">
      <c r="A1355" t="s">
        <v>446</v>
      </c>
      <c r="B1355">
        <v>4.0598063786682376E-2</v>
      </c>
      <c r="C1355" t="s">
        <v>2051</v>
      </c>
      <c r="D1355" t="s">
        <v>2062</v>
      </c>
    </row>
    <row r="1356" spans="1:4" x14ac:dyDescent="0.3">
      <c r="A1356" t="s">
        <v>1632</v>
      </c>
      <c r="B1356">
        <v>11.063460790161059</v>
      </c>
      <c r="C1356" t="s">
        <v>2051</v>
      </c>
      <c r="D1356" t="s">
        <v>2062</v>
      </c>
    </row>
    <row r="1357" spans="1:4" x14ac:dyDescent="0.3">
      <c r="A1357" t="s">
        <v>1626</v>
      </c>
      <c r="B1357">
        <v>9.0097422748211198</v>
      </c>
      <c r="C1357" t="s">
        <v>2051</v>
      </c>
      <c r="D1357" t="s">
        <v>2062</v>
      </c>
    </row>
    <row r="1358" spans="1:4" x14ac:dyDescent="0.3">
      <c r="A1358" t="s">
        <v>1627</v>
      </c>
      <c r="B1358">
        <v>3.7646719755045757</v>
      </c>
      <c r="C1358" t="s">
        <v>2051</v>
      </c>
      <c r="D1358" t="s">
        <v>2062</v>
      </c>
    </row>
    <row r="1359" spans="1:4" x14ac:dyDescent="0.3">
      <c r="A1359" t="s">
        <v>1625</v>
      </c>
      <c r="B1359">
        <v>-1.4138237660730051</v>
      </c>
      <c r="C1359" t="s">
        <v>2051</v>
      </c>
      <c r="D1359" t="s">
        <v>2062</v>
      </c>
    </row>
    <row r="1360" spans="1:4" x14ac:dyDescent="0.3">
      <c r="A1360" t="s">
        <v>1623</v>
      </c>
      <c r="B1360">
        <v>-0.2971296940916287</v>
      </c>
      <c r="C1360" t="s">
        <v>2051</v>
      </c>
      <c r="D1360" t="s">
        <v>2062</v>
      </c>
    </row>
    <row r="1361" spans="1:4" x14ac:dyDescent="0.3">
      <c r="A1361" t="s">
        <v>1633</v>
      </c>
      <c r="B1361">
        <v>72.029312335685717</v>
      </c>
      <c r="C1361" t="s">
        <v>2051</v>
      </c>
      <c r="D1361" t="s">
        <v>2062</v>
      </c>
    </row>
    <row r="1362" spans="1:4" x14ac:dyDescent="0.3">
      <c r="A1362" t="s">
        <v>1628</v>
      </c>
      <c r="B1362">
        <v>60.96585154552465</v>
      </c>
      <c r="C1362" t="s">
        <v>2051</v>
      </c>
      <c r="D1362" t="s">
        <v>2063</v>
      </c>
    </row>
    <row r="1363" spans="1:4" x14ac:dyDescent="0.3">
      <c r="A1363" t="s">
        <v>17</v>
      </c>
      <c r="B1363">
        <v>16.71703668757138</v>
      </c>
      <c r="C1363" t="s">
        <v>2051</v>
      </c>
      <c r="D1363" t="s">
        <v>2063</v>
      </c>
    </row>
    <row r="1364" spans="1:4" x14ac:dyDescent="0.3">
      <c r="A1364" t="s">
        <v>209</v>
      </c>
      <c r="B1364">
        <v>44.30228308962436</v>
      </c>
      <c r="C1364" t="s">
        <v>2051</v>
      </c>
      <c r="D1364" t="s">
        <v>2063</v>
      </c>
    </row>
    <row r="1365" spans="1:4" x14ac:dyDescent="0.3">
      <c r="A1365" t="s">
        <v>446</v>
      </c>
      <c r="B1365">
        <v>4.0598063786682376E-2</v>
      </c>
      <c r="C1365" t="s">
        <v>2051</v>
      </c>
      <c r="D1365" t="s">
        <v>2063</v>
      </c>
    </row>
    <row r="1366" spans="1:4" x14ac:dyDescent="0.3">
      <c r="A1366" t="s">
        <v>1632</v>
      </c>
      <c r="B1366">
        <v>11.063460790161059</v>
      </c>
      <c r="C1366" t="s">
        <v>2051</v>
      </c>
      <c r="D1366" t="s">
        <v>2063</v>
      </c>
    </row>
    <row r="1367" spans="1:4" x14ac:dyDescent="0.3">
      <c r="A1367" t="s">
        <v>1626</v>
      </c>
      <c r="B1367">
        <v>9.0097422748211198</v>
      </c>
      <c r="C1367" t="s">
        <v>2051</v>
      </c>
      <c r="D1367" t="s">
        <v>2063</v>
      </c>
    </row>
    <row r="1368" spans="1:4" x14ac:dyDescent="0.3">
      <c r="A1368" t="s">
        <v>1627</v>
      </c>
      <c r="B1368">
        <v>3.7646719755045757</v>
      </c>
      <c r="C1368" t="s">
        <v>2051</v>
      </c>
      <c r="D1368" t="s">
        <v>2063</v>
      </c>
    </row>
    <row r="1369" spans="1:4" x14ac:dyDescent="0.3">
      <c r="A1369" t="s">
        <v>1625</v>
      </c>
      <c r="B1369">
        <v>-1.4138237660730051</v>
      </c>
      <c r="C1369" t="s">
        <v>2051</v>
      </c>
      <c r="D1369" t="s">
        <v>2063</v>
      </c>
    </row>
    <row r="1370" spans="1:4" x14ac:dyDescent="0.3">
      <c r="A1370" t="s">
        <v>1623</v>
      </c>
      <c r="B1370">
        <v>-0.2971296940916287</v>
      </c>
      <c r="C1370" t="s">
        <v>2051</v>
      </c>
      <c r="D1370" t="s">
        <v>2063</v>
      </c>
    </row>
    <row r="1371" spans="1:4" x14ac:dyDescent="0.3">
      <c r="A1371" t="s">
        <v>1633</v>
      </c>
      <c r="B1371">
        <v>72.029312335685717</v>
      </c>
      <c r="C1371" t="s">
        <v>2051</v>
      </c>
      <c r="D1371" t="s">
        <v>2063</v>
      </c>
    </row>
    <row r="1372" spans="1:4" x14ac:dyDescent="0.3">
      <c r="A1372" t="s">
        <v>1628</v>
      </c>
      <c r="B1372">
        <v>60.96585154552465</v>
      </c>
      <c r="C1372" t="s">
        <v>2051</v>
      </c>
      <c r="D1372" t="s">
        <v>2064</v>
      </c>
    </row>
    <row r="1373" spans="1:4" x14ac:dyDescent="0.3">
      <c r="A1373" t="s">
        <v>17</v>
      </c>
      <c r="B1373">
        <v>16.71703668757138</v>
      </c>
      <c r="C1373" t="s">
        <v>2051</v>
      </c>
      <c r="D1373" t="s">
        <v>2064</v>
      </c>
    </row>
    <row r="1374" spans="1:4" x14ac:dyDescent="0.3">
      <c r="A1374" t="s">
        <v>209</v>
      </c>
      <c r="B1374">
        <v>44.30228308962436</v>
      </c>
      <c r="C1374" t="s">
        <v>2051</v>
      </c>
      <c r="D1374" t="s">
        <v>2064</v>
      </c>
    </row>
    <row r="1375" spans="1:4" x14ac:dyDescent="0.3">
      <c r="A1375" t="s">
        <v>446</v>
      </c>
      <c r="B1375">
        <v>4.0598063786682376E-2</v>
      </c>
      <c r="C1375" t="s">
        <v>2051</v>
      </c>
      <c r="D1375" t="s">
        <v>2064</v>
      </c>
    </row>
    <row r="1376" spans="1:4" x14ac:dyDescent="0.3">
      <c r="A1376" t="s">
        <v>1632</v>
      </c>
      <c r="B1376">
        <v>11.063460790161059</v>
      </c>
      <c r="C1376" t="s">
        <v>2051</v>
      </c>
      <c r="D1376" t="s">
        <v>2064</v>
      </c>
    </row>
    <row r="1377" spans="1:4" x14ac:dyDescent="0.3">
      <c r="A1377" t="s">
        <v>1626</v>
      </c>
      <c r="B1377">
        <v>9.0097422748211198</v>
      </c>
      <c r="C1377" t="s">
        <v>2051</v>
      </c>
      <c r="D1377" t="s">
        <v>2064</v>
      </c>
    </row>
    <row r="1378" spans="1:4" x14ac:dyDescent="0.3">
      <c r="A1378" t="s">
        <v>1627</v>
      </c>
      <c r="B1378">
        <v>3.7646719755045757</v>
      </c>
      <c r="C1378" t="s">
        <v>2051</v>
      </c>
      <c r="D1378" t="s">
        <v>2064</v>
      </c>
    </row>
    <row r="1379" spans="1:4" x14ac:dyDescent="0.3">
      <c r="A1379" t="s">
        <v>1625</v>
      </c>
      <c r="B1379">
        <v>-1.4138237660730051</v>
      </c>
      <c r="C1379" t="s">
        <v>2051</v>
      </c>
      <c r="D1379" t="s">
        <v>2064</v>
      </c>
    </row>
    <row r="1380" spans="1:4" x14ac:dyDescent="0.3">
      <c r="A1380" t="s">
        <v>1623</v>
      </c>
      <c r="B1380">
        <v>-0.2971296940916287</v>
      </c>
      <c r="C1380" t="s">
        <v>2051</v>
      </c>
      <c r="D1380" t="s">
        <v>2064</v>
      </c>
    </row>
    <row r="1381" spans="1:4" x14ac:dyDescent="0.3">
      <c r="A1381" t="s">
        <v>1633</v>
      </c>
      <c r="B1381">
        <v>72.029312335685717</v>
      </c>
      <c r="C1381" t="s">
        <v>2051</v>
      </c>
      <c r="D1381" t="s">
        <v>2064</v>
      </c>
    </row>
    <row r="1382" spans="1:4" x14ac:dyDescent="0.3">
      <c r="A1382" t="s">
        <v>1628</v>
      </c>
      <c r="B1382">
        <v>60.96585154552465</v>
      </c>
      <c r="C1382" t="s">
        <v>2051</v>
      </c>
      <c r="D1382" t="s">
        <v>2065</v>
      </c>
    </row>
    <row r="1383" spans="1:4" x14ac:dyDescent="0.3">
      <c r="A1383" t="s">
        <v>17</v>
      </c>
      <c r="B1383">
        <v>16.71703668757138</v>
      </c>
      <c r="C1383" t="s">
        <v>2051</v>
      </c>
      <c r="D1383" t="s">
        <v>2065</v>
      </c>
    </row>
    <row r="1384" spans="1:4" x14ac:dyDescent="0.3">
      <c r="A1384" t="s">
        <v>209</v>
      </c>
      <c r="B1384">
        <v>44.30228308962436</v>
      </c>
      <c r="C1384" t="s">
        <v>2051</v>
      </c>
      <c r="D1384" t="s">
        <v>2065</v>
      </c>
    </row>
    <row r="1385" spans="1:4" x14ac:dyDescent="0.3">
      <c r="A1385" t="s">
        <v>446</v>
      </c>
      <c r="B1385">
        <v>4.0598063786682376E-2</v>
      </c>
      <c r="C1385" t="s">
        <v>2051</v>
      </c>
      <c r="D1385" t="s">
        <v>2065</v>
      </c>
    </row>
    <row r="1386" spans="1:4" x14ac:dyDescent="0.3">
      <c r="A1386" t="s">
        <v>1632</v>
      </c>
      <c r="B1386">
        <v>11.063460790161059</v>
      </c>
      <c r="C1386" t="s">
        <v>2051</v>
      </c>
      <c r="D1386" t="s">
        <v>2065</v>
      </c>
    </row>
    <row r="1387" spans="1:4" x14ac:dyDescent="0.3">
      <c r="A1387" t="s">
        <v>1626</v>
      </c>
      <c r="B1387">
        <v>9.0097422748211198</v>
      </c>
      <c r="C1387" t="s">
        <v>2051</v>
      </c>
      <c r="D1387" t="s">
        <v>2065</v>
      </c>
    </row>
    <row r="1388" spans="1:4" x14ac:dyDescent="0.3">
      <c r="A1388" t="s">
        <v>1627</v>
      </c>
      <c r="B1388">
        <v>3.7646719755045757</v>
      </c>
      <c r="C1388" t="s">
        <v>2051</v>
      </c>
      <c r="D1388" t="s">
        <v>2065</v>
      </c>
    </row>
    <row r="1389" spans="1:4" x14ac:dyDescent="0.3">
      <c r="A1389" t="s">
        <v>1625</v>
      </c>
      <c r="B1389">
        <v>-1.4138237660730051</v>
      </c>
      <c r="C1389" t="s">
        <v>2051</v>
      </c>
      <c r="D1389" t="s">
        <v>2065</v>
      </c>
    </row>
    <row r="1390" spans="1:4" x14ac:dyDescent="0.3">
      <c r="A1390" t="s">
        <v>1623</v>
      </c>
      <c r="B1390">
        <v>-0.2971296940916287</v>
      </c>
      <c r="C1390" t="s">
        <v>2051</v>
      </c>
      <c r="D1390" t="s">
        <v>2065</v>
      </c>
    </row>
    <row r="1391" spans="1:4" x14ac:dyDescent="0.3">
      <c r="A1391" t="s">
        <v>1633</v>
      </c>
      <c r="B1391">
        <v>72.029312335685717</v>
      </c>
      <c r="C1391" t="s">
        <v>2051</v>
      </c>
      <c r="D1391" t="s">
        <v>2065</v>
      </c>
    </row>
    <row r="1392" spans="1:4" x14ac:dyDescent="0.3">
      <c r="A1392" t="s">
        <v>1628</v>
      </c>
      <c r="B1392">
        <v>61.047831147432632</v>
      </c>
      <c r="C1392" t="s">
        <v>2051</v>
      </c>
      <c r="D1392" t="s">
        <v>2066</v>
      </c>
    </row>
    <row r="1393" spans="1:4" x14ac:dyDescent="0.3">
      <c r="A1393" t="s">
        <v>17</v>
      </c>
      <c r="B1393">
        <v>16.71703668757138</v>
      </c>
      <c r="C1393" t="s">
        <v>2051</v>
      </c>
      <c r="D1393" t="s">
        <v>2066</v>
      </c>
    </row>
    <row r="1394" spans="1:4" x14ac:dyDescent="0.3">
      <c r="A1394" t="s">
        <v>209</v>
      </c>
      <c r="B1394">
        <v>44.384262691532342</v>
      </c>
      <c r="C1394" t="s">
        <v>2051</v>
      </c>
      <c r="D1394" t="s">
        <v>2066</v>
      </c>
    </row>
    <row r="1395" spans="1:4" x14ac:dyDescent="0.3">
      <c r="A1395" t="s">
        <v>446</v>
      </c>
      <c r="B1395">
        <v>4.0598063786682376E-2</v>
      </c>
      <c r="C1395" t="s">
        <v>2051</v>
      </c>
      <c r="D1395" t="s">
        <v>2066</v>
      </c>
    </row>
    <row r="1396" spans="1:4" x14ac:dyDescent="0.3">
      <c r="A1396" t="s">
        <v>1632</v>
      </c>
      <c r="B1396">
        <v>11.063460790161059</v>
      </c>
      <c r="C1396" t="s">
        <v>2051</v>
      </c>
      <c r="D1396" t="s">
        <v>2066</v>
      </c>
    </row>
    <row r="1397" spans="1:4" x14ac:dyDescent="0.3">
      <c r="A1397" t="s">
        <v>1626</v>
      </c>
      <c r="B1397">
        <v>9.0097422748211198</v>
      </c>
      <c r="C1397" t="s">
        <v>2051</v>
      </c>
      <c r="D1397" t="s">
        <v>2066</v>
      </c>
    </row>
    <row r="1398" spans="1:4" x14ac:dyDescent="0.3">
      <c r="A1398" t="s">
        <v>1627</v>
      </c>
      <c r="B1398">
        <v>3.7646719755045757</v>
      </c>
      <c r="C1398" t="s">
        <v>2051</v>
      </c>
      <c r="D1398" t="s">
        <v>2066</v>
      </c>
    </row>
    <row r="1399" spans="1:4" x14ac:dyDescent="0.3">
      <c r="A1399" t="s">
        <v>1625</v>
      </c>
      <c r="B1399">
        <v>-1.4138237660730051</v>
      </c>
      <c r="C1399" t="s">
        <v>2051</v>
      </c>
      <c r="D1399" t="s">
        <v>2066</v>
      </c>
    </row>
    <row r="1400" spans="1:4" x14ac:dyDescent="0.3">
      <c r="A1400" t="s">
        <v>1623</v>
      </c>
      <c r="B1400">
        <v>-0.2971296940916287</v>
      </c>
      <c r="C1400" t="s">
        <v>2051</v>
      </c>
      <c r="D1400" t="s">
        <v>2066</v>
      </c>
    </row>
    <row r="1401" spans="1:4" x14ac:dyDescent="0.3">
      <c r="A1401" t="s">
        <v>1633</v>
      </c>
      <c r="B1401">
        <v>72.111291937593691</v>
      </c>
      <c r="C1401" t="s">
        <v>2051</v>
      </c>
      <c r="D1401" t="s">
        <v>2066</v>
      </c>
    </row>
    <row r="1402" spans="1:4" x14ac:dyDescent="0.3">
      <c r="A1402" t="s">
        <v>1628</v>
      </c>
      <c r="B1402">
        <v>60.845852327794447</v>
      </c>
      <c r="C1402" t="s">
        <v>2051</v>
      </c>
      <c r="D1402" t="s">
        <v>2067</v>
      </c>
    </row>
    <row r="1403" spans="1:4" x14ac:dyDescent="0.3">
      <c r="A1403" t="s">
        <v>17</v>
      </c>
      <c r="B1403">
        <v>16.71703668757138</v>
      </c>
      <c r="C1403" t="s">
        <v>2051</v>
      </c>
      <c r="D1403" t="s">
        <v>2067</v>
      </c>
    </row>
    <row r="1404" spans="1:4" x14ac:dyDescent="0.3">
      <c r="A1404" t="s">
        <v>209</v>
      </c>
      <c r="B1404">
        <v>44.182283871894157</v>
      </c>
      <c r="C1404" t="s">
        <v>2051</v>
      </c>
      <c r="D1404" t="s">
        <v>2067</v>
      </c>
    </row>
    <row r="1405" spans="1:4" x14ac:dyDescent="0.3">
      <c r="A1405" t="s">
        <v>446</v>
      </c>
      <c r="B1405">
        <v>4.0598063786682376E-2</v>
      </c>
      <c r="C1405" t="s">
        <v>2051</v>
      </c>
      <c r="D1405" t="s">
        <v>2067</v>
      </c>
    </row>
    <row r="1406" spans="1:4" x14ac:dyDescent="0.3">
      <c r="A1406" t="s">
        <v>1632</v>
      </c>
      <c r="B1406">
        <v>11.063460790161059</v>
      </c>
      <c r="C1406" t="s">
        <v>2051</v>
      </c>
      <c r="D1406" t="s">
        <v>2067</v>
      </c>
    </row>
    <row r="1407" spans="1:4" x14ac:dyDescent="0.3">
      <c r="A1407" t="s">
        <v>1626</v>
      </c>
      <c r="B1407">
        <v>9.0097422748211198</v>
      </c>
      <c r="C1407" t="s">
        <v>2051</v>
      </c>
      <c r="D1407" t="s">
        <v>2067</v>
      </c>
    </row>
    <row r="1408" spans="1:4" x14ac:dyDescent="0.3">
      <c r="A1408" t="s">
        <v>1627</v>
      </c>
      <c r="B1408">
        <v>3.7646719755045757</v>
      </c>
      <c r="C1408" t="s">
        <v>2051</v>
      </c>
      <c r="D1408" t="s">
        <v>2067</v>
      </c>
    </row>
    <row r="1409" spans="1:4" x14ac:dyDescent="0.3">
      <c r="A1409" t="s">
        <v>1625</v>
      </c>
      <c r="B1409">
        <v>-1.4138237660730051</v>
      </c>
      <c r="C1409" t="s">
        <v>2051</v>
      </c>
      <c r="D1409" t="s">
        <v>2067</v>
      </c>
    </row>
    <row r="1410" spans="1:4" x14ac:dyDescent="0.3">
      <c r="A1410" t="s">
        <v>1623</v>
      </c>
      <c r="B1410">
        <v>-0.2971296940916287</v>
      </c>
      <c r="C1410" t="s">
        <v>2051</v>
      </c>
      <c r="D1410" t="s">
        <v>2067</v>
      </c>
    </row>
    <row r="1411" spans="1:4" x14ac:dyDescent="0.3">
      <c r="A1411" t="s">
        <v>1633</v>
      </c>
      <c r="B1411">
        <v>71.909313117955506</v>
      </c>
      <c r="C1411" t="s">
        <v>2051</v>
      </c>
      <c r="D1411" t="s">
        <v>2067</v>
      </c>
    </row>
    <row r="1412" spans="1:4" x14ac:dyDescent="0.3">
      <c r="A1412" t="s">
        <v>1628</v>
      </c>
      <c r="B1412">
        <v>61.428858175893012</v>
      </c>
      <c r="C1412" t="s">
        <v>2051</v>
      </c>
      <c r="D1412" t="s">
        <v>2068</v>
      </c>
    </row>
    <row r="1413" spans="1:4" x14ac:dyDescent="0.3">
      <c r="A1413" t="s">
        <v>17</v>
      </c>
      <c r="B1413">
        <v>16.71703668757138</v>
      </c>
      <c r="C1413" t="s">
        <v>2051</v>
      </c>
      <c r="D1413" t="s">
        <v>2068</v>
      </c>
    </row>
    <row r="1414" spans="1:4" x14ac:dyDescent="0.3">
      <c r="A1414" t="s">
        <v>209</v>
      </c>
      <c r="B1414">
        <v>44.765289719992722</v>
      </c>
      <c r="C1414" t="s">
        <v>2051</v>
      </c>
      <c r="D1414" t="s">
        <v>2068</v>
      </c>
    </row>
    <row r="1415" spans="1:4" x14ac:dyDescent="0.3">
      <c r="A1415" t="s">
        <v>446</v>
      </c>
      <c r="B1415">
        <v>4.0598063786682376E-2</v>
      </c>
      <c r="C1415" t="s">
        <v>2051</v>
      </c>
      <c r="D1415" t="s">
        <v>2068</v>
      </c>
    </row>
    <row r="1416" spans="1:4" x14ac:dyDescent="0.3">
      <c r="A1416" t="s">
        <v>1632</v>
      </c>
      <c r="B1416">
        <v>11.063460790161059</v>
      </c>
      <c r="C1416" t="s">
        <v>2051</v>
      </c>
      <c r="D1416" t="s">
        <v>2068</v>
      </c>
    </row>
    <row r="1417" spans="1:4" x14ac:dyDescent="0.3">
      <c r="A1417" t="s">
        <v>1626</v>
      </c>
      <c r="B1417">
        <v>9.0097422748211198</v>
      </c>
      <c r="C1417" t="s">
        <v>2051</v>
      </c>
      <c r="D1417" t="s">
        <v>2068</v>
      </c>
    </row>
    <row r="1418" spans="1:4" x14ac:dyDescent="0.3">
      <c r="A1418" t="s">
        <v>1627</v>
      </c>
      <c r="B1418">
        <v>3.7646719755045757</v>
      </c>
      <c r="C1418" t="s">
        <v>2051</v>
      </c>
      <c r="D1418" t="s">
        <v>2068</v>
      </c>
    </row>
    <row r="1419" spans="1:4" x14ac:dyDescent="0.3">
      <c r="A1419" t="s">
        <v>1625</v>
      </c>
      <c r="B1419">
        <v>-1.4138237660730051</v>
      </c>
      <c r="C1419" t="s">
        <v>2051</v>
      </c>
      <c r="D1419" t="s">
        <v>2068</v>
      </c>
    </row>
    <row r="1420" spans="1:4" x14ac:dyDescent="0.3">
      <c r="A1420" t="s">
        <v>1623</v>
      </c>
      <c r="B1420">
        <v>-0.2971296940916287</v>
      </c>
      <c r="C1420" t="s">
        <v>2051</v>
      </c>
      <c r="D1420" t="s">
        <v>2068</v>
      </c>
    </row>
    <row r="1421" spans="1:4" x14ac:dyDescent="0.3">
      <c r="A1421" t="s">
        <v>1633</v>
      </c>
      <c r="B1421">
        <v>72.492318966054071</v>
      </c>
      <c r="C1421" t="s">
        <v>2051</v>
      </c>
      <c r="D1421" t="s">
        <v>2068</v>
      </c>
    </row>
    <row r="1422" spans="1:4" x14ac:dyDescent="0.3">
      <c r="A1422" t="s">
        <v>1628</v>
      </c>
      <c r="B1422">
        <v>60.96585154552465</v>
      </c>
      <c r="C1422" t="s">
        <v>2051</v>
      </c>
      <c r="D1422" t="s">
        <v>2069</v>
      </c>
    </row>
    <row r="1423" spans="1:4" x14ac:dyDescent="0.3">
      <c r="A1423" t="s">
        <v>17</v>
      </c>
      <c r="B1423">
        <v>16.71703668757138</v>
      </c>
      <c r="C1423" t="s">
        <v>2051</v>
      </c>
      <c r="D1423" t="s">
        <v>2069</v>
      </c>
    </row>
    <row r="1424" spans="1:4" x14ac:dyDescent="0.3">
      <c r="A1424" t="s">
        <v>209</v>
      </c>
      <c r="B1424">
        <v>44.30228308962436</v>
      </c>
      <c r="C1424" t="s">
        <v>2051</v>
      </c>
      <c r="D1424" t="s">
        <v>2069</v>
      </c>
    </row>
    <row r="1425" spans="1:4" x14ac:dyDescent="0.3">
      <c r="A1425" t="s">
        <v>446</v>
      </c>
      <c r="B1425">
        <v>4.0598063786682376E-2</v>
      </c>
      <c r="C1425" t="s">
        <v>2051</v>
      </c>
      <c r="D1425" t="s">
        <v>2069</v>
      </c>
    </row>
    <row r="1426" spans="1:4" x14ac:dyDescent="0.3">
      <c r="A1426" t="s">
        <v>1632</v>
      </c>
      <c r="B1426">
        <v>11.063460790161059</v>
      </c>
      <c r="C1426" t="s">
        <v>2051</v>
      </c>
      <c r="D1426" t="s">
        <v>2069</v>
      </c>
    </row>
    <row r="1427" spans="1:4" x14ac:dyDescent="0.3">
      <c r="A1427" t="s">
        <v>1626</v>
      </c>
      <c r="B1427">
        <v>9.0097422748211198</v>
      </c>
      <c r="C1427" t="s">
        <v>2051</v>
      </c>
      <c r="D1427" t="s">
        <v>2069</v>
      </c>
    </row>
    <row r="1428" spans="1:4" x14ac:dyDescent="0.3">
      <c r="A1428" t="s">
        <v>1627</v>
      </c>
      <c r="B1428">
        <v>3.7646719755045757</v>
      </c>
      <c r="C1428" t="s">
        <v>2051</v>
      </c>
      <c r="D1428" t="s">
        <v>2069</v>
      </c>
    </row>
    <row r="1429" spans="1:4" x14ac:dyDescent="0.3">
      <c r="A1429" t="s">
        <v>1625</v>
      </c>
      <c r="B1429">
        <v>-1.4138237660730051</v>
      </c>
      <c r="C1429" t="s">
        <v>2051</v>
      </c>
      <c r="D1429" t="s">
        <v>2069</v>
      </c>
    </row>
    <row r="1430" spans="1:4" x14ac:dyDescent="0.3">
      <c r="A1430" t="s">
        <v>1623</v>
      </c>
      <c r="B1430">
        <v>-0.2971296940916287</v>
      </c>
      <c r="C1430" t="s">
        <v>2051</v>
      </c>
      <c r="D1430" t="s">
        <v>2069</v>
      </c>
    </row>
    <row r="1431" spans="1:4" x14ac:dyDescent="0.3">
      <c r="A1431" t="s">
        <v>1633</v>
      </c>
      <c r="B1431">
        <v>72.029312335685717</v>
      </c>
      <c r="C1431" t="s">
        <v>2051</v>
      </c>
      <c r="D1431" t="s">
        <v>2069</v>
      </c>
    </row>
    <row r="1432" spans="1:4" x14ac:dyDescent="0.3">
      <c r="A1432" t="s">
        <v>1628</v>
      </c>
      <c r="B1432">
        <v>60.996641857997318</v>
      </c>
      <c r="C1432" t="s">
        <v>2051</v>
      </c>
      <c r="D1432" t="s">
        <v>2070</v>
      </c>
    </row>
    <row r="1433" spans="1:4" x14ac:dyDescent="0.3">
      <c r="A1433" t="s">
        <v>17</v>
      </c>
      <c r="B1433">
        <v>16.71703668757138</v>
      </c>
      <c r="C1433" t="s">
        <v>2051</v>
      </c>
      <c r="D1433" t="s">
        <v>2070</v>
      </c>
    </row>
    <row r="1434" spans="1:4" x14ac:dyDescent="0.3">
      <c r="A1434" t="s">
        <v>209</v>
      </c>
      <c r="B1434">
        <v>44.333073402097028</v>
      </c>
      <c r="C1434" t="s">
        <v>2051</v>
      </c>
      <c r="D1434" t="s">
        <v>2070</v>
      </c>
    </row>
    <row r="1435" spans="1:4" x14ac:dyDescent="0.3">
      <c r="A1435" t="s">
        <v>446</v>
      </c>
      <c r="B1435">
        <v>4.0598063786682376E-2</v>
      </c>
      <c r="C1435" t="s">
        <v>2051</v>
      </c>
      <c r="D1435" t="s">
        <v>2070</v>
      </c>
    </row>
    <row r="1436" spans="1:4" x14ac:dyDescent="0.3">
      <c r="A1436" t="s">
        <v>1632</v>
      </c>
      <c r="B1436">
        <v>11.063460790161059</v>
      </c>
      <c r="C1436" t="s">
        <v>2051</v>
      </c>
      <c r="D1436" t="s">
        <v>2070</v>
      </c>
    </row>
    <row r="1437" spans="1:4" x14ac:dyDescent="0.3">
      <c r="A1437" t="s">
        <v>1626</v>
      </c>
      <c r="B1437">
        <v>9.0097422748211198</v>
      </c>
      <c r="C1437" t="s">
        <v>2051</v>
      </c>
      <c r="D1437" t="s">
        <v>2070</v>
      </c>
    </row>
    <row r="1438" spans="1:4" x14ac:dyDescent="0.3">
      <c r="A1438" t="s">
        <v>1627</v>
      </c>
      <c r="B1438">
        <v>3.7646719755045757</v>
      </c>
      <c r="C1438" t="s">
        <v>2051</v>
      </c>
      <c r="D1438" t="s">
        <v>2070</v>
      </c>
    </row>
    <row r="1439" spans="1:4" x14ac:dyDescent="0.3">
      <c r="A1439" t="s">
        <v>1625</v>
      </c>
      <c r="B1439">
        <v>-1.4138237660730051</v>
      </c>
      <c r="C1439" t="s">
        <v>2051</v>
      </c>
      <c r="D1439" t="s">
        <v>2070</v>
      </c>
    </row>
    <row r="1440" spans="1:4" x14ac:dyDescent="0.3">
      <c r="A1440" t="s">
        <v>1623</v>
      </c>
      <c r="B1440">
        <v>-0.2971296940916287</v>
      </c>
      <c r="C1440" t="s">
        <v>2051</v>
      </c>
      <c r="D1440" t="s">
        <v>2070</v>
      </c>
    </row>
    <row r="1441" spans="1:4" x14ac:dyDescent="0.3">
      <c r="A1441" t="s">
        <v>1633</v>
      </c>
      <c r="B1441">
        <v>72.060102648158377</v>
      </c>
      <c r="C1441" t="s">
        <v>2051</v>
      </c>
      <c r="D1441" t="s">
        <v>2070</v>
      </c>
    </row>
    <row r="1442" spans="1:4" x14ac:dyDescent="0.3">
      <c r="A1442" t="s">
        <v>1628</v>
      </c>
      <c r="B1442">
        <v>60.288971843456302</v>
      </c>
      <c r="C1442" t="s">
        <v>2051</v>
      </c>
      <c r="D1442" t="s">
        <v>2071</v>
      </c>
    </row>
    <row r="1443" spans="1:4" x14ac:dyDescent="0.3">
      <c r="A1443" t="s">
        <v>17</v>
      </c>
      <c r="B1443">
        <v>16.71703668757138</v>
      </c>
      <c r="C1443" t="s">
        <v>2051</v>
      </c>
      <c r="D1443" t="s">
        <v>2071</v>
      </c>
    </row>
    <row r="1444" spans="1:4" x14ac:dyDescent="0.3">
      <c r="A1444" t="s">
        <v>209</v>
      </c>
      <c r="B1444">
        <v>43.625403387556013</v>
      </c>
      <c r="C1444" t="s">
        <v>2051</v>
      </c>
      <c r="D1444" t="s">
        <v>2071</v>
      </c>
    </row>
    <row r="1445" spans="1:4" x14ac:dyDescent="0.3">
      <c r="A1445" t="s">
        <v>446</v>
      </c>
      <c r="B1445">
        <v>4.0598063786682376E-2</v>
      </c>
      <c r="C1445" t="s">
        <v>2051</v>
      </c>
      <c r="D1445" t="s">
        <v>2071</v>
      </c>
    </row>
    <row r="1446" spans="1:4" x14ac:dyDescent="0.3">
      <c r="A1446" t="s">
        <v>1632</v>
      </c>
      <c r="B1446">
        <v>11.063460790161059</v>
      </c>
      <c r="C1446" t="s">
        <v>2051</v>
      </c>
      <c r="D1446" t="s">
        <v>2071</v>
      </c>
    </row>
    <row r="1447" spans="1:4" x14ac:dyDescent="0.3">
      <c r="A1447" t="s">
        <v>1626</v>
      </c>
      <c r="B1447">
        <v>9.0097422748211198</v>
      </c>
      <c r="C1447" t="s">
        <v>2051</v>
      </c>
      <c r="D1447" t="s">
        <v>2071</v>
      </c>
    </row>
    <row r="1448" spans="1:4" x14ac:dyDescent="0.3">
      <c r="A1448" t="s">
        <v>1627</v>
      </c>
      <c r="B1448">
        <v>3.7646719755045757</v>
      </c>
      <c r="C1448" t="s">
        <v>2051</v>
      </c>
      <c r="D1448" t="s">
        <v>2071</v>
      </c>
    </row>
    <row r="1449" spans="1:4" x14ac:dyDescent="0.3">
      <c r="A1449" t="s">
        <v>1625</v>
      </c>
      <c r="B1449">
        <v>-1.4138237660730051</v>
      </c>
      <c r="C1449" t="s">
        <v>2051</v>
      </c>
      <c r="D1449" t="s">
        <v>2071</v>
      </c>
    </row>
    <row r="1450" spans="1:4" x14ac:dyDescent="0.3">
      <c r="A1450" t="s">
        <v>1623</v>
      </c>
      <c r="B1450">
        <v>-0.2971296940916287</v>
      </c>
      <c r="C1450" t="s">
        <v>2051</v>
      </c>
      <c r="D1450" t="s">
        <v>2071</v>
      </c>
    </row>
    <row r="1451" spans="1:4" x14ac:dyDescent="0.3">
      <c r="A1451" t="s">
        <v>1633</v>
      </c>
      <c r="B1451">
        <v>71.352432633617354</v>
      </c>
      <c r="C1451" t="s">
        <v>2051</v>
      </c>
      <c r="D1451" t="s">
        <v>2071</v>
      </c>
    </row>
    <row r="1452" spans="1:4" x14ac:dyDescent="0.3">
      <c r="A1452" t="s">
        <v>1628</v>
      </c>
      <c r="B1452">
        <v>60.521359596248971</v>
      </c>
      <c r="C1452" t="s">
        <v>2051</v>
      </c>
      <c r="D1452" t="s">
        <v>2072</v>
      </c>
    </row>
    <row r="1453" spans="1:4" x14ac:dyDescent="0.3">
      <c r="A1453" t="s">
        <v>17</v>
      </c>
      <c r="B1453">
        <v>16.71703668757138</v>
      </c>
      <c r="C1453" t="s">
        <v>2051</v>
      </c>
      <c r="D1453" t="s">
        <v>2072</v>
      </c>
    </row>
    <row r="1454" spans="1:4" x14ac:dyDescent="0.3">
      <c r="A1454" t="s">
        <v>209</v>
      </c>
      <c r="B1454">
        <v>43.857791140348681</v>
      </c>
      <c r="C1454" t="s">
        <v>2051</v>
      </c>
      <c r="D1454" t="s">
        <v>2072</v>
      </c>
    </row>
    <row r="1455" spans="1:4" x14ac:dyDescent="0.3">
      <c r="A1455" t="s">
        <v>446</v>
      </c>
      <c r="B1455">
        <v>4.0598063786682376E-2</v>
      </c>
      <c r="C1455" t="s">
        <v>2051</v>
      </c>
      <c r="D1455" t="s">
        <v>2072</v>
      </c>
    </row>
    <row r="1456" spans="1:4" x14ac:dyDescent="0.3">
      <c r="A1456" t="s">
        <v>1632</v>
      </c>
      <c r="B1456">
        <v>11.063460790161059</v>
      </c>
      <c r="C1456" t="s">
        <v>2051</v>
      </c>
      <c r="D1456" t="s">
        <v>2072</v>
      </c>
    </row>
    <row r="1457" spans="1:4" x14ac:dyDescent="0.3">
      <c r="A1457" t="s">
        <v>1626</v>
      </c>
      <c r="B1457">
        <v>9.0097422748211198</v>
      </c>
      <c r="C1457" t="s">
        <v>2051</v>
      </c>
      <c r="D1457" t="s">
        <v>2072</v>
      </c>
    </row>
    <row r="1458" spans="1:4" x14ac:dyDescent="0.3">
      <c r="A1458" t="s">
        <v>1627</v>
      </c>
      <c r="B1458">
        <v>3.7646719755045757</v>
      </c>
      <c r="C1458" t="s">
        <v>2051</v>
      </c>
      <c r="D1458" t="s">
        <v>2072</v>
      </c>
    </row>
    <row r="1459" spans="1:4" x14ac:dyDescent="0.3">
      <c r="A1459" t="s">
        <v>1625</v>
      </c>
      <c r="B1459">
        <v>-1.4138237660730051</v>
      </c>
      <c r="C1459" t="s">
        <v>2051</v>
      </c>
      <c r="D1459" t="s">
        <v>2072</v>
      </c>
    </row>
    <row r="1460" spans="1:4" x14ac:dyDescent="0.3">
      <c r="A1460" t="s">
        <v>1623</v>
      </c>
      <c r="B1460">
        <v>-0.2971296940916287</v>
      </c>
      <c r="C1460" t="s">
        <v>2051</v>
      </c>
      <c r="D1460" t="s">
        <v>2072</v>
      </c>
    </row>
    <row r="1461" spans="1:4" x14ac:dyDescent="0.3">
      <c r="A1461" t="s">
        <v>1633</v>
      </c>
      <c r="B1461">
        <v>71.58482038641003</v>
      </c>
      <c r="C1461" t="s">
        <v>2051</v>
      </c>
      <c r="D1461" t="s">
        <v>2072</v>
      </c>
    </row>
    <row r="1462" spans="1:4" x14ac:dyDescent="0.3">
      <c r="A1462" t="s">
        <v>1628</v>
      </c>
      <c r="B1462">
        <v>60.935625084426604</v>
      </c>
      <c r="C1462" t="s">
        <v>2051</v>
      </c>
      <c r="D1462" t="s">
        <v>2073</v>
      </c>
    </row>
    <row r="1463" spans="1:4" x14ac:dyDescent="0.3">
      <c r="A1463" t="s">
        <v>17</v>
      </c>
      <c r="B1463">
        <v>16.71703668757138</v>
      </c>
      <c r="C1463" t="s">
        <v>2051</v>
      </c>
      <c r="D1463" t="s">
        <v>2073</v>
      </c>
    </row>
    <row r="1464" spans="1:4" x14ac:dyDescent="0.3">
      <c r="A1464" t="s">
        <v>209</v>
      </c>
      <c r="B1464">
        <v>44.272056628526315</v>
      </c>
      <c r="C1464" t="s">
        <v>2051</v>
      </c>
      <c r="D1464" t="s">
        <v>2073</v>
      </c>
    </row>
    <row r="1465" spans="1:4" x14ac:dyDescent="0.3">
      <c r="A1465" t="s">
        <v>446</v>
      </c>
      <c r="B1465">
        <v>4.0598063786682376E-2</v>
      </c>
      <c r="C1465" t="s">
        <v>2051</v>
      </c>
      <c r="D1465" t="s">
        <v>2073</v>
      </c>
    </row>
    <row r="1466" spans="1:4" x14ac:dyDescent="0.3">
      <c r="A1466" t="s">
        <v>1632</v>
      </c>
      <c r="B1466">
        <v>11.063460790161059</v>
      </c>
      <c r="C1466" t="s">
        <v>2051</v>
      </c>
      <c r="D1466" t="s">
        <v>2073</v>
      </c>
    </row>
    <row r="1467" spans="1:4" x14ac:dyDescent="0.3">
      <c r="A1467" t="s">
        <v>1626</v>
      </c>
      <c r="B1467">
        <v>9.0097422748211198</v>
      </c>
      <c r="C1467" t="s">
        <v>2051</v>
      </c>
      <c r="D1467" t="s">
        <v>2073</v>
      </c>
    </row>
    <row r="1468" spans="1:4" x14ac:dyDescent="0.3">
      <c r="A1468" t="s">
        <v>1627</v>
      </c>
      <c r="B1468">
        <v>3.7646719755045757</v>
      </c>
      <c r="C1468" t="s">
        <v>2051</v>
      </c>
      <c r="D1468" t="s">
        <v>2073</v>
      </c>
    </row>
    <row r="1469" spans="1:4" x14ac:dyDescent="0.3">
      <c r="A1469" t="s">
        <v>1625</v>
      </c>
      <c r="B1469">
        <v>-1.4138237660730051</v>
      </c>
      <c r="C1469" t="s">
        <v>2051</v>
      </c>
      <c r="D1469" t="s">
        <v>2073</v>
      </c>
    </row>
    <row r="1470" spans="1:4" x14ac:dyDescent="0.3">
      <c r="A1470" t="s">
        <v>1623</v>
      </c>
      <c r="B1470">
        <v>-0.2971296940916287</v>
      </c>
      <c r="C1470" t="s">
        <v>2051</v>
      </c>
      <c r="D1470" t="s">
        <v>2073</v>
      </c>
    </row>
    <row r="1471" spans="1:4" x14ac:dyDescent="0.3">
      <c r="A1471" t="s">
        <v>1633</v>
      </c>
      <c r="B1471">
        <v>71.999085874587664</v>
      </c>
      <c r="C1471" t="s">
        <v>2051</v>
      </c>
      <c r="D1471" t="s">
        <v>2073</v>
      </c>
    </row>
    <row r="1472" spans="1:4" x14ac:dyDescent="0.3">
      <c r="A1472" t="s">
        <v>1628</v>
      </c>
      <c r="B1472">
        <v>60.985812683996059</v>
      </c>
      <c r="C1472" t="s">
        <v>2051</v>
      </c>
      <c r="D1472" t="s">
        <v>2050</v>
      </c>
    </row>
    <row r="1473" spans="1:4" x14ac:dyDescent="0.3">
      <c r="A1473" t="s">
        <v>17</v>
      </c>
      <c r="B1473">
        <v>16.71703668757138</v>
      </c>
      <c r="C1473" t="s">
        <v>2051</v>
      </c>
      <c r="D1473" t="s">
        <v>2050</v>
      </c>
    </row>
    <row r="1474" spans="1:4" x14ac:dyDescent="0.3">
      <c r="A1474" t="s">
        <v>209</v>
      </c>
      <c r="B1474">
        <v>44.322244228095769</v>
      </c>
      <c r="C1474" t="s">
        <v>2051</v>
      </c>
      <c r="D1474" t="s">
        <v>2050</v>
      </c>
    </row>
    <row r="1475" spans="1:4" x14ac:dyDescent="0.3">
      <c r="A1475" t="s">
        <v>446</v>
      </c>
      <c r="B1475">
        <v>4.0598063786682376E-2</v>
      </c>
      <c r="C1475" t="s">
        <v>2051</v>
      </c>
      <c r="D1475" t="s">
        <v>2050</v>
      </c>
    </row>
    <row r="1476" spans="1:4" x14ac:dyDescent="0.3">
      <c r="A1476" t="s">
        <v>1632</v>
      </c>
      <c r="B1476">
        <v>11.063460790161059</v>
      </c>
      <c r="C1476" t="s">
        <v>2051</v>
      </c>
      <c r="D1476" t="s">
        <v>2050</v>
      </c>
    </row>
    <row r="1477" spans="1:4" x14ac:dyDescent="0.3">
      <c r="A1477" t="s">
        <v>1626</v>
      </c>
      <c r="B1477">
        <v>9.0097422748211198</v>
      </c>
      <c r="C1477" t="s">
        <v>2051</v>
      </c>
      <c r="D1477" t="s">
        <v>2050</v>
      </c>
    </row>
    <row r="1478" spans="1:4" x14ac:dyDescent="0.3">
      <c r="A1478" t="s">
        <v>1627</v>
      </c>
      <c r="B1478">
        <v>3.7646719755045757</v>
      </c>
      <c r="C1478" t="s">
        <v>2051</v>
      </c>
      <c r="D1478" t="s">
        <v>2050</v>
      </c>
    </row>
    <row r="1479" spans="1:4" x14ac:dyDescent="0.3">
      <c r="A1479" t="s">
        <v>1625</v>
      </c>
      <c r="B1479">
        <v>-1.4138237660730051</v>
      </c>
      <c r="C1479" t="s">
        <v>2051</v>
      </c>
      <c r="D1479" t="s">
        <v>2050</v>
      </c>
    </row>
    <row r="1480" spans="1:4" x14ac:dyDescent="0.3">
      <c r="A1480" t="s">
        <v>1623</v>
      </c>
      <c r="B1480">
        <v>-0.2971296940916287</v>
      </c>
      <c r="C1480" t="s">
        <v>2051</v>
      </c>
      <c r="D1480" t="s">
        <v>2050</v>
      </c>
    </row>
    <row r="1481" spans="1:4" x14ac:dyDescent="0.3">
      <c r="A1481" t="s">
        <v>1633</v>
      </c>
      <c r="B1481">
        <v>72.049273474157118</v>
      </c>
      <c r="C1481" t="s">
        <v>2051</v>
      </c>
      <c r="D1481" t="s">
        <v>2050</v>
      </c>
    </row>
    <row r="1482" spans="1:4" x14ac:dyDescent="0.3">
      <c r="A1482" t="s">
        <v>1628</v>
      </c>
      <c r="B1482">
        <v>60.78432972120234</v>
      </c>
      <c r="C1482" t="s">
        <v>2051</v>
      </c>
      <c r="D1482" t="s">
        <v>2034</v>
      </c>
    </row>
    <row r="1483" spans="1:4" x14ac:dyDescent="0.3">
      <c r="A1483" t="s">
        <v>17</v>
      </c>
      <c r="B1483">
        <v>16.71703668757138</v>
      </c>
      <c r="C1483" t="s">
        <v>2051</v>
      </c>
      <c r="D1483" t="s">
        <v>2034</v>
      </c>
    </row>
    <row r="1484" spans="1:4" x14ac:dyDescent="0.3">
      <c r="A1484" t="s">
        <v>209</v>
      </c>
      <c r="B1484">
        <v>44.12076126530205</v>
      </c>
      <c r="C1484" t="s">
        <v>2051</v>
      </c>
      <c r="D1484" t="s">
        <v>2034</v>
      </c>
    </row>
    <row r="1485" spans="1:4" x14ac:dyDescent="0.3">
      <c r="A1485" t="s">
        <v>446</v>
      </c>
      <c r="B1485">
        <v>4.0598063786682376E-2</v>
      </c>
      <c r="C1485" t="s">
        <v>2051</v>
      </c>
      <c r="D1485" t="s">
        <v>2034</v>
      </c>
    </row>
    <row r="1486" spans="1:4" x14ac:dyDescent="0.3">
      <c r="A1486" t="s">
        <v>1632</v>
      </c>
      <c r="B1486">
        <v>11.063460790161059</v>
      </c>
      <c r="C1486" t="s">
        <v>2051</v>
      </c>
      <c r="D1486" t="s">
        <v>2034</v>
      </c>
    </row>
    <row r="1487" spans="1:4" x14ac:dyDescent="0.3">
      <c r="A1487" t="s">
        <v>1626</v>
      </c>
      <c r="B1487">
        <v>9.0097422748211198</v>
      </c>
      <c r="C1487" t="s">
        <v>2051</v>
      </c>
      <c r="D1487" t="s">
        <v>2034</v>
      </c>
    </row>
    <row r="1488" spans="1:4" x14ac:dyDescent="0.3">
      <c r="A1488" t="s">
        <v>1627</v>
      </c>
      <c r="B1488">
        <v>3.7646719755045757</v>
      </c>
      <c r="C1488" t="s">
        <v>2051</v>
      </c>
      <c r="D1488" t="s">
        <v>2034</v>
      </c>
    </row>
    <row r="1489" spans="1:4" x14ac:dyDescent="0.3">
      <c r="A1489" t="s">
        <v>1625</v>
      </c>
      <c r="B1489">
        <v>-1.4138237660730051</v>
      </c>
      <c r="C1489" t="s">
        <v>2051</v>
      </c>
      <c r="D1489" t="s">
        <v>2034</v>
      </c>
    </row>
    <row r="1490" spans="1:4" x14ac:dyDescent="0.3">
      <c r="A1490" t="s">
        <v>1623</v>
      </c>
      <c r="B1490">
        <v>-0.2971296940916287</v>
      </c>
      <c r="C1490" t="s">
        <v>2051</v>
      </c>
      <c r="D1490" t="s">
        <v>2034</v>
      </c>
    </row>
    <row r="1491" spans="1:4" x14ac:dyDescent="0.3">
      <c r="A1491" t="s">
        <v>1633</v>
      </c>
      <c r="B1491">
        <v>71.847790511363399</v>
      </c>
      <c r="C1491" t="s">
        <v>2051</v>
      </c>
      <c r="D1491" t="s">
        <v>2034</v>
      </c>
    </row>
    <row r="1492" spans="1:4" x14ac:dyDescent="0.3">
      <c r="A1492" t="s">
        <v>1628</v>
      </c>
      <c r="B1492">
        <v>60.95615768856851</v>
      </c>
      <c r="C1492" t="s">
        <v>2051</v>
      </c>
      <c r="D1492" t="s">
        <v>2035</v>
      </c>
    </row>
    <row r="1493" spans="1:4" x14ac:dyDescent="0.3">
      <c r="A1493" t="s">
        <v>17</v>
      </c>
      <c r="B1493">
        <v>16.71703668757138</v>
      </c>
      <c r="C1493" t="s">
        <v>2051</v>
      </c>
      <c r="D1493" t="s">
        <v>2035</v>
      </c>
    </row>
    <row r="1494" spans="1:4" x14ac:dyDescent="0.3">
      <c r="A1494" t="s">
        <v>209</v>
      </c>
      <c r="B1494">
        <v>44.29258923266822</v>
      </c>
      <c r="C1494" t="s">
        <v>2051</v>
      </c>
      <c r="D1494" t="s">
        <v>2035</v>
      </c>
    </row>
    <row r="1495" spans="1:4" x14ac:dyDescent="0.3">
      <c r="A1495" t="s">
        <v>446</v>
      </c>
      <c r="B1495">
        <v>4.0598063786682376E-2</v>
      </c>
      <c r="C1495" t="s">
        <v>2051</v>
      </c>
      <c r="D1495" t="s">
        <v>2035</v>
      </c>
    </row>
    <row r="1496" spans="1:4" x14ac:dyDescent="0.3">
      <c r="A1496" t="s">
        <v>1632</v>
      </c>
      <c r="B1496">
        <v>11.063460790161059</v>
      </c>
      <c r="C1496" t="s">
        <v>2051</v>
      </c>
      <c r="D1496" t="s">
        <v>2035</v>
      </c>
    </row>
    <row r="1497" spans="1:4" x14ac:dyDescent="0.3">
      <c r="A1497" t="s">
        <v>1626</v>
      </c>
      <c r="B1497">
        <v>9.0097422748211198</v>
      </c>
      <c r="C1497" t="s">
        <v>2051</v>
      </c>
      <c r="D1497" t="s">
        <v>2035</v>
      </c>
    </row>
    <row r="1498" spans="1:4" x14ac:dyDescent="0.3">
      <c r="A1498" t="s">
        <v>1627</v>
      </c>
      <c r="B1498">
        <v>3.7646719755045757</v>
      </c>
      <c r="C1498" t="s">
        <v>2051</v>
      </c>
      <c r="D1498" t="s">
        <v>2035</v>
      </c>
    </row>
    <row r="1499" spans="1:4" x14ac:dyDescent="0.3">
      <c r="A1499" t="s">
        <v>1625</v>
      </c>
      <c r="B1499">
        <v>-1.4138237660730051</v>
      </c>
      <c r="C1499" t="s">
        <v>2051</v>
      </c>
      <c r="D1499" t="s">
        <v>2035</v>
      </c>
    </row>
    <row r="1500" spans="1:4" x14ac:dyDescent="0.3">
      <c r="A1500" t="s">
        <v>1623</v>
      </c>
      <c r="B1500">
        <v>-0.2971296940916287</v>
      </c>
      <c r="C1500" t="s">
        <v>2051</v>
      </c>
      <c r="D1500" t="s">
        <v>2035</v>
      </c>
    </row>
    <row r="1501" spans="1:4" x14ac:dyDescent="0.3">
      <c r="A1501" t="s">
        <v>1633</v>
      </c>
      <c r="B1501">
        <v>72.019618478729569</v>
      </c>
      <c r="C1501" t="s">
        <v>2051</v>
      </c>
      <c r="D1501" t="s">
        <v>2035</v>
      </c>
    </row>
    <row r="1502" spans="1:4" x14ac:dyDescent="0.3">
      <c r="A1502" t="s">
        <v>1628</v>
      </c>
      <c r="B1502">
        <v>60.653604862195166</v>
      </c>
      <c r="C1502" t="s">
        <v>2051</v>
      </c>
      <c r="D1502" t="s">
        <v>2036</v>
      </c>
    </row>
    <row r="1503" spans="1:4" x14ac:dyDescent="0.3">
      <c r="A1503" t="s">
        <v>17</v>
      </c>
      <c r="B1503">
        <v>16.71703668757138</v>
      </c>
      <c r="C1503" t="s">
        <v>2051</v>
      </c>
      <c r="D1503" t="s">
        <v>2036</v>
      </c>
    </row>
    <row r="1504" spans="1:4" x14ac:dyDescent="0.3">
      <c r="A1504" t="s">
        <v>209</v>
      </c>
      <c r="B1504">
        <v>43.990036406294877</v>
      </c>
      <c r="C1504" t="s">
        <v>2051</v>
      </c>
      <c r="D1504" t="s">
        <v>2036</v>
      </c>
    </row>
    <row r="1505" spans="1:4" x14ac:dyDescent="0.3">
      <c r="A1505" t="s">
        <v>446</v>
      </c>
      <c r="B1505">
        <v>4.0598063786682376E-2</v>
      </c>
      <c r="C1505" t="s">
        <v>2051</v>
      </c>
      <c r="D1505" t="s">
        <v>2036</v>
      </c>
    </row>
    <row r="1506" spans="1:4" x14ac:dyDescent="0.3">
      <c r="A1506" t="s">
        <v>1632</v>
      </c>
      <c r="B1506">
        <v>11.063460790161059</v>
      </c>
      <c r="C1506" t="s">
        <v>2051</v>
      </c>
      <c r="D1506" t="s">
        <v>2036</v>
      </c>
    </row>
    <row r="1507" spans="1:4" x14ac:dyDescent="0.3">
      <c r="A1507" t="s">
        <v>1626</v>
      </c>
      <c r="B1507">
        <v>9.0097422748211198</v>
      </c>
      <c r="C1507" t="s">
        <v>2051</v>
      </c>
      <c r="D1507" t="s">
        <v>2036</v>
      </c>
    </row>
    <row r="1508" spans="1:4" x14ac:dyDescent="0.3">
      <c r="A1508" t="s">
        <v>1627</v>
      </c>
      <c r="B1508">
        <v>3.7646719755045757</v>
      </c>
      <c r="C1508" t="s">
        <v>2051</v>
      </c>
      <c r="D1508" t="s">
        <v>2036</v>
      </c>
    </row>
    <row r="1509" spans="1:4" x14ac:dyDescent="0.3">
      <c r="A1509" t="s">
        <v>1625</v>
      </c>
      <c r="B1509">
        <v>-1.4138237660730051</v>
      </c>
      <c r="C1509" t="s">
        <v>2051</v>
      </c>
      <c r="D1509" t="s">
        <v>2036</v>
      </c>
    </row>
    <row r="1510" spans="1:4" x14ac:dyDescent="0.3">
      <c r="A1510" t="s">
        <v>1623</v>
      </c>
      <c r="B1510">
        <v>-0.2971296940916287</v>
      </c>
      <c r="C1510" t="s">
        <v>2051</v>
      </c>
      <c r="D1510" t="s">
        <v>2036</v>
      </c>
    </row>
    <row r="1511" spans="1:4" x14ac:dyDescent="0.3">
      <c r="A1511" t="s">
        <v>1633</v>
      </c>
      <c r="B1511">
        <v>71.717065652356226</v>
      </c>
      <c r="C1511" t="s">
        <v>2051</v>
      </c>
      <c r="D1511" t="s">
        <v>2036</v>
      </c>
    </row>
    <row r="1512" spans="1:4" x14ac:dyDescent="0.3">
      <c r="A1512" t="s">
        <v>1628</v>
      </c>
      <c r="B1512">
        <v>60.954839238069255</v>
      </c>
      <c r="C1512" t="s">
        <v>2051</v>
      </c>
      <c r="D1512" t="s">
        <v>2037</v>
      </c>
    </row>
    <row r="1513" spans="1:4" x14ac:dyDescent="0.3">
      <c r="A1513" t="s">
        <v>17</v>
      </c>
      <c r="B1513">
        <v>16.71703668757138</v>
      </c>
      <c r="C1513" t="s">
        <v>2051</v>
      </c>
      <c r="D1513" t="s">
        <v>2037</v>
      </c>
    </row>
    <row r="1514" spans="1:4" x14ac:dyDescent="0.3">
      <c r="A1514" t="s">
        <v>209</v>
      </c>
      <c r="B1514">
        <v>44.291270782168965</v>
      </c>
      <c r="C1514" t="s">
        <v>2051</v>
      </c>
      <c r="D1514" t="s">
        <v>2037</v>
      </c>
    </row>
    <row r="1515" spans="1:4" x14ac:dyDescent="0.3">
      <c r="A1515" t="s">
        <v>446</v>
      </c>
      <c r="B1515">
        <v>4.0598063786682376E-2</v>
      </c>
      <c r="C1515" t="s">
        <v>2051</v>
      </c>
      <c r="D1515" t="s">
        <v>2037</v>
      </c>
    </row>
    <row r="1516" spans="1:4" x14ac:dyDescent="0.3">
      <c r="A1516" t="s">
        <v>1632</v>
      </c>
      <c r="B1516">
        <v>11.063460790161059</v>
      </c>
      <c r="C1516" t="s">
        <v>2051</v>
      </c>
      <c r="D1516" t="s">
        <v>2037</v>
      </c>
    </row>
    <row r="1517" spans="1:4" x14ac:dyDescent="0.3">
      <c r="A1517" t="s">
        <v>1626</v>
      </c>
      <c r="B1517">
        <v>9.0097422748211198</v>
      </c>
      <c r="C1517" t="s">
        <v>2051</v>
      </c>
      <c r="D1517" t="s">
        <v>2037</v>
      </c>
    </row>
    <row r="1518" spans="1:4" x14ac:dyDescent="0.3">
      <c r="A1518" t="s">
        <v>1627</v>
      </c>
      <c r="B1518">
        <v>3.7646719755045757</v>
      </c>
      <c r="C1518" t="s">
        <v>2051</v>
      </c>
      <c r="D1518" t="s">
        <v>2037</v>
      </c>
    </row>
    <row r="1519" spans="1:4" x14ac:dyDescent="0.3">
      <c r="A1519" t="s">
        <v>1625</v>
      </c>
      <c r="B1519">
        <v>-1.4138237660730051</v>
      </c>
      <c r="C1519" t="s">
        <v>2051</v>
      </c>
      <c r="D1519" t="s">
        <v>2037</v>
      </c>
    </row>
    <row r="1520" spans="1:4" x14ac:dyDescent="0.3">
      <c r="A1520" t="s">
        <v>1623</v>
      </c>
      <c r="B1520">
        <v>-0.2971296940916287</v>
      </c>
      <c r="C1520" t="s">
        <v>2051</v>
      </c>
      <c r="D1520" t="s">
        <v>2037</v>
      </c>
    </row>
    <row r="1521" spans="1:4" x14ac:dyDescent="0.3">
      <c r="A1521" t="s">
        <v>1633</v>
      </c>
      <c r="B1521">
        <v>72.018300028230314</v>
      </c>
      <c r="C1521" t="s">
        <v>2051</v>
      </c>
      <c r="D1521" t="s">
        <v>2037</v>
      </c>
    </row>
    <row r="1522" spans="1:4" x14ac:dyDescent="0.3">
      <c r="A1522" t="s">
        <v>1628</v>
      </c>
      <c r="B1522">
        <v>60.929515057337817</v>
      </c>
      <c r="C1522" t="s">
        <v>2051</v>
      </c>
      <c r="D1522" t="s">
        <v>2038</v>
      </c>
    </row>
    <row r="1523" spans="1:4" x14ac:dyDescent="0.3">
      <c r="A1523" t="s">
        <v>17</v>
      </c>
      <c r="B1523">
        <v>16.71703668757138</v>
      </c>
      <c r="C1523" t="s">
        <v>2051</v>
      </c>
      <c r="D1523" t="s">
        <v>2038</v>
      </c>
    </row>
    <row r="1524" spans="1:4" x14ac:dyDescent="0.3">
      <c r="A1524" t="s">
        <v>209</v>
      </c>
      <c r="B1524">
        <v>44.265946601437527</v>
      </c>
      <c r="C1524" t="s">
        <v>2051</v>
      </c>
      <c r="D1524" t="s">
        <v>2038</v>
      </c>
    </row>
    <row r="1525" spans="1:4" x14ac:dyDescent="0.3">
      <c r="A1525" t="s">
        <v>446</v>
      </c>
      <c r="B1525">
        <v>4.0598063786682376E-2</v>
      </c>
      <c r="C1525" t="s">
        <v>2051</v>
      </c>
      <c r="D1525" t="s">
        <v>2038</v>
      </c>
    </row>
    <row r="1526" spans="1:4" x14ac:dyDescent="0.3">
      <c r="A1526" t="s">
        <v>1632</v>
      </c>
      <c r="B1526">
        <v>11.063460790161059</v>
      </c>
      <c r="C1526" t="s">
        <v>2051</v>
      </c>
      <c r="D1526" t="s">
        <v>2038</v>
      </c>
    </row>
    <row r="1527" spans="1:4" x14ac:dyDescent="0.3">
      <c r="A1527" t="s">
        <v>1626</v>
      </c>
      <c r="B1527">
        <v>9.0097422748211198</v>
      </c>
      <c r="C1527" t="s">
        <v>2051</v>
      </c>
      <c r="D1527" t="s">
        <v>2038</v>
      </c>
    </row>
    <row r="1528" spans="1:4" x14ac:dyDescent="0.3">
      <c r="A1528" t="s">
        <v>1627</v>
      </c>
      <c r="B1528">
        <v>3.7646719755045757</v>
      </c>
      <c r="C1528" t="s">
        <v>2051</v>
      </c>
      <c r="D1528" t="s">
        <v>2038</v>
      </c>
    </row>
    <row r="1529" spans="1:4" x14ac:dyDescent="0.3">
      <c r="A1529" t="s">
        <v>1625</v>
      </c>
      <c r="B1529">
        <v>-1.4138237660730051</v>
      </c>
      <c r="C1529" t="s">
        <v>2051</v>
      </c>
      <c r="D1529" t="s">
        <v>2038</v>
      </c>
    </row>
    <row r="1530" spans="1:4" x14ac:dyDescent="0.3">
      <c r="A1530" t="s">
        <v>1623</v>
      </c>
      <c r="B1530">
        <v>-0.2971296940916287</v>
      </c>
      <c r="C1530" t="s">
        <v>2051</v>
      </c>
      <c r="D1530" t="s">
        <v>2038</v>
      </c>
    </row>
    <row r="1531" spans="1:4" x14ac:dyDescent="0.3">
      <c r="A1531" t="s">
        <v>1633</v>
      </c>
      <c r="B1531">
        <v>71.992975847498883</v>
      </c>
      <c r="C1531" t="s">
        <v>2051</v>
      </c>
      <c r="D1531" t="s">
        <v>2038</v>
      </c>
    </row>
    <row r="1532" spans="1:4" x14ac:dyDescent="0.3">
      <c r="A1532" t="s">
        <v>1628</v>
      </c>
      <c r="B1532">
        <v>60.435746549686023</v>
      </c>
      <c r="C1532" t="s">
        <v>2051</v>
      </c>
      <c r="D1532" t="s">
        <v>2039</v>
      </c>
    </row>
    <row r="1533" spans="1:4" x14ac:dyDescent="0.3">
      <c r="A1533" t="s">
        <v>17</v>
      </c>
      <c r="B1533">
        <v>16.71703668757138</v>
      </c>
      <c r="C1533" t="s">
        <v>2051</v>
      </c>
      <c r="D1533" t="s">
        <v>2039</v>
      </c>
    </row>
    <row r="1534" spans="1:4" x14ac:dyDescent="0.3">
      <c r="A1534" t="s">
        <v>209</v>
      </c>
      <c r="B1534">
        <v>43.772178093785733</v>
      </c>
      <c r="C1534" t="s">
        <v>2051</v>
      </c>
      <c r="D1534" t="s">
        <v>2039</v>
      </c>
    </row>
    <row r="1535" spans="1:4" x14ac:dyDescent="0.3">
      <c r="A1535" t="s">
        <v>446</v>
      </c>
      <c r="B1535">
        <v>4.0598063786682376E-2</v>
      </c>
      <c r="C1535" t="s">
        <v>2051</v>
      </c>
      <c r="D1535" t="s">
        <v>2039</v>
      </c>
    </row>
    <row r="1536" spans="1:4" x14ac:dyDescent="0.3">
      <c r="A1536" t="s">
        <v>1632</v>
      </c>
      <c r="B1536">
        <v>11.063460790161059</v>
      </c>
      <c r="C1536" t="s">
        <v>2051</v>
      </c>
      <c r="D1536" t="s">
        <v>2039</v>
      </c>
    </row>
    <row r="1537" spans="1:4" x14ac:dyDescent="0.3">
      <c r="A1537" t="s">
        <v>1626</v>
      </c>
      <c r="B1537">
        <v>9.0097422748211198</v>
      </c>
      <c r="C1537" t="s">
        <v>2051</v>
      </c>
      <c r="D1537" t="s">
        <v>2039</v>
      </c>
    </row>
    <row r="1538" spans="1:4" x14ac:dyDescent="0.3">
      <c r="A1538" t="s">
        <v>1627</v>
      </c>
      <c r="B1538">
        <v>3.7646719755045757</v>
      </c>
      <c r="C1538" t="s">
        <v>2051</v>
      </c>
      <c r="D1538" t="s">
        <v>2039</v>
      </c>
    </row>
    <row r="1539" spans="1:4" x14ac:dyDescent="0.3">
      <c r="A1539" t="s">
        <v>1625</v>
      </c>
      <c r="B1539">
        <v>-1.4138237660730051</v>
      </c>
      <c r="C1539" t="s">
        <v>2051</v>
      </c>
      <c r="D1539" t="s">
        <v>2039</v>
      </c>
    </row>
    <row r="1540" spans="1:4" x14ac:dyDescent="0.3">
      <c r="A1540" t="s">
        <v>1623</v>
      </c>
      <c r="B1540">
        <v>-0.2971296940916287</v>
      </c>
      <c r="C1540" t="s">
        <v>2051</v>
      </c>
      <c r="D1540" t="s">
        <v>2039</v>
      </c>
    </row>
    <row r="1541" spans="1:4" x14ac:dyDescent="0.3">
      <c r="A1541" t="s">
        <v>1633</v>
      </c>
      <c r="B1541">
        <v>71.499207339847089</v>
      </c>
      <c r="C1541" t="s">
        <v>2051</v>
      </c>
      <c r="D1541" t="s">
        <v>2039</v>
      </c>
    </row>
    <row r="1542" spans="1:4" x14ac:dyDescent="0.3">
      <c r="A1542" t="s">
        <v>1628</v>
      </c>
      <c r="B1542">
        <v>60.96585154552465</v>
      </c>
      <c r="C1542" t="s">
        <v>2051</v>
      </c>
      <c r="D1542" t="s">
        <v>2040</v>
      </c>
    </row>
    <row r="1543" spans="1:4" x14ac:dyDescent="0.3">
      <c r="A1543" t="s">
        <v>17</v>
      </c>
      <c r="B1543">
        <v>16.71703668757138</v>
      </c>
      <c r="C1543" t="s">
        <v>2051</v>
      </c>
      <c r="D1543" t="s">
        <v>2040</v>
      </c>
    </row>
    <row r="1544" spans="1:4" x14ac:dyDescent="0.3">
      <c r="A1544" t="s">
        <v>209</v>
      </c>
      <c r="B1544">
        <v>44.30228308962436</v>
      </c>
      <c r="C1544" t="s">
        <v>2051</v>
      </c>
      <c r="D1544" t="s">
        <v>2040</v>
      </c>
    </row>
    <row r="1545" spans="1:4" x14ac:dyDescent="0.3">
      <c r="A1545" t="s">
        <v>446</v>
      </c>
      <c r="B1545">
        <v>4.0598063786682376E-2</v>
      </c>
      <c r="C1545" t="s">
        <v>2051</v>
      </c>
      <c r="D1545" t="s">
        <v>2040</v>
      </c>
    </row>
    <row r="1546" spans="1:4" x14ac:dyDescent="0.3">
      <c r="A1546" t="s">
        <v>1632</v>
      </c>
      <c r="B1546">
        <v>11.063460790161059</v>
      </c>
      <c r="C1546" t="s">
        <v>2051</v>
      </c>
      <c r="D1546" t="s">
        <v>2040</v>
      </c>
    </row>
    <row r="1547" spans="1:4" x14ac:dyDescent="0.3">
      <c r="A1547" t="s">
        <v>1626</v>
      </c>
      <c r="B1547">
        <v>9.0097422748211198</v>
      </c>
      <c r="C1547" t="s">
        <v>2051</v>
      </c>
      <c r="D1547" t="s">
        <v>2040</v>
      </c>
    </row>
    <row r="1548" spans="1:4" x14ac:dyDescent="0.3">
      <c r="A1548" t="s">
        <v>1627</v>
      </c>
      <c r="B1548">
        <v>3.7646719755045757</v>
      </c>
      <c r="C1548" t="s">
        <v>2051</v>
      </c>
      <c r="D1548" t="s">
        <v>2040</v>
      </c>
    </row>
    <row r="1549" spans="1:4" x14ac:dyDescent="0.3">
      <c r="A1549" t="s">
        <v>1625</v>
      </c>
      <c r="B1549">
        <v>-1.4138237660730051</v>
      </c>
      <c r="C1549" t="s">
        <v>2051</v>
      </c>
      <c r="D1549" t="s">
        <v>2040</v>
      </c>
    </row>
    <row r="1550" spans="1:4" x14ac:dyDescent="0.3">
      <c r="A1550" t="s">
        <v>1623</v>
      </c>
      <c r="B1550">
        <v>-0.2971296940916287</v>
      </c>
      <c r="C1550" t="s">
        <v>2051</v>
      </c>
      <c r="D1550" t="s">
        <v>2040</v>
      </c>
    </row>
    <row r="1551" spans="1:4" x14ac:dyDescent="0.3">
      <c r="A1551" t="s">
        <v>1633</v>
      </c>
      <c r="B1551">
        <v>72.029312335685717</v>
      </c>
      <c r="C1551" t="s">
        <v>2051</v>
      </c>
      <c r="D1551" t="s">
        <v>2040</v>
      </c>
    </row>
    <row r="1552" spans="1:4" x14ac:dyDescent="0.3">
      <c r="A1552" t="s">
        <v>1628</v>
      </c>
      <c r="B1552">
        <v>60.96585154552465</v>
      </c>
      <c r="C1552" t="s">
        <v>2051</v>
      </c>
      <c r="D1552" t="s">
        <v>2041</v>
      </c>
    </row>
    <row r="1553" spans="1:4" x14ac:dyDescent="0.3">
      <c r="A1553" t="s">
        <v>17</v>
      </c>
      <c r="B1553">
        <v>16.71703668757138</v>
      </c>
      <c r="C1553" t="s">
        <v>2051</v>
      </c>
      <c r="D1553" t="s">
        <v>2041</v>
      </c>
    </row>
    <row r="1554" spans="1:4" x14ac:dyDescent="0.3">
      <c r="A1554" t="s">
        <v>209</v>
      </c>
      <c r="B1554">
        <v>44.30228308962436</v>
      </c>
      <c r="C1554" t="s">
        <v>2051</v>
      </c>
      <c r="D1554" t="s">
        <v>2041</v>
      </c>
    </row>
    <row r="1555" spans="1:4" x14ac:dyDescent="0.3">
      <c r="A1555" t="s">
        <v>446</v>
      </c>
      <c r="B1555">
        <v>4.0598063786682376E-2</v>
      </c>
      <c r="C1555" t="s">
        <v>2051</v>
      </c>
      <c r="D1555" t="s">
        <v>2041</v>
      </c>
    </row>
    <row r="1556" spans="1:4" x14ac:dyDescent="0.3">
      <c r="A1556" t="s">
        <v>1632</v>
      </c>
      <c r="B1556">
        <v>11.063460790161059</v>
      </c>
      <c r="C1556" t="s">
        <v>2051</v>
      </c>
      <c r="D1556" t="s">
        <v>2041</v>
      </c>
    </row>
    <row r="1557" spans="1:4" x14ac:dyDescent="0.3">
      <c r="A1557" t="s">
        <v>1626</v>
      </c>
      <c r="B1557">
        <v>9.0097422748211198</v>
      </c>
      <c r="C1557" t="s">
        <v>2051</v>
      </c>
      <c r="D1557" t="s">
        <v>2041</v>
      </c>
    </row>
    <row r="1558" spans="1:4" x14ac:dyDescent="0.3">
      <c r="A1558" t="s">
        <v>1627</v>
      </c>
      <c r="B1558">
        <v>3.7646719755045757</v>
      </c>
      <c r="C1558" t="s">
        <v>2051</v>
      </c>
      <c r="D1558" t="s">
        <v>2041</v>
      </c>
    </row>
    <row r="1559" spans="1:4" x14ac:dyDescent="0.3">
      <c r="A1559" t="s">
        <v>1625</v>
      </c>
      <c r="B1559">
        <v>-1.4138237660730051</v>
      </c>
      <c r="C1559" t="s">
        <v>2051</v>
      </c>
      <c r="D1559" t="s">
        <v>2041</v>
      </c>
    </row>
    <row r="1560" spans="1:4" x14ac:dyDescent="0.3">
      <c r="A1560" t="s">
        <v>1623</v>
      </c>
      <c r="B1560">
        <v>-0.2971296940916287</v>
      </c>
      <c r="C1560" t="s">
        <v>2051</v>
      </c>
      <c r="D1560" t="s">
        <v>2041</v>
      </c>
    </row>
    <row r="1561" spans="1:4" x14ac:dyDescent="0.3">
      <c r="A1561" t="s">
        <v>1633</v>
      </c>
      <c r="B1561">
        <v>72.029312335685717</v>
      </c>
      <c r="C1561" t="s">
        <v>2051</v>
      </c>
      <c r="D1561" t="s">
        <v>2041</v>
      </c>
    </row>
    <row r="1562" spans="1:4" x14ac:dyDescent="0.3">
      <c r="A1562" t="s">
        <v>1628</v>
      </c>
      <c r="B1562">
        <v>60.933258553436183</v>
      </c>
      <c r="C1562" t="s">
        <v>2051</v>
      </c>
      <c r="D1562" t="s">
        <v>2042</v>
      </c>
    </row>
    <row r="1563" spans="1:4" x14ac:dyDescent="0.3">
      <c r="A1563" t="s">
        <v>17</v>
      </c>
      <c r="B1563">
        <v>16.71703668757138</v>
      </c>
      <c r="C1563" t="s">
        <v>2051</v>
      </c>
      <c r="D1563" t="s">
        <v>2042</v>
      </c>
    </row>
    <row r="1564" spans="1:4" x14ac:dyDescent="0.3">
      <c r="A1564" t="s">
        <v>209</v>
      </c>
      <c r="B1564">
        <v>44.269690097535893</v>
      </c>
      <c r="C1564" t="s">
        <v>2051</v>
      </c>
      <c r="D1564" t="s">
        <v>2042</v>
      </c>
    </row>
    <row r="1565" spans="1:4" x14ac:dyDescent="0.3">
      <c r="A1565" t="s">
        <v>446</v>
      </c>
      <c r="B1565">
        <v>4.0598063786682376E-2</v>
      </c>
      <c r="C1565" t="s">
        <v>2051</v>
      </c>
      <c r="D1565" t="s">
        <v>2042</v>
      </c>
    </row>
    <row r="1566" spans="1:4" x14ac:dyDescent="0.3">
      <c r="A1566" t="s">
        <v>1632</v>
      </c>
      <c r="B1566">
        <v>11.063460790161059</v>
      </c>
      <c r="C1566" t="s">
        <v>2051</v>
      </c>
      <c r="D1566" t="s">
        <v>2042</v>
      </c>
    </row>
    <row r="1567" spans="1:4" x14ac:dyDescent="0.3">
      <c r="A1567" t="s">
        <v>1626</v>
      </c>
      <c r="B1567">
        <v>9.0097422748211198</v>
      </c>
      <c r="C1567" t="s">
        <v>2051</v>
      </c>
      <c r="D1567" t="s">
        <v>2042</v>
      </c>
    </row>
    <row r="1568" spans="1:4" x14ac:dyDescent="0.3">
      <c r="A1568" t="s">
        <v>1627</v>
      </c>
      <c r="B1568">
        <v>3.7646719755045757</v>
      </c>
      <c r="C1568" t="s">
        <v>2051</v>
      </c>
      <c r="D1568" t="s">
        <v>2042</v>
      </c>
    </row>
    <row r="1569" spans="1:4" x14ac:dyDescent="0.3">
      <c r="A1569" t="s">
        <v>1625</v>
      </c>
      <c r="B1569">
        <v>-1.4138237660730051</v>
      </c>
      <c r="C1569" t="s">
        <v>2051</v>
      </c>
      <c r="D1569" t="s">
        <v>2042</v>
      </c>
    </row>
    <row r="1570" spans="1:4" x14ac:dyDescent="0.3">
      <c r="A1570" t="s">
        <v>1623</v>
      </c>
      <c r="B1570">
        <v>-0.2971296940916287</v>
      </c>
      <c r="C1570" t="s">
        <v>2051</v>
      </c>
      <c r="D1570" t="s">
        <v>2042</v>
      </c>
    </row>
    <row r="1571" spans="1:4" x14ac:dyDescent="0.3">
      <c r="A1571" t="s">
        <v>1633</v>
      </c>
      <c r="B1571">
        <v>71.996719343597249</v>
      </c>
      <c r="C1571" t="s">
        <v>2051</v>
      </c>
      <c r="D1571" t="s">
        <v>2042</v>
      </c>
    </row>
    <row r="1572" spans="1:4" x14ac:dyDescent="0.3">
      <c r="A1572" t="s">
        <v>1628</v>
      </c>
      <c r="B1572">
        <v>61.211914770558252</v>
      </c>
      <c r="C1572" t="s">
        <v>2051</v>
      </c>
      <c r="D1572" t="s">
        <v>2043</v>
      </c>
    </row>
    <row r="1573" spans="1:4" x14ac:dyDescent="0.3">
      <c r="A1573" t="s">
        <v>17</v>
      </c>
      <c r="B1573">
        <v>16.71703668757138</v>
      </c>
      <c r="C1573" t="s">
        <v>2051</v>
      </c>
      <c r="D1573" t="s">
        <v>2043</v>
      </c>
    </row>
    <row r="1574" spans="1:4" x14ac:dyDescent="0.3">
      <c r="A1574" t="s">
        <v>209</v>
      </c>
      <c r="B1574">
        <v>44.548346314657962</v>
      </c>
      <c r="C1574" t="s">
        <v>2051</v>
      </c>
      <c r="D1574" t="s">
        <v>2043</v>
      </c>
    </row>
    <row r="1575" spans="1:4" x14ac:dyDescent="0.3">
      <c r="A1575" t="s">
        <v>446</v>
      </c>
      <c r="B1575">
        <v>4.0598063786682376E-2</v>
      </c>
      <c r="C1575" t="s">
        <v>2051</v>
      </c>
      <c r="D1575" t="s">
        <v>2043</v>
      </c>
    </row>
    <row r="1576" spans="1:4" x14ac:dyDescent="0.3">
      <c r="A1576" t="s">
        <v>1632</v>
      </c>
      <c r="B1576">
        <v>11.063460790161059</v>
      </c>
      <c r="C1576" t="s">
        <v>2051</v>
      </c>
      <c r="D1576" t="s">
        <v>2043</v>
      </c>
    </row>
    <row r="1577" spans="1:4" x14ac:dyDescent="0.3">
      <c r="A1577" t="s">
        <v>1626</v>
      </c>
      <c r="B1577">
        <v>9.0097422748211198</v>
      </c>
      <c r="C1577" t="s">
        <v>2051</v>
      </c>
      <c r="D1577" t="s">
        <v>2043</v>
      </c>
    </row>
    <row r="1578" spans="1:4" x14ac:dyDescent="0.3">
      <c r="A1578" t="s">
        <v>1627</v>
      </c>
      <c r="B1578">
        <v>3.7646719755045757</v>
      </c>
      <c r="C1578" t="s">
        <v>2051</v>
      </c>
      <c r="D1578" t="s">
        <v>2043</v>
      </c>
    </row>
    <row r="1579" spans="1:4" x14ac:dyDescent="0.3">
      <c r="A1579" t="s">
        <v>1625</v>
      </c>
      <c r="B1579">
        <v>-1.4138237660730051</v>
      </c>
      <c r="C1579" t="s">
        <v>2051</v>
      </c>
      <c r="D1579" t="s">
        <v>2043</v>
      </c>
    </row>
    <row r="1580" spans="1:4" x14ac:dyDescent="0.3">
      <c r="A1580" t="s">
        <v>1623</v>
      </c>
      <c r="B1580">
        <v>-0.2971296940916287</v>
      </c>
      <c r="C1580" t="s">
        <v>2051</v>
      </c>
      <c r="D1580" t="s">
        <v>2043</v>
      </c>
    </row>
    <row r="1581" spans="1:4" x14ac:dyDescent="0.3">
      <c r="A1581" t="s">
        <v>1633</v>
      </c>
      <c r="B1581">
        <v>72.275375560719311</v>
      </c>
      <c r="C1581" t="s">
        <v>2051</v>
      </c>
      <c r="D1581" t="s">
        <v>2043</v>
      </c>
    </row>
    <row r="1582" spans="1:4" x14ac:dyDescent="0.3">
      <c r="A1582" t="s">
        <v>1628</v>
      </c>
      <c r="B1582">
        <v>60.96585154552465</v>
      </c>
      <c r="C1582" t="s">
        <v>2051</v>
      </c>
      <c r="D1582" t="s">
        <v>2044</v>
      </c>
    </row>
    <row r="1583" spans="1:4" x14ac:dyDescent="0.3">
      <c r="A1583" t="s">
        <v>17</v>
      </c>
      <c r="B1583">
        <v>16.71703668757138</v>
      </c>
      <c r="C1583" t="s">
        <v>2051</v>
      </c>
      <c r="D1583" t="s">
        <v>2044</v>
      </c>
    </row>
    <row r="1584" spans="1:4" x14ac:dyDescent="0.3">
      <c r="A1584" t="s">
        <v>209</v>
      </c>
      <c r="B1584">
        <v>44.30228308962436</v>
      </c>
      <c r="C1584" t="s">
        <v>2051</v>
      </c>
      <c r="D1584" t="s">
        <v>2044</v>
      </c>
    </row>
    <row r="1585" spans="1:4" x14ac:dyDescent="0.3">
      <c r="A1585" t="s">
        <v>446</v>
      </c>
      <c r="B1585">
        <v>4.0598063786682376E-2</v>
      </c>
      <c r="C1585" t="s">
        <v>2051</v>
      </c>
      <c r="D1585" t="s">
        <v>2044</v>
      </c>
    </row>
    <row r="1586" spans="1:4" x14ac:dyDescent="0.3">
      <c r="A1586" t="s">
        <v>1632</v>
      </c>
      <c r="B1586">
        <v>11.063460790161059</v>
      </c>
      <c r="C1586" t="s">
        <v>2051</v>
      </c>
      <c r="D1586" t="s">
        <v>2044</v>
      </c>
    </row>
    <row r="1587" spans="1:4" x14ac:dyDescent="0.3">
      <c r="A1587" t="s">
        <v>1626</v>
      </c>
      <c r="B1587">
        <v>9.0097422748211198</v>
      </c>
      <c r="C1587" t="s">
        <v>2051</v>
      </c>
      <c r="D1587" t="s">
        <v>2044</v>
      </c>
    </row>
    <row r="1588" spans="1:4" x14ac:dyDescent="0.3">
      <c r="A1588" t="s">
        <v>1627</v>
      </c>
      <c r="B1588">
        <v>3.7646719755045757</v>
      </c>
      <c r="C1588" t="s">
        <v>2051</v>
      </c>
      <c r="D1588" t="s">
        <v>2044</v>
      </c>
    </row>
    <row r="1589" spans="1:4" x14ac:dyDescent="0.3">
      <c r="A1589" t="s">
        <v>1625</v>
      </c>
      <c r="B1589">
        <v>-1.4138237660730051</v>
      </c>
      <c r="C1589" t="s">
        <v>2051</v>
      </c>
      <c r="D1589" t="s">
        <v>2044</v>
      </c>
    </row>
    <row r="1590" spans="1:4" x14ac:dyDescent="0.3">
      <c r="A1590" t="s">
        <v>1623</v>
      </c>
      <c r="B1590">
        <v>-0.2971296940916287</v>
      </c>
      <c r="C1590" t="s">
        <v>2051</v>
      </c>
      <c r="D1590" t="s">
        <v>2044</v>
      </c>
    </row>
    <row r="1591" spans="1:4" x14ac:dyDescent="0.3">
      <c r="A1591" t="s">
        <v>1633</v>
      </c>
      <c r="B1591">
        <v>72.029312335685717</v>
      </c>
      <c r="C1591" t="s">
        <v>2051</v>
      </c>
      <c r="D1591" t="s">
        <v>2044</v>
      </c>
    </row>
    <row r="1592" spans="1:4" x14ac:dyDescent="0.3">
      <c r="A1592" t="s">
        <v>1628</v>
      </c>
      <c r="B1592">
        <v>62.608444065100294</v>
      </c>
      <c r="C1592" t="s">
        <v>2051</v>
      </c>
      <c r="D1592" t="s">
        <v>2045</v>
      </c>
    </row>
    <row r="1593" spans="1:4" x14ac:dyDescent="0.3">
      <c r="A1593" t="s">
        <v>17</v>
      </c>
      <c r="B1593">
        <v>16.71703668757138</v>
      </c>
      <c r="C1593" t="s">
        <v>2051</v>
      </c>
      <c r="D1593" t="s">
        <v>2045</v>
      </c>
    </row>
    <row r="1594" spans="1:4" x14ac:dyDescent="0.3">
      <c r="A1594" t="s">
        <v>209</v>
      </c>
      <c r="B1594">
        <v>45.944875609200004</v>
      </c>
      <c r="C1594" t="s">
        <v>2051</v>
      </c>
      <c r="D1594" t="s">
        <v>2045</v>
      </c>
    </row>
    <row r="1595" spans="1:4" x14ac:dyDescent="0.3">
      <c r="A1595" t="s">
        <v>446</v>
      </c>
      <c r="B1595">
        <v>4.0598063786682376E-2</v>
      </c>
      <c r="C1595" t="s">
        <v>2051</v>
      </c>
      <c r="D1595" t="s">
        <v>2045</v>
      </c>
    </row>
    <row r="1596" spans="1:4" x14ac:dyDescent="0.3">
      <c r="A1596" t="s">
        <v>1632</v>
      </c>
      <c r="B1596">
        <v>11.063460790161059</v>
      </c>
      <c r="C1596" t="s">
        <v>2051</v>
      </c>
      <c r="D1596" t="s">
        <v>2045</v>
      </c>
    </row>
    <row r="1597" spans="1:4" x14ac:dyDescent="0.3">
      <c r="A1597" t="s">
        <v>1626</v>
      </c>
      <c r="B1597">
        <v>9.0097422748211198</v>
      </c>
      <c r="C1597" t="s">
        <v>2051</v>
      </c>
      <c r="D1597" t="s">
        <v>2045</v>
      </c>
    </row>
    <row r="1598" spans="1:4" x14ac:dyDescent="0.3">
      <c r="A1598" t="s">
        <v>1627</v>
      </c>
      <c r="B1598">
        <v>3.7646719755045757</v>
      </c>
      <c r="C1598" t="s">
        <v>2051</v>
      </c>
      <c r="D1598" t="s">
        <v>2045</v>
      </c>
    </row>
    <row r="1599" spans="1:4" x14ac:dyDescent="0.3">
      <c r="A1599" t="s">
        <v>1625</v>
      </c>
      <c r="B1599">
        <v>-1.4138237660730051</v>
      </c>
      <c r="C1599" t="s">
        <v>2051</v>
      </c>
      <c r="D1599" t="s">
        <v>2045</v>
      </c>
    </row>
    <row r="1600" spans="1:4" x14ac:dyDescent="0.3">
      <c r="A1600" t="s">
        <v>1623</v>
      </c>
      <c r="B1600">
        <v>-0.2971296940916287</v>
      </c>
      <c r="C1600" t="s">
        <v>2051</v>
      </c>
      <c r="D1600" t="s">
        <v>2045</v>
      </c>
    </row>
    <row r="1601" spans="1:4" x14ac:dyDescent="0.3">
      <c r="A1601" t="s">
        <v>1633</v>
      </c>
      <c r="B1601">
        <v>73.671904855261346</v>
      </c>
      <c r="C1601" t="s">
        <v>2051</v>
      </c>
      <c r="D1601" t="s">
        <v>2045</v>
      </c>
    </row>
    <row r="1602" spans="1:4" x14ac:dyDescent="0.3">
      <c r="A1602" t="s">
        <v>1628</v>
      </c>
      <c r="B1602">
        <v>60.96585154552465</v>
      </c>
      <c r="C1602" t="s">
        <v>2051</v>
      </c>
      <c r="D1602" t="s">
        <v>2046</v>
      </c>
    </row>
    <row r="1603" spans="1:4" x14ac:dyDescent="0.3">
      <c r="A1603" t="s">
        <v>17</v>
      </c>
      <c r="B1603">
        <v>16.71703668757138</v>
      </c>
      <c r="C1603" t="s">
        <v>2051</v>
      </c>
      <c r="D1603" t="s">
        <v>2046</v>
      </c>
    </row>
    <row r="1604" spans="1:4" x14ac:dyDescent="0.3">
      <c r="A1604" t="s">
        <v>209</v>
      </c>
      <c r="B1604">
        <v>44.30228308962436</v>
      </c>
      <c r="C1604" t="s">
        <v>2051</v>
      </c>
      <c r="D1604" t="s">
        <v>2046</v>
      </c>
    </row>
    <row r="1605" spans="1:4" x14ac:dyDescent="0.3">
      <c r="A1605" t="s">
        <v>446</v>
      </c>
      <c r="B1605">
        <v>4.0598063786682376E-2</v>
      </c>
      <c r="C1605" t="s">
        <v>2051</v>
      </c>
      <c r="D1605" t="s">
        <v>2046</v>
      </c>
    </row>
    <row r="1606" spans="1:4" x14ac:dyDescent="0.3">
      <c r="A1606" t="s">
        <v>1632</v>
      </c>
      <c r="B1606">
        <v>11.063460790161059</v>
      </c>
      <c r="C1606" t="s">
        <v>2051</v>
      </c>
      <c r="D1606" t="s">
        <v>2046</v>
      </c>
    </row>
    <row r="1607" spans="1:4" x14ac:dyDescent="0.3">
      <c r="A1607" t="s">
        <v>1626</v>
      </c>
      <c r="B1607">
        <v>9.0097422748211198</v>
      </c>
      <c r="C1607" t="s">
        <v>2051</v>
      </c>
      <c r="D1607" t="s">
        <v>2046</v>
      </c>
    </row>
    <row r="1608" spans="1:4" x14ac:dyDescent="0.3">
      <c r="A1608" t="s">
        <v>1627</v>
      </c>
      <c r="B1608">
        <v>3.7646719755045757</v>
      </c>
      <c r="C1608" t="s">
        <v>2051</v>
      </c>
      <c r="D1608" t="s">
        <v>2046</v>
      </c>
    </row>
    <row r="1609" spans="1:4" x14ac:dyDescent="0.3">
      <c r="A1609" t="s">
        <v>1625</v>
      </c>
      <c r="B1609">
        <v>-1.4138237660730051</v>
      </c>
      <c r="C1609" t="s">
        <v>2051</v>
      </c>
      <c r="D1609" t="s">
        <v>2046</v>
      </c>
    </row>
    <row r="1610" spans="1:4" x14ac:dyDescent="0.3">
      <c r="A1610" t="s">
        <v>1623</v>
      </c>
      <c r="B1610">
        <v>-0.2971296940916287</v>
      </c>
      <c r="C1610" t="s">
        <v>2051</v>
      </c>
      <c r="D1610" t="s">
        <v>2046</v>
      </c>
    </row>
    <row r="1611" spans="1:4" x14ac:dyDescent="0.3">
      <c r="A1611" t="s">
        <v>1633</v>
      </c>
      <c r="B1611">
        <v>72.029312335685717</v>
      </c>
      <c r="C1611" t="s">
        <v>2051</v>
      </c>
      <c r="D1611" t="s">
        <v>2046</v>
      </c>
    </row>
    <row r="1612" spans="1:4" x14ac:dyDescent="0.3">
      <c r="A1612" t="s">
        <v>1628</v>
      </c>
      <c r="B1612">
        <v>60.96585154552465</v>
      </c>
      <c r="C1612" t="s">
        <v>2051</v>
      </c>
      <c r="D1612" t="s">
        <v>2276</v>
      </c>
    </row>
    <row r="1613" spans="1:4" x14ac:dyDescent="0.3">
      <c r="A1613" t="s">
        <v>17</v>
      </c>
      <c r="B1613">
        <v>16.71703668757138</v>
      </c>
      <c r="C1613" t="s">
        <v>2051</v>
      </c>
      <c r="D1613" t="s">
        <v>2276</v>
      </c>
    </row>
    <row r="1614" spans="1:4" x14ac:dyDescent="0.3">
      <c r="A1614" t="s">
        <v>209</v>
      </c>
      <c r="B1614">
        <v>44.30228308962436</v>
      </c>
      <c r="C1614" t="s">
        <v>2051</v>
      </c>
      <c r="D1614" t="s">
        <v>2276</v>
      </c>
    </row>
    <row r="1615" spans="1:4" x14ac:dyDescent="0.3">
      <c r="A1615" t="s">
        <v>446</v>
      </c>
      <c r="B1615">
        <v>4.0598063786682376E-2</v>
      </c>
      <c r="C1615" t="s">
        <v>2051</v>
      </c>
      <c r="D1615" t="s">
        <v>2276</v>
      </c>
    </row>
    <row r="1616" spans="1:4" x14ac:dyDescent="0.3">
      <c r="A1616" t="s">
        <v>1632</v>
      </c>
      <c r="B1616">
        <v>11.063460790161059</v>
      </c>
      <c r="C1616" t="s">
        <v>2051</v>
      </c>
      <c r="D1616" t="s">
        <v>2276</v>
      </c>
    </row>
    <row r="1617" spans="1:4" x14ac:dyDescent="0.3">
      <c r="A1617" t="s">
        <v>1626</v>
      </c>
      <c r="B1617">
        <v>9.0097422748211198</v>
      </c>
      <c r="C1617" t="s">
        <v>2051</v>
      </c>
      <c r="D1617" t="s">
        <v>2276</v>
      </c>
    </row>
    <row r="1618" spans="1:4" x14ac:dyDescent="0.3">
      <c r="A1618" t="s">
        <v>1627</v>
      </c>
      <c r="B1618">
        <v>3.7646719755045757</v>
      </c>
      <c r="C1618" t="s">
        <v>2051</v>
      </c>
      <c r="D1618" t="s">
        <v>2276</v>
      </c>
    </row>
    <row r="1619" spans="1:4" x14ac:dyDescent="0.3">
      <c r="A1619" t="s">
        <v>1625</v>
      </c>
      <c r="B1619">
        <v>-1.4138237660730051</v>
      </c>
      <c r="C1619" t="s">
        <v>2051</v>
      </c>
      <c r="D1619" t="s">
        <v>2276</v>
      </c>
    </row>
    <row r="1620" spans="1:4" x14ac:dyDescent="0.3">
      <c r="A1620" t="s">
        <v>1623</v>
      </c>
      <c r="B1620">
        <v>-0.2971296940916287</v>
      </c>
      <c r="C1620" t="s">
        <v>2051</v>
      </c>
      <c r="D1620" t="s">
        <v>2276</v>
      </c>
    </row>
    <row r="1621" spans="1:4" x14ac:dyDescent="0.3">
      <c r="A1621" t="s">
        <v>1633</v>
      </c>
      <c r="B1621">
        <v>72.029312335685717</v>
      </c>
      <c r="C1621" t="s">
        <v>2051</v>
      </c>
      <c r="D1621" t="s">
        <v>2276</v>
      </c>
    </row>
    <row r="1622" spans="1:4" x14ac:dyDescent="0.3">
      <c r="A1622" t="s">
        <v>1628</v>
      </c>
      <c r="B1622">
        <v>60.96585154552465</v>
      </c>
      <c r="C1622" t="s">
        <v>2051</v>
      </c>
      <c r="D1622" t="s">
        <v>2277</v>
      </c>
    </row>
    <row r="1623" spans="1:4" x14ac:dyDescent="0.3">
      <c r="A1623" t="s">
        <v>17</v>
      </c>
      <c r="B1623">
        <v>16.71703668757138</v>
      </c>
      <c r="C1623" t="s">
        <v>2051</v>
      </c>
      <c r="D1623" t="s">
        <v>2277</v>
      </c>
    </row>
    <row r="1624" spans="1:4" x14ac:dyDescent="0.3">
      <c r="A1624" t="s">
        <v>209</v>
      </c>
      <c r="B1624">
        <v>44.30228308962436</v>
      </c>
      <c r="C1624" t="s">
        <v>2051</v>
      </c>
      <c r="D1624" t="s">
        <v>2277</v>
      </c>
    </row>
    <row r="1625" spans="1:4" x14ac:dyDescent="0.3">
      <c r="A1625" t="s">
        <v>446</v>
      </c>
      <c r="B1625">
        <v>4.0598063786682376E-2</v>
      </c>
      <c r="C1625" t="s">
        <v>2051</v>
      </c>
      <c r="D1625" t="s">
        <v>2277</v>
      </c>
    </row>
    <row r="1626" spans="1:4" x14ac:dyDescent="0.3">
      <c r="A1626" t="s">
        <v>1632</v>
      </c>
      <c r="B1626">
        <v>11.063460790161059</v>
      </c>
      <c r="C1626" t="s">
        <v>2051</v>
      </c>
      <c r="D1626" t="s">
        <v>2277</v>
      </c>
    </row>
    <row r="1627" spans="1:4" x14ac:dyDescent="0.3">
      <c r="A1627" t="s">
        <v>1626</v>
      </c>
      <c r="B1627">
        <v>9.0097422748211198</v>
      </c>
      <c r="C1627" t="s">
        <v>2051</v>
      </c>
      <c r="D1627" t="s">
        <v>2277</v>
      </c>
    </row>
    <row r="1628" spans="1:4" x14ac:dyDescent="0.3">
      <c r="A1628" t="s">
        <v>1627</v>
      </c>
      <c r="B1628">
        <v>3.7646719755045757</v>
      </c>
      <c r="C1628" t="s">
        <v>2051</v>
      </c>
      <c r="D1628" t="s">
        <v>2277</v>
      </c>
    </row>
    <row r="1629" spans="1:4" x14ac:dyDescent="0.3">
      <c r="A1629" t="s">
        <v>1625</v>
      </c>
      <c r="B1629">
        <v>-1.4138237660730051</v>
      </c>
      <c r="C1629" t="s">
        <v>2051</v>
      </c>
      <c r="D1629" t="s">
        <v>2277</v>
      </c>
    </row>
    <row r="1630" spans="1:4" x14ac:dyDescent="0.3">
      <c r="A1630" t="s">
        <v>1623</v>
      </c>
      <c r="B1630">
        <v>-0.2971296940916287</v>
      </c>
      <c r="C1630" t="s">
        <v>2051</v>
      </c>
      <c r="D1630" t="s">
        <v>2277</v>
      </c>
    </row>
    <row r="1631" spans="1:4" x14ac:dyDescent="0.3">
      <c r="A1631" t="s">
        <v>1633</v>
      </c>
      <c r="B1631">
        <v>72.029312335685717</v>
      </c>
      <c r="C1631" t="s">
        <v>2051</v>
      </c>
      <c r="D1631" t="s">
        <v>2277</v>
      </c>
    </row>
    <row r="1632" spans="1:4" x14ac:dyDescent="0.3">
      <c r="A1632" t="s">
        <v>1628</v>
      </c>
      <c r="B1632">
        <v>60.96585154552465</v>
      </c>
      <c r="C1632" t="s">
        <v>2051</v>
      </c>
      <c r="D1632" t="s">
        <v>2278</v>
      </c>
    </row>
    <row r="1633" spans="1:4" x14ac:dyDescent="0.3">
      <c r="A1633" t="s">
        <v>17</v>
      </c>
      <c r="B1633">
        <v>16.71703668757138</v>
      </c>
      <c r="C1633" t="s">
        <v>2051</v>
      </c>
      <c r="D1633" t="s">
        <v>2278</v>
      </c>
    </row>
    <row r="1634" spans="1:4" x14ac:dyDescent="0.3">
      <c r="A1634" t="s">
        <v>209</v>
      </c>
      <c r="B1634">
        <v>44.30228308962436</v>
      </c>
      <c r="C1634" t="s">
        <v>2051</v>
      </c>
      <c r="D1634" t="s">
        <v>2278</v>
      </c>
    </row>
    <row r="1635" spans="1:4" x14ac:dyDescent="0.3">
      <c r="A1635" t="s">
        <v>446</v>
      </c>
      <c r="B1635">
        <v>4.0598063786682376E-2</v>
      </c>
      <c r="C1635" t="s">
        <v>2051</v>
      </c>
      <c r="D1635" t="s">
        <v>2278</v>
      </c>
    </row>
    <row r="1636" spans="1:4" x14ac:dyDescent="0.3">
      <c r="A1636" t="s">
        <v>1632</v>
      </c>
      <c r="B1636">
        <v>11.063460790161059</v>
      </c>
      <c r="C1636" t="s">
        <v>2051</v>
      </c>
      <c r="D1636" t="s">
        <v>2278</v>
      </c>
    </row>
    <row r="1637" spans="1:4" x14ac:dyDescent="0.3">
      <c r="A1637" t="s">
        <v>1626</v>
      </c>
      <c r="B1637">
        <v>9.0097422748211198</v>
      </c>
      <c r="C1637" t="s">
        <v>2051</v>
      </c>
      <c r="D1637" t="s">
        <v>2278</v>
      </c>
    </row>
    <row r="1638" spans="1:4" x14ac:dyDescent="0.3">
      <c r="A1638" t="s">
        <v>1627</v>
      </c>
      <c r="B1638">
        <v>3.7646719755045757</v>
      </c>
      <c r="C1638" t="s">
        <v>2051</v>
      </c>
      <c r="D1638" t="s">
        <v>2278</v>
      </c>
    </row>
    <row r="1639" spans="1:4" x14ac:dyDescent="0.3">
      <c r="A1639" t="s">
        <v>1625</v>
      </c>
      <c r="B1639">
        <v>-1.4138237660730051</v>
      </c>
      <c r="C1639" t="s">
        <v>2051</v>
      </c>
      <c r="D1639" t="s">
        <v>2278</v>
      </c>
    </row>
    <row r="1640" spans="1:4" x14ac:dyDescent="0.3">
      <c r="A1640" t="s">
        <v>1623</v>
      </c>
      <c r="B1640">
        <v>-0.2971296940916287</v>
      </c>
      <c r="C1640" t="s">
        <v>2051</v>
      </c>
      <c r="D1640" t="s">
        <v>2278</v>
      </c>
    </row>
    <row r="1641" spans="1:4" x14ac:dyDescent="0.3">
      <c r="A1641" t="s">
        <v>1633</v>
      </c>
      <c r="B1641">
        <v>72.029312335685717</v>
      </c>
      <c r="C1641" t="s">
        <v>2051</v>
      </c>
      <c r="D1641" t="s">
        <v>2278</v>
      </c>
    </row>
    <row r="1642" spans="1:4" x14ac:dyDescent="0.3">
      <c r="A1642" t="s">
        <v>1628</v>
      </c>
      <c r="B1642">
        <v>60.96585154552465</v>
      </c>
      <c r="C1642" t="s">
        <v>2051</v>
      </c>
      <c r="D1642" t="s">
        <v>2279</v>
      </c>
    </row>
    <row r="1643" spans="1:4" x14ac:dyDescent="0.3">
      <c r="A1643" t="s">
        <v>17</v>
      </c>
      <c r="B1643">
        <v>16.71703668757138</v>
      </c>
      <c r="C1643" t="s">
        <v>2051</v>
      </c>
      <c r="D1643" t="s">
        <v>2279</v>
      </c>
    </row>
    <row r="1644" spans="1:4" x14ac:dyDescent="0.3">
      <c r="A1644" t="s">
        <v>209</v>
      </c>
      <c r="B1644">
        <v>44.30228308962436</v>
      </c>
      <c r="C1644" t="s">
        <v>2051</v>
      </c>
      <c r="D1644" t="s">
        <v>2279</v>
      </c>
    </row>
    <row r="1645" spans="1:4" x14ac:dyDescent="0.3">
      <c r="A1645" t="s">
        <v>446</v>
      </c>
      <c r="B1645">
        <v>4.0598063786682376E-2</v>
      </c>
      <c r="C1645" t="s">
        <v>2051</v>
      </c>
      <c r="D1645" t="s">
        <v>2279</v>
      </c>
    </row>
    <row r="1646" spans="1:4" x14ac:dyDescent="0.3">
      <c r="A1646" t="s">
        <v>1632</v>
      </c>
      <c r="B1646">
        <v>11.063460790161059</v>
      </c>
      <c r="C1646" t="s">
        <v>2051</v>
      </c>
      <c r="D1646" t="s">
        <v>2279</v>
      </c>
    </row>
    <row r="1647" spans="1:4" x14ac:dyDescent="0.3">
      <c r="A1647" t="s">
        <v>1626</v>
      </c>
      <c r="B1647">
        <v>9.0097422748211198</v>
      </c>
      <c r="C1647" t="s">
        <v>2051</v>
      </c>
      <c r="D1647" t="s">
        <v>2279</v>
      </c>
    </row>
    <row r="1648" spans="1:4" x14ac:dyDescent="0.3">
      <c r="A1648" t="s">
        <v>1627</v>
      </c>
      <c r="B1648">
        <v>3.7646719755045757</v>
      </c>
      <c r="C1648" t="s">
        <v>2051</v>
      </c>
      <c r="D1648" t="s">
        <v>2279</v>
      </c>
    </row>
    <row r="1649" spans="1:4" x14ac:dyDescent="0.3">
      <c r="A1649" t="s">
        <v>1625</v>
      </c>
      <c r="B1649">
        <v>-1.4138237660730051</v>
      </c>
      <c r="C1649" t="s">
        <v>2051</v>
      </c>
      <c r="D1649" t="s">
        <v>2279</v>
      </c>
    </row>
    <row r="1650" spans="1:4" x14ac:dyDescent="0.3">
      <c r="A1650" t="s">
        <v>1623</v>
      </c>
      <c r="B1650">
        <v>-0.2971296940916287</v>
      </c>
      <c r="C1650" t="s">
        <v>2051</v>
      </c>
      <c r="D1650" t="s">
        <v>2279</v>
      </c>
    </row>
    <row r="1651" spans="1:4" x14ac:dyDescent="0.3">
      <c r="A1651" t="s">
        <v>1633</v>
      </c>
      <c r="B1651">
        <v>72.029312335685717</v>
      </c>
      <c r="C1651" t="s">
        <v>2051</v>
      </c>
      <c r="D1651" t="s">
        <v>2279</v>
      </c>
    </row>
    <row r="1652" spans="1:4" x14ac:dyDescent="0.3">
      <c r="A1652" t="s">
        <v>1628</v>
      </c>
      <c r="B1652">
        <v>60.96585154552465</v>
      </c>
      <c r="C1652" t="s">
        <v>2051</v>
      </c>
      <c r="D1652" t="s">
        <v>2280</v>
      </c>
    </row>
    <row r="1653" spans="1:4" x14ac:dyDescent="0.3">
      <c r="A1653" t="s">
        <v>17</v>
      </c>
      <c r="B1653">
        <v>16.71703668757138</v>
      </c>
      <c r="C1653" t="s">
        <v>2051</v>
      </c>
      <c r="D1653" t="s">
        <v>2280</v>
      </c>
    </row>
    <row r="1654" spans="1:4" x14ac:dyDescent="0.3">
      <c r="A1654" t="s">
        <v>209</v>
      </c>
      <c r="B1654">
        <v>44.30228308962436</v>
      </c>
      <c r="C1654" t="s">
        <v>2051</v>
      </c>
      <c r="D1654" t="s">
        <v>2280</v>
      </c>
    </row>
    <row r="1655" spans="1:4" x14ac:dyDescent="0.3">
      <c r="A1655" t="s">
        <v>446</v>
      </c>
      <c r="B1655">
        <v>4.0598063786682376E-2</v>
      </c>
      <c r="C1655" t="s">
        <v>2051</v>
      </c>
      <c r="D1655" t="s">
        <v>2280</v>
      </c>
    </row>
    <row r="1656" spans="1:4" x14ac:dyDescent="0.3">
      <c r="A1656" t="s">
        <v>1632</v>
      </c>
      <c r="B1656">
        <v>11.063460790161059</v>
      </c>
      <c r="C1656" t="s">
        <v>2051</v>
      </c>
      <c r="D1656" t="s">
        <v>2280</v>
      </c>
    </row>
    <row r="1657" spans="1:4" x14ac:dyDescent="0.3">
      <c r="A1657" t="s">
        <v>1626</v>
      </c>
      <c r="B1657">
        <v>9.0097422748211198</v>
      </c>
      <c r="C1657" t="s">
        <v>2051</v>
      </c>
      <c r="D1657" t="s">
        <v>2280</v>
      </c>
    </row>
    <row r="1658" spans="1:4" x14ac:dyDescent="0.3">
      <c r="A1658" t="s">
        <v>1627</v>
      </c>
      <c r="B1658">
        <v>3.7646719755045757</v>
      </c>
      <c r="C1658" t="s">
        <v>2051</v>
      </c>
      <c r="D1658" t="s">
        <v>2280</v>
      </c>
    </row>
    <row r="1659" spans="1:4" x14ac:dyDescent="0.3">
      <c r="A1659" t="s">
        <v>1625</v>
      </c>
      <c r="B1659">
        <v>-1.4138237660730051</v>
      </c>
      <c r="C1659" t="s">
        <v>2051</v>
      </c>
      <c r="D1659" t="s">
        <v>2280</v>
      </c>
    </row>
    <row r="1660" spans="1:4" x14ac:dyDescent="0.3">
      <c r="A1660" t="s">
        <v>1623</v>
      </c>
      <c r="B1660">
        <v>-0.2971296940916287</v>
      </c>
      <c r="C1660" t="s">
        <v>2051</v>
      </c>
      <c r="D1660" t="s">
        <v>2280</v>
      </c>
    </row>
    <row r="1661" spans="1:4" x14ac:dyDescent="0.3">
      <c r="A1661" t="s">
        <v>1633</v>
      </c>
      <c r="B1661">
        <v>72.029312335685717</v>
      </c>
      <c r="C1661" t="s">
        <v>2051</v>
      </c>
      <c r="D1661" t="s">
        <v>2280</v>
      </c>
    </row>
    <row r="1662" spans="1:4" x14ac:dyDescent="0.3">
      <c r="A1662" t="s">
        <v>1628</v>
      </c>
      <c r="B1662">
        <v>60.96585154552465</v>
      </c>
      <c r="C1662" t="s">
        <v>2051</v>
      </c>
      <c r="D1662" t="s">
        <v>2281</v>
      </c>
    </row>
    <row r="1663" spans="1:4" x14ac:dyDescent="0.3">
      <c r="A1663" t="s">
        <v>17</v>
      </c>
      <c r="B1663">
        <v>16.71703668757138</v>
      </c>
      <c r="C1663" t="s">
        <v>2051</v>
      </c>
      <c r="D1663" t="s">
        <v>2281</v>
      </c>
    </row>
    <row r="1664" spans="1:4" x14ac:dyDescent="0.3">
      <c r="A1664" t="s">
        <v>209</v>
      </c>
      <c r="B1664">
        <v>44.30228308962436</v>
      </c>
      <c r="C1664" t="s">
        <v>2051</v>
      </c>
      <c r="D1664" t="s">
        <v>2281</v>
      </c>
    </row>
    <row r="1665" spans="1:4" x14ac:dyDescent="0.3">
      <c r="A1665" t="s">
        <v>446</v>
      </c>
      <c r="B1665">
        <v>4.0598063786682376E-2</v>
      </c>
      <c r="C1665" t="s">
        <v>2051</v>
      </c>
      <c r="D1665" t="s">
        <v>2281</v>
      </c>
    </row>
    <row r="1666" spans="1:4" x14ac:dyDescent="0.3">
      <c r="A1666" t="s">
        <v>1632</v>
      </c>
      <c r="B1666">
        <v>11.063460790161059</v>
      </c>
      <c r="C1666" t="s">
        <v>2051</v>
      </c>
      <c r="D1666" t="s">
        <v>2281</v>
      </c>
    </row>
    <row r="1667" spans="1:4" x14ac:dyDescent="0.3">
      <c r="A1667" t="s">
        <v>1626</v>
      </c>
      <c r="B1667">
        <v>9.0097422748211198</v>
      </c>
      <c r="C1667" t="s">
        <v>2051</v>
      </c>
      <c r="D1667" t="s">
        <v>2281</v>
      </c>
    </row>
    <row r="1668" spans="1:4" x14ac:dyDescent="0.3">
      <c r="A1668" t="s">
        <v>1627</v>
      </c>
      <c r="B1668">
        <v>3.7646719755045757</v>
      </c>
      <c r="C1668" t="s">
        <v>2051</v>
      </c>
      <c r="D1668" t="s">
        <v>2281</v>
      </c>
    </row>
    <row r="1669" spans="1:4" x14ac:dyDescent="0.3">
      <c r="A1669" t="s">
        <v>1625</v>
      </c>
      <c r="B1669">
        <v>-1.4138237660730051</v>
      </c>
      <c r="C1669" t="s">
        <v>2051</v>
      </c>
      <c r="D1669" t="s">
        <v>2281</v>
      </c>
    </row>
    <row r="1670" spans="1:4" x14ac:dyDescent="0.3">
      <c r="A1670" t="s">
        <v>1623</v>
      </c>
      <c r="B1670">
        <v>-0.2971296940916287</v>
      </c>
      <c r="C1670" t="s">
        <v>2051</v>
      </c>
      <c r="D1670" t="s">
        <v>2281</v>
      </c>
    </row>
    <row r="1671" spans="1:4" x14ac:dyDescent="0.3">
      <c r="A1671" t="s">
        <v>1633</v>
      </c>
      <c r="B1671">
        <v>72.029312335685717</v>
      </c>
      <c r="C1671" t="s">
        <v>2051</v>
      </c>
      <c r="D1671" t="s">
        <v>2281</v>
      </c>
    </row>
    <row r="1672" spans="1:4" x14ac:dyDescent="0.3">
      <c r="A1672" t="s">
        <v>1628</v>
      </c>
      <c r="B1672">
        <v>11.254858234113794</v>
      </c>
      <c r="C1672" t="s">
        <v>2224</v>
      </c>
      <c r="D1672" t="s">
        <v>2024</v>
      </c>
    </row>
    <row r="1673" spans="1:4" x14ac:dyDescent="0.3">
      <c r="A1673" t="s">
        <v>17</v>
      </c>
      <c r="B1673">
        <v>1.688905677340204</v>
      </c>
      <c r="C1673" t="s">
        <v>2224</v>
      </c>
      <c r="D1673" t="s">
        <v>2024</v>
      </c>
    </row>
    <row r="1674" spans="1:4" x14ac:dyDescent="0.3">
      <c r="A1674" t="s">
        <v>209</v>
      </c>
      <c r="B1674">
        <v>9.5253544929869083</v>
      </c>
      <c r="C1674" t="s">
        <v>2224</v>
      </c>
      <c r="D1674" t="s">
        <v>2024</v>
      </c>
    </row>
    <row r="1675" spans="1:4" x14ac:dyDescent="0.3">
      <c r="A1675" t="s">
        <v>446</v>
      </c>
      <c r="B1675">
        <v>4.0598063786682376E-2</v>
      </c>
      <c r="C1675" t="s">
        <v>2224</v>
      </c>
      <c r="D1675" t="s">
        <v>2024</v>
      </c>
    </row>
    <row r="1676" spans="1:4" x14ac:dyDescent="0.3">
      <c r="A1676" t="s">
        <v>1632</v>
      </c>
      <c r="B1676" t="s">
        <v>361</v>
      </c>
      <c r="C1676" t="s">
        <v>2224</v>
      </c>
      <c r="D1676" t="s">
        <v>2024</v>
      </c>
    </row>
    <row r="1677" spans="1:4" x14ac:dyDescent="0.3">
      <c r="A1677" t="s">
        <v>1626</v>
      </c>
      <c r="B1677" t="s">
        <v>361</v>
      </c>
      <c r="C1677" t="s">
        <v>2224</v>
      </c>
      <c r="D1677" t="s">
        <v>2024</v>
      </c>
    </row>
    <row r="1678" spans="1:4" x14ac:dyDescent="0.3">
      <c r="A1678" t="s">
        <v>1627</v>
      </c>
      <c r="B1678" t="s">
        <v>361</v>
      </c>
      <c r="C1678" t="s">
        <v>2224</v>
      </c>
      <c r="D1678" t="s">
        <v>2024</v>
      </c>
    </row>
    <row r="1679" spans="1:4" x14ac:dyDescent="0.3">
      <c r="A1679" t="s">
        <v>1625</v>
      </c>
      <c r="B1679" t="s">
        <v>361</v>
      </c>
      <c r="C1679" t="s">
        <v>2224</v>
      </c>
      <c r="D1679" t="s">
        <v>2024</v>
      </c>
    </row>
    <row r="1680" spans="1:4" x14ac:dyDescent="0.3">
      <c r="A1680" t="s">
        <v>1623</v>
      </c>
      <c r="B1680" t="s">
        <v>361</v>
      </c>
      <c r="C1680" t="s">
        <v>2224</v>
      </c>
      <c r="D1680" t="s">
        <v>2024</v>
      </c>
    </row>
    <row r="1681" spans="1:4" x14ac:dyDescent="0.3">
      <c r="A1681" t="s">
        <v>1633</v>
      </c>
      <c r="B1681">
        <v>11.254858234113794</v>
      </c>
      <c r="C1681" t="s">
        <v>2224</v>
      </c>
      <c r="D1681" t="s">
        <v>2024</v>
      </c>
    </row>
    <row r="1682" spans="1:4" x14ac:dyDescent="0.3">
      <c r="A1682" t="s">
        <v>1628</v>
      </c>
      <c r="B1682">
        <v>22.260079254995357</v>
      </c>
      <c r="C1682" t="s">
        <v>2224</v>
      </c>
      <c r="D1682" t="s">
        <v>2025</v>
      </c>
    </row>
    <row r="1683" spans="1:4" x14ac:dyDescent="0.3">
      <c r="A1683" t="s">
        <v>17</v>
      </c>
      <c r="B1683">
        <v>3.421669128021958</v>
      </c>
      <c r="C1683" t="s">
        <v>2224</v>
      </c>
      <c r="D1683" t="s">
        <v>2025</v>
      </c>
    </row>
    <row r="1684" spans="1:4" x14ac:dyDescent="0.3">
      <c r="A1684" t="s">
        <v>209</v>
      </c>
      <c r="B1684">
        <v>18.797812063186718</v>
      </c>
      <c r="C1684" t="s">
        <v>2224</v>
      </c>
      <c r="D1684" t="s">
        <v>2025</v>
      </c>
    </row>
    <row r="1685" spans="1:4" x14ac:dyDescent="0.3">
      <c r="A1685" t="s">
        <v>446</v>
      </c>
      <c r="B1685">
        <v>4.0598063786682376E-2</v>
      </c>
      <c r="C1685" t="s">
        <v>2224</v>
      </c>
      <c r="D1685" t="s">
        <v>2025</v>
      </c>
    </row>
    <row r="1686" spans="1:4" x14ac:dyDescent="0.3">
      <c r="A1686" t="s">
        <v>1632</v>
      </c>
      <c r="B1686" t="s">
        <v>361</v>
      </c>
      <c r="C1686" t="s">
        <v>2224</v>
      </c>
      <c r="D1686" t="s">
        <v>2025</v>
      </c>
    </row>
    <row r="1687" spans="1:4" x14ac:dyDescent="0.3">
      <c r="A1687" t="s">
        <v>1626</v>
      </c>
      <c r="B1687" t="s">
        <v>361</v>
      </c>
      <c r="C1687" t="s">
        <v>2224</v>
      </c>
      <c r="D1687" t="s">
        <v>2025</v>
      </c>
    </row>
    <row r="1688" spans="1:4" x14ac:dyDescent="0.3">
      <c r="A1688" t="s">
        <v>1627</v>
      </c>
      <c r="B1688" t="s">
        <v>361</v>
      </c>
      <c r="C1688" t="s">
        <v>2224</v>
      </c>
      <c r="D1688" t="s">
        <v>2025</v>
      </c>
    </row>
    <row r="1689" spans="1:4" x14ac:dyDescent="0.3">
      <c r="A1689" t="s">
        <v>1625</v>
      </c>
      <c r="B1689" t="s">
        <v>361</v>
      </c>
      <c r="C1689" t="s">
        <v>2224</v>
      </c>
      <c r="D1689" t="s">
        <v>2025</v>
      </c>
    </row>
    <row r="1690" spans="1:4" x14ac:dyDescent="0.3">
      <c r="A1690" t="s">
        <v>1623</v>
      </c>
      <c r="B1690" t="s">
        <v>361</v>
      </c>
      <c r="C1690" t="s">
        <v>2224</v>
      </c>
      <c r="D1690" t="s">
        <v>2025</v>
      </c>
    </row>
    <row r="1691" spans="1:4" x14ac:dyDescent="0.3">
      <c r="A1691" t="s">
        <v>1633</v>
      </c>
      <c r="B1691">
        <v>22.260079254995357</v>
      </c>
      <c r="C1691" t="s">
        <v>2224</v>
      </c>
      <c r="D1691" t="s">
        <v>2025</v>
      </c>
    </row>
    <row r="1692" spans="1:4" x14ac:dyDescent="0.3">
      <c r="A1692" t="s">
        <v>1628</v>
      </c>
      <c r="B1692">
        <v>11.254858234113794</v>
      </c>
      <c r="C1692" t="s">
        <v>2224</v>
      </c>
      <c r="D1692" t="s">
        <v>2026</v>
      </c>
    </row>
    <row r="1693" spans="1:4" x14ac:dyDescent="0.3">
      <c r="A1693" t="s">
        <v>17</v>
      </c>
      <c r="B1693">
        <v>1.688905677340204</v>
      </c>
      <c r="C1693" t="s">
        <v>2224</v>
      </c>
      <c r="D1693" t="s">
        <v>2026</v>
      </c>
    </row>
    <row r="1694" spans="1:4" x14ac:dyDescent="0.3">
      <c r="A1694" t="s">
        <v>209</v>
      </c>
      <c r="B1694">
        <v>9.5253544929869083</v>
      </c>
      <c r="C1694" t="s">
        <v>2224</v>
      </c>
      <c r="D1694" t="s">
        <v>2026</v>
      </c>
    </row>
    <row r="1695" spans="1:4" x14ac:dyDescent="0.3">
      <c r="A1695" t="s">
        <v>446</v>
      </c>
      <c r="B1695">
        <v>4.0598063786682376E-2</v>
      </c>
      <c r="C1695" t="s">
        <v>2224</v>
      </c>
      <c r="D1695" t="s">
        <v>2026</v>
      </c>
    </row>
    <row r="1696" spans="1:4" x14ac:dyDescent="0.3">
      <c r="A1696" t="s">
        <v>1632</v>
      </c>
      <c r="B1696" t="s">
        <v>361</v>
      </c>
      <c r="C1696" t="s">
        <v>2224</v>
      </c>
      <c r="D1696" t="s">
        <v>2026</v>
      </c>
    </row>
    <row r="1697" spans="1:4" x14ac:dyDescent="0.3">
      <c r="A1697" t="s">
        <v>1626</v>
      </c>
      <c r="B1697" t="s">
        <v>361</v>
      </c>
      <c r="C1697" t="s">
        <v>2224</v>
      </c>
      <c r="D1697" t="s">
        <v>2026</v>
      </c>
    </row>
    <row r="1698" spans="1:4" x14ac:dyDescent="0.3">
      <c r="A1698" t="s">
        <v>1627</v>
      </c>
      <c r="B1698" t="s">
        <v>361</v>
      </c>
      <c r="C1698" t="s">
        <v>2224</v>
      </c>
      <c r="D1698" t="s">
        <v>2026</v>
      </c>
    </row>
    <row r="1699" spans="1:4" x14ac:dyDescent="0.3">
      <c r="A1699" t="s">
        <v>1625</v>
      </c>
      <c r="B1699" t="s">
        <v>361</v>
      </c>
      <c r="C1699" t="s">
        <v>2224</v>
      </c>
      <c r="D1699" t="s">
        <v>2026</v>
      </c>
    </row>
    <row r="1700" spans="1:4" x14ac:dyDescent="0.3">
      <c r="A1700" t="s">
        <v>1623</v>
      </c>
      <c r="B1700" t="s">
        <v>361</v>
      </c>
      <c r="C1700" t="s">
        <v>2224</v>
      </c>
      <c r="D1700" t="s">
        <v>2026</v>
      </c>
    </row>
    <row r="1701" spans="1:4" x14ac:dyDescent="0.3">
      <c r="A1701" t="s">
        <v>1633</v>
      </c>
      <c r="B1701">
        <v>11.254858234113794</v>
      </c>
      <c r="C1701" t="s">
        <v>2224</v>
      </c>
      <c r="D1701" t="s">
        <v>2026</v>
      </c>
    </row>
    <row r="1702" spans="1:4" x14ac:dyDescent="0.3">
      <c r="A1702" t="s">
        <v>1628</v>
      </c>
      <c r="B1702">
        <v>11.254858234113794</v>
      </c>
      <c r="C1702" t="s">
        <v>2224</v>
      </c>
      <c r="D1702" t="s">
        <v>2027</v>
      </c>
    </row>
    <row r="1703" spans="1:4" x14ac:dyDescent="0.3">
      <c r="A1703" t="s">
        <v>17</v>
      </c>
      <c r="B1703">
        <v>1.688905677340204</v>
      </c>
      <c r="C1703" t="s">
        <v>2224</v>
      </c>
      <c r="D1703" t="s">
        <v>2027</v>
      </c>
    </row>
    <row r="1704" spans="1:4" x14ac:dyDescent="0.3">
      <c r="A1704" t="s">
        <v>209</v>
      </c>
      <c r="B1704">
        <v>9.5253544929869083</v>
      </c>
      <c r="C1704" t="s">
        <v>2224</v>
      </c>
      <c r="D1704" t="s">
        <v>2027</v>
      </c>
    </row>
    <row r="1705" spans="1:4" x14ac:dyDescent="0.3">
      <c r="A1705" t="s">
        <v>446</v>
      </c>
      <c r="B1705">
        <v>4.0598063786682376E-2</v>
      </c>
      <c r="C1705" t="s">
        <v>2224</v>
      </c>
      <c r="D1705" t="s">
        <v>2027</v>
      </c>
    </row>
    <row r="1706" spans="1:4" x14ac:dyDescent="0.3">
      <c r="A1706" t="s">
        <v>1632</v>
      </c>
      <c r="B1706" t="s">
        <v>361</v>
      </c>
      <c r="C1706" t="s">
        <v>2224</v>
      </c>
      <c r="D1706" t="s">
        <v>2027</v>
      </c>
    </row>
    <row r="1707" spans="1:4" x14ac:dyDescent="0.3">
      <c r="A1707" t="s">
        <v>1626</v>
      </c>
      <c r="B1707" t="s">
        <v>361</v>
      </c>
      <c r="C1707" t="s">
        <v>2224</v>
      </c>
      <c r="D1707" t="s">
        <v>2027</v>
      </c>
    </row>
    <row r="1708" spans="1:4" x14ac:dyDescent="0.3">
      <c r="A1708" t="s">
        <v>1627</v>
      </c>
      <c r="B1708" t="s">
        <v>361</v>
      </c>
      <c r="C1708" t="s">
        <v>2224</v>
      </c>
      <c r="D1708" t="s">
        <v>2027</v>
      </c>
    </row>
    <row r="1709" spans="1:4" x14ac:dyDescent="0.3">
      <c r="A1709" t="s">
        <v>1625</v>
      </c>
      <c r="B1709" t="s">
        <v>361</v>
      </c>
      <c r="C1709" t="s">
        <v>2224</v>
      </c>
      <c r="D1709" t="s">
        <v>2027</v>
      </c>
    </row>
    <row r="1710" spans="1:4" x14ac:dyDescent="0.3">
      <c r="A1710" t="s">
        <v>1623</v>
      </c>
      <c r="B1710" t="s">
        <v>361</v>
      </c>
      <c r="C1710" t="s">
        <v>2224</v>
      </c>
      <c r="D1710" t="s">
        <v>2027</v>
      </c>
    </row>
    <row r="1711" spans="1:4" x14ac:dyDescent="0.3">
      <c r="A1711" t="s">
        <v>1633</v>
      </c>
      <c r="B1711">
        <v>11.254858234113794</v>
      </c>
      <c r="C1711" t="s">
        <v>2224</v>
      </c>
      <c r="D1711" t="s">
        <v>2027</v>
      </c>
    </row>
    <row r="1712" spans="1:4" x14ac:dyDescent="0.3">
      <c r="A1712" t="s">
        <v>1628</v>
      </c>
      <c r="B1712">
        <v>11.142994095158762</v>
      </c>
      <c r="C1712" t="s">
        <v>2224</v>
      </c>
      <c r="D1712" t="s">
        <v>2028</v>
      </c>
    </row>
    <row r="1713" spans="1:4" x14ac:dyDescent="0.3">
      <c r="A1713" t="s">
        <v>17</v>
      </c>
      <c r="B1713">
        <v>1.688905677340204</v>
      </c>
      <c r="C1713" t="s">
        <v>2224</v>
      </c>
      <c r="D1713" t="s">
        <v>2028</v>
      </c>
    </row>
    <row r="1714" spans="1:4" x14ac:dyDescent="0.3">
      <c r="A1714" t="s">
        <v>209</v>
      </c>
      <c r="B1714">
        <v>9.4134903540318771</v>
      </c>
      <c r="C1714" t="s">
        <v>2224</v>
      </c>
      <c r="D1714" t="s">
        <v>2028</v>
      </c>
    </row>
    <row r="1715" spans="1:4" x14ac:dyDescent="0.3">
      <c r="A1715" t="s">
        <v>446</v>
      </c>
      <c r="B1715">
        <v>4.0598063786682376E-2</v>
      </c>
      <c r="C1715" t="s">
        <v>2224</v>
      </c>
      <c r="D1715" t="s">
        <v>2028</v>
      </c>
    </row>
    <row r="1716" spans="1:4" x14ac:dyDescent="0.3">
      <c r="A1716" t="s">
        <v>1632</v>
      </c>
      <c r="B1716" t="s">
        <v>361</v>
      </c>
      <c r="C1716" t="s">
        <v>2224</v>
      </c>
      <c r="D1716" t="s">
        <v>2028</v>
      </c>
    </row>
    <row r="1717" spans="1:4" x14ac:dyDescent="0.3">
      <c r="A1717" t="s">
        <v>1626</v>
      </c>
      <c r="B1717" t="s">
        <v>361</v>
      </c>
      <c r="C1717" t="s">
        <v>2224</v>
      </c>
      <c r="D1717" t="s">
        <v>2028</v>
      </c>
    </row>
    <row r="1718" spans="1:4" x14ac:dyDescent="0.3">
      <c r="A1718" t="s">
        <v>1627</v>
      </c>
      <c r="B1718" t="s">
        <v>361</v>
      </c>
      <c r="C1718" t="s">
        <v>2224</v>
      </c>
      <c r="D1718" t="s">
        <v>2028</v>
      </c>
    </row>
    <row r="1719" spans="1:4" x14ac:dyDescent="0.3">
      <c r="A1719" t="s">
        <v>1625</v>
      </c>
      <c r="B1719" t="s">
        <v>361</v>
      </c>
      <c r="C1719" t="s">
        <v>2224</v>
      </c>
      <c r="D1719" t="s">
        <v>2028</v>
      </c>
    </row>
    <row r="1720" spans="1:4" x14ac:dyDescent="0.3">
      <c r="A1720" t="s">
        <v>1623</v>
      </c>
      <c r="B1720" t="s">
        <v>361</v>
      </c>
      <c r="C1720" t="s">
        <v>2224</v>
      </c>
      <c r="D1720" t="s">
        <v>2028</v>
      </c>
    </row>
    <row r="1721" spans="1:4" x14ac:dyDescent="0.3">
      <c r="A1721" t="s">
        <v>1633</v>
      </c>
      <c r="B1721">
        <v>11.142994095158762</v>
      </c>
      <c r="C1721" t="s">
        <v>2224</v>
      </c>
      <c r="D1721" t="s">
        <v>2028</v>
      </c>
    </row>
    <row r="1722" spans="1:4" x14ac:dyDescent="0.3">
      <c r="A1722" t="s">
        <v>1628</v>
      </c>
      <c r="B1722">
        <v>11.254858234113794</v>
      </c>
      <c r="C1722" t="s">
        <v>2224</v>
      </c>
      <c r="D1722" t="s">
        <v>2029</v>
      </c>
    </row>
    <row r="1723" spans="1:4" x14ac:dyDescent="0.3">
      <c r="A1723" t="s">
        <v>17</v>
      </c>
      <c r="B1723">
        <v>1.688905677340204</v>
      </c>
      <c r="C1723" t="s">
        <v>2224</v>
      </c>
      <c r="D1723" t="s">
        <v>2029</v>
      </c>
    </row>
    <row r="1724" spans="1:4" x14ac:dyDescent="0.3">
      <c r="A1724" t="s">
        <v>209</v>
      </c>
      <c r="B1724">
        <v>9.5253544929869083</v>
      </c>
      <c r="C1724" t="s">
        <v>2224</v>
      </c>
      <c r="D1724" t="s">
        <v>2029</v>
      </c>
    </row>
    <row r="1725" spans="1:4" x14ac:dyDescent="0.3">
      <c r="A1725" t="s">
        <v>446</v>
      </c>
      <c r="B1725">
        <v>4.0598063786682376E-2</v>
      </c>
      <c r="C1725" t="s">
        <v>2224</v>
      </c>
      <c r="D1725" t="s">
        <v>2029</v>
      </c>
    </row>
    <row r="1726" spans="1:4" x14ac:dyDescent="0.3">
      <c r="A1726" t="s">
        <v>1632</v>
      </c>
      <c r="B1726" t="s">
        <v>361</v>
      </c>
      <c r="C1726" t="s">
        <v>2224</v>
      </c>
      <c r="D1726" t="s">
        <v>2029</v>
      </c>
    </row>
    <row r="1727" spans="1:4" x14ac:dyDescent="0.3">
      <c r="A1727" t="s">
        <v>1626</v>
      </c>
      <c r="B1727" t="s">
        <v>361</v>
      </c>
      <c r="C1727" t="s">
        <v>2224</v>
      </c>
      <c r="D1727" t="s">
        <v>2029</v>
      </c>
    </row>
    <row r="1728" spans="1:4" x14ac:dyDescent="0.3">
      <c r="A1728" t="s">
        <v>1627</v>
      </c>
      <c r="B1728" t="s">
        <v>361</v>
      </c>
      <c r="C1728" t="s">
        <v>2224</v>
      </c>
      <c r="D1728" t="s">
        <v>2029</v>
      </c>
    </row>
    <row r="1729" spans="1:4" x14ac:dyDescent="0.3">
      <c r="A1729" t="s">
        <v>1625</v>
      </c>
      <c r="B1729" t="s">
        <v>361</v>
      </c>
      <c r="C1729" t="s">
        <v>2224</v>
      </c>
      <c r="D1729" t="s">
        <v>2029</v>
      </c>
    </row>
    <row r="1730" spans="1:4" x14ac:dyDescent="0.3">
      <c r="A1730" t="s">
        <v>1623</v>
      </c>
      <c r="B1730" t="s">
        <v>361</v>
      </c>
      <c r="C1730" t="s">
        <v>2224</v>
      </c>
      <c r="D1730" t="s">
        <v>2029</v>
      </c>
    </row>
    <row r="1731" spans="1:4" x14ac:dyDescent="0.3">
      <c r="A1731" t="s">
        <v>1633</v>
      </c>
      <c r="B1731">
        <v>11.254858234113794</v>
      </c>
      <c r="C1731" t="s">
        <v>2224</v>
      </c>
      <c r="D1731" t="s">
        <v>2029</v>
      </c>
    </row>
    <row r="1732" spans="1:4" x14ac:dyDescent="0.3">
      <c r="A1732" t="s">
        <v>1628</v>
      </c>
      <c r="B1732">
        <v>11.254858234113794</v>
      </c>
      <c r="C1732" t="s">
        <v>2224</v>
      </c>
      <c r="D1732" t="s">
        <v>2030</v>
      </c>
    </row>
    <row r="1733" spans="1:4" x14ac:dyDescent="0.3">
      <c r="A1733" t="s">
        <v>17</v>
      </c>
      <c r="B1733">
        <v>1.688905677340204</v>
      </c>
      <c r="C1733" t="s">
        <v>2224</v>
      </c>
      <c r="D1733" t="s">
        <v>2030</v>
      </c>
    </row>
    <row r="1734" spans="1:4" x14ac:dyDescent="0.3">
      <c r="A1734" t="s">
        <v>209</v>
      </c>
      <c r="B1734">
        <v>9.5253544929869083</v>
      </c>
      <c r="C1734" t="s">
        <v>2224</v>
      </c>
      <c r="D1734" t="s">
        <v>2030</v>
      </c>
    </row>
    <row r="1735" spans="1:4" x14ac:dyDescent="0.3">
      <c r="A1735" t="s">
        <v>446</v>
      </c>
      <c r="B1735">
        <v>4.0598063786682376E-2</v>
      </c>
      <c r="C1735" t="s">
        <v>2224</v>
      </c>
      <c r="D1735" t="s">
        <v>2030</v>
      </c>
    </row>
    <row r="1736" spans="1:4" x14ac:dyDescent="0.3">
      <c r="A1736" t="s">
        <v>1632</v>
      </c>
      <c r="B1736" t="s">
        <v>361</v>
      </c>
      <c r="C1736" t="s">
        <v>2224</v>
      </c>
      <c r="D1736" t="s">
        <v>2030</v>
      </c>
    </row>
    <row r="1737" spans="1:4" x14ac:dyDescent="0.3">
      <c r="A1737" t="s">
        <v>1626</v>
      </c>
      <c r="B1737" t="s">
        <v>361</v>
      </c>
      <c r="C1737" t="s">
        <v>2224</v>
      </c>
      <c r="D1737" t="s">
        <v>2030</v>
      </c>
    </row>
    <row r="1738" spans="1:4" x14ac:dyDescent="0.3">
      <c r="A1738" t="s">
        <v>1627</v>
      </c>
      <c r="B1738" t="s">
        <v>361</v>
      </c>
      <c r="C1738" t="s">
        <v>2224</v>
      </c>
      <c r="D1738" t="s">
        <v>2030</v>
      </c>
    </row>
    <row r="1739" spans="1:4" x14ac:dyDescent="0.3">
      <c r="A1739" t="s">
        <v>1625</v>
      </c>
      <c r="B1739" t="s">
        <v>361</v>
      </c>
      <c r="C1739" t="s">
        <v>2224</v>
      </c>
      <c r="D1739" t="s">
        <v>2030</v>
      </c>
    </row>
    <row r="1740" spans="1:4" x14ac:dyDescent="0.3">
      <c r="A1740" t="s">
        <v>1623</v>
      </c>
      <c r="B1740" t="s">
        <v>361</v>
      </c>
      <c r="C1740" t="s">
        <v>2224</v>
      </c>
      <c r="D1740" t="s">
        <v>2030</v>
      </c>
    </row>
    <row r="1741" spans="1:4" x14ac:dyDescent="0.3">
      <c r="A1741" t="s">
        <v>1633</v>
      </c>
      <c r="B1741">
        <v>11.254858234113794</v>
      </c>
      <c r="C1741" t="s">
        <v>2224</v>
      </c>
      <c r="D1741" t="s">
        <v>2030</v>
      </c>
    </row>
    <row r="1742" spans="1:4" x14ac:dyDescent="0.3">
      <c r="A1742" t="s">
        <v>1628</v>
      </c>
      <c r="B1742">
        <v>10.080161665597892</v>
      </c>
      <c r="C1742" t="s">
        <v>2224</v>
      </c>
      <c r="D1742" t="s">
        <v>2031</v>
      </c>
    </row>
    <row r="1743" spans="1:4" x14ac:dyDescent="0.3">
      <c r="A1743" t="s">
        <v>17</v>
      </c>
      <c r="B1743">
        <v>1.688905677340204</v>
      </c>
      <c r="C1743" t="s">
        <v>2224</v>
      </c>
      <c r="D1743" t="s">
        <v>2031</v>
      </c>
    </row>
    <row r="1744" spans="1:4" x14ac:dyDescent="0.3">
      <c r="A1744" t="s">
        <v>209</v>
      </c>
      <c r="B1744">
        <v>8.3506579244710064</v>
      </c>
      <c r="C1744" t="s">
        <v>2224</v>
      </c>
      <c r="D1744" t="s">
        <v>2031</v>
      </c>
    </row>
    <row r="1745" spans="1:4" x14ac:dyDescent="0.3">
      <c r="A1745" t="s">
        <v>446</v>
      </c>
      <c r="B1745">
        <v>4.0598063786682376E-2</v>
      </c>
      <c r="C1745" t="s">
        <v>2224</v>
      </c>
      <c r="D1745" t="s">
        <v>2031</v>
      </c>
    </row>
    <row r="1746" spans="1:4" x14ac:dyDescent="0.3">
      <c r="A1746" t="s">
        <v>1632</v>
      </c>
      <c r="B1746" t="s">
        <v>361</v>
      </c>
      <c r="C1746" t="s">
        <v>2224</v>
      </c>
      <c r="D1746" t="s">
        <v>2031</v>
      </c>
    </row>
    <row r="1747" spans="1:4" x14ac:dyDescent="0.3">
      <c r="A1747" t="s">
        <v>1626</v>
      </c>
      <c r="B1747" t="s">
        <v>361</v>
      </c>
      <c r="C1747" t="s">
        <v>2224</v>
      </c>
      <c r="D1747" t="s">
        <v>2031</v>
      </c>
    </row>
    <row r="1748" spans="1:4" x14ac:dyDescent="0.3">
      <c r="A1748" t="s">
        <v>1627</v>
      </c>
      <c r="B1748" t="s">
        <v>361</v>
      </c>
      <c r="C1748" t="s">
        <v>2224</v>
      </c>
      <c r="D1748" t="s">
        <v>2031</v>
      </c>
    </row>
    <row r="1749" spans="1:4" x14ac:dyDescent="0.3">
      <c r="A1749" t="s">
        <v>1625</v>
      </c>
      <c r="B1749" t="s">
        <v>361</v>
      </c>
      <c r="C1749" t="s">
        <v>2224</v>
      </c>
      <c r="D1749" t="s">
        <v>2031</v>
      </c>
    </row>
    <row r="1750" spans="1:4" x14ac:dyDescent="0.3">
      <c r="A1750" t="s">
        <v>1623</v>
      </c>
      <c r="B1750" t="s">
        <v>361</v>
      </c>
      <c r="C1750" t="s">
        <v>2224</v>
      </c>
      <c r="D1750" t="s">
        <v>2031</v>
      </c>
    </row>
    <row r="1751" spans="1:4" x14ac:dyDescent="0.3">
      <c r="A1751" t="s">
        <v>1633</v>
      </c>
      <c r="B1751">
        <v>10.080161665597892</v>
      </c>
      <c r="C1751" t="s">
        <v>2224</v>
      </c>
      <c r="D1751" t="s">
        <v>2031</v>
      </c>
    </row>
    <row r="1752" spans="1:4" x14ac:dyDescent="0.3">
      <c r="A1752" t="s">
        <v>1628</v>
      </c>
      <c r="B1752">
        <v>11.254858234113794</v>
      </c>
      <c r="C1752" t="s">
        <v>2224</v>
      </c>
      <c r="D1752" t="s">
        <v>2032</v>
      </c>
    </row>
    <row r="1753" spans="1:4" x14ac:dyDescent="0.3">
      <c r="A1753" t="s">
        <v>17</v>
      </c>
      <c r="B1753">
        <v>1.688905677340204</v>
      </c>
      <c r="C1753" t="s">
        <v>2224</v>
      </c>
      <c r="D1753" t="s">
        <v>2032</v>
      </c>
    </row>
    <row r="1754" spans="1:4" x14ac:dyDescent="0.3">
      <c r="A1754" t="s">
        <v>209</v>
      </c>
      <c r="B1754">
        <v>9.5253544929869083</v>
      </c>
      <c r="C1754" t="s">
        <v>2224</v>
      </c>
      <c r="D1754" t="s">
        <v>2032</v>
      </c>
    </row>
    <row r="1755" spans="1:4" x14ac:dyDescent="0.3">
      <c r="A1755" t="s">
        <v>446</v>
      </c>
      <c r="B1755">
        <v>4.0598063786682376E-2</v>
      </c>
      <c r="C1755" t="s">
        <v>2224</v>
      </c>
      <c r="D1755" t="s">
        <v>2032</v>
      </c>
    </row>
    <row r="1756" spans="1:4" x14ac:dyDescent="0.3">
      <c r="A1756" t="s">
        <v>1632</v>
      </c>
      <c r="B1756" t="s">
        <v>361</v>
      </c>
      <c r="C1756" t="s">
        <v>2224</v>
      </c>
      <c r="D1756" t="s">
        <v>2032</v>
      </c>
    </row>
    <row r="1757" spans="1:4" x14ac:dyDescent="0.3">
      <c r="A1757" t="s">
        <v>1626</v>
      </c>
      <c r="B1757" t="s">
        <v>361</v>
      </c>
      <c r="C1757" t="s">
        <v>2224</v>
      </c>
      <c r="D1757" t="s">
        <v>2032</v>
      </c>
    </row>
    <row r="1758" spans="1:4" x14ac:dyDescent="0.3">
      <c r="A1758" t="s">
        <v>1627</v>
      </c>
      <c r="B1758" t="s">
        <v>361</v>
      </c>
      <c r="C1758" t="s">
        <v>2224</v>
      </c>
      <c r="D1758" t="s">
        <v>2032</v>
      </c>
    </row>
    <row r="1759" spans="1:4" x14ac:dyDescent="0.3">
      <c r="A1759" t="s">
        <v>1625</v>
      </c>
      <c r="B1759" t="s">
        <v>361</v>
      </c>
      <c r="C1759" t="s">
        <v>2224</v>
      </c>
      <c r="D1759" t="s">
        <v>2032</v>
      </c>
    </row>
    <row r="1760" spans="1:4" x14ac:dyDescent="0.3">
      <c r="A1760" t="s">
        <v>1623</v>
      </c>
      <c r="B1760" t="s">
        <v>361</v>
      </c>
      <c r="C1760" t="s">
        <v>2224</v>
      </c>
      <c r="D1760" t="s">
        <v>2032</v>
      </c>
    </row>
    <row r="1761" spans="1:4" x14ac:dyDescent="0.3">
      <c r="A1761" t="s">
        <v>1633</v>
      </c>
      <c r="B1761">
        <v>11.254858234113794</v>
      </c>
      <c r="C1761" t="s">
        <v>2224</v>
      </c>
      <c r="D1761" t="s">
        <v>2032</v>
      </c>
    </row>
    <row r="1762" spans="1:4" x14ac:dyDescent="0.3">
      <c r="A1762" t="s">
        <v>1628</v>
      </c>
      <c r="B1762">
        <v>3.3917913231166232</v>
      </c>
      <c r="C1762" t="s">
        <v>2224</v>
      </c>
      <c r="D1762" t="s">
        <v>2033</v>
      </c>
    </row>
    <row r="1763" spans="1:4" x14ac:dyDescent="0.3">
      <c r="A1763" t="s">
        <v>17</v>
      </c>
      <c r="B1763">
        <v>1.688905677340204</v>
      </c>
      <c r="C1763" t="s">
        <v>2224</v>
      </c>
      <c r="D1763" t="s">
        <v>2033</v>
      </c>
    </row>
    <row r="1764" spans="1:4" x14ac:dyDescent="0.3">
      <c r="A1764" t="s">
        <v>209</v>
      </c>
      <c r="B1764">
        <v>1.6622875819897369</v>
      </c>
      <c r="C1764" t="s">
        <v>2224</v>
      </c>
      <c r="D1764" t="s">
        <v>2033</v>
      </c>
    </row>
    <row r="1765" spans="1:4" x14ac:dyDescent="0.3">
      <c r="A1765" t="s">
        <v>446</v>
      </c>
      <c r="B1765">
        <v>4.0598063786682376E-2</v>
      </c>
      <c r="C1765" t="s">
        <v>2224</v>
      </c>
      <c r="D1765" t="s">
        <v>2033</v>
      </c>
    </row>
    <row r="1766" spans="1:4" x14ac:dyDescent="0.3">
      <c r="A1766" t="s">
        <v>1632</v>
      </c>
      <c r="B1766" t="s">
        <v>361</v>
      </c>
      <c r="C1766" t="s">
        <v>2224</v>
      </c>
      <c r="D1766" t="s">
        <v>2033</v>
      </c>
    </row>
    <row r="1767" spans="1:4" x14ac:dyDescent="0.3">
      <c r="A1767" t="s">
        <v>1626</v>
      </c>
      <c r="B1767" t="s">
        <v>361</v>
      </c>
      <c r="C1767" t="s">
        <v>2224</v>
      </c>
      <c r="D1767" t="s">
        <v>2033</v>
      </c>
    </row>
    <row r="1768" spans="1:4" x14ac:dyDescent="0.3">
      <c r="A1768" t="s">
        <v>1627</v>
      </c>
      <c r="B1768" t="s">
        <v>361</v>
      </c>
      <c r="C1768" t="s">
        <v>2224</v>
      </c>
      <c r="D1768" t="s">
        <v>2033</v>
      </c>
    </row>
    <row r="1769" spans="1:4" x14ac:dyDescent="0.3">
      <c r="A1769" t="s">
        <v>1625</v>
      </c>
      <c r="B1769" t="s">
        <v>361</v>
      </c>
      <c r="C1769" t="s">
        <v>2224</v>
      </c>
      <c r="D1769" t="s">
        <v>2033</v>
      </c>
    </row>
    <row r="1770" spans="1:4" x14ac:dyDescent="0.3">
      <c r="A1770" t="s">
        <v>1623</v>
      </c>
      <c r="B1770" t="s">
        <v>361</v>
      </c>
      <c r="C1770" t="s">
        <v>2224</v>
      </c>
      <c r="D1770" t="s">
        <v>2033</v>
      </c>
    </row>
    <row r="1771" spans="1:4" x14ac:dyDescent="0.3">
      <c r="A1771" t="s">
        <v>1633</v>
      </c>
      <c r="B1771">
        <v>3.3917913231166232</v>
      </c>
      <c r="C1771" t="s">
        <v>2224</v>
      </c>
      <c r="D1771" t="s">
        <v>2033</v>
      </c>
    </row>
    <row r="1772" spans="1:4" x14ac:dyDescent="0.3">
      <c r="A1772" t="s">
        <v>1628</v>
      </c>
      <c r="B1772">
        <v>11.254858234113794</v>
      </c>
      <c r="C1772" t="s">
        <v>2224</v>
      </c>
      <c r="D1772" t="s">
        <v>2274</v>
      </c>
    </row>
    <row r="1773" spans="1:4" x14ac:dyDescent="0.3">
      <c r="A1773" t="s">
        <v>17</v>
      </c>
      <c r="B1773">
        <v>1.688905677340204</v>
      </c>
      <c r="C1773" t="s">
        <v>2224</v>
      </c>
      <c r="D1773" t="s">
        <v>2274</v>
      </c>
    </row>
    <row r="1774" spans="1:4" x14ac:dyDescent="0.3">
      <c r="A1774" t="s">
        <v>209</v>
      </c>
      <c r="B1774">
        <v>9.5253544929869083</v>
      </c>
      <c r="C1774" t="s">
        <v>2224</v>
      </c>
      <c r="D1774" t="s">
        <v>2274</v>
      </c>
    </row>
    <row r="1775" spans="1:4" x14ac:dyDescent="0.3">
      <c r="A1775" t="s">
        <v>446</v>
      </c>
      <c r="B1775">
        <v>4.0598063786682376E-2</v>
      </c>
      <c r="C1775" t="s">
        <v>2224</v>
      </c>
      <c r="D1775" t="s">
        <v>2274</v>
      </c>
    </row>
    <row r="1776" spans="1:4" x14ac:dyDescent="0.3">
      <c r="A1776" t="s">
        <v>1632</v>
      </c>
      <c r="B1776" t="s">
        <v>361</v>
      </c>
      <c r="C1776" t="s">
        <v>2224</v>
      </c>
      <c r="D1776" t="s">
        <v>2274</v>
      </c>
    </row>
    <row r="1777" spans="1:4" x14ac:dyDescent="0.3">
      <c r="A1777" t="s">
        <v>1626</v>
      </c>
      <c r="B1777" t="s">
        <v>361</v>
      </c>
      <c r="C1777" t="s">
        <v>2224</v>
      </c>
      <c r="D1777" t="s">
        <v>2274</v>
      </c>
    </row>
    <row r="1778" spans="1:4" x14ac:dyDescent="0.3">
      <c r="A1778" t="s">
        <v>1627</v>
      </c>
      <c r="B1778" t="s">
        <v>361</v>
      </c>
      <c r="C1778" t="s">
        <v>2224</v>
      </c>
      <c r="D1778" t="s">
        <v>2274</v>
      </c>
    </row>
    <row r="1779" spans="1:4" x14ac:dyDescent="0.3">
      <c r="A1779" t="s">
        <v>1625</v>
      </c>
      <c r="B1779" t="s">
        <v>361</v>
      </c>
      <c r="C1779" t="s">
        <v>2224</v>
      </c>
      <c r="D1779" t="s">
        <v>2274</v>
      </c>
    </row>
    <row r="1780" spans="1:4" x14ac:dyDescent="0.3">
      <c r="A1780" t="s">
        <v>1623</v>
      </c>
      <c r="B1780" t="s">
        <v>361</v>
      </c>
      <c r="C1780" t="s">
        <v>2224</v>
      </c>
      <c r="D1780" t="s">
        <v>2274</v>
      </c>
    </row>
    <row r="1781" spans="1:4" x14ac:dyDescent="0.3">
      <c r="A1781" t="s">
        <v>1633</v>
      </c>
      <c r="B1781">
        <v>11.254858234113794</v>
      </c>
      <c r="C1781" t="s">
        <v>2224</v>
      </c>
      <c r="D1781" t="s">
        <v>2274</v>
      </c>
    </row>
    <row r="1782" spans="1:4" x14ac:dyDescent="0.3">
      <c r="A1782" t="s">
        <v>1628</v>
      </c>
      <c r="B1782">
        <v>11.254858234113794</v>
      </c>
      <c r="C1782" t="s">
        <v>2224</v>
      </c>
      <c r="D1782" t="s">
        <v>2275</v>
      </c>
    </row>
    <row r="1783" spans="1:4" x14ac:dyDescent="0.3">
      <c r="A1783" t="s">
        <v>17</v>
      </c>
      <c r="B1783">
        <v>1.688905677340204</v>
      </c>
      <c r="C1783" t="s">
        <v>2224</v>
      </c>
      <c r="D1783" t="s">
        <v>2275</v>
      </c>
    </row>
    <row r="1784" spans="1:4" x14ac:dyDescent="0.3">
      <c r="A1784" t="s">
        <v>209</v>
      </c>
      <c r="B1784">
        <v>9.5253544929869083</v>
      </c>
      <c r="C1784" t="s">
        <v>2224</v>
      </c>
      <c r="D1784" t="s">
        <v>2275</v>
      </c>
    </row>
    <row r="1785" spans="1:4" x14ac:dyDescent="0.3">
      <c r="A1785" t="s">
        <v>446</v>
      </c>
      <c r="B1785">
        <v>4.0598063786682376E-2</v>
      </c>
      <c r="C1785" t="s">
        <v>2224</v>
      </c>
      <c r="D1785" t="s">
        <v>2275</v>
      </c>
    </row>
    <row r="1786" spans="1:4" x14ac:dyDescent="0.3">
      <c r="A1786" t="s">
        <v>1632</v>
      </c>
      <c r="B1786" t="s">
        <v>361</v>
      </c>
      <c r="C1786" t="s">
        <v>2224</v>
      </c>
      <c r="D1786" t="s">
        <v>2275</v>
      </c>
    </row>
    <row r="1787" spans="1:4" x14ac:dyDescent="0.3">
      <c r="A1787" t="s">
        <v>1626</v>
      </c>
      <c r="B1787" t="s">
        <v>361</v>
      </c>
      <c r="C1787" t="s">
        <v>2224</v>
      </c>
      <c r="D1787" t="s">
        <v>2275</v>
      </c>
    </row>
    <row r="1788" spans="1:4" x14ac:dyDescent="0.3">
      <c r="A1788" t="s">
        <v>1627</v>
      </c>
      <c r="B1788" t="s">
        <v>361</v>
      </c>
      <c r="C1788" t="s">
        <v>2224</v>
      </c>
      <c r="D1788" t="s">
        <v>2275</v>
      </c>
    </row>
    <row r="1789" spans="1:4" x14ac:dyDescent="0.3">
      <c r="A1789" t="s">
        <v>1625</v>
      </c>
      <c r="B1789" t="s">
        <v>361</v>
      </c>
      <c r="C1789" t="s">
        <v>2224</v>
      </c>
      <c r="D1789" t="s">
        <v>2275</v>
      </c>
    </row>
    <row r="1790" spans="1:4" x14ac:dyDescent="0.3">
      <c r="A1790" t="s">
        <v>1623</v>
      </c>
      <c r="B1790" t="s">
        <v>361</v>
      </c>
      <c r="C1790" t="s">
        <v>2224</v>
      </c>
      <c r="D1790" t="s">
        <v>2275</v>
      </c>
    </row>
    <row r="1791" spans="1:4" x14ac:dyDescent="0.3">
      <c r="A1791" t="s">
        <v>1633</v>
      </c>
      <c r="B1791">
        <v>11.254858234113794</v>
      </c>
      <c r="C1791" t="s">
        <v>2224</v>
      </c>
      <c r="D1791" t="s">
        <v>2275</v>
      </c>
    </row>
    <row r="1792" spans="1:4" x14ac:dyDescent="0.3">
      <c r="A1792" t="s">
        <v>1628</v>
      </c>
      <c r="B1792">
        <v>11.29666445427093</v>
      </c>
      <c r="C1792" t="s">
        <v>2224</v>
      </c>
      <c r="D1792" t="s">
        <v>2166</v>
      </c>
    </row>
    <row r="1793" spans="1:4" x14ac:dyDescent="0.3">
      <c r="A1793" t="s">
        <v>17</v>
      </c>
      <c r="B1793">
        <v>1.688905677340204</v>
      </c>
      <c r="C1793" t="s">
        <v>2224</v>
      </c>
      <c r="D1793" t="s">
        <v>2166</v>
      </c>
    </row>
    <row r="1794" spans="1:4" x14ac:dyDescent="0.3">
      <c r="A1794" t="s">
        <v>209</v>
      </c>
      <c r="B1794">
        <v>9.5671607131440446</v>
      </c>
      <c r="C1794" t="s">
        <v>2224</v>
      </c>
      <c r="D1794" t="s">
        <v>2166</v>
      </c>
    </row>
    <row r="1795" spans="1:4" x14ac:dyDescent="0.3">
      <c r="A1795" t="s">
        <v>446</v>
      </c>
      <c r="B1795">
        <v>4.0598063786682376E-2</v>
      </c>
      <c r="C1795" t="s">
        <v>2224</v>
      </c>
      <c r="D1795" t="s">
        <v>2166</v>
      </c>
    </row>
    <row r="1796" spans="1:4" x14ac:dyDescent="0.3">
      <c r="A1796" t="s">
        <v>1632</v>
      </c>
      <c r="B1796" t="s">
        <v>361</v>
      </c>
      <c r="C1796" t="s">
        <v>2224</v>
      </c>
      <c r="D1796" t="s">
        <v>2166</v>
      </c>
    </row>
    <row r="1797" spans="1:4" x14ac:dyDescent="0.3">
      <c r="A1797" t="s">
        <v>1626</v>
      </c>
      <c r="B1797" t="s">
        <v>361</v>
      </c>
      <c r="C1797" t="s">
        <v>2224</v>
      </c>
      <c r="D1797" t="s">
        <v>2166</v>
      </c>
    </row>
    <row r="1798" spans="1:4" x14ac:dyDescent="0.3">
      <c r="A1798" t="s">
        <v>1627</v>
      </c>
      <c r="B1798" t="s">
        <v>361</v>
      </c>
      <c r="C1798" t="s">
        <v>2224</v>
      </c>
      <c r="D1798" t="s">
        <v>2166</v>
      </c>
    </row>
    <row r="1799" spans="1:4" x14ac:dyDescent="0.3">
      <c r="A1799" t="s">
        <v>1625</v>
      </c>
      <c r="B1799" t="s">
        <v>361</v>
      </c>
      <c r="C1799" t="s">
        <v>2224</v>
      </c>
      <c r="D1799" t="s">
        <v>2166</v>
      </c>
    </row>
    <row r="1800" spans="1:4" x14ac:dyDescent="0.3">
      <c r="A1800" t="s">
        <v>1623</v>
      </c>
      <c r="B1800" t="s">
        <v>361</v>
      </c>
      <c r="C1800" t="s">
        <v>2224</v>
      </c>
      <c r="D1800" t="s">
        <v>2166</v>
      </c>
    </row>
    <row r="1801" spans="1:4" x14ac:dyDescent="0.3">
      <c r="A1801" t="s">
        <v>1633</v>
      </c>
      <c r="B1801">
        <v>11.29666445427093</v>
      </c>
      <c r="C1801" t="s">
        <v>2224</v>
      </c>
      <c r="D1801" t="s">
        <v>2166</v>
      </c>
    </row>
    <row r="1802" spans="1:4" x14ac:dyDescent="0.3">
      <c r="A1802" t="s">
        <v>1628</v>
      </c>
      <c r="B1802">
        <v>11.221820550716908</v>
      </c>
      <c r="C1802" t="s">
        <v>2224</v>
      </c>
      <c r="D1802" t="s">
        <v>2167</v>
      </c>
    </row>
    <row r="1803" spans="1:4" x14ac:dyDescent="0.3">
      <c r="A1803" t="s">
        <v>17</v>
      </c>
      <c r="B1803">
        <v>1.688905677340204</v>
      </c>
      <c r="C1803" t="s">
        <v>2224</v>
      </c>
      <c r="D1803" t="s">
        <v>2167</v>
      </c>
    </row>
    <row r="1804" spans="1:4" x14ac:dyDescent="0.3">
      <c r="A1804" t="s">
        <v>209</v>
      </c>
      <c r="B1804">
        <v>9.4923168095900223</v>
      </c>
      <c r="C1804" t="s">
        <v>2224</v>
      </c>
      <c r="D1804" t="s">
        <v>2167</v>
      </c>
    </row>
    <row r="1805" spans="1:4" x14ac:dyDescent="0.3">
      <c r="A1805" t="s">
        <v>446</v>
      </c>
      <c r="B1805">
        <v>4.0598063786682376E-2</v>
      </c>
      <c r="C1805" t="s">
        <v>2224</v>
      </c>
      <c r="D1805" t="s">
        <v>2167</v>
      </c>
    </row>
    <row r="1806" spans="1:4" x14ac:dyDescent="0.3">
      <c r="A1806" t="s">
        <v>1632</v>
      </c>
      <c r="B1806" t="s">
        <v>361</v>
      </c>
      <c r="C1806" t="s">
        <v>2224</v>
      </c>
      <c r="D1806" t="s">
        <v>2167</v>
      </c>
    </row>
    <row r="1807" spans="1:4" x14ac:dyDescent="0.3">
      <c r="A1807" t="s">
        <v>1626</v>
      </c>
      <c r="B1807" t="s">
        <v>361</v>
      </c>
      <c r="C1807" t="s">
        <v>2224</v>
      </c>
      <c r="D1807" t="s">
        <v>2167</v>
      </c>
    </row>
    <row r="1808" spans="1:4" x14ac:dyDescent="0.3">
      <c r="A1808" t="s">
        <v>1627</v>
      </c>
      <c r="B1808" t="s">
        <v>361</v>
      </c>
      <c r="C1808" t="s">
        <v>2224</v>
      </c>
      <c r="D1808" t="s">
        <v>2167</v>
      </c>
    </row>
    <row r="1809" spans="1:4" x14ac:dyDescent="0.3">
      <c r="A1809" t="s">
        <v>1625</v>
      </c>
      <c r="B1809" t="s">
        <v>361</v>
      </c>
      <c r="C1809" t="s">
        <v>2224</v>
      </c>
      <c r="D1809" t="s">
        <v>2167</v>
      </c>
    </row>
    <row r="1810" spans="1:4" x14ac:dyDescent="0.3">
      <c r="A1810" t="s">
        <v>1623</v>
      </c>
      <c r="B1810" t="s">
        <v>361</v>
      </c>
      <c r="C1810" t="s">
        <v>2224</v>
      </c>
      <c r="D1810" t="s">
        <v>2167</v>
      </c>
    </row>
    <row r="1811" spans="1:4" x14ac:dyDescent="0.3">
      <c r="A1811" t="s">
        <v>1633</v>
      </c>
      <c r="B1811">
        <v>11.221820550716908</v>
      </c>
      <c r="C1811" t="s">
        <v>2224</v>
      </c>
      <c r="D1811" t="s">
        <v>2167</v>
      </c>
    </row>
    <row r="1812" spans="1:4" x14ac:dyDescent="0.3">
      <c r="A1812" t="s">
        <v>1628</v>
      </c>
      <c r="B1812">
        <v>11.253469382720692</v>
      </c>
      <c r="C1812" t="s">
        <v>2224</v>
      </c>
      <c r="D1812" t="s">
        <v>2168</v>
      </c>
    </row>
    <row r="1813" spans="1:4" x14ac:dyDescent="0.3">
      <c r="A1813" t="s">
        <v>17</v>
      </c>
      <c r="B1813">
        <v>1.688905677340204</v>
      </c>
      <c r="C1813" t="s">
        <v>2224</v>
      </c>
      <c r="D1813" t="s">
        <v>2168</v>
      </c>
    </row>
    <row r="1814" spans="1:4" x14ac:dyDescent="0.3">
      <c r="A1814" t="s">
        <v>209</v>
      </c>
      <c r="B1814">
        <v>9.5239656415938061</v>
      </c>
      <c r="C1814" t="s">
        <v>2224</v>
      </c>
      <c r="D1814" t="s">
        <v>2168</v>
      </c>
    </row>
    <row r="1815" spans="1:4" x14ac:dyDescent="0.3">
      <c r="A1815" t="s">
        <v>446</v>
      </c>
      <c r="B1815">
        <v>4.0598063786682376E-2</v>
      </c>
      <c r="C1815" t="s">
        <v>2224</v>
      </c>
      <c r="D1815" t="s">
        <v>2168</v>
      </c>
    </row>
    <row r="1816" spans="1:4" x14ac:dyDescent="0.3">
      <c r="A1816" t="s">
        <v>1632</v>
      </c>
      <c r="B1816" t="s">
        <v>361</v>
      </c>
      <c r="C1816" t="s">
        <v>2224</v>
      </c>
      <c r="D1816" t="s">
        <v>2168</v>
      </c>
    </row>
    <row r="1817" spans="1:4" x14ac:dyDescent="0.3">
      <c r="A1817" t="s">
        <v>1626</v>
      </c>
      <c r="B1817" t="s">
        <v>361</v>
      </c>
      <c r="C1817" t="s">
        <v>2224</v>
      </c>
      <c r="D1817" t="s">
        <v>2168</v>
      </c>
    </row>
    <row r="1818" spans="1:4" x14ac:dyDescent="0.3">
      <c r="A1818" t="s">
        <v>1627</v>
      </c>
      <c r="B1818" t="s">
        <v>361</v>
      </c>
      <c r="C1818" t="s">
        <v>2224</v>
      </c>
      <c r="D1818" t="s">
        <v>2168</v>
      </c>
    </row>
    <row r="1819" spans="1:4" x14ac:dyDescent="0.3">
      <c r="A1819" t="s">
        <v>1625</v>
      </c>
      <c r="B1819" t="s">
        <v>361</v>
      </c>
      <c r="C1819" t="s">
        <v>2224</v>
      </c>
      <c r="D1819" t="s">
        <v>2168</v>
      </c>
    </row>
    <row r="1820" spans="1:4" x14ac:dyDescent="0.3">
      <c r="A1820" t="s">
        <v>1623</v>
      </c>
      <c r="B1820" t="s">
        <v>361</v>
      </c>
      <c r="C1820" t="s">
        <v>2224</v>
      </c>
      <c r="D1820" t="s">
        <v>2168</v>
      </c>
    </row>
    <row r="1821" spans="1:4" x14ac:dyDescent="0.3">
      <c r="A1821" t="s">
        <v>1633</v>
      </c>
      <c r="B1821">
        <v>11.253469382720692</v>
      </c>
      <c r="C1821" t="s">
        <v>2224</v>
      </c>
      <c r="D1821" t="s">
        <v>2168</v>
      </c>
    </row>
    <row r="1822" spans="1:4" x14ac:dyDescent="0.3">
      <c r="A1822" t="s">
        <v>1628</v>
      </c>
      <c r="B1822">
        <v>11.222477608861743</v>
      </c>
      <c r="C1822" t="s">
        <v>2224</v>
      </c>
      <c r="D1822" t="s">
        <v>2169</v>
      </c>
    </row>
    <row r="1823" spans="1:4" x14ac:dyDescent="0.3">
      <c r="A1823" t="s">
        <v>17</v>
      </c>
      <c r="B1823">
        <v>1.688905677340204</v>
      </c>
      <c r="C1823" t="s">
        <v>2224</v>
      </c>
      <c r="D1823" t="s">
        <v>2169</v>
      </c>
    </row>
    <row r="1824" spans="1:4" x14ac:dyDescent="0.3">
      <c r="A1824" t="s">
        <v>209</v>
      </c>
      <c r="B1824">
        <v>9.4929738677348574</v>
      </c>
      <c r="C1824" t="s">
        <v>2224</v>
      </c>
      <c r="D1824" t="s">
        <v>2169</v>
      </c>
    </row>
    <row r="1825" spans="1:4" x14ac:dyDescent="0.3">
      <c r="A1825" t="s">
        <v>446</v>
      </c>
      <c r="B1825">
        <v>4.0598063786682376E-2</v>
      </c>
      <c r="C1825" t="s">
        <v>2224</v>
      </c>
      <c r="D1825" t="s">
        <v>2169</v>
      </c>
    </row>
    <row r="1826" spans="1:4" x14ac:dyDescent="0.3">
      <c r="A1826" t="s">
        <v>1632</v>
      </c>
      <c r="B1826" t="s">
        <v>361</v>
      </c>
      <c r="C1826" t="s">
        <v>2224</v>
      </c>
      <c r="D1826" t="s">
        <v>2169</v>
      </c>
    </row>
    <row r="1827" spans="1:4" x14ac:dyDescent="0.3">
      <c r="A1827" t="s">
        <v>1626</v>
      </c>
      <c r="B1827" t="s">
        <v>361</v>
      </c>
      <c r="C1827" t="s">
        <v>2224</v>
      </c>
      <c r="D1827" t="s">
        <v>2169</v>
      </c>
    </row>
    <row r="1828" spans="1:4" x14ac:dyDescent="0.3">
      <c r="A1828" t="s">
        <v>1627</v>
      </c>
      <c r="B1828" t="s">
        <v>361</v>
      </c>
      <c r="C1828" t="s">
        <v>2224</v>
      </c>
      <c r="D1828" t="s">
        <v>2169</v>
      </c>
    </row>
    <row r="1829" spans="1:4" x14ac:dyDescent="0.3">
      <c r="A1829" t="s">
        <v>1625</v>
      </c>
      <c r="B1829" t="s">
        <v>361</v>
      </c>
      <c r="C1829" t="s">
        <v>2224</v>
      </c>
      <c r="D1829" t="s">
        <v>2169</v>
      </c>
    </row>
    <row r="1830" spans="1:4" x14ac:dyDescent="0.3">
      <c r="A1830" t="s">
        <v>1623</v>
      </c>
      <c r="B1830" t="s">
        <v>361</v>
      </c>
      <c r="C1830" t="s">
        <v>2224</v>
      </c>
      <c r="D1830" t="s">
        <v>2169</v>
      </c>
    </row>
    <row r="1831" spans="1:4" x14ac:dyDescent="0.3">
      <c r="A1831" t="s">
        <v>1633</v>
      </c>
      <c r="B1831">
        <v>11.222477608861743</v>
      </c>
      <c r="C1831" t="s">
        <v>2224</v>
      </c>
      <c r="D1831" t="s">
        <v>2169</v>
      </c>
    </row>
    <row r="1832" spans="1:4" x14ac:dyDescent="0.3">
      <c r="A1832" t="s">
        <v>1628</v>
      </c>
      <c r="B1832">
        <v>11.25821281468132</v>
      </c>
      <c r="C1832" t="s">
        <v>2224</v>
      </c>
      <c r="D1832" t="s">
        <v>2170</v>
      </c>
    </row>
    <row r="1833" spans="1:4" x14ac:dyDescent="0.3">
      <c r="A1833" t="s">
        <v>17</v>
      </c>
      <c r="B1833">
        <v>1.688905677340204</v>
      </c>
      <c r="C1833" t="s">
        <v>2224</v>
      </c>
      <c r="D1833" t="s">
        <v>2170</v>
      </c>
    </row>
    <row r="1834" spans="1:4" x14ac:dyDescent="0.3">
      <c r="A1834" t="s">
        <v>209</v>
      </c>
      <c r="B1834">
        <v>9.5287090735544346</v>
      </c>
      <c r="C1834" t="s">
        <v>2224</v>
      </c>
      <c r="D1834" t="s">
        <v>2170</v>
      </c>
    </row>
    <row r="1835" spans="1:4" x14ac:dyDescent="0.3">
      <c r="A1835" t="s">
        <v>446</v>
      </c>
      <c r="B1835">
        <v>4.0598063786682376E-2</v>
      </c>
      <c r="C1835" t="s">
        <v>2224</v>
      </c>
      <c r="D1835" t="s">
        <v>2170</v>
      </c>
    </row>
    <row r="1836" spans="1:4" x14ac:dyDescent="0.3">
      <c r="A1836" t="s">
        <v>1632</v>
      </c>
      <c r="B1836" t="s">
        <v>361</v>
      </c>
      <c r="C1836" t="s">
        <v>2224</v>
      </c>
      <c r="D1836" t="s">
        <v>2170</v>
      </c>
    </row>
    <row r="1837" spans="1:4" x14ac:dyDescent="0.3">
      <c r="A1837" t="s">
        <v>1626</v>
      </c>
      <c r="B1837" t="s">
        <v>361</v>
      </c>
      <c r="C1837" t="s">
        <v>2224</v>
      </c>
      <c r="D1837" t="s">
        <v>2170</v>
      </c>
    </row>
    <row r="1838" spans="1:4" x14ac:dyDescent="0.3">
      <c r="A1838" t="s">
        <v>1627</v>
      </c>
      <c r="B1838" t="s">
        <v>361</v>
      </c>
      <c r="C1838" t="s">
        <v>2224</v>
      </c>
      <c r="D1838" t="s">
        <v>2170</v>
      </c>
    </row>
    <row r="1839" spans="1:4" x14ac:dyDescent="0.3">
      <c r="A1839" t="s">
        <v>1625</v>
      </c>
      <c r="B1839" t="s">
        <v>361</v>
      </c>
      <c r="C1839" t="s">
        <v>2224</v>
      </c>
      <c r="D1839" t="s">
        <v>2170</v>
      </c>
    </row>
    <row r="1840" spans="1:4" x14ac:dyDescent="0.3">
      <c r="A1840" t="s">
        <v>1623</v>
      </c>
      <c r="B1840" t="s">
        <v>361</v>
      </c>
      <c r="C1840" t="s">
        <v>2224</v>
      </c>
      <c r="D1840" t="s">
        <v>2170</v>
      </c>
    </row>
    <row r="1841" spans="1:4" x14ac:dyDescent="0.3">
      <c r="A1841" t="s">
        <v>1633</v>
      </c>
      <c r="B1841">
        <v>11.25821281468132</v>
      </c>
      <c r="C1841" t="s">
        <v>2224</v>
      </c>
      <c r="D1841" t="s">
        <v>2170</v>
      </c>
    </row>
    <row r="1842" spans="1:4" x14ac:dyDescent="0.3">
      <c r="A1842" t="s">
        <v>1628</v>
      </c>
      <c r="B1842">
        <v>11.269462913650424</v>
      </c>
      <c r="C1842" t="s">
        <v>2224</v>
      </c>
      <c r="D1842" t="s">
        <v>2171</v>
      </c>
    </row>
    <row r="1843" spans="1:4" x14ac:dyDescent="0.3">
      <c r="A1843" t="s">
        <v>17</v>
      </c>
      <c r="B1843">
        <v>1.688905677340204</v>
      </c>
      <c r="C1843" t="s">
        <v>2224</v>
      </c>
      <c r="D1843" t="s">
        <v>2171</v>
      </c>
    </row>
    <row r="1844" spans="1:4" x14ac:dyDescent="0.3">
      <c r="A1844" t="s">
        <v>209</v>
      </c>
      <c r="B1844">
        <v>9.5399591725235382</v>
      </c>
      <c r="C1844" t="s">
        <v>2224</v>
      </c>
      <c r="D1844" t="s">
        <v>2171</v>
      </c>
    </row>
    <row r="1845" spans="1:4" x14ac:dyDescent="0.3">
      <c r="A1845" t="s">
        <v>446</v>
      </c>
      <c r="B1845">
        <v>4.0598063786682376E-2</v>
      </c>
      <c r="C1845" t="s">
        <v>2224</v>
      </c>
      <c r="D1845" t="s">
        <v>2171</v>
      </c>
    </row>
    <row r="1846" spans="1:4" x14ac:dyDescent="0.3">
      <c r="A1846" t="s">
        <v>1632</v>
      </c>
      <c r="B1846" t="s">
        <v>361</v>
      </c>
      <c r="C1846" t="s">
        <v>2224</v>
      </c>
      <c r="D1846" t="s">
        <v>2171</v>
      </c>
    </row>
    <row r="1847" spans="1:4" x14ac:dyDescent="0.3">
      <c r="A1847" t="s">
        <v>1626</v>
      </c>
      <c r="B1847" t="s">
        <v>361</v>
      </c>
      <c r="C1847" t="s">
        <v>2224</v>
      </c>
      <c r="D1847" t="s">
        <v>2171</v>
      </c>
    </row>
    <row r="1848" spans="1:4" x14ac:dyDescent="0.3">
      <c r="A1848" t="s">
        <v>1627</v>
      </c>
      <c r="B1848" t="s">
        <v>361</v>
      </c>
      <c r="C1848" t="s">
        <v>2224</v>
      </c>
      <c r="D1848" t="s">
        <v>2171</v>
      </c>
    </row>
    <row r="1849" spans="1:4" x14ac:dyDescent="0.3">
      <c r="A1849" t="s">
        <v>1625</v>
      </c>
      <c r="B1849" t="s">
        <v>361</v>
      </c>
      <c r="C1849" t="s">
        <v>2224</v>
      </c>
      <c r="D1849" t="s">
        <v>2171</v>
      </c>
    </row>
    <row r="1850" spans="1:4" x14ac:dyDescent="0.3">
      <c r="A1850" t="s">
        <v>1623</v>
      </c>
      <c r="B1850" t="s">
        <v>361</v>
      </c>
      <c r="C1850" t="s">
        <v>2224</v>
      </c>
      <c r="D1850" t="s">
        <v>2171</v>
      </c>
    </row>
    <row r="1851" spans="1:4" x14ac:dyDescent="0.3">
      <c r="A1851" t="s">
        <v>1633</v>
      </c>
      <c r="B1851">
        <v>11.269462913650424</v>
      </c>
      <c r="C1851" t="s">
        <v>2224</v>
      </c>
      <c r="D1851" t="s">
        <v>2171</v>
      </c>
    </row>
    <row r="1852" spans="1:4" x14ac:dyDescent="0.3">
      <c r="A1852" t="s">
        <v>1628</v>
      </c>
      <c r="B1852">
        <v>11.325793026315541</v>
      </c>
      <c r="C1852" t="s">
        <v>2224</v>
      </c>
      <c r="D1852" t="s">
        <v>2172</v>
      </c>
    </row>
    <row r="1853" spans="1:4" x14ac:dyDescent="0.3">
      <c r="A1853" t="s">
        <v>17</v>
      </c>
      <c r="B1853">
        <v>1.688905677340204</v>
      </c>
      <c r="C1853" t="s">
        <v>2224</v>
      </c>
      <c r="D1853" t="s">
        <v>2172</v>
      </c>
    </row>
    <row r="1854" spans="1:4" x14ac:dyDescent="0.3">
      <c r="A1854" t="s">
        <v>209</v>
      </c>
      <c r="B1854">
        <v>9.5962892851886554</v>
      </c>
      <c r="C1854" t="s">
        <v>2224</v>
      </c>
      <c r="D1854" t="s">
        <v>2172</v>
      </c>
    </row>
    <row r="1855" spans="1:4" x14ac:dyDescent="0.3">
      <c r="A1855" t="s">
        <v>446</v>
      </c>
      <c r="B1855">
        <v>4.0598063786682376E-2</v>
      </c>
      <c r="C1855" t="s">
        <v>2224</v>
      </c>
      <c r="D1855" t="s">
        <v>2172</v>
      </c>
    </row>
    <row r="1856" spans="1:4" x14ac:dyDescent="0.3">
      <c r="A1856" t="s">
        <v>1632</v>
      </c>
      <c r="B1856" t="s">
        <v>361</v>
      </c>
      <c r="C1856" t="s">
        <v>2224</v>
      </c>
      <c r="D1856" t="s">
        <v>2172</v>
      </c>
    </row>
    <row r="1857" spans="1:4" x14ac:dyDescent="0.3">
      <c r="A1857" t="s">
        <v>1626</v>
      </c>
      <c r="B1857" t="s">
        <v>361</v>
      </c>
      <c r="C1857" t="s">
        <v>2224</v>
      </c>
      <c r="D1857" t="s">
        <v>2172</v>
      </c>
    </row>
    <row r="1858" spans="1:4" x14ac:dyDescent="0.3">
      <c r="A1858" t="s">
        <v>1627</v>
      </c>
      <c r="B1858" t="s">
        <v>361</v>
      </c>
      <c r="C1858" t="s">
        <v>2224</v>
      </c>
      <c r="D1858" t="s">
        <v>2172</v>
      </c>
    </row>
    <row r="1859" spans="1:4" x14ac:dyDescent="0.3">
      <c r="A1859" t="s">
        <v>1625</v>
      </c>
      <c r="B1859" t="s">
        <v>361</v>
      </c>
      <c r="C1859" t="s">
        <v>2224</v>
      </c>
      <c r="D1859" t="s">
        <v>2172</v>
      </c>
    </row>
    <row r="1860" spans="1:4" x14ac:dyDescent="0.3">
      <c r="A1860" t="s">
        <v>1623</v>
      </c>
      <c r="B1860" t="s">
        <v>361</v>
      </c>
      <c r="C1860" t="s">
        <v>2224</v>
      </c>
      <c r="D1860" t="s">
        <v>2172</v>
      </c>
    </row>
    <row r="1861" spans="1:4" x14ac:dyDescent="0.3">
      <c r="A1861" t="s">
        <v>1633</v>
      </c>
      <c r="B1861">
        <v>11.325793026315541</v>
      </c>
      <c r="C1861" t="s">
        <v>2224</v>
      </c>
      <c r="D1861" t="s">
        <v>2172</v>
      </c>
    </row>
    <row r="1862" spans="1:4" x14ac:dyDescent="0.3">
      <c r="A1862" t="s">
        <v>1628</v>
      </c>
      <c r="B1862">
        <v>11.389778857692788</v>
      </c>
      <c r="C1862" t="s">
        <v>2224</v>
      </c>
      <c r="D1862" t="s">
        <v>2173</v>
      </c>
    </row>
    <row r="1863" spans="1:4" x14ac:dyDescent="0.3">
      <c r="A1863" t="s">
        <v>17</v>
      </c>
      <c r="B1863">
        <v>1.688905677340204</v>
      </c>
      <c r="C1863" t="s">
        <v>2224</v>
      </c>
      <c r="D1863" t="s">
        <v>2173</v>
      </c>
    </row>
    <row r="1864" spans="1:4" x14ac:dyDescent="0.3">
      <c r="A1864" t="s">
        <v>209</v>
      </c>
      <c r="B1864">
        <v>9.6602751165659022</v>
      </c>
      <c r="C1864" t="s">
        <v>2224</v>
      </c>
      <c r="D1864" t="s">
        <v>2173</v>
      </c>
    </row>
    <row r="1865" spans="1:4" x14ac:dyDescent="0.3">
      <c r="A1865" t="s">
        <v>446</v>
      </c>
      <c r="B1865">
        <v>4.0598063786682376E-2</v>
      </c>
      <c r="C1865" t="s">
        <v>2224</v>
      </c>
      <c r="D1865" t="s">
        <v>2173</v>
      </c>
    </row>
    <row r="1866" spans="1:4" x14ac:dyDescent="0.3">
      <c r="A1866" t="s">
        <v>1632</v>
      </c>
      <c r="B1866" t="s">
        <v>361</v>
      </c>
      <c r="C1866" t="s">
        <v>2224</v>
      </c>
      <c r="D1866" t="s">
        <v>2173</v>
      </c>
    </row>
    <row r="1867" spans="1:4" x14ac:dyDescent="0.3">
      <c r="A1867" t="s">
        <v>1626</v>
      </c>
      <c r="B1867" t="s">
        <v>361</v>
      </c>
      <c r="C1867" t="s">
        <v>2224</v>
      </c>
      <c r="D1867" t="s">
        <v>2173</v>
      </c>
    </row>
    <row r="1868" spans="1:4" x14ac:dyDescent="0.3">
      <c r="A1868" t="s">
        <v>1627</v>
      </c>
      <c r="B1868" t="s">
        <v>361</v>
      </c>
      <c r="C1868" t="s">
        <v>2224</v>
      </c>
      <c r="D1868" t="s">
        <v>2173</v>
      </c>
    </row>
    <row r="1869" spans="1:4" x14ac:dyDescent="0.3">
      <c r="A1869" t="s">
        <v>1625</v>
      </c>
      <c r="B1869" t="s">
        <v>361</v>
      </c>
      <c r="C1869" t="s">
        <v>2224</v>
      </c>
      <c r="D1869" t="s">
        <v>2173</v>
      </c>
    </row>
    <row r="1870" spans="1:4" x14ac:dyDescent="0.3">
      <c r="A1870" t="s">
        <v>1623</v>
      </c>
      <c r="B1870" t="s">
        <v>361</v>
      </c>
      <c r="C1870" t="s">
        <v>2224</v>
      </c>
      <c r="D1870" t="s">
        <v>2173</v>
      </c>
    </row>
    <row r="1871" spans="1:4" x14ac:dyDescent="0.3">
      <c r="A1871" t="s">
        <v>1633</v>
      </c>
      <c r="B1871">
        <v>11.389778857692788</v>
      </c>
      <c r="C1871" t="s">
        <v>2224</v>
      </c>
      <c r="D1871" t="s">
        <v>2173</v>
      </c>
    </row>
    <row r="1872" spans="1:4" x14ac:dyDescent="0.3">
      <c r="A1872" t="s">
        <v>1628</v>
      </c>
      <c r="B1872">
        <v>11.344586189545252</v>
      </c>
      <c r="C1872" t="s">
        <v>2224</v>
      </c>
      <c r="D1872" t="s">
        <v>2174</v>
      </c>
    </row>
    <row r="1873" spans="1:4" x14ac:dyDescent="0.3">
      <c r="A1873" t="s">
        <v>17</v>
      </c>
      <c r="B1873">
        <v>1.688905677340204</v>
      </c>
      <c r="C1873" t="s">
        <v>2224</v>
      </c>
      <c r="D1873" t="s">
        <v>2174</v>
      </c>
    </row>
    <row r="1874" spans="1:4" x14ac:dyDescent="0.3">
      <c r="A1874" t="s">
        <v>209</v>
      </c>
      <c r="B1874">
        <v>9.6150824484183666</v>
      </c>
      <c r="C1874" t="s">
        <v>2224</v>
      </c>
      <c r="D1874" t="s">
        <v>2174</v>
      </c>
    </row>
    <row r="1875" spans="1:4" x14ac:dyDescent="0.3">
      <c r="A1875" t="s">
        <v>446</v>
      </c>
      <c r="B1875">
        <v>4.0598063786682376E-2</v>
      </c>
      <c r="C1875" t="s">
        <v>2224</v>
      </c>
      <c r="D1875" t="s">
        <v>2174</v>
      </c>
    </row>
    <row r="1876" spans="1:4" x14ac:dyDescent="0.3">
      <c r="A1876" t="s">
        <v>1632</v>
      </c>
      <c r="B1876" t="s">
        <v>361</v>
      </c>
      <c r="C1876" t="s">
        <v>2224</v>
      </c>
      <c r="D1876" t="s">
        <v>2174</v>
      </c>
    </row>
    <row r="1877" spans="1:4" x14ac:dyDescent="0.3">
      <c r="A1877" t="s">
        <v>1626</v>
      </c>
      <c r="B1877" t="s">
        <v>361</v>
      </c>
      <c r="C1877" t="s">
        <v>2224</v>
      </c>
      <c r="D1877" t="s">
        <v>2174</v>
      </c>
    </row>
    <row r="1878" spans="1:4" x14ac:dyDescent="0.3">
      <c r="A1878" t="s">
        <v>1627</v>
      </c>
      <c r="B1878" t="s">
        <v>361</v>
      </c>
      <c r="C1878" t="s">
        <v>2224</v>
      </c>
      <c r="D1878" t="s">
        <v>2174</v>
      </c>
    </row>
    <row r="1879" spans="1:4" x14ac:dyDescent="0.3">
      <c r="A1879" t="s">
        <v>1625</v>
      </c>
      <c r="B1879" t="s">
        <v>361</v>
      </c>
      <c r="C1879" t="s">
        <v>2224</v>
      </c>
      <c r="D1879" t="s">
        <v>2174</v>
      </c>
    </row>
    <row r="1880" spans="1:4" x14ac:dyDescent="0.3">
      <c r="A1880" t="s">
        <v>1623</v>
      </c>
      <c r="B1880" t="s">
        <v>361</v>
      </c>
      <c r="C1880" t="s">
        <v>2224</v>
      </c>
      <c r="D1880" t="s">
        <v>2174</v>
      </c>
    </row>
    <row r="1881" spans="1:4" x14ac:dyDescent="0.3">
      <c r="A1881" t="s">
        <v>1633</v>
      </c>
      <c r="B1881">
        <v>11.344586189545252</v>
      </c>
      <c r="C1881" t="s">
        <v>2224</v>
      </c>
      <c r="D1881" t="s">
        <v>2174</v>
      </c>
    </row>
    <row r="1882" spans="1:4" x14ac:dyDescent="0.3">
      <c r="A1882" t="s">
        <v>1628</v>
      </c>
      <c r="B1882">
        <v>11.270851309608558</v>
      </c>
      <c r="C1882" t="s">
        <v>2224</v>
      </c>
      <c r="D1882" t="s">
        <v>2175</v>
      </c>
    </row>
    <row r="1883" spans="1:4" x14ac:dyDescent="0.3">
      <c r="A1883" t="s">
        <v>17</v>
      </c>
      <c r="B1883">
        <v>1.688905677340204</v>
      </c>
      <c r="C1883" t="s">
        <v>2224</v>
      </c>
      <c r="D1883" t="s">
        <v>2175</v>
      </c>
    </row>
    <row r="1884" spans="1:4" x14ac:dyDescent="0.3">
      <c r="A1884" t="s">
        <v>209</v>
      </c>
      <c r="B1884">
        <v>9.5413475684816724</v>
      </c>
      <c r="C1884" t="s">
        <v>2224</v>
      </c>
      <c r="D1884" t="s">
        <v>2175</v>
      </c>
    </row>
    <row r="1885" spans="1:4" x14ac:dyDescent="0.3">
      <c r="A1885" t="s">
        <v>446</v>
      </c>
      <c r="B1885">
        <v>4.0598063786682376E-2</v>
      </c>
      <c r="C1885" t="s">
        <v>2224</v>
      </c>
      <c r="D1885" t="s">
        <v>2175</v>
      </c>
    </row>
    <row r="1886" spans="1:4" x14ac:dyDescent="0.3">
      <c r="A1886" t="s">
        <v>1632</v>
      </c>
      <c r="B1886" t="s">
        <v>361</v>
      </c>
      <c r="C1886" t="s">
        <v>2224</v>
      </c>
      <c r="D1886" t="s">
        <v>2175</v>
      </c>
    </row>
    <row r="1887" spans="1:4" x14ac:dyDescent="0.3">
      <c r="A1887" t="s">
        <v>1626</v>
      </c>
      <c r="B1887" t="s">
        <v>361</v>
      </c>
      <c r="C1887" t="s">
        <v>2224</v>
      </c>
      <c r="D1887" t="s">
        <v>2175</v>
      </c>
    </row>
    <row r="1888" spans="1:4" x14ac:dyDescent="0.3">
      <c r="A1888" t="s">
        <v>1627</v>
      </c>
      <c r="B1888" t="s">
        <v>361</v>
      </c>
      <c r="C1888" t="s">
        <v>2224</v>
      </c>
      <c r="D1888" t="s">
        <v>2175</v>
      </c>
    </row>
    <row r="1889" spans="1:4" x14ac:dyDescent="0.3">
      <c r="A1889" t="s">
        <v>1625</v>
      </c>
      <c r="B1889" t="s">
        <v>361</v>
      </c>
      <c r="C1889" t="s">
        <v>2224</v>
      </c>
      <c r="D1889" t="s">
        <v>2175</v>
      </c>
    </row>
    <row r="1890" spans="1:4" x14ac:dyDescent="0.3">
      <c r="A1890" t="s">
        <v>1623</v>
      </c>
      <c r="B1890" t="s">
        <v>361</v>
      </c>
      <c r="C1890" t="s">
        <v>2224</v>
      </c>
      <c r="D1890" t="s">
        <v>2175</v>
      </c>
    </row>
    <row r="1891" spans="1:4" x14ac:dyDescent="0.3">
      <c r="A1891" t="s">
        <v>1633</v>
      </c>
      <c r="B1891">
        <v>11.270851309608558</v>
      </c>
      <c r="C1891" t="s">
        <v>2224</v>
      </c>
      <c r="D1891" t="s">
        <v>2175</v>
      </c>
    </row>
    <row r="1892" spans="1:4" x14ac:dyDescent="0.3">
      <c r="A1892" t="s">
        <v>1628</v>
      </c>
      <c r="B1892">
        <v>11.225168720035208</v>
      </c>
      <c r="C1892" t="s">
        <v>2224</v>
      </c>
      <c r="D1892" t="s">
        <v>2176</v>
      </c>
    </row>
    <row r="1893" spans="1:4" x14ac:dyDescent="0.3">
      <c r="A1893" t="s">
        <v>17</v>
      </c>
      <c r="B1893">
        <v>1.688905677340204</v>
      </c>
      <c r="C1893" t="s">
        <v>2224</v>
      </c>
      <c r="D1893" t="s">
        <v>2176</v>
      </c>
    </row>
    <row r="1894" spans="1:4" x14ac:dyDescent="0.3">
      <c r="A1894" t="s">
        <v>209</v>
      </c>
      <c r="B1894">
        <v>9.495664978908323</v>
      </c>
      <c r="C1894" t="s">
        <v>2224</v>
      </c>
      <c r="D1894" t="s">
        <v>2176</v>
      </c>
    </row>
    <row r="1895" spans="1:4" x14ac:dyDescent="0.3">
      <c r="A1895" t="s">
        <v>446</v>
      </c>
      <c r="B1895">
        <v>4.0598063786682376E-2</v>
      </c>
      <c r="C1895" t="s">
        <v>2224</v>
      </c>
      <c r="D1895" t="s">
        <v>2176</v>
      </c>
    </row>
    <row r="1896" spans="1:4" x14ac:dyDescent="0.3">
      <c r="A1896" t="s">
        <v>1632</v>
      </c>
      <c r="B1896" t="s">
        <v>361</v>
      </c>
      <c r="C1896" t="s">
        <v>2224</v>
      </c>
      <c r="D1896" t="s">
        <v>2176</v>
      </c>
    </row>
    <row r="1897" spans="1:4" x14ac:dyDescent="0.3">
      <c r="A1897" t="s">
        <v>1626</v>
      </c>
      <c r="B1897" t="s">
        <v>361</v>
      </c>
      <c r="C1897" t="s">
        <v>2224</v>
      </c>
      <c r="D1897" t="s">
        <v>2176</v>
      </c>
    </row>
    <row r="1898" spans="1:4" x14ac:dyDescent="0.3">
      <c r="A1898" t="s">
        <v>1627</v>
      </c>
      <c r="B1898" t="s">
        <v>361</v>
      </c>
      <c r="C1898" t="s">
        <v>2224</v>
      </c>
      <c r="D1898" t="s">
        <v>2176</v>
      </c>
    </row>
    <row r="1899" spans="1:4" x14ac:dyDescent="0.3">
      <c r="A1899" t="s">
        <v>1625</v>
      </c>
      <c r="B1899" t="s">
        <v>361</v>
      </c>
      <c r="C1899" t="s">
        <v>2224</v>
      </c>
      <c r="D1899" t="s">
        <v>2176</v>
      </c>
    </row>
    <row r="1900" spans="1:4" x14ac:dyDescent="0.3">
      <c r="A1900" t="s">
        <v>1623</v>
      </c>
      <c r="B1900" t="s">
        <v>361</v>
      </c>
      <c r="C1900" t="s">
        <v>2224</v>
      </c>
      <c r="D1900" t="s">
        <v>2176</v>
      </c>
    </row>
    <row r="1901" spans="1:4" x14ac:dyDescent="0.3">
      <c r="A1901" t="s">
        <v>1633</v>
      </c>
      <c r="B1901">
        <v>11.225168720035208</v>
      </c>
      <c r="C1901" t="s">
        <v>2224</v>
      </c>
      <c r="D1901" t="s">
        <v>2176</v>
      </c>
    </row>
    <row r="1902" spans="1:4" x14ac:dyDescent="0.3">
      <c r="A1902" t="s">
        <v>1628</v>
      </c>
      <c r="B1902">
        <v>11.227183267082237</v>
      </c>
      <c r="C1902" t="s">
        <v>2224</v>
      </c>
      <c r="D1902" t="s">
        <v>2177</v>
      </c>
    </row>
    <row r="1903" spans="1:4" x14ac:dyDescent="0.3">
      <c r="A1903" t="s">
        <v>17</v>
      </c>
      <c r="B1903">
        <v>1.688905677340204</v>
      </c>
      <c r="C1903" t="s">
        <v>2224</v>
      </c>
      <c r="D1903" t="s">
        <v>2177</v>
      </c>
    </row>
    <row r="1904" spans="1:4" x14ac:dyDescent="0.3">
      <c r="A1904" t="s">
        <v>209</v>
      </c>
      <c r="B1904">
        <v>9.4976795259553519</v>
      </c>
      <c r="C1904" t="s">
        <v>2224</v>
      </c>
      <c r="D1904" t="s">
        <v>2177</v>
      </c>
    </row>
    <row r="1905" spans="1:4" x14ac:dyDescent="0.3">
      <c r="A1905" t="s">
        <v>446</v>
      </c>
      <c r="B1905">
        <v>4.0598063786682376E-2</v>
      </c>
      <c r="C1905" t="s">
        <v>2224</v>
      </c>
      <c r="D1905" t="s">
        <v>2177</v>
      </c>
    </row>
    <row r="1906" spans="1:4" x14ac:dyDescent="0.3">
      <c r="A1906" t="s">
        <v>1632</v>
      </c>
      <c r="B1906" t="s">
        <v>361</v>
      </c>
      <c r="C1906" t="s">
        <v>2224</v>
      </c>
      <c r="D1906" t="s">
        <v>2177</v>
      </c>
    </row>
    <row r="1907" spans="1:4" x14ac:dyDescent="0.3">
      <c r="A1907" t="s">
        <v>1626</v>
      </c>
      <c r="B1907" t="s">
        <v>361</v>
      </c>
      <c r="C1907" t="s">
        <v>2224</v>
      </c>
      <c r="D1907" t="s">
        <v>2177</v>
      </c>
    </row>
    <row r="1908" spans="1:4" x14ac:dyDescent="0.3">
      <c r="A1908" t="s">
        <v>1627</v>
      </c>
      <c r="B1908" t="s">
        <v>361</v>
      </c>
      <c r="C1908" t="s">
        <v>2224</v>
      </c>
      <c r="D1908" t="s">
        <v>2177</v>
      </c>
    </row>
    <row r="1909" spans="1:4" x14ac:dyDescent="0.3">
      <c r="A1909" t="s">
        <v>1625</v>
      </c>
      <c r="B1909" t="s">
        <v>361</v>
      </c>
      <c r="C1909" t="s">
        <v>2224</v>
      </c>
      <c r="D1909" t="s">
        <v>2177</v>
      </c>
    </row>
    <row r="1910" spans="1:4" x14ac:dyDescent="0.3">
      <c r="A1910" t="s">
        <v>1623</v>
      </c>
      <c r="B1910" t="s">
        <v>361</v>
      </c>
      <c r="C1910" t="s">
        <v>2224</v>
      </c>
      <c r="D1910" t="s">
        <v>2177</v>
      </c>
    </row>
    <row r="1911" spans="1:4" x14ac:dyDescent="0.3">
      <c r="A1911" t="s">
        <v>1633</v>
      </c>
      <c r="B1911">
        <v>11.227183267082237</v>
      </c>
      <c r="C1911" t="s">
        <v>2224</v>
      </c>
      <c r="D1911" t="s">
        <v>2177</v>
      </c>
    </row>
    <row r="1912" spans="1:4" x14ac:dyDescent="0.3">
      <c r="A1912" t="s">
        <v>1628</v>
      </c>
      <c r="B1912">
        <v>11.268070132653335</v>
      </c>
      <c r="C1912" t="s">
        <v>2224</v>
      </c>
      <c r="D1912" t="s">
        <v>2178</v>
      </c>
    </row>
    <row r="1913" spans="1:4" x14ac:dyDescent="0.3">
      <c r="A1913" t="s">
        <v>17</v>
      </c>
      <c r="B1913">
        <v>1.688905677340204</v>
      </c>
      <c r="C1913" t="s">
        <v>2224</v>
      </c>
      <c r="D1913" t="s">
        <v>2178</v>
      </c>
    </row>
    <row r="1914" spans="1:4" x14ac:dyDescent="0.3">
      <c r="A1914" t="s">
        <v>209</v>
      </c>
      <c r="B1914">
        <v>9.5385663915264498</v>
      </c>
      <c r="C1914" t="s">
        <v>2224</v>
      </c>
      <c r="D1914" t="s">
        <v>2178</v>
      </c>
    </row>
    <row r="1915" spans="1:4" x14ac:dyDescent="0.3">
      <c r="A1915" t="s">
        <v>446</v>
      </c>
      <c r="B1915">
        <v>4.0598063786682376E-2</v>
      </c>
      <c r="C1915" t="s">
        <v>2224</v>
      </c>
      <c r="D1915" t="s">
        <v>2178</v>
      </c>
    </row>
    <row r="1916" spans="1:4" x14ac:dyDescent="0.3">
      <c r="A1916" t="s">
        <v>1632</v>
      </c>
      <c r="B1916" t="s">
        <v>361</v>
      </c>
      <c r="C1916" t="s">
        <v>2224</v>
      </c>
      <c r="D1916" t="s">
        <v>2178</v>
      </c>
    </row>
    <row r="1917" spans="1:4" x14ac:dyDescent="0.3">
      <c r="A1917" t="s">
        <v>1626</v>
      </c>
      <c r="B1917" t="s">
        <v>361</v>
      </c>
      <c r="C1917" t="s">
        <v>2224</v>
      </c>
      <c r="D1917" t="s">
        <v>2178</v>
      </c>
    </row>
    <row r="1918" spans="1:4" x14ac:dyDescent="0.3">
      <c r="A1918" t="s">
        <v>1627</v>
      </c>
      <c r="B1918" t="s">
        <v>361</v>
      </c>
      <c r="C1918" t="s">
        <v>2224</v>
      </c>
      <c r="D1918" t="s">
        <v>2178</v>
      </c>
    </row>
    <row r="1919" spans="1:4" x14ac:dyDescent="0.3">
      <c r="A1919" t="s">
        <v>1625</v>
      </c>
      <c r="B1919" t="s">
        <v>361</v>
      </c>
      <c r="C1919" t="s">
        <v>2224</v>
      </c>
      <c r="D1919" t="s">
        <v>2178</v>
      </c>
    </row>
    <row r="1920" spans="1:4" x14ac:dyDescent="0.3">
      <c r="A1920" t="s">
        <v>1623</v>
      </c>
      <c r="B1920" t="s">
        <v>361</v>
      </c>
      <c r="C1920" t="s">
        <v>2224</v>
      </c>
      <c r="D1920" t="s">
        <v>2178</v>
      </c>
    </row>
    <row r="1921" spans="1:4" x14ac:dyDescent="0.3">
      <c r="A1921" t="s">
        <v>1633</v>
      </c>
      <c r="B1921">
        <v>11.268070132653335</v>
      </c>
      <c r="C1921" t="s">
        <v>2224</v>
      </c>
      <c r="D1921" t="s">
        <v>2178</v>
      </c>
    </row>
    <row r="1922" spans="1:4" x14ac:dyDescent="0.3">
      <c r="A1922" t="s">
        <v>1628</v>
      </c>
      <c r="B1922">
        <v>11.286442257812936</v>
      </c>
      <c r="C1922" t="s">
        <v>2224</v>
      </c>
      <c r="D1922" t="s">
        <v>2179</v>
      </c>
    </row>
    <row r="1923" spans="1:4" x14ac:dyDescent="0.3">
      <c r="A1923" t="s">
        <v>17</v>
      </c>
      <c r="B1923">
        <v>1.688905677340204</v>
      </c>
      <c r="C1923" t="s">
        <v>2224</v>
      </c>
      <c r="D1923" t="s">
        <v>2179</v>
      </c>
    </row>
    <row r="1924" spans="1:4" x14ac:dyDescent="0.3">
      <c r="A1924" t="s">
        <v>209</v>
      </c>
      <c r="B1924">
        <v>9.556938516686051</v>
      </c>
      <c r="C1924" t="s">
        <v>2224</v>
      </c>
      <c r="D1924" t="s">
        <v>2179</v>
      </c>
    </row>
    <row r="1925" spans="1:4" x14ac:dyDescent="0.3">
      <c r="A1925" t="s">
        <v>446</v>
      </c>
      <c r="B1925">
        <v>4.0598063786682376E-2</v>
      </c>
      <c r="C1925" t="s">
        <v>2224</v>
      </c>
      <c r="D1925" t="s">
        <v>2179</v>
      </c>
    </row>
    <row r="1926" spans="1:4" x14ac:dyDescent="0.3">
      <c r="A1926" t="s">
        <v>1632</v>
      </c>
      <c r="B1926" t="s">
        <v>361</v>
      </c>
      <c r="C1926" t="s">
        <v>2224</v>
      </c>
      <c r="D1926" t="s">
        <v>2179</v>
      </c>
    </row>
    <row r="1927" spans="1:4" x14ac:dyDescent="0.3">
      <c r="A1927" t="s">
        <v>1626</v>
      </c>
      <c r="B1927" t="s">
        <v>361</v>
      </c>
      <c r="C1927" t="s">
        <v>2224</v>
      </c>
      <c r="D1927" t="s">
        <v>2179</v>
      </c>
    </row>
    <row r="1928" spans="1:4" x14ac:dyDescent="0.3">
      <c r="A1928" t="s">
        <v>1627</v>
      </c>
      <c r="B1928" t="s">
        <v>361</v>
      </c>
      <c r="C1928" t="s">
        <v>2224</v>
      </c>
      <c r="D1928" t="s">
        <v>2179</v>
      </c>
    </row>
    <row r="1929" spans="1:4" x14ac:dyDescent="0.3">
      <c r="A1929" t="s">
        <v>1625</v>
      </c>
      <c r="B1929" t="s">
        <v>361</v>
      </c>
      <c r="C1929" t="s">
        <v>2224</v>
      </c>
      <c r="D1929" t="s">
        <v>2179</v>
      </c>
    </row>
    <row r="1930" spans="1:4" x14ac:dyDescent="0.3">
      <c r="A1930" t="s">
        <v>1623</v>
      </c>
      <c r="B1930" t="s">
        <v>361</v>
      </c>
      <c r="C1930" t="s">
        <v>2224</v>
      </c>
      <c r="D1930" t="s">
        <v>2179</v>
      </c>
    </row>
    <row r="1931" spans="1:4" x14ac:dyDescent="0.3">
      <c r="A1931" t="s">
        <v>1633</v>
      </c>
      <c r="B1931">
        <v>11.286442257812936</v>
      </c>
      <c r="C1931" t="s">
        <v>2224</v>
      </c>
      <c r="D1931" t="s">
        <v>2179</v>
      </c>
    </row>
    <row r="1932" spans="1:4" x14ac:dyDescent="0.3">
      <c r="A1932" t="s">
        <v>1628</v>
      </c>
      <c r="B1932">
        <v>11.179920367964712</v>
      </c>
      <c r="C1932" t="s">
        <v>2224</v>
      </c>
      <c r="D1932" t="s">
        <v>2180</v>
      </c>
    </row>
    <row r="1933" spans="1:4" x14ac:dyDescent="0.3">
      <c r="A1933" t="s">
        <v>17</v>
      </c>
      <c r="B1933">
        <v>1.688905677340204</v>
      </c>
      <c r="C1933" t="s">
        <v>2224</v>
      </c>
      <c r="D1933" t="s">
        <v>2180</v>
      </c>
    </row>
    <row r="1934" spans="1:4" x14ac:dyDescent="0.3">
      <c r="A1934" t="s">
        <v>209</v>
      </c>
      <c r="B1934">
        <v>9.4504166268378267</v>
      </c>
      <c r="C1934" t="s">
        <v>2224</v>
      </c>
      <c r="D1934" t="s">
        <v>2180</v>
      </c>
    </row>
    <row r="1935" spans="1:4" x14ac:dyDescent="0.3">
      <c r="A1935" t="s">
        <v>446</v>
      </c>
      <c r="B1935">
        <v>4.0598063786682376E-2</v>
      </c>
      <c r="C1935" t="s">
        <v>2224</v>
      </c>
      <c r="D1935" t="s">
        <v>2180</v>
      </c>
    </row>
    <row r="1936" spans="1:4" x14ac:dyDescent="0.3">
      <c r="A1936" t="s">
        <v>1632</v>
      </c>
      <c r="B1936" t="s">
        <v>361</v>
      </c>
      <c r="C1936" t="s">
        <v>2224</v>
      </c>
      <c r="D1936" t="s">
        <v>2180</v>
      </c>
    </row>
    <row r="1937" spans="1:4" x14ac:dyDescent="0.3">
      <c r="A1937" t="s">
        <v>1626</v>
      </c>
      <c r="B1937" t="s">
        <v>361</v>
      </c>
      <c r="C1937" t="s">
        <v>2224</v>
      </c>
      <c r="D1937" t="s">
        <v>2180</v>
      </c>
    </row>
    <row r="1938" spans="1:4" x14ac:dyDescent="0.3">
      <c r="A1938" t="s">
        <v>1627</v>
      </c>
      <c r="B1938" t="s">
        <v>361</v>
      </c>
      <c r="C1938" t="s">
        <v>2224</v>
      </c>
      <c r="D1938" t="s">
        <v>2180</v>
      </c>
    </row>
    <row r="1939" spans="1:4" x14ac:dyDescent="0.3">
      <c r="A1939" t="s">
        <v>1625</v>
      </c>
      <c r="B1939" t="s">
        <v>361</v>
      </c>
      <c r="C1939" t="s">
        <v>2224</v>
      </c>
      <c r="D1939" t="s">
        <v>2180</v>
      </c>
    </row>
    <row r="1940" spans="1:4" x14ac:dyDescent="0.3">
      <c r="A1940" t="s">
        <v>1623</v>
      </c>
      <c r="B1940" t="s">
        <v>361</v>
      </c>
      <c r="C1940" t="s">
        <v>2224</v>
      </c>
      <c r="D1940" t="s">
        <v>2180</v>
      </c>
    </row>
    <row r="1941" spans="1:4" x14ac:dyDescent="0.3">
      <c r="A1941" t="s">
        <v>1633</v>
      </c>
      <c r="B1941">
        <v>11.179920367964712</v>
      </c>
      <c r="C1941" t="s">
        <v>2224</v>
      </c>
      <c r="D1941" t="s">
        <v>2180</v>
      </c>
    </row>
    <row r="1942" spans="1:4" x14ac:dyDescent="0.3">
      <c r="A1942" t="s">
        <v>1628</v>
      </c>
      <c r="B1942">
        <v>11.355446523750482</v>
      </c>
      <c r="C1942" t="s">
        <v>2224</v>
      </c>
      <c r="D1942" t="s">
        <v>2181</v>
      </c>
    </row>
    <row r="1943" spans="1:4" x14ac:dyDescent="0.3">
      <c r="A1943" t="s">
        <v>17</v>
      </c>
      <c r="B1943">
        <v>1.688905677340204</v>
      </c>
      <c r="C1943" t="s">
        <v>2224</v>
      </c>
      <c r="D1943" t="s">
        <v>2181</v>
      </c>
    </row>
    <row r="1944" spans="1:4" x14ac:dyDescent="0.3">
      <c r="A1944" t="s">
        <v>209</v>
      </c>
      <c r="B1944">
        <v>9.6259427826235964</v>
      </c>
      <c r="C1944" t="s">
        <v>2224</v>
      </c>
      <c r="D1944" t="s">
        <v>2181</v>
      </c>
    </row>
    <row r="1945" spans="1:4" x14ac:dyDescent="0.3">
      <c r="A1945" t="s">
        <v>446</v>
      </c>
      <c r="B1945">
        <v>4.0598063786682376E-2</v>
      </c>
      <c r="C1945" t="s">
        <v>2224</v>
      </c>
      <c r="D1945" t="s">
        <v>2181</v>
      </c>
    </row>
    <row r="1946" spans="1:4" x14ac:dyDescent="0.3">
      <c r="A1946" t="s">
        <v>1632</v>
      </c>
      <c r="B1946" t="s">
        <v>361</v>
      </c>
      <c r="C1946" t="s">
        <v>2224</v>
      </c>
      <c r="D1946" t="s">
        <v>2181</v>
      </c>
    </row>
    <row r="1947" spans="1:4" x14ac:dyDescent="0.3">
      <c r="A1947" t="s">
        <v>1626</v>
      </c>
      <c r="B1947" t="s">
        <v>361</v>
      </c>
      <c r="C1947" t="s">
        <v>2224</v>
      </c>
      <c r="D1947" t="s">
        <v>2181</v>
      </c>
    </row>
    <row r="1948" spans="1:4" x14ac:dyDescent="0.3">
      <c r="A1948" t="s">
        <v>1627</v>
      </c>
      <c r="B1948" t="s">
        <v>361</v>
      </c>
      <c r="C1948" t="s">
        <v>2224</v>
      </c>
      <c r="D1948" t="s">
        <v>2181</v>
      </c>
    </row>
    <row r="1949" spans="1:4" x14ac:dyDescent="0.3">
      <c r="A1949" t="s">
        <v>1625</v>
      </c>
      <c r="B1949" t="s">
        <v>361</v>
      </c>
      <c r="C1949" t="s">
        <v>2224</v>
      </c>
      <c r="D1949" t="s">
        <v>2181</v>
      </c>
    </row>
    <row r="1950" spans="1:4" x14ac:dyDescent="0.3">
      <c r="A1950" t="s">
        <v>1623</v>
      </c>
      <c r="B1950" t="s">
        <v>361</v>
      </c>
      <c r="C1950" t="s">
        <v>2224</v>
      </c>
      <c r="D1950" t="s">
        <v>2181</v>
      </c>
    </row>
    <row r="1951" spans="1:4" x14ac:dyDescent="0.3">
      <c r="A1951" t="s">
        <v>1633</v>
      </c>
      <c r="B1951">
        <v>11.355446523750482</v>
      </c>
      <c r="C1951" t="s">
        <v>2224</v>
      </c>
      <c r="D1951" t="s">
        <v>2181</v>
      </c>
    </row>
    <row r="1952" spans="1:4" x14ac:dyDescent="0.3">
      <c r="A1952" t="s">
        <v>1628</v>
      </c>
      <c r="B1952">
        <v>11.241266301759348</v>
      </c>
      <c r="C1952" t="s">
        <v>2224</v>
      </c>
      <c r="D1952" t="s">
        <v>2182</v>
      </c>
    </row>
    <row r="1953" spans="1:4" x14ac:dyDescent="0.3">
      <c r="A1953" t="s">
        <v>17</v>
      </c>
      <c r="B1953">
        <v>1.688905677340204</v>
      </c>
      <c r="C1953" t="s">
        <v>2224</v>
      </c>
      <c r="D1953" t="s">
        <v>2182</v>
      </c>
    </row>
    <row r="1954" spans="1:4" x14ac:dyDescent="0.3">
      <c r="A1954" t="s">
        <v>209</v>
      </c>
      <c r="B1954">
        <v>9.5117625606324623</v>
      </c>
      <c r="C1954" t="s">
        <v>2224</v>
      </c>
      <c r="D1954" t="s">
        <v>2182</v>
      </c>
    </row>
    <row r="1955" spans="1:4" x14ac:dyDescent="0.3">
      <c r="A1955" t="s">
        <v>446</v>
      </c>
      <c r="B1955">
        <v>4.0598063786682376E-2</v>
      </c>
      <c r="C1955" t="s">
        <v>2224</v>
      </c>
      <c r="D1955" t="s">
        <v>2182</v>
      </c>
    </row>
    <row r="1956" spans="1:4" x14ac:dyDescent="0.3">
      <c r="A1956" t="s">
        <v>1632</v>
      </c>
      <c r="B1956" t="s">
        <v>361</v>
      </c>
      <c r="C1956" t="s">
        <v>2224</v>
      </c>
      <c r="D1956" t="s">
        <v>2182</v>
      </c>
    </row>
    <row r="1957" spans="1:4" x14ac:dyDescent="0.3">
      <c r="A1957" t="s">
        <v>1626</v>
      </c>
      <c r="B1957" t="s">
        <v>361</v>
      </c>
      <c r="C1957" t="s">
        <v>2224</v>
      </c>
      <c r="D1957" t="s">
        <v>2182</v>
      </c>
    </row>
    <row r="1958" spans="1:4" x14ac:dyDescent="0.3">
      <c r="A1958" t="s">
        <v>1627</v>
      </c>
      <c r="B1958" t="s">
        <v>361</v>
      </c>
      <c r="C1958" t="s">
        <v>2224</v>
      </c>
      <c r="D1958" t="s">
        <v>2182</v>
      </c>
    </row>
    <row r="1959" spans="1:4" x14ac:dyDescent="0.3">
      <c r="A1959" t="s">
        <v>1625</v>
      </c>
      <c r="B1959" t="s">
        <v>361</v>
      </c>
      <c r="C1959" t="s">
        <v>2224</v>
      </c>
      <c r="D1959" t="s">
        <v>2182</v>
      </c>
    </row>
    <row r="1960" spans="1:4" x14ac:dyDescent="0.3">
      <c r="A1960" t="s">
        <v>1623</v>
      </c>
      <c r="B1960" t="s">
        <v>361</v>
      </c>
      <c r="C1960" t="s">
        <v>2224</v>
      </c>
      <c r="D1960" t="s">
        <v>2182</v>
      </c>
    </row>
    <row r="1961" spans="1:4" x14ac:dyDescent="0.3">
      <c r="A1961" t="s">
        <v>1633</v>
      </c>
      <c r="B1961">
        <v>11.241266301759348</v>
      </c>
      <c r="C1961" t="s">
        <v>2224</v>
      </c>
      <c r="D1961" t="s">
        <v>2182</v>
      </c>
    </row>
    <row r="1962" spans="1:4" x14ac:dyDescent="0.3">
      <c r="A1962" t="s">
        <v>1628</v>
      </c>
      <c r="B1962">
        <v>11.303625431829856</v>
      </c>
      <c r="C1962" t="s">
        <v>2224</v>
      </c>
      <c r="D1962" t="s">
        <v>2183</v>
      </c>
    </row>
    <row r="1963" spans="1:4" x14ac:dyDescent="0.3">
      <c r="A1963" t="s">
        <v>17</v>
      </c>
      <c r="B1963">
        <v>1.688905677340204</v>
      </c>
      <c r="C1963" t="s">
        <v>2224</v>
      </c>
      <c r="D1963" t="s">
        <v>2183</v>
      </c>
    </row>
    <row r="1964" spans="1:4" x14ac:dyDescent="0.3">
      <c r="A1964" t="s">
        <v>209</v>
      </c>
      <c r="B1964">
        <v>9.5741216907029703</v>
      </c>
      <c r="C1964" t="s">
        <v>2224</v>
      </c>
      <c r="D1964" t="s">
        <v>2183</v>
      </c>
    </row>
    <row r="1965" spans="1:4" x14ac:dyDescent="0.3">
      <c r="A1965" t="s">
        <v>446</v>
      </c>
      <c r="B1965">
        <v>4.0598063786682376E-2</v>
      </c>
      <c r="C1965" t="s">
        <v>2224</v>
      </c>
      <c r="D1965" t="s">
        <v>2183</v>
      </c>
    </row>
    <row r="1966" spans="1:4" x14ac:dyDescent="0.3">
      <c r="A1966" t="s">
        <v>1632</v>
      </c>
      <c r="B1966" t="s">
        <v>361</v>
      </c>
      <c r="C1966" t="s">
        <v>2224</v>
      </c>
      <c r="D1966" t="s">
        <v>2183</v>
      </c>
    </row>
    <row r="1967" spans="1:4" x14ac:dyDescent="0.3">
      <c r="A1967" t="s">
        <v>1626</v>
      </c>
      <c r="B1967" t="s">
        <v>361</v>
      </c>
      <c r="C1967" t="s">
        <v>2224</v>
      </c>
      <c r="D1967" t="s">
        <v>2183</v>
      </c>
    </row>
    <row r="1968" spans="1:4" x14ac:dyDescent="0.3">
      <c r="A1968" t="s">
        <v>1627</v>
      </c>
      <c r="B1968" t="s">
        <v>361</v>
      </c>
      <c r="C1968" t="s">
        <v>2224</v>
      </c>
      <c r="D1968" t="s">
        <v>2183</v>
      </c>
    </row>
    <row r="1969" spans="1:4" x14ac:dyDescent="0.3">
      <c r="A1969" t="s">
        <v>1625</v>
      </c>
      <c r="B1969" t="s">
        <v>361</v>
      </c>
      <c r="C1969" t="s">
        <v>2224</v>
      </c>
      <c r="D1969" t="s">
        <v>2183</v>
      </c>
    </row>
    <row r="1970" spans="1:4" x14ac:dyDescent="0.3">
      <c r="A1970" t="s">
        <v>1623</v>
      </c>
      <c r="B1970" t="s">
        <v>361</v>
      </c>
      <c r="C1970" t="s">
        <v>2224</v>
      </c>
      <c r="D1970" t="s">
        <v>2183</v>
      </c>
    </row>
    <row r="1971" spans="1:4" x14ac:dyDescent="0.3">
      <c r="A1971" t="s">
        <v>1633</v>
      </c>
      <c r="B1971">
        <v>11.303625431829856</v>
      </c>
      <c r="C1971" t="s">
        <v>2224</v>
      </c>
      <c r="D1971" t="s">
        <v>2183</v>
      </c>
    </row>
    <row r="1972" spans="1:4" x14ac:dyDescent="0.3">
      <c r="A1972" t="s">
        <v>1628</v>
      </c>
      <c r="B1972">
        <v>11.284800360708081</v>
      </c>
      <c r="C1972" t="s">
        <v>2224</v>
      </c>
      <c r="D1972" t="s">
        <v>2184</v>
      </c>
    </row>
    <row r="1973" spans="1:4" x14ac:dyDescent="0.3">
      <c r="A1973" t="s">
        <v>17</v>
      </c>
      <c r="B1973">
        <v>1.688905677340204</v>
      </c>
      <c r="C1973" t="s">
        <v>2224</v>
      </c>
      <c r="D1973" t="s">
        <v>2184</v>
      </c>
    </row>
    <row r="1974" spans="1:4" x14ac:dyDescent="0.3">
      <c r="A1974" t="s">
        <v>209</v>
      </c>
      <c r="B1974">
        <v>9.5552966195811955</v>
      </c>
      <c r="C1974" t="s">
        <v>2224</v>
      </c>
      <c r="D1974" t="s">
        <v>2184</v>
      </c>
    </row>
    <row r="1975" spans="1:4" x14ac:dyDescent="0.3">
      <c r="A1975" t="s">
        <v>446</v>
      </c>
      <c r="B1975">
        <v>4.0598063786682376E-2</v>
      </c>
      <c r="C1975" t="s">
        <v>2224</v>
      </c>
      <c r="D1975" t="s">
        <v>2184</v>
      </c>
    </row>
    <row r="1976" spans="1:4" x14ac:dyDescent="0.3">
      <c r="A1976" t="s">
        <v>1632</v>
      </c>
      <c r="B1976" t="s">
        <v>361</v>
      </c>
      <c r="C1976" t="s">
        <v>2224</v>
      </c>
      <c r="D1976" t="s">
        <v>2184</v>
      </c>
    </row>
    <row r="1977" spans="1:4" x14ac:dyDescent="0.3">
      <c r="A1977" t="s">
        <v>1626</v>
      </c>
      <c r="B1977" t="s">
        <v>361</v>
      </c>
      <c r="C1977" t="s">
        <v>2224</v>
      </c>
      <c r="D1977" t="s">
        <v>2184</v>
      </c>
    </row>
    <row r="1978" spans="1:4" x14ac:dyDescent="0.3">
      <c r="A1978" t="s">
        <v>1627</v>
      </c>
      <c r="B1978" t="s">
        <v>361</v>
      </c>
      <c r="C1978" t="s">
        <v>2224</v>
      </c>
      <c r="D1978" t="s">
        <v>2184</v>
      </c>
    </row>
    <row r="1979" spans="1:4" x14ac:dyDescent="0.3">
      <c r="A1979" t="s">
        <v>1625</v>
      </c>
      <c r="B1979" t="s">
        <v>361</v>
      </c>
      <c r="C1979" t="s">
        <v>2224</v>
      </c>
      <c r="D1979" t="s">
        <v>2184</v>
      </c>
    </row>
    <row r="1980" spans="1:4" x14ac:dyDescent="0.3">
      <c r="A1980" t="s">
        <v>1623</v>
      </c>
      <c r="B1980" t="s">
        <v>361</v>
      </c>
      <c r="C1980" t="s">
        <v>2224</v>
      </c>
      <c r="D1980" t="s">
        <v>2184</v>
      </c>
    </row>
    <row r="1981" spans="1:4" x14ac:dyDescent="0.3">
      <c r="A1981" t="s">
        <v>1633</v>
      </c>
      <c r="B1981">
        <v>11.284800360708081</v>
      </c>
      <c r="C1981" t="s">
        <v>2224</v>
      </c>
      <c r="D1981" t="s">
        <v>2184</v>
      </c>
    </row>
    <row r="1982" spans="1:4" x14ac:dyDescent="0.3">
      <c r="A1982" t="s">
        <v>1628</v>
      </c>
      <c r="B1982">
        <v>11.287099746086755</v>
      </c>
      <c r="C1982" t="s">
        <v>2224</v>
      </c>
      <c r="D1982" t="s">
        <v>2185</v>
      </c>
    </row>
    <row r="1983" spans="1:4" x14ac:dyDescent="0.3">
      <c r="A1983" t="s">
        <v>17</v>
      </c>
      <c r="B1983">
        <v>1.688905677340204</v>
      </c>
      <c r="C1983" t="s">
        <v>2224</v>
      </c>
      <c r="D1983" t="s">
        <v>2185</v>
      </c>
    </row>
    <row r="1984" spans="1:4" x14ac:dyDescent="0.3">
      <c r="A1984" t="s">
        <v>209</v>
      </c>
      <c r="B1984">
        <v>9.5575960049598692</v>
      </c>
      <c r="C1984" t="s">
        <v>2224</v>
      </c>
      <c r="D1984" t="s">
        <v>2185</v>
      </c>
    </row>
    <row r="1985" spans="1:4" x14ac:dyDescent="0.3">
      <c r="A1985" t="s">
        <v>446</v>
      </c>
      <c r="B1985">
        <v>4.0598063786682376E-2</v>
      </c>
      <c r="C1985" t="s">
        <v>2224</v>
      </c>
      <c r="D1985" t="s">
        <v>2185</v>
      </c>
    </row>
    <row r="1986" spans="1:4" x14ac:dyDescent="0.3">
      <c r="A1986" t="s">
        <v>1632</v>
      </c>
      <c r="B1986" t="s">
        <v>361</v>
      </c>
      <c r="C1986" t="s">
        <v>2224</v>
      </c>
      <c r="D1986" t="s">
        <v>2185</v>
      </c>
    </row>
    <row r="1987" spans="1:4" x14ac:dyDescent="0.3">
      <c r="A1987" t="s">
        <v>1626</v>
      </c>
      <c r="B1987" t="s">
        <v>361</v>
      </c>
      <c r="C1987" t="s">
        <v>2224</v>
      </c>
      <c r="D1987" t="s">
        <v>2185</v>
      </c>
    </row>
    <row r="1988" spans="1:4" x14ac:dyDescent="0.3">
      <c r="A1988" t="s">
        <v>1627</v>
      </c>
      <c r="B1988" t="s">
        <v>361</v>
      </c>
      <c r="C1988" t="s">
        <v>2224</v>
      </c>
      <c r="D1988" t="s">
        <v>2185</v>
      </c>
    </row>
    <row r="1989" spans="1:4" x14ac:dyDescent="0.3">
      <c r="A1989" t="s">
        <v>1625</v>
      </c>
      <c r="B1989" t="s">
        <v>361</v>
      </c>
      <c r="C1989" t="s">
        <v>2224</v>
      </c>
      <c r="D1989" t="s">
        <v>2185</v>
      </c>
    </row>
    <row r="1990" spans="1:4" x14ac:dyDescent="0.3">
      <c r="A1990" t="s">
        <v>1623</v>
      </c>
      <c r="B1990" t="s">
        <v>361</v>
      </c>
      <c r="C1990" t="s">
        <v>2224</v>
      </c>
      <c r="D1990" t="s">
        <v>2185</v>
      </c>
    </row>
    <row r="1991" spans="1:4" x14ac:dyDescent="0.3">
      <c r="A1991" t="s">
        <v>1633</v>
      </c>
      <c r="B1991">
        <v>11.287099746086755</v>
      </c>
      <c r="C1991" t="s">
        <v>2224</v>
      </c>
      <c r="D1991" t="s">
        <v>2185</v>
      </c>
    </row>
    <row r="1992" spans="1:4" x14ac:dyDescent="0.3">
      <c r="A1992" t="s">
        <v>1628</v>
      </c>
      <c r="B1992">
        <v>11.272116960210377</v>
      </c>
      <c r="C1992" t="s">
        <v>2224</v>
      </c>
      <c r="D1992" t="s">
        <v>2186</v>
      </c>
    </row>
    <row r="1993" spans="1:4" x14ac:dyDescent="0.3">
      <c r="A1993" t="s">
        <v>17</v>
      </c>
      <c r="B1993">
        <v>1.688905677340204</v>
      </c>
      <c r="C1993" t="s">
        <v>2224</v>
      </c>
      <c r="D1993" t="s">
        <v>2186</v>
      </c>
    </row>
    <row r="1994" spans="1:4" x14ac:dyDescent="0.3">
      <c r="A1994" t="s">
        <v>209</v>
      </c>
      <c r="B1994">
        <v>9.542613219083492</v>
      </c>
      <c r="C1994" t="s">
        <v>2224</v>
      </c>
      <c r="D1994" t="s">
        <v>2186</v>
      </c>
    </row>
    <row r="1995" spans="1:4" x14ac:dyDescent="0.3">
      <c r="A1995" t="s">
        <v>446</v>
      </c>
      <c r="B1995">
        <v>4.0598063786682376E-2</v>
      </c>
      <c r="C1995" t="s">
        <v>2224</v>
      </c>
      <c r="D1995" t="s">
        <v>2186</v>
      </c>
    </row>
    <row r="1996" spans="1:4" x14ac:dyDescent="0.3">
      <c r="A1996" t="s">
        <v>1632</v>
      </c>
      <c r="B1996" t="s">
        <v>361</v>
      </c>
      <c r="C1996" t="s">
        <v>2224</v>
      </c>
      <c r="D1996" t="s">
        <v>2186</v>
      </c>
    </row>
    <row r="1997" spans="1:4" x14ac:dyDescent="0.3">
      <c r="A1997" t="s">
        <v>1626</v>
      </c>
      <c r="B1997" t="s">
        <v>361</v>
      </c>
      <c r="C1997" t="s">
        <v>2224</v>
      </c>
      <c r="D1997" t="s">
        <v>2186</v>
      </c>
    </row>
    <row r="1998" spans="1:4" x14ac:dyDescent="0.3">
      <c r="A1998" t="s">
        <v>1627</v>
      </c>
      <c r="B1998" t="s">
        <v>361</v>
      </c>
      <c r="C1998" t="s">
        <v>2224</v>
      </c>
      <c r="D1998" t="s">
        <v>2186</v>
      </c>
    </row>
    <row r="1999" spans="1:4" x14ac:dyDescent="0.3">
      <c r="A1999" t="s">
        <v>1625</v>
      </c>
      <c r="B1999" t="s">
        <v>361</v>
      </c>
      <c r="C1999" t="s">
        <v>2224</v>
      </c>
      <c r="D1999" t="s">
        <v>2186</v>
      </c>
    </row>
    <row r="2000" spans="1:4" x14ac:dyDescent="0.3">
      <c r="A2000" t="s">
        <v>1623</v>
      </c>
      <c r="B2000" t="s">
        <v>361</v>
      </c>
      <c r="C2000" t="s">
        <v>2224</v>
      </c>
      <c r="D2000" t="s">
        <v>2186</v>
      </c>
    </row>
    <row r="2001" spans="1:4" x14ac:dyDescent="0.3">
      <c r="A2001" t="s">
        <v>1633</v>
      </c>
      <c r="B2001">
        <v>11.272116960210377</v>
      </c>
      <c r="C2001" t="s">
        <v>2224</v>
      </c>
      <c r="D2001" t="s">
        <v>2186</v>
      </c>
    </row>
    <row r="2002" spans="1:4" x14ac:dyDescent="0.3">
      <c r="A2002" t="s">
        <v>1628</v>
      </c>
      <c r="B2002">
        <v>11.273775892402558</v>
      </c>
      <c r="C2002" t="s">
        <v>2224</v>
      </c>
      <c r="D2002" t="s">
        <v>2187</v>
      </c>
    </row>
    <row r="2003" spans="1:4" x14ac:dyDescent="0.3">
      <c r="A2003" t="s">
        <v>17</v>
      </c>
      <c r="B2003">
        <v>1.688905677340204</v>
      </c>
      <c r="C2003" t="s">
        <v>2224</v>
      </c>
      <c r="D2003" t="s">
        <v>2187</v>
      </c>
    </row>
    <row r="2004" spans="1:4" x14ac:dyDescent="0.3">
      <c r="A2004" t="s">
        <v>209</v>
      </c>
      <c r="B2004">
        <v>9.5442721512756723</v>
      </c>
      <c r="C2004" t="s">
        <v>2224</v>
      </c>
      <c r="D2004" t="s">
        <v>2187</v>
      </c>
    </row>
    <row r="2005" spans="1:4" x14ac:dyDescent="0.3">
      <c r="A2005" t="s">
        <v>446</v>
      </c>
      <c r="B2005">
        <v>4.0598063786682376E-2</v>
      </c>
      <c r="C2005" t="s">
        <v>2224</v>
      </c>
      <c r="D2005" t="s">
        <v>2187</v>
      </c>
    </row>
    <row r="2006" spans="1:4" x14ac:dyDescent="0.3">
      <c r="A2006" t="s">
        <v>1632</v>
      </c>
      <c r="B2006" t="s">
        <v>361</v>
      </c>
      <c r="C2006" t="s">
        <v>2224</v>
      </c>
      <c r="D2006" t="s">
        <v>2187</v>
      </c>
    </row>
    <row r="2007" spans="1:4" x14ac:dyDescent="0.3">
      <c r="A2007" t="s">
        <v>1626</v>
      </c>
      <c r="B2007" t="s">
        <v>361</v>
      </c>
      <c r="C2007" t="s">
        <v>2224</v>
      </c>
      <c r="D2007" t="s">
        <v>2187</v>
      </c>
    </row>
    <row r="2008" spans="1:4" x14ac:dyDescent="0.3">
      <c r="A2008" t="s">
        <v>1627</v>
      </c>
      <c r="B2008" t="s">
        <v>361</v>
      </c>
      <c r="C2008" t="s">
        <v>2224</v>
      </c>
      <c r="D2008" t="s">
        <v>2187</v>
      </c>
    </row>
    <row r="2009" spans="1:4" x14ac:dyDescent="0.3">
      <c r="A2009" t="s">
        <v>1625</v>
      </c>
      <c r="B2009" t="s">
        <v>361</v>
      </c>
      <c r="C2009" t="s">
        <v>2224</v>
      </c>
      <c r="D2009" t="s">
        <v>2187</v>
      </c>
    </row>
    <row r="2010" spans="1:4" x14ac:dyDescent="0.3">
      <c r="A2010" t="s">
        <v>1623</v>
      </c>
      <c r="B2010" t="s">
        <v>361</v>
      </c>
      <c r="C2010" t="s">
        <v>2224</v>
      </c>
      <c r="D2010" t="s">
        <v>2187</v>
      </c>
    </row>
    <row r="2011" spans="1:4" x14ac:dyDescent="0.3">
      <c r="A2011" t="s">
        <v>1633</v>
      </c>
      <c r="B2011">
        <v>11.273775892402558</v>
      </c>
      <c r="C2011" t="s">
        <v>2224</v>
      </c>
      <c r="D2011" t="s">
        <v>2187</v>
      </c>
    </row>
    <row r="2012" spans="1:4" x14ac:dyDescent="0.3">
      <c r="A2012" t="s">
        <v>1628</v>
      </c>
      <c r="B2012">
        <v>11.260884000934814</v>
      </c>
      <c r="C2012" t="s">
        <v>2224</v>
      </c>
      <c r="D2012" t="s">
        <v>2188</v>
      </c>
    </row>
    <row r="2013" spans="1:4" x14ac:dyDescent="0.3">
      <c r="A2013" t="s">
        <v>17</v>
      </c>
      <c r="B2013">
        <v>1.688905677340204</v>
      </c>
      <c r="C2013" t="s">
        <v>2224</v>
      </c>
      <c r="D2013" t="s">
        <v>2188</v>
      </c>
    </row>
    <row r="2014" spans="1:4" x14ac:dyDescent="0.3">
      <c r="A2014" t="s">
        <v>209</v>
      </c>
      <c r="B2014">
        <v>9.5313802598079285</v>
      </c>
      <c r="C2014" t="s">
        <v>2224</v>
      </c>
      <c r="D2014" t="s">
        <v>2188</v>
      </c>
    </row>
    <row r="2015" spans="1:4" x14ac:dyDescent="0.3">
      <c r="A2015" t="s">
        <v>446</v>
      </c>
      <c r="B2015">
        <v>4.0598063786682376E-2</v>
      </c>
      <c r="C2015" t="s">
        <v>2224</v>
      </c>
      <c r="D2015" t="s">
        <v>2188</v>
      </c>
    </row>
    <row r="2016" spans="1:4" x14ac:dyDescent="0.3">
      <c r="A2016" t="s">
        <v>1632</v>
      </c>
      <c r="B2016" t="s">
        <v>361</v>
      </c>
      <c r="C2016" t="s">
        <v>2224</v>
      </c>
      <c r="D2016" t="s">
        <v>2188</v>
      </c>
    </row>
    <row r="2017" spans="1:4" x14ac:dyDescent="0.3">
      <c r="A2017" t="s">
        <v>1626</v>
      </c>
      <c r="B2017" t="s">
        <v>361</v>
      </c>
      <c r="C2017" t="s">
        <v>2224</v>
      </c>
      <c r="D2017" t="s">
        <v>2188</v>
      </c>
    </row>
    <row r="2018" spans="1:4" x14ac:dyDescent="0.3">
      <c r="A2018" t="s">
        <v>1627</v>
      </c>
      <c r="B2018" t="s">
        <v>361</v>
      </c>
      <c r="C2018" t="s">
        <v>2224</v>
      </c>
      <c r="D2018" t="s">
        <v>2188</v>
      </c>
    </row>
    <row r="2019" spans="1:4" x14ac:dyDescent="0.3">
      <c r="A2019" t="s">
        <v>1625</v>
      </c>
      <c r="B2019" t="s">
        <v>361</v>
      </c>
      <c r="C2019" t="s">
        <v>2224</v>
      </c>
      <c r="D2019" t="s">
        <v>2188</v>
      </c>
    </row>
    <row r="2020" spans="1:4" x14ac:dyDescent="0.3">
      <c r="A2020" t="s">
        <v>1623</v>
      </c>
      <c r="B2020" t="s">
        <v>361</v>
      </c>
      <c r="C2020" t="s">
        <v>2224</v>
      </c>
      <c r="D2020" t="s">
        <v>2188</v>
      </c>
    </row>
    <row r="2021" spans="1:4" x14ac:dyDescent="0.3">
      <c r="A2021" t="s">
        <v>1633</v>
      </c>
      <c r="B2021">
        <v>11.260884000934814</v>
      </c>
      <c r="C2021" t="s">
        <v>2224</v>
      </c>
      <c r="D2021" t="s">
        <v>2188</v>
      </c>
    </row>
    <row r="2022" spans="1:4" x14ac:dyDescent="0.3">
      <c r="A2022" t="s">
        <v>1628</v>
      </c>
      <c r="B2022">
        <v>11.349459433105173</v>
      </c>
      <c r="C2022" t="s">
        <v>2224</v>
      </c>
      <c r="D2022" t="s">
        <v>2189</v>
      </c>
    </row>
    <row r="2023" spans="1:4" x14ac:dyDescent="0.3">
      <c r="A2023" t="s">
        <v>17</v>
      </c>
      <c r="B2023">
        <v>1.688905677340204</v>
      </c>
      <c r="C2023" t="s">
        <v>2224</v>
      </c>
      <c r="D2023" t="s">
        <v>2189</v>
      </c>
    </row>
    <row r="2024" spans="1:4" x14ac:dyDescent="0.3">
      <c r="A2024" t="s">
        <v>209</v>
      </c>
      <c r="B2024">
        <v>9.6199556919782871</v>
      </c>
      <c r="C2024" t="s">
        <v>2224</v>
      </c>
      <c r="D2024" t="s">
        <v>2189</v>
      </c>
    </row>
    <row r="2025" spans="1:4" x14ac:dyDescent="0.3">
      <c r="A2025" t="s">
        <v>446</v>
      </c>
      <c r="B2025">
        <v>4.0598063786682376E-2</v>
      </c>
      <c r="C2025" t="s">
        <v>2224</v>
      </c>
      <c r="D2025" t="s">
        <v>2189</v>
      </c>
    </row>
    <row r="2026" spans="1:4" x14ac:dyDescent="0.3">
      <c r="A2026" t="s">
        <v>1632</v>
      </c>
      <c r="B2026" t="s">
        <v>361</v>
      </c>
      <c r="C2026" t="s">
        <v>2224</v>
      </c>
      <c r="D2026" t="s">
        <v>2189</v>
      </c>
    </row>
    <row r="2027" spans="1:4" x14ac:dyDescent="0.3">
      <c r="A2027" t="s">
        <v>1626</v>
      </c>
      <c r="B2027" t="s">
        <v>361</v>
      </c>
      <c r="C2027" t="s">
        <v>2224</v>
      </c>
      <c r="D2027" t="s">
        <v>2189</v>
      </c>
    </row>
    <row r="2028" spans="1:4" x14ac:dyDescent="0.3">
      <c r="A2028" t="s">
        <v>1627</v>
      </c>
      <c r="B2028" t="s">
        <v>361</v>
      </c>
      <c r="C2028" t="s">
        <v>2224</v>
      </c>
      <c r="D2028" t="s">
        <v>2189</v>
      </c>
    </row>
    <row r="2029" spans="1:4" x14ac:dyDescent="0.3">
      <c r="A2029" t="s">
        <v>1625</v>
      </c>
      <c r="B2029" t="s">
        <v>361</v>
      </c>
      <c r="C2029" t="s">
        <v>2224</v>
      </c>
      <c r="D2029" t="s">
        <v>2189</v>
      </c>
    </row>
    <row r="2030" spans="1:4" x14ac:dyDescent="0.3">
      <c r="A2030" t="s">
        <v>1623</v>
      </c>
      <c r="B2030" t="s">
        <v>361</v>
      </c>
      <c r="C2030" t="s">
        <v>2224</v>
      </c>
      <c r="D2030" t="s">
        <v>2189</v>
      </c>
    </row>
    <row r="2031" spans="1:4" x14ac:dyDescent="0.3">
      <c r="A2031" t="s">
        <v>1633</v>
      </c>
      <c r="B2031">
        <v>11.349459433105173</v>
      </c>
      <c r="C2031" t="s">
        <v>2224</v>
      </c>
      <c r="D2031" t="s">
        <v>2189</v>
      </c>
    </row>
    <row r="2032" spans="1:4" x14ac:dyDescent="0.3">
      <c r="A2032" t="s">
        <v>1628</v>
      </c>
      <c r="B2032">
        <v>11.268613459044937</v>
      </c>
      <c r="C2032" t="s">
        <v>2224</v>
      </c>
      <c r="D2032" t="s">
        <v>2190</v>
      </c>
    </row>
    <row r="2033" spans="1:4" x14ac:dyDescent="0.3">
      <c r="A2033" t="s">
        <v>17</v>
      </c>
      <c r="B2033">
        <v>1.688905677340204</v>
      </c>
      <c r="C2033" t="s">
        <v>2224</v>
      </c>
      <c r="D2033" t="s">
        <v>2190</v>
      </c>
    </row>
    <row r="2034" spans="1:4" x14ac:dyDescent="0.3">
      <c r="A2034" t="s">
        <v>209</v>
      </c>
      <c r="B2034">
        <v>9.539109717918052</v>
      </c>
      <c r="C2034" t="s">
        <v>2224</v>
      </c>
      <c r="D2034" t="s">
        <v>2190</v>
      </c>
    </row>
    <row r="2035" spans="1:4" x14ac:dyDescent="0.3">
      <c r="A2035" t="s">
        <v>446</v>
      </c>
      <c r="B2035">
        <v>4.0598063786682376E-2</v>
      </c>
      <c r="C2035" t="s">
        <v>2224</v>
      </c>
      <c r="D2035" t="s">
        <v>2190</v>
      </c>
    </row>
    <row r="2036" spans="1:4" x14ac:dyDescent="0.3">
      <c r="A2036" t="s">
        <v>1632</v>
      </c>
      <c r="B2036" t="s">
        <v>361</v>
      </c>
      <c r="C2036" t="s">
        <v>2224</v>
      </c>
      <c r="D2036" t="s">
        <v>2190</v>
      </c>
    </row>
    <row r="2037" spans="1:4" x14ac:dyDescent="0.3">
      <c r="A2037" t="s">
        <v>1626</v>
      </c>
      <c r="B2037" t="s">
        <v>361</v>
      </c>
      <c r="C2037" t="s">
        <v>2224</v>
      </c>
      <c r="D2037" t="s">
        <v>2190</v>
      </c>
    </row>
    <row r="2038" spans="1:4" x14ac:dyDescent="0.3">
      <c r="A2038" t="s">
        <v>1627</v>
      </c>
      <c r="B2038" t="s">
        <v>361</v>
      </c>
      <c r="C2038" t="s">
        <v>2224</v>
      </c>
      <c r="D2038" t="s">
        <v>2190</v>
      </c>
    </row>
    <row r="2039" spans="1:4" x14ac:dyDescent="0.3">
      <c r="A2039" t="s">
        <v>1625</v>
      </c>
      <c r="B2039" t="s">
        <v>361</v>
      </c>
      <c r="C2039" t="s">
        <v>2224</v>
      </c>
      <c r="D2039" t="s">
        <v>2190</v>
      </c>
    </row>
    <row r="2040" spans="1:4" x14ac:dyDescent="0.3">
      <c r="A2040" t="s">
        <v>1623</v>
      </c>
      <c r="B2040" t="s">
        <v>361</v>
      </c>
      <c r="C2040" t="s">
        <v>2224</v>
      </c>
      <c r="D2040" t="s">
        <v>2190</v>
      </c>
    </row>
    <row r="2041" spans="1:4" x14ac:dyDescent="0.3">
      <c r="A2041" t="s">
        <v>1633</v>
      </c>
      <c r="B2041">
        <v>11.268613459044937</v>
      </c>
      <c r="C2041" t="s">
        <v>2224</v>
      </c>
      <c r="D2041" t="s">
        <v>2190</v>
      </c>
    </row>
    <row r="2042" spans="1:4" x14ac:dyDescent="0.3">
      <c r="A2042" t="s">
        <v>1628</v>
      </c>
      <c r="B2042">
        <v>11.268821523146885</v>
      </c>
      <c r="C2042" t="s">
        <v>2224</v>
      </c>
      <c r="D2042" t="s">
        <v>2191</v>
      </c>
    </row>
    <row r="2043" spans="1:4" x14ac:dyDescent="0.3">
      <c r="A2043" t="s">
        <v>17</v>
      </c>
      <c r="B2043">
        <v>1.688905677340204</v>
      </c>
      <c r="C2043" t="s">
        <v>2224</v>
      </c>
      <c r="D2043" t="s">
        <v>2191</v>
      </c>
    </row>
    <row r="2044" spans="1:4" x14ac:dyDescent="0.3">
      <c r="A2044" t="s">
        <v>209</v>
      </c>
      <c r="B2044">
        <v>9.5393177820199995</v>
      </c>
      <c r="C2044" t="s">
        <v>2224</v>
      </c>
      <c r="D2044" t="s">
        <v>2191</v>
      </c>
    </row>
    <row r="2045" spans="1:4" x14ac:dyDescent="0.3">
      <c r="A2045" t="s">
        <v>446</v>
      </c>
      <c r="B2045">
        <v>4.0598063786682376E-2</v>
      </c>
      <c r="C2045" t="s">
        <v>2224</v>
      </c>
      <c r="D2045" t="s">
        <v>2191</v>
      </c>
    </row>
    <row r="2046" spans="1:4" x14ac:dyDescent="0.3">
      <c r="A2046" t="s">
        <v>1632</v>
      </c>
      <c r="B2046" t="s">
        <v>361</v>
      </c>
      <c r="C2046" t="s">
        <v>2224</v>
      </c>
      <c r="D2046" t="s">
        <v>2191</v>
      </c>
    </row>
    <row r="2047" spans="1:4" x14ac:dyDescent="0.3">
      <c r="A2047" t="s">
        <v>1626</v>
      </c>
      <c r="B2047" t="s">
        <v>361</v>
      </c>
      <c r="C2047" t="s">
        <v>2224</v>
      </c>
      <c r="D2047" t="s">
        <v>2191</v>
      </c>
    </row>
    <row r="2048" spans="1:4" x14ac:dyDescent="0.3">
      <c r="A2048" t="s">
        <v>1627</v>
      </c>
      <c r="B2048" t="s">
        <v>361</v>
      </c>
      <c r="C2048" t="s">
        <v>2224</v>
      </c>
      <c r="D2048" t="s">
        <v>2191</v>
      </c>
    </row>
    <row r="2049" spans="1:4" x14ac:dyDescent="0.3">
      <c r="A2049" t="s">
        <v>1625</v>
      </c>
      <c r="B2049" t="s">
        <v>361</v>
      </c>
      <c r="C2049" t="s">
        <v>2224</v>
      </c>
      <c r="D2049" t="s">
        <v>2191</v>
      </c>
    </row>
    <row r="2050" spans="1:4" x14ac:dyDescent="0.3">
      <c r="A2050" t="s">
        <v>1623</v>
      </c>
      <c r="B2050" t="s">
        <v>361</v>
      </c>
      <c r="C2050" t="s">
        <v>2224</v>
      </c>
      <c r="D2050" t="s">
        <v>2191</v>
      </c>
    </row>
    <row r="2051" spans="1:4" x14ac:dyDescent="0.3">
      <c r="A2051" t="s">
        <v>1633</v>
      </c>
      <c r="B2051">
        <v>11.268821523146885</v>
      </c>
      <c r="C2051" t="s">
        <v>2224</v>
      </c>
      <c r="D2051" t="s">
        <v>2191</v>
      </c>
    </row>
    <row r="2052" spans="1:4" x14ac:dyDescent="0.3">
      <c r="A2052" t="s">
        <v>1628</v>
      </c>
      <c r="B2052">
        <v>11.234641583393154</v>
      </c>
      <c r="C2052" t="s">
        <v>2224</v>
      </c>
      <c r="D2052" t="s">
        <v>2192</v>
      </c>
    </row>
    <row r="2053" spans="1:4" x14ac:dyDescent="0.3">
      <c r="A2053" t="s">
        <v>17</v>
      </c>
      <c r="B2053">
        <v>1.688905677340204</v>
      </c>
      <c r="C2053" t="s">
        <v>2224</v>
      </c>
      <c r="D2053" t="s">
        <v>2192</v>
      </c>
    </row>
    <row r="2054" spans="1:4" x14ac:dyDescent="0.3">
      <c r="A2054" t="s">
        <v>209</v>
      </c>
      <c r="B2054">
        <v>9.5051378422662687</v>
      </c>
      <c r="C2054" t="s">
        <v>2224</v>
      </c>
      <c r="D2054" t="s">
        <v>2192</v>
      </c>
    </row>
    <row r="2055" spans="1:4" x14ac:dyDescent="0.3">
      <c r="A2055" t="s">
        <v>446</v>
      </c>
      <c r="B2055">
        <v>4.0598063786682376E-2</v>
      </c>
      <c r="C2055" t="s">
        <v>2224</v>
      </c>
      <c r="D2055" t="s">
        <v>2192</v>
      </c>
    </row>
    <row r="2056" spans="1:4" x14ac:dyDescent="0.3">
      <c r="A2056" t="s">
        <v>1632</v>
      </c>
      <c r="B2056" t="s">
        <v>361</v>
      </c>
      <c r="C2056" t="s">
        <v>2224</v>
      </c>
      <c r="D2056" t="s">
        <v>2192</v>
      </c>
    </row>
    <row r="2057" spans="1:4" x14ac:dyDescent="0.3">
      <c r="A2057" t="s">
        <v>1626</v>
      </c>
      <c r="B2057" t="s">
        <v>361</v>
      </c>
      <c r="C2057" t="s">
        <v>2224</v>
      </c>
      <c r="D2057" t="s">
        <v>2192</v>
      </c>
    </row>
    <row r="2058" spans="1:4" x14ac:dyDescent="0.3">
      <c r="A2058" t="s">
        <v>1627</v>
      </c>
      <c r="B2058" t="s">
        <v>361</v>
      </c>
      <c r="C2058" t="s">
        <v>2224</v>
      </c>
      <c r="D2058" t="s">
        <v>2192</v>
      </c>
    </row>
    <row r="2059" spans="1:4" x14ac:dyDescent="0.3">
      <c r="A2059" t="s">
        <v>1625</v>
      </c>
      <c r="B2059" t="s">
        <v>361</v>
      </c>
      <c r="C2059" t="s">
        <v>2224</v>
      </c>
      <c r="D2059" t="s">
        <v>2192</v>
      </c>
    </row>
    <row r="2060" spans="1:4" x14ac:dyDescent="0.3">
      <c r="A2060" t="s">
        <v>1623</v>
      </c>
      <c r="B2060" t="s">
        <v>361</v>
      </c>
      <c r="C2060" t="s">
        <v>2224</v>
      </c>
      <c r="D2060" t="s">
        <v>2192</v>
      </c>
    </row>
    <row r="2061" spans="1:4" x14ac:dyDescent="0.3">
      <c r="A2061" t="s">
        <v>1633</v>
      </c>
      <c r="B2061">
        <v>11.234641583393154</v>
      </c>
      <c r="C2061" t="s">
        <v>2224</v>
      </c>
      <c r="D2061" t="s">
        <v>2192</v>
      </c>
    </row>
    <row r="2062" spans="1:4" x14ac:dyDescent="0.3">
      <c r="A2062" t="s">
        <v>1628</v>
      </c>
      <c r="B2062">
        <v>11.159394672135662</v>
      </c>
      <c r="C2062" t="s">
        <v>2224</v>
      </c>
      <c r="D2062" t="s">
        <v>2107</v>
      </c>
    </row>
    <row r="2063" spans="1:4" x14ac:dyDescent="0.3">
      <c r="A2063" t="s">
        <v>17</v>
      </c>
      <c r="B2063">
        <v>1.688905677340204</v>
      </c>
      <c r="C2063" t="s">
        <v>2224</v>
      </c>
      <c r="D2063" t="s">
        <v>2107</v>
      </c>
    </row>
    <row r="2064" spans="1:4" x14ac:dyDescent="0.3">
      <c r="A2064" t="s">
        <v>209</v>
      </c>
      <c r="B2064">
        <v>9.4298909310087762</v>
      </c>
      <c r="C2064" t="s">
        <v>2224</v>
      </c>
      <c r="D2064" t="s">
        <v>2107</v>
      </c>
    </row>
    <row r="2065" spans="1:4" x14ac:dyDescent="0.3">
      <c r="A2065" t="s">
        <v>446</v>
      </c>
      <c r="B2065">
        <v>4.0598063786682376E-2</v>
      </c>
      <c r="C2065" t="s">
        <v>2224</v>
      </c>
      <c r="D2065" t="s">
        <v>2107</v>
      </c>
    </row>
    <row r="2066" spans="1:4" x14ac:dyDescent="0.3">
      <c r="A2066" t="s">
        <v>1632</v>
      </c>
      <c r="B2066" t="s">
        <v>361</v>
      </c>
      <c r="C2066" t="s">
        <v>2224</v>
      </c>
      <c r="D2066" t="s">
        <v>2107</v>
      </c>
    </row>
    <row r="2067" spans="1:4" x14ac:dyDescent="0.3">
      <c r="A2067" t="s">
        <v>1626</v>
      </c>
      <c r="B2067" t="s">
        <v>361</v>
      </c>
      <c r="C2067" t="s">
        <v>2224</v>
      </c>
      <c r="D2067" t="s">
        <v>2107</v>
      </c>
    </row>
    <row r="2068" spans="1:4" x14ac:dyDescent="0.3">
      <c r="A2068" t="s">
        <v>1627</v>
      </c>
      <c r="B2068" t="s">
        <v>361</v>
      </c>
      <c r="C2068" t="s">
        <v>2224</v>
      </c>
      <c r="D2068" t="s">
        <v>2107</v>
      </c>
    </row>
    <row r="2069" spans="1:4" x14ac:dyDescent="0.3">
      <c r="A2069" t="s">
        <v>1625</v>
      </c>
      <c r="B2069" t="s">
        <v>361</v>
      </c>
      <c r="C2069" t="s">
        <v>2224</v>
      </c>
      <c r="D2069" t="s">
        <v>2107</v>
      </c>
    </row>
    <row r="2070" spans="1:4" x14ac:dyDescent="0.3">
      <c r="A2070" t="s">
        <v>1623</v>
      </c>
      <c r="B2070" t="s">
        <v>361</v>
      </c>
      <c r="C2070" t="s">
        <v>2224</v>
      </c>
      <c r="D2070" t="s">
        <v>2107</v>
      </c>
    </row>
    <row r="2071" spans="1:4" x14ac:dyDescent="0.3">
      <c r="A2071" t="s">
        <v>1633</v>
      </c>
      <c r="B2071">
        <v>11.159394672135662</v>
      </c>
      <c r="C2071" t="s">
        <v>2224</v>
      </c>
      <c r="D2071" t="s">
        <v>2107</v>
      </c>
    </row>
    <row r="2072" spans="1:4" x14ac:dyDescent="0.3">
      <c r="A2072" t="s">
        <v>1628</v>
      </c>
      <c r="B2072">
        <v>11.210852943368993</v>
      </c>
      <c r="C2072" t="s">
        <v>2224</v>
      </c>
      <c r="D2072" t="s">
        <v>2034</v>
      </c>
    </row>
    <row r="2073" spans="1:4" x14ac:dyDescent="0.3">
      <c r="A2073" t="s">
        <v>17</v>
      </c>
      <c r="B2073">
        <v>1.688905677340204</v>
      </c>
      <c r="C2073" t="s">
        <v>2224</v>
      </c>
      <c r="D2073" t="s">
        <v>2034</v>
      </c>
    </row>
    <row r="2074" spans="1:4" x14ac:dyDescent="0.3">
      <c r="A2074" t="s">
        <v>209</v>
      </c>
      <c r="B2074">
        <v>9.4813492022421073</v>
      </c>
      <c r="C2074" t="s">
        <v>2224</v>
      </c>
      <c r="D2074" t="s">
        <v>2034</v>
      </c>
    </row>
    <row r="2075" spans="1:4" x14ac:dyDescent="0.3">
      <c r="A2075" t="s">
        <v>446</v>
      </c>
      <c r="B2075">
        <v>4.0598063786682376E-2</v>
      </c>
      <c r="C2075" t="s">
        <v>2224</v>
      </c>
      <c r="D2075" t="s">
        <v>2034</v>
      </c>
    </row>
    <row r="2076" spans="1:4" x14ac:dyDescent="0.3">
      <c r="A2076" t="s">
        <v>1632</v>
      </c>
      <c r="B2076" t="s">
        <v>361</v>
      </c>
      <c r="C2076" t="s">
        <v>2224</v>
      </c>
      <c r="D2076" t="s">
        <v>2034</v>
      </c>
    </row>
    <row r="2077" spans="1:4" x14ac:dyDescent="0.3">
      <c r="A2077" t="s">
        <v>1626</v>
      </c>
      <c r="B2077" t="s">
        <v>361</v>
      </c>
      <c r="C2077" t="s">
        <v>2224</v>
      </c>
      <c r="D2077" t="s">
        <v>2034</v>
      </c>
    </row>
    <row r="2078" spans="1:4" x14ac:dyDescent="0.3">
      <c r="A2078" t="s">
        <v>1627</v>
      </c>
      <c r="B2078" t="s">
        <v>361</v>
      </c>
      <c r="C2078" t="s">
        <v>2224</v>
      </c>
      <c r="D2078" t="s">
        <v>2034</v>
      </c>
    </row>
    <row r="2079" spans="1:4" x14ac:dyDescent="0.3">
      <c r="A2079" t="s">
        <v>1625</v>
      </c>
      <c r="B2079" t="s">
        <v>361</v>
      </c>
      <c r="C2079" t="s">
        <v>2224</v>
      </c>
      <c r="D2079" t="s">
        <v>2034</v>
      </c>
    </row>
    <row r="2080" spans="1:4" x14ac:dyDescent="0.3">
      <c r="A2080" t="s">
        <v>1623</v>
      </c>
      <c r="B2080" t="s">
        <v>361</v>
      </c>
      <c r="C2080" t="s">
        <v>2224</v>
      </c>
      <c r="D2080" t="s">
        <v>2034</v>
      </c>
    </row>
    <row r="2081" spans="1:4" x14ac:dyDescent="0.3">
      <c r="A2081" t="s">
        <v>1633</v>
      </c>
      <c r="B2081">
        <v>11.210852943368993</v>
      </c>
      <c r="C2081" t="s">
        <v>2224</v>
      </c>
      <c r="D2081" t="s">
        <v>2034</v>
      </c>
    </row>
    <row r="2082" spans="1:4" x14ac:dyDescent="0.3">
      <c r="A2082" t="s">
        <v>1628</v>
      </c>
      <c r="B2082">
        <v>11.580727202620345</v>
      </c>
      <c r="C2082" t="s">
        <v>2224</v>
      </c>
      <c r="D2082" t="s">
        <v>2035</v>
      </c>
    </row>
    <row r="2083" spans="1:4" x14ac:dyDescent="0.3">
      <c r="A2083" t="s">
        <v>17</v>
      </c>
      <c r="B2083">
        <v>1.688905677340204</v>
      </c>
      <c r="C2083" t="s">
        <v>2224</v>
      </c>
      <c r="D2083" t="s">
        <v>2035</v>
      </c>
    </row>
    <row r="2084" spans="1:4" x14ac:dyDescent="0.3">
      <c r="A2084" t="s">
        <v>209</v>
      </c>
      <c r="B2084">
        <v>9.8512234614934595</v>
      </c>
      <c r="C2084" t="s">
        <v>2224</v>
      </c>
      <c r="D2084" t="s">
        <v>2035</v>
      </c>
    </row>
    <row r="2085" spans="1:4" x14ac:dyDescent="0.3">
      <c r="A2085" t="s">
        <v>446</v>
      </c>
      <c r="B2085">
        <v>4.0598063786682376E-2</v>
      </c>
      <c r="C2085" t="s">
        <v>2224</v>
      </c>
      <c r="D2085" t="s">
        <v>2035</v>
      </c>
    </row>
    <row r="2086" spans="1:4" x14ac:dyDescent="0.3">
      <c r="A2086" t="s">
        <v>1632</v>
      </c>
      <c r="B2086" t="s">
        <v>361</v>
      </c>
      <c r="C2086" t="s">
        <v>2224</v>
      </c>
      <c r="D2086" t="s">
        <v>2035</v>
      </c>
    </row>
    <row r="2087" spans="1:4" x14ac:dyDescent="0.3">
      <c r="A2087" t="s">
        <v>1626</v>
      </c>
      <c r="B2087" t="s">
        <v>361</v>
      </c>
      <c r="C2087" t="s">
        <v>2224</v>
      </c>
      <c r="D2087" t="s">
        <v>2035</v>
      </c>
    </row>
    <row r="2088" spans="1:4" x14ac:dyDescent="0.3">
      <c r="A2088" t="s">
        <v>1627</v>
      </c>
      <c r="B2088" t="s">
        <v>361</v>
      </c>
      <c r="C2088" t="s">
        <v>2224</v>
      </c>
      <c r="D2088" t="s">
        <v>2035</v>
      </c>
    </row>
    <row r="2089" spans="1:4" x14ac:dyDescent="0.3">
      <c r="A2089" t="s">
        <v>1625</v>
      </c>
      <c r="B2089" t="s">
        <v>361</v>
      </c>
      <c r="C2089" t="s">
        <v>2224</v>
      </c>
      <c r="D2089" t="s">
        <v>2035</v>
      </c>
    </row>
    <row r="2090" spans="1:4" x14ac:dyDescent="0.3">
      <c r="A2090" t="s">
        <v>1623</v>
      </c>
      <c r="B2090" t="s">
        <v>361</v>
      </c>
      <c r="C2090" t="s">
        <v>2224</v>
      </c>
      <c r="D2090" t="s">
        <v>2035</v>
      </c>
    </row>
    <row r="2091" spans="1:4" x14ac:dyDescent="0.3">
      <c r="A2091" t="s">
        <v>1633</v>
      </c>
      <c r="B2091">
        <v>11.580727202620345</v>
      </c>
      <c r="C2091" t="s">
        <v>2224</v>
      </c>
      <c r="D2091" t="s">
        <v>2035</v>
      </c>
    </row>
    <row r="2092" spans="1:4" x14ac:dyDescent="0.3">
      <c r="A2092" t="s">
        <v>1628</v>
      </c>
      <c r="B2092">
        <v>11.254858234113794</v>
      </c>
      <c r="C2092" t="s">
        <v>2224</v>
      </c>
      <c r="D2092" t="s">
        <v>2036</v>
      </c>
    </row>
    <row r="2093" spans="1:4" x14ac:dyDescent="0.3">
      <c r="A2093" t="s">
        <v>17</v>
      </c>
      <c r="B2093">
        <v>1.688905677340204</v>
      </c>
      <c r="C2093" t="s">
        <v>2224</v>
      </c>
      <c r="D2093" t="s">
        <v>2036</v>
      </c>
    </row>
    <row r="2094" spans="1:4" x14ac:dyDescent="0.3">
      <c r="A2094" t="s">
        <v>209</v>
      </c>
      <c r="B2094">
        <v>9.5253544929869083</v>
      </c>
      <c r="C2094" t="s">
        <v>2224</v>
      </c>
      <c r="D2094" t="s">
        <v>2036</v>
      </c>
    </row>
    <row r="2095" spans="1:4" x14ac:dyDescent="0.3">
      <c r="A2095" t="s">
        <v>446</v>
      </c>
      <c r="B2095">
        <v>4.0598063786682376E-2</v>
      </c>
      <c r="C2095" t="s">
        <v>2224</v>
      </c>
      <c r="D2095" t="s">
        <v>2036</v>
      </c>
    </row>
    <row r="2096" spans="1:4" x14ac:dyDescent="0.3">
      <c r="A2096" t="s">
        <v>1632</v>
      </c>
      <c r="B2096" t="s">
        <v>361</v>
      </c>
      <c r="C2096" t="s">
        <v>2224</v>
      </c>
      <c r="D2096" t="s">
        <v>2036</v>
      </c>
    </row>
    <row r="2097" spans="1:4" x14ac:dyDescent="0.3">
      <c r="A2097" t="s">
        <v>1626</v>
      </c>
      <c r="B2097" t="s">
        <v>361</v>
      </c>
      <c r="C2097" t="s">
        <v>2224</v>
      </c>
      <c r="D2097" t="s">
        <v>2036</v>
      </c>
    </row>
    <row r="2098" spans="1:4" x14ac:dyDescent="0.3">
      <c r="A2098" t="s">
        <v>1627</v>
      </c>
      <c r="B2098" t="s">
        <v>361</v>
      </c>
      <c r="C2098" t="s">
        <v>2224</v>
      </c>
      <c r="D2098" t="s">
        <v>2036</v>
      </c>
    </row>
    <row r="2099" spans="1:4" x14ac:dyDescent="0.3">
      <c r="A2099" t="s">
        <v>1625</v>
      </c>
      <c r="B2099" t="s">
        <v>361</v>
      </c>
      <c r="C2099" t="s">
        <v>2224</v>
      </c>
      <c r="D2099" t="s">
        <v>2036</v>
      </c>
    </row>
    <row r="2100" spans="1:4" x14ac:dyDescent="0.3">
      <c r="A2100" t="s">
        <v>1623</v>
      </c>
      <c r="B2100" t="s">
        <v>361</v>
      </c>
      <c r="C2100" t="s">
        <v>2224</v>
      </c>
      <c r="D2100" t="s">
        <v>2036</v>
      </c>
    </row>
    <row r="2101" spans="1:4" x14ac:dyDescent="0.3">
      <c r="A2101" t="s">
        <v>1633</v>
      </c>
      <c r="B2101">
        <v>11.254858234113794</v>
      </c>
      <c r="C2101" t="s">
        <v>2224</v>
      </c>
      <c r="D2101" t="s">
        <v>2036</v>
      </c>
    </row>
    <row r="2102" spans="1:4" x14ac:dyDescent="0.3">
      <c r="A2102" t="s">
        <v>1628</v>
      </c>
      <c r="B2102">
        <v>11.579408752121083</v>
      </c>
      <c r="C2102" t="s">
        <v>2224</v>
      </c>
      <c r="D2102" t="s">
        <v>2037</v>
      </c>
    </row>
    <row r="2103" spans="1:4" x14ac:dyDescent="0.3">
      <c r="A2103" t="s">
        <v>17</v>
      </c>
      <c r="B2103">
        <v>1.688905677340204</v>
      </c>
      <c r="C2103" t="s">
        <v>2224</v>
      </c>
      <c r="D2103" t="s">
        <v>2037</v>
      </c>
    </row>
    <row r="2104" spans="1:4" x14ac:dyDescent="0.3">
      <c r="A2104" t="s">
        <v>209</v>
      </c>
      <c r="B2104">
        <v>9.8499050109941972</v>
      </c>
      <c r="C2104" t="s">
        <v>2224</v>
      </c>
      <c r="D2104" t="s">
        <v>2037</v>
      </c>
    </row>
    <row r="2105" spans="1:4" x14ac:dyDescent="0.3">
      <c r="A2105" t="s">
        <v>446</v>
      </c>
      <c r="B2105">
        <v>4.0598063786682376E-2</v>
      </c>
      <c r="C2105" t="s">
        <v>2224</v>
      </c>
      <c r="D2105" t="s">
        <v>2037</v>
      </c>
    </row>
    <row r="2106" spans="1:4" x14ac:dyDescent="0.3">
      <c r="A2106" t="s">
        <v>1632</v>
      </c>
      <c r="B2106" t="s">
        <v>361</v>
      </c>
      <c r="C2106" t="s">
        <v>2224</v>
      </c>
      <c r="D2106" t="s">
        <v>2037</v>
      </c>
    </row>
    <row r="2107" spans="1:4" x14ac:dyDescent="0.3">
      <c r="A2107" t="s">
        <v>1626</v>
      </c>
      <c r="B2107" t="s">
        <v>361</v>
      </c>
      <c r="C2107" t="s">
        <v>2224</v>
      </c>
      <c r="D2107" t="s">
        <v>2037</v>
      </c>
    </row>
    <row r="2108" spans="1:4" x14ac:dyDescent="0.3">
      <c r="A2108" t="s">
        <v>1627</v>
      </c>
      <c r="B2108" t="s">
        <v>361</v>
      </c>
      <c r="C2108" t="s">
        <v>2224</v>
      </c>
      <c r="D2108" t="s">
        <v>2037</v>
      </c>
    </row>
    <row r="2109" spans="1:4" x14ac:dyDescent="0.3">
      <c r="A2109" t="s">
        <v>1625</v>
      </c>
      <c r="B2109" t="s">
        <v>361</v>
      </c>
      <c r="C2109" t="s">
        <v>2224</v>
      </c>
      <c r="D2109" t="s">
        <v>2037</v>
      </c>
    </row>
    <row r="2110" spans="1:4" x14ac:dyDescent="0.3">
      <c r="A2110" t="s">
        <v>1623</v>
      </c>
      <c r="B2110" t="s">
        <v>361</v>
      </c>
      <c r="C2110" t="s">
        <v>2224</v>
      </c>
      <c r="D2110" t="s">
        <v>2037</v>
      </c>
    </row>
    <row r="2111" spans="1:4" x14ac:dyDescent="0.3">
      <c r="A2111" t="s">
        <v>1633</v>
      </c>
      <c r="B2111">
        <v>11.579408752121083</v>
      </c>
      <c r="C2111" t="s">
        <v>2224</v>
      </c>
      <c r="D2111" t="s">
        <v>2037</v>
      </c>
    </row>
    <row r="2112" spans="1:4" x14ac:dyDescent="0.3">
      <c r="A2112" t="s">
        <v>1628</v>
      </c>
      <c r="B2112">
        <v>11.104321354482662</v>
      </c>
      <c r="C2112" t="s">
        <v>2224</v>
      </c>
      <c r="D2112" t="s">
        <v>2038</v>
      </c>
    </row>
    <row r="2113" spans="1:4" x14ac:dyDescent="0.3">
      <c r="A2113" t="s">
        <v>17</v>
      </c>
      <c r="B2113">
        <v>1.688905677340204</v>
      </c>
      <c r="C2113" t="s">
        <v>2224</v>
      </c>
      <c r="D2113" t="s">
        <v>2038</v>
      </c>
    </row>
    <row r="2114" spans="1:4" x14ac:dyDescent="0.3">
      <c r="A2114" t="s">
        <v>209</v>
      </c>
      <c r="B2114">
        <v>9.374817613355777</v>
      </c>
      <c r="C2114" t="s">
        <v>2224</v>
      </c>
      <c r="D2114" t="s">
        <v>2038</v>
      </c>
    </row>
    <row r="2115" spans="1:4" x14ac:dyDescent="0.3">
      <c r="A2115" t="s">
        <v>446</v>
      </c>
      <c r="B2115">
        <v>4.0598063786682376E-2</v>
      </c>
      <c r="C2115" t="s">
        <v>2224</v>
      </c>
      <c r="D2115" t="s">
        <v>2038</v>
      </c>
    </row>
    <row r="2116" spans="1:4" x14ac:dyDescent="0.3">
      <c r="A2116" t="s">
        <v>1632</v>
      </c>
      <c r="B2116" t="s">
        <v>361</v>
      </c>
      <c r="C2116" t="s">
        <v>2224</v>
      </c>
      <c r="D2116" t="s">
        <v>2038</v>
      </c>
    </row>
    <row r="2117" spans="1:4" x14ac:dyDescent="0.3">
      <c r="A2117" t="s">
        <v>1626</v>
      </c>
      <c r="B2117" t="s">
        <v>361</v>
      </c>
      <c r="C2117" t="s">
        <v>2224</v>
      </c>
      <c r="D2117" t="s">
        <v>2038</v>
      </c>
    </row>
    <row r="2118" spans="1:4" x14ac:dyDescent="0.3">
      <c r="A2118" t="s">
        <v>1627</v>
      </c>
      <c r="B2118" t="s">
        <v>361</v>
      </c>
      <c r="C2118" t="s">
        <v>2224</v>
      </c>
      <c r="D2118" t="s">
        <v>2038</v>
      </c>
    </row>
    <row r="2119" spans="1:4" x14ac:dyDescent="0.3">
      <c r="A2119" t="s">
        <v>1625</v>
      </c>
      <c r="B2119" t="s">
        <v>361</v>
      </c>
      <c r="C2119" t="s">
        <v>2224</v>
      </c>
      <c r="D2119" t="s">
        <v>2038</v>
      </c>
    </row>
    <row r="2120" spans="1:4" x14ac:dyDescent="0.3">
      <c r="A2120" t="s">
        <v>1623</v>
      </c>
      <c r="B2120" t="s">
        <v>361</v>
      </c>
      <c r="C2120" t="s">
        <v>2224</v>
      </c>
      <c r="D2120" t="s">
        <v>2038</v>
      </c>
    </row>
    <row r="2121" spans="1:4" x14ac:dyDescent="0.3">
      <c r="A2121" t="s">
        <v>1633</v>
      </c>
      <c r="B2121">
        <v>11.104321354482662</v>
      </c>
      <c r="C2121" t="s">
        <v>2224</v>
      </c>
      <c r="D2121" t="s">
        <v>2038</v>
      </c>
    </row>
    <row r="2122" spans="1:4" x14ac:dyDescent="0.3">
      <c r="A2122" t="s">
        <v>1628</v>
      </c>
      <c r="B2122">
        <v>11.06031606373786</v>
      </c>
      <c r="C2122" t="s">
        <v>2224</v>
      </c>
      <c r="D2122" t="s">
        <v>2039</v>
      </c>
    </row>
    <row r="2123" spans="1:4" x14ac:dyDescent="0.3">
      <c r="A2123" t="s">
        <v>17</v>
      </c>
      <c r="B2123">
        <v>1.688905677340204</v>
      </c>
      <c r="C2123" t="s">
        <v>2224</v>
      </c>
      <c r="D2123" t="s">
        <v>2039</v>
      </c>
    </row>
    <row r="2124" spans="1:4" x14ac:dyDescent="0.3">
      <c r="A2124" t="s">
        <v>209</v>
      </c>
      <c r="B2124">
        <v>9.3308123226109743</v>
      </c>
      <c r="C2124" t="s">
        <v>2224</v>
      </c>
      <c r="D2124" t="s">
        <v>2039</v>
      </c>
    </row>
    <row r="2125" spans="1:4" x14ac:dyDescent="0.3">
      <c r="A2125" t="s">
        <v>446</v>
      </c>
      <c r="B2125">
        <v>4.0598063786682376E-2</v>
      </c>
      <c r="C2125" t="s">
        <v>2224</v>
      </c>
      <c r="D2125" t="s">
        <v>2039</v>
      </c>
    </row>
    <row r="2126" spans="1:4" x14ac:dyDescent="0.3">
      <c r="A2126" t="s">
        <v>1632</v>
      </c>
      <c r="B2126" t="s">
        <v>361</v>
      </c>
      <c r="C2126" t="s">
        <v>2224</v>
      </c>
      <c r="D2126" t="s">
        <v>2039</v>
      </c>
    </row>
    <row r="2127" spans="1:4" x14ac:dyDescent="0.3">
      <c r="A2127" t="s">
        <v>1626</v>
      </c>
      <c r="B2127" t="s">
        <v>361</v>
      </c>
      <c r="C2127" t="s">
        <v>2224</v>
      </c>
      <c r="D2127" t="s">
        <v>2039</v>
      </c>
    </row>
    <row r="2128" spans="1:4" x14ac:dyDescent="0.3">
      <c r="A2128" t="s">
        <v>1627</v>
      </c>
      <c r="B2128" t="s">
        <v>361</v>
      </c>
      <c r="C2128" t="s">
        <v>2224</v>
      </c>
      <c r="D2128" t="s">
        <v>2039</v>
      </c>
    </row>
    <row r="2129" spans="1:4" x14ac:dyDescent="0.3">
      <c r="A2129" t="s">
        <v>1625</v>
      </c>
      <c r="B2129" t="s">
        <v>361</v>
      </c>
      <c r="C2129" t="s">
        <v>2224</v>
      </c>
      <c r="D2129" t="s">
        <v>2039</v>
      </c>
    </row>
    <row r="2130" spans="1:4" x14ac:dyDescent="0.3">
      <c r="A2130" t="s">
        <v>1623</v>
      </c>
      <c r="B2130" t="s">
        <v>361</v>
      </c>
      <c r="C2130" t="s">
        <v>2224</v>
      </c>
      <c r="D2130" t="s">
        <v>2039</v>
      </c>
    </row>
    <row r="2131" spans="1:4" x14ac:dyDescent="0.3">
      <c r="A2131" t="s">
        <v>1633</v>
      </c>
      <c r="B2131">
        <v>11.06031606373786</v>
      </c>
      <c r="C2131" t="s">
        <v>2224</v>
      </c>
      <c r="D2131" t="s">
        <v>2039</v>
      </c>
    </row>
    <row r="2132" spans="1:4" x14ac:dyDescent="0.3">
      <c r="A2132" t="s">
        <v>1628</v>
      </c>
      <c r="B2132">
        <v>11.163700986712511</v>
      </c>
      <c r="C2132" t="s">
        <v>2224</v>
      </c>
      <c r="D2132" t="s">
        <v>2040</v>
      </c>
    </row>
    <row r="2133" spans="1:4" x14ac:dyDescent="0.3">
      <c r="A2133" t="s">
        <v>17</v>
      </c>
      <c r="B2133">
        <v>1.688905677340204</v>
      </c>
      <c r="C2133" t="s">
        <v>2224</v>
      </c>
      <c r="D2133" t="s">
        <v>2040</v>
      </c>
    </row>
    <row r="2134" spans="1:4" x14ac:dyDescent="0.3">
      <c r="A2134" t="s">
        <v>209</v>
      </c>
      <c r="B2134">
        <v>9.4341972455856258</v>
      </c>
      <c r="C2134" t="s">
        <v>2224</v>
      </c>
      <c r="D2134" t="s">
        <v>2040</v>
      </c>
    </row>
    <row r="2135" spans="1:4" x14ac:dyDescent="0.3">
      <c r="A2135" t="s">
        <v>446</v>
      </c>
      <c r="B2135">
        <v>4.0598063786682376E-2</v>
      </c>
      <c r="C2135" t="s">
        <v>2224</v>
      </c>
      <c r="D2135" t="s">
        <v>2040</v>
      </c>
    </row>
    <row r="2136" spans="1:4" x14ac:dyDescent="0.3">
      <c r="A2136" t="s">
        <v>1632</v>
      </c>
      <c r="B2136" t="s">
        <v>361</v>
      </c>
      <c r="C2136" t="s">
        <v>2224</v>
      </c>
      <c r="D2136" t="s">
        <v>2040</v>
      </c>
    </row>
    <row r="2137" spans="1:4" x14ac:dyDescent="0.3">
      <c r="A2137" t="s">
        <v>1626</v>
      </c>
      <c r="B2137" t="s">
        <v>361</v>
      </c>
      <c r="C2137" t="s">
        <v>2224</v>
      </c>
      <c r="D2137" t="s">
        <v>2040</v>
      </c>
    </row>
    <row r="2138" spans="1:4" x14ac:dyDescent="0.3">
      <c r="A2138" t="s">
        <v>1627</v>
      </c>
      <c r="B2138" t="s">
        <v>361</v>
      </c>
      <c r="C2138" t="s">
        <v>2224</v>
      </c>
      <c r="D2138" t="s">
        <v>2040</v>
      </c>
    </row>
    <row r="2139" spans="1:4" x14ac:dyDescent="0.3">
      <c r="A2139" t="s">
        <v>1625</v>
      </c>
      <c r="B2139" t="s">
        <v>361</v>
      </c>
      <c r="C2139" t="s">
        <v>2224</v>
      </c>
      <c r="D2139" t="s">
        <v>2040</v>
      </c>
    </row>
    <row r="2140" spans="1:4" x14ac:dyDescent="0.3">
      <c r="A2140" t="s">
        <v>1623</v>
      </c>
      <c r="B2140" t="s">
        <v>361</v>
      </c>
      <c r="C2140" t="s">
        <v>2224</v>
      </c>
      <c r="D2140" t="s">
        <v>2040</v>
      </c>
    </row>
    <row r="2141" spans="1:4" x14ac:dyDescent="0.3">
      <c r="A2141" t="s">
        <v>1633</v>
      </c>
      <c r="B2141">
        <v>11.163700986712511</v>
      </c>
      <c r="C2141" t="s">
        <v>2224</v>
      </c>
      <c r="D2141" t="s">
        <v>2040</v>
      </c>
    </row>
    <row r="2142" spans="1:4" x14ac:dyDescent="0.3">
      <c r="A2142" t="s">
        <v>1628</v>
      </c>
      <c r="B2142">
        <v>11.254858234113794</v>
      </c>
      <c r="C2142" t="s">
        <v>2224</v>
      </c>
      <c r="D2142" t="s">
        <v>2041</v>
      </c>
    </row>
    <row r="2143" spans="1:4" x14ac:dyDescent="0.3">
      <c r="A2143" t="s">
        <v>17</v>
      </c>
      <c r="B2143">
        <v>1.688905677340204</v>
      </c>
      <c r="C2143" t="s">
        <v>2224</v>
      </c>
      <c r="D2143" t="s">
        <v>2041</v>
      </c>
    </row>
    <row r="2144" spans="1:4" x14ac:dyDescent="0.3">
      <c r="A2144" t="s">
        <v>209</v>
      </c>
      <c r="B2144">
        <v>9.5253544929869083</v>
      </c>
      <c r="C2144" t="s">
        <v>2224</v>
      </c>
      <c r="D2144" t="s">
        <v>2041</v>
      </c>
    </row>
    <row r="2145" spans="1:4" x14ac:dyDescent="0.3">
      <c r="A2145" t="s">
        <v>446</v>
      </c>
      <c r="B2145">
        <v>4.0598063786682376E-2</v>
      </c>
      <c r="C2145" t="s">
        <v>2224</v>
      </c>
      <c r="D2145" t="s">
        <v>2041</v>
      </c>
    </row>
    <row r="2146" spans="1:4" x14ac:dyDescent="0.3">
      <c r="A2146" t="s">
        <v>1632</v>
      </c>
      <c r="B2146" t="s">
        <v>361</v>
      </c>
      <c r="C2146" t="s">
        <v>2224</v>
      </c>
      <c r="D2146" t="s">
        <v>2041</v>
      </c>
    </row>
    <row r="2147" spans="1:4" x14ac:dyDescent="0.3">
      <c r="A2147" t="s">
        <v>1626</v>
      </c>
      <c r="B2147" t="s">
        <v>361</v>
      </c>
      <c r="C2147" t="s">
        <v>2224</v>
      </c>
      <c r="D2147" t="s">
        <v>2041</v>
      </c>
    </row>
    <row r="2148" spans="1:4" x14ac:dyDescent="0.3">
      <c r="A2148" t="s">
        <v>1627</v>
      </c>
      <c r="B2148" t="s">
        <v>361</v>
      </c>
      <c r="C2148" t="s">
        <v>2224</v>
      </c>
      <c r="D2148" t="s">
        <v>2041</v>
      </c>
    </row>
    <row r="2149" spans="1:4" x14ac:dyDescent="0.3">
      <c r="A2149" t="s">
        <v>1625</v>
      </c>
      <c r="B2149" t="s">
        <v>361</v>
      </c>
      <c r="C2149" t="s">
        <v>2224</v>
      </c>
      <c r="D2149" t="s">
        <v>2041</v>
      </c>
    </row>
    <row r="2150" spans="1:4" x14ac:dyDescent="0.3">
      <c r="A2150" t="s">
        <v>1623</v>
      </c>
      <c r="B2150" t="s">
        <v>361</v>
      </c>
      <c r="C2150" t="s">
        <v>2224</v>
      </c>
      <c r="D2150" t="s">
        <v>2041</v>
      </c>
    </row>
    <row r="2151" spans="1:4" x14ac:dyDescent="0.3">
      <c r="A2151" t="s">
        <v>1633</v>
      </c>
      <c r="B2151">
        <v>11.254858234113794</v>
      </c>
      <c r="C2151" t="s">
        <v>2224</v>
      </c>
      <c r="D2151" t="s">
        <v>2041</v>
      </c>
    </row>
    <row r="2152" spans="1:4" x14ac:dyDescent="0.3">
      <c r="A2152" t="s">
        <v>1628</v>
      </c>
      <c r="B2152">
        <v>11.173499199778092</v>
      </c>
      <c r="C2152" t="s">
        <v>2224</v>
      </c>
      <c r="D2152" t="s">
        <v>2042</v>
      </c>
    </row>
    <row r="2153" spans="1:4" x14ac:dyDescent="0.3">
      <c r="A2153" t="s">
        <v>17</v>
      </c>
      <c r="B2153">
        <v>1.688905677340204</v>
      </c>
      <c r="C2153" t="s">
        <v>2224</v>
      </c>
      <c r="D2153" t="s">
        <v>2042</v>
      </c>
    </row>
    <row r="2154" spans="1:4" x14ac:dyDescent="0.3">
      <c r="A2154" t="s">
        <v>209</v>
      </c>
      <c r="B2154">
        <v>9.4439954586512069</v>
      </c>
      <c r="C2154" t="s">
        <v>2224</v>
      </c>
      <c r="D2154" t="s">
        <v>2042</v>
      </c>
    </row>
    <row r="2155" spans="1:4" x14ac:dyDescent="0.3">
      <c r="A2155" t="s">
        <v>446</v>
      </c>
      <c r="B2155">
        <v>4.0598063786682376E-2</v>
      </c>
      <c r="C2155" t="s">
        <v>2224</v>
      </c>
      <c r="D2155" t="s">
        <v>2042</v>
      </c>
    </row>
    <row r="2156" spans="1:4" x14ac:dyDescent="0.3">
      <c r="A2156" t="s">
        <v>1632</v>
      </c>
      <c r="B2156" t="s">
        <v>361</v>
      </c>
      <c r="C2156" t="s">
        <v>2224</v>
      </c>
      <c r="D2156" t="s">
        <v>2042</v>
      </c>
    </row>
    <row r="2157" spans="1:4" x14ac:dyDescent="0.3">
      <c r="A2157" t="s">
        <v>1626</v>
      </c>
      <c r="B2157" t="s">
        <v>361</v>
      </c>
      <c r="C2157" t="s">
        <v>2224</v>
      </c>
      <c r="D2157" t="s">
        <v>2042</v>
      </c>
    </row>
    <row r="2158" spans="1:4" x14ac:dyDescent="0.3">
      <c r="A2158" t="s">
        <v>1627</v>
      </c>
      <c r="B2158" t="s">
        <v>361</v>
      </c>
      <c r="C2158" t="s">
        <v>2224</v>
      </c>
      <c r="D2158" t="s">
        <v>2042</v>
      </c>
    </row>
    <row r="2159" spans="1:4" x14ac:dyDescent="0.3">
      <c r="A2159" t="s">
        <v>1625</v>
      </c>
      <c r="B2159" t="s">
        <v>361</v>
      </c>
      <c r="C2159" t="s">
        <v>2224</v>
      </c>
      <c r="D2159" t="s">
        <v>2042</v>
      </c>
    </row>
    <row r="2160" spans="1:4" x14ac:dyDescent="0.3">
      <c r="A2160" t="s">
        <v>1623</v>
      </c>
      <c r="B2160" t="s">
        <v>361</v>
      </c>
      <c r="C2160" t="s">
        <v>2224</v>
      </c>
      <c r="D2160" t="s">
        <v>2042</v>
      </c>
    </row>
    <row r="2161" spans="1:4" x14ac:dyDescent="0.3">
      <c r="A2161" t="s">
        <v>1633</v>
      </c>
      <c r="B2161">
        <v>11.173499199778092</v>
      </c>
      <c r="C2161" t="s">
        <v>2224</v>
      </c>
      <c r="D2161" t="s">
        <v>2042</v>
      </c>
    </row>
    <row r="2162" spans="1:4" x14ac:dyDescent="0.3">
      <c r="A2162" t="s">
        <v>1628</v>
      </c>
      <c r="B2162">
        <v>11.869084332777035</v>
      </c>
      <c r="C2162" t="s">
        <v>2224</v>
      </c>
      <c r="D2162" t="s">
        <v>2043</v>
      </c>
    </row>
    <row r="2163" spans="1:4" x14ac:dyDescent="0.3">
      <c r="A2163" t="s">
        <v>17</v>
      </c>
      <c r="B2163">
        <v>1.688905677340204</v>
      </c>
      <c r="C2163" t="s">
        <v>2224</v>
      </c>
      <c r="D2163" t="s">
        <v>2043</v>
      </c>
    </row>
    <row r="2164" spans="1:4" x14ac:dyDescent="0.3">
      <c r="A2164" t="s">
        <v>209</v>
      </c>
      <c r="B2164">
        <v>10.13958059165015</v>
      </c>
      <c r="C2164" t="s">
        <v>2224</v>
      </c>
      <c r="D2164" t="s">
        <v>2043</v>
      </c>
    </row>
    <row r="2165" spans="1:4" x14ac:dyDescent="0.3">
      <c r="A2165" t="s">
        <v>446</v>
      </c>
      <c r="B2165">
        <v>4.0598063786682376E-2</v>
      </c>
      <c r="C2165" t="s">
        <v>2224</v>
      </c>
      <c r="D2165" t="s">
        <v>2043</v>
      </c>
    </row>
    <row r="2166" spans="1:4" x14ac:dyDescent="0.3">
      <c r="A2166" t="s">
        <v>1632</v>
      </c>
      <c r="B2166" t="s">
        <v>361</v>
      </c>
      <c r="C2166" t="s">
        <v>2224</v>
      </c>
      <c r="D2166" t="s">
        <v>2043</v>
      </c>
    </row>
    <row r="2167" spans="1:4" x14ac:dyDescent="0.3">
      <c r="A2167" t="s">
        <v>1626</v>
      </c>
      <c r="B2167" t="s">
        <v>361</v>
      </c>
      <c r="C2167" t="s">
        <v>2224</v>
      </c>
      <c r="D2167" t="s">
        <v>2043</v>
      </c>
    </row>
    <row r="2168" spans="1:4" x14ac:dyDescent="0.3">
      <c r="A2168" t="s">
        <v>1627</v>
      </c>
      <c r="B2168" t="s">
        <v>361</v>
      </c>
      <c r="C2168" t="s">
        <v>2224</v>
      </c>
      <c r="D2168" t="s">
        <v>2043</v>
      </c>
    </row>
    <row r="2169" spans="1:4" x14ac:dyDescent="0.3">
      <c r="A2169" t="s">
        <v>1625</v>
      </c>
      <c r="B2169" t="s">
        <v>361</v>
      </c>
      <c r="C2169" t="s">
        <v>2224</v>
      </c>
      <c r="D2169" t="s">
        <v>2043</v>
      </c>
    </row>
    <row r="2170" spans="1:4" x14ac:dyDescent="0.3">
      <c r="A2170" t="s">
        <v>1623</v>
      </c>
      <c r="B2170" t="s">
        <v>361</v>
      </c>
      <c r="C2170" t="s">
        <v>2224</v>
      </c>
      <c r="D2170" t="s">
        <v>2043</v>
      </c>
    </row>
    <row r="2171" spans="1:4" x14ac:dyDescent="0.3">
      <c r="A2171" t="s">
        <v>1633</v>
      </c>
      <c r="B2171">
        <v>11.869084332777035</v>
      </c>
      <c r="C2171" t="s">
        <v>2224</v>
      </c>
      <c r="D2171" t="s">
        <v>2043</v>
      </c>
    </row>
    <row r="2172" spans="1:4" x14ac:dyDescent="0.3">
      <c r="A2172" t="s">
        <v>1628</v>
      </c>
      <c r="B2172">
        <v>11.254858234113794</v>
      </c>
      <c r="C2172" t="s">
        <v>2224</v>
      </c>
      <c r="D2172" t="s">
        <v>2044</v>
      </c>
    </row>
    <row r="2173" spans="1:4" x14ac:dyDescent="0.3">
      <c r="A2173" t="s">
        <v>17</v>
      </c>
      <c r="B2173">
        <v>1.688905677340204</v>
      </c>
      <c r="C2173" t="s">
        <v>2224</v>
      </c>
      <c r="D2173" t="s">
        <v>2044</v>
      </c>
    </row>
    <row r="2174" spans="1:4" x14ac:dyDescent="0.3">
      <c r="A2174" t="s">
        <v>209</v>
      </c>
      <c r="B2174">
        <v>9.5253544929869083</v>
      </c>
      <c r="C2174" t="s">
        <v>2224</v>
      </c>
      <c r="D2174" t="s">
        <v>2044</v>
      </c>
    </row>
    <row r="2175" spans="1:4" x14ac:dyDescent="0.3">
      <c r="A2175" t="s">
        <v>446</v>
      </c>
      <c r="B2175">
        <v>4.0598063786682376E-2</v>
      </c>
      <c r="C2175" t="s">
        <v>2224</v>
      </c>
      <c r="D2175" t="s">
        <v>2044</v>
      </c>
    </row>
    <row r="2176" spans="1:4" x14ac:dyDescent="0.3">
      <c r="A2176" t="s">
        <v>1632</v>
      </c>
      <c r="B2176" t="s">
        <v>361</v>
      </c>
      <c r="C2176" t="s">
        <v>2224</v>
      </c>
      <c r="D2176" t="s">
        <v>2044</v>
      </c>
    </row>
    <row r="2177" spans="1:4" x14ac:dyDescent="0.3">
      <c r="A2177" t="s">
        <v>1626</v>
      </c>
      <c r="B2177" t="s">
        <v>361</v>
      </c>
      <c r="C2177" t="s">
        <v>2224</v>
      </c>
      <c r="D2177" t="s">
        <v>2044</v>
      </c>
    </row>
    <row r="2178" spans="1:4" x14ac:dyDescent="0.3">
      <c r="A2178" t="s">
        <v>1627</v>
      </c>
      <c r="B2178" t="s">
        <v>361</v>
      </c>
      <c r="C2178" t="s">
        <v>2224</v>
      </c>
      <c r="D2178" t="s">
        <v>2044</v>
      </c>
    </row>
    <row r="2179" spans="1:4" x14ac:dyDescent="0.3">
      <c r="A2179" t="s">
        <v>1625</v>
      </c>
      <c r="B2179" t="s">
        <v>361</v>
      </c>
      <c r="C2179" t="s">
        <v>2224</v>
      </c>
      <c r="D2179" t="s">
        <v>2044</v>
      </c>
    </row>
    <row r="2180" spans="1:4" x14ac:dyDescent="0.3">
      <c r="A2180" t="s">
        <v>1623</v>
      </c>
      <c r="B2180" t="s">
        <v>361</v>
      </c>
      <c r="C2180" t="s">
        <v>2224</v>
      </c>
      <c r="D2180" t="s">
        <v>2044</v>
      </c>
    </row>
    <row r="2181" spans="1:4" x14ac:dyDescent="0.3">
      <c r="A2181" t="s">
        <v>1633</v>
      </c>
      <c r="B2181">
        <v>11.254858234113794</v>
      </c>
      <c r="C2181" t="s">
        <v>2224</v>
      </c>
      <c r="D2181" t="s">
        <v>2044</v>
      </c>
    </row>
    <row r="2182" spans="1:4" x14ac:dyDescent="0.3">
      <c r="A2182" t="s">
        <v>1628</v>
      </c>
      <c r="B2182">
        <v>15.355118217516848</v>
      </c>
      <c r="C2182" t="s">
        <v>2224</v>
      </c>
      <c r="D2182" t="s">
        <v>2045</v>
      </c>
    </row>
    <row r="2183" spans="1:4" x14ac:dyDescent="0.3">
      <c r="A2183" t="s">
        <v>17</v>
      </c>
      <c r="B2183">
        <v>1.688905677340204</v>
      </c>
      <c r="C2183" t="s">
        <v>2224</v>
      </c>
      <c r="D2183" t="s">
        <v>2045</v>
      </c>
    </row>
    <row r="2184" spans="1:4" x14ac:dyDescent="0.3">
      <c r="A2184" t="s">
        <v>209</v>
      </c>
      <c r="B2184">
        <v>13.625614476389963</v>
      </c>
      <c r="C2184" t="s">
        <v>2224</v>
      </c>
      <c r="D2184" t="s">
        <v>2045</v>
      </c>
    </row>
    <row r="2185" spans="1:4" x14ac:dyDescent="0.3">
      <c r="A2185" t="s">
        <v>446</v>
      </c>
      <c r="B2185">
        <v>4.0598063786682376E-2</v>
      </c>
      <c r="C2185" t="s">
        <v>2224</v>
      </c>
      <c r="D2185" t="s">
        <v>2045</v>
      </c>
    </row>
    <row r="2186" spans="1:4" x14ac:dyDescent="0.3">
      <c r="A2186" t="s">
        <v>1632</v>
      </c>
      <c r="B2186" t="s">
        <v>361</v>
      </c>
      <c r="C2186" t="s">
        <v>2224</v>
      </c>
      <c r="D2186" t="s">
        <v>2045</v>
      </c>
    </row>
    <row r="2187" spans="1:4" x14ac:dyDescent="0.3">
      <c r="A2187" t="s">
        <v>1626</v>
      </c>
      <c r="B2187" t="s">
        <v>361</v>
      </c>
      <c r="C2187" t="s">
        <v>2224</v>
      </c>
      <c r="D2187" t="s">
        <v>2045</v>
      </c>
    </row>
    <row r="2188" spans="1:4" x14ac:dyDescent="0.3">
      <c r="A2188" t="s">
        <v>1627</v>
      </c>
      <c r="B2188" t="s">
        <v>361</v>
      </c>
      <c r="C2188" t="s">
        <v>2224</v>
      </c>
      <c r="D2188" t="s">
        <v>2045</v>
      </c>
    </row>
    <row r="2189" spans="1:4" x14ac:dyDescent="0.3">
      <c r="A2189" t="s">
        <v>1625</v>
      </c>
      <c r="B2189" t="s">
        <v>361</v>
      </c>
      <c r="C2189" t="s">
        <v>2224</v>
      </c>
      <c r="D2189" t="s">
        <v>2045</v>
      </c>
    </row>
    <row r="2190" spans="1:4" x14ac:dyDescent="0.3">
      <c r="A2190" t="s">
        <v>1623</v>
      </c>
      <c r="B2190" t="s">
        <v>361</v>
      </c>
      <c r="C2190" t="s">
        <v>2224</v>
      </c>
      <c r="D2190" t="s">
        <v>2045</v>
      </c>
    </row>
    <row r="2191" spans="1:4" x14ac:dyDescent="0.3">
      <c r="A2191" t="s">
        <v>1633</v>
      </c>
      <c r="B2191">
        <v>15.355118217516848</v>
      </c>
      <c r="C2191" t="s">
        <v>2224</v>
      </c>
      <c r="D2191" t="s">
        <v>2045</v>
      </c>
    </row>
    <row r="2192" spans="1:4" x14ac:dyDescent="0.3">
      <c r="A2192" t="s">
        <v>1628</v>
      </c>
      <c r="B2192">
        <v>11.254858234113794</v>
      </c>
      <c r="C2192" t="s">
        <v>2224</v>
      </c>
      <c r="D2192" t="s">
        <v>2046</v>
      </c>
    </row>
    <row r="2193" spans="1:4" x14ac:dyDescent="0.3">
      <c r="A2193" t="s">
        <v>17</v>
      </c>
      <c r="B2193">
        <v>1.688905677340204</v>
      </c>
      <c r="C2193" t="s">
        <v>2224</v>
      </c>
      <c r="D2193" t="s">
        <v>2046</v>
      </c>
    </row>
    <row r="2194" spans="1:4" x14ac:dyDescent="0.3">
      <c r="A2194" t="s">
        <v>209</v>
      </c>
      <c r="B2194">
        <v>9.5253544929869083</v>
      </c>
      <c r="C2194" t="s">
        <v>2224</v>
      </c>
      <c r="D2194" t="s">
        <v>2046</v>
      </c>
    </row>
    <row r="2195" spans="1:4" x14ac:dyDescent="0.3">
      <c r="A2195" t="s">
        <v>446</v>
      </c>
      <c r="B2195">
        <v>4.0598063786682376E-2</v>
      </c>
      <c r="C2195" t="s">
        <v>2224</v>
      </c>
      <c r="D2195" t="s">
        <v>2046</v>
      </c>
    </row>
    <row r="2196" spans="1:4" x14ac:dyDescent="0.3">
      <c r="A2196" t="s">
        <v>1632</v>
      </c>
      <c r="B2196" t="s">
        <v>361</v>
      </c>
      <c r="C2196" t="s">
        <v>2224</v>
      </c>
      <c r="D2196" t="s">
        <v>2046</v>
      </c>
    </row>
    <row r="2197" spans="1:4" x14ac:dyDescent="0.3">
      <c r="A2197" t="s">
        <v>1626</v>
      </c>
      <c r="B2197" t="s">
        <v>361</v>
      </c>
      <c r="C2197" t="s">
        <v>2224</v>
      </c>
      <c r="D2197" t="s">
        <v>2046</v>
      </c>
    </row>
    <row r="2198" spans="1:4" x14ac:dyDescent="0.3">
      <c r="A2198" t="s">
        <v>1627</v>
      </c>
      <c r="B2198" t="s">
        <v>361</v>
      </c>
      <c r="C2198" t="s">
        <v>2224</v>
      </c>
      <c r="D2198" t="s">
        <v>2046</v>
      </c>
    </row>
    <row r="2199" spans="1:4" x14ac:dyDescent="0.3">
      <c r="A2199" t="s">
        <v>1625</v>
      </c>
      <c r="B2199" t="s">
        <v>361</v>
      </c>
      <c r="C2199" t="s">
        <v>2224</v>
      </c>
      <c r="D2199" t="s">
        <v>2046</v>
      </c>
    </row>
    <row r="2200" spans="1:4" x14ac:dyDescent="0.3">
      <c r="A2200" t="s">
        <v>1623</v>
      </c>
      <c r="B2200" t="s">
        <v>361</v>
      </c>
      <c r="C2200" t="s">
        <v>2224</v>
      </c>
      <c r="D2200" t="s">
        <v>2046</v>
      </c>
    </row>
    <row r="2201" spans="1:4" x14ac:dyDescent="0.3">
      <c r="A2201" t="s">
        <v>1633</v>
      </c>
      <c r="B2201">
        <v>11.254858234113794</v>
      </c>
      <c r="C2201" t="s">
        <v>2224</v>
      </c>
      <c r="D2201" t="s">
        <v>2046</v>
      </c>
    </row>
    <row r="2202" spans="1:4" x14ac:dyDescent="0.3">
      <c r="A2202" t="s">
        <v>1628</v>
      </c>
      <c r="B2202">
        <v>11.254858234113794</v>
      </c>
      <c r="C2202" t="s">
        <v>2224</v>
      </c>
      <c r="D2202" t="s">
        <v>2276</v>
      </c>
    </row>
    <row r="2203" spans="1:4" x14ac:dyDescent="0.3">
      <c r="A2203" t="s">
        <v>17</v>
      </c>
      <c r="B2203">
        <v>1.688905677340204</v>
      </c>
      <c r="C2203" t="s">
        <v>2224</v>
      </c>
      <c r="D2203" t="s">
        <v>2276</v>
      </c>
    </row>
    <row r="2204" spans="1:4" x14ac:dyDescent="0.3">
      <c r="A2204" t="s">
        <v>209</v>
      </c>
      <c r="B2204">
        <v>9.5253544929869083</v>
      </c>
      <c r="C2204" t="s">
        <v>2224</v>
      </c>
      <c r="D2204" t="s">
        <v>2276</v>
      </c>
    </row>
    <row r="2205" spans="1:4" x14ac:dyDescent="0.3">
      <c r="A2205" t="s">
        <v>446</v>
      </c>
      <c r="B2205">
        <v>4.0598063786682376E-2</v>
      </c>
      <c r="C2205" t="s">
        <v>2224</v>
      </c>
      <c r="D2205" t="s">
        <v>2276</v>
      </c>
    </row>
    <row r="2206" spans="1:4" x14ac:dyDescent="0.3">
      <c r="A2206" t="s">
        <v>1632</v>
      </c>
      <c r="B2206" t="s">
        <v>361</v>
      </c>
      <c r="C2206" t="s">
        <v>2224</v>
      </c>
      <c r="D2206" t="s">
        <v>2276</v>
      </c>
    </row>
    <row r="2207" spans="1:4" x14ac:dyDescent="0.3">
      <c r="A2207" t="s">
        <v>1626</v>
      </c>
      <c r="B2207" t="s">
        <v>361</v>
      </c>
      <c r="C2207" t="s">
        <v>2224</v>
      </c>
      <c r="D2207" t="s">
        <v>2276</v>
      </c>
    </row>
    <row r="2208" spans="1:4" x14ac:dyDescent="0.3">
      <c r="A2208" t="s">
        <v>1627</v>
      </c>
      <c r="B2208" t="s">
        <v>361</v>
      </c>
      <c r="C2208" t="s">
        <v>2224</v>
      </c>
      <c r="D2208" t="s">
        <v>2276</v>
      </c>
    </row>
    <row r="2209" spans="1:4" x14ac:dyDescent="0.3">
      <c r="A2209" t="s">
        <v>1625</v>
      </c>
      <c r="B2209" t="s">
        <v>361</v>
      </c>
      <c r="C2209" t="s">
        <v>2224</v>
      </c>
      <c r="D2209" t="s">
        <v>2276</v>
      </c>
    </row>
    <row r="2210" spans="1:4" x14ac:dyDescent="0.3">
      <c r="A2210" t="s">
        <v>1623</v>
      </c>
      <c r="B2210" t="s">
        <v>361</v>
      </c>
      <c r="C2210" t="s">
        <v>2224</v>
      </c>
      <c r="D2210" t="s">
        <v>2276</v>
      </c>
    </row>
    <row r="2211" spans="1:4" x14ac:dyDescent="0.3">
      <c r="A2211" t="s">
        <v>1633</v>
      </c>
      <c r="B2211">
        <v>11.254858234113794</v>
      </c>
      <c r="C2211" t="s">
        <v>2224</v>
      </c>
      <c r="D2211" t="s">
        <v>2276</v>
      </c>
    </row>
    <row r="2212" spans="1:4" x14ac:dyDescent="0.3">
      <c r="A2212" t="s">
        <v>1628</v>
      </c>
      <c r="B2212">
        <v>11.254858234113794</v>
      </c>
      <c r="C2212" t="s">
        <v>2224</v>
      </c>
      <c r="D2212" t="s">
        <v>2277</v>
      </c>
    </row>
    <row r="2213" spans="1:4" x14ac:dyDescent="0.3">
      <c r="A2213" t="s">
        <v>17</v>
      </c>
      <c r="B2213">
        <v>1.688905677340204</v>
      </c>
      <c r="C2213" t="s">
        <v>2224</v>
      </c>
      <c r="D2213" t="s">
        <v>2277</v>
      </c>
    </row>
    <row r="2214" spans="1:4" x14ac:dyDescent="0.3">
      <c r="A2214" t="s">
        <v>209</v>
      </c>
      <c r="B2214">
        <v>9.5253544929869083</v>
      </c>
      <c r="C2214" t="s">
        <v>2224</v>
      </c>
      <c r="D2214" t="s">
        <v>2277</v>
      </c>
    </row>
    <row r="2215" spans="1:4" x14ac:dyDescent="0.3">
      <c r="A2215" t="s">
        <v>446</v>
      </c>
      <c r="B2215">
        <v>4.0598063786682376E-2</v>
      </c>
      <c r="C2215" t="s">
        <v>2224</v>
      </c>
      <c r="D2215" t="s">
        <v>2277</v>
      </c>
    </row>
    <row r="2216" spans="1:4" x14ac:dyDescent="0.3">
      <c r="A2216" t="s">
        <v>1632</v>
      </c>
      <c r="B2216" t="s">
        <v>361</v>
      </c>
      <c r="C2216" t="s">
        <v>2224</v>
      </c>
      <c r="D2216" t="s">
        <v>2277</v>
      </c>
    </row>
    <row r="2217" spans="1:4" x14ac:dyDescent="0.3">
      <c r="A2217" t="s">
        <v>1626</v>
      </c>
      <c r="B2217" t="s">
        <v>361</v>
      </c>
      <c r="C2217" t="s">
        <v>2224</v>
      </c>
      <c r="D2217" t="s">
        <v>2277</v>
      </c>
    </row>
    <row r="2218" spans="1:4" x14ac:dyDescent="0.3">
      <c r="A2218" t="s">
        <v>1627</v>
      </c>
      <c r="B2218" t="s">
        <v>361</v>
      </c>
      <c r="C2218" t="s">
        <v>2224</v>
      </c>
      <c r="D2218" t="s">
        <v>2277</v>
      </c>
    </row>
    <row r="2219" spans="1:4" x14ac:dyDescent="0.3">
      <c r="A2219" t="s">
        <v>1625</v>
      </c>
      <c r="B2219" t="s">
        <v>361</v>
      </c>
      <c r="C2219" t="s">
        <v>2224</v>
      </c>
      <c r="D2219" t="s">
        <v>2277</v>
      </c>
    </row>
    <row r="2220" spans="1:4" x14ac:dyDescent="0.3">
      <c r="A2220" t="s">
        <v>1623</v>
      </c>
      <c r="B2220" t="s">
        <v>361</v>
      </c>
      <c r="C2220" t="s">
        <v>2224</v>
      </c>
      <c r="D2220" t="s">
        <v>2277</v>
      </c>
    </row>
    <row r="2221" spans="1:4" x14ac:dyDescent="0.3">
      <c r="A2221" t="s">
        <v>1633</v>
      </c>
      <c r="B2221">
        <v>11.254858234113794</v>
      </c>
      <c r="C2221" t="s">
        <v>2224</v>
      </c>
      <c r="D2221" t="s">
        <v>2277</v>
      </c>
    </row>
    <row r="2222" spans="1:4" x14ac:dyDescent="0.3">
      <c r="A2222" t="s">
        <v>1628</v>
      </c>
      <c r="B2222">
        <v>11.254858234113794</v>
      </c>
      <c r="C2222" t="s">
        <v>2224</v>
      </c>
      <c r="D2222" t="s">
        <v>2278</v>
      </c>
    </row>
    <row r="2223" spans="1:4" x14ac:dyDescent="0.3">
      <c r="A2223" t="s">
        <v>17</v>
      </c>
      <c r="B2223">
        <v>1.688905677340204</v>
      </c>
      <c r="C2223" t="s">
        <v>2224</v>
      </c>
      <c r="D2223" t="s">
        <v>2278</v>
      </c>
    </row>
    <row r="2224" spans="1:4" x14ac:dyDescent="0.3">
      <c r="A2224" t="s">
        <v>209</v>
      </c>
      <c r="B2224">
        <v>9.5253544929869083</v>
      </c>
      <c r="C2224" t="s">
        <v>2224</v>
      </c>
      <c r="D2224" t="s">
        <v>2278</v>
      </c>
    </row>
    <row r="2225" spans="1:4" x14ac:dyDescent="0.3">
      <c r="A2225" t="s">
        <v>446</v>
      </c>
      <c r="B2225">
        <v>4.0598063786682376E-2</v>
      </c>
      <c r="C2225" t="s">
        <v>2224</v>
      </c>
      <c r="D2225" t="s">
        <v>2278</v>
      </c>
    </row>
    <row r="2226" spans="1:4" x14ac:dyDescent="0.3">
      <c r="A2226" t="s">
        <v>1632</v>
      </c>
      <c r="B2226" t="s">
        <v>361</v>
      </c>
      <c r="C2226" t="s">
        <v>2224</v>
      </c>
      <c r="D2226" t="s">
        <v>2278</v>
      </c>
    </row>
    <row r="2227" spans="1:4" x14ac:dyDescent="0.3">
      <c r="A2227" t="s">
        <v>1626</v>
      </c>
      <c r="B2227" t="s">
        <v>361</v>
      </c>
      <c r="C2227" t="s">
        <v>2224</v>
      </c>
      <c r="D2227" t="s">
        <v>2278</v>
      </c>
    </row>
    <row r="2228" spans="1:4" x14ac:dyDescent="0.3">
      <c r="A2228" t="s">
        <v>1627</v>
      </c>
      <c r="B2228" t="s">
        <v>361</v>
      </c>
      <c r="C2228" t="s">
        <v>2224</v>
      </c>
      <c r="D2228" t="s">
        <v>2278</v>
      </c>
    </row>
    <row r="2229" spans="1:4" x14ac:dyDescent="0.3">
      <c r="A2229" t="s">
        <v>1625</v>
      </c>
      <c r="B2229" t="s">
        <v>361</v>
      </c>
      <c r="C2229" t="s">
        <v>2224</v>
      </c>
      <c r="D2229" t="s">
        <v>2278</v>
      </c>
    </row>
    <row r="2230" spans="1:4" x14ac:dyDescent="0.3">
      <c r="A2230" t="s">
        <v>1623</v>
      </c>
      <c r="B2230" t="s">
        <v>361</v>
      </c>
      <c r="C2230" t="s">
        <v>2224</v>
      </c>
      <c r="D2230" t="s">
        <v>2278</v>
      </c>
    </row>
    <row r="2231" spans="1:4" x14ac:dyDescent="0.3">
      <c r="A2231" t="s">
        <v>1633</v>
      </c>
      <c r="B2231">
        <v>11.254858234113794</v>
      </c>
      <c r="C2231" t="s">
        <v>2224</v>
      </c>
      <c r="D2231" t="s">
        <v>2278</v>
      </c>
    </row>
    <row r="2232" spans="1:4" x14ac:dyDescent="0.3">
      <c r="A2232" t="s">
        <v>1628</v>
      </c>
      <c r="B2232">
        <v>11.254858234113794</v>
      </c>
      <c r="C2232" t="s">
        <v>2224</v>
      </c>
      <c r="D2232" t="s">
        <v>2279</v>
      </c>
    </row>
    <row r="2233" spans="1:4" x14ac:dyDescent="0.3">
      <c r="A2233" t="s">
        <v>17</v>
      </c>
      <c r="B2233">
        <v>1.688905677340204</v>
      </c>
      <c r="C2233" t="s">
        <v>2224</v>
      </c>
      <c r="D2233" t="s">
        <v>2279</v>
      </c>
    </row>
    <row r="2234" spans="1:4" x14ac:dyDescent="0.3">
      <c r="A2234" t="s">
        <v>209</v>
      </c>
      <c r="B2234">
        <v>9.5253544929869083</v>
      </c>
      <c r="C2234" t="s">
        <v>2224</v>
      </c>
      <c r="D2234" t="s">
        <v>2279</v>
      </c>
    </row>
    <row r="2235" spans="1:4" x14ac:dyDescent="0.3">
      <c r="A2235" t="s">
        <v>446</v>
      </c>
      <c r="B2235">
        <v>4.0598063786682376E-2</v>
      </c>
      <c r="C2235" t="s">
        <v>2224</v>
      </c>
      <c r="D2235" t="s">
        <v>2279</v>
      </c>
    </row>
    <row r="2236" spans="1:4" x14ac:dyDescent="0.3">
      <c r="A2236" t="s">
        <v>1632</v>
      </c>
      <c r="B2236" t="s">
        <v>361</v>
      </c>
      <c r="C2236" t="s">
        <v>2224</v>
      </c>
      <c r="D2236" t="s">
        <v>2279</v>
      </c>
    </row>
    <row r="2237" spans="1:4" x14ac:dyDescent="0.3">
      <c r="A2237" t="s">
        <v>1626</v>
      </c>
      <c r="B2237" t="s">
        <v>361</v>
      </c>
      <c r="C2237" t="s">
        <v>2224</v>
      </c>
      <c r="D2237" t="s">
        <v>2279</v>
      </c>
    </row>
    <row r="2238" spans="1:4" x14ac:dyDescent="0.3">
      <c r="A2238" t="s">
        <v>1627</v>
      </c>
      <c r="B2238" t="s">
        <v>361</v>
      </c>
      <c r="C2238" t="s">
        <v>2224</v>
      </c>
      <c r="D2238" t="s">
        <v>2279</v>
      </c>
    </row>
    <row r="2239" spans="1:4" x14ac:dyDescent="0.3">
      <c r="A2239" t="s">
        <v>1625</v>
      </c>
      <c r="B2239" t="s">
        <v>361</v>
      </c>
      <c r="C2239" t="s">
        <v>2224</v>
      </c>
      <c r="D2239" t="s">
        <v>2279</v>
      </c>
    </row>
    <row r="2240" spans="1:4" x14ac:dyDescent="0.3">
      <c r="A2240" t="s">
        <v>1623</v>
      </c>
      <c r="B2240" t="s">
        <v>361</v>
      </c>
      <c r="C2240" t="s">
        <v>2224</v>
      </c>
      <c r="D2240" t="s">
        <v>2279</v>
      </c>
    </row>
    <row r="2241" spans="1:4" x14ac:dyDescent="0.3">
      <c r="A2241" t="s">
        <v>1633</v>
      </c>
      <c r="B2241">
        <v>11.254858234113794</v>
      </c>
      <c r="C2241" t="s">
        <v>2224</v>
      </c>
      <c r="D2241" t="s">
        <v>2279</v>
      </c>
    </row>
    <row r="2242" spans="1:4" x14ac:dyDescent="0.3">
      <c r="A2242" t="s">
        <v>1628</v>
      </c>
      <c r="B2242">
        <v>11.254858234113794</v>
      </c>
      <c r="C2242" t="s">
        <v>2224</v>
      </c>
      <c r="D2242" t="s">
        <v>2280</v>
      </c>
    </row>
    <row r="2243" spans="1:4" x14ac:dyDescent="0.3">
      <c r="A2243" t="s">
        <v>17</v>
      </c>
      <c r="B2243">
        <v>1.688905677340204</v>
      </c>
      <c r="C2243" t="s">
        <v>2224</v>
      </c>
      <c r="D2243" t="s">
        <v>2280</v>
      </c>
    </row>
    <row r="2244" spans="1:4" x14ac:dyDescent="0.3">
      <c r="A2244" t="s">
        <v>209</v>
      </c>
      <c r="B2244">
        <v>9.5253544929869083</v>
      </c>
      <c r="C2244" t="s">
        <v>2224</v>
      </c>
      <c r="D2244" t="s">
        <v>2280</v>
      </c>
    </row>
    <row r="2245" spans="1:4" x14ac:dyDescent="0.3">
      <c r="A2245" t="s">
        <v>446</v>
      </c>
      <c r="B2245">
        <v>4.0598063786682376E-2</v>
      </c>
      <c r="C2245" t="s">
        <v>2224</v>
      </c>
      <c r="D2245" t="s">
        <v>2280</v>
      </c>
    </row>
    <row r="2246" spans="1:4" x14ac:dyDescent="0.3">
      <c r="A2246" t="s">
        <v>1632</v>
      </c>
      <c r="B2246" t="s">
        <v>361</v>
      </c>
      <c r="C2246" t="s">
        <v>2224</v>
      </c>
      <c r="D2246" t="s">
        <v>2280</v>
      </c>
    </row>
    <row r="2247" spans="1:4" x14ac:dyDescent="0.3">
      <c r="A2247" t="s">
        <v>1626</v>
      </c>
      <c r="B2247" t="s">
        <v>361</v>
      </c>
      <c r="C2247" t="s">
        <v>2224</v>
      </c>
      <c r="D2247" t="s">
        <v>2280</v>
      </c>
    </row>
    <row r="2248" spans="1:4" x14ac:dyDescent="0.3">
      <c r="A2248" t="s">
        <v>1627</v>
      </c>
      <c r="B2248" t="s">
        <v>361</v>
      </c>
      <c r="C2248" t="s">
        <v>2224</v>
      </c>
      <c r="D2248" t="s">
        <v>2280</v>
      </c>
    </row>
    <row r="2249" spans="1:4" x14ac:dyDescent="0.3">
      <c r="A2249" t="s">
        <v>1625</v>
      </c>
      <c r="B2249" t="s">
        <v>361</v>
      </c>
      <c r="C2249" t="s">
        <v>2224</v>
      </c>
      <c r="D2249" t="s">
        <v>2280</v>
      </c>
    </row>
    <row r="2250" spans="1:4" x14ac:dyDescent="0.3">
      <c r="A2250" t="s">
        <v>1623</v>
      </c>
      <c r="B2250" t="s">
        <v>361</v>
      </c>
      <c r="C2250" t="s">
        <v>2224</v>
      </c>
      <c r="D2250" t="s">
        <v>2280</v>
      </c>
    </row>
    <row r="2251" spans="1:4" x14ac:dyDescent="0.3">
      <c r="A2251" t="s">
        <v>1633</v>
      </c>
      <c r="B2251">
        <v>11.254858234113794</v>
      </c>
      <c r="C2251" t="s">
        <v>2224</v>
      </c>
      <c r="D2251" t="s">
        <v>2280</v>
      </c>
    </row>
    <row r="2252" spans="1:4" x14ac:dyDescent="0.3">
      <c r="A2252" t="s">
        <v>1628</v>
      </c>
      <c r="B2252">
        <v>11.254858234113794</v>
      </c>
      <c r="C2252" t="s">
        <v>2224</v>
      </c>
      <c r="D2252" t="s">
        <v>2281</v>
      </c>
    </row>
    <row r="2253" spans="1:4" x14ac:dyDescent="0.3">
      <c r="A2253" t="s">
        <v>17</v>
      </c>
      <c r="B2253">
        <v>1.688905677340204</v>
      </c>
      <c r="C2253" t="s">
        <v>2224</v>
      </c>
      <c r="D2253" t="s">
        <v>2281</v>
      </c>
    </row>
    <row r="2254" spans="1:4" x14ac:dyDescent="0.3">
      <c r="A2254" t="s">
        <v>209</v>
      </c>
      <c r="B2254">
        <v>9.5253544929869083</v>
      </c>
      <c r="C2254" t="s">
        <v>2224</v>
      </c>
      <c r="D2254" t="s">
        <v>2281</v>
      </c>
    </row>
    <row r="2255" spans="1:4" x14ac:dyDescent="0.3">
      <c r="A2255" t="s">
        <v>446</v>
      </c>
      <c r="B2255">
        <v>4.0598063786682376E-2</v>
      </c>
      <c r="C2255" t="s">
        <v>2224</v>
      </c>
      <c r="D2255" t="s">
        <v>2281</v>
      </c>
    </row>
    <row r="2256" spans="1:4" x14ac:dyDescent="0.3">
      <c r="A2256" t="s">
        <v>1632</v>
      </c>
      <c r="B2256" t="s">
        <v>361</v>
      </c>
      <c r="C2256" t="s">
        <v>2224</v>
      </c>
      <c r="D2256" t="s">
        <v>2281</v>
      </c>
    </row>
    <row r="2257" spans="1:4" x14ac:dyDescent="0.3">
      <c r="A2257" t="s">
        <v>1626</v>
      </c>
      <c r="B2257" t="s">
        <v>361</v>
      </c>
      <c r="C2257" t="s">
        <v>2224</v>
      </c>
      <c r="D2257" t="s">
        <v>2281</v>
      </c>
    </row>
    <row r="2258" spans="1:4" x14ac:dyDescent="0.3">
      <c r="A2258" t="s">
        <v>1627</v>
      </c>
      <c r="B2258" t="s">
        <v>361</v>
      </c>
      <c r="C2258" t="s">
        <v>2224</v>
      </c>
      <c r="D2258" t="s">
        <v>2281</v>
      </c>
    </row>
    <row r="2259" spans="1:4" x14ac:dyDescent="0.3">
      <c r="A2259" t="s">
        <v>1625</v>
      </c>
      <c r="B2259" t="s">
        <v>361</v>
      </c>
      <c r="C2259" t="s">
        <v>2224</v>
      </c>
      <c r="D2259" t="s">
        <v>2281</v>
      </c>
    </row>
    <row r="2260" spans="1:4" x14ac:dyDescent="0.3">
      <c r="A2260" t="s">
        <v>1623</v>
      </c>
      <c r="B2260" t="s">
        <v>361</v>
      </c>
      <c r="C2260" t="s">
        <v>2224</v>
      </c>
      <c r="D2260" t="s">
        <v>2281</v>
      </c>
    </row>
    <row r="2261" spans="1:4" x14ac:dyDescent="0.3">
      <c r="A2261" t="s">
        <v>1633</v>
      </c>
      <c r="B2261">
        <v>11.254858234113794</v>
      </c>
      <c r="C2261" t="s">
        <v>2224</v>
      </c>
      <c r="D2261" t="s">
        <v>2281</v>
      </c>
    </row>
    <row r="2262" spans="1:4" x14ac:dyDescent="0.3">
      <c r="A2262" t="s">
        <v>1628</v>
      </c>
      <c r="B2262">
        <v>23.312536903412362</v>
      </c>
      <c r="C2262" t="s">
        <v>2074</v>
      </c>
      <c r="D2262" t="s">
        <v>2024</v>
      </c>
    </row>
    <row r="2263" spans="1:4" x14ac:dyDescent="0.3">
      <c r="A2263" t="s">
        <v>17</v>
      </c>
      <c r="B2263">
        <v>9.1197792603319989</v>
      </c>
      <c r="C2263" t="s">
        <v>2074</v>
      </c>
      <c r="D2263" t="s">
        <v>2024</v>
      </c>
    </row>
    <row r="2264" spans="1:4" x14ac:dyDescent="0.3">
      <c r="A2264" t="s">
        <v>209</v>
      </c>
      <c r="B2264">
        <v>14.376788700025322</v>
      </c>
      <c r="C2264" t="s">
        <v>2074</v>
      </c>
      <c r="D2264" t="s">
        <v>2024</v>
      </c>
    </row>
    <row r="2265" spans="1:4" x14ac:dyDescent="0.3">
      <c r="A2265" t="s">
        <v>446</v>
      </c>
      <c r="B2265">
        <v>4.0598063786682376E-2</v>
      </c>
      <c r="C2265" t="s">
        <v>2074</v>
      </c>
      <c r="D2265" t="s">
        <v>2024</v>
      </c>
    </row>
    <row r="2266" spans="1:4" x14ac:dyDescent="0.3">
      <c r="A2266" t="s">
        <v>1632</v>
      </c>
      <c r="B2266">
        <v>16.233068203191692</v>
      </c>
      <c r="C2266" t="s">
        <v>2074</v>
      </c>
      <c r="D2266" t="s">
        <v>2024</v>
      </c>
    </row>
    <row r="2267" spans="1:4" x14ac:dyDescent="0.3">
      <c r="A2267" t="s">
        <v>1626</v>
      </c>
      <c r="B2267">
        <v>12.168617573210515</v>
      </c>
      <c r="C2267" t="s">
        <v>2074</v>
      </c>
      <c r="D2267" t="s">
        <v>2024</v>
      </c>
    </row>
    <row r="2268" spans="1:4" x14ac:dyDescent="0.3">
      <c r="A2268" t="s">
        <v>1627</v>
      </c>
      <c r="B2268">
        <v>3.5092363459654869</v>
      </c>
      <c r="C2268" t="s">
        <v>2074</v>
      </c>
      <c r="D2268" t="s">
        <v>2024</v>
      </c>
    </row>
    <row r="2269" spans="1:4" x14ac:dyDescent="0.3">
      <c r="A2269" t="s">
        <v>1625</v>
      </c>
      <c r="B2269">
        <v>1.3569877241384578</v>
      </c>
      <c r="C2269" t="s">
        <v>2074</v>
      </c>
      <c r="D2269" t="s">
        <v>2024</v>
      </c>
    </row>
    <row r="2270" spans="1:4" x14ac:dyDescent="0.3">
      <c r="A2270" t="s">
        <v>1623</v>
      </c>
      <c r="B2270">
        <v>-0.80177344012275631</v>
      </c>
      <c r="C2270" t="s">
        <v>2074</v>
      </c>
      <c r="D2270" t="s">
        <v>2024</v>
      </c>
    </row>
    <row r="2271" spans="1:4" x14ac:dyDescent="0.3">
      <c r="A2271" t="s">
        <v>1633</v>
      </c>
      <c r="B2271">
        <v>39.545605106604057</v>
      </c>
      <c r="C2271" t="s">
        <v>2074</v>
      </c>
      <c r="D2271" t="s">
        <v>2024</v>
      </c>
    </row>
    <row r="2272" spans="1:4" x14ac:dyDescent="0.3">
      <c r="A2272" t="s">
        <v>1628</v>
      </c>
      <c r="B2272">
        <v>46.803321370831618</v>
      </c>
      <c r="C2272" t="s">
        <v>2074</v>
      </c>
      <c r="D2272" t="s">
        <v>2025</v>
      </c>
    </row>
    <row r="2273" spans="1:4" x14ac:dyDescent="0.3">
      <c r="A2273" t="s">
        <v>17</v>
      </c>
      <c r="B2273">
        <v>18.47638241029324</v>
      </c>
      <c r="C2273" t="s">
        <v>2074</v>
      </c>
      <c r="D2273" t="s">
        <v>2025</v>
      </c>
    </row>
    <row r="2274" spans="1:4" x14ac:dyDescent="0.3">
      <c r="A2274" t="s">
        <v>209</v>
      </c>
      <c r="B2274">
        <v>28.741432343227636</v>
      </c>
      <c r="C2274" t="s">
        <v>2074</v>
      </c>
      <c r="D2274" t="s">
        <v>2025</v>
      </c>
    </row>
    <row r="2275" spans="1:4" x14ac:dyDescent="0.3">
      <c r="A2275" t="s">
        <v>446</v>
      </c>
      <c r="B2275">
        <v>4.0598063786682376E-2</v>
      </c>
      <c r="C2275" t="s">
        <v>2074</v>
      </c>
      <c r="D2275" t="s">
        <v>2025</v>
      </c>
    </row>
    <row r="2276" spans="1:4" x14ac:dyDescent="0.3">
      <c r="A2276" t="s">
        <v>1632</v>
      </c>
      <c r="B2276">
        <v>32.887679323460162</v>
      </c>
      <c r="C2276" t="s">
        <v>2074</v>
      </c>
      <c r="D2276" t="s">
        <v>2025</v>
      </c>
    </row>
    <row r="2277" spans="1:4" x14ac:dyDescent="0.3">
      <c r="A2277" t="s">
        <v>1626</v>
      </c>
      <c r="B2277">
        <v>24.653231758053195</v>
      </c>
      <c r="C2277" t="s">
        <v>2074</v>
      </c>
      <c r="D2277" t="s">
        <v>2025</v>
      </c>
    </row>
    <row r="2278" spans="1:4" x14ac:dyDescent="0.3">
      <c r="A2278" t="s">
        <v>1627</v>
      </c>
      <c r="B2278">
        <v>7.1096011038536977</v>
      </c>
      <c r="C2278" t="s">
        <v>2074</v>
      </c>
      <c r="D2278" t="s">
        <v>2025</v>
      </c>
    </row>
    <row r="2279" spans="1:4" x14ac:dyDescent="0.3">
      <c r="A2279" t="s">
        <v>1625</v>
      </c>
      <c r="B2279">
        <v>2.7492139230070483</v>
      </c>
      <c r="C2279" t="s">
        <v>2074</v>
      </c>
      <c r="D2279" t="s">
        <v>2025</v>
      </c>
    </row>
    <row r="2280" spans="1:4" x14ac:dyDescent="0.3">
      <c r="A2280" t="s">
        <v>1623</v>
      </c>
      <c r="B2280">
        <v>-1.624367461453788</v>
      </c>
      <c r="C2280" t="s">
        <v>2074</v>
      </c>
      <c r="D2280" t="s">
        <v>2025</v>
      </c>
    </row>
    <row r="2281" spans="1:4" x14ac:dyDescent="0.3">
      <c r="A2281" t="s">
        <v>1633</v>
      </c>
      <c r="B2281">
        <v>79.691000694291773</v>
      </c>
      <c r="C2281" t="s">
        <v>2074</v>
      </c>
      <c r="D2281" t="s">
        <v>2025</v>
      </c>
    </row>
    <row r="2282" spans="1:4" x14ac:dyDescent="0.3">
      <c r="A2282" t="s">
        <v>1628</v>
      </c>
      <c r="B2282">
        <v>23.312536903412362</v>
      </c>
      <c r="C2282" t="s">
        <v>2074</v>
      </c>
      <c r="D2282" t="s">
        <v>2026</v>
      </c>
    </row>
    <row r="2283" spans="1:4" x14ac:dyDescent="0.3">
      <c r="A2283" t="s">
        <v>17</v>
      </c>
      <c r="B2283">
        <v>9.1197792603319989</v>
      </c>
      <c r="C2283" t="s">
        <v>2074</v>
      </c>
      <c r="D2283" t="s">
        <v>2026</v>
      </c>
    </row>
    <row r="2284" spans="1:4" x14ac:dyDescent="0.3">
      <c r="A2284" t="s">
        <v>209</v>
      </c>
      <c r="B2284">
        <v>14.376788700025322</v>
      </c>
      <c r="C2284" t="s">
        <v>2074</v>
      </c>
      <c r="D2284" t="s">
        <v>2026</v>
      </c>
    </row>
    <row r="2285" spans="1:4" x14ac:dyDescent="0.3">
      <c r="A2285" t="s">
        <v>446</v>
      </c>
      <c r="B2285">
        <v>4.0598063786682376E-2</v>
      </c>
      <c r="C2285" t="s">
        <v>2074</v>
      </c>
      <c r="D2285" t="s">
        <v>2026</v>
      </c>
    </row>
    <row r="2286" spans="1:4" x14ac:dyDescent="0.3">
      <c r="A2286" t="s">
        <v>1632</v>
      </c>
      <c r="B2286">
        <v>16.233068203191692</v>
      </c>
      <c r="C2286" t="s">
        <v>2074</v>
      </c>
      <c r="D2286" t="s">
        <v>2026</v>
      </c>
    </row>
    <row r="2287" spans="1:4" x14ac:dyDescent="0.3">
      <c r="A2287" t="s">
        <v>1626</v>
      </c>
      <c r="B2287">
        <v>12.168617573210502</v>
      </c>
      <c r="C2287" t="s">
        <v>2074</v>
      </c>
      <c r="D2287" t="s">
        <v>2026</v>
      </c>
    </row>
    <row r="2288" spans="1:4" x14ac:dyDescent="0.3">
      <c r="A2288" t="s">
        <v>1627</v>
      </c>
      <c r="B2288">
        <v>3.5092363459654869</v>
      </c>
      <c r="C2288" t="s">
        <v>2074</v>
      </c>
      <c r="D2288" t="s">
        <v>2026</v>
      </c>
    </row>
    <row r="2289" spans="1:4" x14ac:dyDescent="0.3">
      <c r="A2289" t="s">
        <v>1625</v>
      </c>
      <c r="B2289">
        <v>1.3569877241384578</v>
      </c>
      <c r="C2289" t="s">
        <v>2074</v>
      </c>
      <c r="D2289" t="s">
        <v>2026</v>
      </c>
    </row>
    <row r="2290" spans="1:4" x14ac:dyDescent="0.3">
      <c r="A2290" t="s">
        <v>1623</v>
      </c>
      <c r="B2290">
        <v>-0.80177344012275631</v>
      </c>
      <c r="C2290" t="s">
        <v>2074</v>
      </c>
      <c r="D2290" t="s">
        <v>2026</v>
      </c>
    </row>
    <row r="2291" spans="1:4" x14ac:dyDescent="0.3">
      <c r="A2291" t="s">
        <v>1633</v>
      </c>
      <c r="B2291">
        <v>39.545605106604057</v>
      </c>
      <c r="C2291" t="s">
        <v>2074</v>
      </c>
      <c r="D2291" t="s">
        <v>2026</v>
      </c>
    </row>
    <row r="2292" spans="1:4" x14ac:dyDescent="0.3">
      <c r="A2292" t="s">
        <v>1628</v>
      </c>
      <c r="B2292">
        <v>23.312536903412362</v>
      </c>
      <c r="C2292" t="s">
        <v>2074</v>
      </c>
      <c r="D2292" t="s">
        <v>2027</v>
      </c>
    </row>
    <row r="2293" spans="1:4" x14ac:dyDescent="0.3">
      <c r="A2293" t="s">
        <v>17</v>
      </c>
      <c r="B2293">
        <v>9.1197792603319989</v>
      </c>
      <c r="C2293" t="s">
        <v>2074</v>
      </c>
      <c r="D2293" t="s">
        <v>2027</v>
      </c>
    </row>
    <row r="2294" spans="1:4" x14ac:dyDescent="0.3">
      <c r="A2294" t="s">
        <v>209</v>
      </c>
      <c r="B2294">
        <v>14.376788700025322</v>
      </c>
      <c r="C2294" t="s">
        <v>2074</v>
      </c>
      <c r="D2294" t="s">
        <v>2027</v>
      </c>
    </row>
    <row r="2295" spans="1:4" x14ac:dyDescent="0.3">
      <c r="A2295" t="s">
        <v>446</v>
      </c>
      <c r="B2295">
        <v>4.0598063786682376E-2</v>
      </c>
      <c r="C2295" t="s">
        <v>2074</v>
      </c>
      <c r="D2295" t="s">
        <v>2027</v>
      </c>
    </row>
    <row r="2296" spans="1:4" x14ac:dyDescent="0.3">
      <c r="A2296" t="s">
        <v>1632</v>
      </c>
      <c r="B2296">
        <v>16.233068203191692</v>
      </c>
      <c r="C2296" t="s">
        <v>2074</v>
      </c>
      <c r="D2296" t="s">
        <v>2027</v>
      </c>
    </row>
    <row r="2297" spans="1:4" x14ac:dyDescent="0.3">
      <c r="A2297" t="s">
        <v>1626</v>
      </c>
      <c r="B2297">
        <v>12.168617573210502</v>
      </c>
      <c r="C2297" t="s">
        <v>2074</v>
      </c>
      <c r="D2297" t="s">
        <v>2027</v>
      </c>
    </row>
    <row r="2298" spans="1:4" x14ac:dyDescent="0.3">
      <c r="A2298" t="s">
        <v>1627</v>
      </c>
      <c r="B2298">
        <v>3.5092363459654869</v>
      </c>
      <c r="C2298" t="s">
        <v>2074</v>
      </c>
      <c r="D2298" t="s">
        <v>2027</v>
      </c>
    </row>
    <row r="2299" spans="1:4" x14ac:dyDescent="0.3">
      <c r="A2299" t="s">
        <v>1625</v>
      </c>
      <c r="B2299">
        <v>1.3569877241384578</v>
      </c>
      <c r="C2299" t="s">
        <v>2074</v>
      </c>
      <c r="D2299" t="s">
        <v>2027</v>
      </c>
    </row>
    <row r="2300" spans="1:4" x14ac:dyDescent="0.3">
      <c r="A2300" t="s">
        <v>1623</v>
      </c>
      <c r="B2300">
        <v>-0.80177344012275631</v>
      </c>
      <c r="C2300" t="s">
        <v>2074</v>
      </c>
      <c r="D2300" t="s">
        <v>2027</v>
      </c>
    </row>
    <row r="2301" spans="1:4" x14ac:dyDescent="0.3">
      <c r="A2301" t="s">
        <v>1633</v>
      </c>
      <c r="B2301">
        <v>39.545605106604057</v>
      </c>
      <c r="C2301" t="s">
        <v>2074</v>
      </c>
      <c r="D2301" t="s">
        <v>2027</v>
      </c>
    </row>
    <row r="2302" spans="1:4" x14ac:dyDescent="0.3">
      <c r="A2302" t="s">
        <v>1628</v>
      </c>
      <c r="B2302">
        <v>22.222193685723717</v>
      </c>
      <c r="C2302" t="s">
        <v>2074</v>
      </c>
      <c r="D2302" t="s">
        <v>2028</v>
      </c>
    </row>
    <row r="2303" spans="1:4" x14ac:dyDescent="0.3">
      <c r="A2303" t="s">
        <v>17</v>
      </c>
      <c r="B2303">
        <v>9.1197792603319989</v>
      </c>
      <c r="C2303" t="s">
        <v>2074</v>
      </c>
      <c r="D2303" t="s">
        <v>2028</v>
      </c>
    </row>
    <row r="2304" spans="1:4" x14ac:dyDescent="0.3">
      <c r="A2304" t="s">
        <v>209</v>
      </c>
      <c r="B2304">
        <v>13.28644548233668</v>
      </c>
      <c r="C2304" t="s">
        <v>2074</v>
      </c>
      <c r="D2304" t="s">
        <v>2028</v>
      </c>
    </row>
    <row r="2305" spans="1:4" x14ac:dyDescent="0.3">
      <c r="A2305" t="s">
        <v>446</v>
      </c>
      <c r="B2305">
        <v>4.0598063786682376E-2</v>
      </c>
      <c r="C2305" t="s">
        <v>2074</v>
      </c>
      <c r="D2305" t="s">
        <v>2028</v>
      </c>
    </row>
    <row r="2306" spans="1:4" x14ac:dyDescent="0.3">
      <c r="A2306" t="s">
        <v>1632</v>
      </c>
      <c r="B2306">
        <v>16.233068203191692</v>
      </c>
      <c r="C2306" t="s">
        <v>2074</v>
      </c>
      <c r="D2306" t="s">
        <v>2028</v>
      </c>
    </row>
    <row r="2307" spans="1:4" x14ac:dyDescent="0.3">
      <c r="A2307" t="s">
        <v>1626</v>
      </c>
      <c r="B2307">
        <v>12.168617573210502</v>
      </c>
      <c r="C2307" t="s">
        <v>2074</v>
      </c>
      <c r="D2307" t="s">
        <v>2028</v>
      </c>
    </row>
    <row r="2308" spans="1:4" x14ac:dyDescent="0.3">
      <c r="A2308" t="s">
        <v>1627</v>
      </c>
      <c r="B2308">
        <v>3.5092363459654869</v>
      </c>
      <c r="C2308" t="s">
        <v>2074</v>
      </c>
      <c r="D2308" t="s">
        <v>2028</v>
      </c>
    </row>
    <row r="2309" spans="1:4" x14ac:dyDescent="0.3">
      <c r="A2309" t="s">
        <v>1625</v>
      </c>
      <c r="B2309">
        <v>1.3569877241384578</v>
      </c>
      <c r="C2309" t="s">
        <v>2074</v>
      </c>
      <c r="D2309" t="s">
        <v>2028</v>
      </c>
    </row>
    <row r="2310" spans="1:4" x14ac:dyDescent="0.3">
      <c r="A2310" t="s">
        <v>1623</v>
      </c>
      <c r="B2310">
        <v>-0.80177344012275631</v>
      </c>
      <c r="C2310" t="s">
        <v>2074</v>
      </c>
      <c r="D2310" t="s">
        <v>2028</v>
      </c>
    </row>
    <row r="2311" spans="1:4" x14ac:dyDescent="0.3">
      <c r="A2311" t="s">
        <v>1633</v>
      </c>
      <c r="B2311">
        <v>38.455261888915409</v>
      </c>
      <c r="C2311" t="s">
        <v>2074</v>
      </c>
      <c r="D2311" t="s">
        <v>2028</v>
      </c>
    </row>
    <row r="2312" spans="1:4" x14ac:dyDescent="0.3">
      <c r="A2312" t="s">
        <v>1628</v>
      </c>
      <c r="B2312">
        <v>23.312536903412362</v>
      </c>
      <c r="C2312" t="s">
        <v>2074</v>
      </c>
      <c r="D2312" t="s">
        <v>2029</v>
      </c>
    </row>
    <row r="2313" spans="1:4" x14ac:dyDescent="0.3">
      <c r="A2313" t="s">
        <v>17</v>
      </c>
      <c r="B2313">
        <v>9.1197792603319989</v>
      </c>
      <c r="C2313" t="s">
        <v>2074</v>
      </c>
      <c r="D2313" t="s">
        <v>2029</v>
      </c>
    </row>
    <row r="2314" spans="1:4" x14ac:dyDescent="0.3">
      <c r="A2314" t="s">
        <v>209</v>
      </c>
      <c r="B2314">
        <v>14.376788700025322</v>
      </c>
      <c r="C2314" t="s">
        <v>2074</v>
      </c>
      <c r="D2314" t="s">
        <v>2029</v>
      </c>
    </row>
    <row r="2315" spans="1:4" x14ac:dyDescent="0.3">
      <c r="A2315" t="s">
        <v>446</v>
      </c>
      <c r="B2315">
        <v>4.0598063786682376E-2</v>
      </c>
      <c r="C2315" t="s">
        <v>2074</v>
      </c>
      <c r="D2315" t="s">
        <v>2029</v>
      </c>
    </row>
    <row r="2316" spans="1:4" x14ac:dyDescent="0.3">
      <c r="A2316" t="s">
        <v>1632</v>
      </c>
      <c r="B2316">
        <v>16.233068203191692</v>
      </c>
      <c r="C2316" t="s">
        <v>2074</v>
      </c>
      <c r="D2316" t="s">
        <v>2029</v>
      </c>
    </row>
    <row r="2317" spans="1:4" x14ac:dyDescent="0.3">
      <c r="A2317" t="s">
        <v>1626</v>
      </c>
      <c r="B2317">
        <v>12.168617573210502</v>
      </c>
      <c r="C2317" t="s">
        <v>2074</v>
      </c>
      <c r="D2317" t="s">
        <v>2029</v>
      </c>
    </row>
    <row r="2318" spans="1:4" x14ac:dyDescent="0.3">
      <c r="A2318" t="s">
        <v>1627</v>
      </c>
      <c r="B2318">
        <v>3.5092363459654869</v>
      </c>
      <c r="C2318" t="s">
        <v>2074</v>
      </c>
      <c r="D2318" t="s">
        <v>2029</v>
      </c>
    </row>
    <row r="2319" spans="1:4" x14ac:dyDescent="0.3">
      <c r="A2319" t="s">
        <v>1625</v>
      </c>
      <c r="B2319">
        <v>1.3569877241384578</v>
      </c>
      <c r="C2319" t="s">
        <v>2074</v>
      </c>
      <c r="D2319" t="s">
        <v>2029</v>
      </c>
    </row>
    <row r="2320" spans="1:4" x14ac:dyDescent="0.3">
      <c r="A2320" t="s">
        <v>1623</v>
      </c>
      <c r="B2320">
        <v>-0.80177344012275631</v>
      </c>
      <c r="C2320" t="s">
        <v>2074</v>
      </c>
      <c r="D2320" t="s">
        <v>2029</v>
      </c>
    </row>
    <row r="2321" spans="1:4" x14ac:dyDescent="0.3">
      <c r="A2321" t="s">
        <v>1633</v>
      </c>
      <c r="B2321">
        <v>39.545605106604057</v>
      </c>
      <c r="C2321" t="s">
        <v>2074</v>
      </c>
      <c r="D2321" t="s">
        <v>2029</v>
      </c>
    </row>
    <row r="2322" spans="1:4" x14ac:dyDescent="0.3">
      <c r="A2322" t="s">
        <v>1628</v>
      </c>
      <c r="B2322">
        <v>23.312536903412362</v>
      </c>
      <c r="C2322" t="s">
        <v>2074</v>
      </c>
      <c r="D2322" t="s">
        <v>2030</v>
      </c>
    </row>
    <row r="2323" spans="1:4" x14ac:dyDescent="0.3">
      <c r="A2323" t="s">
        <v>17</v>
      </c>
      <c r="B2323">
        <v>9.1197792603319989</v>
      </c>
      <c r="C2323" t="s">
        <v>2074</v>
      </c>
      <c r="D2323" t="s">
        <v>2030</v>
      </c>
    </row>
    <row r="2324" spans="1:4" x14ac:dyDescent="0.3">
      <c r="A2324" t="s">
        <v>209</v>
      </c>
      <c r="B2324">
        <v>14.376788700025322</v>
      </c>
      <c r="C2324" t="s">
        <v>2074</v>
      </c>
      <c r="D2324" t="s">
        <v>2030</v>
      </c>
    </row>
    <row r="2325" spans="1:4" x14ac:dyDescent="0.3">
      <c r="A2325" t="s">
        <v>446</v>
      </c>
      <c r="B2325">
        <v>4.0598063786682376E-2</v>
      </c>
      <c r="C2325" t="s">
        <v>2074</v>
      </c>
      <c r="D2325" t="s">
        <v>2030</v>
      </c>
    </row>
    <row r="2326" spans="1:4" x14ac:dyDescent="0.3">
      <c r="A2326" t="s">
        <v>1632</v>
      </c>
      <c r="B2326">
        <v>16.233068203191692</v>
      </c>
      <c r="C2326" t="s">
        <v>2074</v>
      </c>
      <c r="D2326" t="s">
        <v>2030</v>
      </c>
    </row>
    <row r="2327" spans="1:4" x14ac:dyDescent="0.3">
      <c r="A2327" t="s">
        <v>1626</v>
      </c>
      <c r="B2327">
        <v>12.168617573210502</v>
      </c>
      <c r="C2327" t="s">
        <v>2074</v>
      </c>
      <c r="D2327" t="s">
        <v>2030</v>
      </c>
    </row>
    <row r="2328" spans="1:4" x14ac:dyDescent="0.3">
      <c r="A2328" t="s">
        <v>1627</v>
      </c>
      <c r="B2328">
        <v>3.5092363459654869</v>
      </c>
      <c r="C2328" t="s">
        <v>2074</v>
      </c>
      <c r="D2328" t="s">
        <v>2030</v>
      </c>
    </row>
    <row r="2329" spans="1:4" x14ac:dyDescent="0.3">
      <c r="A2329" t="s">
        <v>1625</v>
      </c>
      <c r="B2329">
        <v>1.3569877241384578</v>
      </c>
      <c r="C2329" t="s">
        <v>2074</v>
      </c>
      <c r="D2329" t="s">
        <v>2030</v>
      </c>
    </row>
    <row r="2330" spans="1:4" x14ac:dyDescent="0.3">
      <c r="A2330" t="s">
        <v>1623</v>
      </c>
      <c r="B2330">
        <v>-0.80177344012275631</v>
      </c>
      <c r="C2330" t="s">
        <v>2074</v>
      </c>
      <c r="D2330" t="s">
        <v>2030</v>
      </c>
    </row>
    <row r="2331" spans="1:4" x14ac:dyDescent="0.3">
      <c r="A2331" t="s">
        <v>1633</v>
      </c>
      <c r="B2331">
        <v>39.545605106604057</v>
      </c>
      <c r="C2331" t="s">
        <v>2074</v>
      </c>
      <c r="D2331" t="s">
        <v>2030</v>
      </c>
    </row>
    <row r="2332" spans="1:4" x14ac:dyDescent="0.3">
      <c r="A2332" t="s">
        <v>1628</v>
      </c>
      <c r="B2332">
        <v>22.137840334896456</v>
      </c>
      <c r="C2332" t="s">
        <v>2074</v>
      </c>
      <c r="D2332" t="s">
        <v>2031</v>
      </c>
    </row>
    <row r="2333" spans="1:4" x14ac:dyDescent="0.3">
      <c r="A2333" t="s">
        <v>17</v>
      </c>
      <c r="B2333">
        <v>9.1197792603319989</v>
      </c>
      <c r="C2333" t="s">
        <v>2074</v>
      </c>
      <c r="D2333" t="s">
        <v>2031</v>
      </c>
    </row>
    <row r="2334" spans="1:4" x14ac:dyDescent="0.3">
      <c r="A2334" t="s">
        <v>209</v>
      </c>
      <c r="B2334">
        <v>13.202092131509417</v>
      </c>
      <c r="C2334" t="s">
        <v>2074</v>
      </c>
      <c r="D2334" t="s">
        <v>2031</v>
      </c>
    </row>
    <row r="2335" spans="1:4" x14ac:dyDescent="0.3">
      <c r="A2335" t="s">
        <v>446</v>
      </c>
      <c r="B2335">
        <v>4.0598063786682376E-2</v>
      </c>
      <c r="C2335" t="s">
        <v>2074</v>
      </c>
      <c r="D2335" t="s">
        <v>2031</v>
      </c>
    </row>
    <row r="2336" spans="1:4" x14ac:dyDescent="0.3">
      <c r="A2336" t="s">
        <v>1632</v>
      </c>
      <c r="B2336">
        <v>16.233068203191692</v>
      </c>
      <c r="C2336" t="s">
        <v>2074</v>
      </c>
      <c r="D2336" t="s">
        <v>2031</v>
      </c>
    </row>
    <row r="2337" spans="1:4" x14ac:dyDescent="0.3">
      <c r="A2337" t="s">
        <v>1626</v>
      </c>
      <c r="B2337">
        <v>12.168617573210502</v>
      </c>
      <c r="C2337" t="s">
        <v>2074</v>
      </c>
      <c r="D2337" t="s">
        <v>2031</v>
      </c>
    </row>
    <row r="2338" spans="1:4" x14ac:dyDescent="0.3">
      <c r="A2338" t="s">
        <v>1627</v>
      </c>
      <c r="B2338">
        <v>3.5092363459654869</v>
      </c>
      <c r="C2338" t="s">
        <v>2074</v>
      </c>
      <c r="D2338" t="s">
        <v>2031</v>
      </c>
    </row>
    <row r="2339" spans="1:4" x14ac:dyDescent="0.3">
      <c r="A2339" t="s">
        <v>1625</v>
      </c>
      <c r="B2339">
        <v>1.3569877241384578</v>
      </c>
      <c r="C2339" t="s">
        <v>2074</v>
      </c>
      <c r="D2339" t="s">
        <v>2031</v>
      </c>
    </row>
    <row r="2340" spans="1:4" x14ac:dyDescent="0.3">
      <c r="A2340" t="s">
        <v>1623</v>
      </c>
      <c r="B2340">
        <v>-0.80177344012275631</v>
      </c>
      <c r="C2340" t="s">
        <v>2074</v>
      </c>
      <c r="D2340" t="s">
        <v>2031</v>
      </c>
    </row>
    <row r="2341" spans="1:4" x14ac:dyDescent="0.3">
      <c r="A2341" t="s">
        <v>1633</v>
      </c>
      <c r="B2341">
        <v>38.370908538088145</v>
      </c>
      <c r="C2341" t="s">
        <v>2074</v>
      </c>
      <c r="D2341" t="s">
        <v>2031</v>
      </c>
    </row>
    <row r="2342" spans="1:4" x14ac:dyDescent="0.3">
      <c r="A2342" t="s">
        <v>1628</v>
      </c>
      <c r="B2342">
        <v>23.312536903412362</v>
      </c>
      <c r="C2342" t="s">
        <v>2074</v>
      </c>
      <c r="D2342" t="s">
        <v>2032</v>
      </c>
    </row>
    <row r="2343" spans="1:4" x14ac:dyDescent="0.3">
      <c r="A2343" t="s">
        <v>17</v>
      </c>
      <c r="B2343">
        <v>9.1197792603319989</v>
      </c>
      <c r="C2343" t="s">
        <v>2074</v>
      </c>
      <c r="D2343" t="s">
        <v>2032</v>
      </c>
    </row>
    <row r="2344" spans="1:4" x14ac:dyDescent="0.3">
      <c r="A2344" t="s">
        <v>209</v>
      </c>
      <c r="B2344">
        <v>14.376788700025322</v>
      </c>
      <c r="C2344" t="s">
        <v>2074</v>
      </c>
      <c r="D2344" t="s">
        <v>2032</v>
      </c>
    </row>
    <row r="2345" spans="1:4" x14ac:dyDescent="0.3">
      <c r="A2345" t="s">
        <v>446</v>
      </c>
      <c r="B2345">
        <v>4.0598063786682376E-2</v>
      </c>
      <c r="C2345" t="s">
        <v>2074</v>
      </c>
      <c r="D2345" t="s">
        <v>2032</v>
      </c>
    </row>
    <row r="2346" spans="1:4" x14ac:dyDescent="0.3">
      <c r="A2346" t="s">
        <v>1632</v>
      </c>
      <c r="B2346">
        <v>16.233068203191692</v>
      </c>
      <c r="C2346" t="s">
        <v>2074</v>
      </c>
      <c r="D2346" t="s">
        <v>2032</v>
      </c>
    </row>
    <row r="2347" spans="1:4" x14ac:dyDescent="0.3">
      <c r="A2347" t="s">
        <v>1626</v>
      </c>
      <c r="B2347">
        <v>12.168617573210502</v>
      </c>
      <c r="C2347" t="s">
        <v>2074</v>
      </c>
      <c r="D2347" t="s">
        <v>2032</v>
      </c>
    </row>
    <row r="2348" spans="1:4" x14ac:dyDescent="0.3">
      <c r="A2348" t="s">
        <v>1627</v>
      </c>
      <c r="B2348">
        <v>3.5092363459654869</v>
      </c>
      <c r="C2348" t="s">
        <v>2074</v>
      </c>
      <c r="D2348" t="s">
        <v>2032</v>
      </c>
    </row>
    <row r="2349" spans="1:4" x14ac:dyDescent="0.3">
      <c r="A2349" t="s">
        <v>1625</v>
      </c>
      <c r="B2349">
        <v>1.3569877241384578</v>
      </c>
      <c r="C2349" t="s">
        <v>2074</v>
      </c>
      <c r="D2349" t="s">
        <v>2032</v>
      </c>
    </row>
    <row r="2350" spans="1:4" x14ac:dyDescent="0.3">
      <c r="A2350" t="s">
        <v>1623</v>
      </c>
      <c r="B2350">
        <v>-0.80177344012275631</v>
      </c>
      <c r="C2350" t="s">
        <v>2074</v>
      </c>
      <c r="D2350" t="s">
        <v>2032</v>
      </c>
    </row>
    <row r="2351" spans="1:4" x14ac:dyDescent="0.3">
      <c r="A2351" t="s">
        <v>1633</v>
      </c>
      <c r="B2351">
        <v>39.545605106604057</v>
      </c>
      <c r="C2351" t="s">
        <v>2074</v>
      </c>
      <c r="D2351" t="s">
        <v>2032</v>
      </c>
    </row>
    <row r="2352" spans="1:4" x14ac:dyDescent="0.3">
      <c r="A2352" t="s">
        <v>1628</v>
      </c>
      <c r="B2352">
        <v>15.449469992415191</v>
      </c>
      <c r="C2352" t="s">
        <v>2074</v>
      </c>
      <c r="D2352" t="s">
        <v>2033</v>
      </c>
    </row>
    <row r="2353" spans="1:4" x14ac:dyDescent="0.3">
      <c r="A2353" t="s">
        <v>17</v>
      </c>
      <c r="B2353">
        <v>9.1197792603319989</v>
      </c>
      <c r="C2353" t="s">
        <v>2074</v>
      </c>
      <c r="D2353" t="s">
        <v>2033</v>
      </c>
    </row>
    <row r="2354" spans="1:4" x14ac:dyDescent="0.3">
      <c r="A2354" t="s">
        <v>209</v>
      </c>
      <c r="B2354">
        <v>6.5137217890281516</v>
      </c>
      <c r="C2354" t="s">
        <v>2074</v>
      </c>
      <c r="D2354" t="s">
        <v>2033</v>
      </c>
    </row>
    <row r="2355" spans="1:4" x14ac:dyDescent="0.3">
      <c r="A2355" t="s">
        <v>446</v>
      </c>
      <c r="B2355">
        <v>4.0598063786682376E-2</v>
      </c>
      <c r="C2355" t="s">
        <v>2074</v>
      </c>
      <c r="D2355" t="s">
        <v>2033</v>
      </c>
    </row>
    <row r="2356" spans="1:4" x14ac:dyDescent="0.3">
      <c r="A2356" t="s">
        <v>1632</v>
      </c>
      <c r="B2356">
        <v>16.233068203191692</v>
      </c>
      <c r="C2356" t="s">
        <v>2074</v>
      </c>
      <c r="D2356" t="s">
        <v>2033</v>
      </c>
    </row>
    <row r="2357" spans="1:4" x14ac:dyDescent="0.3">
      <c r="A2357" t="s">
        <v>1626</v>
      </c>
      <c r="B2357">
        <v>12.168617573210502</v>
      </c>
      <c r="C2357" t="s">
        <v>2074</v>
      </c>
      <c r="D2357" t="s">
        <v>2033</v>
      </c>
    </row>
    <row r="2358" spans="1:4" x14ac:dyDescent="0.3">
      <c r="A2358" t="s">
        <v>1627</v>
      </c>
      <c r="B2358">
        <v>3.5092363459654869</v>
      </c>
      <c r="C2358" t="s">
        <v>2074</v>
      </c>
      <c r="D2358" t="s">
        <v>2033</v>
      </c>
    </row>
    <row r="2359" spans="1:4" x14ac:dyDescent="0.3">
      <c r="A2359" t="s">
        <v>1625</v>
      </c>
      <c r="B2359">
        <v>1.3569877241384578</v>
      </c>
      <c r="C2359" t="s">
        <v>2074</v>
      </c>
      <c r="D2359" t="s">
        <v>2033</v>
      </c>
    </row>
    <row r="2360" spans="1:4" x14ac:dyDescent="0.3">
      <c r="A2360" t="s">
        <v>1623</v>
      </c>
      <c r="B2360">
        <v>-0.80177344012275631</v>
      </c>
      <c r="C2360" t="s">
        <v>2074</v>
      </c>
      <c r="D2360" t="s">
        <v>2033</v>
      </c>
    </row>
    <row r="2361" spans="1:4" x14ac:dyDescent="0.3">
      <c r="A2361" t="s">
        <v>1633</v>
      </c>
      <c r="B2361">
        <v>31.682538195606881</v>
      </c>
      <c r="C2361" t="s">
        <v>2074</v>
      </c>
      <c r="D2361" t="s">
        <v>2033</v>
      </c>
    </row>
    <row r="2362" spans="1:4" x14ac:dyDescent="0.3">
      <c r="A2362" t="s">
        <v>1628</v>
      </c>
      <c r="B2362">
        <v>23.312536903412362</v>
      </c>
      <c r="C2362" t="s">
        <v>2074</v>
      </c>
      <c r="D2362" t="s">
        <v>2274</v>
      </c>
    </row>
    <row r="2363" spans="1:4" x14ac:dyDescent="0.3">
      <c r="A2363" t="s">
        <v>17</v>
      </c>
      <c r="B2363">
        <v>9.1197792603319989</v>
      </c>
      <c r="C2363" t="s">
        <v>2074</v>
      </c>
      <c r="D2363" t="s">
        <v>2274</v>
      </c>
    </row>
    <row r="2364" spans="1:4" x14ac:dyDescent="0.3">
      <c r="A2364" t="s">
        <v>209</v>
      </c>
      <c r="B2364">
        <v>14.376788700025322</v>
      </c>
      <c r="C2364" t="s">
        <v>2074</v>
      </c>
      <c r="D2364" t="s">
        <v>2274</v>
      </c>
    </row>
    <row r="2365" spans="1:4" x14ac:dyDescent="0.3">
      <c r="A2365" t="s">
        <v>446</v>
      </c>
      <c r="B2365">
        <v>4.0598063786682376E-2</v>
      </c>
      <c r="C2365" t="s">
        <v>2074</v>
      </c>
      <c r="D2365" t="s">
        <v>2274</v>
      </c>
    </row>
    <row r="2366" spans="1:4" x14ac:dyDescent="0.3">
      <c r="A2366" t="s">
        <v>1632</v>
      </c>
      <c r="B2366">
        <v>16.233068203191692</v>
      </c>
      <c r="C2366" t="s">
        <v>2074</v>
      </c>
      <c r="D2366" t="s">
        <v>2274</v>
      </c>
    </row>
    <row r="2367" spans="1:4" x14ac:dyDescent="0.3">
      <c r="A2367" t="s">
        <v>1626</v>
      </c>
      <c r="B2367">
        <v>12.168617573210502</v>
      </c>
      <c r="C2367" t="s">
        <v>2074</v>
      </c>
      <c r="D2367" t="s">
        <v>2274</v>
      </c>
    </row>
    <row r="2368" spans="1:4" x14ac:dyDescent="0.3">
      <c r="A2368" t="s">
        <v>1627</v>
      </c>
      <c r="B2368">
        <v>3.5092363459654869</v>
      </c>
      <c r="C2368" t="s">
        <v>2074</v>
      </c>
      <c r="D2368" t="s">
        <v>2274</v>
      </c>
    </row>
    <row r="2369" spans="1:4" x14ac:dyDescent="0.3">
      <c r="A2369" t="s">
        <v>1625</v>
      </c>
      <c r="B2369">
        <v>1.3569877241384578</v>
      </c>
      <c r="C2369" t="s">
        <v>2074</v>
      </c>
      <c r="D2369" t="s">
        <v>2274</v>
      </c>
    </row>
    <row r="2370" spans="1:4" x14ac:dyDescent="0.3">
      <c r="A2370" t="s">
        <v>1623</v>
      </c>
      <c r="B2370">
        <v>-0.80177344012275631</v>
      </c>
      <c r="C2370" t="s">
        <v>2074</v>
      </c>
      <c r="D2370" t="s">
        <v>2274</v>
      </c>
    </row>
    <row r="2371" spans="1:4" x14ac:dyDescent="0.3">
      <c r="A2371" t="s">
        <v>1633</v>
      </c>
      <c r="B2371">
        <v>39.545605106604057</v>
      </c>
      <c r="C2371" t="s">
        <v>2074</v>
      </c>
      <c r="D2371" t="s">
        <v>2274</v>
      </c>
    </row>
    <row r="2372" spans="1:4" x14ac:dyDescent="0.3">
      <c r="A2372" t="s">
        <v>1628</v>
      </c>
      <c r="B2372">
        <v>23.312536903412362</v>
      </c>
      <c r="C2372" t="s">
        <v>2074</v>
      </c>
      <c r="D2372" t="s">
        <v>2275</v>
      </c>
    </row>
    <row r="2373" spans="1:4" x14ac:dyDescent="0.3">
      <c r="A2373" t="s">
        <v>17</v>
      </c>
      <c r="B2373">
        <v>9.1197792603319989</v>
      </c>
      <c r="C2373" t="s">
        <v>2074</v>
      </c>
      <c r="D2373" t="s">
        <v>2275</v>
      </c>
    </row>
    <row r="2374" spans="1:4" x14ac:dyDescent="0.3">
      <c r="A2374" t="s">
        <v>209</v>
      </c>
      <c r="B2374">
        <v>14.376788700025322</v>
      </c>
      <c r="C2374" t="s">
        <v>2074</v>
      </c>
      <c r="D2374" t="s">
        <v>2275</v>
      </c>
    </row>
    <row r="2375" spans="1:4" x14ac:dyDescent="0.3">
      <c r="A2375" t="s">
        <v>446</v>
      </c>
      <c r="B2375">
        <v>4.0598063786682376E-2</v>
      </c>
      <c r="C2375" t="s">
        <v>2074</v>
      </c>
      <c r="D2375" t="s">
        <v>2275</v>
      </c>
    </row>
    <row r="2376" spans="1:4" x14ac:dyDescent="0.3">
      <c r="A2376" t="s">
        <v>1632</v>
      </c>
      <c r="B2376">
        <v>16.233068203191692</v>
      </c>
      <c r="C2376" t="s">
        <v>2074</v>
      </c>
      <c r="D2376" t="s">
        <v>2275</v>
      </c>
    </row>
    <row r="2377" spans="1:4" x14ac:dyDescent="0.3">
      <c r="A2377" t="s">
        <v>1626</v>
      </c>
      <c r="B2377">
        <v>12.168617573210502</v>
      </c>
      <c r="C2377" t="s">
        <v>2074</v>
      </c>
      <c r="D2377" t="s">
        <v>2275</v>
      </c>
    </row>
    <row r="2378" spans="1:4" x14ac:dyDescent="0.3">
      <c r="A2378" t="s">
        <v>1627</v>
      </c>
      <c r="B2378">
        <v>3.5092363459654869</v>
      </c>
      <c r="C2378" t="s">
        <v>2074</v>
      </c>
      <c r="D2378" t="s">
        <v>2275</v>
      </c>
    </row>
    <row r="2379" spans="1:4" x14ac:dyDescent="0.3">
      <c r="A2379" t="s">
        <v>1625</v>
      </c>
      <c r="B2379">
        <v>1.3569877241384578</v>
      </c>
      <c r="C2379" t="s">
        <v>2074</v>
      </c>
      <c r="D2379" t="s">
        <v>2275</v>
      </c>
    </row>
    <row r="2380" spans="1:4" x14ac:dyDescent="0.3">
      <c r="A2380" t="s">
        <v>1623</v>
      </c>
      <c r="B2380">
        <v>-0.80177344012275631</v>
      </c>
      <c r="C2380" t="s">
        <v>2074</v>
      </c>
      <c r="D2380" t="s">
        <v>2275</v>
      </c>
    </row>
    <row r="2381" spans="1:4" x14ac:dyDescent="0.3">
      <c r="A2381" t="s">
        <v>1633</v>
      </c>
      <c r="B2381">
        <v>39.545605106604057</v>
      </c>
      <c r="C2381" t="s">
        <v>2074</v>
      </c>
      <c r="D2381" t="s">
        <v>2275</v>
      </c>
    </row>
    <row r="2382" spans="1:4" x14ac:dyDescent="0.3">
      <c r="A2382" t="s">
        <v>1628</v>
      </c>
      <c r="B2382">
        <v>23.720023422607341</v>
      </c>
      <c r="C2382" t="s">
        <v>2074</v>
      </c>
      <c r="D2382" t="s">
        <v>2166</v>
      </c>
    </row>
    <row r="2383" spans="1:4" x14ac:dyDescent="0.3">
      <c r="A2383" t="s">
        <v>17</v>
      </c>
      <c r="B2383">
        <v>9.1197792603319989</v>
      </c>
      <c r="C2383" t="s">
        <v>2074</v>
      </c>
      <c r="D2383" t="s">
        <v>2166</v>
      </c>
    </row>
    <row r="2384" spans="1:4" x14ac:dyDescent="0.3">
      <c r="A2384" t="s">
        <v>209</v>
      </c>
      <c r="B2384">
        <v>14.7842752192203</v>
      </c>
      <c r="C2384" t="s">
        <v>2074</v>
      </c>
      <c r="D2384" t="s">
        <v>2166</v>
      </c>
    </row>
    <row r="2385" spans="1:4" x14ac:dyDescent="0.3">
      <c r="A2385" t="s">
        <v>446</v>
      </c>
      <c r="B2385">
        <v>4.0598063786682376E-2</v>
      </c>
      <c r="C2385" t="s">
        <v>2074</v>
      </c>
      <c r="D2385" t="s">
        <v>2166</v>
      </c>
    </row>
    <row r="2386" spans="1:4" x14ac:dyDescent="0.3">
      <c r="A2386" t="s">
        <v>1632</v>
      </c>
      <c r="B2386">
        <v>16.233068203191692</v>
      </c>
      <c r="C2386" t="s">
        <v>2074</v>
      </c>
      <c r="D2386" t="s">
        <v>2166</v>
      </c>
    </row>
    <row r="2387" spans="1:4" x14ac:dyDescent="0.3">
      <c r="A2387" t="s">
        <v>1626</v>
      </c>
      <c r="B2387">
        <v>12.168617573210502</v>
      </c>
      <c r="C2387" t="s">
        <v>2074</v>
      </c>
      <c r="D2387" t="s">
        <v>2166</v>
      </c>
    </row>
    <row r="2388" spans="1:4" x14ac:dyDescent="0.3">
      <c r="A2388" t="s">
        <v>1627</v>
      </c>
      <c r="B2388">
        <v>3.5092363459654869</v>
      </c>
      <c r="C2388" t="s">
        <v>2074</v>
      </c>
      <c r="D2388" t="s">
        <v>2166</v>
      </c>
    </row>
    <row r="2389" spans="1:4" x14ac:dyDescent="0.3">
      <c r="A2389" t="s">
        <v>1625</v>
      </c>
      <c r="B2389">
        <v>1.3569877241384578</v>
      </c>
      <c r="C2389" t="s">
        <v>2074</v>
      </c>
      <c r="D2389" t="s">
        <v>2166</v>
      </c>
    </row>
    <row r="2390" spans="1:4" x14ac:dyDescent="0.3">
      <c r="A2390" t="s">
        <v>1623</v>
      </c>
      <c r="B2390">
        <v>-0.80177344012275631</v>
      </c>
      <c r="C2390" t="s">
        <v>2074</v>
      </c>
      <c r="D2390" t="s">
        <v>2166</v>
      </c>
    </row>
    <row r="2391" spans="1:4" x14ac:dyDescent="0.3">
      <c r="A2391" t="s">
        <v>1633</v>
      </c>
      <c r="B2391">
        <v>39.953091625799033</v>
      </c>
      <c r="C2391" t="s">
        <v>2074</v>
      </c>
      <c r="D2391" t="s">
        <v>2166</v>
      </c>
    </row>
    <row r="2392" spans="1:4" x14ac:dyDescent="0.3">
      <c r="A2392" t="s">
        <v>1628</v>
      </c>
      <c r="B2392">
        <v>22.990517582864758</v>
      </c>
      <c r="C2392" t="s">
        <v>2074</v>
      </c>
      <c r="D2392" t="s">
        <v>2167</v>
      </c>
    </row>
    <row r="2393" spans="1:4" x14ac:dyDescent="0.3">
      <c r="A2393" t="s">
        <v>17</v>
      </c>
      <c r="B2393">
        <v>9.1197792603319989</v>
      </c>
      <c r="C2393" t="s">
        <v>2074</v>
      </c>
      <c r="D2393" t="s">
        <v>2167</v>
      </c>
    </row>
    <row r="2394" spans="1:4" x14ac:dyDescent="0.3">
      <c r="A2394" t="s">
        <v>209</v>
      </c>
      <c r="B2394">
        <v>14.054769379477719</v>
      </c>
      <c r="C2394" t="s">
        <v>2074</v>
      </c>
      <c r="D2394" t="s">
        <v>2167</v>
      </c>
    </row>
    <row r="2395" spans="1:4" x14ac:dyDescent="0.3">
      <c r="A2395" t="s">
        <v>446</v>
      </c>
      <c r="B2395">
        <v>4.0598063786682376E-2</v>
      </c>
      <c r="C2395" t="s">
        <v>2074</v>
      </c>
      <c r="D2395" t="s">
        <v>2167</v>
      </c>
    </row>
    <row r="2396" spans="1:4" x14ac:dyDescent="0.3">
      <c r="A2396" t="s">
        <v>1632</v>
      </c>
      <c r="B2396">
        <v>16.233068203191692</v>
      </c>
      <c r="C2396" t="s">
        <v>2074</v>
      </c>
      <c r="D2396" t="s">
        <v>2167</v>
      </c>
    </row>
    <row r="2397" spans="1:4" x14ac:dyDescent="0.3">
      <c r="A2397" t="s">
        <v>1626</v>
      </c>
      <c r="B2397">
        <v>12.168617573210502</v>
      </c>
      <c r="C2397" t="s">
        <v>2074</v>
      </c>
      <c r="D2397" t="s">
        <v>2167</v>
      </c>
    </row>
    <row r="2398" spans="1:4" x14ac:dyDescent="0.3">
      <c r="A2398" t="s">
        <v>1627</v>
      </c>
      <c r="B2398">
        <v>3.5092363459654869</v>
      </c>
      <c r="C2398" t="s">
        <v>2074</v>
      </c>
      <c r="D2398" t="s">
        <v>2167</v>
      </c>
    </row>
    <row r="2399" spans="1:4" x14ac:dyDescent="0.3">
      <c r="A2399" t="s">
        <v>1625</v>
      </c>
      <c r="B2399">
        <v>1.3569877241384578</v>
      </c>
      <c r="C2399" t="s">
        <v>2074</v>
      </c>
      <c r="D2399" t="s">
        <v>2167</v>
      </c>
    </row>
    <row r="2400" spans="1:4" x14ac:dyDescent="0.3">
      <c r="A2400" t="s">
        <v>1623</v>
      </c>
      <c r="B2400">
        <v>-0.80177344012275631</v>
      </c>
      <c r="C2400" t="s">
        <v>2074</v>
      </c>
      <c r="D2400" t="s">
        <v>2167</v>
      </c>
    </row>
    <row r="2401" spans="1:4" x14ac:dyDescent="0.3">
      <c r="A2401" t="s">
        <v>1633</v>
      </c>
      <c r="B2401">
        <v>39.223585786056447</v>
      </c>
      <c r="C2401" t="s">
        <v>2074</v>
      </c>
      <c r="D2401" t="s">
        <v>2167</v>
      </c>
    </row>
    <row r="2402" spans="1:4" x14ac:dyDescent="0.3">
      <c r="A2402" t="s">
        <v>1628</v>
      </c>
      <c r="B2402">
        <v>23.298999725984501</v>
      </c>
      <c r="C2402" t="s">
        <v>2074</v>
      </c>
      <c r="D2402" t="s">
        <v>2168</v>
      </c>
    </row>
    <row r="2403" spans="1:4" x14ac:dyDescent="0.3">
      <c r="A2403" t="s">
        <v>17</v>
      </c>
      <c r="B2403">
        <v>9.1197792603319989</v>
      </c>
      <c r="C2403" t="s">
        <v>2074</v>
      </c>
      <c r="D2403" t="s">
        <v>2168</v>
      </c>
    </row>
    <row r="2404" spans="1:4" x14ac:dyDescent="0.3">
      <c r="A2404" t="s">
        <v>209</v>
      </c>
      <c r="B2404">
        <v>14.363251522597462</v>
      </c>
      <c r="C2404" t="s">
        <v>2074</v>
      </c>
      <c r="D2404" t="s">
        <v>2168</v>
      </c>
    </row>
    <row r="2405" spans="1:4" x14ac:dyDescent="0.3">
      <c r="A2405" t="s">
        <v>446</v>
      </c>
      <c r="B2405">
        <v>4.0598063786682376E-2</v>
      </c>
      <c r="C2405" t="s">
        <v>2074</v>
      </c>
      <c r="D2405" t="s">
        <v>2168</v>
      </c>
    </row>
    <row r="2406" spans="1:4" x14ac:dyDescent="0.3">
      <c r="A2406" t="s">
        <v>1632</v>
      </c>
      <c r="B2406">
        <v>16.233068203191692</v>
      </c>
      <c r="C2406" t="s">
        <v>2074</v>
      </c>
      <c r="D2406" t="s">
        <v>2168</v>
      </c>
    </row>
    <row r="2407" spans="1:4" x14ac:dyDescent="0.3">
      <c r="A2407" t="s">
        <v>1626</v>
      </c>
      <c r="B2407">
        <v>12.168617573210502</v>
      </c>
      <c r="C2407" t="s">
        <v>2074</v>
      </c>
      <c r="D2407" t="s">
        <v>2168</v>
      </c>
    </row>
    <row r="2408" spans="1:4" x14ac:dyDescent="0.3">
      <c r="A2408" t="s">
        <v>1627</v>
      </c>
      <c r="B2408">
        <v>3.5092363459654869</v>
      </c>
      <c r="C2408" t="s">
        <v>2074</v>
      </c>
      <c r="D2408" t="s">
        <v>2168</v>
      </c>
    </row>
    <row r="2409" spans="1:4" x14ac:dyDescent="0.3">
      <c r="A2409" t="s">
        <v>1625</v>
      </c>
      <c r="B2409">
        <v>1.3569877241384578</v>
      </c>
      <c r="C2409" t="s">
        <v>2074</v>
      </c>
      <c r="D2409" t="s">
        <v>2168</v>
      </c>
    </row>
    <row r="2410" spans="1:4" x14ac:dyDescent="0.3">
      <c r="A2410" t="s">
        <v>1623</v>
      </c>
      <c r="B2410">
        <v>-0.80177344012275631</v>
      </c>
      <c r="C2410" t="s">
        <v>2074</v>
      </c>
      <c r="D2410" t="s">
        <v>2168</v>
      </c>
    </row>
    <row r="2411" spans="1:4" x14ac:dyDescent="0.3">
      <c r="A2411" t="s">
        <v>1633</v>
      </c>
      <c r="B2411">
        <v>39.532067929176193</v>
      </c>
      <c r="C2411" t="s">
        <v>2074</v>
      </c>
      <c r="D2411" t="s">
        <v>2168</v>
      </c>
    </row>
    <row r="2412" spans="1:4" x14ac:dyDescent="0.3">
      <c r="A2412" t="s">
        <v>1628</v>
      </c>
      <c r="B2412">
        <v>22.996921948897892</v>
      </c>
      <c r="C2412" t="s">
        <v>2074</v>
      </c>
      <c r="D2412" t="s">
        <v>2169</v>
      </c>
    </row>
    <row r="2413" spans="1:4" x14ac:dyDescent="0.3">
      <c r="A2413" t="s">
        <v>17</v>
      </c>
      <c r="B2413">
        <v>9.1197792603319989</v>
      </c>
      <c r="C2413" t="s">
        <v>2074</v>
      </c>
      <c r="D2413" t="s">
        <v>2169</v>
      </c>
    </row>
    <row r="2414" spans="1:4" x14ac:dyDescent="0.3">
      <c r="A2414" t="s">
        <v>209</v>
      </c>
      <c r="B2414">
        <v>14.061173745510851</v>
      </c>
      <c r="C2414" t="s">
        <v>2074</v>
      </c>
      <c r="D2414" t="s">
        <v>2169</v>
      </c>
    </row>
    <row r="2415" spans="1:4" x14ac:dyDescent="0.3">
      <c r="A2415" t="s">
        <v>446</v>
      </c>
      <c r="B2415">
        <v>4.0598063786682376E-2</v>
      </c>
      <c r="C2415" t="s">
        <v>2074</v>
      </c>
      <c r="D2415" t="s">
        <v>2169</v>
      </c>
    </row>
    <row r="2416" spans="1:4" x14ac:dyDescent="0.3">
      <c r="A2416" t="s">
        <v>1632</v>
      </c>
      <c r="B2416">
        <v>16.233068203191692</v>
      </c>
      <c r="C2416" t="s">
        <v>2074</v>
      </c>
      <c r="D2416" t="s">
        <v>2169</v>
      </c>
    </row>
    <row r="2417" spans="1:4" x14ac:dyDescent="0.3">
      <c r="A2417" t="s">
        <v>1626</v>
      </c>
      <c r="B2417">
        <v>12.168617573210502</v>
      </c>
      <c r="C2417" t="s">
        <v>2074</v>
      </c>
      <c r="D2417" t="s">
        <v>2169</v>
      </c>
    </row>
    <row r="2418" spans="1:4" x14ac:dyDescent="0.3">
      <c r="A2418" t="s">
        <v>1627</v>
      </c>
      <c r="B2418">
        <v>3.5092363459654869</v>
      </c>
      <c r="C2418" t="s">
        <v>2074</v>
      </c>
      <c r="D2418" t="s">
        <v>2169</v>
      </c>
    </row>
    <row r="2419" spans="1:4" x14ac:dyDescent="0.3">
      <c r="A2419" t="s">
        <v>1625</v>
      </c>
      <c r="B2419">
        <v>1.3569877241384578</v>
      </c>
      <c r="C2419" t="s">
        <v>2074</v>
      </c>
      <c r="D2419" t="s">
        <v>2169</v>
      </c>
    </row>
    <row r="2420" spans="1:4" x14ac:dyDescent="0.3">
      <c r="A2420" t="s">
        <v>1623</v>
      </c>
      <c r="B2420">
        <v>-0.80177344012275631</v>
      </c>
      <c r="C2420" t="s">
        <v>2074</v>
      </c>
      <c r="D2420" t="s">
        <v>2169</v>
      </c>
    </row>
    <row r="2421" spans="1:4" x14ac:dyDescent="0.3">
      <c r="A2421" t="s">
        <v>1633</v>
      </c>
      <c r="B2421">
        <v>39.229990152089584</v>
      </c>
      <c r="C2421" t="s">
        <v>2074</v>
      </c>
      <c r="D2421" t="s">
        <v>2169</v>
      </c>
    </row>
    <row r="2422" spans="1:4" x14ac:dyDescent="0.3">
      <c r="A2422" t="s">
        <v>1628</v>
      </c>
      <c r="B2422">
        <v>23.345234103821344</v>
      </c>
      <c r="C2422" t="s">
        <v>2074</v>
      </c>
      <c r="D2422" t="s">
        <v>2170</v>
      </c>
    </row>
    <row r="2423" spans="1:4" x14ac:dyDescent="0.3">
      <c r="A2423" t="s">
        <v>17</v>
      </c>
      <c r="B2423">
        <v>9.1197792603319989</v>
      </c>
      <c r="C2423" t="s">
        <v>2074</v>
      </c>
      <c r="D2423" t="s">
        <v>2170</v>
      </c>
    </row>
    <row r="2424" spans="1:4" x14ac:dyDescent="0.3">
      <c r="A2424" t="s">
        <v>209</v>
      </c>
      <c r="B2424">
        <v>14.409485900434305</v>
      </c>
      <c r="C2424" t="s">
        <v>2074</v>
      </c>
      <c r="D2424" t="s">
        <v>2170</v>
      </c>
    </row>
    <row r="2425" spans="1:4" x14ac:dyDescent="0.3">
      <c r="A2425" t="s">
        <v>446</v>
      </c>
      <c r="B2425">
        <v>4.0598063786682376E-2</v>
      </c>
      <c r="C2425" t="s">
        <v>2074</v>
      </c>
      <c r="D2425" t="s">
        <v>2170</v>
      </c>
    </row>
    <row r="2426" spans="1:4" x14ac:dyDescent="0.3">
      <c r="A2426" t="s">
        <v>1632</v>
      </c>
      <c r="B2426">
        <v>16.233068203191692</v>
      </c>
      <c r="C2426" t="s">
        <v>2074</v>
      </c>
      <c r="D2426" t="s">
        <v>2170</v>
      </c>
    </row>
    <row r="2427" spans="1:4" x14ac:dyDescent="0.3">
      <c r="A2427" t="s">
        <v>1626</v>
      </c>
      <c r="B2427">
        <v>12.168617573210502</v>
      </c>
      <c r="C2427" t="s">
        <v>2074</v>
      </c>
      <c r="D2427" t="s">
        <v>2170</v>
      </c>
    </row>
    <row r="2428" spans="1:4" x14ac:dyDescent="0.3">
      <c r="A2428" t="s">
        <v>1627</v>
      </c>
      <c r="B2428">
        <v>3.5092363459654869</v>
      </c>
      <c r="C2428" t="s">
        <v>2074</v>
      </c>
      <c r="D2428" t="s">
        <v>2170</v>
      </c>
    </row>
    <row r="2429" spans="1:4" x14ac:dyDescent="0.3">
      <c r="A2429" t="s">
        <v>1625</v>
      </c>
      <c r="B2429">
        <v>1.3569877241384578</v>
      </c>
      <c r="C2429" t="s">
        <v>2074</v>
      </c>
      <c r="D2429" t="s">
        <v>2170</v>
      </c>
    </row>
    <row r="2430" spans="1:4" x14ac:dyDescent="0.3">
      <c r="A2430" t="s">
        <v>1623</v>
      </c>
      <c r="B2430">
        <v>-0.80177344012275631</v>
      </c>
      <c r="C2430" t="s">
        <v>2074</v>
      </c>
      <c r="D2430" t="s">
        <v>2170</v>
      </c>
    </row>
    <row r="2431" spans="1:4" x14ac:dyDescent="0.3">
      <c r="A2431" t="s">
        <v>1633</v>
      </c>
      <c r="B2431">
        <v>39.578302307013033</v>
      </c>
      <c r="C2431" t="s">
        <v>2074</v>
      </c>
      <c r="D2431" t="s">
        <v>2170</v>
      </c>
    </row>
    <row r="2432" spans="1:4" x14ac:dyDescent="0.3">
      <c r="A2432" t="s">
        <v>1628</v>
      </c>
      <c r="B2432">
        <v>23.454889165969696</v>
      </c>
      <c r="C2432" t="s">
        <v>2074</v>
      </c>
      <c r="D2432" t="s">
        <v>2171</v>
      </c>
    </row>
    <row r="2433" spans="1:4" x14ac:dyDescent="0.3">
      <c r="A2433" t="s">
        <v>17</v>
      </c>
      <c r="B2433">
        <v>9.1197792603319989</v>
      </c>
      <c r="C2433" t="s">
        <v>2074</v>
      </c>
      <c r="D2433" t="s">
        <v>2171</v>
      </c>
    </row>
    <row r="2434" spans="1:4" x14ac:dyDescent="0.3">
      <c r="A2434" t="s">
        <v>209</v>
      </c>
      <c r="B2434">
        <v>14.519140962582659</v>
      </c>
      <c r="C2434" t="s">
        <v>2074</v>
      </c>
      <c r="D2434" t="s">
        <v>2171</v>
      </c>
    </row>
    <row r="2435" spans="1:4" x14ac:dyDescent="0.3">
      <c r="A2435" t="s">
        <v>446</v>
      </c>
      <c r="B2435">
        <v>4.0598063786682376E-2</v>
      </c>
      <c r="C2435" t="s">
        <v>2074</v>
      </c>
      <c r="D2435" t="s">
        <v>2171</v>
      </c>
    </row>
    <row r="2436" spans="1:4" x14ac:dyDescent="0.3">
      <c r="A2436" t="s">
        <v>1632</v>
      </c>
      <c r="B2436">
        <v>16.233068203191692</v>
      </c>
      <c r="C2436" t="s">
        <v>2074</v>
      </c>
      <c r="D2436" t="s">
        <v>2171</v>
      </c>
    </row>
    <row r="2437" spans="1:4" x14ac:dyDescent="0.3">
      <c r="A2437" t="s">
        <v>1626</v>
      </c>
      <c r="B2437">
        <v>12.168617573210502</v>
      </c>
      <c r="C2437" t="s">
        <v>2074</v>
      </c>
      <c r="D2437" t="s">
        <v>2171</v>
      </c>
    </row>
    <row r="2438" spans="1:4" x14ac:dyDescent="0.3">
      <c r="A2438" t="s">
        <v>1627</v>
      </c>
      <c r="B2438">
        <v>3.5092363459654869</v>
      </c>
      <c r="C2438" t="s">
        <v>2074</v>
      </c>
      <c r="D2438" t="s">
        <v>2171</v>
      </c>
    </row>
    <row r="2439" spans="1:4" x14ac:dyDescent="0.3">
      <c r="A2439" t="s">
        <v>1625</v>
      </c>
      <c r="B2439">
        <v>1.3569877241384578</v>
      </c>
      <c r="C2439" t="s">
        <v>2074</v>
      </c>
      <c r="D2439" t="s">
        <v>2171</v>
      </c>
    </row>
    <row r="2440" spans="1:4" x14ac:dyDescent="0.3">
      <c r="A2440" t="s">
        <v>1623</v>
      </c>
      <c r="B2440">
        <v>-0.80177344012275631</v>
      </c>
      <c r="C2440" t="s">
        <v>2074</v>
      </c>
      <c r="D2440" t="s">
        <v>2171</v>
      </c>
    </row>
    <row r="2441" spans="1:4" x14ac:dyDescent="0.3">
      <c r="A2441" t="s">
        <v>1633</v>
      </c>
      <c r="B2441">
        <v>39.687957369161388</v>
      </c>
      <c r="C2441" t="s">
        <v>2074</v>
      </c>
      <c r="D2441" t="s">
        <v>2171</v>
      </c>
    </row>
    <row r="2442" spans="1:4" x14ac:dyDescent="0.3">
      <c r="A2442" t="s">
        <v>1628</v>
      </c>
      <c r="B2442">
        <v>24.003940514058421</v>
      </c>
      <c r="C2442" t="s">
        <v>2074</v>
      </c>
      <c r="D2442" t="s">
        <v>2172</v>
      </c>
    </row>
    <row r="2443" spans="1:4" x14ac:dyDescent="0.3">
      <c r="A2443" t="s">
        <v>17</v>
      </c>
      <c r="B2443">
        <v>9.1197792603319989</v>
      </c>
      <c r="C2443" t="s">
        <v>2074</v>
      </c>
      <c r="D2443" t="s">
        <v>2172</v>
      </c>
    </row>
    <row r="2444" spans="1:4" x14ac:dyDescent="0.3">
      <c r="A2444" t="s">
        <v>209</v>
      </c>
      <c r="B2444">
        <v>15.068192310671382</v>
      </c>
      <c r="C2444" t="s">
        <v>2074</v>
      </c>
      <c r="D2444" t="s">
        <v>2172</v>
      </c>
    </row>
    <row r="2445" spans="1:4" x14ac:dyDescent="0.3">
      <c r="A2445" t="s">
        <v>446</v>
      </c>
      <c r="B2445">
        <v>4.0598063786682376E-2</v>
      </c>
      <c r="C2445" t="s">
        <v>2074</v>
      </c>
      <c r="D2445" t="s">
        <v>2172</v>
      </c>
    </row>
    <row r="2446" spans="1:4" x14ac:dyDescent="0.3">
      <c r="A2446" t="s">
        <v>1632</v>
      </c>
      <c r="B2446">
        <v>16.233068203191692</v>
      </c>
      <c r="C2446" t="s">
        <v>2074</v>
      </c>
      <c r="D2446" t="s">
        <v>2172</v>
      </c>
    </row>
    <row r="2447" spans="1:4" x14ac:dyDescent="0.3">
      <c r="A2447" t="s">
        <v>1626</v>
      </c>
      <c r="B2447">
        <v>12.168617573210502</v>
      </c>
      <c r="C2447" t="s">
        <v>2074</v>
      </c>
      <c r="D2447" t="s">
        <v>2172</v>
      </c>
    </row>
    <row r="2448" spans="1:4" x14ac:dyDescent="0.3">
      <c r="A2448" t="s">
        <v>1627</v>
      </c>
      <c r="B2448">
        <v>3.5092363459654869</v>
      </c>
      <c r="C2448" t="s">
        <v>2074</v>
      </c>
      <c r="D2448" t="s">
        <v>2172</v>
      </c>
    </row>
    <row r="2449" spans="1:4" x14ac:dyDescent="0.3">
      <c r="A2449" t="s">
        <v>1625</v>
      </c>
      <c r="B2449">
        <v>1.3569877241384578</v>
      </c>
      <c r="C2449" t="s">
        <v>2074</v>
      </c>
      <c r="D2449" t="s">
        <v>2172</v>
      </c>
    </row>
    <row r="2450" spans="1:4" x14ac:dyDescent="0.3">
      <c r="A2450" t="s">
        <v>1623</v>
      </c>
      <c r="B2450">
        <v>-0.80177344012275631</v>
      </c>
      <c r="C2450" t="s">
        <v>2074</v>
      </c>
      <c r="D2450" t="s">
        <v>2172</v>
      </c>
    </row>
    <row r="2451" spans="1:4" x14ac:dyDescent="0.3">
      <c r="A2451" t="s">
        <v>1633</v>
      </c>
      <c r="B2451">
        <v>40.237008717250113</v>
      </c>
      <c r="C2451" t="s">
        <v>2074</v>
      </c>
      <c r="D2451" t="s">
        <v>2172</v>
      </c>
    </row>
    <row r="2452" spans="1:4" x14ac:dyDescent="0.3">
      <c r="A2452" t="s">
        <v>1628</v>
      </c>
      <c r="B2452">
        <v>24.627612388906517</v>
      </c>
      <c r="C2452" t="s">
        <v>2074</v>
      </c>
      <c r="D2452" t="s">
        <v>2173</v>
      </c>
    </row>
    <row r="2453" spans="1:4" x14ac:dyDescent="0.3">
      <c r="A2453" t="s">
        <v>17</v>
      </c>
      <c r="B2453">
        <v>9.1197792603319989</v>
      </c>
      <c r="C2453" t="s">
        <v>2074</v>
      </c>
      <c r="D2453" t="s">
        <v>2173</v>
      </c>
    </row>
    <row r="2454" spans="1:4" x14ac:dyDescent="0.3">
      <c r="A2454" t="s">
        <v>209</v>
      </c>
      <c r="B2454">
        <v>15.691864185519478</v>
      </c>
      <c r="C2454" t="s">
        <v>2074</v>
      </c>
      <c r="D2454" t="s">
        <v>2173</v>
      </c>
    </row>
    <row r="2455" spans="1:4" x14ac:dyDescent="0.3">
      <c r="A2455" t="s">
        <v>446</v>
      </c>
      <c r="B2455">
        <v>4.0598063786682376E-2</v>
      </c>
      <c r="C2455" t="s">
        <v>2074</v>
      </c>
      <c r="D2455" t="s">
        <v>2173</v>
      </c>
    </row>
    <row r="2456" spans="1:4" x14ac:dyDescent="0.3">
      <c r="A2456" t="s">
        <v>1632</v>
      </c>
      <c r="B2456">
        <v>16.233068203191692</v>
      </c>
      <c r="C2456" t="s">
        <v>2074</v>
      </c>
      <c r="D2456" t="s">
        <v>2173</v>
      </c>
    </row>
    <row r="2457" spans="1:4" x14ac:dyDescent="0.3">
      <c r="A2457" t="s">
        <v>1626</v>
      </c>
      <c r="B2457">
        <v>12.168617573210502</v>
      </c>
      <c r="C2457" t="s">
        <v>2074</v>
      </c>
      <c r="D2457" t="s">
        <v>2173</v>
      </c>
    </row>
    <row r="2458" spans="1:4" x14ac:dyDescent="0.3">
      <c r="A2458" t="s">
        <v>1627</v>
      </c>
      <c r="B2458">
        <v>3.5092363459654869</v>
      </c>
      <c r="C2458" t="s">
        <v>2074</v>
      </c>
      <c r="D2458" t="s">
        <v>2173</v>
      </c>
    </row>
    <row r="2459" spans="1:4" x14ac:dyDescent="0.3">
      <c r="A2459" t="s">
        <v>1625</v>
      </c>
      <c r="B2459">
        <v>1.3569877241384578</v>
      </c>
      <c r="C2459" t="s">
        <v>2074</v>
      </c>
      <c r="D2459" t="s">
        <v>2173</v>
      </c>
    </row>
    <row r="2460" spans="1:4" x14ac:dyDescent="0.3">
      <c r="A2460" t="s">
        <v>1623</v>
      </c>
      <c r="B2460">
        <v>-0.80177344012275631</v>
      </c>
      <c r="C2460" t="s">
        <v>2074</v>
      </c>
      <c r="D2460" t="s">
        <v>2173</v>
      </c>
    </row>
    <row r="2461" spans="1:4" x14ac:dyDescent="0.3">
      <c r="A2461" t="s">
        <v>1633</v>
      </c>
      <c r="B2461">
        <v>40.860680592098205</v>
      </c>
      <c r="C2461" t="s">
        <v>2074</v>
      </c>
      <c r="D2461" t="s">
        <v>2173</v>
      </c>
    </row>
    <row r="2462" spans="1:4" x14ac:dyDescent="0.3">
      <c r="A2462" t="s">
        <v>1628</v>
      </c>
      <c r="B2462">
        <v>24.187118056547448</v>
      </c>
      <c r="C2462" t="s">
        <v>2074</v>
      </c>
      <c r="D2462" t="s">
        <v>2174</v>
      </c>
    </row>
    <row r="2463" spans="1:4" x14ac:dyDescent="0.3">
      <c r="A2463" t="s">
        <v>17</v>
      </c>
      <c r="B2463">
        <v>9.1197792603319989</v>
      </c>
      <c r="C2463" t="s">
        <v>2074</v>
      </c>
      <c r="D2463" t="s">
        <v>2174</v>
      </c>
    </row>
    <row r="2464" spans="1:4" x14ac:dyDescent="0.3">
      <c r="A2464" t="s">
        <v>209</v>
      </c>
      <c r="B2464">
        <v>15.25136985316041</v>
      </c>
      <c r="C2464" t="s">
        <v>2074</v>
      </c>
      <c r="D2464" t="s">
        <v>2174</v>
      </c>
    </row>
    <row r="2465" spans="1:4" x14ac:dyDescent="0.3">
      <c r="A2465" t="s">
        <v>446</v>
      </c>
      <c r="B2465">
        <v>4.0598063786682376E-2</v>
      </c>
      <c r="C2465" t="s">
        <v>2074</v>
      </c>
      <c r="D2465" t="s">
        <v>2174</v>
      </c>
    </row>
    <row r="2466" spans="1:4" x14ac:dyDescent="0.3">
      <c r="A2466" t="s">
        <v>1632</v>
      </c>
      <c r="B2466">
        <v>16.233068203191692</v>
      </c>
      <c r="C2466" t="s">
        <v>2074</v>
      </c>
      <c r="D2466" t="s">
        <v>2174</v>
      </c>
    </row>
    <row r="2467" spans="1:4" x14ac:dyDescent="0.3">
      <c r="A2467" t="s">
        <v>1626</v>
      </c>
      <c r="B2467">
        <v>12.168617573210502</v>
      </c>
      <c r="C2467" t="s">
        <v>2074</v>
      </c>
      <c r="D2467" t="s">
        <v>2174</v>
      </c>
    </row>
    <row r="2468" spans="1:4" x14ac:dyDescent="0.3">
      <c r="A2468" t="s">
        <v>1627</v>
      </c>
      <c r="B2468">
        <v>3.5092363459654869</v>
      </c>
      <c r="C2468" t="s">
        <v>2074</v>
      </c>
      <c r="D2468" t="s">
        <v>2174</v>
      </c>
    </row>
    <row r="2469" spans="1:4" x14ac:dyDescent="0.3">
      <c r="A2469" t="s">
        <v>1625</v>
      </c>
      <c r="B2469">
        <v>1.3569877241384578</v>
      </c>
      <c r="C2469" t="s">
        <v>2074</v>
      </c>
      <c r="D2469" t="s">
        <v>2174</v>
      </c>
    </row>
    <row r="2470" spans="1:4" x14ac:dyDescent="0.3">
      <c r="A2470" t="s">
        <v>1623</v>
      </c>
      <c r="B2470">
        <v>-0.80177344012275631</v>
      </c>
      <c r="C2470" t="s">
        <v>2074</v>
      </c>
      <c r="D2470" t="s">
        <v>2174</v>
      </c>
    </row>
    <row r="2471" spans="1:4" x14ac:dyDescent="0.3">
      <c r="A2471" t="s">
        <v>1633</v>
      </c>
      <c r="B2471">
        <v>40.42018625973914</v>
      </c>
      <c r="C2471" t="s">
        <v>2074</v>
      </c>
      <c r="D2471" t="s">
        <v>2174</v>
      </c>
    </row>
    <row r="2472" spans="1:4" x14ac:dyDescent="0.3">
      <c r="A2472" t="s">
        <v>1628</v>
      </c>
      <c r="B2472">
        <v>23.468421904258829</v>
      </c>
      <c r="C2472" t="s">
        <v>2074</v>
      </c>
      <c r="D2472" t="s">
        <v>2175</v>
      </c>
    </row>
    <row r="2473" spans="1:4" x14ac:dyDescent="0.3">
      <c r="A2473" t="s">
        <v>17</v>
      </c>
      <c r="B2473">
        <v>9.1197792603319989</v>
      </c>
      <c r="C2473" t="s">
        <v>2074</v>
      </c>
      <c r="D2473" t="s">
        <v>2175</v>
      </c>
    </row>
    <row r="2474" spans="1:4" x14ac:dyDescent="0.3">
      <c r="A2474" t="s">
        <v>209</v>
      </c>
      <c r="B2474">
        <v>14.53267370087179</v>
      </c>
      <c r="C2474" t="s">
        <v>2074</v>
      </c>
      <c r="D2474" t="s">
        <v>2175</v>
      </c>
    </row>
    <row r="2475" spans="1:4" x14ac:dyDescent="0.3">
      <c r="A2475" t="s">
        <v>446</v>
      </c>
      <c r="B2475">
        <v>4.0598063786682376E-2</v>
      </c>
      <c r="C2475" t="s">
        <v>2074</v>
      </c>
      <c r="D2475" t="s">
        <v>2175</v>
      </c>
    </row>
    <row r="2476" spans="1:4" x14ac:dyDescent="0.3">
      <c r="A2476" t="s">
        <v>1632</v>
      </c>
      <c r="B2476">
        <v>16.233068203191692</v>
      </c>
      <c r="C2476" t="s">
        <v>2074</v>
      </c>
      <c r="D2476" t="s">
        <v>2175</v>
      </c>
    </row>
    <row r="2477" spans="1:4" x14ac:dyDescent="0.3">
      <c r="A2477" t="s">
        <v>1626</v>
      </c>
      <c r="B2477">
        <v>12.168617573210502</v>
      </c>
      <c r="C2477" t="s">
        <v>2074</v>
      </c>
      <c r="D2477" t="s">
        <v>2175</v>
      </c>
    </row>
    <row r="2478" spans="1:4" x14ac:dyDescent="0.3">
      <c r="A2478" t="s">
        <v>1627</v>
      </c>
      <c r="B2478">
        <v>3.5092363459654869</v>
      </c>
      <c r="C2478" t="s">
        <v>2074</v>
      </c>
      <c r="D2478" t="s">
        <v>2175</v>
      </c>
    </row>
    <row r="2479" spans="1:4" x14ac:dyDescent="0.3">
      <c r="A2479" t="s">
        <v>1625</v>
      </c>
      <c r="B2479">
        <v>1.3569877241384578</v>
      </c>
      <c r="C2479" t="s">
        <v>2074</v>
      </c>
      <c r="D2479" t="s">
        <v>2175</v>
      </c>
    </row>
    <row r="2480" spans="1:4" x14ac:dyDescent="0.3">
      <c r="A2480" t="s">
        <v>1623</v>
      </c>
      <c r="B2480">
        <v>-0.80177344012275631</v>
      </c>
      <c r="C2480" t="s">
        <v>2074</v>
      </c>
      <c r="D2480" t="s">
        <v>2175</v>
      </c>
    </row>
    <row r="2481" spans="1:4" x14ac:dyDescent="0.3">
      <c r="A2481" t="s">
        <v>1633</v>
      </c>
      <c r="B2481">
        <v>39.701490107450525</v>
      </c>
      <c r="C2481" t="s">
        <v>2074</v>
      </c>
      <c r="D2481" t="s">
        <v>2175</v>
      </c>
    </row>
    <row r="2482" spans="1:4" x14ac:dyDescent="0.3">
      <c r="A2482" t="s">
        <v>1628</v>
      </c>
      <c r="B2482">
        <v>23.02315229262954</v>
      </c>
      <c r="C2482" t="s">
        <v>2074</v>
      </c>
      <c r="D2482" t="s">
        <v>2176</v>
      </c>
    </row>
    <row r="2483" spans="1:4" x14ac:dyDescent="0.3">
      <c r="A2483" t="s">
        <v>17</v>
      </c>
      <c r="B2483">
        <v>9.1197792603319989</v>
      </c>
      <c r="C2483" t="s">
        <v>2074</v>
      </c>
      <c r="D2483" t="s">
        <v>2176</v>
      </c>
    </row>
    <row r="2484" spans="1:4" x14ac:dyDescent="0.3">
      <c r="A2484" t="s">
        <v>209</v>
      </c>
      <c r="B2484">
        <v>14.087404089242503</v>
      </c>
      <c r="C2484" t="s">
        <v>2074</v>
      </c>
      <c r="D2484" t="s">
        <v>2176</v>
      </c>
    </row>
    <row r="2485" spans="1:4" x14ac:dyDescent="0.3">
      <c r="A2485" t="s">
        <v>446</v>
      </c>
      <c r="B2485">
        <v>4.0598063786682376E-2</v>
      </c>
      <c r="C2485" t="s">
        <v>2074</v>
      </c>
      <c r="D2485" t="s">
        <v>2176</v>
      </c>
    </row>
    <row r="2486" spans="1:4" x14ac:dyDescent="0.3">
      <c r="A2486" t="s">
        <v>1632</v>
      </c>
      <c r="B2486">
        <v>16.233068203191692</v>
      </c>
      <c r="C2486" t="s">
        <v>2074</v>
      </c>
      <c r="D2486" t="s">
        <v>2176</v>
      </c>
    </row>
    <row r="2487" spans="1:4" x14ac:dyDescent="0.3">
      <c r="A2487" t="s">
        <v>1626</v>
      </c>
      <c r="B2487">
        <v>12.168617573210502</v>
      </c>
      <c r="C2487" t="s">
        <v>2074</v>
      </c>
      <c r="D2487" t="s">
        <v>2176</v>
      </c>
    </row>
    <row r="2488" spans="1:4" x14ac:dyDescent="0.3">
      <c r="A2488" t="s">
        <v>1627</v>
      </c>
      <c r="B2488">
        <v>3.5092363459654869</v>
      </c>
      <c r="C2488" t="s">
        <v>2074</v>
      </c>
      <c r="D2488" t="s">
        <v>2176</v>
      </c>
    </row>
    <row r="2489" spans="1:4" x14ac:dyDescent="0.3">
      <c r="A2489" t="s">
        <v>1625</v>
      </c>
      <c r="B2489">
        <v>1.3569877241384578</v>
      </c>
      <c r="C2489" t="s">
        <v>2074</v>
      </c>
      <c r="D2489" t="s">
        <v>2176</v>
      </c>
    </row>
    <row r="2490" spans="1:4" x14ac:dyDescent="0.3">
      <c r="A2490" t="s">
        <v>1623</v>
      </c>
      <c r="B2490">
        <v>-0.80177344012275631</v>
      </c>
      <c r="C2490" t="s">
        <v>2074</v>
      </c>
      <c r="D2490" t="s">
        <v>2176</v>
      </c>
    </row>
    <row r="2491" spans="1:4" x14ac:dyDescent="0.3">
      <c r="A2491" t="s">
        <v>1633</v>
      </c>
      <c r="B2491">
        <v>39.256220495821232</v>
      </c>
      <c r="C2491" t="s">
        <v>2074</v>
      </c>
      <c r="D2491" t="s">
        <v>2176</v>
      </c>
    </row>
    <row r="2492" spans="1:4" x14ac:dyDescent="0.3">
      <c r="A2492" t="s">
        <v>1628</v>
      </c>
      <c r="B2492">
        <v>23.042788144922877</v>
      </c>
      <c r="C2492" t="s">
        <v>2074</v>
      </c>
      <c r="D2492" t="s">
        <v>2177</v>
      </c>
    </row>
    <row r="2493" spans="1:4" x14ac:dyDescent="0.3">
      <c r="A2493" t="s">
        <v>17</v>
      </c>
      <c r="B2493">
        <v>9.1197792603319989</v>
      </c>
      <c r="C2493" t="s">
        <v>2074</v>
      </c>
      <c r="D2493" t="s">
        <v>2177</v>
      </c>
    </row>
    <row r="2494" spans="1:4" x14ac:dyDescent="0.3">
      <c r="A2494" t="s">
        <v>209</v>
      </c>
      <c r="B2494">
        <v>14.107039941535838</v>
      </c>
      <c r="C2494" t="s">
        <v>2074</v>
      </c>
      <c r="D2494" t="s">
        <v>2177</v>
      </c>
    </row>
    <row r="2495" spans="1:4" x14ac:dyDescent="0.3">
      <c r="A2495" t="s">
        <v>446</v>
      </c>
      <c r="B2495">
        <v>4.0598063786682376E-2</v>
      </c>
      <c r="C2495" t="s">
        <v>2074</v>
      </c>
      <c r="D2495" t="s">
        <v>2177</v>
      </c>
    </row>
    <row r="2496" spans="1:4" x14ac:dyDescent="0.3">
      <c r="A2496" t="s">
        <v>1632</v>
      </c>
      <c r="B2496">
        <v>16.233068203191692</v>
      </c>
      <c r="C2496" t="s">
        <v>2074</v>
      </c>
      <c r="D2496" t="s">
        <v>2177</v>
      </c>
    </row>
    <row r="2497" spans="1:4" x14ac:dyDescent="0.3">
      <c r="A2497" t="s">
        <v>1626</v>
      </c>
      <c r="B2497">
        <v>12.168617573210502</v>
      </c>
      <c r="C2497" t="s">
        <v>2074</v>
      </c>
      <c r="D2497" t="s">
        <v>2177</v>
      </c>
    </row>
    <row r="2498" spans="1:4" x14ac:dyDescent="0.3">
      <c r="A2498" t="s">
        <v>1627</v>
      </c>
      <c r="B2498">
        <v>3.5092363459654869</v>
      </c>
      <c r="C2498" t="s">
        <v>2074</v>
      </c>
      <c r="D2498" t="s">
        <v>2177</v>
      </c>
    </row>
    <row r="2499" spans="1:4" x14ac:dyDescent="0.3">
      <c r="A2499" t="s">
        <v>1625</v>
      </c>
      <c r="B2499">
        <v>1.3569877241384578</v>
      </c>
      <c r="C2499" t="s">
        <v>2074</v>
      </c>
      <c r="D2499" t="s">
        <v>2177</v>
      </c>
    </row>
    <row r="2500" spans="1:4" x14ac:dyDescent="0.3">
      <c r="A2500" t="s">
        <v>1623</v>
      </c>
      <c r="B2500">
        <v>-0.80177344012275631</v>
      </c>
      <c r="C2500" t="s">
        <v>2074</v>
      </c>
      <c r="D2500" t="s">
        <v>2177</v>
      </c>
    </row>
    <row r="2501" spans="1:4" x14ac:dyDescent="0.3">
      <c r="A2501" t="s">
        <v>1633</v>
      </c>
      <c r="B2501">
        <v>39.275856348114573</v>
      </c>
      <c r="C2501" t="s">
        <v>2074</v>
      </c>
      <c r="D2501" t="s">
        <v>2177</v>
      </c>
    </row>
    <row r="2502" spans="1:4" x14ac:dyDescent="0.3">
      <c r="A2502" t="s">
        <v>1628</v>
      </c>
      <c r="B2502">
        <v>23.441313686570439</v>
      </c>
      <c r="C2502" t="s">
        <v>2074</v>
      </c>
      <c r="D2502" t="s">
        <v>2178</v>
      </c>
    </row>
    <row r="2503" spans="1:4" x14ac:dyDescent="0.3">
      <c r="A2503" t="s">
        <v>17</v>
      </c>
      <c r="B2503">
        <v>9.1197792603319989</v>
      </c>
      <c r="C2503" t="s">
        <v>2074</v>
      </c>
      <c r="D2503" t="s">
        <v>2178</v>
      </c>
    </row>
    <row r="2504" spans="1:4" x14ac:dyDescent="0.3">
      <c r="A2504" t="s">
        <v>209</v>
      </c>
      <c r="B2504">
        <v>14.5055654831834</v>
      </c>
      <c r="C2504" t="s">
        <v>2074</v>
      </c>
      <c r="D2504" t="s">
        <v>2178</v>
      </c>
    </row>
    <row r="2505" spans="1:4" x14ac:dyDescent="0.3">
      <c r="A2505" t="s">
        <v>446</v>
      </c>
      <c r="B2505">
        <v>4.0598063786682376E-2</v>
      </c>
      <c r="C2505" t="s">
        <v>2074</v>
      </c>
      <c r="D2505" t="s">
        <v>2178</v>
      </c>
    </row>
    <row r="2506" spans="1:4" x14ac:dyDescent="0.3">
      <c r="A2506" t="s">
        <v>1632</v>
      </c>
      <c r="B2506">
        <v>16.233068203191692</v>
      </c>
      <c r="C2506" t="s">
        <v>2074</v>
      </c>
      <c r="D2506" t="s">
        <v>2178</v>
      </c>
    </row>
    <row r="2507" spans="1:4" x14ac:dyDescent="0.3">
      <c r="A2507" t="s">
        <v>1626</v>
      </c>
      <c r="B2507">
        <v>12.168617573210502</v>
      </c>
      <c r="C2507" t="s">
        <v>2074</v>
      </c>
      <c r="D2507" t="s">
        <v>2178</v>
      </c>
    </row>
    <row r="2508" spans="1:4" x14ac:dyDescent="0.3">
      <c r="A2508" t="s">
        <v>1627</v>
      </c>
      <c r="B2508">
        <v>3.5092363459654869</v>
      </c>
      <c r="C2508" t="s">
        <v>2074</v>
      </c>
      <c r="D2508" t="s">
        <v>2178</v>
      </c>
    </row>
    <row r="2509" spans="1:4" x14ac:dyDescent="0.3">
      <c r="A2509" t="s">
        <v>1625</v>
      </c>
      <c r="B2509">
        <v>1.3569877241384578</v>
      </c>
      <c r="C2509" t="s">
        <v>2074</v>
      </c>
      <c r="D2509" t="s">
        <v>2178</v>
      </c>
    </row>
    <row r="2510" spans="1:4" x14ac:dyDescent="0.3">
      <c r="A2510" t="s">
        <v>1623</v>
      </c>
      <c r="B2510">
        <v>-0.80177344012275631</v>
      </c>
      <c r="C2510" t="s">
        <v>2074</v>
      </c>
      <c r="D2510" t="s">
        <v>2178</v>
      </c>
    </row>
    <row r="2511" spans="1:4" x14ac:dyDescent="0.3">
      <c r="A2511" t="s">
        <v>1633</v>
      </c>
      <c r="B2511">
        <v>39.674381889762131</v>
      </c>
      <c r="C2511" t="s">
        <v>2074</v>
      </c>
      <c r="D2511" t="s">
        <v>2178</v>
      </c>
    </row>
    <row r="2512" spans="1:4" x14ac:dyDescent="0.3">
      <c r="A2512" t="s">
        <v>1628</v>
      </c>
      <c r="B2512">
        <v>23.620387357984931</v>
      </c>
      <c r="C2512" t="s">
        <v>2074</v>
      </c>
      <c r="D2512" t="s">
        <v>2179</v>
      </c>
    </row>
    <row r="2513" spans="1:4" x14ac:dyDescent="0.3">
      <c r="A2513" t="s">
        <v>17</v>
      </c>
      <c r="B2513">
        <v>9.1197792603319989</v>
      </c>
      <c r="C2513" t="s">
        <v>2074</v>
      </c>
      <c r="D2513" t="s">
        <v>2179</v>
      </c>
    </row>
    <row r="2514" spans="1:4" x14ac:dyDescent="0.3">
      <c r="A2514" t="s">
        <v>209</v>
      </c>
      <c r="B2514">
        <v>14.684639154597892</v>
      </c>
      <c r="C2514" t="s">
        <v>2074</v>
      </c>
      <c r="D2514" t="s">
        <v>2179</v>
      </c>
    </row>
    <row r="2515" spans="1:4" x14ac:dyDescent="0.3">
      <c r="A2515" t="s">
        <v>446</v>
      </c>
      <c r="B2515">
        <v>4.0598063786682376E-2</v>
      </c>
      <c r="C2515" t="s">
        <v>2074</v>
      </c>
      <c r="D2515" t="s">
        <v>2179</v>
      </c>
    </row>
    <row r="2516" spans="1:4" x14ac:dyDescent="0.3">
      <c r="A2516" t="s">
        <v>1632</v>
      </c>
      <c r="B2516">
        <v>16.233068203191692</v>
      </c>
      <c r="C2516" t="s">
        <v>2074</v>
      </c>
      <c r="D2516" t="s">
        <v>2179</v>
      </c>
    </row>
    <row r="2517" spans="1:4" x14ac:dyDescent="0.3">
      <c r="A2517" t="s">
        <v>1626</v>
      </c>
      <c r="B2517">
        <v>12.168617573210502</v>
      </c>
      <c r="C2517" t="s">
        <v>2074</v>
      </c>
      <c r="D2517" t="s">
        <v>2179</v>
      </c>
    </row>
    <row r="2518" spans="1:4" x14ac:dyDescent="0.3">
      <c r="A2518" t="s">
        <v>1627</v>
      </c>
      <c r="B2518">
        <v>3.5092363459654869</v>
      </c>
      <c r="C2518" t="s">
        <v>2074</v>
      </c>
      <c r="D2518" t="s">
        <v>2179</v>
      </c>
    </row>
    <row r="2519" spans="1:4" x14ac:dyDescent="0.3">
      <c r="A2519" t="s">
        <v>1625</v>
      </c>
      <c r="B2519">
        <v>1.3569877241384578</v>
      </c>
      <c r="C2519" t="s">
        <v>2074</v>
      </c>
      <c r="D2519" t="s">
        <v>2179</v>
      </c>
    </row>
    <row r="2520" spans="1:4" x14ac:dyDescent="0.3">
      <c r="A2520" t="s">
        <v>1623</v>
      </c>
      <c r="B2520">
        <v>-0.80177344012275631</v>
      </c>
      <c r="C2520" t="s">
        <v>2074</v>
      </c>
      <c r="D2520" t="s">
        <v>2179</v>
      </c>
    </row>
    <row r="2521" spans="1:4" x14ac:dyDescent="0.3">
      <c r="A2521" t="s">
        <v>1633</v>
      </c>
      <c r="B2521">
        <v>39.853455561176624</v>
      </c>
      <c r="C2521" t="s">
        <v>2074</v>
      </c>
      <c r="D2521" t="s">
        <v>2179</v>
      </c>
    </row>
    <row r="2522" spans="1:4" x14ac:dyDescent="0.3">
      <c r="A2522" t="s">
        <v>1628</v>
      </c>
      <c r="B2522">
        <v>22.582115207353382</v>
      </c>
      <c r="C2522" t="s">
        <v>2074</v>
      </c>
      <c r="D2522" t="s">
        <v>2180</v>
      </c>
    </row>
    <row r="2523" spans="1:4" x14ac:dyDescent="0.3">
      <c r="A2523" t="s">
        <v>17</v>
      </c>
      <c r="B2523">
        <v>9.1197792603319989</v>
      </c>
      <c r="C2523" t="s">
        <v>2074</v>
      </c>
      <c r="D2523" t="s">
        <v>2180</v>
      </c>
    </row>
    <row r="2524" spans="1:4" x14ac:dyDescent="0.3">
      <c r="A2524" t="s">
        <v>209</v>
      </c>
      <c r="B2524">
        <v>13.646367003966343</v>
      </c>
      <c r="C2524" t="s">
        <v>2074</v>
      </c>
      <c r="D2524" t="s">
        <v>2180</v>
      </c>
    </row>
    <row r="2525" spans="1:4" x14ac:dyDescent="0.3">
      <c r="A2525" t="s">
        <v>446</v>
      </c>
      <c r="B2525">
        <v>4.0598063786682376E-2</v>
      </c>
      <c r="C2525" t="s">
        <v>2074</v>
      </c>
      <c r="D2525" t="s">
        <v>2180</v>
      </c>
    </row>
    <row r="2526" spans="1:4" x14ac:dyDescent="0.3">
      <c r="A2526" t="s">
        <v>1632</v>
      </c>
      <c r="B2526">
        <v>16.233068203191692</v>
      </c>
      <c r="C2526" t="s">
        <v>2074</v>
      </c>
      <c r="D2526" t="s">
        <v>2180</v>
      </c>
    </row>
    <row r="2527" spans="1:4" x14ac:dyDescent="0.3">
      <c r="A2527" t="s">
        <v>1626</v>
      </c>
      <c r="B2527">
        <v>12.168617573210502</v>
      </c>
      <c r="C2527" t="s">
        <v>2074</v>
      </c>
      <c r="D2527" t="s">
        <v>2180</v>
      </c>
    </row>
    <row r="2528" spans="1:4" x14ac:dyDescent="0.3">
      <c r="A2528" t="s">
        <v>1627</v>
      </c>
      <c r="B2528">
        <v>3.5092363459654869</v>
      </c>
      <c r="C2528" t="s">
        <v>2074</v>
      </c>
      <c r="D2528" t="s">
        <v>2180</v>
      </c>
    </row>
    <row r="2529" spans="1:4" x14ac:dyDescent="0.3">
      <c r="A2529" t="s">
        <v>1625</v>
      </c>
      <c r="B2529">
        <v>1.3569877241384578</v>
      </c>
      <c r="C2529" t="s">
        <v>2074</v>
      </c>
      <c r="D2529" t="s">
        <v>2180</v>
      </c>
    </row>
    <row r="2530" spans="1:4" x14ac:dyDescent="0.3">
      <c r="A2530" t="s">
        <v>1623</v>
      </c>
      <c r="B2530">
        <v>-0.80177344012275631</v>
      </c>
      <c r="C2530" t="s">
        <v>2074</v>
      </c>
      <c r="D2530" t="s">
        <v>2180</v>
      </c>
    </row>
    <row r="2531" spans="1:4" x14ac:dyDescent="0.3">
      <c r="A2531" t="s">
        <v>1633</v>
      </c>
      <c r="B2531">
        <v>38.815183410545075</v>
      </c>
      <c r="C2531" t="s">
        <v>2074</v>
      </c>
      <c r="D2531" t="s">
        <v>2180</v>
      </c>
    </row>
    <row r="2532" spans="1:4" x14ac:dyDescent="0.3">
      <c r="A2532" t="s">
        <v>1628</v>
      </c>
      <c r="B2532">
        <v>24.292974069503178</v>
      </c>
      <c r="C2532" t="s">
        <v>2074</v>
      </c>
      <c r="D2532" t="s">
        <v>2181</v>
      </c>
    </row>
    <row r="2533" spans="1:4" x14ac:dyDescent="0.3">
      <c r="A2533" t="s">
        <v>17</v>
      </c>
      <c r="B2533">
        <v>9.1197792603319989</v>
      </c>
      <c r="C2533" t="s">
        <v>2074</v>
      </c>
      <c r="D2533" t="s">
        <v>2181</v>
      </c>
    </row>
    <row r="2534" spans="1:4" x14ac:dyDescent="0.3">
      <c r="A2534" t="s">
        <v>209</v>
      </c>
      <c r="B2534">
        <v>15.357225866116138</v>
      </c>
      <c r="C2534" t="s">
        <v>2074</v>
      </c>
      <c r="D2534" t="s">
        <v>2181</v>
      </c>
    </row>
    <row r="2535" spans="1:4" x14ac:dyDescent="0.3">
      <c r="A2535" t="s">
        <v>446</v>
      </c>
      <c r="B2535">
        <v>4.0598063786682376E-2</v>
      </c>
      <c r="C2535" t="s">
        <v>2074</v>
      </c>
      <c r="D2535" t="s">
        <v>2181</v>
      </c>
    </row>
    <row r="2536" spans="1:4" x14ac:dyDescent="0.3">
      <c r="A2536" t="s">
        <v>1632</v>
      </c>
      <c r="B2536">
        <v>16.233068203191692</v>
      </c>
      <c r="C2536" t="s">
        <v>2074</v>
      </c>
      <c r="D2536" t="s">
        <v>2181</v>
      </c>
    </row>
    <row r="2537" spans="1:4" x14ac:dyDescent="0.3">
      <c r="A2537" t="s">
        <v>1626</v>
      </c>
      <c r="B2537">
        <v>12.168617573210502</v>
      </c>
      <c r="C2537" t="s">
        <v>2074</v>
      </c>
      <c r="D2537" t="s">
        <v>2181</v>
      </c>
    </row>
    <row r="2538" spans="1:4" x14ac:dyDescent="0.3">
      <c r="A2538" t="s">
        <v>1627</v>
      </c>
      <c r="B2538">
        <v>3.5092363459654869</v>
      </c>
      <c r="C2538" t="s">
        <v>2074</v>
      </c>
      <c r="D2538" t="s">
        <v>2181</v>
      </c>
    </row>
    <row r="2539" spans="1:4" x14ac:dyDescent="0.3">
      <c r="A2539" t="s">
        <v>1625</v>
      </c>
      <c r="B2539">
        <v>1.3569877241384578</v>
      </c>
      <c r="C2539" t="s">
        <v>2074</v>
      </c>
      <c r="D2539" t="s">
        <v>2181</v>
      </c>
    </row>
    <row r="2540" spans="1:4" x14ac:dyDescent="0.3">
      <c r="A2540" t="s">
        <v>1623</v>
      </c>
      <c r="B2540">
        <v>-0.80177344012275631</v>
      </c>
      <c r="C2540" t="s">
        <v>2074</v>
      </c>
      <c r="D2540" t="s">
        <v>2181</v>
      </c>
    </row>
    <row r="2541" spans="1:4" x14ac:dyDescent="0.3">
      <c r="A2541" t="s">
        <v>1633</v>
      </c>
      <c r="B2541">
        <v>40.526042272694866</v>
      </c>
      <c r="C2541" t="s">
        <v>2074</v>
      </c>
      <c r="D2541" t="s">
        <v>2181</v>
      </c>
    </row>
    <row r="2542" spans="1:4" x14ac:dyDescent="0.3">
      <c r="A2542" t="s">
        <v>1628</v>
      </c>
      <c r="B2542">
        <v>23.180055918921749</v>
      </c>
      <c r="C2542" t="s">
        <v>2074</v>
      </c>
      <c r="D2542" t="s">
        <v>2182</v>
      </c>
    </row>
    <row r="2543" spans="1:4" x14ac:dyDescent="0.3">
      <c r="A2543" t="s">
        <v>17</v>
      </c>
      <c r="B2543">
        <v>9.1197792603319989</v>
      </c>
      <c r="C2543" t="s">
        <v>2074</v>
      </c>
      <c r="D2543" t="s">
        <v>2182</v>
      </c>
    </row>
    <row r="2544" spans="1:4" x14ac:dyDescent="0.3">
      <c r="A2544" t="s">
        <v>209</v>
      </c>
      <c r="B2544">
        <v>14.24430771553471</v>
      </c>
      <c r="C2544" t="s">
        <v>2074</v>
      </c>
      <c r="D2544" t="s">
        <v>2182</v>
      </c>
    </row>
    <row r="2545" spans="1:4" x14ac:dyDescent="0.3">
      <c r="A2545" t="s">
        <v>446</v>
      </c>
      <c r="B2545">
        <v>4.0598063786682376E-2</v>
      </c>
      <c r="C2545" t="s">
        <v>2074</v>
      </c>
      <c r="D2545" t="s">
        <v>2182</v>
      </c>
    </row>
    <row r="2546" spans="1:4" x14ac:dyDescent="0.3">
      <c r="A2546" t="s">
        <v>1632</v>
      </c>
      <c r="B2546">
        <v>16.233068203191692</v>
      </c>
      <c r="C2546" t="s">
        <v>2074</v>
      </c>
      <c r="D2546" t="s">
        <v>2182</v>
      </c>
    </row>
    <row r="2547" spans="1:4" x14ac:dyDescent="0.3">
      <c r="A2547" t="s">
        <v>1626</v>
      </c>
      <c r="B2547">
        <v>12.168617573210502</v>
      </c>
      <c r="C2547" t="s">
        <v>2074</v>
      </c>
      <c r="D2547" t="s">
        <v>2182</v>
      </c>
    </row>
    <row r="2548" spans="1:4" x14ac:dyDescent="0.3">
      <c r="A2548" t="s">
        <v>1627</v>
      </c>
      <c r="B2548">
        <v>3.5092363459654869</v>
      </c>
      <c r="C2548" t="s">
        <v>2074</v>
      </c>
      <c r="D2548" t="s">
        <v>2182</v>
      </c>
    </row>
    <row r="2549" spans="1:4" x14ac:dyDescent="0.3">
      <c r="A2549" t="s">
        <v>1625</v>
      </c>
      <c r="B2549">
        <v>1.3569877241384578</v>
      </c>
      <c r="C2549" t="s">
        <v>2074</v>
      </c>
      <c r="D2549" t="s">
        <v>2182</v>
      </c>
    </row>
    <row r="2550" spans="1:4" x14ac:dyDescent="0.3">
      <c r="A2550" t="s">
        <v>1623</v>
      </c>
      <c r="B2550">
        <v>-0.80177344012275631</v>
      </c>
      <c r="C2550" t="s">
        <v>2074</v>
      </c>
      <c r="D2550" t="s">
        <v>2182</v>
      </c>
    </row>
    <row r="2551" spans="1:4" x14ac:dyDescent="0.3">
      <c r="A2551" t="s">
        <v>1633</v>
      </c>
      <c r="B2551">
        <v>39.413124122113445</v>
      </c>
      <c r="C2551" t="s">
        <v>2074</v>
      </c>
      <c r="D2551" t="s">
        <v>2182</v>
      </c>
    </row>
    <row r="2552" spans="1:4" x14ac:dyDescent="0.3">
      <c r="A2552" t="s">
        <v>1628</v>
      </c>
      <c r="B2552">
        <v>23.787872285886987</v>
      </c>
      <c r="C2552" t="s">
        <v>2074</v>
      </c>
      <c r="D2552" t="s">
        <v>2183</v>
      </c>
    </row>
    <row r="2553" spans="1:4" x14ac:dyDescent="0.3">
      <c r="A2553" t="s">
        <v>17</v>
      </c>
      <c r="B2553">
        <v>9.1197792603319989</v>
      </c>
      <c r="C2553" t="s">
        <v>2074</v>
      </c>
      <c r="D2553" t="s">
        <v>2183</v>
      </c>
    </row>
    <row r="2554" spans="1:4" x14ac:dyDescent="0.3">
      <c r="A2554" t="s">
        <v>209</v>
      </c>
      <c r="B2554">
        <v>14.852124082499948</v>
      </c>
      <c r="C2554" t="s">
        <v>2074</v>
      </c>
      <c r="D2554" t="s">
        <v>2183</v>
      </c>
    </row>
    <row r="2555" spans="1:4" x14ac:dyDescent="0.3">
      <c r="A2555" t="s">
        <v>446</v>
      </c>
      <c r="B2555">
        <v>4.0598063786682376E-2</v>
      </c>
      <c r="C2555" t="s">
        <v>2074</v>
      </c>
      <c r="D2555" t="s">
        <v>2183</v>
      </c>
    </row>
    <row r="2556" spans="1:4" x14ac:dyDescent="0.3">
      <c r="A2556" t="s">
        <v>1632</v>
      </c>
      <c r="B2556">
        <v>16.233068203191692</v>
      </c>
      <c r="C2556" t="s">
        <v>2074</v>
      </c>
      <c r="D2556" t="s">
        <v>2183</v>
      </c>
    </row>
    <row r="2557" spans="1:4" x14ac:dyDescent="0.3">
      <c r="A2557" t="s">
        <v>1626</v>
      </c>
      <c r="B2557">
        <v>12.168617573210502</v>
      </c>
      <c r="C2557" t="s">
        <v>2074</v>
      </c>
      <c r="D2557" t="s">
        <v>2183</v>
      </c>
    </row>
    <row r="2558" spans="1:4" x14ac:dyDescent="0.3">
      <c r="A2558" t="s">
        <v>1627</v>
      </c>
      <c r="B2558">
        <v>3.5092363459654869</v>
      </c>
      <c r="C2558" t="s">
        <v>2074</v>
      </c>
      <c r="D2558" t="s">
        <v>2183</v>
      </c>
    </row>
    <row r="2559" spans="1:4" x14ac:dyDescent="0.3">
      <c r="A2559" t="s">
        <v>1625</v>
      </c>
      <c r="B2559">
        <v>1.3569877241384578</v>
      </c>
      <c r="C2559" t="s">
        <v>2074</v>
      </c>
      <c r="D2559" t="s">
        <v>2183</v>
      </c>
    </row>
    <row r="2560" spans="1:4" x14ac:dyDescent="0.3">
      <c r="A2560" t="s">
        <v>1623</v>
      </c>
      <c r="B2560">
        <v>-0.80177344012275631</v>
      </c>
      <c r="C2560" t="s">
        <v>2074</v>
      </c>
      <c r="D2560" t="s">
        <v>2183</v>
      </c>
    </row>
    <row r="2561" spans="1:4" x14ac:dyDescent="0.3">
      <c r="A2561" t="s">
        <v>1633</v>
      </c>
      <c r="B2561">
        <v>40.020940489078683</v>
      </c>
      <c r="C2561" t="s">
        <v>2074</v>
      </c>
      <c r="D2561" t="s">
        <v>2183</v>
      </c>
    </row>
    <row r="2562" spans="1:4" x14ac:dyDescent="0.3">
      <c r="A2562" t="s">
        <v>1628</v>
      </c>
      <c r="B2562">
        <v>23.604383736188442</v>
      </c>
      <c r="C2562" t="s">
        <v>2074</v>
      </c>
      <c r="D2562" t="s">
        <v>2184</v>
      </c>
    </row>
    <row r="2563" spans="1:4" x14ac:dyDescent="0.3">
      <c r="A2563" t="s">
        <v>17</v>
      </c>
      <c r="B2563">
        <v>9.1197792603319989</v>
      </c>
      <c r="C2563" t="s">
        <v>2074</v>
      </c>
      <c r="D2563" t="s">
        <v>2184</v>
      </c>
    </row>
    <row r="2564" spans="1:4" x14ac:dyDescent="0.3">
      <c r="A2564" t="s">
        <v>209</v>
      </c>
      <c r="B2564">
        <v>14.668635532801403</v>
      </c>
      <c r="C2564" t="s">
        <v>2074</v>
      </c>
      <c r="D2564" t="s">
        <v>2184</v>
      </c>
    </row>
    <row r="2565" spans="1:4" x14ac:dyDescent="0.3">
      <c r="A2565" t="s">
        <v>446</v>
      </c>
      <c r="B2565">
        <v>4.0598063786682376E-2</v>
      </c>
      <c r="C2565" t="s">
        <v>2074</v>
      </c>
      <c r="D2565" t="s">
        <v>2184</v>
      </c>
    </row>
    <row r="2566" spans="1:4" x14ac:dyDescent="0.3">
      <c r="A2566" t="s">
        <v>1632</v>
      </c>
      <c r="B2566">
        <v>16.233068203191692</v>
      </c>
      <c r="C2566" t="s">
        <v>2074</v>
      </c>
      <c r="D2566" t="s">
        <v>2184</v>
      </c>
    </row>
    <row r="2567" spans="1:4" x14ac:dyDescent="0.3">
      <c r="A2567" t="s">
        <v>1626</v>
      </c>
      <c r="B2567">
        <v>12.168617573210502</v>
      </c>
      <c r="C2567" t="s">
        <v>2074</v>
      </c>
      <c r="D2567" t="s">
        <v>2184</v>
      </c>
    </row>
    <row r="2568" spans="1:4" x14ac:dyDescent="0.3">
      <c r="A2568" t="s">
        <v>1627</v>
      </c>
      <c r="B2568">
        <v>3.5092363459654869</v>
      </c>
      <c r="C2568" t="s">
        <v>2074</v>
      </c>
      <c r="D2568" t="s">
        <v>2184</v>
      </c>
    </row>
    <row r="2569" spans="1:4" x14ac:dyDescent="0.3">
      <c r="A2569" t="s">
        <v>1625</v>
      </c>
      <c r="B2569">
        <v>1.3569877241384578</v>
      </c>
      <c r="C2569" t="s">
        <v>2074</v>
      </c>
      <c r="D2569" t="s">
        <v>2184</v>
      </c>
    </row>
    <row r="2570" spans="1:4" x14ac:dyDescent="0.3">
      <c r="A2570" t="s">
        <v>1623</v>
      </c>
      <c r="B2570">
        <v>-0.80177344012275631</v>
      </c>
      <c r="C2570" t="s">
        <v>2074</v>
      </c>
      <c r="D2570" t="s">
        <v>2184</v>
      </c>
    </row>
    <row r="2571" spans="1:4" x14ac:dyDescent="0.3">
      <c r="A2571" t="s">
        <v>1633</v>
      </c>
      <c r="B2571">
        <v>39.837451939380131</v>
      </c>
      <c r="C2571" t="s">
        <v>2074</v>
      </c>
      <c r="D2571" t="s">
        <v>2184</v>
      </c>
    </row>
    <row r="2572" spans="1:4" x14ac:dyDescent="0.3">
      <c r="A2572" t="s">
        <v>1628</v>
      </c>
      <c r="B2572">
        <v>23.626795916498537</v>
      </c>
      <c r="C2572" t="s">
        <v>2074</v>
      </c>
      <c r="D2572" t="s">
        <v>2185</v>
      </c>
    </row>
    <row r="2573" spans="1:4" x14ac:dyDescent="0.3">
      <c r="A2573" t="s">
        <v>17</v>
      </c>
      <c r="B2573">
        <v>9.1197792603319989</v>
      </c>
      <c r="C2573" t="s">
        <v>2074</v>
      </c>
      <c r="D2573" t="s">
        <v>2185</v>
      </c>
    </row>
    <row r="2574" spans="1:4" x14ac:dyDescent="0.3">
      <c r="A2574" t="s">
        <v>209</v>
      </c>
      <c r="B2574">
        <v>14.6910477131115</v>
      </c>
      <c r="C2574" t="s">
        <v>2074</v>
      </c>
      <c r="D2574" t="s">
        <v>2185</v>
      </c>
    </row>
    <row r="2575" spans="1:4" x14ac:dyDescent="0.3">
      <c r="A2575" t="s">
        <v>446</v>
      </c>
      <c r="B2575">
        <v>4.0598063786682376E-2</v>
      </c>
      <c r="C2575" t="s">
        <v>2074</v>
      </c>
      <c r="D2575" t="s">
        <v>2185</v>
      </c>
    </row>
    <row r="2576" spans="1:4" x14ac:dyDescent="0.3">
      <c r="A2576" t="s">
        <v>1632</v>
      </c>
      <c r="B2576">
        <v>16.233068203191692</v>
      </c>
      <c r="C2576" t="s">
        <v>2074</v>
      </c>
      <c r="D2576" t="s">
        <v>2185</v>
      </c>
    </row>
    <row r="2577" spans="1:4" x14ac:dyDescent="0.3">
      <c r="A2577" t="s">
        <v>1626</v>
      </c>
      <c r="B2577">
        <v>12.168617573210502</v>
      </c>
      <c r="C2577" t="s">
        <v>2074</v>
      </c>
      <c r="D2577" t="s">
        <v>2185</v>
      </c>
    </row>
    <row r="2578" spans="1:4" x14ac:dyDescent="0.3">
      <c r="A2578" t="s">
        <v>1627</v>
      </c>
      <c r="B2578">
        <v>3.5092363459654869</v>
      </c>
      <c r="C2578" t="s">
        <v>2074</v>
      </c>
      <c r="D2578" t="s">
        <v>2185</v>
      </c>
    </row>
    <row r="2579" spans="1:4" x14ac:dyDescent="0.3">
      <c r="A2579" t="s">
        <v>1625</v>
      </c>
      <c r="B2579">
        <v>1.3569877241384578</v>
      </c>
      <c r="C2579" t="s">
        <v>2074</v>
      </c>
      <c r="D2579" t="s">
        <v>2185</v>
      </c>
    </row>
    <row r="2580" spans="1:4" x14ac:dyDescent="0.3">
      <c r="A2580" t="s">
        <v>1623</v>
      </c>
      <c r="B2580">
        <v>-0.80177344012275631</v>
      </c>
      <c r="C2580" t="s">
        <v>2074</v>
      </c>
      <c r="D2580" t="s">
        <v>2185</v>
      </c>
    </row>
    <row r="2581" spans="1:4" x14ac:dyDescent="0.3">
      <c r="A2581" t="s">
        <v>1633</v>
      </c>
      <c r="B2581">
        <v>39.859864119690229</v>
      </c>
      <c r="C2581" t="s">
        <v>2074</v>
      </c>
      <c r="D2581" t="s">
        <v>2185</v>
      </c>
    </row>
    <row r="2582" spans="1:4" x14ac:dyDescent="0.3">
      <c r="A2582" t="s">
        <v>1628</v>
      </c>
      <c r="B2582">
        <v>23.480758239768576</v>
      </c>
      <c r="C2582" t="s">
        <v>2074</v>
      </c>
      <c r="D2582" t="s">
        <v>2186</v>
      </c>
    </row>
    <row r="2583" spans="1:4" x14ac:dyDescent="0.3">
      <c r="A2583" t="s">
        <v>17</v>
      </c>
      <c r="B2583">
        <v>9.1197792603319989</v>
      </c>
      <c r="C2583" t="s">
        <v>2074</v>
      </c>
      <c r="D2583" t="s">
        <v>2186</v>
      </c>
    </row>
    <row r="2584" spans="1:4" x14ac:dyDescent="0.3">
      <c r="A2584" t="s">
        <v>209</v>
      </c>
      <c r="B2584">
        <v>14.545010036381537</v>
      </c>
      <c r="C2584" t="s">
        <v>2074</v>
      </c>
      <c r="D2584" t="s">
        <v>2186</v>
      </c>
    </row>
    <row r="2585" spans="1:4" x14ac:dyDescent="0.3">
      <c r="A2585" t="s">
        <v>446</v>
      </c>
      <c r="B2585">
        <v>4.0598063786682376E-2</v>
      </c>
      <c r="C2585" t="s">
        <v>2074</v>
      </c>
      <c r="D2585" t="s">
        <v>2186</v>
      </c>
    </row>
    <row r="2586" spans="1:4" x14ac:dyDescent="0.3">
      <c r="A2586" t="s">
        <v>1632</v>
      </c>
      <c r="B2586">
        <v>16.233068203191692</v>
      </c>
      <c r="C2586" t="s">
        <v>2074</v>
      </c>
      <c r="D2586" t="s">
        <v>2186</v>
      </c>
    </row>
    <row r="2587" spans="1:4" x14ac:dyDescent="0.3">
      <c r="A2587" t="s">
        <v>1626</v>
      </c>
      <c r="B2587">
        <v>12.168617573210502</v>
      </c>
      <c r="C2587" t="s">
        <v>2074</v>
      </c>
      <c r="D2587" t="s">
        <v>2186</v>
      </c>
    </row>
    <row r="2588" spans="1:4" x14ac:dyDescent="0.3">
      <c r="A2588" t="s">
        <v>1627</v>
      </c>
      <c r="B2588">
        <v>3.5092363459654869</v>
      </c>
      <c r="C2588" t="s">
        <v>2074</v>
      </c>
      <c r="D2588" t="s">
        <v>2186</v>
      </c>
    </row>
    <row r="2589" spans="1:4" x14ac:dyDescent="0.3">
      <c r="A2589" t="s">
        <v>1625</v>
      </c>
      <c r="B2589">
        <v>1.3569877241384578</v>
      </c>
      <c r="C2589" t="s">
        <v>2074</v>
      </c>
      <c r="D2589" t="s">
        <v>2186</v>
      </c>
    </row>
    <row r="2590" spans="1:4" x14ac:dyDescent="0.3">
      <c r="A2590" t="s">
        <v>1623</v>
      </c>
      <c r="B2590">
        <v>-0.80177344012275631</v>
      </c>
      <c r="C2590" t="s">
        <v>2074</v>
      </c>
      <c r="D2590" t="s">
        <v>2186</v>
      </c>
    </row>
    <row r="2591" spans="1:4" x14ac:dyDescent="0.3">
      <c r="A2591" t="s">
        <v>1633</v>
      </c>
      <c r="B2591">
        <v>39.713826442960269</v>
      </c>
      <c r="C2591" t="s">
        <v>2074</v>
      </c>
      <c r="D2591" t="s">
        <v>2186</v>
      </c>
    </row>
    <row r="2592" spans="1:4" x14ac:dyDescent="0.3">
      <c r="A2592" t="s">
        <v>1628</v>
      </c>
      <c r="B2592">
        <v>23.496927903087382</v>
      </c>
      <c r="C2592" t="s">
        <v>2074</v>
      </c>
      <c r="D2592" t="s">
        <v>2187</v>
      </c>
    </row>
    <row r="2593" spans="1:4" x14ac:dyDescent="0.3">
      <c r="A2593" t="s">
        <v>17</v>
      </c>
      <c r="B2593">
        <v>9.1197792603319989</v>
      </c>
      <c r="C2593" t="s">
        <v>2074</v>
      </c>
      <c r="D2593" t="s">
        <v>2187</v>
      </c>
    </row>
    <row r="2594" spans="1:4" x14ac:dyDescent="0.3">
      <c r="A2594" t="s">
        <v>209</v>
      </c>
      <c r="B2594">
        <v>14.561179699700341</v>
      </c>
      <c r="C2594" t="s">
        <v>2074</v>
      </c>
      <c r="D2594" t="s">
        <v>2187</v>
      </c>
    </row>
    <row r="2595" spans="1:4" x14ac:dyDescent="0.3">
      <c r="A2595" t="s">
        <v>446</v>
      </c>
      <c r="B2595">
        <v>4.0598063786682376E-2</v>
      </c>
      <c r="C2595" t="s">
        <v>2074</v>
      </c>
      <c r="D2595" t="s">
        <v>2187</v>
      </c>
    </row>
    <row r="2596" spans="1:4" x14ac:dyDescent="0.3">
      <c r="A2596" t="s">
        <v>1632</v>
      </c>
      <c r="B2596">
        <v>16.233068203191692</v>
      </c>
      <c r="C2596" t="s">
        <v>2074</v>
      </c>
      <c r="D2596" t="s">
        <v>2187</v>
      </c>
    </row>
    <row r="2597" spans="1:4" x14ac:dyDescent="0.3">
      <c r="A2597" t="s">
        <v>1626</v>
      </c>
      <c r="B2597">
        <v>12.168617573210502</v>
      </c>
      <c r="C2597" t="s">
        <v>2074</v>
      </c>
      <c r="D2597" t="s">
        <v>2187</v>
      </c>
    </row>
    <row r="2598" spans="1:4" x14ac:dyDescent="0.3">
      <c r="A2598" t="s">
        <v>1627</v>
      </c>
      <c r="B2598">
        <v>3.5092363459654869</v>
      </c>
      <c r="C2598" t="s">
        <v>2074</v>
      </c>
      <c r="D2598" t="s">
        <v>2187</v>
      </c>
    </row>
    <row r="2599" spans="1:4" x14ac:dyDescent="0.3">
      <c r="A2599" t="s">
        <v>1625</v>
      </c>
      <c r="B2599">
        <v>1.3569877241384578</v>
      </c>
      <c r="C2599" t="s">
        <v>2074</v>
      </c>
      <c r="D2599" t="s">
        <v>2187</v>
      </c>
    </row>
    <row r="2600" spans="1:4" x14ac:dyDescent="0.3">
      <c r="A2600" t="s">
        <v>1623</v>
      </c>
      <c r="B2600">
        <v>-0.80177344012275631</v>
      </c>
      <c r="C2600" t="s">
        <v>2074</v>
      </c>
      <c r="D2600" t="s">
        <v>2187</v>
      </c>
    </row>
    <row r="2601" spans="1:4" x14ac:dyDescent="0.3">
      <c r="A2601" t="s">
        <v>1633</v>
      </c>
      <c r="B2601">
        <v>39.729996106279074</v>
      </c>
      <c r="C2601" t="s">
        <v>2074</v>
      </c>
      <c r="D2601" t="s">
        <v>2187</v>
      </c>
    </row>
    <row r="2602" spans="1:4" x14ac:dyDescent="0.3">
      <c r="A2602" t="s">
        <v>1628</v>
      </c>
      <c r="B2602">
        <v>23.37127023874255</v>
      </c>
      <c r="C2602" t="s">
        <v>2074</v>
      </c>
      <c r="D2602" t="s">
        <v>2188</v>
      </c>
    </row>
    <row r="2603" spans="1:4" x14ac:dyDescent="0.3">
      <c r="A2603" t="s">
        <v>17</v>
      </c>
      <c r="B2603">
        <v>9.1197792603319989</v>
      </c>
      <c r="C2603" t="s">
        <v>2074</v>
      </c>
      <c r="D2603" t="s">
        <v>2188</v>
      </c>
    </row>
    <row r="2604" spans="1:4" x14ac:dyDescent="0.3">
      <c r="A2604" t="s">
        <v>209</v>
      </c>
      <c r="B2604">
        <v>14.435522035355511</v>
      </c>
      <c r="C2604" t="s">
        <v>2074</v>
      </c>
      <c r="D2604" t="s">
        <v>2188</v>
      </c>
    </row>
    <row r="2605" spans="1:4" x14ac:dyDescent="0.3">
      <c r="A2605" t="s">
        <v>446</v>
      </c>
      <c r="B2605">
        <v>4.0598063786682376E-2</v>
      </c>
      <c r="C2605" t="s">
        <v>2074</v>
      </c>
      <c r="D2605" t="s">
        <v>2188</v>
      </c>
    </row>
    <row r="2606" spans="1:4" x14ac:dyDescent="0.3">
      <c r="A2606" t="s">
        <v>1632</v>
      </c>
      <c r="B2606">
        <v>16.233068203191692</v>
      </c>
      <c r="C2606" t="s">
        <v>2074</v>
      </c>
      <c r="D2606" t="s">
        <v>2188</v>
      </c>
    </row>
    <row r="2607" spans="1:4" x14ac:dyDescent="0.3">
      <c r="A2607" t="s">
        <v>1626</v>
      </c>
      <c r="B2607">
        <v>12.168617573210502</v>
      </c>
      <c r="C2607" t="s">
        <v>2074</v>
      </c>
      <c r="D2607" t="s">
        <v>2188</v>
      </c>
    </row>
    <row r="2608" spans="1:4" x14ac:dyDescent="0.3">
      <c r="A2608" t="s">
        <v>1627</v>
      </c>
      <c r="B2608">
        <v>3.5092363459654869</v>
      </c>
      <c r="C2608" t="s">
        <v>2074</v>
      </c>
      <c r="D2608" t="s">
        <v>2188</v>
      </c>
    </row>
    <row r="2609" spans="1:4" x14ac:dyDescent="0.3">
      <c r="A2609" t="s">
        <v>1625</v>
      </c>
      <c r="B2609">
        <v>1.3569877241384578</v>
      </c>
      <c r="C2609" t="s">
        <v>2074</v>
      </c>
      <c r="D2609" t="s">
        <v>2188</v>
      </c>
    </row>
    <row r="2610" spans="1:4" x14ac:dyDescent="0.3">
      <c r="A2610" t="s">
        <v>1623</v>
      </c>
      <c r="B2610">
        <v>-0.80177344012275631</v>
      </c>
      <c r="C2610" t="s">
        <v>2074</v>
      </c>
      <c r="D2610" t="s">
        <v>2188</v>
      </c>
    </row>
    <row r="2611" spans="1:4" x14ac:dyDescent="0.3">
      <c r="A2611" t="s">
        <v>1633</v>
      </c>
      <c r="B2611">
        <v>39.604338441934246</v>
      </c>
      <c r="C2611" t="s">
        <v>2074</v>
      </c>
      <c r="D2611" t="s">
        <v>2188</v>
      </c>
    </row>
    <row r="2612" spans="1:4" x14ac:dyDescent="0.3">
      <c r="A2612" t="s">
        <v>1628</v>
      </c>
      <c r="B2612">
        <v>24.23461771205222</v>
      </c>
      <c r="C2612" t="s">
        <v>2074</v>
      </c>
      <c r="D2612" t="s">
        <v>2189</v>
      </c>
    </row>
    <row r="2613" spans="1:4" x14ac:dyDescent="0.3">
      <c r="A2613" t="s">
        <v>17</v>
      </c>
      <c r="B2613">
        <v>9.1197792603319989</v>
      </c>
      <c r="C2613" t="s">
        <v>2074</v>
      </c>
      <c r="D2613" t="s">
        <v>2189</v>
      </c>
    </row>
    <row r="2614" spans="1:4" x14ac:dyDescent="0.3">
      <c r="A2614" t="s">
        <v>209</v>
      </c>
      <c r="B2614">
        <v>15.298869508665183</v>
      </c>
      <c r="C2614" t="s">
        <v>2074</v>
      </c>
      <c r="D2614" t="s">
        <v>2189</v>
      </c>
    </row>
    <row r="2615" spans="1:4" x14ac:dyDescent="0.3">
      <c r="A2615" t="s">
        <v>446</v>
      </c>
      <c r="B2615">
        <v>4.0598063786682376E-2</v>
      </c>
      <c r="C2615" t="s">
        <v>2074</v>
      </c>
      <c r="D2615" t="s">
        <v>2189</v>
      </c>
    </row>
    <row r="2616" spans="1:4" x14ac:dyDescent="0.3">
      <c r="A2616" t="s">
        <v>1632</v>
      </c>
      <c r="B2616">
        <v>16.233068203191692</v>
      </c>
      <c r="C2616" t="s">
        <v>2074</v>
      </c>
      <c r="D2616" t="s">
        <v>2189</v>
      </c>
    </row>
    <row r="2617" spans="1:4" x14ac:dyDescent="0.3">
      <c r="A2617" t="s">
        <v>1626</v>
      </c>
      <c r="B2617">
        <v>12.168617573210502</v>
      </c>
      <c r="C2617" t="s">
        <v>2074</v>
      </c>
      <c r="D2617" t="s">
        <v>2189</v>
      </c>
    </row>
    <row r="2618" spans="1:4" x14ac:dyDescent="0.3">
      <c r="A2618" t="s">
        <v>1627</v>
      </c>
      <c r="B2618">
        <v>3.5092363459654869</v>
      </c>
      <c r="C2618" t="s">
        <v>2074</v>
      </c>
      <c r="D2618" t="s">
        <v>2189</v>
      </c>
    </row>
    <row r="2619" spans="1:4" x14ac:dyDescent="0.3">
      <c r="A2619" t="s">
        <v>1625</v>
      </c>
      <c r="B2619">
        <v>1.3569877241384578</v>
      </c>
      <c r="C2619" t="s">
        <v>2074</v>
      </c>
      <c r="D2619" t="s">
        <v>2189</v>
      </c>
    </row>
    <row r="2620" spans="1:4" x14ac:dyDescent="0.3">
      <c r="A2620" t="s">
        <v>1623</v>
      </c>
      <c r="B2620">
        <v>-0.80177344012275631</v>
      </c>
      <c r="C2620" t="s">
        <v>2074</v>
      </c>
      <c r="D2620" t="s">
        <v>2189</v>
      </c>
    </row>
    <row r="2621" spans="1:4" x14ac:dyDescent="0.3">
      <c r="A2621" t="s">
        <v>1633</v>
      </c>
      <c r="B2621">
        <v>40.467685915243912</v>
      </c>
      <c r="C2621" t="s">
        <v>2074</v>
      </c>
      <c r="D2621" t="s">
        <v>2189</v>
      </c>
    </row>
    <row r="2622" spans="1:4" x14ac:dyDescent="0.3">
      <c r="A2622" t="s">
        <v>1628</v>
      </c>
      <c r="B2622">
        <v>23.446609505691804</v>
      </c>
      <c r="C2622" t="s">
        <v>2074</v>
      </c>
      <c r="D2622" t="s">
        <v>2190</v>
      </c>
    </row>
    <row r="2623" spans="1:4" x14ac:dyDescent="0.3">
      <c r="A2623" t="s">
        <v>17</v>
      </c>
      <c r="B2623">
        <v>9.1197792603319989</v>
      </c>
      <c r="C2623" t="s">
        <v>2074</v>
      </c>
      <c r="D2623" t="s">
        <v>2190</v>
      </c>
    </row>
    <row r="2624" spans="1:4" x14ac:dyDescent="0.3">
      <c r="A2624" t="s">
        <v>209</v>
      </c>
      <c r="B2624">
        <v>14.510861302304766</v>
      </c>
      <c r="C2624" t="s">
        <v>2074</v>
      </c>
      <c r="D2624" t="s">
        <v>2190</v>
      </c>
    </row>
    <row r="2625" spans="1:4" x14ac:dyDescent="0.3">
      <c r="A2625" t="s">
        <v>446</v>
      </c>
      <c r="B2625">
        <v>4.0598063786682376E-2</v>
      </c>
      <c r="C2625" t="s">
        <v>2074</v>
      </c>
      <c r="D2625" t="s">
        <v>2190</v>
      </c>
    </row>
    <row r="2626" spans="1:4" x14ac:dyDescent="0.3">
      <c r="A2626" t="s">
        <v>1632</v>
      </c>
      <c r="B2626">
        <v>16.233068203191692</v>
      </c>
      <c r="C2626" t="s">
        <v>2074</v>
      </c>
      <c r="D2626" t="s">
        <v>2190</v>
      </c>
    </row>
    <row r="2627" spans="1:4" x14ac:dyDescent="0.3">
      <c r="A2627" t="s">
        <v>1626</v>
      </c>
      <c r="B2627">
        <v>12.168617573210502</v>
      </c>
      <c r="C2627" t="s">
        <v>2074</v>
      </c>
      <c r="D2627" t="s">
        <v>2190</v>
      </c>
    </row>
    <row r="2628" spans="1:4" x14ac:dyDescent="0.3">
      <c r="A2628" t="s">
        <v>1627</v>
      </c>
      <c r="B2628">
        <v>3.5092363459654869</v>
      </c>
      <c r="C2628" t="s">
        <v>2074</v>
      </c>
      <c r="D2628" t="s">
        <v>2190</v>
      </c>
    </row>
    <row r="2629" spans="1:4" x14ac:dyDescent="0.3">
      <c r="A2629" t="s">
        <v>1625</v>
      </c>
      <c r="B2629">
        <v>1.3569877241384578</v>
      </c>
      <c r="C2629" t="s">
        <v>2074</v>
      </c>
      <c r="D2629" t="s">
        <v>2190</v>
      </c>
    </row>
    <row r="2630" spans="1:4" x14ac:dyDescent="0.3">
      <c r="A2630" t="s">
        <v>1623</v>
      </c>
      <c r="B2630">
        <v>-0.80177344012275631</v>
      </c>
      <c r="C2630" t="s">
        <v>2074</v>
      </c>
      <c r="D2630" t="s">
        <v>2190</v>
      </c>
    </row>
    <row r="2631" spans="1:4" x14ac:dyDescent="0.3">
      <c r="A2631" t="s">
        <v>1633</v>
      </c>
      <c r="B2631">
        <v>39.679677708883496</v>
      </c>
      <c r="C2631" t="s">
        <v>2074</v>
      </c>
      <c r="D2631" t="s">
        <v>2190</v>
      </c>
    </row>
    <row r="2632" spans="1:4" x14ac:dyDescent="0.3">
      <c r="A2632" t="s">
        <v>1628</v>
      </c>
      <c r="B2632">
        <v>23.448637512920243</v>
      </c>
      <c r="C2632" t="s">
        <v>2074</v>
      </c>
      <c r="D2632" t="s">
        <v>2191</v>
      </c>
    </row>
    <row r="2633" spans="1:4" x14ac:dyDescent="0.3">
      <c r="A2633" t="s">
        <v>17</v>
      </c>
      <c r="B2633">
        <v>9.1197792603319989</v>
      </c>
      <c r="C2633" t="s">
        <v>2074</v>
      </c>
      <c r="D2633" t="s">
        <v>2191</v>
      </c>
    </row>
    <row r="2634" spans="1:4" x14ac:dyDescent="0.3">
      <c r="A2634" t="s">
        <v>209</v>
      </c>
      <c r="B2634">
        <v>14.512889309533206</v>
      </c>
      <c r="C2634" t="s">
        <v>2074</v>
      </c>
      <c r="D2634" t="s">
        <v>2191</v>
      </c>
    </row>
    <row r="2635" spans="1:4" x14ac:dyDescent="0.3">
      <c r="A2635" t="s">
        <v>446</v>
      </c>
      <c r="B2635">
        <v>4.0598063786682376E-2</v>
      </c>
      <c r="C2635" t="s">
        <v>2074</v>
      </c>
      <c r="D2635" t="s">
        <v>2191</v>
      </c>
    </row>
    <row r="2636" spans="1:4" x14ac:dyDescent="0.3">
      <c r="A2636" t="s">
        <v>1632</v>
      </c>
      <c r="B2636">
        <v>16.233068203191692</v>
      </c>
      <c r="C2636" t="s">
        <v>2074</v>
      </c>
      <c r="D2636" t="s">
        <v>2191</v>
      </c>
    </row>
    <row r="2637" spans="1:4" x14ac:dyDescent="0.3">
      <c r="A2637" t="s">
        <v>1626</v>
      </c>
      <c r="B2637">
        <v>12.168617573210502</v>
      </c>
      <c r="C2637" t="s">
        <v>2074</v>
      </c>
      <c r="D2637" t="s">
        <v>2191</v>
      </c>
    </row>
    <row r="2638" spans="1:4" x14ac:dyDescent="0.3">
      <c r="A2638" t="s">
        <v>1627</v>
      </c>
      <c r="B2638">
        <v>3.5092363459654869</v>
      </c>
      <c r="C2638" t="s">
        <v>2074</v>
      </c>
      <c r="D2638" t="s">
        <v>2191</v>
      </c>
    </row>
    <row r="2639" spans="1:4" x14ac:dyDescent="0.3">
      <c r="A2639" t="s">
        <v>1625</v>
      </c>
      <c r="B2639">
        <v>1.3569877241384578</v>
      </c>
      <c r="C2639" t="s">
        <v>2074</v>
      </c>
      <c r="D2639" t="s">
        <v>2191</v>
      </c>
    </row>
    <row r="2640" spans="1:4" x14ac:dyDescent="0.3">
      <c r="A2640" t="s">
        <v>1623</v>
      </c>
      <c r="B2640">
        <v>-0.80177344012275631</v>
      </c>
      <c r="C2640" t="s">
        <v>2074</v>
      </c>
      <c r="D2640" t="s">
        <v>2191</v>
      </c>
    </row>
    <row r="2641" spans="1:4" x14ac:dyDescent="0.3">
      <c r="A2641" t="s">
        <v>1633</v>
      </c>
      <c r="B2641">
        <v>39.681705716111935</v>
      </c>
      <c r="C2641" t="s">
        <v>2074</v>
      </c>
      <c r="D2641" t="s">
        <v>2191</v>
      </c>
    </row>
    <row r="2642" spans="1:4" x14ac:dyDescent="0.3">
      <c r="A2642" t="s">
        <v>1628</v>
      </c>
      <c r="B2642">
        <v>23.115484584380162</v>
      </c>
      <c r="C2642" t="s">
        <v>2074</v>
      </c>
      <c r="D2642" t="s">
        <v>2192</v>
      </c>
    </row>
    <row r="2643" spans="1:4" x14ac:dyDescent="0.3">
      <c r="A2643" t="s">
        <v>17</v>
      </c>
      <c r="B2643">
        <v>9.1197792603319989</v>
      </c>
      <c r="C2643" t="s">
        <v>2074</v>
      </c>
      <c r="D2643" t="s">
        <v>2192</v>
      </c>
    </row>
    <row r="2644" spans="1:4" x14ac:dyDescent="0.3">
      <c r="A2644" t="s">
        <v>209</v>
      </c>
      <c r="B2644">
        <v>14.179736380993125</v>
      </c>
      <c r="C2644" t="s">
        <v>2074</v>
      </c>
      <c r="D2644" t="s">
        <v>2192</v>
      </c>
    </row>
    <row r="2645" spans="1:4" x14ac:dyDescent="0.3">
      <c r="A2645" t="s">
        <v>446</v>
      </c>
      <c r="B2645">
        <v>4.0598063786682376E-2</v>
      </c>
      <c r="C2645" t="s">
        <v>2074</v>
      </c>
      <c r="D2645" t="s">
        <v>2192</v>
      </c>
    </row>
    <row r="2646" spans="1:4" x14ac:dyDescent="0.3">
      <c r="A2646" t="s">
        <v>1632</v>
      </c>
      <c r="B2646">
        <v>16.233068203191692</v>
      </c>
      <c r="C2646" t="s">
        <v>2074</v>
      </c>
      <c r="D2646" t="s">
        <v>2192</v>
      </c>
    </row>
    <row r="2647" spans="1:4" x14ac:dyDescent="0.3">
      <c r="A2647" t="s">
        <v>1626</v>
      </c>
      <c r="B2647">
        <v>12.168617573210502</v>
      </c>
      <c r="C2647" t="s">
        <v>2074</v>
      </c>
      <c r="D2647" t="s">
        <v>2192</v>
      </c>
    </row>
    <row r="2648" spans="1:4" x14ac:dyDescent="0.3">
      <c r="A2648" t="s">
        <v>1627</v>
      </c>
      <c r="B2648">
        <v>3.5092363459654869</v>
      </c>
      <c r="C2648" t="s">
        <v>2074</v>
      </c>
      <c r="D2648" t="s">
        <v>2192</v>
      </c>
    </row>
    <row r="2649" spans="1:4" x14ac:dyDescent="0.3">
      <c r="A2649" t="s">
        <v>1625</v>
      </c>
      <c r="B2649">
        <v>1.3569877241384578</v>
      </c>
      <c r="C2649" t="s">
        <v>2074</v>
      </c>
      <c r="D2649" t="s">
        <v>2192</v>
      </c>
    </row>
    <row r="2650" spans="1:4" x14ac:dyDescent="0.3">
      <c r="A2650" t="s">
        <v>1623</v>
      </c>
      <c r="B2650">
        <v>-0.80177344012275631</v>
      </c>
      <c r="C2650" t="s">
        <v>2074</v>
      </c>
      <c r="D2650" t="s">
        <v>2192</v>
      </c>
    </row>
    <row r="2651" spans="1:4" x14ac:dyDescent="0.3">
      <c r="A2651" t="s">
        <v>1633</v>
      </c>
      <c r="B2651">
        <v>39.348552787571855</v>
      </c>
      <c r="C2651" t="s">
        <v>2074</v>
      </c>
      <c r="D2651" t="s">
        <v>2192</v>
      </c>
    </row>
    <row r="2652" spans="1:4" x14ac:dyDescent="0.3">
      <c r="A2652" t="s">
        <v>1628</v>
      </c>
      <c r="B2652">
        <v>22.382050616103633</v>
      </c>
      <c r="C2652" t="s">
        <v>2074</v>
      </c>
      <c r="D2652" t="s">
        <v>2107</v>
      </c>
    </row>
    <row r="2653" spans="1:4" x14ac:dyDescent="0.3">
      <c r="A2653" t="s">
        <v>17</v>
      </c>
      <c r="B2653">
        <v>9.1197792603319989</v>
      </c>
      <c r="C2653" t="s">
        <v>2074</v>
      </c>
      <c r="D2653" t="s">
        <v>2107</v>
      </c>
    </row>
    <row r="2654" spans="1:4" x14ac:dyDescent="0.3">
      <c r="A2654" t="s">
        <v>209</v>
      </c>
      <c r="B2654">
        <v>13.446302412716596</v>
      </c>
      <c r="C2654" t="s">
        <v>2074</v>
      </c>
      <c r="D2654" t="s">
        <v>2107</v>
      </c>
    </row>
    <row r="2655" spans="1:4" x14ac:dyDescent="0.3">
      <c r="A2655" t="s">
        <v>446</v>
      </c>
      <c r="B2655">
        <v>4.0598063786682376E-2</v>
      </c>
      <c r="C2655" t="s">
        <v>2074</v>
      </c>
      <c r="D2655" t="s">
        <v>2107</v>
      </c>
    </row>
    <row r="2656" spans="1:4" x14ac:dyDescent="0.3">
      <c r="A2656" t="s">
        <v>1632</v>
      </c>
      <c r="B2656">
        <v>16.233068203191692</v>
      </c>
      <c r="C2656" t="s">
        <v>2074</v>
      </c>
      <c r="D2656" t="s">
        <v>2107</v>
      </c>
    </row>
    <row r="2657" spans="1:4" x14ac:dyDescent="0.3">
      <c r="A2657" t="s">
        <v>1626</v>
      </c>
      <c r="B2657">
        <v>12.168617573210502</v>
      </c>
      <c r="C2657" t="s">
        <v>2074</v>
      </c>
      <c r="D2657" t="s">
        <v>2107</v>
      </c>
    </row>
    <row r="2658" spans="1:4" x14ac:dyDescent="0.3">
      <c r="A2658" t="s">
        <v>1627</v>
      </c>
      <c r="B2658">
        <v>3.5092363459654869</v>
      </c>
      <c r="C2658" t="s">
        <v>2074</v>
      </c>
      <c r="D2658" t="s">
        <v>2107</v>
      </c>
    </row>
    <row r="2659" spans="1:4" x14ac:dyDescent="0.3">
      <c r="A2659" t="s">
        <v>1625</v>
      </c>
      <c r="B2659">
        <v>1.3569877241384578</v>
      </c>
      <c r="C2659" t="s">
        <v>2074</v>
      </c>
      <c r="D2659" t="s">
        <v>2107</v>
      </c>
    </row>
    <row r="2660" spans="1:4" x14ac:dyDescent="0.3">
      <c r="A2660" t="s">
        <v>1623</v>
      </c>
      <c r="B2660">
        <v>-0.80177344012275631</v>
      </c>
      <c r="C2660" t="s">
        <v>2074</v>
      </c>
      <c r="D2660" t="s">
        <v>2107</v>
      </c>
    </row>
    <row r="2661" spans="1:4" x14ac:dyDescent="0.3">
      <c r="A2661" t="s">
        <v>1633</v>
      </c>
      <c r="B2661">
        <v>38.615118819295326</v>
      </c>
      <c r="C2661" t="s">
        <v>2074</v>
      </c>
      <c r="D2661" t="s">
        <v>2107</v>
      </c>
    </row>
    <row r="2662" spans="1:4" x14ac:dyDescent="0.3">
      <c r="A2662" t="s">
        <v>1628</v>
      </c>
      <c r="B2662">
        <v>23.268531612667559</v>
      </c>
      <c r="C2662" t="s">
        <v>2074</v>
      </c>
      <c r="D2662" t="s">
        <v>2034</v>
      </c>
    </row>
    <row r="2663" spans="1:4" x14ac:dyDescent="0.3">
      <c r="A2663" t="s">
        <v>17</v>
      </c>
      <c r="B2663">
        <v>9.1197792603319989</v>
      </c>
      <c r="C2663" t="s">
        <v>2074</v>
      </c>
      <c r="D2663" t="s">
        <v>2034</v>
      </c>
    </row>
    <row r="2664" spans="1:4" x14ac:dyDescent="0.3">
      <c r="A2664" t="s">
        <v>209</v>
      </c>
      <c r="B2664">
        <v>14.33278340928052</v>
      </c>
      <c r="C2664" t="s">
        <v>2074</v>
      </c>
      <c r="D2664" t="s">
        <v>2034</v>
      </c>
    </row>
    <row r="2665" spans="1:4" x14ac:dyDescent="0.3">
      <c r="A2665" t="s">
        <v>446</v>
      </c>
      <c r="B2665">
        <v>4.0598063786682376E-2</v>
      </c>
      <c r="C2665" t="s">
        <v>2074</v>
      </c>
      <c r="D2665" t="s">
        <v>2034</v>
      </c>
    </row>
    <row r="2666" spans="1:4" x14ac:dyDescent="0.3">
      <c r="A2666" t="s">
        <v>1632</v>
      </c>
      <c r="B2666">
        <v>16.233068203191692</v>
      </c>
      <c r="C2666" t="s">
        <v>2074</v>
      </c>
      <c r="D2666" t="s">
        <v>2034</v>
      </c>
    </row>
    <row r="2667" spans="1:4" x14ac:dyDescent="0.3">
      <c r="A2667" t="s">
        <v>1626</v>
      </c>
      <c r="B2667">
        <v>12.168617573210502</v>
      </c>
      <c r="C2667" t="s">
        <v>2074</v>
      </c>
      <c r="D2667" t="s">
        <v>2034</v>
      </c>
    </row>
    <row r="2668" spans="1:4" x14ac:dyDescent="0.3">
      <c r="A2668" t="s">
        <v>1627</v>
      </c>
      <c r="B2668">
        <v>3.5092363459654869</v>
      </c>
      <c r="C2668" t="s">
        <v>2074</v>
      </c>
      <c r="D2668" t="s">
        <v>2034</v>
      </c>
    </row>
    <row r="2669" spans="1:4" x14ac:dyDescent="0.3">
      <c r="A2669" t="s">
        <v>1625</v>
      </c>
      <c r="B2669">
        <v>1.3569877241384578</v>
      </c>
      <c r="C2669" t="s">
        <v>2074</v>
      </c>
      <c r="D2669" t="s">
        <v>2034</v>
      </c>
    </row>
    <row r="2670" spans="1:4" x14ac:dyDescent="0.3">
      <c r="A2670" t="s">
        <v>1623</v>
      </c>
      <c r="B2670">
        <v>-0.80177344012275631</v>
      </c>
      <c r="C2670" t="s">
        <v>2074</v>
      </c>
      <c r="D2670" t="s">
        <v>2034</v>
      </c>
    </row>
    <row r="2671" spans="1:4" x14ac:dyDescent="0.3">
      <c r="A2671" t="s">
        <v>1633</v>
      </c>
      <c r="B2671">
        <v>39.501599815859251</v>
      </c>
      <c r="C2671" t="s">
        <v>2074</v>
      </c>
      <c r="D2671" t="s">
        <v>2034</v>
      </c>
    </row>
    <row r="2672" spans="1:4" x14ac:dyDescent="0.3">
      <c r="A2672" t="s">
        <v>1628</v>
      </c>
      <c r="B2672">
        <v>23.638405871918909</v>
      </c>
      <c r="C2672" t="s">
        <v>2074</v>
      </c>
      <c r="D2672" t="s">
        <v>2035</v>
      </c>
    </row>
    <row r="2673" spans="1:4" x14ac:dyDescent="0.3">
      <c r="A2673" t="s">
        <v>17</v>
      </c>
      <c r="B2673">
        <v>9.1197792603319989</v>
      </c>
      <c r="C2673" t="s">
        <v>2074</v>
      </c>
      <c r="D2673" t="s">
        <v>2035</v>
      </c>
    </row>
    <row r="2674" spans="1:4" x14ac:dyDescent="0.3">
      <c r="A2674" t="s">
        <v>209</v>
      </c>
      <c r="B2674">
        <v>14.70265766853187</v>
      </c>
      <c r="C2674" t="s">
        <v>2074</v>
      </c>
      <c r="D2674" t="s">
        <v>2035</v>
      </c>
    </row>
    <row r="2675" spans="1:4" x14ac:dyDescent="0.3">
      <c r="A2675" t="s">
        <v>446</v>
      </c>
      <c r="B2675">
        <v>4.0598063786682376E-2</v>
      </c>
      <c r="C2675" t="s">
        <v>2074</v>
      </c>
      <c r="D2675" t="s">
        <v>2035</v>
      </c>
    </row>
    <row r="2676" spans="1:4" x14ac:dyDescent="0.3">
      <c r="A2676" t="s">
        <v>1632</v>
      </c>
      <c r="B2676">
        <v>16.233068203191692</v>
      </c>
      <c r="C2676" t="s">
        <v>2074</v>
      </c>
      <c r="D2676" t="s">
        <v>2035</v>
      </c>
    </row>
    <row r="2677" spans="1:4" x14ac:dyDescent="0.3">
      <c r="A2677" t="s">
        <v>1626</v>
      </c>
      <c r="B2677">
        <v>12.168617573210502</v>
      </c>
      <c r="C2677" t="s">
        <v>2074</v>
      </c>
      <c r="D2677" t="s">
        <v>2035</v>
      </c>
    </row>
    <row r="2678" spans="1:4" x14ac:dyDescent="0.3">
      <c r="A2678" t="s">
        <v>1627</v>
      </c>
      <c r="B2678">
        <v>3.5092363459654869</v>
      </c>
      <c r="C2678" t="s">
        <v>2074</v>
      </c>
      <c r="D2678" t="s">
        <v>2035</v>
      </c>
    </row>
    <row r="2679" spans="1:4" x14ac:dyDescent="0.3">
      <c r="A2679" t="s">
        <v>1625</v>
      </c>
      <c r="B2679">
        <v>1.3569877241384578</v>
      </c>
      <c r="C2679" t="s">
        <v>2074</v>
      </c>
      <c r="D2679" t="s">
        <v>2035</v>
      </c>
    </row>
    <row r="2680" spans="1:4" x14ac:dyDescent="0.3">
      <c r="A2680" t="s">
        <v>1623</v>
      </c>
      <c r="B2680">
        <v>-0.80177344012275631</v>
      </c>
      <c r="C2680" t="s">
        <v>2074</v>
      </c>
      <c r="D2680" t="s">
        <v>2035</v>
      </c>
    </row>
    <row r="2681" spans="1:4" x14ac:dyDescent="0.3">
      <c r="A2681" t="s">
        <v>1633</v>
      </c>
      <c r="B2681">
        <v>39.871474075110598</v>
      </c>
      <c r="C2681" t="s">
        <v>2074</v>
      </c>
      <c r="D2681" t="s">
        <v>2035</v>
      </c>
    </row>
    <row r="2682" spans="1:4" x14ac:dyDescent="0.3">
      <c r="A2682" t="s">
        <v>1628</v>
      </c>
      <c r="B2682">
        <v>23.312536903412362</v>
      </c>
      <c r="C2682" t="s">
        <v>2074</v>
      </c>
      <c r="D2682" t="s">
        <v>2036</v>
      </c>
    </row>
    <row r="2683" spans="1:4" x14ac:dyDescent="0.3">
      <c r="A2683" t="s">
        <v>17</v>
      </c>
      <c r="B2683">
        <v>9.1197792603319989</v>
      </c>
      <c r="C2683" t="s">
        <v>2074</v>
      </c>
      <c r="D2683" t="s">
        <v>2036</v>
      </c>
    </row>
    <row r="2684" spans="1:4" x14ac:dyDescent="0.3">
      <c r="A2684" t="s">
        <v>209</v>
      </c>
      <c r="B2684">
        <v>14.376788700025322</v>
      </c>
      <c r="C2684" t="s">
        <v>2074</v>
      </c>
      <c r="D2684" t="s">
        <v>2036</v>
      </c>
    </row>
    <row r="2685" spans="1:4" x14ac:dyDescent="0.3">
      <c r="A2685" t="s">
        <v>446</v>
      </c>
      <c r="B2685">
        <v>4.0598063786682376E-2</v>
      </c>
      <c r="C2685" t="s">
        <v>2074</v>
      </c>
      <c r="D2685" t="s">
        <v>2036</v>
      </c>
    </row>
    <row r="2686" spans="1:4" x14ac:dyDescent="0.3">
      <c r="A2686" t="s">
        <v>1632</v>
      </c>
      <c r="B2686">
        <v>16.233068203191692</v>
      </c>
      <c r="C2686" t="s">
        <v>2074</v>
      </c>
      <c r="D2686" t="s">
        <v>2036</v>
      </c>
    </row>
    <row r="2687" spans="1:4" x14ac:dyDescent="0.3">
      <c r="A2687" t="s">
        <v>1626</v>
      </c>
      <c r="B2687">
        <v>12.168617573210502</v>
      </c>
      <c r="C2687" t="s">
        <v>2074</v>
      </c>
      <c r="D2687" t="s">
        <v>2036</v>
      </c>
    </row>
    <row r="2688" spans="1:4" x14ac:dyDescent="0.3">
      <c r="A2688" t="s">
        <v>1627</v>
      </c>
      <c r="B2688">
        <v>3.5092363459654869</v>
      </c>
      <c r="C2688" t="s">
        <v>2074</v>
      </c>
      <c r="D2688" t="s">
        <v>2036</v>
      </c>
    </row>
    <row r="2689" spans="1:4" x14ac:dyDescent="0.3">
      <c r="A2689" t="s">
        <v>1625</v>
      </c>
      <c r="B2689">
        <v>1.3569877241384578</v>
      </c>
      <c r="C2689" t="s">
        <v>2074</v>
      </c>
      <c r="D2689" t="s">
        <v>2036</v>
      </c>
    </row>
    <row r="2690" spans="1:4" x14ac:dyDescent="0.3">
      <c r="A2690" t="s">
        <v>1623</v>
      </c>
      <c r="B2690">
        <v>-0.80177344012275631</v>
      </c>
      <c r="C2690" t="s">
        <v>2074</v>
      </c>
      <c r="D2690" t="s">
        <v>2036</v>
      </c>
    </row>
    <row r="2691" spans="1:4" x14ac:dyDescent="0.3">
      <c r="A2691" t="s">
        <v>1633</v>
      </c>
      <c r="B2691">
        <v>39.545605106604057</v>
      </c>
      <c r="C2691" t="s">
        <v>2074</v>
      </c>
      <c r="D2691" t="s">
        <v>2036</v>
      </c>
    </row>
    <row r="2692" spans="1:4" x14ac:dyDescent="0.3">
      <c r="A2692" t="s">
        <v>1628</v>
      </c>
      <c r="B2692">
        <v>23.63708742141965</v>
      </c>
      <c r="C2692" t="s">
        <v>2074</v>
      </c>
      <c r="D2692" t="s">
        <v>2037</v>
      </c>
    </row>
    <row r="2693" spans="1:4" x14ac:dyDescent="0.3">
      <c r="A2693" t="s">
        <v>17</v>
      </c>
      <c r="B2693">
        <v>9.1197792603319989</v>
      </c>
      <c r="C2693" t="s">
        <v>2074</v>
      </c>
      <c r="D2693" t="s">
        <v>2037</v>
      </c>
    </row>
    <row r="2694" spans="1:4" x14ac:dyDescent="0.3">
      <c r="A2694" t="s">
        <v>209</v>
      </c>
      <c r="B2694">
        <v>14.701339218032611</v>
      </c>
      <c r="C2694" t="s">
        <v>2074</v>
      </c>
      <c r="D2694" t="s">
        <v>2037</v>
      </c>
    </row>
    <row r="2695" spans="1:4" x14ac:dyDescent="0.3">
      <c r="A2695" t="s">
        <v>446</v>
      </c>
      <c r="B2695">
        <v>4.0598063786682376E-2</v>
      </c>
      <c r="C2695" t="s">
        <v>2074</v>
      </c>
      <c r="D2695" t="s">
        <v>2037</v>
      </c>
    </row>
    <row r="2696" spans="1:4" x14ac:dyDescent="0.3">
      <c r="A2696" t="s">
        <v>1632</v>
      </c>
      <c r="B2696">
        <v>16.233068203191692</v>
      </c>
      <c r="C2696" t="s">
        <v>2074</v>
      </c>
      <c r="D2696" t="s">
        <v>2037</v>
      </c>
    </row>
    <row r="2697" spans="1:4" x14ac:dyDescent="0.3">
      <c r="A2697" t="s">
        <v>1626</v>
      </c>
      <c r="B2697">
        <v>12.168617573210502</v>
      </c>
      <c r="C2697" t="s">
        <v>2074</v>
      </c>
      <c r="D2697" t="s">
        <v>2037</v>
      </c>
    </row>
    <row r="2698" spans="1:4" x14ac:dyDescent="0.3">
      <c r="A2698" t="s">
        <v>1627</v>
      </c>
      <c r="B2698">
        <v>3.5092363459654869</v>
      </c>
      <c r="C2698" t="s">
        <v>2074</v>
      </c>
      <c r="D2698" t="s">
        <v>2037</v>
      </c>
    </row>
    <row r="2699" spans="1:4" x14ac:dyDescent="0.3">
      <c r="A2699" t="s">
        <v>1625</v>
      </c>
      <c r="B2699">
        <v>1.3569877241384578</v>
      </c>
      <c r="C2699" t="s">
        <v>2074</v>
      </c>
      <c r="D2699" t="s">
        <v>2037</v>
      </c>
    </row>
    <row r="2700" spans="1:4" x14ac:dyDescent="0.3">
      <c r="A2700" t="s">
        <v>1623</v>
      </c>
      <c r="B2700">
        <v>-0.80177344012275631</v>
      </c>
      <c r="C2700" t="s">
        <v>2074</v>
      </c>
      <c r="D2700" t="s">
        <v>2037</v>
      </c>
    </row>
    <row r="2701" spans="1:4" x14ac:dyDescent="0.3">
      <c r="A2701" t="s">
        <v>1633</v>
      </c>
      <c r="B2701">
        <v>39.870155624611343</v>
      </c>
      <c r="C2701" t="s">
        <v>2074</v>
      </c>
      <c r="D2701" t="s">
        <v>2037</v>
      </c>
    </row>
    <row r="2702" spans="1:4" x14ac:dyDescent="0.3">
      <c r="A2702" t="s">
        <v>1628</v>
      </c>
      <c r="B2702">
        <v>23.162000023781225</v>
      </c>
      <c r="C2702" t="s">
        <v>2074</v>
      </c>
      <c r="D2702" t="s">
        <v>2038</v>
      </c>
    </row>
    <row r="2703" spans="1:4" x14ac:dyDescent="0.3">
      <c r="A2703" t="s">
        <v>17</v>
      </c>
      <c r="B2703">
        <v>9.1197792603319989</v>
      </c>
      <c r="C2703" t="s">
        <v>2074</v>
      </c>
      <c r="D2703" t="s">
        <v>2038</v>
      </c>
    </row>
    <row r="2704" spans="1:4" x14ac:dyDescent="0.3">
      <c r="A2704" t="s">
        <v>209</v>
      </c>
      <c r="B2704">
        <v>14.226251820394186</v>
      </c>
      <c r="C2704" t="s">
        <v>2074</v>
      </c>
      <c r="D2704" t="s">
        <v>2038</v>
      </c>
    </row>
    <row r="2705" spans="1:4" x14ac:dyDescent="0.3">
      <c r="A2705" t="s">
        <v>446</v>
      </c>
      <c r="B2705">
        <v>4.0598063786682376E-2</v>
      </c>
      <c r="C2705" t="s">
        <v>2074</v>
      </c>
      <c r="D2705" t="s">
        <v>2038</v>
      </c>
    </row>
    <row r="2706" spans="1:4" x14ac:dyDescent="0.3">
      <c r="A2706" t="s">
        <v>1632</v>
      </c>
      <c r="B2706">
        <v>16.233068203191692</v>
      </c>
      <c r="C2706" t="s">
        <v>2074</v>
      </c>
      <c r="D2706" t="s">
        <v>2038</v>
      </c>
    </row>
    <row r="2707" spans="1:4" x14ac:dyDescent="0.3">
      <c r="A2707" t="s">
        <v>1626</v>
      </c>
      <c r="B2707">
        <v>12.168617573210502</v>
      </c>
      <c r="C2707" t="s">
        <v>2074</v>
      </c>
      <c r="D2707" t="s">
        <v>2038</v>
      </c>
    </row>
    <row r="2708" spans="1:4" x14ac:dyDescent="0.3">
      <c r="A2708" t="s">
        <v>1627</v>
      </c>
      <c r="B2708">
        <v>3.5092363459654869</v>
      </c>
      <c r="C2708" t="s">
        <v>2074</v>
      </c>
      <c r="D2708" t="s">
        <v>2038</v>
      </c>
    </row>
    <row r="2709" spans="1:4" x14ac:dyDescent="0.3">
      <c r="A2709" t="s">
        <v>1625</v>
      </c>
      <c r="B2709">
        <v>1.3569877241384578</v>
      </c>
      <c r="C2709" t="s">
        <v>2074</v>
      </c>
      <c r="D2709" t="s">
        <v>2038</v>
      </c>
    </row>
    <row r="2710" spans="1:4" x14ac:dyDescent="0.3">
      <c r="A2710" t="s">
        <v>1623</v>
      </c>
      <c r="B2710">
        <v>-0.80177344012275631</v>
      </c>
      <c r="C2710" t="s">
        <v>2074</v>
      </c>
      <c r="D2710" t="s">
        <v>2038</v>
      </c>
    </row>
    <row r="2711" spans="1:4" x14ac:dyDescent="0.3">
      <c r="A2711" t="s">
        <v>1633</v>
      </c>
      <c r="B2711">
        <v>39.395068226972917</v>
      </c>
      <c r="C2711" t="s">
        <v>2074</v>
      </c>
      <c r="D2711" t="s">
        <v>2038</v>
      </c>
    </row>
    <row r="2712" spans="1:4" x14ac:dyDescent="0.3">
      <c r="A2712" t="s">
        <v>1628</v>
      </c>
      <c r="B2712">
        <v>23.117994733036426</v>
      </c>
      <c r="C2712" t="s">
        <v>2074</v>
      </c>
      <c r="D2712" t="s">
        <v>2039</v>
      </c>
    </row>
    <row r="2713" spans="1:4" x14ac:dyDescent="0.3">
      <c r="A2713" t="s">
        <v>17</v>
      </c>
      <c r="B2713">
        <v>9.1197792603319989</v>
      </c>
      <c r="C2713" t="s">
        <v>2074</v>
      </c>
      <c r="D2713" t="s">
        <v>2039</v>
      </c>
    </row>
    <row r="2714" spans="1:4" x14ac:dyDescent="0.3">
      <c r="A2714" t="s">
        <v>209</v>
      </c>
      <c r="B2714">
        <v>14.182246529649388</v>
      </c>
      <c r="C2714" t="s">
        <v>2074</v>
      </c>
      <c r="D2714" t="s">
        <v>2039</v>
      </c>
    </row>
    <row r="2715" spans="1:4" x14ac:dyDescent="0.3">
      <c r="A2715" t="s">
        <v>446</v>
      </c>
      <c r="B2715">
        <v>4.0598063786682376E-2</v>
      </c>
      <c r="C2715" t="s">
        <v>2074</v>
      </c>
      <c r="D2715" t="s">
        <v>2039</v>
      </c>
    </row>
    <row r="2716" spans="1:4" x14ac:dyDescent="0.3">
      <c r="A2716" t="s">
        <v>1632</v>
      </c>
      <c r="B2716">
        <v>16.233068203191692</v>
      </c>
      <c r="C2716" t="s">
        <v>2074</v>
      </c>
      <c r="D2716" t="s">
        <v>2039</v>
      </c>
    </row>
    <row r="2717" spans="1:4" x14ac:dyDescent="0.3">
      <c r="A2717" t="s">
        <v>1626</v>
      </c>
      <c r="B2717">
        <v>12.168617573210502</v>
      </c>
      <c r="C2717" t="s">
        <v>2074</v>
      </c>
      <c r="D2717" t="s">
        <v>2039</v>
      </c>
    </row>
    <row r="2718" spans="1:4" x14ac:dyDescent="0.3">
      <c r="A2718" t="s">
        <v>1627</v>
      </c>
      <c r="B2718">
        <v>3.5092363459654869</v>
      </c>
      <c r="C2718" t="s">
        <v>2074</v>
      </c>
      <c r="D2718" t="s">
        <v>2039</v>
      </c>
    </row>
    <row r="2719" spans="1:4" x14ac:dyDescent="0.3">
      <c r="A2719" t="s">
        <v>1625</v>
      </c>
      <c r="B2719">
        <v>1.3569877241384578</v>
      </c>
      <c r="C2719" t="s">
        <v>2074</v>
      </c>
      <c r="D2719" t="s">
        <v>2039</v>
      </c>
    </row>
    <row r="2720" spans="1:4" x14ac:dyDescent="0.3">
      <c r="A2720" t="s">
        <v>1623</v>
      </c>
      <c r="B2720">
        <v>-0.80177344012275631</v>
      </c>
      <c r="C2720" t="s">
        <v>2074</v>
      </c>
      <c r="D2720" t="s">
        <v>2039</v>
      </c>
    </row>
    <row r="2721" spans="1:4" x14ac:dyDescent="0.3">
      <c r="A2721" t="s">
        <v>1633</v>
      </c>
      <c r="B2721">
        <v>39.351062936228118</v>
      </c>
      <c r="C2721" t="s">
        <v>2074</v>
      </c>
      <c r="D2721" t="s">
        <v>2039</v>
      </c>
    </row>
    <row r="2722" spans="1:4" x14ac:dyDescent="0.3">
      <c r="A2722" t="s">
        <v>1628</v>
      </c>
      <c r="B2722">
        <v>23.221379656011081</v>
      </c>
      <c r="C2722" t="s">
        <v>2074</v>
      </c>
      <c r="D2722" t="s">
        <v>2040</v>
      </c>
    </row>
    <row r="2723" spans="1:4" x14ac:dyDescent="0.3">
      <c r="A2723" t="s">
        <v>17</v>
      </c>
      <c r="B2723">
        <v>9.1197792603319989</v>
      </c>
      <c r="C2723" t="s">
        <v>2074</v>
      </c>
      <c r="D2723" t="s">
        <v>2040</v>
      </c>
    </row>
    <row r="2724" spans="1:4" x14ac:dyDescent="0.3">
      <c r="A2724" t="s">
        <v>209</v>
      </c>
      <c r="B2724">
        <v>14.28563145262404</v>
      </c>
      <c r="C2724" t="s">
        <v>2074</v>
      </c>
      <c r="D2724" t="s">
        <v>2040</v>
      </c>
    </row>
    <row r="2725" spans="1:4" x14ac:dyDescent="0.3">
      <c r="A2725" t="s">
        <v>446</v>
      </c>
      <c r="B2725">
        <v>4.0598063786682376E-2</v>
      </c>
      <c r="C2725" t="s">
        <v>2074</v>
      </c>
      <c r="D2725" t="s">
        <v>2040</v>
      </c>
    </row>
    <row r="2726" spans="1:4" x14ac:dyDescent="0.3">
      <c r="A2726" t="s">
        <v>1632</v>
      </c>
      <c r="B2726">
        <v>16.233068203191692</v>
      </c>
      <c r="C2726" t="s">
        <v>2074</v>
      </c>
      <c r="D2726" t="s">
        <v>2040</v>
      </c>
    </row>
    <row r="2727" spans="1:4" x14ac:dyDescent="0.3">
      <c r="A2727" t="s">
        <v>1626</v>
      </c>
      <c r="B2727">
        <v>12.168617573210502</v>
      </c>
      <c r="C2727" t="s">
        <v>2074</v>
      </c>
      <c r="D2727" t="s">
        <v>2040</v>
      </c>
    </row>
    <row r="2728" spans="1:4" x14ac:dyDescent="0.3">
      <c r="A2728" t="s">
        <v>1627</v>
      </c>
      <c r="B2728">
        <v>3.5092363459654869</v>
      </c>
      <c r="C2728" t="s">
        <v>2074</v>
      </c>
      <c r="D2728" t="s">
        <v>2040</v>
      </c>
    </row>
    <row r="2729" spans="1:4" x14ac:dyDescent="0.3">
      <c r="A2729" t="s">
        <v>1625</v>
      </c>
      <c r="B2729">
        <v>1.3569877241384578</v>
      </c>
      <c r="C2729" t="s">
        <v>2074</v>
      </c>
      <c r="D2729" t="s">
        <v>2040</v>
      </c>
    </row>
    <row r="2730" spans="1:4" x14ac:dyDescent="0.3">
      <c r="A2730" t="s">
        <v>1623</v>
      </c>
      <c r="B2730">
        <v>-0.80177344012275631</v>
      </c>
      <c r="C2730" t="s">
        <v>2074</v>
      </c>
      <c r="D2730" t="s">
        <v>2040</v>
      </c>
    </row>
    <row r="2731" spans="1:4" x14ac:dyDescent="0.3">
      <c r="A2731" t="s">
        <v>1633</v>
      </c>
      <c r="B2731">
        <v>39.454447859202773</v>
      </c>
      <c r="C2731" t="s">
        <v>2074</v>
      </c>
      <c r="D2731" t="s">
        <v>2040</v>
      </c>
    </row>
    <row r="2732" spans="1:4" x14ac:dyDescent="0.3">
      <c r="A2732" t="s">
        <v>1628</v>
      </c>
      <c r="B2732">
        <v>23.312536903412362</v>
      </c>
      <c r="C2732" t="s">
        <v>2074</v>
      </c>
      <c r="D2732" t="s">
        <v>2041</v>
      </c>
    </row>
    <row r="2733" spans="1:4" x14ac:dyDescent="0.3">
      <c r="A2733" t="s">
        <v>17</v>
      </c>
      <c r="B2733">
        <v>9.1197792603319989</v>
      </c>
      <c r="C2733" t="s">
        <v>2074</v>
      </c>
      <c r="D2733" t="s">
        <v>2041</v>
      </c>
    </row>
    <row r="2734" spans="1:4" x14ac:dyDescent="0.3">
      <c r="A2734" t="s">
        <v>209</v>
      </c>
      <c r="B2734">
        <v>14.376788700025322</v>
      </c>
      <c r="C2734" t="s">
        <v>2074</v>
      </c>
      <c r="D2734" t="s">
        <v>2041</v>
      </c>
    </row>
    <row r="2735" spans="1:4" x14ac:dyDescent="0.3">
      <c r="A2735" t="s">
        <v>446</v>
      </c>
      <c r="B2735">
        <v>4.0598063786682376E-2</v>
      </c>
      <c r="C2735" t="s">
        <v>2074</v>
      </c>
      <c r="D2735" t="s">
        <v>2041</v>
      </c>
    </row>
    <row r="2736" spans="1:4" x14ac:dyDescent="0.3">
      <c r="A2736" t="s">
        <v>1632</v>
      </c>
      <c r="B2736">
        <v>16.233068203191692</v>
      </c>
      <c r="C2736" t="s">
        <v>2074</v>
      </c>
      <c r="D2736" t="s">
        <v>2041</v>
      </c>
    </row>
    <row r="2737" spans="1:4" x14ac:dyDescent="0.3">
      <c r="A2737" t="s">
        <v>1626</v>
      </c>
      <c r="B2737">
        <v>12.168617573210502</v>
      </c>
      <c r="C2737" t="s">
        <v>2074</v>
      </c>
      <c r="D2737" t="s">
        <v>2041</v>
      </c>
    </row>
    <row r="2738" spans="1:4" x14ac:dyDescent="0.3">
      <c r="A2738" t="s">
        <v>1627</v>
      </c>
      <c r="B2738">
        <v>3.5092363459654869</v>
      </c>
      <c r="C2738" t="s">
        <v>2074</v>
      </c>
      <c r="D2738" t="s">
        <v>2041</v>
      </c>
    </row>
    <row r="2739" spans="1:4" x14ac:dyDescent="0.3">
      <c r="A2739" t="s">
        <v>1625</v>
      </c>
      <c r="B2739">
        <v>1.3569877241384578</v>
      </c>
      <c r="C2739" t="s">
        <v>2074</v>
      </c>
      <c r="D2739" t="s">
        <v>2041</v>
      </c>
    </row>
    <row r="2740" spans="1:4" x14ac:dyDescent="0.3">
      <c r="A2740" t="s">
        <v>1623</v>
      </c>
      <c r="B2740">
        <v>-0.80177344012275631</v>
      </c>
      <c r="C2740" t="s">
        <v>2074</v>
      </c>
      <c r="D2740" t="s">
        <v>2041</v>
      </c>
    </row>
    <row r="2741" spans="1:4" x14ac:dyDescent="0.3">
      <c r="A2741" t="s">
        <v>1633</v>
      </c>
      <c r="B2741">
        <v>39.545605106604057</v>
      </c>
      <c r="C2741" t="s">
        <v>2074</v>
      </c>
      <c r="D2741" t="s">
        <v>2041</v>
      </c>
    </row>
    <row r="2742" spans="1:4" x14ac:dyDescent="0.3">
      <c r="A2742" t="s">
        <v>1628</v>
      </c>
      <c r="B2742">
        <v>23.23117786907666</v>
      </c>
      <c r="C2742" t="s">
        <v>2074</v>
      </c>
      <c r="D2742" t="s">
        <v>2042</v>
      </c>
    </row>
    <row r="2743" spans="1:4" x14ac:dyDescent="0.3">
      <c r="A2743" t="s">
        <v>17</v>
      </c>
      <c r="B2743">
        <v>9.1197792603319989</v>
      </c>
      <c r="C2743" t="s">
        <v>2074</v>
      </c>
      <c r="D2743" t="s">
        <v>2042</v>
      </c>
    </row>
    <row r="2744" spans="1:4" x14ac:dyDescent="0.3">
      <c r="A2744" t="s">
        <v>209</v>
      </c>
      <c r="B2744">
        <v>14.295429665689623</v>
      </c>
      <c r="C2744" t="s">
        <v>2074</v>
      </c>
      <c r="D2744" t="s">
        <v>2042</v>
      </c>
    </row>
    <row r="2745" spans="1:4" x14ac:dyDescent="0.3">
      <c r="A2745" t="s">
        <v>446</v>
      </c>
      <c r="B2745">
        <v>4.0598063786682376E-2</v>
      </c>
      <c r="C2745" t="s">
        <v>2074</v>
      </c>
      <c r="D2745" t="s">
        <v>2042</v>
      </c>
    </row>
    <row r="2746" spans="1:4" x14ac:dyDescent="0.3">
      <c r="A2746" t="s">
        <v>1632</v>
      </c>
      <c r="B2746">
        <v>16.233068203191692</v>
      </c>
      <c r="C2746" t="s">
        <v>2074</v>
      </c>
      <c r="D2746" t="s">
        <v>2042</v>
      </c>
    </row>
    <row r="2747" spans="1:4" x14ac:dyDescent="0.3">
      <c r="A2747" t="s">
        <v>1626</v>
      </c>
      <c r="B2747">
        <v>12.168617573210502</v>
      </c>
      <c r="C2747" t="s">
        <v>2074</v>
      </c>
      <c r="D2747" t="s">
        <v>2042</v>
      </c>
    </row>
    <row r="2748" spans="1:4" x14ac:dyDescent="0.3">
      <c r="A2748" t="s">
        <v>1627</v>
      </c>
      <c r="B2748">
        <v>3.5092363459654869</v>
      </c>
      <c r="C2748" t="s">
        <v>2074</v>
      </c>
      <c r="D2748" t="s">
        <v>2042</v>
      </c>
    </row>
    <row r="2749" spans="1:4" x14ac:dyDescent="0.3">
      <c r="A2749" t="s">
        <v>1625</v>
      </c>
      <c r="B2749">
        <v>1.3569877241384578</v>
      </c>
      <c r="C2749" t="s">
        <v>2074</v>
      </c>
      <c r="D2749" t="s">
        <v>2042</v>
      </c>
    </row>
    <row r="2750" spans="1:4" x14ac:dyDescent="0.3">
      <c r="A2750" t="s">
        <v>1623</v>
      </c>
      <c r="B2750">
        <v>-0.80177344012275631</v>
      </c>
      <c r="C2750" t="s">
        <v>2074</v>
      </c>
      <c r="D2750" t="s">
        <v>2042</v>
      </c>
    </row>
    <row r="2751" spans="1:4" x14ac:dyDescent="0.3">
      <c r="A2751" t="s">
        <v>1633</v>
      </c>
      <c r="B2751">
        <v>39.464246072268352</v>
      </c>
      <c r="C2751" t="s">
        <v>2074</v>
      </c>
      <c r="D2751" t="s">
        <v>2042</v>
      </c>
    </row>
    <row r="2752" spans="1:4" x14ac:dyDescent="0.3">
      <c r="A2752" t="s">
        <v>1628</v>
      </c>
      <c r="B2752">
        <v>23.926763002075603</v>
      </c>
      <c r="C2752" t="s">
        <v>2074</v>
      </c>
      <c r="D2752" t="s">
        <v>2043</v>
      </c>
    </row>
    <row r="2753" spans="1:4" x14ac:dyDescent="0.3">
      <c r="A2753" t="s">
        <v>17</v>
      </c>
      <c r="B2753">
        <v>9.1197792603319989</v>
      </c>
      <c r="C2753" t="s">
        <v>2074</v>
      </c>
      <c r="D2753" t="s">
        <v>2043</v>
      </c>
    </row>
    <row r="2754" spans="1:4" x14ac:dyDescent="0.3">
      <c r="A2754" t="s">
        <v>209</v>
      </c>
      <c r="B2754">
        <v>14.991014798688566</v>
      </c>
      <c r="C2754" t="s">
        <v>2074</v>
      </c>
      <c r="D2754" t="s">
        <v>2043</v>
      </c>
    </row>
    <row r="2755" spans="1:4" x14ac:dyDescent="0.3">
      <c r="A2755" t="s">
        <v>446</v>
      </c>
      <c r="B2755">
        <v>4.0598063786682376E-2</v>
      </c>
      <c r="C2755" t="s">
        <v>2074</v>
      </c>
      <c r="D2755" t="s">
        <v>2043</v>
      </c>
    </row>
    <row r="2756" spans="1:4" x14ac:dyDescent="0.3">
      <c r="A2756" t="s">
        <v>1632</v>
      </c>
      <c r="B2756">
        <v>16.233068203191692</v>
      </c>
      <c r="C2756" t="s">
        <v>2074</v>
      </c>
      <c r="D2756" t="s">
        <v>2043</v>
      </c>
    </row>
    <row r="2757" spans="1:4" x14ac:dyDescent="0.3">
      <c r="A2757" t="s">
        <v>1626</v>
      </c>
      <c r="B2757">
        <v>12.168617573210502</v>
      </c>
      <c r="C2757" t="s">
        <v>2074</v>
      </c>
      <c r="D2757" t="s">
        <v>2043</v>
      </c>
    </row>
    <row r="2758" spans="1:4" x14ac:dyDescent="0.3">
      <c r="A2758" t="s">
        <v>1627</v>
      </c>
      <c r="B2758">
        <v>3.5092363459654869</v>
      </c>
      <c r="C2758" t="s">
        <v>2074</v>
      </c>
      <c r="D2758" t="s">
        <v>2043</v>
      </c>
    </row>
    <row r="2759" spans="1:4" x14ac:dyDescent="0.3">
      <c r="A2759" t="s">
        <v>1625</v>
      </c>
      <c r="B2759">
        <v>1.3569877241384578</v>
      </c>
      <c r="C2759" t="s">
        <v>2074</v>
      </c>
      <c r="D2759" t="s">
        <v>2043</v>
      </c>
    </row>
    <row r="2760" spans="1:4" x14ac:dyDescent="0.3">
      <c r="A2760" t="s">
        <v>1623</v>
      </c>
      <c r="B2760">
        <v>-0.80177344012275631</v>
      </c>
      <c r="C2760" t="s">
        <v>2074</v>
      </c>
      <c r="D2760" t="s">
        <v>2043</v>
      </c>
    </row>
    <row r="2761" spans="1:4" x14ac:dyDescent="0.3">
      <c r="A2761" t="s">
        <v>1633</v>
      </c>
      <c r="B2761">
        <v>40.159831205267295</v>
      </c>
      <c r="C2761" t="s">
        <v>2074</v>
      </c>
      <c r="D2761" t="s">
        <v>2043</v>
      </c>
    </row>
    <row r="2762" spans="1:4" x14ac:dyDescent="0.3">
      <c r="A2762" t="s">
        <v>1628</v>
      </c>
      <c r="B2762">
        <v>23.312536903412362</v>
      </c>
      <c r="C2762" t="s">
        <v>2074</v>
      </c>
      <c r="D2762" t="s">
        <v>2044</v>
      </c>
    </row>
    <row r="2763" spans="1:4" x14ac:dyDescent="0.3">
      <c r="A2763" t="s">
        <v>17</v>
      </c>
      <c r="B2763">
        <v>9.1197792603319989</v>
      </c>
      <c r="C2763" t="s">
        <v>2074</v>
      </c>
      <c r="D2763" t="s">
        <v>2044</v>
      </c>
    </row>
    <row r="2764" spans="1:4" x14ac:dyDescent="0.3">
      <c r="A2764" t="s">
        <v>209</v>
      </c>
      <c r="B2764">
        <v>14.376788700025322</v>
      </c>
      <c r="C2764" t="s">
        <v>2074</v>
      </c>
      <c r="D2764" t="s">
        <v>2044</v>
      </c>
    </row>
    <row r="2765" spans="1:4" x14ac:dyDescent="0.3">
      <c r="A2765" t="s">
        <v>446</v>
      </c>
      <c r="B2765">
        <v>4.0598063786682376E-2</v>
      </c>
      <c r="C2765" t="s">
        <v>2074</v>
      </c>
      <c r="D2765" t="s">
        <v>2044</v>
      </c>
    </row>
    <row r="2766" spans="1:4" x14ac:dyDescent="0.3">
      <c r="A2766" t="s">
        <v>1632</v>
      </c>
      <c r="B2766">
        <v>16.233068203191692</v>
      </c>
      <c r="C2766" t="s">
        <v>2074</v>
      </c>
      <c r="D2766" t="s">
        <v>2044</v>
      </c>
    </row>
    <row r="2767" spans="1:4" x14ac:dyDescent="0.3">
      <c r="A2767" t="s">
        <v>1626</v>
      </c>
      <c r="B2767">
        <v>12.168617573210502</v>
      </c>
      <c r="C2767" t="s">
        <v>2074</v>
      </c>
      <c r="D2767" t="s">
        <v>2044</v>
      </c>
    </row>
    <row r="2768" spans="1:4" x14ac:dyDescent="0.3">
      <c r="A2768" t="s">
        <v>1627</v>
      </c>
      <c r="B2768">
        <v>3.5092363459654869</v>
      </c>
      <c r="C2768" t="s">
        <v>2074</v>
      </c>
      <c r="D2768" t="s">
        <v>2044</v>
      </c>
    </row>
    <row r="2769" spans="1:4" x14ac:dyDescent="0.3">
      <c r="A2769" t="s">
        <v>1625</v>
      </c>
      <c r="B2769">
        <v>1.3569877241384578</v>
      </c>
      <c r="C2769" t="s">
        <v>2074</v>
      </c>
      <c r="D2769" t="s">
        <v>2044</v>
      </c>
    </row>
    <row r="2770" spans="1:4" x14ac:dyDescent="0.3">
      <c r="A2770" t="s">
        <v>1623</v>
      </c>
      <c r="B2770">
        <v>-0.80177344012275631</v>
      </c>
      <c r="C2770" t="s">
        <v>2074</v>
      </c>
      <c r="D2770" t="s">
        <v>2044</v>
      </c>
    </row>
    <row r="2771" spans="1:4" x14ac:dyDescent="0.3">
      <c r="A2771" t="s">
        <v>1633</v>
      </c>
      <c r="B2771">
        <v>39.545605106604057</v>
      </c>
      <c r="C2771" t="s">
        <v>2074</v>
      </c>
      <c r="D2771" t="s">
        <v>2044</v>
      </c>
    </row>
    <row r="2772" spans="1:4" x14ac:dyDescent="0.3">
      <c r="A2772" t="s">
        <v>1628</v>
      </c>
      <c r="B2772">
        <v>27.412796886815418</v>
      </c>
      <c r="C2772" t="s">
        <v>2074</v>
      </c>
      <c r="D2772" t="s">
        <v>2045</v>
      </c>
    </row>
    <row r="2773" spans="1:4" x14ac:dyDescent="0.3">
      <c r="A2773" t="s">
        <v>17</v>
      </c>
      <c r="B2773">
        <v>9.1197792603319989</v>
      </c>
      <c r="C2773" t="s">
        <v>2074</v>
      </c>
      <c r="D2773" t="s">
        <v>2045</v>
      </c>
    </row>
    <row r="2774" spans="1:4" x14ac:dyDescent="0.3">
      <c r="A2774" t="s">
        <v>209</v>
      </c>
      <c r="B2774">
        <v>18.477048683428379</v>
      </c>
      <c r="C2774" t="s">
        <v>2074</v>
      </c>
      <c r="D2774" t="s">
        <v>2045</v>
      </c>
    </row>
    <row r="2775" spans="1:4" x14ac:dyDescent="0.3">
      <c r="A2775" t="s">
        <v>446</v>
      </c>
      <c r="B2775">
        <v>4.0598063786682376E-2</v>
      </c>
      <c r="C2775" t="s">
        <v>2074</v>
      </c>
      <c r="D2775" t="s">
        <v>2045</v>
      </c>
    </row>
    <row r="2776" spans="1:4" x14ac:dyDescent="0.3">
      <c r="A2776" t="s">
        <v>1632</v>
      </c>
      <c r="B2776">
        <v>16.233068203191692</v>
      </c>
      <c r="C2776" t="s">
        <v>2074</v>
      </c>
      <c r="D2776" t="s">
        <v>2045</v>
      </c>
    </row>
    <row r="2777" spans="1:4" x14ac:dyDescent="0.3">
      <c r="A2777" t="s">
        <v>1626</v>
      </c>
      <c r="B2777">
        <v>12.168617573210502</v>
      </c>
      <c r="C2777" t="s">
        <v>2074</v>
      </c>
      <c r="D2777" t="s">
        <v>2045</v>
      </c>
    </row>
    <row r="2778" spans="1:4" x14ac:dyDescent="0.3">
      <c r="A2778" t="s">
        <v>1627</v>
      </c>
      <c r="B2778">
        <v>3.5092363459654869</v>
      </c>
      <c r="C2778" t="s">
        <v>2074</v>
      </c>
      <c r="D2778" t="s">
        <v>2045</v>
      </c>
    </row>
    <row r="2779" spans="1:4" x14ac:dyDescent="0.3">
      <c r="A2779" t="s">
        <v>1625</v>
      </c>
      <c r="B2779">
        <v>1.3569877241384578</v>
      </c>
      <c r="C2779" t="s">
        <v>2074</v>
      </c>
      <c r="D2779" t="s">
        <v>2045</v>
      </c>
    </row>
    <row r="2780" spans="1:4" x14ac:dyDescent="0.3">
      <c r="A2780" t="s">
        <v>1623</v>
      </c>
      <c r="B2780">
        <v>-0.80177344012275631</v>
      </c>
      <c r="C2780" t="s">
        <v>2074</v>
      </c>
      <c r="D2780" t="s">
        <v>2045</v>
      </c>
    </row>
    <row r="2781" spans="1:4" x14ac:dyDescent="0.3">
      <c r="A2781" t="s">
        <v>1633</v>
      </c>
      <c r="B2781">
        <v>43.645865090007106</v>
      </c>
      <c r="C2781" t="s">
        <v>2074</v>
      </c>
      <c r="D2781" t="s">
        <v>2045</v>
      </c>
    </row>
    <row r="2782" spans="1:4" x14ac:dyDescent="0.3">
      <c r="A2782" t="s">
        <v>1628</v>
      </c>
      <c r="B2782">
        <v>23.312536903412362</v>
      </c>
      <c r="C2782" t="s">
        <v>2074</v>
      </c>
      <c r="D2782" t="s">
        <v>2046</v>
      </c>
    </row>
    <row r="2783" spans="1:4" x14ac:dyDescent="0.3">
      <c r="A2783" t="s">
        <v>17</v>
      </c>
      <c r="B2783">
        <v>9.1197792603319989</v>
      </c>
      <c r="C2783" t="s">
        <v>2074</v>
      </c>
      <c r="D2783" t="s">
        <v>2046</v>
      </c>
    </row>
    <row r="2784" spans="1:4" x14ac:dyDescent="0.3">
      <c r="A2784" t="s">
        <v>209</v>
      </c>
      <c r="B2784">
        <v>14.376788700025322</v>
      </c>
      <c r="C2784" t="s">
        <v>2074</v>
      </c>
      <c r="D2784" t="s">
        <v>2046</v>
      </c>
    </row>
    <row r="2785" spans="1:4" x14ac:dyDescent="0.3">
      <c r="A2785" t="s">
        <v>446</v>
      </c>
      <c r="B2785">
        <v>4.0598063786682376E-2</v>
      </c>
      <c r="C2785" t="s">
        <v>2074</v>
      </c>
      <c r="D2785" t="s">
        <v>2046</v>
      </c>
    </row>
    <row r="2786" spans="1:4" x14ac:dyDescent="0.3">
      <c r="A2786" t="s">
        <v>1632</v>
      </c>
      <c r="B2786">
        <v>16.233068203191692</v>
      </c>
      <c r="C2786" t="s">
        <v>2074</v>
      </c>
      <c r="D2786" t="s">
        <v>2046</v>
      </c>
    </row>
    <row r="2787" spans="1:4" x14ac:dyDescent="0.3">
      <c r="A2787" t="s">
        <v>1626</v>
      </c>
      <c r="B2787">
        <v>12.168617573210502</v>
      </c>
      <c r="C2787" t="s">
        <v>2074</v>
      </c>
      <c r="D2787" t="s">
        <v>2046</v>
      </c>
    </row>
    <row r="2788" spans="1:4" x14ac:dyDescent="0.3">
      <c r="A2788" t="s">
        <v>1627</v>
      </c>
      <c r="B2788">
        <v>3.5092363459654869</v>
      </c>
      <c r="C2788" t="s">
        <v>2074</v>
      </c>
      <c r="D2788" t="s">
        <v>2046</v>
      </c>
    </row>
    <row r="2789" spans="1:4" x14ac:dyDescent="0.3">
      <c r="A2789" t="s">
        <v>1625</v>
      </c>
      <c r="B2789">
        <v>1.3569877241384578</v>
      </c>
      <c r="C2789" t="s">
        <v>2074</v>
      </c>
      <c r="D2789" t="s">
        <v>2046</v>
      </c>
    </row>
    <row r="2790" spans="1:4" x14ac:dyDescent="0.3">
      <c r="A2790" t="s">
        <v>1623</v>
      </c>
      <c r="B2790">
        <v>-0.80177344012275631</v>
      </c>
      <c r="C2790" t="s">
        <v>2074</v>
      </c>
      <c r="D2790" t="s">
        <v>2046</v>
      </c>
    </row>
    <row r="2791" spans="1:4" x14ac:dyDescent="0.3">
      <c r="A2791" t="s">
        <v>1633</v>
      </c>
      <c r="B2791">
        <v>39.545605106604057</v>
      </c>
      <c r="C2791" t="s">
        <v>2074</v>
      </c>
      <c r="D2791" t="s">
        <v>2046</v>
      </c>
    </row>
    <row r="2792" spans="1:4" x14ac:dyDescent="0.3">
      <c r="A2792" t="s">
        <v>1628</v>
      </c>
      <c r="B2792">
        <v>23.312536903412362</v>
      </c>
      <c r="C2792" t="s">
        <v>2074</v>
      </c>
      <c r="D2792" t="s">
        <v>2276</v>
      </c>
    </row>
    <row r="2793" spans="1:4" x14ac:dyDescent="0.3">
      <c r="A2793" t="s">
        <v>17</v>
      </c>
      <c r="B2793">
        <v>9.1197792603319989</v>
      </c>
      <c r="C2793" t="s">
        <v>2074</v>
      </c>
      <c r="D2793" t="s">
        <v>2276</v>
      </c>
    </row>
    <row r="2794" spans="1:4" x14ac:dyDescent="0.3">
      <c r="A2794" t="s">
        <v>209</v>
      </c>
      <c r="B2794">
        <v>14.376788700025322</v>
      </c>
      <c r="C2794" t="s">
        <v>2074</v>
      </c>
      <c r="D2794" t="s">
        <v>2276</v>
      </c>
    </row>
    <row r="2795" spans="1:4" x14ac:dyDescent="0.3">
      <c r="A2795" t="s">
        <v>446</v>
      </c>
      <c r="B2795">
        <v>4.0598063786682376E-2</v>
      </c>
      <c r="C2795" t="s">
        <v>2074</v>
      </c>
      <c r="D2795" t="s">
        <v>2276</v>
      </c>
    </row>
    <row r="2796" spans="1:4" x14ac:dyDescent="0.3">
      <c r="A2796" t="s">
        <v>1632</v>
      </c>
      <c r="B2796">
        <v>16.233068203191692</v>
      </c>
      <c r="C2796" t="s">
        <v>2074</v>
      </c>
      <c r="D2796" t="s">
        <v>2276</v>
      </c>
    </row>
    <row r="2797" spans="1:4" x14ac:dyDescent="0.3">
      <c r="A2797" t="s">
        <v>1626</v>
      </c>
      <c r="B2797">
        <v>12.168617573210502</v>
      </c>
      <c r="C2797" t="s">
        <v>2074</v>
      </c>
      <c r="D2797" t="s">
        <v>2276</v>
      </c>
    </row>
    <row r="2798" spans="1:4" x14ac:dyDescent="0.3">
      <c r="A2798" t="s">
        <v>1627</v>
      </c>
      <c r="B2798">
        <v>3.5092363459654869</v>
      </c>
      <c r="C2798" t="s">
        <v>2074</v>
      </c>
      <c r="D2798" t="s">
        <v>2276</v>
      </c>
    </row>
    <row r="2799" spans="1:4" x14ac:dyDescent="0.3">
      <c r="A2799" t="s">
        <v>1625</v>
      </c>
      <c r="B2799">
        <v>1.3569877241384578</v>
      </c>
      <c r="C2799" t="s">
        <v>2074</v>
      </c>
      <c r="D2799" t="s">
        <v>2276</v>
      </c>
    </row>
    <row r="2800" spans="1:4" x14ac:dyDescent="0.3">
      <c r="A2800" t="s">
        <v>1623</v>
      </c>
      <c r="B2800">
        <v>-0.80177344012275631</v>
      </c>
      <c r="C2800" t="s">
        <v>2074</v>
      </c>
      <c r="D2800" t="s">
        <v>2276</v>
      </c>
    </row>
    <row r="2801" spans="1:4" x14ac:dyDescent="0.3">
      <c r="A2801" t="s">
        <v>1633</v>
      </c>
      <c r="B2801">
        <v>39.545605106604057</v>
      </c>
      <c r="C2801" t="s">
        <v>2074</v>
      </c>
      <c r="D2801" t="s">
        <v>2276</v>
      </c>
    </row>
    <row r="2802" spans="1:4" x14ac:dyDescent="0.3">
      <c r="A2802" t="s">
        <v>1628</v>
      </c>
      <c r="B2802">
        <v>23.312536903412362</v>
      </c>
      <c r="C2802" t="s">
        <v>2074</v>
      </c>
      <c r="D2802" t="s">
        <v>2277</v>
      </c>
    </row>
    <row r="2803" spans="1:4" x14ac:dyDescent="0.3">
      <c r="A2803" t="s">
        <v>17</v>
      </c>
      <c r="B2803">
        <v>9.1197792603319989</v>
      </c>
      <c r="C2803" t="s">
        <v>2074</v>
      </c>
      <c r="D2803" t="s">
        <v>2277</v>
      </c>
    </row>
    <row r="2804" spans="1:4" x14ac:dyDescent="0.3">
      <c r="A2804" t="s">
        <v>209</v>
      </c>
      <c r="B2804">
        <v>14.376788700025322</v>
      </c>
      <c r="C2804" t="s">
        <v>2074</v>
      </c>
      <c r="D2804" t="s">
        <v>2277</v>
      </c>
    </row>
    <row r="2805" spans="1:4" x14ac:dyDescent="0.3">
      <c r="A2805" t="s">
        <v>446</v>
      </c>
      <c r="B2805">
        <v>4.0598063786682376E-2</v>
      </c>
      <c r="C2805" t="s">
        <v>2074</v>
      </c>
      <c r="D2805" t="s">
        <v>2277</v>
      </c>
    </row>
    <row r="2806" spans="1:4" x14ac:dyDescent="0.3">
      <c r="A2806" t="s">
        <v>1632</v>
      </c>
      <c r="B2806">
        <v>16.233068203191692</v>
      </c>
      <c r="C2806" t="s">
        <v>2074</v>
      </c>
      <c r="D2806" t="s">
        <v>2277</v>
      </c>
    </row>
    <row r="2807" spans="1:4" x14ac:dyDescent="0.3">
      <c r="A2807" t="s">
        <v>1626</v>
      </c>
      <c r="B2807">
        <v>12.168617573210502</v>
      </c>
      <c r="C2807" t="s">
        <v>2074</v>
      </c>
      <c r="D2807" t="s">
        <v>2277</v>
      </c>
    </row>
    <row r="2808" spans="1:4" x14ac:dyDescent="0.3">
      <c r="A2808" t="s">
        <v>1627</v>
      </c>
      <c r="B2808">
        <v>3.5092363459654869</v>
      </c>
      <c r="C2808" t="s">
        <v>2074</v>
      </c>
      <c r="D2808" t="s">
        <v>2277</v>
      </c>
    </row>
    <row r="2809" spans="1:4" x14ac:dyDescent="0.3">
      <c r="A2809" t="s">
        <v>1625</v>
      </c>
      <c r="B2809">
        <v>1.3569877241384578</v>
      </c>
      <c r="C2809" t="s">
        <v>2074</v>
      </c>
      <c r="D2809" t="s">
        <v>2277</v>
      </c>
    </row>
    <row r="2810" spans="1:4" x14ac:dyDescent="0.3">
      <c r="A2810" t="s">
        <v>1623</v>
      </c>
      <c r="B2810">
        <v>-0.80177344012275631</v>
      </c>
      <c r="C2810" t="s">
        <v>2074</v>
      </c>
      <c r="D2810" t="s">
        <v>2277</v>
      </c>
    </row>
    <row r="2811" spans="1:4" x14ac:dyDescent="0.3">
      <c r="A2811" t="s">
        <v>1633</v>
      </c>
      <c r="B2811">
        <v>39.545605106604057</v>
      </c>
      <c r="C2811" t="s">
        <v>2074</v>
      </c>
      <c r="D2811" t="s">
        <v>2277</v>
      </c>
    </row>
    <row r="2812" spans="1:4" x14ac:dyDescent="0.3">
      <c r="A2812" t="s">
        <v>1628</v>
      </c>
      <c r="B2812">
        <v>23.312536903412362</v>
      </c>
      <c r="C2812" t="s">
        <v>2074</v>
      </c>
      <c r="D2812" t="s">
        <v>2278</v>
      </c>
    </row>
    <row r="2813" spans="1:4" x14ac:dyDescent="0.3">
      <c r="A2813" t="s">
        <v>17</v>
      </c>
      <c r="B2813">
        <v>9.1197792603319989</v>
      </c>
      <c r="C2813" t="s">
        <v>2074</v>
      </c>
      <c r="D2813" t="s">
        <v>2278</v>
      </c>
    </row>
    <row r="2814" spans="1:4" x14ac:dyDescent="0.3">
      <c r="A2814" t="s">
        <v>209</v>
      </c>
      <c r="B2814">
        <v>14.376788700025322</v>
      </c>
      <c r="C2814" t="s">
        <v>2074</v>
      </c>
      <c r="D2814" t="s">
        <v>2278</v>
      </c>
    </row>
    <row r="2815" spans="1:4" x14ac:dyDescent="0.3">
      <c r="A2815" t="s">
        <v>446</v>
      </c>
      <c r="B2815">
        <v>4.0598063786682376E-2</v>
      </c>
      <c r="C2815" t="s">
        <v>2074</v>
      </c>
      <c r="D2815" t="s">
        <v>2278</v>
      </c>
    </row>
    <row r="2816" spans="1:4" x14ac:dyDescent="0.3">
      <c r="A2816" t="s">
        <v>1632</v>
      </c>
      <c r="B2816">
        <v>16.233068203191692</v>
      </c>
      <c r="C2816" t="s">
        <v>2074</v>
      </c>
      <c r="D2816" t="s">
        <v>2278</v>
      </c>
    </row>
    <row r="2817" spans="1:4" x14ac:dyDescent="0.3">
      <c r="A2817" t="s">
        <v>1626</v>
      </c>
      <c r="B2817">
        <v>12.168617573210502</v>
      </c>
      <c r="C2817" t="s">
        <v>2074</v>
      </c>
      <c r="D2817" t="s">
        <v>2278</v>
      </c>
    </row>
    <row r="2818" spans="1:4" x14ac:dyDescent="0.3">
      <c r="A2818" t="s">
        <v>1627</v>
      </c>
      <c r="B2818">
        <v>3.5092363459654869</v>
      </c>
      <c r="C2818" t="s">
        <v>2074</v>
      </c>
      <c r="D2818" t="s">
        <v>2278</v>
      </c>
    </row>
    <row r="2819" spans="1:4" x14ac:dyDescent="0.3">
      <c r="A2819" t="s">
        <v>1625</v>
      </c>
      <c r="B2819">
        <v>1.3569877241384578</v>
      </c>
      <c r="C2819" t="s">
        <v>2074</v>
      </c>
      <c r="D2819" t="s">
        <v>2278</v>
      </c>
    </row>
    <row r="2820" spans="1:4" x14ac:dyDescent="0.3">
      <c r="A2820" t="s">
        <v>1623</v>
      </c>
      <c r="B2820">
        <v>-0.80177344012275631</v>
      </c>
      <c r="C2820" t="s">
        <v>2074</v>
      </c>
      <c r="D2820" t="s">
        <v>2278</v>
      </c>
    </row>
    <row r="2821" spans="1:4" x14ac:dyDescent="0.3">
      <c r="A2821" t="s">
        <v>1633</v>
      </c>
      <c r="B2821">
        <v>39.545605106604057</v>
      </c>
      <c r="C2821" t="s">
        <v>2074</v>
      </c>
      <c r="D2821" t="s">
        <v>2278</v>
      </c>
    </row>
    <row r="2822" spans="1:4" x14ac:dyDescent="0.3">
      <c r="A2822" t="s">
        <v>1628</v>
      </c>
      <c r="B2822">
        <v>23.312536903412362</v>
      </c>
      <c r="C2822" t="s">
        <v>2074</v>
      </c>
      <c r="D2822" t="s">
        <v>2279</v>
      </c>
    </row>
    <row r="2823" spans="1:4" x14ac:dyDescent="0.3">
      <c r="A2823" t="s">
        <v>17</v>
      </c>
      <c r="B2823">
        <v>9.1197792603319989</v>
      </c>
      <c r="C2823" t="s">
        <v>2074</v>
      </c>
      <c r="D2823" t="s">
        <v>2279</v>
      </c>
    </row>
    <row r="2824" spans="1:4" x14ac:dyDescent="0.3">
      <c r="A2824" t="s">
        <v>209</v>
      </c>
      <c r="B2824">
        <v>14.376788700025322</v>
      </c>
      <c r="C2824" t="s">
        <v>2074</v>
      </c>
      <c r="D2824" t="s">
        <v>2279</v>
      </c>
    </row>
    <row r="2825" spans="1:4" x14ac:dyDescent="0.3">
      <c r="A2825" t="s">
        <v>446</v>
      </c>
      <c r="B2825">
        <v>4.0598063786682376E-2</v>
      </c>
      <c r="C2825" t="s">
        <v>2074</v>
      </c>
      <c r="D2825" t="s">
        <v>2279</v>
      </c>
    </row>
    <row r="2826" spans="1:4" x14ac:dyDescent="0.3">
      <c r="A2826" t="s">
        <v>1632</v>
      </c>
      <c r="B2826">
        <v>16.233068203191692</v>
      </c>
      <c r="C2826" t="s">
        <v>2074</v>
      </c>
      <c r="D2826" t="s">
        <v>2279</v>
      </c>
    </row>
    <row r="2827" spans="1:4" x14ac:dyDescent="0.3">
      <c r="A2827" t="s">
        <v>1626</v>
      </c>
      <c r="B2827">
        <v>12.168617573210502</v>
      </c>
      <c r="C2827" t="s">
        <v>2074</v>
      </c>
      <c r="D2827" t="s">
        <v>2279</v>
      </c>
    </row>
    <row r="2828" spans="1:4" x14ac:dyDescent="0.3">
      <c r="A2828" t="s">
        <v>1627</v>
      </c>
      <c r="B2828">
        <v>3.5092363459654869</v>
      </c>
      <c r="C2828" t="s">
        <v>2074</v>
      </c>
      <c r="D2828" t="s">
        <v>2279</v>
      </c>
    </row>
    <row r="2829" spans="1:4" x14ac:dyDescent="0.3">
      <c r="A2829" t="s">
        <v>1625</v>
      </c>
      <c r="B2829">
        <v>1.3569877241384578</v>
      </c>
      <c r="C2829" t="s">
        <v>2074</v>
      </c>
      <c r="D2829" t="s">
        <v>2279</v>
      </c>
    </row>
    <row r="2830" spans="1:4" x14ac:dyDescent="0.3">
      <c r="A2830" t="s">
        <v>1623</v>
      </c>
      <c r="B2830">
        <v>-0.80177344012275631</v>
      </c>
      <c r="C2830" t="s">
        <v>2074</v>
      </c>
      <c r="D2830" t="s">
        <v>2279</v>
      </c>
    </row>
    <row r="2831" spans="1:4" x14ac:dyDescent="0.3">
      <c r="A2831" t="s">
        <v>1633</v>
      </c>
      <c r="B2831">
        <v>39.545605106604057</v>
      </c>
      <c r="C2831" t="s">
        <v>2074</v>
      </c>
      <c r="D2831" t="s">
        <v>2279</v>
      </c>
    </row>
    <row r="2832" spans="1:4" x14ac:dyDescent="0.3">
      <c r="A2832" t="s">
        <v>1628</v>
      </c>
      <c r="B2832">
        <v>23.312536903412362</v>
      </c>
      <c r="C2832" t="s">
        <v>2074</v>
      </c>
      <c r="D2832" t="s">
        <v>2280</v>
      </c>
    </row>
    <row r="2833" spans="1:4" x14ac:dyDescent="0.3">
      <c r="A2833" t="s">
        <v>17</v>
      </c>
      <c r="B2833">
        <v>9.1197792603319989</v>
      </c>
      <c r="C2833" t="s">
        <v>2074</v>
      </c>
      <c r="D2833" t="s">
        <v>2280</v>
      </c>
    </row>
    <row r="2834" spans="1:4" x14ac:dyDescent="0.3">
      <c r="A2834" t="s">
        <v>209</v>
      </c>
      <c r="B2834">
        <v>14.376788700025322</v>
      </c>
      <c r="C2834" t="s">
        <v>2074</v>
      </c>
      <c r="D2834" t="s">
        <v>2280</v>
      </c>
    </row>
    <row r="2835" spans="1:4" x14ac:dyDescent="0.3">
      <c r="A2835" t="s">
        <v>446</v>
      </c>
      <c r="B2835">
        <v>4.0598063786682376E-2</v>
      </c>
      <c r="C2835" t="s">
        <v>2074</v>
      </c>
      <c r="D2835" t="s">
        <v>2280</v>
      </c>
    </row>
    <row r="2836" spans="1:4" x14ac:dyDescent="0.3">
      <c r="A2836" t="s">
        <v>1632</v>
      </c>
      <c r="B2836">
        <v>16.233068203191692</v>
      </c>
      <c r="C2836" t="s">
        <v>2074</v>
      </c>
      <c r="D2836" t="s">
        <v>2280</v>
      </c>
    </row>
    <row r="2837" spans="1:4" x14ac:dyDescent="0.3">
      <c r="A2837" t="s">
        <v>1626</v>
      </c>
      <c r="B2837">
        <v>12.168617573210502</v>
      </c>
      <c r="C2837" t="s">
        <v>2074</v>
      </c>
      <c r="D2837" t="s">
        <v>2280</v>
      </c>
    </row>
    <row r="2838" spans="1:4" x14ac:dyDescent="0.3">
      <c r="A2838" t="s">
        <v>1627</v>
      </c>
      <c r="B2838">
        <v>3.5092363459654869</v>
      </c>
      <c r="C2838" t="s">
        <v>2074</v>
      </c>
      <c r="D2838" t="s">
        <v>2280</v>
      </c>
    </row>
    <row r="2839" spans="1:4" x14ac:dyDescent="0.3">
      <c r="A2839" t="s">
        <v>1625</v>
      </c>
      <c r="B2839">
        <v>1.3569877241384578</v>
      </c>
      <c r="C2839" t="s">
        <v>2074</v>
      </c>
      <c r="D2839" t="s">
        <v>2280</v>
      </c>
    </row>
    <row r="2840" spans="1:4" x14ac:dyDescent="0.3">
      <c r="A2840" t="s">
        <v>1623</v>
      </c>
      <c r="B2840">
        <v>-0.80177344012275631</v>
      </c>
      <c r="C2840" t="s">
        <v>2074</v>
      </c>
      <c r="D2840" t="s">
        <v>2280</v>
      </c>
    </row>
    <row r="2841" spans="1:4" x14ac:dyDescent="0.3">
      <c r="A2841" t="s">
        <v>1633</v>
      </c>
      <c r="B2841">
        <v>39.545605106604057</v>
      </c>
      <c r="C2841" t="s">
        <v>2074</v>
      </c>
      <c r="D2841" t="s">
        <v>2280</v>
      </c>
    </row>
    <row r="2842" spans="1:4" x14ac:dyDescent="0.3">
      <c r="A2842" t="s">
        <v>1628</v>
      </c>
      <c r="B2842">
        <v>23.312536903412362</v>
      </c>
      <c r="C2842" t="s">
        <v>2074</v>
      </c>
      <c r="D2842" t="s">
        <v>2281</v>
      </c>
    </row>
    <row r="2843" spans="1:4" x14ac:dyDescent="0.3">
      <c r="A2843" t="s">
        <v>17</v>
      </c>
      <c r="B2843">
        <v>9.1197792603319989</v>
      </c>
      <c r="C2843" t="s">
        <v>2074</v>
      </c>
      <c r="D2843" t="s">
        <v>2281</v>
      </c>
    </row>
    <row r="2844" spans="1:4" x14ac:dyDescent="0.3">
      <c r="A2844" t="s">
        <v>209</v>
      </c>
      <c r="B2844">
        <v>14.376788700025322</v>
      </c>
      <c r="C2844" t="s">
        <v>2074</v>
      </c>
      <c r="D2844" t="s">
        <v>2281</v>
      </c>
    </row>
    <row r="2845" spans="1:4" x14ac:dyDescent="0.3">
      <c r="A2845" t="s">
        <v>446</v>
      </c>
      <c r="B2845">
        <v>4.0598063786682376E-2</v>
      </c>
      <c r="C2845" t="s">
        <v>2074</v>
      </c>
      <c r="D2845" t="s">
        <v>2281</v>
      </c>
    </row>
    <row r="2846" spans="1:4" x14ac:dyDescent="0.3">
      <c r="A2846" t="s">
        <v>1632</v>
      </c>
      <c r="B2846">
        <v>16.233068203191692</v>
      </c>
      <c r="C2846" t="s">
        <v>2074</v>
      </c>
      <c r="D2846" t="s">
        <v>2281</v>
      </c>
    </row>
    <row r="2847" spans="1:4" x14ac:dyDescent="0.3">
      <c r="A2847" t="s">
        <v>1626</v>
      </c>
      <c r="B2847">
        <v>12.168617573210502</v>
      </c>
      <c r="C2847" t="s">
        <v>2074</v>
      </c>
      <c r="D2847" t="s">
        <v>2281</v>
      </c>
    </row>
    <row r="2848" spans="1:4" x14ac:dyDescent="0.3">
      <c r="A2848" t="s">
        <v>1627</v>
      </c>
      <c r="B2848">
        <v>3.5092363459654869</v>
      </c>
      <c r="C2848" t="s">
        <v>2074</v>
      </c>
      <c r="D2848" t="s">
        <v>2281</v>
      </c>
    </row>
    <row r="2849" spans="1:4" x14ac:dyDescent="0.3">
      <c r="A2849" t="s">
        <v>1625</v>
      </c>
      <c r="B2849">
        <v>1.3569877241384578</v>
      </c>
      <c r="C2849" t="s">
        <v>2074</v>
      </c>
      <c r="D2849" t="s">
        <v>2281</v>
      </c>
    </row>
    <row r="2850" spans="1:4" x14ac:dyDescent="0.3">
      <c r="A2850" t="s">
        <v>1623</v>
      </c>
      <c r="B2850">
        <v>-0.80177344012275631</v>
      </c>
      <c r="C2850" t="s">
        <v>2074</v>
      </c>
      <c r="D2850" t="s">
        <v>2281</v>
      </c>
    </row>
    <row r="2851" spans="1:4" x14ac:dyDescent="0.3">
      <c r="A2851" t="s">
        <v>1633</v>
      </c>
      <c r="B2851">
        <v>39.545605106604057</v>
      </c>
      <c r="C2851" t="s">
        <v>2074</v>
      </c>
      <c r="D2851" t="s">
        <v>2281</v>
      </c>
    </row>
    <row r="2852" spans="1:4" x14ac:dyDescent="0.3">
      <c r="A2852" t="s">
        <v>1628</v>
      </c>
      <c r="B2852">
        <v>52.402209158031205</v>
      </c>
      <c r="C2852" t="s">
        <v>2075</v>
      </c>
      <c r="D2852" t="s">
        <v>2024</v>
      </c>
    </row>
    <row r="2853" spans="1:4" x14ac:dyDescent="0.3">
      <c r="A2853" t="s">
        <v>17</v>
      </c>
      <c r="B2853">
        <v>34.859630146607017</v>
      </c>
      <c r="C2853" t="s">
        <v>2075</v>
      </c>
      <c r="D2853" t="s">
        <v>2024</v>
      </c>
    </row>
    <row r="2854" spans="1:4" x14ac:dyDescent="0.3">
      <c r="A2854" t="s">
        <v>209</v>
      </c>
      <c r="B2854">
        <v>17.501980947637509</v>
      </c>
      <c r="C2854" t="s">
        <v>2075</v>
      </c>
      <c r="D2854" t="s">
        <v>2024</v>
      </c>
    </row>
    <row r="2855" spans="1:4" x14ac:dyDescent="0.3">
      <c r="A2855" t="s">
        <v>446</v>
      </c>
      <c r="B2855">
        <v>4.0598063786682376E-2</v>
      </c>
      <c r="C2855" t="s">
        <v>2075</v>
      </c>
      <c r="D2855" t="s">
        <v>2024</v>
      </c>
    </row>
    <row r="2856" spans="1:4" x14ac:dyDescent="0.3">
      <c r="A2856" t="s">
        <v>1632</v>
      </c>
      <c r="B2856">
        <v>5.8816483207631309</v>
      </c>
      <c r="C2856" t="s">
        <v>2075</v>
      </c>
      <c r="D2856" t="s">
        <v>2024</v>
      </c>
    </row>
    <row r="2857" spans="1:4" x14ac:dyDescent="0.3">
      <c r="A2857" t="s">
        <v>1626</v>
      </c>
      <c r="B2857">
        <v>10.599719034018653</v>
      </c>
      <c r="C2857" t="s">
        <v>2075</v>
      </c>
      <c r="D2857" t="s">
        <v>2024</v>
      </c>
    </row>
    <row r="2858" spans="1:4" x14ac:dyDescent="0.3">
      <c r="A2858" t="s">
        <v>1627</v>
      </c>
      <c r="B2858">
        <v>-3.0110498256413547</v>
      </c>
      <c r="C2858" t="s">
        <v>2075</v>
      </c>
      <c r="D2858" t="s">
        <v>2024</v>
      </c>
    </row>
    <row r="2859" spans="1:4" x14ac:dyDescent="0.3">
      <c r="A2859" t="s">
        <v>1625</v>
      </c>
      <c r="B2859">
        <v>-1.5624940651945953</v>
      </c>
      <c r="C2859" t="s">
        <v>2075</v>
      </c>
      <c r="D2859" t="s">
        <v>2024</v>
      </c>
    </row>
    <row r="2860" spans="1:4" x14ac:dyDescent="0.3">
      <c r="A2860" t="s">
        <v>1623</v>
      </c>
      <c r="B2860">
        <v>-0.14452682241957315</v>
      </c>
      <c r="C2860" t="s">
        <v>2075</v>
      </c>
      <c r="D2860" t="s">
        <v>2024</v>
      </c>
    </row>
    <row r="2861" spans="1:4" x14ac:dyDescent="0.3">
      <c r="A2861" t="s">
        <v>1633</v>
      </c>
      <c r="B2861">
        <v>58.283857478794339</v>
      </c>
      <c r="C2861" t="s">
        <v>2075</v>
      </c>
      <c r="D2861" t="s">
        <v>2024</v>
      </c>
    </row>
    <row r="2862" spans="1:4" x14ac:dyDescent="0.3">
      <c r="A2862" t="s">
        <v>1628</v>
      </c>
      <c r="B2862">
        <v>52.402209158031233</v>
      </c>
      <c r="C2862" t="s">
        <v>2075</v>
      </c>
      <c r="D2862" t="s">
        <v>2076</v>
      </c>
    </row>
    <row r="2863" spans="1:4" x14ac:dyDescent="0.3">
      <c r="A2863" t="s">
        <v>17</v>
      </c>
      <c r="B2863">
        <v>34.859630146607046</v>
      </c>
      <c r="C2863" t="s">
        <v>2075</v>
      </c>
      <c r="D2863" t="s">
        <v>2076</v>
      </c>
    </row>
    <row r="2864" spans="1:4" x14ac:dyDescent="0.3">
      <c r="A2864" t="s">
        <v>209</v>
      </c>
      <c r="B2864">
        <v>17.501980947637506</v>
      </c>
      <c r="C2864" t="s">
        <v>2075</v>
      </c>
      <c r="D2864" t="s">
        <v>2076</v>
      </c>
    </row>
    <row r="2865" spans="1:4" x14ac:dyDescent="0.3">
      <c r="A2865" t="s">
        <v>446</v>
      </c>
      <c r="B2865">
        <v>4.0598063786682376E-2</v>
      </c>
      <c r="C2865" t="s">
        <v>2075</v>
      </c>
      <c r="D2865" t="s">
        <v>2076</v>
      </c>
    </row>
    <row r="2866" spans="1:4" x14ac:dyDescent="0.3">
      <c r="A2866" t="s">
        <v>1632</v>
      </c>
      <c r="B2866">
        <v>5.8816483207631309</v>
      </c>
      <c r="C2866" t="s">
        <v>2075</v>
      </c>
      <c r="D2866" t="s">
        <v>2076</v>
      </c>
    </row>
    <row r="2867" spans="1:4" x14ac:dyDescent="0.3">
      <c r="A2867" t="s">
        <v>1626</v>
      </c>
      <c r="B2867">
        <v>10.599719034018653</v>
      </c>
      <c r="C2867" t="s">
        <v>2075</v>
      </c>
      <c r="D2867" t="s">
        <v>2076</v>
      </c>
    </row>
    <row r="2868" spans="1:4" x14ac:dyDescent="0.3">
      <c r="A2868" t="s">
        <v>1627</v>
      </c>
      <c r="B2868">
        <v>-3.0110498256413547</v>
      </c>
      <c r="C2868" t="s">
        <v>2075</v>
      </c>
      <c r="D2868" t="s">
        <v>2076</v>
      </c>
    </row>
    <row r="2869" spans="1:4" x14ac:dyDescent="0.3">
      <c r="A2869" t="s">
        <v>1625</v>
      </c>
      <c r="B2869">
        <v>-1.5624940651945953</v>
      </c>
      <c r="C2869" t="s">
        <v>2075</v>
      </c>
      <c r="D2869" t="s">
        <v>2076</v>
      </c>
    </row>
    <row r="2870" spans="1:4" x14ac:dyDescent="0.3">
      <c r="A2870" t="s">
        <v>1623</v>
      </c>
      <c r="B2870">
        <v>-0.14452682241957315</v>
      </c>
      <c r="C2870" t="s">
        <v>2075</v>
      </c>
      <c r="D2870" t="s">
        <v>2076</v>
      </c>
    </row>
    <row r="2871" spans="1:4" x14ac:dyDescent="0.3">
      <c r="A2871" t="s">
        <v>1633</v>
      </c>
      <c r="B2871">
        <v>58.283857478794367</v>
      </c>
      <c r="C2871" t="s">
        <v>2075</v>
      </c>
      <c r="D2871" t="s">
        <v>2076</v>
      </c>
    </row>
    <row r="2872" spans="1:4" x14ac:dyDescent="0.3">
      <c r="A2872" t="s">
        <v>1628</v>
      </c>
      <c r="B2872">
        <v>52.334003430000401</v>
      </c>
      <c r="C2872" t="s">
        <v>2075</v>
      </c>
      <c r="D2872" t="s">
        <v>2077</v>
      </c>
    </row>
    <row r="2873" spans="1:4" x14ac:dyDescent="0.3">
      <c r="A2873" t="s">
        <v>17</v>
      </c>
      <c r="B2873">
        <v>34.791424418576213</v>
      </c>
      <c r="C2873" t="s">
        <v>2075</v>
      </c>
      <c r="D2873" t="s">
        <v>2077</v>
      </c>
    </row>
    <row r="2874" spans="1:4" x14ac:dyDescent="0.3">
      <c r="A2874" t="s">
        <v>209</v>
      </c>
      <c r="B2874">
        <v>17.501980947637506</v>
      </c>
      <c r="C2874" t="s">
        <v>2075</v>
      </c>
      <c r="D2874" t="s">
        <v>2077</v>
      </c>
    </row>
    <row r="2875" spans="1:4" x14ac:dyDescent="0.3">
      <c r="A2875" t="s">
        <v>446</v>
      </c>
      <c r="B2875">
        <v>4.0598063786682376E-2</v>
      </c>
      <c r="C2875" t="s">
        <v>2075</v>
      </c>
      <c r="D2875" t="s">
        <v>2077</v>
      </c>
    </row>
    <row r="2876" spans="1:4" x14ac:dyDescent="0.3">
      <c r="A2876" t="s">
        <v>1632</v>
      </c>
      <c r="B2876">
        <v>5.8816483207631309</v>
      </c>
      <c r="C2876" t="s">
        <v>2075</v>
      </c>
      <c r="D2876" t="s">
        <v>2077</v>
      </c>
    </row>
    <row r="2877" spans="1:4" x14ac:dyDescent="0.3">
      <c r="A2877" t="s">
        <v>1626</v>
      </c>
      <c r="B2877">
        <v>10.599719034018653</v>
      </c>
      <c r="C2877" t="s">
        <v>2075</v>
      </c>
      <c r="D2877" t="s">
        <v>2077</v>
      </c>
    </row>
    <row r="2878" spans="1:4" x14ac:dyDescent="0.3">
      <c r="A2878" t="s">
        <v>1627</v>
      </c>
      <c r="B2878">
        <v>-3.0110498256413547</v>
      </c>
      <c r="C2878" t="s">
        <v>2075</v>
      </c>
      <c r="D2878" t="s">
        <v>2077</v>
      </c>
    </row>
    <row r="2879" spans="1:4" x14ac:dyDescent="0.3">
      <c r="A2879" t="s">
        <v>1625</v>
      </c>
      <c r="B2879">
        <v>-1.5624940651945953</v>
      </c>
      <c r="C2879" t="s">
        <v>2075</v>
      </c>
      <c r="D2879" t="s">
        <v>2077</v>
      </c>
    </row>
    <row r="2880" spans="1:4" x14ac:dyDescent="0.3">
      <c r="A2880" t="s">
        <v>1623</v>
      </c>
      <c r="B2880">
        <v>-0.14452682241957315</v>
      </c>
      <c r="C2880" t="s">
        <v>2075</v>
      </c>
      <c r="D2880" t="s">
        <v>2077</v>
      </c>
    </row>
    <row r="2881" spans="1:4" x14ac:dyDescent="0.3">
      <c r="A2881" t="s">
        <v>1633</v>
      </c>
      <c r="B2881">
        <v>58.215651750763534</v>
      </c>
      <c r="C2881" t="s">
        <v>2075</v>
      </c>
      <c r="D2881" t="s">
        <v>2077</v>
      </c>
    </row>
    <row r="2882" spans="1:4" x14ac:dyDescent="0.3">
      <c r="A2882" t="s">
        <v>1628</v>
      </c>
      <c r="B2882">
        <v>52.377111586857879</v>
      </c>
      <c r="C2882" t="s">
        <v>2075</v>
      </c>
      <c r="D2882" t="s">
        <v>2078</v>
      </c>
    </row>
    <row r="2883" spans="1:4" x14ac:dyDescent="0.3">
      <c r="A2883" t="s">
        <v>17</v>
      </c>
      <c r="B2883">
        <v>34.834532575433691</v>
      </c>
      <c r="C2883" t="s">
        <v>2075</v>
      </c>
      <c r="D2883" t="s">
        <v>2078</v>
      </c>
    </row>
    <row r="2884" spans="1:4" x14ac:dyDescent="0.3">
      <c r="A2884" t="s">
        <v>209</v>
      </c>
      <c r="B2884">
        <v>17.501980947637506</v>
      </c>
      <c r="C2884" t="s">
        <v>2075</v>
      </c>
      <c r="D2884" t="s">
        <v>2078</v>
      </c>
    </row>
    <row r="2885" spans="1:4" x14ac:dyDescent="0.3">
      <c r="A2885" t="s">
        <v>446</v>
      </c>
      <c r="B2885">
        <v>4.0598063786682376E-2</v>
      </c>
      <c r="C2885" t="s">
        <v>2075</v>
      </c>
      <c r="D2885" t="s">
        <v>2078</v>
      </c>
    </row>
    <row r="2886" spans="1:4" x14ac:dyDescent="0.3">
      <c r="A2886" t="s">
        <v>1632</v>
      </c>
      <c r="B2886">
        <v>5.8816483207631309</v>
      </c>
      <c r="C2886" t="s">
        <v>2075</v>
      </c>
      <c r="D2886" t="s">
        <v>2078</v>
      </c>
    </row>
    <row r="2887" spans="1:4" x14ac:dyDescent="0.3">
      <c r="A2887" t="s">
        <v>1626</v>
      </c>
      <c r="B2887">
        <v>10.599719034018653</v>
      </c>
      <c r="C2887" t="s">
        <v>2075</v>
      </c>
      <c r="D2887" t="s">
        <v>2078</v>
      </c>
    </row>
    <row r="2888" spans="1:4" x14ac:dyDescent="0.3">
      <c r="A2888" t="s">
        <v>1627</v>
      </c>
      <c r="B2888">
        <v>-3.0110498256413547</v>
      </c>
      <c r="C2888" t="s">
        <v>2075</v>
      </c>
      <c r="D2888" t="s">
        <v>2078</v>
      </c>
    </row>
    <row r="2889" spans="1:4" x14ac:dyDescent="0.3">
      <c r="A2889" t="s">
        <v>1625</v>
      </c>
      <c r="B2889">
        <v>-1.5624940651945953</v>
      </c>
      <c r="C2889" t="s">
        <v>2075</v>
      </c>
      <c r="D2889" t="s">
        <v>2078</v>
      </c>
    </row>
    <row r="2890" spans="1:4" x14ac:dyDescent="0.3">
      <c r="A2890" t="s">
        <v>1623</v>
      </c>
      <c r="B2890">
        <v>-0.14452682241957315</v>
      </c>
      <c r="C2890" t="s">
        <v>2075</v>
      </c>
      <c r="D2890" t="s">
        <v>2078</v>
      </c>
    </row>
    <row r="2891" spans="1:4" x14ac:dyDescent="0.3">
      <c r="A2891" t="s">
        <v>1633</v>
      </c>
      <c r="B2891">
        <v>58.258759907621013</v>
      </c>
      <c r="C2891" t="s">
        <v>2075</v>
      </c>
      <c r="D2891" t="s">
        <v>2078</v>
      </c>
    </row>
    <row r="2892" spans="1:4" x14ac:dyDescent="0.3">
      <c r="A2892" t="s">
        <v>1628</v>
      </c>
      <c r="B2892">
        <v>52.402209158031233</v>
      </c>
      <c r="C2892" t="s">
        <v>2075</v>
      </c>
      <c r="D2892" t="s">
        <v>2079</v>
      </c>
    </row>
    <row r="2893" spans="1:4" x14ac:dyDescent="0.3">
      <c r="A2893" t="s">
        <v>17</v>
      </c>
      <c r="B2893">
        <v>34.859630146607046</v>
      </c>
      <c r="C2893" t="s">
        <v>2075</v>
      </c>
      <c r="D2893" t="s">
        <v>2079</v>
      </c>
    </row>
    <row r="2894" spans="1:4" x14ac:dyDescent="0.3">
      <c r="A2894" t="s">
        <v>209</v>
      </c>
      <c r="B2894">
        <v>17.501980947637506</v>
      </c>
      <c r="C2894" t="s">
        <v>2075</v>
      </c>
      <c r="D2894" t="s">
        <v>2079</v>
      </c>
    </row>
    <row r="2895" spans="1:4" x14ac:dyDescent="0.3">
      <c r="A2895" t="s">
        <v>446</v>
      </c>
      <c r="B2895">
        <v>4.0598063786682376E-2</v>
      </c>
      <c r="C2895" t="s">
        <v>2075</v>
      </c>
      <c r="D2895" t="s">
        <v>2079</v>
      </c>
    </row>
    <row r="2896" spans="1:4" x14ac:dyDescent="0.3">
      <c r="A2896" t="s">
        <v>1632</v>
      </c>
      <c r="B2896">
        <v>5.8816483207631309</v>
      </c>
      <c r="C2896" t="s">
        <v>2075</v>
      </c>
      <c r="D2896" t="s">
        <v>2079</v>
      </c>
    </row>
    <row r="2897" spans="1:4" x14ac:dyDescent="0.3">
      <c r="A2897" t="s">
        <v>1626</v>
      </c>
      <c r="B2897">
        <v>10.599719034018653</v>
      </c>
      <c r="C2897" t="s">
        <v>2075</v>
      </c>
      <c r="D2897" t="s">
        <v>2079</v>
      </c>
    </row>
    <row r="2898" spans="1:4" x14ac:dyDescent="0.3">
      <c r="A2898" t="s">
        <v>1627</v>
      </c>
      <c r="B2898">
        <v>-3.0110498256413547</v>
      </c>
      <c r="C2898" t="s">
        <v>2075</v>
      </c>
      <c r="D2898" t="s">
        <v>2079</v>
      </c>
    </row>
    <row r="2899" spans="1:4" x14ac:dyDescent="0.3">
      <c r="A2899" t="s">
        <v>1625</v>
      </c>
      <c r="B2899">
        <v>-1.5624940651945953</v>
      </c>
      <c r="C2899" t="s">
        <v>2075</v>
      </c>
      <c r="D2899" t="s">
        <v>2079</v>
      </c>
    </row>
    <row r="2900" spans="1:4" x14ac:dyDescent="0.3">
      <c r="A2900" t="s">
        <v>1623</v>
      </c>
      <c r="B2900">
        <v>-0.14452682241957315</v>
      </c>
      <c r="C2900" t="s">
        <v>2075</v>
      </c>
      <c r="D2900" t="s">
        <v>2079</v>
      </c>
    </row>
    <row r="2901" spans="1:4" x14ac:dyDescent="0.3">
      <c r="A2901" t="s">
        <v>1633</v>
      </c>
      <c r="B2901">
        <v>58.283857478794367</v>
      </c>
      <c r="C2901" t="s">
        <v>2075</v>
      </c>
      <c r="D2901" t="s">
        <v>2079</v>
      </c>
    </row>
    <row r="2902" spans="1:4" x14ac:dyDescent="0.3">
      <c r="A2902" t="s">
        <v>1628</v>
      </c>
      <c r="B2902">
        <v>54.29656208164127</v>
      </c>
      <c r="C2902" t="s">
        <v>2075</v>
      </c>
      <c r="D2902" t="s">
        <v>2080</v>
      </c>
    </row>
    <row r="2903" spans="1:4" x14ac:dyDescent="0.3">
      <c r="A2903" t="s">
        <v>17</v>
      </c>
      <c r="B2903">
        <v>36.753983070217082</v>
      </c>
      <c r="C2903" t="s">
        <v>2075</v>
      </c>
      <c r="D2903" t="s">
        <v>2080</v>
      </c>
    </row>
    <row r="2904" spans="1:4" x14ac:dyDescent="0.3">
      <c r="A2904" t="s">
        <v>209</v>
      </c>
      <c r="B2904">
        <v>17.501980947637506</v>
      </c>
      <c r="C2904" t="s">
        <v>2075</v>
      </c>
      <c r="D2904" t="s">
        <v>2080</v>
      </c>
    </row>
    <row r="2905" spans="1:4" x14ac:dyDescent="0.3">
      <c r="A2905" t="s">
        <v>446</v>
      </c>
      <c r="B2905">
        <v>4.0598063786682376E-2</v>
      </c>
      <c r="C2905" t="s">
        <v>2075</v>
      </c>
      <c r="D2905" t="s">
        <v>2080</v>
      </c>
    </row>
    <row r="2906" spans="1:4" x14ac:dyDescent="0.3">
      <c r="A2906" t="s">
        <v>1632</v>
      </c>
      <c r="B2906">
        <v>5.8816483207631309</v>
      </c>
      <c r="C2906" t="s">
        <v>2075</v>
      </c>
      <c r="D2906" t="s">
        <v>2080</v>
      </c>
    </row>
    <row r="2907" spans="1:4" x14ac:dyDescent="0.3">
      <c r="A2907" t="s">
        <v>1626</v>
      </c>
      <c r="B2907">
        <v>10.599719034018653</v>
      </c>
      <c r="C2907" t="s">
        <v>2075</v>
      </c>
      <c r="D2907" t="s">
        <v>2080</v>
      </c>
    </row>
    <row r="2908" spans="1:4" x14ac:dyDescent="0.3">
      <c r="A2908" t="s">
        <v>1627</v>
      </c>
      <c r="B2908">
        <v>-3.0110498256413547</v>
      </c>
      <c r="C2908" t="s">
        <v>2075</v>
      </c>
      <c r="D2908" t="s">
        <v>2080</v>
      </c>
    </row>
    <row r="2909" spans="1:4" x14ac:dyDescent="0.3">
      <c r="A2909" t="s">
        <v>1625</v>
      </c>
      <c r="B2909">
        <v>-1.5624940651945953</v>
      </c>
      <c r="C2909" t="s">
        <v>2075</v>
      </c>
      <c r="D2909" t="s">
        <v>2080</v>
      </c>
    </row>
    <row r="2910" spans="1:4" x14ac:dyDescent="0.3">
      <c r="A2910" t="s">
        <v>1623</v>
      </c>
      <c r="B2910">
        <v>-0.14452682241957315</v>
      </c>
      <c r="C2910" t="s">
        <v>2075</v>
      </c>
      <c r="D2910" t="s">
        <v>2080</v>
      </c>
    </row>
    <row r="2911" spans="1:4" x14ac:dyDescent="0.3">
      <c r="A2911" t="s">
        <v>1633</v>
      </c>
      <c r="B2911">
        <v>60.178210402404403</v>
      </c>
      <c r="C2911" t="s">
        <v>2075</v>
      </c>
      <c r="D2911" t="s">
        <v>2080</v>
      </c>
    </row>
    <row r="2912" spans="1:4" x14ac:dyDescent="0.3">
      <c r="A2912" t="s">
        <v>1628</v>
      </c>
      <c r="B2912">
        <v>55.125444876013567</v>
      </c>
      <c r="C2912" t="s">
        <v>2075</v>
      </c>
      <c r="D2912" t="s">
        <v>2055</v>
      </c>
    </row>
    <row r="2913" spans="1:4" x14ac:dyDescent="0.3">
      <c r="A2913" t="s">
        <v>17</v>
      </c>
      <c r="B2913">
        <v>36.694347522744259</v>
      </c>
      <c r="C2913" t="s">
        <v>2075</v>
      </c>
      <c r="D2913" t="s">
        <v>2055</v>
      </c>
    </row>
    <row r="2914" spans="1:4" x14ac:dyDescent="0.3">
      <c r="A2914" t="s">
        <v>209</v>
      </c>
      <c r="B2914">
        <v>18.390499289482626</v>
      </c>
      <c r="C2914" t="s">
        <v>2075</v>
      </c>
      <c r="D2914" t="s">
        <v>2055</v>
      </c>
    </row>
    <row r="2915" spans="1:4" x14ac:dyDescent="0.3">
      <c r="A2915" t="s">
        <v>446</v>
      </c>
      <c r="B2915">
        <v>4.0598063786682376E-2</v>
      </c>
      <c r="C2915" t="s">
        <v>2075</v>
      </c>
      <c r="D2915" t="s">
        <v>2055</v>
      </c>
    </row>
    <row r="2916" spans="1:4" x14ac:dyDescent="0.3">
      <c r="A2916" t="s">
        <v>1632</v>
      </c>
      <c r="B2916">
        <v>6.1912087586980329</v>
      </c>
      <c r="C2916" t="s">
        <v>2075</v>
      </c>
      <c r="D2916" t="s">
        <v>2055</v>
      </c>
    </row>
    <row r="2917" spans="1:4" x14ac:dyDescent="0.3">
      <c r="A2917" t="s">
        <v>1626</v>
      </c>
      <c r="B2917">
        <v>11.157598983177531</v>
      </c>
      <c r="C2917" t="s">
        <v>2075</v>
      </c>
      <c r="D2917" t="s">
        <v>2055</v>
      </c>
    </row>
    <row r="2918" spans="1:4" x14ac:dyDescent="0.3">
      <c r="A2918" t="s">
        <v>1627</v>
      </c>
      <c r="B2918">
        <v>-3.1695261322540578</v>
      </c>
      <c r="C2918" t="s">
        <v>2075</v>
      </c>
      <c r="D2918" t="s">
        <v>2055</v>
      </c>
    </row>
    <row r="2919" spans="1:4" x14ac:dyDescent="0.3">
      <c r="A2919" t="s">
        <v>1625</v>
      </c>
      <c r="B2919">
        <v>-1.6447305949416793</v>
      </c>
      <c r="C2919" t="s">
        <v>2075</v>
      </c>
      <c r="D2919" t="s">
        <v>2055</v>
      </c>
    </row>
    <row r="2920" spans="1:4" x14ac:dyDescent="0.3">
      <c r="A2920" t="s">
        <v>1623</v>
      </c>
      <c r="B2920">
        <v>-0.15213349728376122</v>
      </c>
      <c r="C2920" t="s">
        <v>2075</v>
      </c>
      <c r="D2920" t="s">
        <v>2055</v>
      </c>
    </row>
    <row r="2921" spans="1:4" x14ac:dyDescent="0.3">
      <c r="A2921" t="s">
        <v>1633</v>
      </c>
      <c r="B2921">
        <v>61.316653634711599</v>
      </c>
      <c r="C2921" t="s">
        <v>2075</v>
      </c>
      <c r="D2921" t="s">
        <v>2055</v>
      </c>
    </row>
    <row r="2922" spans="1:4" x14ac:dyDescent="0.3">
      <c r="A2922" t="s">
        <v>1628</v>
      </c>
      <c r="B2922">
        <v>52.402209158031233</v>
      </c>
      <c r="C2922" t="s">
        <v>2075</v>
      </c>
      <c r="D2922" t="s">
        <v>2026</v>
      </c>
    </row>
    <row r="2923" spans="1:4" x14ac:dyDescent="0.3">
      <c r="A2923" t="s">
        <v>17</v>
      </c>
      <c r="B2923">
        <v>34.859630146607046</v>
      </c>
      <c r="C2923" t="s">
        <v>2075</v>
      </c>
      <c r="D2923" t="s">
        <v>2026</v>
      </c>
    </row>
    <row r="2924" spans="1:4" x14ac:dyDescent="0.3">
      <c r="A2924" t="s">
        <v>209</v>
      </c>
      <c r="B2924">
        <v>17.501980947637506</v>
      </c>
      <c r="C2924" t="s">
        <v>2075</v>
      </c>
      <c r="D2924" t="s">
        <v>2026</v>
      </c>
    </row>
    <row r="2925" spans="1:4" x14ac:dyDescent="0.3">
      <c r="A2925" t="s">
        <v>446</v>
      </c>
      <c r="B2925">
        <v>4.0598063786682376E-2</v>
      </c>
      <c r="C2925" t="s">
        <v>2075</v>
      </c>
      <c r="D2925" t="s">
        <v>2026</v>
      </c>
    </row>
    <row r="2926" spans="1:4" x14ac:dyDescent="0.3">
      <c r="A2926" t="s">
        <v>1632</v>
      </c>
      <c r="B2926">
        <v>5.8816483207631309</v>
      </c>
      <c r="C2926" t="s">
        <v>2075</v>
      </c>
      <c r="D2926" t="s">
        <v>2026</v>
      </c>
    </row>
    <row r="2927" spans="1:4" x14ac:dyDescent="0.3">
      <c r="A2927" t="s">
        <v>1626</v>
      </c>
      <c r="B2927">
        <v>10.599719034018653</v>
      </c>
      <c r="C2927" t="s">
        <v>2075</v>
      </c>
      <c r="D2927" t="s">
        <v>2026</v>
      </c>
    </row>
    <row r="2928" spans="1:4" x14ac:dyDescent="0.3">
      <c r="A2928" t="s">
        <v>1627</v>
      </c>
      <c r="B2928">
        <v>-3.0110498256413547</v>
      </c>
      <c r="C2928" t="s">
        <v>2075</v>
      </c>
      <c r="D2928" t="s">
        <v>2026</v>
      </c>
    </row>
    <row r="2929" spans="1:4" x14ac:dyDescent="0.3">
      <c r="A2929" t="s">
        <v>1625</v>
      </c>
      <c r="B2929">
        <v>-1.5624940651945953</v>
      </c>
      <c r="C2929" t="s">
        <v>2075</v>
      </c>
      <c r="D2929" t="s">
        <v>2026</v>
      </c>
    </row>
    <row r="2930" spans="1:4" x14ac:dyDescent="0.3">
      <c r="A2930" t="s">
        <v>1623</v>
      </c>
      <c r="B2930">
        <v>-0.14452682241957315</v>
      </c>
      <c r="C2930" t="s">
        <v>2075</v>
      </c>
      <c r="D2930" t="s">
        <v>2026</v>
      </c>
    </row>
    <row r="2931" spans="1:4" x14ac:dyDescent="0.3">
      <c r="A2931" t="s">
        <v>1633</v>
      </c>
      <c r="B2931">
        <v>58.283857478794367</v>
      </c>
      <c r="C2931" t="s">
        <v>2075</v>
      </c>
      <c r="D2931" t="s">
        <v>2026</v>
      </c>
    </row>
    <row r="2932" spans="1:4" x14ac:dyDescent="0.3">
      <c r="A2932" t="s">
        <v>1628</v>
      </c>
      <c r="B2932">
        <v>52.402209158031233</v>
      </c>
      <c r="C2932" t="s">
        <v>2075</v>
      </c>
      <c r="D2932" t="s">
        <v>2027</v>
      </c>
    </row>
    <row r="2933" spans="1:4" x14ac:dyDescent="0.3">
      <c r="A2933" t="s">
        <v>17</v>
      </c>
      <c r="B2933">
        <v>34.859630146607046</v>
      </c>
      <c r="C2933" t="s">
        <v>2075</v>
      </c>
      <c r="D2933" t="s">
        <v>2027</v>
      </c>
    </row>
    <row r="2934" spans="1:4" x14ac:dyDescent="0.3">
      <c r="A2934" t="s">
        <v>209</v>
      </c>
      <c r="B2934">
        <v>17.501980947637506</v>
      </c>
      <c r="C2934" t="s">
        <v>2075</v>
      </c>
      <c r="D2934" t="s">
        <v>2027</v>
      </c>
    </row>
    <row r="2935" spans="1:4" x14ac:dyDescent="0.3">
      <c r="A2935" t="s">
        <v>446</v>
      </c>
      <c r="B2935">
        <v>4.0598063786682376E-2</v>
      </c>
      <c r="C2935" t="s">
        <v>2075</v>
      </c>
      <c r="D2935" t="s">
        <v>2027</v>
      </c>
    </row>
    <row r="2936" spans="1:4" x14ac:dyDescent="0.3">
      <c r="A2936" t="s">
        <v>1632</v>
      </c>
      <c r="B2936">
        <v>5.8816483207631309</v>
      </c>
      <c r="C2936" t="s">
        <v>2075</v>
      </c>
      <c r="D2936" t="s">
        <v>2027</v>
      </c>
    </row>
    <row r="2937" spans="1:4" x14ac:dyDescent="0.3">
      <c r="A2937" t="s">
        <v>1626</v>
      </c>
      <c r="B2937">
        <v>10.599719034018653</v>
      </c>
      <c r="C2937" t="s">
        <v>2075</v>
      </c>
      <c r="D2937" t="s">
        <v>2027</v>
      </c>
    </row>
    <row r="2938" spans="1:4" x14ac:dyDescent="0.3">
      <c r="A2938" t="s">
        <v>1627</v>
      </c>
      <c r="B2938">
        <v>-3.0110498256413547</v>
      </c>
      <c r="C2938" t="s">
        <v>2075</v>
      </c>
      <c r="D2938" t="s">
        <v>2027</v>
      </c>
    </row>
    <row r="2939" spans="1:4" x14ac:dyDescent="0.3">
      <c r="A2939" t="s">
        <v>1625</v>
      </c>
      <c r="B2939">
        <v>-1.5624940651945953</v>
      </c>
      <c r="C2939" t="s">
        <v>2075</v>
      </c>
      <c r="D2939" t="s">
        <v>2027</v>
      </c>
    </row>
    <row r="2940" spans="1:4" x14ac:dyDescent="0.3">
      <c r="A2940" t="s">
        <v>1623</v>
      </c>
      <c r="B2940">
        <v>-0.14452682241957315</v>
      </c>
      <c r="C2940" t="s">
        <v>2075</v>
      </c>
      <c r="D2940" t="s">
        <v>2027</v>
      </c>
    </row>
    <row r="2941" spans="1:4" x14ac:dyDescent="0.3">
      <c r="A2941" t="s">
        <v>1633</v>
      </c>
      <c r="B2941">
        <v>58.283857478794367</v>
      </c>
      <c r="C2941" t="s">
        <v>2075</v>
      </c>
      <c r="D2941" t="s">
        <v>2027</v>
      </c>
    </row>
    <row r="2942" spans="1:4" x14ac:dyDescent="0.3">
      <c r="A2942" t="s">
        <v>1628</v>
      </c>
      <c r="B2942">
        <v>46.29625078547739</v>
      </c>
      <c r="C2942" t="s">
        <v>2075</v>
      </c>
      <c r="D2942" t="s">
        <v>2056</v>
      </c>
    </row>
    <row r="2943" spans="1:4" x14ac:dyDescent="0.3">
      <c r="A2943" t="s">
        <v>17</v>
      </c>
      <c r="B2943">
        <v>34.859630146607046</v>
      </c>
      <c r="C2943" t="s">
        <v>2075</v>
      </c>
      <c r="D2943" t="s">
        <v>2056</v>
      </c>
    </row>
    <row r="2944" spans="1:4" x14ac:dyDescent="0.3">
      <c r="A2944" t="s">
        <v>209</v>
      </c>
      <c r="B2944">
        <v>11.396022575083666</v>
      </c>
      <c r="C2944" t="s">
        <v>2075</v>
      </c>
      <c r="D2944" t="s">
        <v>2056</v>
      </c>
    </row>
    <row r="2945" spans="1:4" x14ac:dyDescent="0.3">
      <c r="A2945" t="s">
        <v>446</v>
      </c>
      <c r="B2945">
        <v>4.0598063786682376E-2</v>
      </c>
      <c r="C2945" t="s">
        <v>2075</v>
      </c>
      <c r="D2945" t="s">
        <v>2056</v>
      </c>
    </row>
    <row r="2946" spans="1:4" x14ac:dyDescent="0.3">
      <c r="A2946" t="s">
        <v>1632</v>
      </c>
      <c r="B2946">
        <v>5.8816483207631309</v>
      </c>
      <c r="C2946" t="s">
        <v>2075</v>
      </c>
      <c r="D2946" t="s">
        <v>2056</v>
      </c>
    </row>
    <row r="2947" spans="1:4" x14ac:dyDescent="0.3">
      <c r="A2947" t="s">
        <v>1626</v>
      </c>
      <c r="B2947">
        <v>10.599719034018653</v>
      </c>
      <c r="C2947" t="s">
        <v>2075</v>
      </c>
      <c r="D2947" t="s">
        <v>2056</v>
      </c>
    </row>
    <row r="2948" spans="1:4" x14ac:dyDescent="0.3">
      <c r="A2948" t="s">
        <v>1627</v>
      </c>
      <c r="B2948">
        <v>-3.0110498256413547</v>
      </c>
      <c r="C2948" t="s">
        <v>2075</v>
      </c>
      <c r="D2948" t="s">
        <v>2056</v>
      </c>
    </row>
    <row r="2949" spans="1:4" x14ac:dyDescent="0.3">
      <c r="A2949" t="s">
        <v>1625</v>
      </c>
      <c r="B2949">
        <v>-1.5624940651945953</v>
      </c>
      <c r="C2949" t="s">
        <v>2075</v>
      </c>
      <c r="D2949" t="s">
        <v>2056</v>
      </c>
    </row>
    <row r="2950" spans="1:4" x14ac:dyDescent="0.3">
      <c r="A2950" t="s">
        <v>1623</v>
      </c>
      <c r="B2950">
        <v>-0.14452682241957315</v>
      </c>
      <c r="C2950" t="s">
        <v>2075</v>
      </c>
      <c r="D2950" t="s">
        <v>2056</v>
      </c>
    </row>
    <row r="2951" spans="1:4" x14ac:dyDescent="0.3">
      <c r="A2951" t="s">
        <v>1633</v>
      </c>
      <c r="B2951">
        <v>52.177899106240524</v>
      </c>
      <c r="C2951" t="s">
        <v>2075</v>
      </c>
      <c r="D2951" t="s">
        <v>2056</v>
      </c>
    </row>
    <row r="2952" spans="1:4" x14ac:dyDescent="0.3">
      <c r="A2952" t="s">
        <v>1628</v>
      </c>
      <c r="B2952">
        <v>52.402209158031233</v>
      </c>
      <c r="C2952" t="s">
        <v>2075</v>
      </c>
      <c r="D2952" t="s">
        <v>2029</v>
      </c>
    </row>
    <row r="2953" spans="1:4" x14ac:dyDescent="0.3">
      <c r="A2953" t="s">
        <v>17</v>
      </c>
      <c r="B2953">
        <v>34.859630146607046</v>
      </c>
      <c r="C2953" t="s">
        <v>2075</v>
      </c>
      <c r="D2953" t="s">
        <v>2029</v>
      </c>
    </row>
    <row r="2954" spans="1:4" x14ac:dyDescent="0.3">
      <c r="A2954" t="s">
        <v>209</v>
      </c>
      <c r="B2954">
        <v>17.501980947637506</v>
      </c>
      <c r="C2954" t="s">
        <v>2075</v>
      </c>
      <c r="D2954" t="s">
        <v>2029</v>
      </c>
    </row>
    <row r="2955" spans="1:4" x14ac:dyDescent="0.3">
      <c r="A2955" t="s">
        <v>446</v>
      </c>
      <c r="B2955">
        <v>4.0598063786682376E-2</v>
      </c>
      <c r="C2955" t="s">
        <v>2075</v>
      </c>
      <c r="D2955" t="s">
        <v>2029</v>
      </c>
    </row>
    <row r="2956" spans="1:4" x14ac:dyDescent="0.3">
      <c r="A2956" t="s">
        <v>1632</v>
      </c>
      <c r="B2956">
        <v>5.8816483207631309</v>
      </c>
      <c r="C2956" t="s">
        <v>2075</v>
      </c>
      <c r="D2956" t="s">
        <v>2029</v>
      </c>
    </row>
    <row r="2957" spans="1:4" x14ac:dyDescent="0.3">
      <c r="A2957" t="s">
        <v>1626</v>
      </c>
      <c r="B2957">
        <v>10.599719034018653</v>
      </c>
      <c r="C2957" t="s">
        <v>2075</v>
      </c>
      <c r="D2957" t="s">
        <v>2029</v>
      </c>
    </row>
    <row r="2958" spans="1:4" x14ac:dyDescent="0.3">
      <c r="A2958" t="s">
        <v>1627</v>
      </c>
      <c r="B2958">
        <v>-3.0110498256413547</v>
      </c>
      <c r="C2958" t="s">
        <v>2075</v>
      </c>
      <c r="D2958" t="s">
        <v>2029</v>
      </c>
    </row>
    <row r="2959" spans="1:4" x14ac:dyDescent="0.3">
      <c r="A2959" t="s">
        <v>1625</v>
      </c>
      <c r="B2959">
        <v>-1.5624940651945953</v>
      </c>
      <c r="C2959" t="s">
        <v>2075</v>
      </c>
      <c r="D2959" t="s">
        <v>2029</v>
      </c>
    </row>
    <row r="2960" spans="1:4" x14ac:dyDescent="0.3">
      <c r="A2960" t="s">
        <v>1623</v>
      </c>
      <c r="B2960">
        <v>-0.14452682241957315</v>
      </c>
      <c r="C2960" t="s">
        <v>2075</v>
      </c>
      <c r="D2960" t="s">
        <v>2029</v>
      </c>
    </row>
    <row r="2961" spans="1:4" x14ac:dyDescent="0.3">
      <c r="A2961" t="s">
        <v>1633</v>
      </c>
      <c r="B2961">
        <v>58.283857478794367</v>
      </c>
      <c r="C2961" t="s">
        <v>2075</v>
      </c>
      <c r="D2961" t="s">
        <v>2029</v>
      </c>
    </row>
    <row r="2962" spans="1:4" x14ac:dyDescent="0.3">
      <c r="A2962" t="s">
        <v>1628</v>
      </c>
      <c r="B2962">
        <v>52.402209158031233</v>
      </c>
      <c r="C2962" t="s">
        <v>2075</v>
      </c>
      <c r="D2962" t="s">
        <v>2030</v>
      </c>
    </row>
    <row r="2963" spans="1:4" x14ac:dyDescent="0.3">
      <c r="A2963" t="s">
        <v>17</v>
      </c>
      <c r="B2963">
        <v>34.859630146607046</v>
      </c>
      <c r="C2963" t="s">
        <v>2075</v>
      </c>
      <c r="D2963" t="s">
        <v>2030</v>
      </c>
    </row>
    <row r="2964" spans="1:4" x14ac:dyDescent="0.3">
      <c r="A2964" t="s">
        <v>209</v>
      </c>
      <c r="B2964">
        <v>17.501980947637506</v>
      </c>
      <c r="C2964" t="s">
        <v>2075</v>
      </c>
      <c r="D2964" t="s">
        <v>2030</v>
      </c>
    </row>
    <row r="2965" spans="1:4" x14ac:dyDescent="0.3">
      <c r="A2965" t="s">
        <v>446</v>
      </c>
      <c r="B2965">
        <v>4.0598063786682376E-2</v>
      </c>
      <c r="C2965" t="s">
        <v>2075</v>
      </c>
      <c r="D2965" t="s">
        <v>2030</v>
      </c>
    </row>
    <row r="2966" spans="1:4" x14ac:dyDescent="0.3">
      <c r="A2966" t="s">
        <v>1632</v>
      </c>
      <c r="B2966">
        <v>5.8816483207631309</v>
      </c>
      <c r="C2966" t="s">
        <v>2075</v>
      </c>
      <c r="D2966" t="s">
        <v>2030</v>
      </c>
    </row>
    <row r="2967" spans="1:4" x14ac:dyDescent="0.3">
      <c r="A2967" t="s">
        <v>1626</v>
      </c>
      <c r="B2967">
        <v>10.599719034018653</v>
      </c>
      <c r="C2967" t="s">
        <v>2075</v>
      </c>
      <c r="D2967" t="s">
        <v>2030</v>
      </c>
    </row>
    <row r="2968" spans="1:4" x14ac:dyDescent="0.3">
      <c r="A2968" t="s">
        <v>1627</v>
      </c>
      <c r="B2968">
        <v>-3.0110498256413547</v>
      </c>
      <c r="C2968" t="s">
        <v>2075</v>
      </c>
      <c r="D2968" t="s">
        <v>2030</v>
      </c>
    </row>
    <row r="2969" spans="1:4" x14ac:dyDescent="0.3">
      <c r="A2969" t="s">
        <v>1625</v>
      </c>
      <c r="B2969">
        <v>-1.5624940651945953</v>
      </c>
      <c r="C2969" t="s">
        <v>2075</v>
      </c>
      <c r="D2969" t="s">
        <v>2030</v>
      </c>
    </row>
    <row r="2970" spans="1:4" x14ac:dyDescent="0.3">
      <c r="A2970" t="s">
        <v>1623</v>
      </c>
      <c r="B2970">
        <v>-0.14452682241957315</v>
      </c>
      <c r="C2970" t="s">
        <v>2075</v>
      </c>
      <c r="D2970" t="s">
        <v>2030</v>
      </c>
    </row>
    <row r="2971" spans="1:4" x14ac:dyDescent="0.3">
      <c r="A2971" t="s">
        <v>1633</v>
      </c>
      <c r="B2971">
        <v>58.283857478794367</v>
      </c>
      <c r="C2971" t="s">
        <v>2075</v>
      </c>
      <c r="D2971" t="s">
        <v>2030</v>
      </c>
    </row>
    <row r="2972" spans="1:4" x14ac:dyDescent="0.3">
      <c r="A2972" t="s">
        <v>1628</v>
      </c>
      <c r="B2972">
        <v>45.482770099891709</v>
      </c>
      <c r="C2972" t="s">
        <v>2075</v>
      </c>
      <c r="D2972" t="s">
        <v>2057</v>
      </c>
    </row>
    <row r="2973" spans="1:4" x14ac:dyDescent="0.3">
      <c r="A2973" t="s">
        <v>17</v>
      </c>
      <c r="B2973">
        <v>34.859630146607046</v>
      </c>
      <c r="C2973" t="s">
        <v>2075</v>
      </c>
      <c r="D2973" t="s">
        <v>2057</v>
      </c>
    </row>
    <row r="2974" spans="1:4" x14ac:dyDescent="0.3">
      <c r="A2974" t="s">
        <v>209</v>
      </c>
      <c r="B2974">
        <v>10.58254188949798</v>
      </c>
      <c r="C2974" t="s">
        <v>2075</v>
      </c>
      <c r="D2974" t="s">
        <v>2057</v>
      </c>
    </row>
    <row r="2975" spans="1:4" x14ac:dyDescent="0.3">
      <c r="A2975" t="s">
        <v>446</v>
      </c>
      <c r="B2975">
        <v>4.0598063786682376E-2</v>
      </c>
      <c r="C2975" t="s">
        <v>2075</v>
      </c>
      <c r="D2975" t="s">
        <v>2057</v>
      </c>
    </row>
    <row r="2976" spans="1:4" x14ac:dyDescent="0.3">
      <c r="A2976" t="s">
        <v>1632</v>
      </c>
      <c r="B2976">
        <v>5.8816483207631309</v>
      </c>
      <c r="C2976" t="s">
        <v>2075</v>
      </c>
      <c r="D2976" t="s">
        <v>2057</v>
      </c>
    </row>
    <row r="2977" spans="1:4" x14ac:dyDescent="0.3">
      <c r="A2977" t="s">
        <v>1626</v>
      </c>
      <c r="B2977">
        <v>10.599719034018653</v>
      </c>
      <c r="C2977" t="s">
        <v>2075</v>
      </c>
      <c r="D2977" t="s">
        <v>2057</v>
      </c>
    </row>
    <row r="2978" spans="1:4" x14ac:dyDescent="0.3">
      <c r="A2978" t="s">
        <v>1627</v>
      </c>
      <c r="B2978">
        <v>-3.0110498256413547</v>
      </c>
      <c r="C2978" t="s">
        <v>2075</v>
      </c>
      <c r="D2978" t="s">
        <v>2057</v>
      </c>
    </row>
    <row r="2979" spans="1:4" x14ac:dyDescent="0.3">
      <c r="A2979" t="s">
        <v>1625</v>
      </c>
      <c r="B2979">
        <v>-1.5624940651945953</v>
      </c>
      <c r="C2979" t="s">
        <v>2075</v>
      </c>
      <c r="D2979" t="s">
        <v>2057</v>
      </c>
    </row>
    <row r="2980" spans="1:4" x14ac:dyDescent="0.3">
      <c r="A2980" t="s">
        <v>1623</v>
      </c>
      <c r="B2980">
        <v>-0.14452682241957315</v>
      </c>
      <c r="C2980" t="s">
        <v>2075</v>
      </c>
      <c r="D2980" t="s">
        <v>2057</v>
      </c>
    </row>
    <row r="2981" spans="1:4" x14ac:dyDescent="0.3">
      <c r="A2981" t="s">
        <v>1633</v>
      </c>
      <c r="B2981">
        <v>51.364418420654843</v>
      </c>
      <c r="C2981" t="s">
        <v>2075</v>
      </c>
      <c r="D2981" t="s">
        <v>2057</v>
      </c>
    </row>
    <row r="2982" spans="1:4" x14ac:dyDescent="0.3">
      <c r="A2982" t="s">
        <v>1628</v>
      </c>
      <c r="B2982">
        <v>52.402209158031233</v>
      </c>
      <c r="C2982" t="s">
        <v>2075</v>
      </c>
      <c r="D2982" t="s">
        <v>2032</v>
      </c>
    </row>
    <row r="2983" spans="1:4" x14ac:dyDescent="0.3">
      <c r="A2983" t="s">
        <v>17</v>
      </c>
      <c r="B2983">
        <v>34.859630146607046</v>
      </c>
      <c r="C2983" t="s">
        <v>2075</v>
      </c>
      <c r="D2983" t="s">
        <v>2032</v>
      </c>
    </row>
    <row r="2984" spans="1:4" x14ac:dyDescent="0.3">
      <c r="A2984" t="s">
        <v>209</v>
      </c>
      <c r="B2984">
        <v>17.501980947637506</v>
      </c>
      <c r="C2984" t="s">
        <v>2075</v>
      </c>
      <c r="D2984" t="s">
        <v>2032</v>
      </c>
    </row>
    <row r="2985" spans="1:4" x14ac:dyDescent="0.3">
      <c r="A2985" t="s">
        <v>446</v>
      </c>
      <c r="B2985">
        <v>4.0598063786682376E-2</v>
      </c>
      <c r="C2985" t="s">
        <v>2075</v>
      </c>
      <c r="D2985" t="s">
        <v>2032</v>
      </c>
    </row>
    <row r="2986" spans="1:4" x14ac:dyDescent="0.3">
      <c r="A2986" t="s">
        <v>1632</v>
      </c>
      <c r="B2986">
        <v>5.8816483207631309</v>
      </c>
      <c r="C2986" t="s">
        <v>2075</v>
      </c>
      <c r="D2986" t="s">
        <v>2032</v>
      </c>
    </row>
    <row r="2987" spans="1:4" x14ac:dyDescent="0.3">
      <c r="A2987" t="s">
        <v>1626</v>
      </c>
      <c r="B2987">
        <v>10.599719034018653</v>
      </c>
      <c r="C2987" t="s">
        <v>2075</v>
      </c>
      <c r="D2987" t="s">
        <v>2032</v>
      </c>
    </row>
    <row r="2988" spans="1:4" x14ac:dyDescent="0.3">
      <c r="A2988" t="s">
        <v>1627</v>
      </c>
      <c r="B2988">
        <v>-3.0110498256413547</v>
      </c>
      <c r="C2988" t="s">
        <v>2075</v>
      </c>
      <c r="D2988" t="s">
        <v>2032</v>
      </c>
    </row>
    <row r="2989" spans="1:4" x14ac:dyDescent="0.3">
      <c r="A2989" t="s">
        <v>1625</v>
      </c>
      <c r="B2989">
        <v>-1.5624940651945953</v>
      </c>
      <c r="C2989" t="s">
        <v>2075</v>
      </c>
      <c r="D2989" t="s">
        <v>2032</v>
      </c>
    </row>
    <row r="2990" spans="1:4" x14ac:dyDescent="0.3">
      <c r="A2990" t="s">
        <v>1623</v>
      </c>
      <c r="B2990">
        <v>-0.14452682241957315</v>
      </c>
      <c r="C2990" t="s">
        <v>2075</v>
      </c>
      <c r="D2990" t="s">
        <v>2032</v>
      </c>
    </row>
    <row r="2991" spans="1:4" x14ac:dyDescent="0.3">
      <c r="A2991" t="s">
        <v>1633</v>
      </c>
      <c r="B2991">
        <v>58.283857478794367</v>
      </c>
      <c r="C2991" t="s">
        <v>2075</v>
      </c>
      <c r="D2991" t="s">
        <v>2032</v>
      </c>
    </row>
    <row r="2992" spans="1:4" x14ac:dyDescent="0.3">
      <c r="A2992" t="s">
        <v>1628</v>
      </c>
      <c r="B2992">
        <v>49.25221014791795</v>
      </c>
      <c r="C2992" t="s">
        <v>2075</v>
      </c>
      <c r="D2992" t="s">
        <v>2058</v>
      </c>
    </row>
    <row r="2993" spans="1:4" x14ac:dyDescent="0.3">
      <c r="A2993" t="s">
        <v>17</v>
      </c>
      <c r="B2993">
        <v>34.859630146607046</v>
      </c>
      <c r="C2993" t="s">
        <v>2075</v>
      </c>
      <c r="D2993" t="s">
        <v>2058</v>
      </c>
    </row>
    <row r="2994" spans="1:4" x14ac:dyDescent="0.3">
      <c r="A2994" t="s">
        <v>209</v>
      </c>
      <c r="B2994">
        <v>14.351981937524224</v>
      </c>
      <c r="C2994" t="s">
        <v>2075</v>
      </c>
      <c r="D2994" t="s">
        <v>2058</v>
      </c>
    </row>
    <row r="2995" spans="1:4" x14ac:dyDescent="0.3">
      <c r="A2995" t="s">
        <v>446</v>
      </c>
      <c r="B2995">
        <v>4.0598063786682376E-2</v>
      </c>
      <c r="C2995" t="s">
        <v>2075</v>
      </c>
      <c r="D2995" t="s">
        <v>2058</v>
      </c>
    </row>
    <row r="2996" spans="1:4" x14ac:dyDescent="0.3">
      <c r="A2996" t="s">
        <v>1632</v>
      </c>
      <c r="B2996">
        <v>5.8816483207631309</v>
      </c>
      <c r="C2996" t="s">
        <v>2075</v>
      </c>
      <c r="D2996" t="s">
        <v>2058</v>
      </c>
    </row>
    <row r="2997" spans="1:4" x14ac:dyDescent="0.3">
      <c r="A2997" t="s">
        <v>1626</v>
      </c>
      <c r="B2997">
        <v>10.599719034018653</v>
      </c>
      <c r="C2997" t="s">
        <v>2075</v>
      </c>
      <c r="D2997" t="s">
        <v>2058</v>
      </c>
    </row>
    <row r="2998" spans="1:4" x14ac:dyDescent="0.3">
      <c r="A2998" t="s">
        <v>1627</v>
      </c>
      <c r="B2998">
        <v>-3.0110498256413547</v>
      </c>
      <c r="C2998" t="s">
        <v>2075</v>
      </c>
      <c r="D2998" t="s">
        <v>2058</v>
      </c>
    </row>
    <row r="2999" spans="1:4" x14ac:dyDescent="0.3">
      <c r="A2999" t="s">
        <v>1625</v>
      </c>
      <c r="B2999">
        <v>-1.5624940651945953</v>
      </c>
      <c r="C2999" t="s">
        <v>2075</v>
      </c>
      <c r="D2999" t="s">
        <v>2058</v>
      </c>
    </row>
    <row r="3000" spans="1:4" x14ac:dyDescent="0.3">
      <c r="A3000" t="s">
        <v>1623</v>
      </c>
      <c r="B3000">
        <v>-0.14452682241957315</v>
      </c>
      <c r="C3000" t="s">
        <v>2075</v>
      </c>
      <c r="D3000" t="s">
        <v>2058</v>
      </c>
    </row>
    <row r="3001" spans="1:4" x14ac:dyDescent="0.3">
      <c r="A3001" t="s">
        <v>1633</v>
      </c>
      <c r="B3001">
        <v>55.133858468681083</v>
      </c>
      <c r="C3001" t="s">
        <v>2075</v>
      </c>
      <c r="D3001" t="s">
        <v>2058</v>
      </c>
    </row>
    <row r="3002" spans="1:4" x14ac:dyDescent="0.3">
      <c r="A3002" t="s">
        <v>1628</v>
      </c>
      <c r="B3002">
        <v>52.402209158031233</v>
      </c>
      <c r="C3002" t="s">
        <v>2075</v>
      </c>
      <c r="D3002" t="s">
        <v>2274</v>
      </c>
    </row>
    <row r="3003" spans="1:4" x14ac:dyDescent="0.3">
      <c r="A3003" t="s">
        <v>17</v>
      </c>
      <c r="B3003">
        <v>34.859630146607046</v>
      </c>
      <c r="C3003" t="s">
        <v>2075</v>
      </c>
      <c r="D3003" t="s">
        <v>2274</v>
      </c>
    </row>
    <row r="3004" spans="1:4" x14ac:dyDescent="0.3">
      <c r="A3004" t="s">
        <v>209</v>
      </c>
      <c r="B3004">
        <v>17.501980947637506</v>
      </c>
      <c r="C3004" t="s">
        <v>2075</v>
      </c>
      <c r="D3004" t="s">
        <v>2274</v>
      </c>
    </row>
    <row r="3005" spans="1:4" x14ac:dyDescent="0.3">
      <c r="A3005" t="s">
        <v>446</v>
      </c>
      <c r="B3005">
        <v>4.0598063786682376E-2</v>
      </c>
      <c r="C3005" t="s">
        <v>2075</v>
      </c>
      <c r="D3005" t="s">
        <v>2274</v>
      </c>
    </row>
    <row r="3006" spans="1:4" x14ac:dyDescent="0.3">
      <c r="A3006" t="s">
        <v>1632</v>
      </c>
      <c r="B3006">
        <v>5.8816483207631309</v>
      </c>
      <c r="C3006" t="s">
        <v>2075</v>
      </c>
      <c r="D3006" t="s">
        <v>2274</v>
      </c>
    </row>
    <row r="3007" spans="1:4" x14ac:dyDescent="0.3">
      <c r="A3007" t="s">
        <v>1626</v>
      </c>
      <c r="B3007">
        <v>10.599719034018653</v>
      </c>
      <c r="C3007" t="s">
        <v>2075</v>
      </c>
      <c r="D3007" t="s">
        <v>2274</v>
      </c>
    </row>
    <row r="3008" spans="1:4" x14ac:dyDescent="0.3">
      <c r="A3008" t="s">
        <v>1627</v>
      </c>
      <c r="B3008">
        <v>-3.0110498256413547</v>
      </c>
      <c r="C3008" t="s">
        <v>2075</v>
      </c>
      <c r="D3008" t="s">
        <v>2274</v>
      </c>
    </row>
    <row r="3009" spans="1:4" x14ac:dyDescent="0.3">
      <c r="A3009" t="s">
        <v>1625</v>
      </c>
      <c r="B3009">
        <v>-1.5624940651945953</v>
      </c>
      <c r="C3009" t="s">
        <v>2075</v>
      </c>
      <c r="D3009" t="s">
        <v>2274</v>
      </c>
    </row>
    <row r="3010" spans="1:4" x14ac:dyDescent="0.3">
      <c r="A3010" t="s">
        <v>1623</v>
      </c>
      <c r="B3010">
        <v>-0.14452682241957315</v>
      </c>
      <c r="C3010" t="s">
        <v>2075</v>
      </c>
      <c r="D3010" t="s">
        <v>2274</v>
      </c>
    </row>
    <row r="3011" spans="1:4" x14ac:dyDescent="0.3">
      <c r="A3011" t="s">
        <v>1633</v>
      </c>
      <c r="B3011">
        <v>58.283857478794367</v>
      </c>
      <c r="C3011" t="s">
        <v>2075</v>
      </c>
      <c r="D3011" t="s">
        <v>2274</v>
      </c>
    </row>
    <row r="3012" spans="1:4" x14ac:dyDescent="0.3">
      <c r="A3012" t="s">
        <v>1628</v>
      </c>
      <c r="B3012">
        <v>52.402209158031233</v>
      </c>
      <c r="C3012" t="s">
        <v>2075</v>
      </c>
      <c r="D3012" t="s">
        <v>2275</v>
      </c>
    </row>
    <row r="3013" spans="1:4" x14ac:dyDescent="0.3">
      <c r="A3013" t="s">
        <v>17</v>
      </c>
      <c r="B3013">
        <v>34.859630146607046</v>
      </c>
      <c r="C3013" t="s">
        <v>2075</v>
      </c>
      <c r="D3013" t="s">
        <v>2275</v>
      </c>
    </row>
    <row r="3014" spans="1:4" x14ac:dyDescent="0.3">
      <c r="A3014" t="s">
        <v>209</v>
      </c>
      <c r="B3014">
        <v>17.501980947637506</v>
      </c>
      <c r="C3014" t="s">
        <v>2075</v>
      </c>
      <c r="D3014" t="s">
        <v>2275</v>
      </c>
    </row>
    <row r="3015" spans="1:4" x14ac:dyDescent="0.3">
      <c r="A3015" t="s">
        <v>446</v>
      </c>
      <c r="B3015">
        <v>4.0598063786682376E-2</v>
      </c>
      <c r="C3015" t="s">
        <v>2075</v>
      </c>
      <c r="D3015" t="s">
        <v>2275</v>
      </c>
    </row>
    <row r="3016" spans="1:4" x14ac:dyDescent="0.3">
      <c r="A3016" t="s">
        <v>1632</v>
      </c>
      <c r="B3016">
        <v>5.8816483207631309</v>
      </c>
      <c r="C3016" t="s">
        <v>2075</v>
      </c>
      <c r="D3016" t="s">
        <v>2275</v>
      </c>
    </row>
    <row r="3017" spans="1:4" x14ac:dyDescent="0.3">
      <c r="A3017" t="s">
        <v>1626</v>
      </c>
      <c r="B3017">
        <v>10.599719034018653</v>
      </c>
      <c r="C3017" t="s">
        <v>2075</v>
      </c>
      <c r="D3017" t="s">
        <v>2275</v>
      </c>
    </row>
    <row r="3018" spans="1:4" x14ac:dyDescent="0.3">
      <c r="A3018" t="s">
        <v>1627</v>
      </c>
      <c r="B3018">
        <v>-3.0110498256413547</v>
      </c>
      <c r="C3018" t="s">
        <v>2075</v>
      </c>
      <c r="D3018" t="s">
        <v>2275</v>
      </c>
    </row>
    <row r="3019" spans="1:4" x14ac:dyDescent="0.3">
      <c r="A3019" t="s">
        <v>1625</v>
      </c>
      <c r="B3019">
        <v>-1.5624940651945953</v>
      </c>
      <c r="C3019" t="s">
        <v>2075</v>
      </c>
      <c r="D3019" t="s">
        <v>2275</v>
      </c>
    </row>
    <row r="3020" spans="1:4" x14ac:dyDescent="0.3">
      <c r="A3020" t="s">
        <v>1623</v>
      </c>
      <c r="B3020">
        <v>-0.14452682241957315</v>
      </c>
      <c r="C3020" t="s">
        <v>2075</v>
      </c>
      <c r="D3020" t="s">
        <v>2275</v>
      </c>
    </row>
    <row r="3021" spans="1:4" x14ac:dyDescent="0.3">
      <c r="A3021" t="s">
        <v>1633</v>
      </c>
      <c r="B3021">
        <v>58.283857478794367</v>
      </c>
      <c r="C3021" t="s">
        <v>2075</v>
      </c>
      <c r="D3021" t="s">
        <v>2275</v>
      </c>
    </row>
    <row r="3022" spans="1:4" x14ac:dyDescent="0.3">
      <c r="A3022" t="s">
        <v>1628</v>
      </c>
      <c r="B3022">
        <v>54.684147251667262</v>
      </c>
      <c r="C3022" t="s">
        <v>2075</v>
      </c>
      <c r="D3022" t="s">
        <v>2166</v>
      </c>
    </row>
    <row r="3023" spans="1:4" x14ac:dyDescent="0.3">
      <c r="A3023" t="s">
        <v>17</v>
      </c>
      <c r="B3023">
        <v>34.859630146607046</v>
      </c>
      <c r="C3023" t="s">
        <v>2075</v>
      </c>
      <c r="D3023" t="s">
        <v>2166</v>
      </c>
    </row>
    <row r="3024" spans="1:4" x14ac:dyDescent="0.3">
      <c r="A3024" t="s">
        <v>209</v>
      </c>
      <c r="B3024">
        <v>19.783919041273531</v>
      </c>
      <c r="C3024" t="s">
        <v>2075</v>
      </c>
      <c r="D3024" t="s">
        <v>2166</v>
      </c>
    </row>
    <row r="3025" spans="1:4" x14ac:dyDescent="0.3">
      <c r="A3025" t="s">
        <v>446</v>
      </c>
      <c r="B3025">
        <v>4.0598063786682376E-2</v>
      </c>
      <c r="C3025" t="s">
        <v>2075</v>
      </c>
      <c r="D3025" t="s">
        <v>2166</v>
      </c>
    </row>
    <row r="3026" spans="1:4" x14ac:dyDescent="0.3">
      <c r="A3026" t="s">
        <v>1632</v>
      </c>
      <c r="B3026">
        <v>5.8816483207631309</v>
      </c>
      <c r="C3026" t="s">
        <v>2075</v>
      </c>
      <c r="D3026" t="s">
        <v>2166</v>
      </c>
    </row>
    <row r="3027" spans="1:4" x14ac:dyDescent="0.3">
      <c r="A3027" t="s">
        <v>1626</v>
      </c>
      <c r="B3027">
        <v>10.599719034018653</v>
      </c>
      <c r="C3027" t="s">
        <v>2075</v>
      </c>
      <c r="D3027" t="s">
        <v>2166</v>
      </c>
    </row>
    <row r="3028" spans="1:4" x14ac:dyDescent="0.3">
      <c r="A3028" t="s">
        <v>1627</v>
      </c>
      <c r="B3028">
        <v>-3.0110498256413547</v>
      </c>
      <c r="C3028" t="s">
        <v>2075</v>
      </c>
      <c r="D3028" t="s">
        <v>2166</v>
      </c>
    </row>
    <row r="3029" spans="1:4" x14ac:dyDescent="0.3">
      <c r="A3029" t="s">
        <v>1625</v>
      </c>
      <c r="B3029">
        <v>-1.5624940651945953</v>
      </c>
      <c r="C3029" t="s">
        <v>2075</v>
      </c>
      <c r="D3029" t="s">
        <v>2166</v>
      </c>
    </row>
    <row r="3030" spans="1:4" x14ac:dyDescent="0.3">
      <c r="A3030" t="s">
        <v>1623</v>
      </c>
      <c r="B3030">
        <v>-0.14452682241957315</v>
      </c>
      <c r="C3030" t="s">
        <v>2075</v>
      </c>
      <c r="D3030" t="s">
        <v>2166</v>
      </c>
    </row>
    <row r="3031" spans="1:4" x14ac:dyDescent="0.3">
      <c r="A3031" t="s">
        <v>1633</v>
      </c>
      <c r="B3031">
        <v>60.565795572430396</v>
      </c>
      <c r="C3031" t="s">
        <v>2075</v>
      </c>
      <c r="D3031" t="s">
        <v>2166</v>
      </c>
    </row>
    <row r="3032" spans="1:4" x14ac:dyDescent="0.3">
      <c r="A3032" t="s">
        <v>1628</v>
      </c>
      <c r="B3032">
        <v>50.598890226410951</v>
      </c>
      <c r="C3032" t="s">
        <v>2075</v>
      </c>
      <c r="D3032" t="s">
        <v>2167</v>
      </c>
    </row>
    <row r="3033" spans="1:4" x14ac:dyDescent="0.3">
      <c r="A3033" t="s">
        <v>17</v>
      </c>
      <c r="B3033">
        <v>34.859630146607046</v>
      </c>
      <c r="C3033" t="s">
        <v>2075</v>
      </c>
      <c r="D3033" t="s">
        <v>2167</v>
      </c>
    </row>
    <row r="3034" spans="1:4" x14ac:dyDescent="0.3">
      <c r="A3034" t="s">
        <v>209</v>
      </c>
      <c r="B3034">
        <v>15.69866201601722</v>
      </c>
      <c r="C3034" t="s">
        <v>2075</v>
      </c>
      <c r="D3034" t="s">
        <v>2167</v>
      </c>
    </row>
    <row r="3035" spans="1:4" x14ac:dyDescent="0.3">
      <c r="A3035" t="s">
        <v>446</v>
      </c>
      <c r="B3035">
        <v>4.0598063786682376E-2</v>
      </c>
      <c r="C3035" t="s">
        <v>2075</v>
      </c>
      <c r="D3035" t="s">
        <v>2167</v>
      </c>
    </row>
    <row r="3036" spans="1:4" x14ac:dyDescent="0.3">
      <c r="A3036" t="s">
        <v>1632</v>
      </c>
      <c r="B3036">
        <v>5.8816483207631309</v>
      </c>
      <c r="C3036" t="s">
        <v>2075</v>
      </c>
      <c r="D3036" t="s">
        <v>2167</v>
      </c>
    </row>
    <row r="3037" spans="1:4" x14ac:dyDescent="0.3">
      <c r="A3037" t="s">
        <v>1626</v>
      </c>
      <c r="B3037">
        <v>10.599719034018653</v>
      </c>
      <c r="C3037" t="s">
        <v>2075</v>
      </c>
      <c r="D3037" t="s">
        <v>2167</v>
      </c>
    </row>
    <row r="3038" spans="1:4" x14ac:dyDescent="0.3">
      <c r="A3038" t="s">
        <v>1627</v>
      </c>
      <c r="B3038">
        <v>-3.0110498256413547</v>
      </c>
      <c r="C3038" t="s">
        <v>2075</v>
      </c>
      <c r="D3038" t="s">
        <v>2167</v>
      </c>
    </row>
    <row r="3039" spans="1:4" x14ac:dyDescent="0.3">
      <c r="A3039" t="s">
        <v>1625</v>
      </c>
      <c r="B3039">
        <v>-1.5624940651945953</v>
      </c>
      <c r="C3039" t="s">
        <v>2075</v>
      </c>
      <c r="D3039" t="s">
        <v>2167</v>
      </c>
    </row>
    <row r="3040" spans="1:4" x14ac:dyDescent="0.3">
      <c r="A3040" t="s">
        <v>1623</v>
      </c>
      <c r="B3040">
        <v>-0.14452682241957315</v>
      </c>
      <c r="C3040" t="s">
        <v>2075</v>
      </c>
      <c r="D3040" t="s">
        <v>2167</v>
      </c>
    </row>
    <row r="3041" spans="1:4" x14ac:dyDescent="0.3">
      <c r="A3041" t="s">
        <v>1633</v>
      </c>
      <c r="B3041">
        <v>56.480538547174085</v>
      </c>
      <c r="C3041" t="s">
        <v>2075</v>
      </c>
      <c r="D3041" t="s">
        <v>2167</v>
      </c>
    </row>
    <row r="3042" spans="1:4" x14ac:dyDescent="0.3">
      <c r="A3042" t="s">
        <v>1628</v>
      </c>
      <c r="B3042">
        <v>52.326400513087655</v>
      </c>
      <c r="C3042" t="s">
        <v>2075</v>
      </c>
      <c r="D3042" t="s">
        <v>2168</v>
      </c>
    </row>
    <row r="3043" spans="1:4" x14ac:dyDescent="0.3">
      <c r="A3043" t="s">
        <v>17</v>
      </c>
      <c r="B3043">
        <v>34.859630146607046</v>
      </c>
      <c r="C3043" t="s">
        <v>2075</v>
      </c>
      <c r="D3043" t="s">
        <v>2168</v>
      </c>
    </row>
    <row r="3044" spans="1:4" x14ac:dyDescent="0.3">
      <c r="A3044" t="s">
        <v>209</v>
      </c>
      <c r="B3044">
        <v>17.426172302693931</v>
      </c>
      <c r="C3044" t="s">
        <v>2075</v>
      </c>
      <c r="D3044" t="s">
        <v>2168</v>
      </c>
    </row>
    <row r="3045" spans="1:4" x14ac:dyDescent="0.3">
      <c r="A3045" t="s">
        <v>446</v>
      </c>
      <c r="B3045">
        <v>4.0598063786682376E-2</v>
      </c>
      <c r="C3045" t="s">
        <v>2075</v>
      </c>
      <c r="D3045" t="s">
        <v>2168</v>
      </c>
    </row>
    <row r="3046" spans="1:4" x14ac:dyDescent="0.3">
      <c r="A3046" t="s">
        <v>1632</v>
      </c>
      <c r="B3046">
        <v>5.8816483207631309</v>
      </c>
      <c r="C3046" t="s">
        <v>2075</v>
      </c>
      <c r="D3046" t="s">
        <v>2168</v>
      </c>
    </row>
    <row r="3047" spans="1:4" x14ac:dyDescent="0.3">
      <c r="A3047" t="s">
        <v>1626</v>
      </c>
      <c r="B3047">
        <v>10.599719034018653</v>
      </c>
      <c r="C3047" t="s">
        <v>2075</v>
      </c>
      <c r="D3047" t="s">
        <v>2168</v>
      </c>
    </row>
    <row r="3048" spans="1:4" x14ac:dyDescent="0.3">
      <c r="A3048" t="s">
        <v>1627</v>
      </c>
      <c r="B3048">
        <v>-3.0110498256413547</v>
      </c>
      <c r="C3048" t="s">
        <v>2075</v>
      </c>
      <c r="D3048" t="s">
        <v>2168</v>
      </c>
    </row>
    <row r="3049" spans="1:4" x14ac:dyDescent="0.3">
      <c r="A3049" t="s">
        <v>1625</v>
      </c>
      <c r="B3049">
        <v>-1.5624940651945953</v>
      </c>
      <c r="C3049" t="s">
        <v>2075</v>
      </c>
      <c r="D3049" t="s">
        <v>2168</v>
      </c>
    </row>
    <row r="3050" spans="1:4" x14ac:dyDescent="0.3">
      <c r="A3050" t="s">
        <v>1623</v>
      </c>
      <c r="B3050">
        <v>-0.14452682241957315</v>
      </c>
      <c r="C3050" t="s">
        <v>2075</v>
      </c>
      <c r="D3050" t="s">
        <v>2168</v>
      </c>
    </row>
    <row r="3051" spans="1:4" x14ac:dyDescent="0.3">
      <c r="A3051" t="s">
        <v>1633</v>
      </c>
      <c r="B3051">
        <v>58.208048833850789</v>
      </c>
      <c r="C3051" t="s">
        <v>2075</v>
      </c>
      <c r="D3051" t="s">
        <v>2168</v>
      </c>
    </row>
    <row r="3052" spans="1:4" x14ac:dyDescent="0.3">
      <c r="A3052" t="s">
        <v>1628</v>
      </c>
      <c r="B3052">
        <v>50.634754889726587</v>
      </c>
      <c r="C3052" t="s">
        <v>2075</v>
      </c>
      <c r="D3052" t="s">
        <v>2169</v>
      </c>
    </row>
    <row r="3053" spans="1:4" x14ac:dyDescent="0.3">
      <c r="A3053" t="s">
        <v>17</v>
      </c>
      <c r="B3053">
        <v>34.859630146607046</v>
      </c>
      <c r="C3053" t="s">
        <v>2075</v>
      </c>
      <c r="D3053" t="s">
        <v>2169</v>
      </c>
    </row>
    <row r="3054" spans="1:4" x14ac:dyDescent="0.3">
      <c r="A3054" t="s">
        <v>209</v>
      </c>
      <c r="B3054">
        <v>15.734526679332859</v>
      </c>
      <c r="C3054" t="s">
        <v>2075</v>
      </c>
      <c r="D3054" t="s">
        <v>2169</v>
      </c>
    </row>
    <row r="3055" spans="1:4" x14ac:dyDescent="0.3">
      <c r="A3055" t="s">
        <v>446</v>
      </c>
      <c r="B3055">
        <v>4.0598063786682376E-2</v>
      </c>
      <c r="C3055" t="s">
        <v>2075</v>
      </c>
      <c r="D3055" t="s">
        <v>2169</v>
      </c>
    </row>
    <row r="3056" spans="1:4" x14ac:dyDescent="0.3">
      <c r="A3056" t="s">
        <v>1632</v>
      </c>
      <c r="B3056">
        <v>5.8816483207631309</v>
      </c>
      <c r="C3056" t="s">
        <v>2075</v>
      </c>
      <c r="D3056" t="s">
        <v>2169</v>
      </c>
    </row>
    <row r="3057" spans="1:4" x14ac:dyDescent="0.3">
      <c r="A3057" t="s">
        <v>1626</v>
      </c>
      <c r="B3057">
        <v>10.599719034018653</v>
      </c>
      <c r="C3057" t="s">
        <v>2075</v>
      </c>
      <c r="D3057" t="s">
        <v>2169</v>
      </c>
    </row>
    <row r="3058" spans="1:4" x14ac:dyDescent="0.3">
      <c r="A3058" t="s">
        <v>1627</v>
      </c>
      <c r="B3058">
        <v>-3.0110498256413547</v>
      </c>
      <c r="C3058" t="s">
        <v>2075</v>
      </c>
      <c r="D3058" t="s">
        <v>2169</v>
      </c>
    </row>
    <row r="3059" spans="1:4" x14ac:dyDescent="0.3">
      <c r="A3059" t="s">
        <v>1625</v>
      </c>
      <c r="B3059">
        <v>-1.5624940651945953</v>
      </c>
      <c r="C3059" t="s">
        <v>2075</v>
      </c>
      <c r="D3059" t="s">
        <v>2169</v>
      </c>
    </row>
    <row r="3060" spans="1:4" x14ac:dyDescent="0.3">
      <c r="A3060" t="s">
        <v>1623</v>
      </c>
      <c r="B3060">
        <v>-0.14452682241957315</v>
      </c>
      <c r="C3060" t="s">
        <v>2075</v>
      </c>
      <c r="D3060" t="s">
        <v>2169</v>
      </c>
    </row>
    <row r="3061" spans="1:4" x14ac:dyDescent="0.3">
      <c r="A3061" t="s">
        <v>1633</v>
      </c>
      <c r="B3061">
        <v>56.51640321048972</v>
      </c>
      <c r="C3061" t="s">
        <v>2075</v>
      </c>
      <c r="D3061" t="s">
        <v>2169</v>
      </c>
    </row>
    <row r="3062" spans="1:4" x14ac:dyDescent="0.3">
      <c r="A3062" t="s">
        <v>1628</v>
      </c>
      <c r="B3062">
        <v>52.585314570489793</v>
      </c>
      <c r="C3062" t="s">
        <v>2075</v>
      </c>
      <c r="D3062" t="s">
        <v>2170</v>
      </c>
    </row>
    <row r="3063" spans="1:4" x14ac:dyDescent="0.3">
      <c r="A3063" t="s">
        <v>17</v>
      </c>
      <c r="B3063">
        <v>34.859630146607046</v>
      </c>
      <c r="C3063" t="s">
        <v>2075</v>
      </c>
      <c r="D3063" t="s">
        <v>2170</v>
      </c>
    </row>
    <row r="3064" spans="1:4" x14ac:dyDescent="0.3">
      <c r="A3064" t="s">
        <v>209</v>
      </c>
      <c r="B3064">
        <v>17.685086360096069</v>
      </c>
      <c r="C3064" t="s">
        <v>2075</v>
      </c>
      <c r="D3064" t="s">
        <v>2170</v>
      </c>
    </row>
    <row r="3065" spans="1:4" x14ac:dyDescent="0.3">
      <c r="A3065" t="s">
        <v>446</v>
      </c>
      <c r="B3065">
        <v>4.0598063786682376E-2</v>
      </c>
      <c r="C3065" t="s">
        <v>2075</v>
      </c>
      <c r="D3065" t="s">
        <v>2170</v>
      </c>
    </row>
    <row r="3066" spans="1:4" x14ac:dyDescent="0.3">
      <c r="A3066" t="s">
        <v>1632</v>
      </c>
      <c r="B3066">
        <v>5.8816483207631309</v>
      </c>
      <c r="C3066" t="s">
        <v>2075</v>
      </c>
      <c r="D3066" t="s">
        <v>2170</v>
      </c>
    </row>
    <row r="3067" spans="1:4" x14ac:dyDescent="0.3">
      <c r="A3067" t="s">
        <v>1626</v>
      </c>
      <c r="B3067">
        <v>10.599719034018653</v>
      </c>
      <c r="C3067" t="s">
        <v>2075</v>
      </c>
      <c r="D3067" t="s">
        <v>2170</v>
      </c>
    </row>
    <row r="3068" spans="1:4" x14ac:dyDescent="0.3">
      <c r="A3068" t="s">
        <v>1627</v>
      </c>
      <c r="B3068">
        <v>-3.0110498256413547</v>
      </c>
      <c r="C3068" t="s">
        <v>2075</v>
      </c>
      <c r="D3068" t="s">
        <v>2170</v>
      </c>
    </row>
    <row r="3069" spans="1:4" x14ac:dyDescent="0.3">
      <c r="A3069" t="s">
        <v>1625</v>
      </c>
      <c r="B3069">
        <v>-1.5624940651945953</v>
      </c>
      <c r="C3069" t="s">
        <v>2075</v>
      </c>
      <c r="D3069" t="s">
        <v>2170</v>
      </c>
    </row>
    <row r="3070" spans="1:4" x14ac:dyDescent="0.3">
      <c r="A3070" t="s">
        <v>1623</v>
      </c>
      <c r="B3070">
        <v>-0.14452682241957315</v>
      </c>
      <c r="C3070" t="s">
        <v>2075</v>
      </c>
      <c r="D3070" t="s">
        <v>2170</v>
      </c>
    </row>
    <row r="3071" spans="1:4" x14ac:dyDescent="0.3">
      <c r="A3071" t="s">
        <v>1633</v>
      </c>
      <c r="B3071">
        <v>58.466962891252926</v>
      </c>
      <c r="C3071" t="s">
        <v>2075</v>
      </c>
      <c r="D3071" t="s">
        <v>2170</v>
      </c>
    </row>
    <row r="3072" spans="1:4" x14ac:dyDescent="0.3">
      <c r="A3072" t="s">
        <v>1628</v>
      </c>
      <c r="B3072">
        <v>53.199386574566653</v>
      </c>
      <c r="C3072" t="s">
        <v>2075</v>
      </c>
      <c r="D3072" t="s">
        <v>2171</v>
      </c>
    </row>
    <row r="3073" spans="1:4" x14ac:dyDescent="0.3">
      <c r="A3073" t="s">
        <v>17</v>
      </c>
      <c r="B3073">
        <v>34.859630146607046</v>
      </c>
      <c r="C3073" t="s">
        <v>2075</v>
      </c>
      <c r="D3073" t="s">
        <v>2171</v>
      </c>
    </row>
    <row r="3074" spans="1:4" x14ac:dyDescent="0.3">
      <c r="A3074" t="s">
        <v>209</v>
      </c>
      <c r="B3074">
        <v>18.299158364172921</v>
      </c>
      <c r="C3074" t="s">
        <v>2075</v>
      </c>
      <c r="D3074" t="s">
        <v>2171</v>
      </c>
    </row>
    <row r="3075" spans="1:4" x14ac:dyDescent="0.3">
      <c r="A3075" t="s">
        <v>446</v>
      </c>
      <c r="B3075">
        <v>4.0598063786682376E-2</v>
      </c>
      <c r="C3075" t="s">
        <v>2075</v>
      </c>
      <c r="D3075" t="s">
        <v>2171</v>
      </c>
    </row>
    <row r="3076" spans="1:4" x14ac:dyDescent="0.3">
      <c r="A3076" t="s">
        <v>1632</v>
      </c>
      <c r="B3076">
        <v>5.8816483207631309</v>
      </c>
      <c r="C3076" t="s">
        <v>2075</v>
      </c>
      <c r="D3076" t="s">
        <v>2171</v>
      </c>
    </row>
    <row r="3077" spans="1:4" x14ac:dyDescent="0.3">
      <c r="A3077" t="s">
        <v>1626</v>
      </c>
      <c r="B3077">
        <v>10.599719034018653</v>
      </c>
      <c r="C3077" t="s">
        <v>2075</v>
      </c>
      <c r="D3077" t="s">
        <v>2171</v>
      </c>
    </row>
    <row r="3078" spans="1:4" x14ac:dyDescent="0.3">
      <c r="A3078" t="s">
        <v>1627</v>
      </c>
      <c r="B3078">
        <v>-3.0110498256413547</v>
      </c>
      <c r="C3078" t="s">
        <v>2075</v>
      </c>
      <c r="D3078" t="s">
        <v>2171</v>
      </c>
    </row>
    <row r="3079" spans="1:4" x14ac:dyDescent="0.3">
      <c r="A3079" t="s">
        <v>1625</v>
      </c>
      <c r="B3079">
        <v>-1.5624940651945953</v>
      </c>
      <c r="C3079" t="s">
        <v>2075</v>
      </c>
      <c r="D3079" t="s">
        <v>2171</v>
      </c>
    </row>
    <row r="3080" spans="1:4" x14ac:dyDescent="0.3">
      <c r="A3080" t="s">
        <v>1623</v>
      </c>
      <c r="B3080">
        <v>-0.14452682241957315</v>
      </c>
      <c r="C3080" t="s">
        <v>2075</v>
      </c>
      <c r="D3080" t="s">
        <v>2171</v>
      </c>
    </row>
    <row r="3081" spans="1:4" x14ac:dyDescent="0.3">
      <c r="A3081" t="s">
        <v>1633</v>
      </c>
      <c r="B3081">
        <v>59.081034895329786</v>
      </c>
      <c r="C3081" t="s">
        <v>2075</v>
      </c>
      <c r="D3081" t="s">
        <v>2171</v>
      </c>
    </row>
    <row r="3082" spans="1:4" x14ac:dyDescent="0.3">
      <c r="A3082" t="s">
        <v>1628</v>
      </c>
      <c r="B3082">
        <v>56.274092429967901</v>
      </c>
      <c r="C3082" t="s">
        <v>2075</v>
      </c>
      <c r="D3082" t="s">
        <v>2172</v>
      </c>
    </row>
    <row r="3083" spans="1:4" x14ac:dyDescent="0.3">
      <c r="A3083" t="s">
        <v>17</v>
      </c>
      <c r="B3083">
        <v>34.859630146607046</v>
      </c>
      <c r="C3083" t="s">
        <v>2075</v>
      </c>
      <c r="D3083" t="s">
        <v>2172</v>
      </c>
    </row>
    <row r="3084" spans="1:4" x14ac:dyDescent="0.3">
      <c r="A3084" t="s">
        <v>209</v>
      </c>
      <c r="B3084">
        <v>21.373864219574173</v>
      </c>
      <c r="C3084" t="s">
        <v>2075</v>
      </c>
      <c r="D3084" t="s">
        <v>2172</v>
      </c>
    </row>
    <row r="3085" spans="1:4" x14ac:dyDescent="0.3">
      <c r="A3085" t="s">
        <v>446</v>
      </c>
      <c r="B3085">
        <v>4.0598063786682376E-2</v>
      </c>
      <c r="C3085" t="s">
        <v>2075</v>
      </c>
      <c r="D3085" t="s">
        <v>2172</v>
      </c>
    </row>
    <row r="3086" spans="1:4" x14ac:dyDescent="0.3">
      <c r="A3086" t="s">
        <v>1632</v>
      </c>
      <c r="B3086">
        <v>5.8816483207631309</v>
      </c>
      <c r="C3086" t="s">
        <v>2075</v>
      </c>
      <c r="D3086" t="s">
        <v>2172</v>
      </c>
    </row>
    <row r="3087" spans="1:4" x14ac:dyDescent="0.3">
      <c r="A3087" t="s">
        <v>1626</v>
      </c>
      <c r="B3087">
        <v>10.599719034018653</v>
      </c>
      <c r="C3087" t="s">
        <v>2075</v>
      </c>
      <c r="D3087" t="s">
        <v>2172</v>
      </c>
    </row>
    <row r="3088" spans="1:4" x14ac:dyDescent="0.3">
      <c r="A3088" t="s">
        <v>1627</v>
      </c>
      <c r="B3088">
        <v>-3.0110498256413547</v>
      </c>
      <c r="C3088" t="s">
        <v>2075</v>
      </c>
      <c r="D3088" t="s">
        <v>2172</v>
      </c>
    </row>
    <row r="3089" spans="1:4" x14ac:dyDescent="0.3">
      <c r="A3089" t="s">
        <v>1625</v>
      </c>
      <c r="B3089">
        <v>-1.5624940651945953</v>
      </c>
      <c r="C3089" t="s">
        <v>2075</v>
      </c>
      <c r="D3089" t="s">
        <v>2172</v>
      </c>
    </row>
    <row r="3090" spans="1:4" x14ac:dyDescent="0.3">
      <c r="A3090" t="s">
        <v>1623</v>
      </c>
      <c r="B3090">
        <v>-0.14452682241957315</v>
      </c>
      <c r="C3090" t="s">
        <v>2075</v>
      </c>
      <c r="D3090" t="s">
        <v>2172</v>
      </c>
    </row>
    <row r="3091" spans="1:4" x14ac:dyDescent="0.3">
      <c r="A3091" t="s">
        <v>1633</v>
      </c>
      <c r="B3091">
        <v>62.155740750731034</v>
      </c>
      <c r="C3091" t="s">
        <v>2075</v>
      </c>
      <c r="D3091" t="s">
        <v>2172</v>
      </c>
    </row>
    <row r="3092" spans="1:4" x14ac:dyDescent="0.3">
      <c r="A3092" t="s">
        <v>1628</v>
      </c>
      <c r="B3092">
        <v>59.766675723169541</v>
      </c>
      <c r="C3092" t="s">
        <v>2075</v>
      </c>
      <c r="D3092" t="s">
        <v>2173</v>
      </c>
    </row>
    <row r="3093" spans="1:4" x14ac:dyDescent="0.3">
      <c r="A3093" t="s">
        <v>17</v>
      </c>
      <c r="B3093">
        <v>34.859630146607046</v>
      </c>
      <c r="C3093" t="s">
        <v>2075</v>
      </c>
      <c r="D3093" t="s">
        <v>2173</v>
      </c>
    </row>
    <row r="3094" spans="1:4" x14ac:dyDescent="0.3">
      <c r="A3094" t="s">
        <v>209</v>
      </c>
      <c r="B3094">
        <v>24.866447512775814</v>
      </c>
      <c r="C3094" t="s">
        <v>2075</v>
      </c>
      <c r="D3094" t="s">
        <v>2173</v>
      </c>
    </row>
    <row r="3095" spans="1:4" x14ac:dyDescent="0.3">
      <c r="A3095" t="s">
        <v>446</v>
      </c>
      <c r="B3095">
        <v>4.0598063786682376E-2</v>
      </c>
      <c r="C3095" t="s">
        <v>2075</v>
      </c>
      <c r="D3095" t="s">
        <v>2173</v>
      </c>
    </row>
    <row r="3096" spans="1:4" x14ac:dyDescent="0.3">
      <c r="A3096" t="s">
        <v>1632</v>
      </c>
      <c r="B3096">
        <v>5.8816483207631309</v>
      </c>
      <c r="C3096" t="s">
        <v>2075</v>
      </c>
      <c r="D3096" t="s">
        <v>2173</v>
      </c>
    </row>
    <row r="3097" spans="1:4" x14ac:dyDescent="0.3">
      <c r="A3097" t="s">
        <v>1626</v>
      </c>
      <c r="B3097">
        <v>10.599719034018653</v>
      </c>
      <c r="C3097" t="s">
        <v>2075</v>
      </c>
      <c r="D3097" t="s">
        <v>2173</v>
      </c>
    </row>
    <row r="3098" spans="1:4" x14ac:dyDescent="0.3">
      <c r="A3098" t="s">
        <v>1627</v>
      </c>
      <c r="B3098">
        <v>-3.0110498256413547</v>
      </c>
      <c r="C3098" t="s">
        <v>2075</v>
      </c>
      <c r="D3098" t="s">
        <v>2173</v>
      </c>
    </row>
    <row r="3099" spans="1:4" x14ac:dyDescent="0.3">
      <c r="A3099" t="s">
        <v>1625</v>
      </c>
      <c r="B3099">
        <v>-1.5624940651945953</v>
      </c>
      <c r="C3099" t="s">
        <v>2075</v>
      </c>
      <c r="D3099" t="s">
        <v>2173</v>
      </c>
    </row>
    <row r="3100" spans="1:4" x14ac:dyDescent="0.3">
      <c r="A3100" t="s">
        <v>1623</v>
      </c>
      <c r="B3100">
        <v>-0.14452682241957315</v>
      </c>
      <c r="C3100" t="s">
        <v>2075</v>
      </c>
      <c r="D3100" t="s">
        <v>2173</v>
      </c>
    </row>
    <row r="3101" spans="1:4" x14ac:dyDescent="0.3">
      <c r="A3101" t="s">
        <v>1633</v>
      </c>
      <c r="B3101">
        <v>65.648324043932675</v>
      </c>
      <c r="C3101" t="s">
        <v>2075</v>
      </c>
      <c r="D3101" t="s">
        <v>2173</v>
      </c>
    </row>
    <row r="3102" spans="1:4" x14ac:dyDescent="0.3">
      <c r="A3102" t="s">
        <v>1628</v>
      </c>
      <c r="B3102">
        <v>57.299892775290068</v>
      </c>
      <c r="C3102" t="s">
        <v>2075</v>
      </c>
      <c r="D3102" t="s">
        <v>2174</v>
      </c>
    </row>
    <row r="3103" spans="1:4" x14ac:dyDescent="0.3">
      <c r="A3103" t="s">
        <v>17</v>
      </c>
      <c r="B3103">
        <v>34.859630146607046</v>
      </c>
      <c r="C3103" t="s">
        <v>2075</v>
      </c>
      <c r="D3103" t="s">
        <v>2174</v>
      </c>
    </row>
    <row r="3104" spans="1:4" x14ac:dyDescent="0.3">
      <c r="A3104" t="s">
        <v>209</v>
      </c>
      <c r="B3104">
        <v>22.399664564896337</v>
      </c>
      <c r="C3104" t="s">
        <v>2075</v>
      </c>
      <c r="D3104" t="s">
        <v>2174</v>
      </c>
    </row>
    <row r="3105" spans="1:4" x14ac:dyDescent="0.3">
      <c r="A3105" t="s">
        <v>446</v>
      </c>
      <c r="B3105">
        <v>4.0598063786682376E-2</v>
      </c>
      <c r="C3105" t="s">
        <v>2075</v>
      </c>
      <c r="D3105" t="s">
        <v>2174</v>
      </c>
    </row>
    <row r="3106" spans="1:4" x14ac:dyDescent="0.3">
      <c r="A3106" t="s">
        <v>1632</v>
      </c>
      <c r="B3106">
        <v>5.8816483207631309</v>
      </c>
      <c r="C3106" t="s">
        <v>2075</v>
      </c>
      <c r="D3106" t="s">
        <v>2174</v>
      </c>
    </row>
    <row r="3107" spans="1:4" x14ac:dyDescent="0.3">
      <c r="A3107" t="s">
        <v>1626</v>
      </c>
      <c r="B3107">
        <v>10.599719034018653</v>
      </c>
      <c r="C3107" t="s">
        <v>2075</v>
      </c>
      <c r="D3107" t="s">
        <v>2174</v>
      </c>
    </row>
    <row r="3108" spans="1:4" x14ac:dyDescent="0.3">
      <c r="A3108" t="s">
        <v>1627</v>
      </c>
      <c r="B3108">
        <v>-3.0110498256413547</v>
      </c>
      <c r="C3108" t="s">
        <v>2075</v>
      </c>
      <c r="D3108" t="s">
        <v>2174</v>
      </c>
    </row>
    <row r="3109" spans="1:4" x14ac:dyDescent="0.3">
      <c r="A3109" t="s">
        <v>1625</v>
      </c>
      <c r="B3109">
        <v>-1.5624940651945953</v>
      </c>
      <c r="C3109" t="s">
        <v>2075</v>
      </c>
      <c r="D3109" t="s">
        <v>2174</v>
      </c>
    </row>
    <row r="3110" spans="1:4" x14ac:dyDescent="0.3">
      <c r="A3110" t="s">
        <v>1623</v>
      </c>
      <c r="B3110">
        <v>-0.14452682241957315</v>
      </c>
      <c r="C3110" t="s">
        <v>2075</v>
      </c>
      <c r="D3110" t="s">
        <v>2174</v>
      </c>
    </row>
    <row r="3111" spans="1:4" x14ac:dyDescent="0.3">
      <c r="A3111" t="s">
        <v>1633</v>
      </c>
      <c r="B3111">
        <v>63.181541096053202</v>
      </c>
      <c r="C3111" t="s">
        <v>2075</v>
      </c>
      <c r="D3111" t="s">
        <v>2174</v>
      </c>
    </row>
    <row r="3112" spans="1:4" x14ac:dyDescent="0.3">
      <c r="A3112" t="s">
        <v>1628</v>
      </c>
      <c r="B3112">
        <v>53.275170360185335</v>
      </c>
      <c r="C3112" t="s">
        <v>2075</v>
      </c>
      <c r="D3112" t="s">
        <v>2175</v>
      </c>
    </row>
    <row r="3113" spans="1:4" x14ac:dyDescent="0.3">
      <c r="A3113" t="s">
        <v>17</v>
      </c>
      <c r="B3113">
        <v>34.859630146607046</v>
      </c>
      <c r="C3113" t="s">
        <v>2075</v>
      </c>
      <c r="D3113" t="s">
        <v>2175</v>
      </c>
    </row>
    <row r="3114" spans="1:4" x14ac:dyDescent="0.3">
      <c r="A3114" t="s">
        <v>209</v>
      </c>
      <c r="B3114">
        <v>18.374942149791607</v>
      </c>
      <c r="C3114" t="s">
        <v>2075</v>
      </c>
      <c r="D3114" t="s">
        <v>2175</v>
      </c>
    </row>
    <row r="3115" spans="1:4" x14ac:dyDescent="0.3">
      <c r="A3115" t="s">
        <v>446</v>
      </c>
      <c r="B3115">
        <v>4.0598063786682376E-2</v>
      </c>
      <c r="C3115" t="s">
        <v>2075</v>
      </c>
      <c r="D3115" t="s">
        <v>2175</v>
      </c>
    </row>
    <row r="3116" spans="1:4" x14ac:dyDescent="0.3">
      <c r="A3116" t="s">
        <v>1632</v>
      </c>
      <c r="B3116">
        <v>5.8816483207631309</v>
      </c>
      <c r="C3116" t="s">
        <v>2075</v>
      </c>
      <c r="D3116" t="s">
        <v>2175</v>
      </c>
    </row>
    <row r="3117" spans="1:4" x14ac:dyDescent="0.3">
      <c r="A3117" t="s">
        <v>1626</v>
      </c>
      <c r="B3117">
        <v>10.599719034018653</v>
      </c>
      <c r="C3117" t="s">
        <v>2075</v>
      </c>
      <c r="D3117" t="s">
        <v>2175</v>
      </c>
    </row>
    <row r="3118" spans="1:4" x14ac:dyDescent="0.3">
      <c r="A3118" t="s">
        <v>1627</v>
      </c>
      <c r="B3118">
        <v>-3.0110498256413547</v>
      </c>
      <c r="C3118" t="s">
        <v>2075</v>
      </c>
      <c r="D3118" t="s">
        <v>2175</v>
      </c>
    </row>
    <row r="3119" spans="1:4" x14ac:dyDescent="0.3">
      <c r="A3119" t="s">
        <v>1625</v>
      </c>
      <c r="B3119">
        <v>-1.5624940651945953</v>
      </c>
      <c r="C3119" t="s">
        <v>2075</v>
      </c>
      <c r="D3119" t="s">
        <v>2175</v>
      </c>
    </row>
    <row r="3120" spans="1:4" x14ac:dyDescent="0.3">
      <c r="A3120" t="s">
        <v>1623</v>
      </c>
      <c r="B3120">
        <v>-0.14452682241957315</v>
      </c>
      <c r="C3120" t="s">
        <v>2075</v>
      </c>
      <c r="D3120" t="s">
        <v>2175</v>
      </c>
    </row>
    <row r="3121" spans="1:4" x14ac:dyDescent="0.3">
      <c r="A3121" t="s">
        <v>1633</v>
      </c>
      <c r="B3121">
        <v>59.156818680948469</v>
      </c>
      <c r="C3121" t="s">
        <v>2075</v>
      </c>
      <c r="D3121" t="s">
        <v>2175</v>
      </c>
    </row>
    <row r="3122" spans="1:4" x14ac:dyDescent="0.3">
      <c r="A3122" t="s">
        <v>1628</v>
      </c>
      <c r="B3122">
        <v>50.781645689178468</v>
      </c>
      <c r="C3122" t="s">
        <v>2075</v>
      </c>
      <c r="D3122" t="s">
        <v>2176</v>
      </c>
    </row>
    <row r="3123" spans="1:4" x14ac:dyDescent="0.3">
      <c r="A3123" t="s">
        <v>17</v>
      </c>
      <c r="B3123">
        <v>34.859630146607046</v>
      </c>
      <c r="C3123" t="s">
        <v>2075</v>
      </c>
      <c r="D3123" t="s">
        <v>2176</v>
      </c>
    </row>
    <row r="3124" spans="1:4" x14ac:dyDescent="0.3">
      <c r="A3124" t="s">
        <v>209</v>
      </c>
      <c r="B3124">
        <v>15.881417478784739</v>
      </c>
      <c r="C3124" t="s">
        <v>2075</v>
      </c>
      <c r="D3124" t="s">
        <v>2176</v>
      </c>
    </row>
    <row r="3125" spans="1:4" x14ac:dyDescent="0.3">
      <c r="A3125" t="s">
        <v>446</v>
      </c>
      <c r="B3125">
        <v>4.0598063786682376E-2</v>
      </c>
      <c r="C3125" t="s">
        <v>2075</v>
      </c>
      <c r="D3125" t="s">
        <v>2176</v>
      </c>
    </row>
    <row r="3126" spans="1:4" x14ac:dyDescent="0.3">
      <c r="A3126" t="s">
        <v>1632</v>
      </c>
      <c r="B3126">
        <v>5.8816483207631309</v>
      </c>
      <c r="C3126" t="s">
        <v>2075</v>
      </c>
      <c r="D3126" t="s">
        <v>2176</v>
      </c>
    </row>
    <row r="3127" spans="1:4" x14ac:dyDescent="0.3">
      <c r="A3127" t="s">
        <v>1626</v>
      </c>
      <c r="B3127">
        <v>10.599719034018653</v>
      </c>
      <c r="C3127" t="s">
        <v>2075</v>
      </c>
      <c r="D3127" t="s">
        <v>2176</v>
      </c>
    </row>
    <row r="3128" spans="1:4" x14ac:dyDescent="0.3">
      <c r="A3128" t="s">
        <v>1627</v>
      </c>
      <c r="B3128">
        <v>-3.0110498256413547</v>
      </c>
      <c r="C3128" t="s">
        <v>2075</v>
      </c>
      <c r="D3128" t="s">
        <v>2176</v>
      </c>
    </row>
    <row r="3129" spans="1:4" x14ac:dyDescent="0.3">
      <c r="A3129" t="s">
        <v>1625</v>
      </c>
      <c r="B3129">
        <v>-1.5624940651945953</v>
      </c>
      <c r="C3129" t="s">
        <v>2075</v>
      </c>
      <c r="D3129" t="s">
        <v>2176</v>
      </c>
    </row>
    <row r="3130" spans="1:4" x14ac:dyDescent="0.3">
      <c r="A3130" t="s">
        <v>1623</v>
      </c>
      <c r="B3130">
        <v>-0.14452682241957315</v>
      </c>
      <c r="C3130" t="s">
        <v>2075</v>
      </c>
      <c r="D3130" t="s">
        <v>2176</v>
      </c>
    </row>
    <row r="3131" spans="1:4" x14ac:dyDescent="0.3">
      <c r="A3131" t="s">
        <v>1633</v>
      </c>
      <c r="B3131">
        <v>56.663294009941602</v>
      </c>
      <c r="C3131" t="s">
        <v>2075</v>
      </c>
      <c r="D3131" t="s">
        <v>2176</v>
      </c>
    </row>
    <row r="3132" spans="1:4" x14ac:dyDescent="0.3">
      <c r="A3132" t="s">
        <v>1628</v>
      </c>
      <c r="B3132">
        <v>50.891607116706666</v>
      </c>
      <c r="C3132" t="s">
        <v>2075</v>
      </c>
      <c r="D3132" t="s">
        <v>2177</v>
      </c>
    </row>
    <row r="3133" spans="1:4" x14ac:dyDescent="0.3">
      <c r="A3133" t="s">
        <v>17</v>
      </c>
      <c r="B3133">
        <v>34.859630146607046</v>
      </c>
      <c r="C3133" t="s">
        <v>2075</v>
      </c>
      <c r="D3133" t="s">
        <v>2177</v>
      </c>
    </row>
    <row r="3134" spans="1:4" x14ac:dyDescent="0.3">
      <c r="A3134" t="s">
        <v>209</v>
      </c>
      <c r="B3134">
        <v>15.991378906312939</v>
      </c>
      <c r="C3134" t="s">
        <v>2075</v>
      </c>
      <c r="D3134" t="s">
        <v>2177</v>
      </c>
    </row>
    <row r="3135" spans="1:4" x14ac:dyDescent="0.3">
      <c r="A3135" t="s">
        <v>446</v>
      </c>
      <c r="B3135">
        <v>4.0598063786682376E-2</v>
      </c>
      <c r="C3135" t="s">
        <v>2075</v>
      </c>
      <c r="D3135" t="s">
        <v>2177</v>
      </c>
    </row>
    <row r="3136" spans="1:4" x14ac:dyDescent="0.3">
      <c r="A3136" t="s">
        <v>1632</v>
      </c>
      <c r="B3136">
        <v>5.8816483207631309</v>
      </c>
      <c r="C3136" t="s">
        <v>2075</v>
      </c>
      <c r="D3136" t="s">
        <v>2177</v>
      </c>
    </row>
    <row r="3137" spans="1:4" x14ac:dyDescent="0.3">
      <c r="A3137" t="s">
        <v>1626</v>
      </c>
      <c r="B3137">
        <v>10.599719034018653</v>
      </c>
      <c r="C3137" t="s">
        <v>2075</v>
      </c>
      <c r="D3137" t="s">
        <v>2177</v>
      </c>
    </row>
    <row r="3138" spans="1:4" x14ac:dyDescent="0.3">
      <c r="A3138" t="s">
        <v>1627</v>
      </c>
      <c r="B3138">
        <v>-3.0110498256413547</v>
      </c>
      <c r="C3138" t="s">
        <v>2075</v>
      </c>
      <c r="D3138" t="s">
        <v>2177</v>
      </c>
    </row>
    <row r="3139" spans="1:4" x14ac:dyDescent="0.3">
      <c r="A3139" t="s">
        <v>1625</v>
      </c>
      <c r="B3139">
        <v>-1.5624940651945953</v>
      </c>
      <c r="C3139" t="s">
        <v>2075</v>
      </c>
      <c r="D3139" t="s">
        <v>2177</v>
      </c>
    </row>
    <row r="3140" spans="1:4" x14ac:dyDescent="0.3">
      <c r="A3140" t="s">
        <v>1623</v>
      </c>
      <c r="B3140">
        <v>-0.14452682241957315</v>
      </c>
      <c r="C3140" t="s">
        <v>2075</v>
      </c>
      <c r="D3140" t="s">
        <v>2177</v>
      </c>
    </row>
    <row r="3141" spans="1:4" x14ac:dyDescent="0.3">
      <c r="A3141" t="s">
        <v>1633</v>
      </c>
      <c r="B3141">
        <v>56.7732554374698</v>
      </c>
      <c r="C3141" t="s">
        <v>2075</v>
      </c>
      <c r="D3141" t="s">
        <v>2177</v>
      </c>
    </row>
    <row r="3142" spans="1:4" x14ac:dyDescent="0.3">
      <c r="A3142" t="s">
        <v>1628</v>
      </c>
      <c r="B3142">
        <v>53.123363437306217</v>
      </c>
      <c r="C3142" t="s">
        <v>2075</v>
      </c>
      <c r="D3142" t="s">
        <v>2178</v>
      </c>
    </row>
    <row r="3143" spans="1:4" x14ac:dyDescent="0.3">
      <c r="A3143" t="s">
        <v>17</v>
      </c>
      <c r="B3143">
        <v>34.859630146607046</v>
      </c>
      <c r="C3143" t="s">
        <v>2075</v>
      </c>
      <c r="D3143" t="s">
        <v>2178</v>
      </c>
    </row>
    <row r="3144" spans="1:4" x14ac:dyDescent="0.3">
      <c r="A3144" t="s">
        <v>209</v>
      </c>
      <c r="B3144">
        <v>18.22313522691249</v>
      </c>
      <c r="C3144" t="s">
        <v>2075</v>
      </c>
      <c r="D3144" t="s">
        <v>2178</v>
      </c>
    </row>
    <row r="3145" spans="1:4" x14ac:dyDescent="0.3">
      <c r="A3145" t="s">
        <v>446</v>
      </c>
      <c r="B3145">
        <v>4.0598063786682376E-2</v>
      </c>
      <c r="C3145" t="s">
        <v>2075</v>
      </c>
      <c r="D3145" t="s">
        <v>2178</v>
      </c>
    </row>
    <row r="3146" spans="1:4" x14ac:dyDescent="0.3">
      <c r="A3146" t="s">
        <v>1632</v>
      </c>
      <c r="B3146">
        <v>5.8816483207631309</v>
      </c>
      <c r="C3146" t="s">
        <v>2075</v>
      </c>
      <c r="D3146" t="s">
        <v>2178</v>
      </c>
    </row>
    <row r="3147" spans="1:4" x14ac:dyDescent="0.3">
      <c r="A3147" t="s">
        <v>1626</v>
      </c>
      <c r="B3147">
        <v>10.599719034018653</v>
      </c>
      <c r="C3147" t="s">
        <v>2075</v>
      </c>
      <c r="D3147" t="s">
        <v>2178</v>
      </c>
    </row>
    <row r="3148" spans="1:4" x14ac:dyDescent="0.3">
      <c r="A3148" t="s">
        <v>1627</v>
      </c>
      <c r="B3148">
        <v>-3.0110498256413547</v>
      </c>
      <c r="C3148" t="s">
        <v>2075</v>
      </c>
      <c r="D3148" t="s">
        <v>2178</v>
      </c>
    </row>
    <row r="3149" spans="1:4" x14ac:dyDescent="0.3">
      <c r="A3149" t="s">
        <v>1625</v>
      </c>
      <c r="B3149">
        <v>-1.5624940651945953</v>
      </c>
      <c r="C3149" t="s">
        <v>2075</v>
      </c>
      <c r="D3149" t="s">
        <v>2178</v>
      </c>
    </row>
    <row r="3150" spans="1:4" x14ac:dyDescent="0.3">
      <c r="A3150" t="s">
        <v>1623</v>
      </c>
      <c r="B3150">
        <v>-0.14452682241957315</v>
      </c>
      <c r="C3150" t="s">
        <v>2075</v>
      </c>
      <c r="D3150" t="s">
        <v>2178</v>
      </c>
    </row>
    <row r="3151" spans="1:4" x14ac:dyDescent="0.3">
      <c r="A3151" t="s">
        <v>1633</v>
      </c>
      <c r="B3151">
        <v>59.005011758069351</v>
      </c>
      <c r="C3151" t="s">
        <v>2075</v>
      </c>
      <c r="D3151" t="s">
        <v>2178</v>
      </c>
    </row>
    <row r="3152" spans="1:4" x14ac:dyDescent="0.3">
      <c r="A3152" t="s">
        <v>1628</v>
      </c>
      <c r="B3152">
        <v>54.126181967782458</v>
      </c>
      <c r="C3152" t="s">
        <v>2075</v>
      </c>
      <c r="D3152" t="s">
        <v>2179</v>
      </c>
    </row>
    <row r="3153" spans="1:4" x14ac:dyDescent="0.3">
      <c r="A3153" t="s">
        <v>17</v>
      </c>
      <c r="B3153">
        <v>34.859630146607046</v>
      </c>
      <c r="C3153" t="s">
        <v>2075</v>
      </c>
      <c r="D3153" t="s">
        <v>2179</v>
      </c>
    </row>
    <row r="3154" spans="1:4" x14ac:dyDescent="0.3">
      <c r="A3154" t="s">
        <v>209</v>
      </c>
      <c r="B3154">
        <v>19.22595375738873</v>
      </c>
      <c r="C3154" t="s">
        <v>2075</v>
      </c>
      <c r="D3154" t="s">
        <v>2179</v>
      </c>
    </row>
    <row r="3155" spans="1:4" x14ac:dyDescent="0.3">
      <c r="A3155" t="s">
        <v>446</v>
      </c>
      <c r="B3155">
        <v>4.0598063786682376E-2</v>
      </c>
      <c r="C3155" t="s">
        <v>2075</v>
      </c>
      <c r="D3155" t="s">
        <v>2179</v>
      </c>
    </row>
    <row r="3156" spans="1:4" x14ac:dyDescent="0.3">
      <c r="A3156" t="s">
        <v>1632</v>
      </c>
      <c r="B3156">
        <v>5.8816483207631309</v>
      </c>
      <c r="C3156" t="s">
        <v>2075</v>
      </c>
      <c r="D3156" t="s">
        <v>2179</v>
      </c>
    </row>
    <row r="3157" spans="1:4" x14ac:dyDescent="0.3">
      <c r="A3157" t="s">
        <v>1626</v>
      </c>
      <c r="B3157">
        <v>10.599719034018653</v>
      </c>
      <c r="C3157" t="s">
        <v>2075</v>
      </c>
      <c r="D3157" t="s">
        <v>2179</v>
      </c>
    </row>
    <row r="3158" spans="1:4" x14ac:dyDescent="0.3">
      <c r="A3158" t="s">
        <v>1627</v>
      </c>
      <c r="B3158">
        <v>-3.0110498256413547</v>
      </c>
      <c r="C3158" t="s">
        <v>2075</v>
      </c>
      <c r="D3158" t="s">
        <v>2179</v>
      </c>
    </row>
    <row r="3159" spans="1:4" x14ac:dyDescent="0.3">
      <c r="A3159" t="s">
        <v>1625</v>
      </c>
      <c r="B3159">
        <v>-1.5624940651945953</v>
      </c>
      <c r="C3159" t="s">
        <v>2075</v>
      </c>
      <c r="D3159" t="s">
        <v>2179</v>
      </c>
    </row>
    <row r="3160" spans="1:4" x14ac:dyDescent="0.3">
      <c r="A3160" t="s">
        <v>1623</v>
      </c>
      <c r="B3160">
        <v>-0.14452682241957315</v>
      </c>
      <c r="C3160" t="s">
        <v>2075</v>
      </c>
      <c r="D3160" t="s">
        <v>2179</v>
      </c>
    </row>
    <row r="3161" spans="1:4" x14ac:dyDescent="0.3">
      <c r="A3161" t="s">
        <v>1633</v>
      </c>
      <c r="B3161">
        <v>60.007830288545591</v>
      </c>
      <c r="C3161" t="s">
        <v>2075</v>
      </c>
      <c r="D3161" t="s">
        <v>2179</v>
      </c>
    </row>
    <row r="3162" spans="1:4" x14ac:dyDescent="0.3">
      <c r="A3162" t="s">
        <v>1628</v>
      </c>
      <c r="B3162">
        <v>48.31182330686719</v>
      </c>
      <c r="C3162" t="s">
        <v>2075</v>
      </c>
      <c r="D3162" t="s">
        <v>2180</v>
      </c>
    </row>
    <row r="3163" spans="1:4" x14ac:dyDescent="0.3">
      <c r="A3163" t="s">
        <v>17</v>
      </c>
      <c r="B3163">
        <v>34.859630146607046</v>
      </c>
      <c r="C3163" t="s">
        <v>2075</v>
      </c>
      <c r="D3163" t="s">
        <v>2180</v>
      </c>
    </row>
    <row r="3164" spans="1:4" x14ac:dyDescent="0.3">
      <c r="A3164" t="s">
        <v>209</v>
      </c>
      <c r="B3164">
        <v>13.411595096473459</v>
      </c>
      <c r="C3164" t="s">
        <v>2075</v>
      </c>
      <c r="D3164" t="s">
        <v>2180</v>
      </c>
    </row>
    <row r="3165" spans="1:4" x14ac:dyDescent="0.3">
      <c r="A3165" t="s">
        <v>446</v>
      </c>
      <c r="B3165">
        <v>4.0598063786682376E-2</v>
      </c>
      <c r="C3165" t="s">
        <v>2075</v>
      </c>
      <c r="D3165" t="s">
        <v>2180</v>
      </c>
    </row>
    <row r="3166" spans="1:4" x14ac:dyDescent="0.3">
      <c r="A3166" t="s">
        <v>1632</v>
      </c>
      <c r="B3166">
        <v>5.8816483207631309</v>
      </c>
      <c r="C3166" t="s">
        <v>2075</v>
      </c>
      <c r="D3166" t="s">
        <v>2180</v>
      </c>
    </row>
    <row r="3167" spans="1:4" x14ac:dyDescent="0.3">
      <c r="A3167" t="s">
        <v>1626</v>
      </c>
      <c r="B3167">
        <v>10.599719034018653</v>
      </c>
      <c r="C3167" t="s">
        <v>2075</v>
      </c>
      <c r="D3167" t="s">
        <v>2180</v>
      </c>
    </row>
    <row r="3168" spans="1:4" x14ac:dyDescent="0.3">
      <c r="A3168" t="s">
        <v>1627</v>
      </c>
      <c r="B3168">
        <v>-3.0110498256413547</v>
      </c>
      <c r="C3168" t="s">
        <v>2075</v>
      </c>
      <c r="D3168" t="s">
        <v>2180</v>
      </c>
    </row>
    <row r="3169" spans="1:4" x14ac:dyDescent="0.3">
      <c r="A3169" t="s">
        <v>1625</v>
      </c>
      <c r="B3169">
        <v>-1.5624940651945953</v>
      </c>
      <c r="C3169" t="s">
        <v>2075</v>
      </c>
      <c r="D3169" t="s">
        <v>2180</v>
      </c>
    </row>
    <row r="3170" spans="1:4" x14ac:dyDescent="0.3">
      <c r="A3170" t="s">
        <v>1623</v>
      </c>
      <c r="B3170">
        <v>-0.14452682241957315</v>
      </c>
      <c r="C3170" t="s">
        <v>2075</v>
      </c>
      <c r="D3170" t="s">
        <v>2180</v>
      </c>
    </row>
    <row r="3171" spans="1:4" x14ac:dyDescent="0.3">
      <c r="A3171" t="s">
        <v>1633</v>
      </c>
      <c r="B3171">
        <v>54.193471627630323</v>
      </c>
      <c r="C3171" t="s">
        <v>2075</v>
      </c>
      <c r="D3171" t="s">
        <v>2180</v>
      </c>
    </row>
    <row r="3172" spans="1:4" x14ac:dyDescent="0.3">
      <c r="A3172" t="s">
        <v>1628</v>
      </c>
      <c r="B3172">
        <v>57.892689977222865</v>
      </c>
      <c r="C3172" t="s">
        <v>2075</v>
      </c>
      <c r="D3172" t="s">
        <v>2181</v>
      </c>
    </row>
    <row r="3173" spans="1:4" x14ac:dyDescent="0.3">
      <c r="A3173" t="s">
        <v>17</v>
      </c>
      <c r="B3173">
        <v>34.859630146607046</v>
      </c>
      <c r="C3173" t="s">
        <v>2075</v>
      </c>
      <c r="D3173" t="s">
        <v>2181</v>
      </c>
    </row>
    <row r="3174" spans="1:4" x14ac:dyDescent="0.3">
      <c r="A3174" t="s">
        <v>209</v>
      </c>
      <c r="B3174">
        <v>22.992461766829138</v>
      </c>
      <c r="C3174" t="s">
        <v>2075</v>
      </c>
      <c r="D3174" t="s">
        <v>2181</v>
      </c>
    </row>
    <row r="3175" spans="1:4" x14ac:dyDescent="0.3">
      <c r="A3175" t="s">
        <v>446</v>
      </c>
      <c r="B3175">
        <v>4.0598063786682376E-2</v>
      </c>
      <c r="C3175" t="s">
        <v>2075</v>
      </c>
      <c r="D3175" t="s">
        <v>2181</v>
      </c>
    </row>
    <row r="3176" spans="1:4" x14ac:dyDescent="0.3">
      <c r="A3176" t="s">
        <v>1632</v>
      </c>
      <c r="B3176">
        <v>5.8816483207631309</v>
      </c>
      <c r="C3176" t="s">
        <v>2075</v>
      </c>
      <c r="D3176" t="s">
        <v>2181</v>
      </c>
    </row>
    <row r="3177" spans="1:4" x14ac:dyDescent="0.3">
      <c r="A3177" t="s">
        <v>1626</v>
      </c>
      <c r="B3177">
        <v>10.599719034018653</v>
      </c>
      <c r="C3177" t="s">
        <v>2075</v>
      </c>
      <c r="D3177" t="s">
        <v>2181</v>
      </c>
    </row>
    <row r="3178" spans="1:4" x14ac:dyDescent="0.3">
      <c r="A3178" t="s">
        <v>1627</v>
      </c>
      <c r="B3178">
        <v>-3.0110498256413547</v>
      </c>
      <c r="C3178" t="s">
        <v>2075</v>
      </c>
      <c r="D3178" t="s">
        <v>2181</v>
      </c>
    </row>
    <row r="3179" spans="1:4" x14ac:dyDescent="0.3">
      <c r="A3179" t="s">
        <v>1625</v>
      </c>
      <c r="B3179">
        <v>-1.5624940651945953</v>
      </c>
      <c r="C3179" t="s">
        <v>2075</v>
      </c>
      <c r="D3179" t="s">
        <v>2181</v>
      </c>
    </row>
    <row r="3180" spans="1:4" x14ac:dyDescent="0.3">
      <c r="A3180" t="s">
        <v>1623</v>
      </c>
      <c r="B3180">
        <v>-0.14452682241957315</v>
      </c>
      <c r="C3180" t="s">
        <v>2075</v>
      </c>
      <c r="D3180" t="s">
        <v>2181</v>
      </c>
    </row>
    <row r="3181" spans="1:4" x14ac:dyDescent="0.3">
      <c r="A3181" t="s">
        <v>1633</v>
      </c>
      <c r="B3181">
        <v>63.774338297985999</v>
      </c>
      <c r="C3181" t="s">
        <v>2075</v>
      </c>
      <c r="D3181" t="s">
        <v>2181</v>
      </c>
    </row>
    <row r="3182" spans="1:4" x14ac:dyDescent="0.3">
      <c r="A3182" t="s">
        <v>1628</v>
      </c>
      <c r="B3182">
        <v>51.660311227791034</v>
      </c>
      <c r="C3182" t="s">
        <v>2075</v>
      </c>
      <c r="D3182" t="s">
        <v>2182</v>
      </c>
    </row>
    <row r="3183" spans="1:4" x14ac:dyDescent="0.3">
      <c r="A3183" t="s">
        <v>17</v>
      </c>
      <c r="B3183">
        <v>34.859630146607046</v>
      </c>
      <c r="C3183" t="s">
        <v>2075</v>
      </c>
      <c r="D3183" t="s">
        <v>2182</v>
      </c>
    </row>
    <row r="3184" spans="1:4" x14ac:dyDescent="0.3">
      <c r="A3184" t="s">
        <v>209</v>
      </c>
      <c r="B3184">
        <v>16.760083017397303</v>
      </c>
      <c r="C3184" t="s">
        <v>2075</v>
      </c>
      <c r="D3184" t="s">
        <v>2182</v>
      </c>
    </row>
    <row r="3185" spans="1:4" x14ac:dyDescent="0.3">
      <c r="A3185" t="s">
        <v>446</v>
      </c>
      <c r="B3185">
        <v>4.0598063786682376E-2</v>
      </c>
      <c r="C3185" t="s">
        <v>2075</v>
      </c>
      <c r="D3185" t="s">
        <v>2182</v>
      </c>
    </row>
    <row r="3186" spans="1:4" x14ac:dyDescent="0.3">
      <c r="A3186" t="s">
        <v>1632</v>
      </c>
      <c r="B3186">
        <v>5.8816483207631309</v>
      </c>
      <c r="C3186" t="s">
        <v>2075</v>
      </c>
      <c r="D3186" t="s">
        <v>2182</v>
      </c>
    </row>
    <row r="3187" spans="1:4" x14ac:dyDescent="0.3">
      <c r="A3187" t="s">
        <v>1626</v>
      </c>
      <c r="B3187">
        <v>10.599719034018653</v>
      </c>
      <c r="C3187" t="s">
        <v>2075</v>
      </c>
      <c r="D3187" t="s">
        <v>2182</v>
      </c>
    </row>
    <row r="3188" spans="1:4" x14ac:dyDescent="0.3">
      <c r="A3188" t="s">
        <v>1627</v>
      </c>
      <c r="B3188">
        <v>-3.0110498256413547</v>
      </c>
      <c r="C3188" t="s">
        <v>2075</v>
      </c>
      <c r="D3188" t="s">
        <v>2182</v>
      </c>
    </row>
    <row r="3189" spans="1:4" x14ac:dyDescent="0.3">
      <c r="A3189" t="s">
        <v>1625</v>
      </c>
      <c r="B3189">
        <v>-1.5624940651945953</v>
      </c>
      <c r="C3189" t="s">
        <v>2075</v>
      </c>
      <c r="D3189" t="s">
        <v>2182</v>
      </c>
    </row>
    <row r="3190" spans="1:4" x14ac:dyDescent="0.3">
      <c r="A3190" t="s">
        <v>1623</v>
      </c>
      <c r="B3190">
        <v>-0.14452682241957315</v>
      </c>
      <c r="C3190" t="s">
        <v>2075</v>
      </c>
      <c r="D3190" t="s">
        <v>2182</v>
      </c>
    </row>
    <row r="3191" spans="1:4" x14ac:dyDescent="0.3">
      <c r="A3191" t="s">
        <v>1633</v>
      </c>
      <c r="B3191">
        <v>57.541959548554168</v>
      </c>
      <c r="C3191" t="s">
        <v>2075</v>
      </c>
      <c r="D3191" t="s">
        <v>2182</v>
      </c>
    </row>
    <row r="3192" spans="1:4" x14ac:dyDescent="0.3">
      <c r="A3192" t="s">
        <v>1628</v>
      </c>
      <c r="B3192">
        <v>55.0641031482049</v>
      </c>
      <c r="C3192" t="s">
        <v>2075</v>
      </c>
      <c r="D3192" t="s">
        <v>2183</v>
      </c>
    </row>
    <row r="3193" spans="1:4" x14ac:dyDescent="0.3">
      <c r="A3193" t="s">
        <v>17</v>
      </c>
      <c r="B3193">
        <v>34.859630146607046</v>
      </c>
      <c r="C3193" t="s">
        <v>2075</v>
      </c>
      <c r="D3193" t="s">
        <v>2183</v>
      </c>
    </row>
    <row r="3194" spans="1:4" x14ac:dyDescent="0.3">
      <c r="A3194" t="s">
        <v>209</v>
      </c>
      <c r="B3194">
        <v>20.163874937811173</v>
      </c>
      <c r="C3194" t="s">
        <v>2075</v>
      </c>
      <c r="D3194" t="s">
        <v>2183</v>
      </c>
    </row>
    <row r="3195" spans="1:4" x14ac:dyDescent="0.3">
      <c r="A3195" t="s">
        <v>446</v>
      </c>
      <c r="B3195">
        <v>4.0598063786682376E-2</v>
      </c>
      <c r="C3195" t="s">
        <v>2075</v>
      </c>
      <c r="D3195" t="s">
        <v>2183</v>
      </c>
    </row>
    <row r="3196" spans="1:4" x14ac:dyDescent="0.3">
      <c r="A3196" t="s">
        <v>1632</v>
      </c>
      <c r="B3196">
        <v>5.8816483207631309</v>
      </c>
      <c r="C3196" t="s">
        <v>2075</v>
      </c>
      <c r="D3196" t="s">
        <v>2183</v>
      </c>
    </row>
    <row r="3197" spans="1:4" x14ac:dyDescent="0.3">
      <c r="A3197" t="s">
        <v>1626</v>
      </c>
      <c r="B3197">
        <v>10.599719034018653</v>
      </c>
      <c r="C3197" t="s">
        <v>2075</v>
      </c>
      <c r="D3197" t="s">
        <v>2183</v>
      </c>
    </row>
    <row r="3198" spans="1:4" x14ac:dyDescent="0.3">
      <c r="A3198" t="s">
        <v>1627</v>
      </c>
      <c r="B3198">
        <v>-3.0110498256413547</v>
      </c>
      <c r="C3198" t="s">
        <v>2075</v>
      </c>
      <c r="D3198" t="s">
        <v>2183</v>
      </c>
    </row>
    <row r="3199" spans="1:4" x14ac:dyDescent="0.3">
      <c r="A3199" t="s">
        <v>1625</v>
      </c>
      <c r="B3199">
        <v>-1.5624940651945953</v>
      </c>
      <c r="C3199" t="s">
        <v>2075</v>
      </c>
      <c r="D3199" t="s">
        <v>2183</v>
      </c>
    </row>
    <row r="3200" spans="1:4" x14ac:dyDescent="0.3">
      <c r="A3200" t="s">
        <v>1623</v>
      </c>
      <c r="B3200">
        <v>-0.14452682241957315</v>
      </c>
      <c r="C3200" t="s">
        <v>2075</v>
      </c>
      <c r="D3200" t="s">
        <v>2183</v>
      </c>
    </row>
    <row r="3201" spans="1:4" x14ac:dyDescent="0.3">
      <c r="A3201" t="s">
        <v>1633</v>
      </c>
      <c r="B3201">
        <v>60.945751468968034</v>
      </c>
      <c r="C3201" t="s">
        <v>2075</v>
      </c>
      <c r="D3201" t="s">
        <v>2183</v>
      </c>
    </row>
    <row r="3202" spans="1:4" x14ac:dyDescent="0.3">
      <c r="A3202" t="s">
        <v>1628</v>
      </c>
      <c r="B3202">
        <v>54.036561152140031</v>
      </c>
      <c r="C3202" t="s">
        <v>2075</v>
      </c>
      <c r="D3202" t="s">
        <v>2184</v>
      </c>
    </row>
    <row r="3203" spans="1:4" x14ac:dyDescent="0.3">
      <c r="A3203" t="s">
        <v>17</v>
      </c>
      <c r="B3203">
        <v>34.859630146607046</v>
      </c>
      <c r="C3203" t="s">
        <v>2075</v>
      </c>
      <c r="D3203" t="s">
        <v>2184</v>
      </c>
    </row>
    <row r="3204" spans="1:4" x14ac:dyDescent="0.3">
      <c r="A3204" t="s">
        <v>209</v>
      </c>
      <c r="B3204">
        <v>19.136332941746304</v>
      </c>
      <c r="C3204" t="s">
        <v>2075</v>
      </c>
      <c r="D3204" t="s">
        <v>2184</v>
      </c>
    </row>
    <row r="3205" spans="1:4" x14ac:dyDescent="0.3">
      <c r="A3205" t="s">
        <v>446</v>
      </c>
      <c r="B3205">
        <v>4.0598063786682376E-2</v>
      </c>
      <c r="C3205" t="s">
        <v>2075</v>
      </c>
      <c r="D3205" t="s">
        <v>2184</v>
      </c>
    </row>
    <row r="3206" spans="1:4" x14ac:dyDescent="0.3">
      <c r="A3206" t="s">
        <v>1632</v>
      </c>
      <c r="B3206">
        <v>5.8816483207631309</v>
      </c>
      <c r="C3206" t="s">
        <v>2075</v>
      </c>
      <c r="D3206" t="s">
        <v>2184</v>
      </c>
    </row>
    <row r="3207" spans="1:4" x14ac:dyDescent="0.3">
      <c r="A3207" t="s">
        <v>1626</v>
      </c>
      <c r="B3207">
        <v>10.599719034018653</v>
      </c>
      <c r="C3207" t="s">
        <v>2075</v>
      </c>
      <c r="D3207" t="s">
        <v>2184</v>
      </c>
    </row>
    <row r="3208" spans="1:4" x14ac:dyDescent="0.3">
      <c r="A3208" t="s">
        <v>1627</v>
      </c>
      <c r="B3208">
        <v>-3.0110498256413547</v>
      </c>
      <c r="C3208" t="s">
        <v>2075</v>
      </c>
      <c r="D3208" t="s">
        <v>2184</v>
      </c>
    </row>
    <row r="3209" spans="1:4" x14ac:dyDescent="0.3">
      <c r="A3209" t="s">
        <v>1625</v>
      </c>
      <c r="B3209">
        <v>-1.5624940651945953</v>
      </c>
      <c r="C3209" t="s">
        <v>2075</v>
      </c>
      <c r="D3209" t="s">
        <v>2184</v>
      </c>
    </row>
    <row r="3210" spans="1:4" x14ac:dyDescent="0.3">
      <c r="A3210" t="s">
        <v>1623</v>
      </c>
      <c r="B3210">
        <v>-0.14452682241957315</v>
      </c>
      <c r="C3210" t="s">
        <v>2075</v>
      </c>
      <c r="D3210" t="s">
        <v>2184</v>
      </c>
    </row>
    <row r="3211" spans="1:4" x14ac:dyDescent="0.3">
      <c r="A3211" t="s">
        <v>1633</v>
      </c>
      <c r="B3211">
        <v>59.918209472903165</v>
      </c>
      <c r="C3211" t="s">
        <v>2075</v>
      </c>
      <c r="D3211" t="s">
        <v>2184</v>
      </c>
    </row>
    <row r="3212" spans="1:4" x14ac:dyDescent="0.3">
      <c r="A3212" t="s">
        <v>1628</v>
      </c>
      <c r="B3212">
        <v>54.16207010912855</v>
      </c>
      <c r="C3212" t="s">
        <v>2075</v>
      </c>
      <c r="D3212" t="s">
        <v>2185</v>
      </c>
    </row>
    <row r="3213" spans="1:4" x14ac:dyDescent="0.3">
      <c r="A3213" t="s">
        <v>17</v>
      </c>
      <c r="B3213">
        <v>34.859630146607046</v>
      </c>
      <c r="C3213" t="s">
        <v>2075</v>
      </c>
      <c r="D3213" t="s">
        <v>2185</v>
      </c>
    </row>
    <row r="3214" spans="1:4" x14ac:dyDescent="0.3">
      <c r="A3214" t="s">
        <v>209</v>
      </c>
      <c r="B3214">
        <v>19.261841898734822</v>
      </c>
      <c r="C3214" t="s">
        <v>2075</v>
      </c>
      <c r="D3214" t="s">
        <v>2185</v>
      </c>
    </row>
    <row r="3215" spans="1:4" x14ac:dyDescent="0.3">
      <c r="A3215" t="s">
        <v>446</v>
      </c>
      <c r="B3215">
        <v>4.0598063786682376E-2</v>
      </c>
      <c r="C3215" t="s">
        <v>2075</v>
      </c>
      <c r="D3215" t="s">
        <v>2185</v>
      </c>
    </row>
    <row r="3216" spans="1:4" x14ac:dyDescent="0.3">
      <c r="A3216" t="s">
        <v>1632</v>
      </c>
      <c r="B3216">
        <v>5.8816483207631309</v>
      </c>
      <c r="C3216" t="s">
        <v>2075</v>
      </c>
      <c r="D3216" t="s">
        <v>2185</v>
      </c>
    </row>
    <row r="3217" spans="1:4" x14ac:dyDescent="0.3">
      <c r="A3217" t="s">
        <v>1626</v>
      </c>
      <c r="B3217">
        <v>10.599719034018653</v>
      </c>
      <c r="C3217" t="s">
        <v>2075</v>
      </c>
      <c r="D3217" t="s">
        <v>2185</v>
      </c>
    </row>
    <row r="3218" spans="1:4" x14ac:dyDescent="0.3">
      <c r="A3218" t="s">
        <v>1627</v>
      </c>
      <c r="B3218">
        <v>-3.0110498256413547</v>
      </c>
      <c r="C3218" t="s">
        <v>2075</v>
      </c>
      <c r="D3218" t="s">
        <v>2185</v>
      </c>
    </row>
    <row r="3219" spans="1:4" x14ac:dyDescent="0.3">
      <c r="A3219" t="s">
        <v>1625</v>
      </c>
      <c r="B3219">
        <v>-1.5624940651945953</v>
      </c>
      <c r="C3219" t="s">
        <v>2075</v>
      </c>
      <c r="D3219" t="s">
        <v>2185</v>
      </c>
    </row>
    <row r="3220" spans="1:4" x14ac:dyDescent="0.3">
      <c r="A3220" t="s">
        <v>1623</v>
      </c>
      <c r="B3220">
        <v>-0.14452682241957315</v>
      </c>
      <c r="C3220" t="s">
        <v>2075</v>
      </c>
      <c r="D3220" t="s">
        <v>2185</v>
      </c>
    </row>
    <row r="3221" spans="1:4" x14ac:dyDescent="0.3">
      <c r="A3221" t="s">
        <v>1633</v>
      </c>
      <c r="B3221">
        <v>60.043718429891683</v>
      </c>
      <c r="C3221" t="s">
        <v>2075</v>
      </c>
      <c r="D3221" t="s">
        <v>2185</v>
      </c>
    </row>
    <row r="3222" spans="1:4" x14ac:dyDescent="0.3">
      <c r="A3222" t="s">
        <v>1628</v>
      </c>
      <c r="B3222">
        <v>53.344254250349785</v>
      </c>
      <c r="C3222" t="s">
        <v>2075</v>
      </c>
      <c r="D3222" t="s">
        <v>2186</v>
      </c>
    </row>
    <row r="3223" spans="1:4" x14ac:dyDescent="0.3">
      <c r="A3223" t="s">
        <v>17</v>
      </c>
      <c r="B3223">
        <v>34.859630146607046</v>
      </c>
      <c r="C3223" t="s">
        <v>2075</v>
      </c>
      <c r="D3223" t="s">
        <v>2186</v>
      </c>
    </row>
    <row r="3224" spans="1:4" x14ac:dyDescent="0.3">
      <c r="A3224" t="s">
        <v>209</v>
      </c>
      <c r="B3224">
        <v>18.444026039956054</v>
      </c>
      <c r="C3224" t="s">
        <v>2075</v>
      </c>
      <c r="D3224" t="s">
        <v>2186</v>
      </c>
    </row>
    <row r="3225" spans="1:4" x14ac:dyDescent="0.3">
      <c r="A3225" t="s">
        <v>446</v>
      </c>
      <c r="B3225">
        <v>4.0598063786682376E-2</v>
      </c>
      <c r="C3225" t="s">
        <v>2075</v>
      </c>
      <c r="D3225" t="s">
        <v>2186</v>
      </c>
    </row>
    <row r="3226" spans="1:4" x14ac:dyDescent="0.3">
      <c r="A3226" t="s">
        <v>1632</v>
      </c>
      <c r="B3226">
        <v>5.8816483207631309</v>
      </c>
      <c r="C3226" t="s">
        <v>2075</v>
      </c>
      <c r="D3226" t="s">
        <v>2186</v>
      </c>
    </row>
    <row r="3227" spans="1:4" x14ac:dyDescent="0.3">
      <c r="A3227" t="s">
        <v>1626</v>
      </c>
      <c r="B3227">
        <v>10.599719034018653</v>
      </c>
      <c r="C3227" t="s">
        <v>2075</v>
      </c>
      <c r="D3227" t="s">
        <v>2186</v>
      </c>
    </row>
    <row r="3228" spans="1:4" x14ac:dyDescent="0.3">
      <c r="A3228" t="s">
        <v>1627</v>
      </c>
      <c r="B3228">
        <v>-3.0110498256413547</v>
      </c>
      <c r="C3228" t="s">
        <v>2075</v>
      </c>
      <c r="D3228" t="s">
        <v>2186</v>
      </c>
    </row>
    <row r="3229" spans="1:4" x14ac:dyDescent="0.3">
      <c r="A3229" t="s">
        <v>1625</v>
      </c>
      <c r="B3229">
        <v>-1.5624940651945953</v>
      </c>
      <c r="C3229" t="s">
        <v>2075</v>
      </c>
      <c r="D3229" t="s">
        <v>2186</v>
      </c>
    </row>
    <row r="3230" spans="1:4" x14ac:dyDescent="0.3">
      <c r="A3230" t="s">
        <v>1623</v>
      </c>
      <c r="B3230">
        <v>-0.14452682241957315</v>
      </c>
      <c r="C3230" t="s">
        <v>2075</v>
      </c>
      <c r="D3230" t="s">
        <v>2186</v>
      </c>
    </row>
    <row r="3231" spans="1:4" x14ac:dyDescent="0.3">
      <c r="A3231" t="s">
        <v>1633</v>
      </c>
      <c r="B3231">
        <v>59.225902571112918</v>
      </c>
      <c r="C3231" t="s">
        <v>2075</v>
      </c>
      <c r="D3231" t="s">
        <v>2186</v>
      </c>
    </row>
    <row r="3232" spans="1:4" x14ac:dyDescent="0.3">
      <c r="A3232" t="s">
        <v>1628</v>
      </c>
      <c r="B3232">
        <v>53.43480490405323</v>
      </c>
      <c r="C3232" t="s">
        <v>2075</v>
      </c>
      <c r="D3232" t="s">
        <v>2187</v>
      </c>
    </row>
    <row r="3233" spans="1:4" x14ac:dyDescent="0.3">
      <c r="A3233" t="s">
        <v>17</v>
      </c>
      <c r="B3233">
        <v>34.859630146607046</v>
      </c>
      <c r="C3233" t="s">
        <v>2075</v>
      </c>
      <c r="D3233" t="s">
        <v>2187</v>
      </c>
    </row>
    <row r="3234" spans="1:4" x14ac:dyDescent="0.3">
      <c r="A3234" t="s">
        <v>209</v>
      </c>
      <c r="B3234">
        <v>18.534576693659499</v>
      </c>
      <c r="C3234" t="s">
        <v>2075</v>
      </c>
      <c r="D3234" t="s">
        <v>2187</v>
      </c>
    </row>
    <row r="3235" spans="1:4" x14ac:dyDescent="0.3">
      <c r="A3235" t="s">
        <v>446</v>
      </c>
      <c r="B3235">
        <v>4.0598063786682376E-2</v>
      </c>
      <c r="C3235" t="s">
        <v>2075</v>
      </c>
      <c r="D3235" t="s">
        <v>2187</v>
      </c>
    </row>
    <row r="3236" spans="1:4" x14ac:dyDescent="0.3">
      <c r="A3236" t="s">
        <v>1632</v>
      </c>
      <c r="B3236">
        <v>5.8816483207631309</v>
      </c>
      <c r="C3236" t="s">
        <v>2075</v>
      </c>
      <c r="D3236" t="s">
        <v>2187</v>
      </c>
    </row>
    <row r="3237" spans="1:4" x14ac:dyDescent="0.3">
      <c r="A3237" t="s">
        <v>1626</v>
      </c>
      <c r="B3237">
        <v>10.599719034018653</v>
      </c>
      <c r="C3237" t="s">
        <v>2075</v>
      </c>
      <c r="D3237" t="s">
        <v>2187</v>
      </c>
    </row>
    <row r="3238" spans="1:4" x14ac:dyDescent="0.3">
      <c r="A3238" t="s">
        <v>1627</v>
      </c>
      <c r="B3238">
        <v>-3.0110498256413547</v>
      </c>
      <c r="C3238" t="s">
        <v>2075</v>
      </c>
      <c r="D3238" t="s">
        <v>2187</v>
      </c>
    </row>
    <row r="3239" spans="1:4" x14ac:dyDescent="0.3">
      <c r="A3239" t="s">
        <v>1625</v>
      </c>
      <c r="B3239">
        <v>-1.5624940651945953</v>
      </c>
      <c r="C3239" t="s">
        <v>2075</v>
      </c>
      <c r="D3239" t="s">
        <v>2187</v>
      </c>
    </row>
    <row r="3240" spans="1:4" x14ac:dyDescent="0.3">
      <c r="A3240" t="s">
        <v>1623</v>
      </c>
      <c r="B3240">
        <v>-0.14452682241957315</v>
      </c>
      <c r="C3240" t="s">
        <v>2075</v>
      </c>
      <c r="D3240" t="s">
        <v>2187</v>
      </c>
    </row>
    <row r="3241" spans="1:4" x14ac:dyDescent="0.3">
      <c r="A3241" t="s">
        <v>1633</v>
      </c>
      <c r="B3241">
        <v>59.316453224816364</v>
      </c>
      <c r="C3241" t="s">
        <v>2075</v>
      </c>
      <c r="D3241" t="s">
        <v>2187</v>
      </c>
    </row>
    <row r="3242" spans="1:4" x14ac:dyDescent="0.3">
      <c r="A3242" t="s">
        <v>1628</v>
      </c>
      <c r="B3242">
        <v>52.731117794128046</v>
      </c>
      <c r="C3242" t="s">
        <v>2075</v>
      </c>
      <c r="D3242" t="s">
        <v>2188</v>
      </c>
    </row>
    <row r="3243" spans="1:4" x14ac:dyDescent="0.3">
      <c r="A3243" t="s">
        <v>17</v>
      </c>
      <c r="B3243">
        <v>34.859630146607046</v>
      </c>
      <c r="C3243" t="s">
        <v>2075</v>
      </c>
      <c r="D3243" t="s">
        <v>2188</v>
      </c>
    </row>
    <row r="3244" spans="1:4" x14ac:dyDescent="0.3">
      <c r="A3244" t="s">
        <v>209</v>
      </c>
      <c r="B3244">
        <v>17.830889583734315</v>
      </c>
      <c r="C3244" t="s">
        <v>2075</v>
      </c>
      <c r="D3244" t="s">
        <v>2188</v>
      </c>
    </row>
    <row r="3245" spans="1:4" x14ac:dyDescent="0.3">
      <c r="A3245" t="s">
        <v>446</v>
      </c>
      <c r="B3245">
        <v>4.0598063786682376E-2</v>
      </c>
      <c r="C3245" t="s">
        <v>2075</v>
      </c>
      <c r="D3245" t="s">
        <v>2188</v>
      </c>
    </row>
    <row r="3246" spans="1:4" x14ac:dyDescent="0.3">
      <c r="A3246" t="s">
        <v>1632</v>
      </c>
      <c r="B3246">
        <v>5.8816483207631309</v>
      </c>
      <c r="C3246" t="s">
        <v>2075</v>
      </c>
      <c r="D3246" t="s">
        <v>2188</v>
      </c>
    </row>
    <row r="3247" spans="1:4" x14ac:dyDescent="0.3">
      <c r="A3247" t="s">
        <v>1626</v>
      </c>
      <c r="B3247">
        <v>10.599719034018653</v>
      </c>
      <c r="C3247" t="s">
        <v>2075</v>
      </c>
      <c r="D3247" t="s">
        <v>2188</v>
      </c>
    </row>
    <row r="3248" spans="1:4" x14ac:dyDescent="0.3">
      <c r="A3248" t="s">
        <v>1627</v>
      </c>
      <c r="B3248">
        <v>-3.0110498256413547</v>
      </c>
      <c r="C3248" t="s">
        <v>2075</v>
      </c>
      <c r="D3248" t="s">
        <v>2188</v>
      </c>
    </row>
    <row r="3249" spans="1:4" x14ac:dyDescent="0.3">
      <c r="A3249" t="s">
        <v>1625</v>
      </c>
      <c r="B3249">
        <v>-1.5624940651945953</v>
      </c>
      <c r="C3249" t="s">
        <v>2075</v>
      </c>
      <c r="D3249" t="s">
        <v>2188</v>
      </c>
    </row>
    <row r="3250" spans="1:4" x14ac:dyDescent="0.3">
      <c r="A3250" t="s">
        <v>1623</v>
      </c>
      <c r="B3250">
        <v>-0.14452682241957315</v>
      </c>
      <c r="C3250" t="s">
        <v>2075</v>
      </c>
      <c r="D3250" t="s">
        <v>2188</v>
      </c>
    </row>
    <row r="3251" spans="1:4" x14ac:dyDescent="0.3">
      <c r="A3251" t="s">
        <v>1633</v>
      </c>
      <c r="B3251">
        <v>58.61276611489118</v>
      </c>
      <c r="C3251" t="s">
        <v>2075</v>
      </c>
      <c r="D3251" t="s">
        <v>2188</v>
      </c>
    </row>
    <row r="3252" spans="1:4" x14ac:dyDescent="0.3">
      <c r="A3252" t="s">
        <v>1628</v>
      </c>
      <c r="B3252">
        <v>57.565892429818689</v>
      </c>
      <c r="C3252" t="s">
        <v>2075</v>
      </c>
      <c r="D3252" t="s">
        <v>2189</v>
      </c>
    </row>
    <row r="3253" spans="1:4" x14ac:dyDescent="0.3">
      <c r="A3253" t="s">
        <v>17</v>
      </c>
      <c r="B3253">
        <v>34.859630146607046</v>
      </c>
      <c r="C3253" t="s">
        <v>2075</v>
      </c>
      <c r="D3253" t="s">
        <v>2189</v>
      </c>
    </row>
    <row r="3254" spans="1:4" x14ac:dyDescent="0.3">
      <c r="A3254" t="s">
        <v>209</v>
      </c>
      <c r="B3254">
        <v>22.665664219424961</v>
      </c>
      <c r="C3254" t="s">
        <v>2075</v>
      </c>
      <c r="D3254" t="s">
        <v>2189</v>
      </c>
    </row>
    <row r="3255" spans="1:4" x14ac:dyDescent="0.3">
      <c r="A3255" t="s">
        <v>446</v>
      </c>
      <c r="B3255">
        <v>4.0598063786682376E-2</v>
      </c>
      <c r="C3255" t="s">
        <v>2075</v>
      </c>
      <c r="D3255" t="s">
        <v>2189</v>
      </c>
    </row>
    <row r="3256" spans="1:4" x14ac:dyDescent="0.3">
      <c r="A3256" t="s">
        <v>1632</v>
      </c>
      <c r="B3256">
        <v>5.8816483207631309</v>
      </c>
      <c r="C3256" t="s">
        <v>2075</v>
      </c>
      <c r="D3256" t="s">
        <v>2189</v>
      </c>
    </row>
    <row r="3257" spans="1:4" x14ac:dyDescent="0.3">
      <c r="A3257" t="s">
        <v>1626</v>
      </c>
      <c r="B3257">
        <v>10.599719034018653</v>
      </c>
      <c r="C3257" t="s">
        <v>2075</v>
      </c>
      <c r="D3257" t="s">
        <v>2189</v>
      </c>
    </row>
    <row r="3258" spans="1:4" x14ac:dyDescent="0.3">
      <c r="A3258" t="s">
        <v>1627</v>
      </c>
      <c r="B3258">
        <v>-3.0110498256413547</v>
      </c>
      <c r="C3258" t="s">
        <v>2075</v>
      </c>
      <c r="D3258" t="s">
        <v>2189</v>
      </c>
    </row>
    <row r="3259" spans="1:4" x14ac:dyDescent="0.3">
      <c r="A3259" t="s">
        <v>1625</v>
      </c>
      <c r="B3259">
        <v>-1.5624940651945953</v>
      </c>
      <c r="C3259" t="s">
        <v>2075</v>
      </c>
      <c r="D3259" t="s">
        <v>2189</v>
      </c>
    </row>
    <row r="3260" spans="1:4" x14ac:dyDescent="0.3">
      <c r="A3260" t="s">
        <v>1623</v>
      </c>
      <c r="B3260">
        <v>-0.14452682241957315</v>
      </c>
      <c r="C3260" t="s">
        <v>2075</v>
      </c>
      <c r="D3260" t="s">
        <v>2189</v>
      </c>
    </row>
    <row r="3261" spans="1:4" x14ac:dyDescent="0.3">
      <c r="A3261" t="s">
        <v>1633</v>
      </c>
      <c r="B3261">
        <v>63.447540750581823</v>
      </c>
      <c r="C3261" t="s">
        <v>2075</v>
      </c>
      <c r="D3261" t="s">
        <v>2189</v>
      </c>
    </row>
    <row r="3262" spans="1:4" x14ac:dyDescent="0.3">
      <c r="A3262" t="s">
        <v>1628</v>
      </c>
      <c r="B3262">
        <v>53.153020200955545</v>
      </c>
      <c r="C3262" t="s">
        <v>2075</v>
      </c>
      <c r="D3262" t="s">
        <v>2190</v>
      </c>
    </row>
    <row r="3263" spans="1:4" x14ac:dyDescent="0.3">
      <c r="A3263" t="s">
        <v>17</v>
      </c>
      <c r="B3263">
        <v>34.859630146607046</v>
      </c>
      <c r="C3263" t="s">
        <v>2075</v>
      </c>
      <c r="D3263" t="s">
        <v>2190</v>
      </c>
    </row>
    <row r="3264" spans="1:4" x14ac:dyDescent="0.3">
      <c r="A3264" t="s">
        <v>209</v>
      </c>
      <c r="B3264">
        <v>18.252791990561821</v>
      </c>
      <c r="C3264" t="s">
        <v>2075</v>
      </c>
      <c r="D3264" t="s">
        <v>2190</v>
      </c>
    </row>
    <row r="3265" spans="1:4" x14ac:dyDescent="0.3">
      <c r="A3265" t="s">
        <v>446</v>
      </c>
      <c r="B3265">
        <v>4.0598063786682376E-2</v>
      </c>
      <c r="C3265" t="s">
        <v>2075</v>
      </c>
      <c r="D3265" t="s">
        <v>2190</v>
      </c>
    </row>
    <row r="3266" spans="1:4" x14ac:dyDescent="0.3">
      <c r="A3266" t="s">
        <v>1632</v>
      </c>
      <c r="B3266">
        <v>5.8816483207631309</v>
      </c>
      <c r="C3266" t="s">
        <v>2075</v>
      </c>
      <c r="D3266" t="s">
        <v>2190</v>
      </c>
    </row>
    <row r="3267" spans="1:4" x14ac:dyDescent="0.3">
      <c r="A3267" t="s">
        <v>1626</v>
      </c>
      <c r="B3267">
        <v>10.599719034018653</v>
      </c>
      <c r="C3267" t="s">
        <v>2075</v>
      </c>
      <c r="D3267" t="s">
        <v>2190</v>
      </c>
    </row>
    <row r="3268" spans="1:4" x14ac:dyDescent="0.3">
      <c r="A3268" t="s">
        <v>1627</v>
      </c>
      <c r="B3268">
        <v>-3.0110498256413547</v>
      </c>
      <c r="C3268" t="s">
        <v>2075</v>
      </c>
      <c r="D3268" t="s">
        <v>2190</v>
      </c>
    </row>
    <row r="3269" spans="1:4" x14ac:dyDescent="0.3">
      <c r="A3269" t="s">
        <v>1625</v>
      </c>
      <c r="B3269">
        <v>-1.5624940651945953</v>
      </c>
      <c r="C3269" t="s">
        <v>2075</v>
      </c>
      <c r="D3269" t="s">
        <v>2190</v>
      </c>
    </row>
    <row r="3270" spans="1:4" x14ac:dyDescent="0.3">
      <c r="A3270" t="s">
        <v>1623</v>
      </c>
      <c r="B3270">
        <v>-0.14452682241957315</v>
      </c>
      <c r="C3270" t="s">
        <v>2075</v>
      </c>
      <c r="D3270" t="s">
        <v>2190</v>
      </c>
    </row>
    <row r="3271" spans="1:4" x14ac:dyDescent="0.3">
      <c r="A3271" t="s">
        <v>1633</v>
      </c>
      <c r="B3271">
        <v>59.034668521718679</v>
      </c>
      <c r="C3271" t="s">
        <v>2075</v>
      </c>
      <c r="D3271" t="s">
        <v>2190</v>
      </c>
    </row>
    <row r="3272" spans="1:4" x14ac:dyDescent="0.3">
      <c r="A3272" t="s">
        <v>1628</v>
      </c>
      <c r="B3272">
        <v>53.16437710905128</v>
      </c>
      <c r="C3272" t="s">
        <v>2075</v>
      </c>
      <c r="D3272" t="s">
        <v>2191</v>
      </c>
    </row>
    <row r="3273" spans="1:4" x14ac:dyDescent="0.3">
      <c r="A3273" t="s">
        <v>17</v>
      </c>
      <c r="B3273">
        <v>34.859630146607046</v>
      </c>
      <c r="C3273" t="s">
        <v>2075</v>
      </c>
      <c r="D3273" t="s">
        <v>2191</v>
      </c>
    </row>
    <row r="3274" spans="1:4" x14ac:dyDescent="0.3">
      <c r="A3274" t="s">
        <v>209</v>
      </c>
      <c r="B3274">
        <v>18.264148898657549</v>
      </c>
      <c r="C3274" t="s">
        <v>2075</v>
      </c>
      <c r="D3274" t="s">
        <v>2191</v>
      </c>
    </row>
    <row r="3275" spans="1:4" x14ac:dyDescent="0.3">
      <c r="A3275" t="s">
        <v>446</v>
      </c>
      <c r="B3275">
        <v>4.0598063786682376E-2</v>
      </c>
      <c r="C3275" t="s">
        <v>2075</v>
      </c>
      <c r="D3275" t="s">
        <v>2191</v>
      </c>
    </row>
    <row r="3276" spans="1:4" x14ac:dyDescent="0.3">
      <c r="A3276" t="s">
        <v>1632</v>
      </c>
      <c r="B3276">
        <v>5.8816483207631309</v>
      </c>
      <c r="C3276" t="s">
        <v>2075</v>
      </c>
      <c r="D3276" t="s">
        <v>2191</v>
      </c>
    </row>
    <row r="3277" spans="1:4" x14ac:dyDescent="0.3">
      <c r="A3277" t="s">
        <v>1626</v>
      </c>
      <c r="B3277">
        <v>10.599719034018653</v>
      </c>
      <c r="C3277" t="s">
        <v>2075</v>
      </c>
      <c r="D3277" t="s">
        <v>2191</v>
      </c>
    </row>
    <row r="3278" spans="1:4" x14ac:dyDescent="0.3">
      <c r="A3278" t="s">
        <v>1627</v>
      </c>
      <c r="B3278">
        <v>-3.0110498256413547</v>
      </c>
      <c r="C3278" t="s">
        <v>2075</v>
      </c>
      <c r="D3278" t="s">
        <v>2191</v>
      </c>
    </row>
    <row r="3279" spans="1:4" x14ac:dyDescent="0.3">
      <c r="A3279" t="s">
        <v>1625</v>
      </c>
      <c r="B3279">
        <v>-1.5624940651945953</v>
      </c>
      <c r="C3279" t="s">
        <v>2075</v>
      </c>
      <c r="D3279" t="s">
        <v>2191</v>
      </c>
    </row>
    <row r="3280" spans="1:4" x14ac:dyDescent="0.3">
      <c r="A3280" t="s">
        <v>1623</v>
      </c>
      <c r="B3280">
        <v>-0.14452682241957315</v>
      </c>
      <c r="C3280" t="s">
        <v>2075</v>
      </c>
      <c r="D3280" t="s">
        <v>2191</v>
      </c>
    </row>
    <row r="3281" spans="1:4" x14ac:dyDescent="0.3">
      <c r="A3281" t="s">
        <v>1633</v>
      </c>
      <c r="B3281">
        <v>59.046025429814414</v>
      </c>
      <c r="C3281" t="s">
        <v>2075</v>
      </c>
      <c r="D3281" t="s">
        <v>2191</v>
      </c>
    </row>
    <row r="3282" spans="1:4" x14ac:dyDescent="0.3">
      <c r="A3282" t="s">
        <v>1628</v>
      </c>
      <c r="B3282">
        <v>51.298709601463756</v>
      </c>
      <c r="C3282" t="s">
        <v>2075</v>
      </c>
      <c r="D3282" t="s">
        <v>2192</v>
      </c>
    </row>
    <row r="3283" spans="1:4" x14ac:dyDescent="0.3">
      <c r="A3283" t="s">
        <v>17</v>
      </c>
      <c r="B3283">
        <v>34.859630146607046</v>
      </c>
      <c r="C3283" t="s">
        <v>2075</v>
      </c>
      <c r="D3283" t="s">
        <v>2192</v>
      </c>
    </row>
    <row r="3284" spans="1:4" x14ac:dyDescent="0.3">
      <c r="A3284" t="s">
        <v>209</v>
      </c>
      <c r="B3284">
        <v>16.398481391070028</v>
      </c>
      <c r="C3284" t="s">
        <v>2075</v>
      </c>
      <c r="D3284" t="s">
        <v>2192</v>
      </c>
    </row>
    <row r="3285" spans="1:4" x14ac:dyDescent="0.3">
      <c r="A3285" t="s">
        <v>446</v>
      </c>
      <c r="B3285">
        <v>4.0598063786682376E-2</v>
      </c>
      <c r="C3285" t="s">
        <v>2075</v>
      </c>
      <c r="D3285" t="s">
        <v>2192</v>
      </c>
    </row>
    <row r="3286" spans="1:4" x14ac:dyDescent="0.3">
      <c r="A3286" t="s">
        <v>1632</v>
      </c>
      <c r="B3286">
        <v>5.8816483207631309</v>
      </c>
      <c r="C3286" t="s">
        <v>2075</v>
      </c>
      <c r="D3286" t="s">
        <v>2192</v>
      </c>
    </row>
    <row r="3287" spans="1:4" x14ac:dyDescent="0.3">
      <c r="A3287" t="s">
        <v>1626</v>
      </c>
      <c r="B3287">
        <v>10.599719034018653</v>
      </c>
      <c r="C3287" t="s">
        <v>2075</v>
      </c>
      <c r="D3287" t="s">
        <v>2192</v>
      </c>
    </row>
    <row r="3288" spans="1:4" x14ac:dyDescent="0.3">
      <c r="A3288" t="s">
        <v>1627</v>
      </c>
      <c r="B3288">
        <v>-3.0110498256413547</v>
      </c>
      <c r="C3288" t="s">
        <v>2075</v>
      </c>
      <c r="D3288" t="s">
        <v>2192</v>
      </c>
    </row>
    <row r="3289" spans="1:4" x14ac:dyDescent="0.3">
      <c r="A3289" t="s">
        <v>1625</v>
      </c>
      <c r="B3289">
        <v>-1.5624940651945953</v>
      </c>
      <c r="C3289" t="s">
        <v>2075</v>
      </c>
      <c r="D3289" t="s">
        <v>2192</v>
      </c>
    </row>
    <row r="3290" spans="1:4" x14ac:dyDescent="0.3">
      <c r="A3290" t="s">
        <v>1623</v>
      </c>
      <c r="B3290">
        <v>-0.14452682241957315</v>
      </c>
      <c r="C3290" t="s">
        <v>2075</v>
      </c>
      <c r="D3290" t="s">
        <v>2192</v>
      </c>
    </row>
    <row r="3291" spans="1:4" x14ac:dyDescent="0.3">
      <c r="A3291" t="s">
        <v>1633</v>
      </c>
      <c r="B3291">
        <v>57.180357922226889</v>
      </c>
      <c r="C3291" t="s">
        <v>2075</v>
      </c>
      <c r="D3291" t="s">
        <v>2192</v>
      </c>
    </row>
    <row r="3292" spans="1:4" x14ac:dyDescent="0.3">
      <c r="A3292" t="s">
        <v>1628</v>
      </c>
      <c r="B3292">
        <v>50.345661963069169</v>
      </c>
      <c r="C3292" t="s">
        <v>2075</v>
      </c>
      <c r="D3292" t="s">
        <v>2081</v>
      </c>
    </row>
    <row r="3293" spans="1:4" x14ac:dyDescent="0.3">
      <c r="A3293" t="s">
        <v>17</v>
      </c>
      <c r="B3293">
        <v>32.803082951644981</v>
      </c>
      <c r="C3293" t="s">
        <v>2075</v>
      </c>
      <c r="D3293" t="s">
        <v>2081</v>
      </c>
    </row>
    <row r="3294" spans="1:4" x14ac:dyDescent="0.3">
      <c r="A3294" t="s">
        <v>209</v>
      </c>
      <c r="B3294">
        <v>17.501980947637506</v>
      </c>
      <c r="C3294" t="s">
        <v>2075</v>
      </c>
      <c r="D3294" t="s">
        <v>2081</v>
      </c>
    </row>
    <row r="3295" spans="1:4" x14ac:dyDescent="0.3">
      <c r="A3295" t="s">
        <v>446</v>
      </c>
      <c r="B3295">
        <v>4.0598063786682376E-2</v>
      </c>
      <c r="C3295" t="s">
        <v>2075</v>
      </c>
      <c r="D3295" t="s">
        <v>2081</v>
      </c>
    </row>
    <row r="3296" spans="1:4" x14ac:dyDescent="0.3">
      <c r="A3296" t="s">
        <v>1632</v>
      </c>
      <c r="B3296">
        <v>5.8816483207631309</v>
      </c>
      <c r="C3296" t="s">
        <v>2075</v>
      </c>
      <c r="D3296" t="s">
        <v>2081</v>
      </c>
    </row>
    <row r="3297" spans="1:4" x14ac:dyDescent="0.3">
      <c r="A3297" t="s">
        <v>1626</v>
      </c>
      <c r="B3297">
        <v>10.599719034018653</v>
      </c>
      <c r="C3297" t="s">
        <v>2075</v>
      </c>
      <c r="D3297" t="s">
        <v>2081</v>
      </c>
    </row>
    <row r="3298" spans="1:4" x14ac:dyDescent="0.3">
      <c r="A3298" t="s">
        <v>1627</v>
      </c>
      <c r="B3298">
        <v>-3.0110498256413547</v>
      </c>
      <c r="C3298" t="s">
        <v>2075</v>
      </c>
      <c r="D3298" t="s">
        <v>2081</v>
      </c>
    </row>
    <row r="3299" spans="1:4" x14ac:dyDescent="0.3">
      <c r="A3299" t="s">
        <v>1625</v>
      </c>
      <c r="B3299">
        <v>-1.5624940651945953</v>
      </c>
      <c r="C3299" t="s">
        <v>2075</v>
      </c>
      <c r="D3299" t="s">
        <v>2081</v>
      </c>
    </row>
    <row r="3300" spans="1:4" x14ac:dyDescent="0.3">
      <c r="A3300" t="s">
        <v>1623</v>
      </c>
      <c r="B3300">
        <v>-0.14452682241957315</v>
      </c>
      <c r="C3300" t="s">
        <v>2075</v>
      </c>
      <c r="D3300" t="s">
        <v>2081</v>
      </c>
    </row>
    <row r="3301" spans="1:4" x14ac:dyDescent="0.3">
      <c r="A3301" t="s">
        <v>1633</v>
      </c>
      <c r="B3301">
        <v>56.227310283832303</v>
      </c>
      <c r="C3301" t="s">
        <v>2075</v>
      </c>
      <c r="D3301" t="s">
        <v>2081</v>
      </c>
    </row>
    <row r="3302" spans="1:4" x14ac:dyDescent="0.3">
      <c r="A3302" t="s">
        <v>1628</v>
      </c>
      <c r="B3302">
        <v>52.402209158031233</v>
      </c>
      <c r="C3302" t="s">
        <v>2075</v>
      </c>
      <c r="D3302" t="s">
        <v>2082</v>
      </c>
    </row>
    <row r="3303" spans="1:4" x14ac:dyDescent="0.3">
      <c r="A3303" t="s">
        <v>17</v>
      </c>
      <c r="B3303">
        <v>34.859630146607046</v>
      </c>
      <c r="C3303" t="s">
        <v>2075</v>
      </c>
      <c r="D3303" t="s">
        <v>2082</v>
      </c>
    </row>
    <row r="3304" spans="1:4" x14ac:dyDescent="0.3">
      <c r="A3304" t="s">
        <v>209</v>
      </c>
      <c r="B3304">
        <v>17.501980947637506</v>
      </c>
      <c r="C3304" t="s">
        <v>2075</v>
      </c>
      <c r="D3304" t="s">
        <v>2082</v>
      </c>
    </row>
    <row r="3305" spans="1:4" x14ac:dyDescent="0.3">
      <c r="A3305" t="s">
        <v>446</v>
      </c>
      <c r="B3305">
        <v>4.0598063786682376E-2</v>
      </c>
      <c r="C3305" t="s">
        <v>2075</v>
      </c>
      <c r="D3305" t="s">
        <v>2082</v>
      </c>
    </row>
    <row r="3306" spans="1:4" x14ac:dyDescent="0.3">
      <c r="A3306" t="s">
        <v>1632</v>
      </c>
      <c r="B3306">
        <v>5.8816483207631309</v>
      </c>
      <c r="C3306" t="s">
        <v>2075</v>
      </c>
      <c r="D3306" t="s">
        <v>2082</v>
      </c>
    </row>
    <row r="3307" spans="1:4" x14ac:dyDescent="0.3">
      <c r="A3307" t="s">
        <v>1626</v>
      </c>
      <c r="B3307">
        <v>10.599719034018653</v>
      </c>
      <c r="C3307" t="s">
        <v>2075</v>
      </c>
      <c r="D3307" t="s">
        <v>2082</v>
      </c>
    </row>
    <row r="3308" spans="1:4" x14ac:dyDescent="0.3">
      <c r="A3308" t="s">
        <v>1627</v>
      </c>
      <c r="B3308">
        <v>-3.0110498256413547</v>
      </c>
      <c r="C3308" t="s">
        <v>2075</v>
      </c>
      <c r="D3308" t="s">
        <v>2082</v>
      </c>
    </row>
    <row r="3309" spans="1:4" x14ac:dyDescent="0.3">
      <c r="A3309" t="s">
        <v>1625</v>
      </c>
      <c r="B3309">
        <v>-1.5624940651945953</v>
      </c>
      <c r="C3309" t="s">
        <v>2075</v>
      </c>
      <c r="D3309" t="s">
        <v>2082</v>
      </c>
    </row>
    <row r="3310" spans="1:4" x14ac:dyDescent="0.3">
      <c r="A3310" t="s">
        <v>1623</v>
      </c>
      <c r="B3310">
        <v>-0.14452682241957315</v>
      </c>
      <c r="C3310" t="s">
        <v>2075</v>
      </c>
      <c r="D3310" t="s">
        <v>2082</v>
      </c>
    </row>
    <row r="3311" spans="1:4" x14ac:dyDescent="0.3">
      <c r="A3311" t="s">
        <v>1633</v>
      </c>
      <c r="B3311">
        <v>58.283857478794367</v>
      </c>
      <c r="C3311" t="s">
        <v>2075</v>
      </c>
      <c r="D3311" t="s">
        <v>2082</v>
      </c>
    </row>
    <row r="3312" spans="1:4" x14ac:dyDescent="0.3">
      <c r="A3312" t="s">
        <v>1628</v>
      </c>
      <c r="B3312">
        <v>50.345661963069169</v>
      </c>
      <c r="C3312" t="s">
        <v>2075</v>
      </c>
      <c r="D3312" t="s">
        <v>2083</v>
      </c>
    </row>
    <row r="3313" spans="1:4" x14ac:dyDescent="0.3">
      <c r="A3313" t="s">
        <v>17</v>
      </c>
      <c r="B3313">
        <v>32.803082951644981</v>
      </c>
      <c r="C3313" t="s">
        <v>2075</v>
      </c>
      <c r="D3313" t="s">
        <v>2083</v>
      </c>
    </row>
    <row r="3314" spans="1:4" x14ac:dyDescent="0.3">
      <c r="A3314" t="s">
        <v>209</v>
      </c>
      <c r="B3314">
        <v>17.501980947637506</v>
      </c>
      <c r="C3314" t="s">
        <v>2075</v>
      </c>
      <c r="D3314" t="s">
        <v>2083</v>
      </c>
    </row>
    <row r="3315" spans="1:4" x14ac:dyDescent="0.3">
      <c r="A3315" t="s">
        <v>446</v>
      </c>
      <c r="B3315">
        <v>4.0598063786682376E-2</v>
      </c>
      <c r="C3315" t="s">
        <v>2075</v>
      </c>
      <c r="D3315" t="s">
        <v>2083</v>
      </c>
    </row>
    <row r="3316" spans="1:4" x14ac:dyDescent="0.3">
      <c r="A3316" t="s">
        <v>1632</v>
      </c>
      <c r="B3316">
        <v>5.8816483207631309</v>
      </c>
      <c r="C3316" t="s">
        <v>2075</v>
      </c>
      <c r="D3316" t="s">
        <v>2083</v>
      </c>
    </row>
    <row r="3317" spans="1:4" x14ac:dyDescent="0.3">
      <c r="A3317" t="s">
        <v>1626</v>
      </c>
      <c r="B3317">
        <v>10.599719034018653</v>
      </c>
      <c r="C3317" t="s">
        <v>2075</v>
      </c>
      <c r="D3317" t="s">
        <v>2083</v>
      </c>
    </row>
    <row r="3318" spans="1:4" x14ac:dyDescent="0.3">
      <c r="A3318" t="s">
        <v>1627</v>
      </c>
      <c r="B3318">
        <v>-3.0110498256413547</v>
      </c>
      <c r="C3318" t="s">
        <v>2075</v>
      </c>
      <c r="D3318" t="s">
        <v>2083</v>
      </c>
    </row>
    <row r="3319" spans="1:4" x14ac:dyDescent="0.3">
      <c r="A3319" t="s">
        <v>1625</v>
      </c>
      <c r="B3319">
        <v>-1.5624940651945953</v>
      </c>
      <c r="C3319" t="s">
        <v>2075</v>
      </c>
      <c r="D3319" t="s">
        <v>2083</v>
      </c>
    </row>
    <row r="3320" spans="1:4" x14ac:dyDescent="0.3">
      <c r="A3320" t="s">
        <v>1623</v>
      </c>
      <c r="B3320">
        <v>-0.14452682241957315</v>
      </c>
      <c r="C3320" t="s">
        <v>2075</v>
      </c>
      <c r="D3320" t="s">
        <v>2083</v>
      </c>
    </row>
    <row r="3321" spans="1:4" x14ac:dyDescent="0.3">
      <c r="A3321" t="s">
        <v>1633</v>
      </c>
      <c r="B3321">
        <v>56.227310283832303</v>
      </c>
      <c r="C3321" t="s">
        <v>2075</v>
      </c>
      <c r="D3321" t="s">
        <v>2083</v>
      </c>
    </row>
    <row r="3322" spans="1:4" x14ac:dyDescent="0.3">
      <c r="A3322" t="s">
        <v>1628</v>
      </c>
      <c r="B3322">
        <v>52.402209158031233</v>
      </c>
      <c r="C3322" t="s">
        <v>2075</v>
      </c>
      <c r="D3322" t="s">
        <v>2084</v>
      </c>
    </row>
    <row r="3323" spans="1:4" x14ac:dyDescent="0.3">
      <c r="A3323" t="s">
        <v>17</v>
      </c>
      <c r="B3323">
        <v>34.859630146607046</v>
      </c>
      <c r="C3323" t="s">
        <v>2075</v>
      </c>
      <c r="D3323" t="s">
        <v>2084</v>
      </c>
    </row>
    <row r="3324" spans="1:4" x14ac:dyDescent="0.3">
      <c r="A3324" t="s">
        <v>209</v>
      </c>
      <c r="B3324">
        <v>17.501980947637506</v>
      </c>
      <c r="C3324" t="s">
        <v>2075</v>
      </c>
      <c r="D3324" t="s">
        <v>2084</v>
      </c>
    </row>
    <row r="3325" spans="1:4" x14ac:dyDescent="0.3">
      <c r="A3325" t="s">
        <v>446</v>
      </c>
      <c r="B3325">
        <v>4.0598063786682376E-2</v>
      </c>
      <c r="C3325" t="s">
        <v>2075</v>
      </c>
      <c r="D3325" t="s">
        <v>2084</v>
      </c>
    </row>
    <row r="3326" spans="1:4" x14ac:dyDescent="0.3">
      <c r="A3326" t="s">
        <v>1632</v>
      </c>
      <c r="B3326">
        <v>5.8816483207631309</v>
      </c>
      <c r="C3326" t="s">
        <v>2075</v>
      </c>
      <c r="D3326" t="s">
        <v>2084</v>
      </c>
    </row>
    <row r="3327" spans="1:4" x14ac:dyDescent="0.3">
      <c r="A3327" t="s">
        <v>1626</v>
      </c>
      <c r="B3327">
        <v>10.599719034018653</v>
      </c>
      <c r="C3327" t="s">
        <v>2075</v>
      </c>
      <c r="D3327" t="s">
        <v>2084</v>
      </c>
    </row>
    <row r="3328" spans="1:4" x14ac:dyDescent="0.3">
      <c r="A3328" t="s">
        <v>1627</v>
      </c>
      <c r="B3328">
        <v>-3.0110498256413547</v>
      </c>
      <c r="C3328" t="s">
        <v>2075</v>
      </c>
      <c r="D3328" t="s">
        <v>2084</v>
      </c>
    </row>
    <row r="3329" spans="1:4" x14ac:dyDescent="0.3">
      <c r="A3329" t="s">
        <v>1625</v>
      </c>
      <c r="B3329">
        <v>-1.5624940651945953</v>
      </c>
      <c r="C3329" t="s">
        <v>2075</v>
      </c>
      <c r="D3329" t="s">
        <v>2084</v>
      </c>
    </row>
    <row r="3330" spans="1:4" x14ac:dyDescent="0.3">
      <c r="A3330" t="s">
        <v>1623</v>
      </c>
      <c r="B3330">
        <v>-0.14452682241957315</v>
      </c>
      <c r="C3330" t="s">
        <v>2075</v>
      </c>
      <c r="D3330" t="s">
        <v>2084</v>
      </c>
    </row>
    <row r="3331" spans="1:4" x14ac:dyDescent="0.3">
      <c r="A3331" t="s">
        <v>1633</v>
      </c>
      <c r="B3331">
        <v>58.283857478794367</v>
      </c>
      <c r="C3331" t="s">
        <v>2075</v>
      </c>
      <c r="D3331" t="s">
        <v>2084</v>
      </c>
    </row>
    <row r="3332" spans="1:4" x14ac:dyDescent="0.3">
      <c r="A3332" t="s">
        <v>1628</v>
      </c>
      <c r="B3332">
        <v>50.345661963069169</v>
      </c>
      <c r="C3332" t="s">
        <v>2075</v>
      </c>
      <c r="D3332" t="s">
        <v>2085</v>
      </c>
    </row>
    <row r="3333" spans="1:4" x14ac:dyDescent="0.3">
      <c r="A3333" t="s">
        <v>17</v>
      </c>
      <c r="B3333">
        <v>32.803082951644981</v>
      </c>
      <c r="C3333" t="s">
        <v>2075</v>
      </c>
      <c r="D3333" t="s">
        <v>2085</v>
      </c>
    </row>
    <row r="3334" spans="1:4" x14ac:dyDescent="0.3">
      <c r="A3334" t="s">
        <v>209</v>
      </c>
      <c r="B3334">
        <v>17.501980947637506</v>
      </c>
      <c r="C3334" t="s">
        <v>2075</v>
      </c>
      <c r="D3334" t="s">
        <v>2085</v>
      </c>
    </row>
    <row r="3335" spans="1:4" x14ac:dyDescent="0.3">
      <c r="A3335" t="s">
        <v>446</v>
      </c>
      <c r="B3335">
        <v>4.0598063786682376E-2</v>
      </c>
      <c r="C3335" t="s">
        <v>2075</v>
      </c>
      <c r="D3335" t="s">
        <v>2085</v>
      </c>
    </row>
    <row r="3336" spans="1:4" x14ac:dyDescent="0.3">
      <c r="A3336" t="s">
        <v>1632</v>
      </c>
      <c r="B3336">
        <v>5.8816483207631309</v>
      </c>
      <c r="C3336" t="s">
        <v>2075</v>
      </c>
      <c r="D3336" t="s">
        <v>2085</v>
      </c>
    </row>
    <row r="3337" spans="1:4" x14ac:dyDescent="0.3">
      <c r="A3337" t="s">
        <v>1626</v>
      </c>
      <c r="B3337">
        <v>10.599719034018653</v>
      </c>
      <c r="C3337" t="s">
        <v>2075</v>
      </c>
      <c r="D3337" t="s">
        <v>2085</v>
      </c>
    </row>
    <row r="3338" spans="1:4" x14ac:dyDescent="0.3">
      <c r="A3338" t="s">
        <v>1627</v>
      </c>
      <c r="B3338">
        <v>-3.0110498256413547</v>
      </c>
      <c r="C3338" t="s">
        <v>2075</v>
      </c>
      <c r="D3338" t="s">
        <v>2085</v>
      </c>
    </row>
    <row r="3339" spans="1:4" x14ac:dyDescent="0.3">
      <c r="A3339" t="s">
        <v>1625</v>
      </c>
      <c r="B3339">
        <v>-1.5624940651945953</v>
      </c>
      <c r="C3339" t="s">
        <v>2075</v>
      </c>
      <c r="D3339" t="s">
        <v>2085</v>
      </c>
    </row>
    <row r="3340" spans="1:4" x14ac:dyDescent="0.3">
      <c r="A3340" t="s">
        <v>1623</v>
      </c>
      <c r="B3340">
        <v>-0.14452682241957315</v>
      </c>
      <c r="C3340" t="s">
        <v>2075</v>
      </c>
      <c r="D3340" t="s">
        <v>2085</v>
      </c>
    </row>
    <row r="3341" spans="1:4" x14ac:dyDescent="0.3">
      <c r="A3341" t="s">
        <v>1633</v>
      </c>
      <c r="B3341">
        <v>56.227310283832303</v>
      </c>
      <c r="C3341" t="s">
        <v>2075</v>
      </c>
      <c r="D3341" t="s">
        <v>2085</v>
      </c>
    </row>
    <row r="3342" spans="1:4" x14ac:dyDescent="0.3">
      <c r="A3342" t="s">
        <v>1628</v>
      </c>
      <c r="B3342">
        <v>52.402209158031233</v>
      </c>
      <c r="C3342" t="s">
        <v>2075</v>
      </c>
      <c r="D3342" t="s">
        <v>2086</v>
      </c>
    </row>
    <row r="3343" spans="1:4" x14ac:dyDescent="0.3">
      <c r="A3343" t="s">
        <v>17</v>
      </c>
      <c r="B3343">
        <v>34.859630146607046</v>
      </c>
      <c r="C3343" t="s">
        <v>2075</v>
      </c>
      <c r="D3343" t="s">
        <v>2086</v>
      </c>
    </row>
    <row r="3344" spans="1:4" x14ac:dyDescent="0.3">
      <c r="A3344" t="s">
        <v>209</v>
      </c>
      <c r="B3344">
        <v>17.501980947637506</v>
      </c>
      <c r="C3344" t="s">
        <v>2075</v>
      </c>
      <c r="D3344" t="s">
        <v>2086</v>
      </c>
    </row>
    <row r="3345" spans="1:4" x14ac:dyDescent="0.3">
      <c r="A3345" t="s">
        <v>446</v>
      </c>
      <c r="B3345">
        <v>4.0598063786682376E-2</v>
      </c>
      <c r="C3345" t="s">
        <v>2075</v>
      </c>
      <c r="D3345" t="s">
        <v>2086</v>
      </c>
    </row>
    <row r="3346" spans="1:4" x14ac:dyDescent="0.3">
      <c r="A3346" t="s">
        <v>1632</v>
      </c>
      <c r="B3346">
        <v>5.8816483207631309</v>
      </c>
      <c r="C3346" t="s">
        <v>2075</v>
      </c>
      <c r="D3346" t="s">
        <v>2086</v>
      </c>
    </row>
    <row r="3347" spans="1:4" x14ac:dyDescent="0.3">
      <c r="A3347" t="s">
        <v>1626</v>
      </c>
      <c r="B3347">
        <v>10.599719034018653</v>
      </c>
      <c r="C3347" t="s">
        <v>2075</v>
      </c>
      <c r="D3347" t="s">
        <v>2086</v>
      </c>
    </row>
    <row r="3348" spans="1:4" x14ac:dyDescent="0.3">
      <c r="A3348" t="s">
        <v>1627</v>
      </c>
      <c r="B3348">
        <v>-3.0110498256413547</v>
      </c>
      <c r="C3348" t="s">
        <v>2075</v>
      </c>
      <c r="D3348" t="s">
        <v>2086</v>
      </c>
    </row>
    <row r="3349" spans="1:4" x14ac:dyDescent="0.3">
      <c r="A3349" t="s">
        <v>1625</v>
      </c>
      <c r="B3349">
        <v>-1.5624940651945953</v>
      </c>
      <c r="C3349" t="s">
        <v>2075</v>
      </c>
      <c r="D3349" t="s">
        <v>2086</v>
      </c>
    </row>
    <row r="3350" spans="1:4" x14ac:dyDescent="0.3">
      <c r="A3350" t="s">
        <v>1623</v>
      </c>
      <c r="B3350">
        <v>-0.14452682241957315</v>
      </c>
      <c r="C3350" t="s">
        <v>2075</v>
      </c>
      <c r="D3350" t="s">
        <v>2086</v>
      </c>
    </row>
    <row r="3351" spans="1:4" x14ac:dyDescent="0.3">
      <c r="A3351" t="s">
        <v>1633</v>
      </c>
      <c r="B3351">
        <v>58.283857478794367</v>
      </c>
      <c r="C3351" t="s">
        <v>2075</v>
      </c>
      <c r="D3351" t="s">
        <v>2086</v>
      </c>
    </row>
    <row r="3352" spans="1:4" x14ac:dyDescent="0.3">
      <c r="A3352" t="s">
        <v>1628</v>
      </c>
      <c r="B3352">
        <v>52.402209158031233</v>
      </c>
      <c r="C3352" t="s">
        <v>2075</v>
      </c>
      <c r="D3352" t="s">
        <v>2087</v>
      </c>
    </row>
    <row r="3353" spans="1:4" x14ac:dyDescent="0.3">
      <c r="A3353" t="s">
        <v>17</v>
      </c>
      <c r="B3353">
        <v>34.859630146607046</v>
      </c>
      <c r="C3353" t="s">
        <v>2075</v>
      </c>
      <c r="D3353" t="s">
        <v>2087</v>
      </c>
    </row>
    <row r="3354" spans="1:4" x14ac:dyDescent="0.3">
      <c r="A3354" t="s">
        <v>209</v>
      </c>
      <c r="B3354">
        <v>17.501980947637506</v>
      </c>
      <c r="C3354" t="s">
        <v>2075</v>
      </c>
      <c r="D3354" t="s">
        <v>2087</v>
      </c>
    </row>
    <row r="3355" spans="1:4" x14ac:dyDescent="0.3">
      <c r="A3355" t="s">
        <v>446</v>
      </c>
      <c r="B3355">
        <v>4.0598063786682376E-2</v>
      </c>
      <c r="C3355" t="s">
        <v>2075</v>
      </c>
      <c r="D3355" t="s">
        <v>2087</v>
      </c>
    </row>
    <row r="3356" spans="1:4" x14ac:dyDescent="0.3">
      <c r="A3356" t="s">
        <v>1632</v>
      </c>
      <c r="B3356">
        <v>5.8816483207631309</v>
      </c>
      <c r="C3356" t="s">
        <v>2075</v>
      </c>
      <c r="D3356" t="s">
        <v>2087</v>
      </c>
    </row>
    <row r="3357" spans="1:4" x14ac:dyDescent="0.3">
      <c r="A3357" t="s">
        <v>1626</v>
      </c>
      <c r="B3357">
        <v>10.599719034018653</v>
      </c>
      <c r="C3357" t="s">
        <v>2075</v>
      </c>
      <c r="D3357" t="s">
        <v>2087</v>
      </c>
    </row>
    <row r="3358" spans="1:4" x14ac:dyDescent="0.3">
      <c r="A3358" t="s">
        <v>1627</v>
      </c>
      <c r="B3358">
        <v>-3.0110498256413547</v>
      </c>
      <c r="C3358" t="s">
        <v>2075</v>
      </c>
      <c r="D3358" t="s">
        <v>2087</v>
      </c>
    </row>
    <row r="3359" spans="1:4" x14ac:dyDescent="0.3">
      <c r="A3359" t="s">
        <v>1625</v>
      </c>
      <c r="B3359">
        <v>-1.5624940651945953</v>
      </c>
      <c r="C3359" t="s">
        <v>2075</v>
      </c>
      <c r="D3359" t="s">
        <v>2087</v>
      </c>
    </row>
    <row r="3360" spans="1:4" x14ac:dyDescent="0.3">
      <c r="A3360" t="s">
        <v>1623</v>
      </c>
      <c r="B3360">
        <v>-0.14452682241957315</v>
      </c>
      <c r="C3360" t="s">
        <v>2075</v>
      </c>
      <c r="D3360" t="s">
        <v>2087</v>
      </c>
    </row>
    <row r="3361" spans="1:4" x14ac:dyDescent="0.3">
      <c r="A3361" t="s">
        <v>1633</v>
      </c>
      <c r="B3361">
        <v>58.283857478794367</v>
      </c>
      <c r="C3361" t="s">
        <v>2075</v>
      </c>
      <c r="D3361" t="s">
        <v>2087</v>
      </c>
    </row>
    <row r="3362" spans="1:4" x14ac:dyDescent="0.3">
      <c r="A3362" t="s">
        <v>1628</v>
      </c>
      <c r="B3362">
        <v>50.345661963069169</v>
      </c>
      <c r="C3362" t="s">
        <v>2075</v>
      </c>
      <c r="D3362" t="s">
        <v>2088</v>
      </c>
    </row>
    <row r="3363" spans="1:4" x14ac:dyDescent="0.3">
      <c r="A3363" t="s">
        <v>17</v>
      </c>
      <c r="B3363">
        <v>32.803082951644981</v>
      </c>
      <c r="C3363" t="s">
        <v>2075</v>
      </c>
      <c r="D3363" t="s">
        <v>2088</v>
      </c>
    </row>
    <row r="3364" spans="1:4" x14ac:dyDescent="0.3">
      <c r="A3364" t="s">
        <v>209</v>
      </c>
      <c r="B3364">
        <v>17.501980947637506</v>
      </c>
      <c r="C3364" t="s">
        <v>2075</v>
      </c>
      <c r="D3364" t="s">
        <v>2088</v>
      </c>
    </row>
    <row r="3365" spans="1:4" x14ac:dyDescent="0.3">
      <c r="A3365" t="s">
        <v>446</v>
      </c>
      <c r="B3365">
        <v>4.0598063786682376E-2</v>
      </c>
      <c r="C3365" t="s">
        <v>2075</v>
      </c>
      <c r="D3365" t="s">
        <v>2088</v>
      </c>
    </row>
    <row r="3366" spans="1:4" x14ac:dyDescent="0.3">
      <c r="A3366" t="s">
        <v>1632</v>
      </c>
      <c r="B3366">
        <v>5.8816483207631309</v>
      </c>
      <c r="C3366" t="s">
        <v>2075</v>
      </c>
      <c r="D3366" t="s">
        <v>2088</v>
      </c>
    </row>
    <row r="3367" spans="1:4" x14ac:dyDescent="0.3">
      <c r="A3367" t="s">
        <v>1626</v>
      </c>
      <c r="B3367">
        <v>10.599719034018653</v>
      </c>
      <c r="C3367" t="s">
        <v>2075</v>
      </c>
      <c r="D3367" t="s">
        <v>2088</v>
      </c>
    </row>
    <row r="3368" spans="1:4" x14ac:dyDescent="0.3">
      <c r="A3368" t="s">
        <v>1627</v>
      </c>
      <c r="B3368">
        <v>-3.0110498256413547</v>
      </c>
      <c r="C3368" t="s">
        <v>2075</v>
      </c>
      <c r="D3368" t="s">
        <v>2088</v>
      </c>
    </row>
    <row r="3369" spans="1:4" x14ac:dyDescent="0.3">
      <c r="A3369" t="s">
        <v>1625</v>
      </c>
      <c r="B3369">
        <v>-1.5624940651945953</v>
      </c>
      <c r="C3369" t="s">
        <v>2075</v>
      </c>
      <c r="D3369" t="s">
        <v>2088</v>
      </c>
    </row>
    <row r="3370" spans="1:4" x14ac:dyDescent="0.3">
      <c r="A3370" t="s">
        <v>1623</v>
      </c>
      <c r="B3370">
        <v>-0.14452682241957315</v>
      </c>
      <c r="C3370" t="s">
        <v>2075</v>
      </c>
      <c r="D3370" t="s">
        <v>2088</v>
      </c>
    </row>
    <row r="3371" spans="1:4" x14ac:dyDescent="0.3">
      <c r="A3371" t="s">
        <v>1633</v>
      </c>
      <c r="B3371">
        <v>56.227310283832303</v>
      </c>
      <c r="C3371" t="s">
        <v>2075</v>
      </c>
      <c r="D3371" t="s">
        <v>2088</v>
      </c>
    </row>
    <row r="3372" spans="1:4" x14ac:dyDescent="0.3">
      <c r="A3372" t="s">
        <v>1628</v>
      </c>
      <c r="B3372">
        <v>52.402209158031233</v>
      </c>
      <c r="C3372" t="s">
        <v>2075</v>
      </c>
      <c r="D3372" t="s">
        <v>2089</v>
      </c>
    </row>
    <row r="3373" spans="1:4" x14ac:dyDescent="0.3">
      <c r="A3373" t="s">
        <v>17</v>
      </c>
      <c r="B3373">
        <v>34.859630146607046</v>
      </c>
      <c r="C3373" t="s">
        <v>2075</v>
      </c>
      <c r="D3373" t="s">
        <v>2089</v>
      </c>
    </row>
    <row r="3374" spans="1:4" x14ac:dyDescent="0.3">
      <c r="A3374" t="s">
        <v>209</v>
      </c>
      <c r="B3374">
        <v>17.501980947637506</v>
      </c>
      <c r="C3374" t="s">
        <v>2075</v>
      </c>
      <c r="D3374" t="s">
        <v>2089</v>
      </c>
    </row>
    <row r="3375" spans="1:4" x14ac:dyDescent="0.3">
      <c r="A3375" t="s">
        <v>446</v>
      </c>
      <c r="B3375">
        <v>4.0598063786682376E-2</v>
      </c>
      <c r="C3375" t="s">
        <v>2075</v>
      </c>
      <c r="D3375" t="s">
        <v>2089</v>
      </c>
    </row>
    <row r="3376" spans="1:4" x14ac:dyDescent="0.3">
      <c r="A3376" t="s">
        <v>1632</v>
      </c>
      <c r="B3376">
        <v>5.8816483207631309</v>
      </c>
      <c r="C3376" t="s">
        <v>2075</v>
      </c>
      <c r="D3376" t="s">
        <v>2089</v>
      </c>
    </row>
    <row r="3377" spans="1:4" x14ac:dyDescent="0.3">
      <c r="A3377" t="s">
        <v>1626</v>
      </c>
      <c r="B3377">
        <v>10.599719034018653</v>
      </c>
      <c r="C3377" t="s">
        <v>2075</v>
      </c>
      <c r="D3377" t="s">
        <v>2089</v>
      </c>
    </row>
    <row r="3378" spans="1:4" x14ac:dyDescent="0.3">
      <c r="A3378" t="s">
        <v>1627</v>
      </c>
      <c r="B3378">
        <v>-3.0110498256413547</v>
      </c>
      <c r="C3378" t="s">
        <v>2075</v>
      </c>
      <c r="D3378" t="s">
        <v>2089</v>
      </c>
    </row>
    <row r="3379" spans="1:4" x14ac:dyDescent="0.3">
      <c r="A3379" t="s">
        <v>1625</v>
      </c>
      <c r="B3379">
        <v>-1.5624940651945953</v>
      </c>
      <c r="C3379" t="s">
        <v>2075</v>
      </c>
      <c r="D3379" t="s">
        <v>2089</v>
      </c>
    </row>
    <row r="3380" spans="1:4" x14ac:dyDescent="0.3">
      <c r="A3380" t="s">
        <v>1623</v>
      </c>
      <c r="B3380">
        <v>-0.14452682241957315</v>
      </c>
      <c r="C3380" t="s">
        <v>2075</v>
      </c>
      <c r="D3380" t="s">
        <v>2089</v>
      </c>
    </row>
    <row r="3381" spans="1:4" x14ac:dyDescent="0.3">
      <c r="A3381" t="s">
        <v>1633</v>
      </c>
      <c r="B3381">
        <v>58.283857478794367</v>
      </c>
      <c r="C3381" t="s">
        <v>2075</v>
      </c>
      <c r="D3381" t="s">
        <v>2089</v>
      </c>
    </row>
    <row r="3382" spans="1:4" x14ac:dyDescent="0.3">
      <c r="A3382" t="s">
        <v>1628</v>
      </c>
      <c r="B3382">
        <v>48.031873094294703</v>
      </c>
      <c r="C3382" t="s">
        <v>2075</v>
      </c>
      <c r="D3382" t="s">
        <v>2090</v>
      </c>
    </row>
    <row r="3383" spans="1:4" x14ac:dyDescent="0.3">
      <c r="A3383" t="s">
        <v>17</v>
      </c>
      <c r="B3383">
        <v>30.489294082870515</v>
      </c>
      <c r="C3383" t="s">
        <v>2075</v>
      </c>
      <c r="D3383" t="s">
        <v>2090</v>
      </c>
    </row>
    <row r="3384" spans="1:4" x14ac:dyDescent="0.3">
      <c r="A3384" t="s">
        <v>209</v>
      </c>
      <c r="B3384">
        <v>17.501980947637506</v>
      </c>
      <c r="C3384" t="s">
        <v>2075</v>
      </c>
      <c r="D3384" t="s">
        <v>2090</v>
      </c>
    </row>
    <row r="3385" spans="1:4" x14ac:dyDescent="0.3">
      <c r="A3385" t="s">
        <v>446</v>
      </c>
      <c r="B3385">
        <v>4.0598063786682376E-2</v>
      </c>
      <c r="C3385" t="s">
        <v>2075</v>
      </c>
      <c r="D3385" t="s">
        <v>2090</v>
      </c>
    </row>
    <row r="3386" spans="1:4" x14ac:dyDescent="0.3">
      <c r="A3386" t="s">
        <v>1632</v>
      </c>
      <c r="B3386">
        <v>5.8816483207631309</v>
      </c>
      <c r="C3386" t="s">
        <v>2075</v>
      </c>
      <c r="D3386" t="s">
        <v>2090</v>
      </c>
    </row>
    <row r="3387" spans="1:4" x14ac:dyDescent="0.3">
      <c r="A3387" t="s">
        <v>1626</v>
      </c>
      <c r="B3387">
        <v>10.599719034018653</v>
      </c>
      <c r="C3387" t="s">
        <v>2075</v>
      </c>
      <c r="D3387" t="s">
        <v>2090</v>
      </c>
    </row>
    <row r="3388" spans="1:4" x14ac:dyDescent="0.3">
      <c r="A3388" t="s">
        <v>1627</v>
      </c>
      <c r="B3388">
        <v>-3.0110498256413547</v>
      </c>
      <c r="C3388" t="s">
        <v>2075</v>
      </c>
      <c r="D3388" t="s">
        <v>2090</v>
      </c>
    </row>
    <row r="3389" spans="1:4" x14ac:dyDescent="0.3">
      <c r="A3389" t="s">
        <v>1625</v>
      </c>
      <c r="B3389">
        <v>-1.5624940651945953</v>
      </c>
      <c r="C3389" t="s">
        <v>2075</v>
      </c>
      <c r="D3389" t="s">
        <v>2090</v>
      </c>
    </row>
    <row r="3390" spans="1:4" x14ac:dyDescent="0.3">
      <c r="A3390" t="s">
        <v>1623</v>
      </c>
      <c r="B3390">
        <v>-0.14452682241957315</v>
      </c>
      <c r="C3390" t="s">
        <v>2075</v>
      </c>
      <c r="D3390" t="s">
        <v>2090</v>
      </c>
    </row>
    <row r="3391" spans="1:4" x14ac:dyDescent="0.3">
      <c r="A3391" t="s">
        <v>1633</v>
      </c>
      <c r="B3391">
        <v>53.913521415057836</v>
      </c>
      <c r="C3391" t="s">
        <v>2075</v>
      </c>
      <c r="D3391" t="s">
        <v>2090</v>
      </c>
    </row>
    <row r="3392" spans="1:4" x14ac:dyDescent="0.3">
      <c r="A3392" t="s">
        <v>1628</v>
      </c>
      <c r="B3392">
        <v>51.923942368505166</v>
      </c>
      <c r="C3392" t="s">
        <v>2075</v>
      </c>
      <c r="D3392" t="s">
        <v>2091</v>
      </c>
    </row>
    <row r="3393" spans="1:4" x14ac:dyDescent="0.3">
      <c r="A3393" t="s">
        <v>17</v>
      </c>
      <c r="B3393">
        <v>34.381363357080978</v>
      </c>
      <c r="C3393" t="s">
        <v>2075</v>
      </c>
      <c r="D3393" t="s">
        <v>2091</v>
      </c>
    </row>
    <row r="3394" spans="1:4" x14ac:dyDescent="0.3">
      <c r="A3394" t="s">
        <v>209</v>
      </c>
      <c r="B3394">
        <v>17.501980947637506</v>
      </c>
      <c r="C3394" t="s">
        <v>2075</v>
      </c>
      <c r="D3394" t="s">
        <v>2091</v>
      </c>
    </row>
    <row r="3395" spans="1:4" x14ac:dyDescent="0.3">
      <c r="A3395" t="s">
        <v>446</v>
      </c>
      <c r="B3395">
        <v>4.0598063786682376E-2</v>
      </c>
      <c r="C3395" t="s">
        <v>2075</v>
      </c>
      <c r="D3395" t="s">
        <v>2091</v>
      </c>
    </row>
    <row r="3396" spans="1:4" x14ac:dyDescent="0.3">
      <c r="A3396" t="s">
        <v>1632</v>
      </c>
      <c r="B3396">
        <v>5.8816483207631309</v>
      </c>
      <c r="C3396" t="s">
        <v>2075</v>
      </c>
      <c r="D3396" t="s">
        <v>2091</v>
      </c>
    </row>
    <row r="3397" spans="1:4" x14ac:dyDescent="0.3">
      <c r="A3397" t="s">
        <v>1626</v>
      </c>
      <c r="B3397">
        <v>10.599719034018653</v>
      </c>
      <c r="C3397" t="s">
        <v>2075</v>
      </c>
      <c r="D3397" t="s">
        <v>2091</v>
      </c>
    </row>
    <row r="3398" spans="1:4" x14ac:dyDescent="0.3">
      <c r="A3398" t="s">
        <v>1627</v>
      </c>
      <c r="B3398">
        <v>-3.0110498256413547</v>
      </c>
      <c r="C3398" t="s">
        <v>2075</v>
      </c>
      <c r="D3398" t="s">
        <v>2091</v>
      </c>
    </row>
    <row r="3399" spans="1:4" x14ac:dyDescent="0.3">
      <c r="A3399" t="s">
        <v>1625</v>
      </c>
      <c r="B3399">
        <v>-1.5624940651945953</v>
      </c>
      <c r="C3399" t="s">
        <v>2075</v>
      </c>
      <c r="D3399" t="s">
        <v>2091</v>
      </c>
    </row>
    <row r="3400" spans="1:4" x14ac:dyDescent="0.3">
      <c r="A3400" t="s">
        <v>1623</v>
      </c>
      <c r="B3400">
        <v>-0.14452682241957315</v>
      </c>
      <c r="C3400" t="s">
        <v>2075</v>
      </c>
      <c r="D3400" t="s">
        <v>2091</v>
      </c>
    </row>
    <row r="3401" spans="1:4" x14ac:dyDescent="0.3">
      <c r="A3401" t="s">
        <v>1633</v>
      </c>
      <c r="B3401">
        <v>57.8055906892683</v>
      </c>
      <c r="C3401" t="s">
        <v>2075</v>
      </c>
      <c r="D3401" t="s">
        <v>2091</v>
      </c>
    </row>
    <row r="3402" spans="1:4" x14ac:dyDescent="0.3">
      <c r="A3402" t="s">
        <v>1628</v>
      </c>
      <c r="B3402">
        <v>52.402209158031233</v>
      </c>
      <c r="C3402" t="s">
        <v>2075</v>
      </c>
      <c r="D3402" t="s">
        <v>2092</v>
      </c>
    </row>
    <row r="3403" spans="1:4" x14ac:dyDescent="0.3">
      <c r="A3403" t="s">
        <v>17</v>
      </c>
      <c r="B3403">
        <v>34.859630146607046</v>
      </c>
      <c r="C3403" t="s">
        <v>2075</v>
      </c>
      <c r="D3403" t="s">
        <v>2092</v>
      </c>
    </row>
    <row r="3404" spans="1:4" x14ac:dyDescent="0.3">
      <c r="A3404" t="s">
        <v>209</v>
      </c>
      <c r="B3404">
        <v>17.501980947637506</v>
      </c>
      <c r="C3404" t="s">
        <v>2075</v>
      </c>
      <c r="D3404" t="s">
        <v>2092</v>
      </c>
    </row>
    <row r="3405" spans="1:4" x14ac:dyDescent="0.3">
      <c r="A3405" t="s">
        <v>446</v>
      </c>
      <c r="B3405">
        <v>4.0598063786682376E-2</v>
      </c>
      <c r="C3405" t="s">
        <v>2075</v>
      </c>
      <c r="D3405" t="s">
        <v>2092</v>
      </c>
    </row>
    <row r="3406" spans="1:4" x14ac:dyDescent="0.3">
      <c r="A3406" t="s">
        <v>1632</v>
      </c>
      <c r="B3406">
        <v>5.8816483207631309</v>
      </c>
      <c r="C3406" t="s">
        <v>2075</v>
      </c>
      <c r="D3406" t="s">
        <v>2092</v>
      </c>
    </row>
    <row r="3407" spans="1:4" x14ac:dyDescent="0.3">
      <c r="A3407" t="s">
        <v>1626</v>
      </c>
      <c r="B3407">
        <v>10.599719034018653</v>
      </c>
      <c r="C3407" t="s">
        <v>2075</v>
      </c>
      <c r="D3407" t="s">
        <v>2092</v>
      </c>
    </row>
    <row r="3408" spans="1:4" x14ac:dyDescent="0.3">
      <c r="A3408" t="s">
        <v>1627</v>
      </c>
      <c r="B3408">
        <v>-3.0110498256413547</v>
      </c>
      <c r="C3408" t="s">
        <v>2075</v>
      </c>
      <c r="D3408" t="s">
        <v>2092</v>
      </c>
    </row>
    <row r="3409" spans="1:4" x14ac:dyDescent="0.3">
      <c r="A3409" t="s">
        <v>1625</v>
      </c>
      <c r="B3409">
        <v>-1.5624940651945953</v>
      </c>
      <c r="C3409" t="s">
        <v>2075</v>
      </c>
      <c r="D3409" t="s">
        <v>2092</v>
      </c>
    </row>
    <row r="3410" spans="1:4" x14ac:dyDescent="0.3">
      <c r="A3410" t="s">
        <v>1623</v>
      </c>
      <c r="B3410">
        <v>-0.14452682241957315</v>
      </c>
      <c r="C3410" t="s">
        <v>2075</v>
      </c>
      <c r="D3410" t="s">
        <v>2092</v>
      </c>
    </row>
    <row r="3411" spans="1:4" x14ac:dyDescent="0.3">
      <c r="A3411" t="s">
        <v>1633</v>
      </c>
      <c r="B3411">
        <v>58.283857478794367</v>
      </c>
      <c r="C3411" t="s">
        <v>2075</v>
      </c>
      <c r="D3411" t="s">
        <v>2092</v>
      </c>
    </row>
    <row r="3412" spans="1:4" x14ac:dyDescent="0.3">
      <c r="A3412" t="s">
        <v>1628</v>
      </c>
      <c r="B3412">
        <v>51.923942368505166</v>
      </c>
      <c r="C3412" t="s">
        <v>2075</v>
      </c>
      <c r="D3412" t="s">
        <v>2093</v>
      </c>
    </row>
    <row r="3413" spans="1:4" x14ac:dyDescent="0.3">
      <c r="A3413" t="s">
        <v>17</v>
      </c>
      <c r="B3413">
        <v>34.381363357080978</v>
      </c>
      <c r="C3413" t="s">
        <v>2075</v>
      </c>
      <c r="D3413" t="s">
        <v>2093</v>
      </c>
    </row>
    <row r="3414" spans="1:4" x14ac:dyDescent="0.3">
      <c r="A3414" t="s">
        <v>209</v>
      </c>
      <c r="B3414">
        <v>17.501980947637506</v>
      </c>
      <c r="C3414" t="s">
        <v>2075</v>
      </c>
      <c r="D3414" t="s">
        <v>2093</v>
      </c>
    </row>
    <row r="3415" spans="1:4" x14ac:dyDescent="0.3">
      <c r="A3415" t="s">
        <v>446</v>
      </c>
      <c r="B3415">
        <v>4.0598063786682376E-2</v>
      </c>
      <c r="C3415" t="s">
        <v>2075</v>
      </c>
      <c r="D3415" t="s">
        <v>2093</v>
      </c>
    </row>
    <row r="3416" spans="1:4" x14ac:dyDescent="0.3">
      <c r="A3416" t="s">
        <v>1632</v>
      </c>
      <c r="B3416">
        <v>5.8816483207631309</v>
      </c>
      <c r="C3416" t="s">
        <v>2075</v>
      </c>
      <c r="D3416" t="s">
        <v>2093</v>
      </c>
    </row>
    <row r="3417" spans="1:4" x14ac:dyDescent="0.3">
      <c r="A3417" t="s">
        <v>1626</v>
      </c>
      <c r="B3417">
        <v>10.599719034018653</v>
      </c>
      <c r="C3417" t="s">
        <v>2075</v>
      </c>
      <c r="D3417" t="s">
        <v>2093</v>
      </c>
    </row>
    <row r="3418" spans="1:4" x14ac:dyDescent="0.3">
      <c r="A3418" t="s">
        <v>1627</v>
      </c>
      <c r="B3418">
        <v>-3.0110498256413547</v>
      </c>
      <c r="C3418" t="s">
        <v>2075</v>
      </c>
      <c r="D3418" t="s">
        <v>2093</v>
      </c>
    </row>
    <row r="3419" spans="1:4" x14ac:dyDescent="0.3">
      <c r="A3419" t="s">
        <v>1625</v>
      </c>
      <c r="B3419">
        <v>-1.5624940651945953</v>
      </c>
      <c r="C3419" t="s">
        <v>2075</v>
      </c>
      <c r="D3419" t="s">
        <v>2093</v>
      </c>
    </row>
    <row r="3420" spans="1:4" x14ac:dyDescent="0.3">
      <c r="A3420" t="s">
        <v>1623</v>
      </c>
      <c r="B3420">
        <v>-0.14452682241957315</v>
      </c>
      <c r="C3420" t="s">
        <v>2075</v>
      </c>
      <c r="D3420" t="s">
        <v>2093</v>
      </c>
    </row>
    <row r="3421" spans="1:4" x14ac:dyDescent="0.3">
      <c r="A3421" t="s">
        <v>1633</v>
      </c>
      <c r="B3421">
        <v>57.8055906892683</v>
      </c>
      <c r="C3421" t="s">
        <v>2075</v>
      </c>
      <c r="D3421" t="s">
        <v>2093</v>
      </c>
    </row>
    <row r="3422" spans="1:4" x14ac:dyDescent="0.3">
      <c r="A3422" t="s">
        <v>1628</v>
      </c>
      <c r="B3422">
        <v>52.402209158031233</v>
      </c>
      <c r="C3422" t="s">
        <v>2075</v>
      </c>
      <c r="D3422" t="s">
        <v>2094</v>
      </c>
    </row>
    <row r="3423" spans="1:4" x14ac:dyDescent="0.3">
      <c r="A3423" t="s">
        <v>17</v>
      </c>
      <c r="B3423">
        <v>34.859630146607046</v>
      </c>
      <c r="C3423" t="s">
        <v>2075</v>
      </c>
      <c r="D3423" t="s">
        <v>2094</v>
      </c>
    </row>
    <row r="3424" spans="1:4" x14ac:dyDescent="0.3">
      <c r="A3424" t="s">
        <v>209</v>
      </c>
      <c r="B3424">
        <v>17.501980947637506</v>
      </c>
      <c r="C3424" t="s">
        <v>2075</v>
      </c>
      <c r="D3424" t="s">
        <v>2094</v>
      </c>
    </row>
    <row r="3425" spans="1:4" x14ac:dyDescent="0.3">
      <c r="A3425" t="s">
        <v>446</v>
      </c>
      <c r="B3425">
        <v>4.0598063786682376E-2</v>
      </c>
      <c r="C3425" t="s">
        <v>2075</v>
      </c>
      <c r="D3425" t="s">
        <v>2094</v>
      </c>
    </row>
    <row r="3426" spans="1:4" x14ac:dyDescent="0.3">
      <c r="A3426" t="s">
        <v>1632</v>
      </c>
      <c r="B3426">
        <v>5.8816483207631309</v>
      </c>
      <c r="C3426" t="s">
        <v>2075</v>
      </c>
      <c r="D3426" t="s">
        <v>2094</v>
      </c>
    </row>
    <row r="3427" spans="1:4" x14ac:dyDescent="0.3">
      <c r="A3427" t="s">
        <v>1626</v>
      </c>
      <c r="B3427">
        <v>10.599719034018653</v>
      </c>
      <c r="C3427" t="s">
        <v>2075</v>
      </c>
      <c r="D3427" t="s">
        <v>2094</v>
      </c>
    </row>
    <row r="3428" spans="1:4" x14ac:dyDescent="0.3">
      <c r="A3428" t="s">
        <v>1627</v>
      </c>
      <c r="B3428">
        <v>-3.0110498256413547</v>
      </c>
      <c r="C3428" t="s">
        <v>2075</v>
      </c>
      <c r="D3428" t="s">
        <v>2094</v>
      </c>
    </row>
    <row r="3429" spans="1:4" x14ac:dyDescent="0.3">
      <c r="A3429" t="s">
        <v>1625</v>
      </c>
      <c r="B3429">
        <v>-1.5624940651945953</v>
      </c>
      <c r="C3429" t="s">
        <v>2075</v>
      </c>
      <c r="D3429" t="s">
        <v>2094</v>
      </c>
    </row>
    <row r="3430" spans="1:4" x14ac:dyDescent="0.3">
      <c r="A3430" t="s">
        <v>1623</v>
      </c>
      <c r="B3430">
        <v>-0.14452682241957315</v>
      </c>
      <c r="C3430" t="s">
        <v>2075</v>
      </c>
      <c r="D3430" t="s">
        <v>2094</v>
      </c>
    </row>
    <row r="3431" spans="1:4" x14ac:dyDescent="0.3">
      <c r="A3431" t="s">
        <v>1633</v>
      </c>
      <c r="B3431">
        <v>58.283857478794367</v>
      </c>
      <c r="C3431" t="s">
        <v>2075</v>
      </c>
      <c r="D3431" t="s">
        <v>2094</v>
      </c>
    </row>
    <row r="3432" spans="1:4" x14ac:dyDescent="0.3">
      <c r="A3432" t="s">
        <v>1628</v>
      </c>
      <c r="B3432">
        <v>51.923942368505166</v>
      </c>
      <c r="C3432" t="s">
        <v>2075</v>
      </c>
      <c r="D3432" t="s">
        <v>2095</v>
      </c>
    </row>
    <row r="3433" spans="1:4" x14ac:dyDescent="0.3">
      <c r="A3433" t="s">
        <v>17</v>
      </c>
      <c r="B3433">
        <v>34.381363357080978</v>
      </c>
      <c r="C3433" t="s">
        <v>2075</v>
      </c>
      <c r="D3433" t="s">
        <v>2095</v>
      </c>
    </row>
    <row r="3434" spans="1:4" x14ac:dyDescent="0.3">
      <c r="A3434" t="s">
        <v>209</v>
      </c>
      <c r="B3434">
        <v>17.501980947637506</v>
      </c>
      <c r="C3434" t="s">
        <v>2075</v>
      </c>
      <c r="D3434" t="s">
        <v>2095</v>
      </c>
    </row>
    <row r="3435" spans="1:4" x14ac:dyDescent="0.3">
      <c r="A3435" t="s">
        <v>446</v>
      </c>
      <c r="B3435">
        <v>4.0598063786682376E-2</v>
      </c>
      <c r="C3435" t="s">
        <v>2075</v>
      </c>
      <c r="D3435" t="s">
        <v>2095</v>
      </c>
    </row>
    <row r="3436" spans="1:4" x14ac:dyDescent="0.3">
      <c r="A3436" t="s">
        <v>1632</v>
      </c>
      <c r="B3436">
        <v>5.8816483207631309</v>
      </c>
      <c r="C3436" t="s">
        <v>2075</v>
      </c>
      <c r="D3436" t="s">
        <v>2095</v>
      </c>
    </row>
    <row r="3437" spans="1:4" x14ac:dyDescent="0.3">
      <c r="A3437" t="s">
        <v>1626</v>
      </c>
      <c r="B3437">
        <v>10.599719034018653</v>
      </c>
      <c r="C3437" t="s">
        <v>2075</v>
      </c>
      <c r="D3437" t="s">
        <v>2095</v>
      </c>
    </row>
    <row r="3438" spans="1:4" x14ac:dyDescent="0.3">
      <c r="A3438" t="s">
        <v>1627</v>
      </c>
      <c r="B3438">
        <v>-3.0110498256413547</v>
      </c>
      <c r="C3438" t="s">
        <v>2075</v>
      </c>
      <c r="D3438" t="s">
        <v>2095</v>
      </c>
    </row>
    <row r="3439" spans="1:4" x14ac:dyDescent="0.3">
      <c r="A3439" t="s">
        <v>1625</v>
      </c>
      <c r="B3439">
        <v>-1.5624940651945953</v>
      </c>
      <c r="C3439" t="s">
        <v>2075</v>
      </c>
      <c r="D3439" t="s">
        <v>2095</v>
      </c>
    </row>
    <row r="3440" spans="1:4" x14ac:dyDescent="0.3">
      <c r="A3440" t="s">
        <v>1623</v>
      </c>
      <c r="B3440">
        <v>-0.14452682241957315</v>
      </c>
      <c r="C3440" t="s">
        <v>2075</v>
      </c>
      <c r="D3440" t="s">
        <v>2095</v>
      </c>
    </row>
    <row r="3441" spans="1:4" x14ac:dyDescent="0.3">
      <c r="A3441" t="s">
        <v>1633</v>
      </c>
      <c r="B3441">
        <v>57.8055906892683</v>
      </c>
      <c r="C3441" t="s">
        <v>2075</v>
      </c>
      <c r="D3441" t="s">
        <v>2095</v>
      </c>
    </row>
    <row r="3442" spans="1:4" x14ac:dyDescent="0.3">
      <c r="A3442" t="s">
        <v>1628</v>
      </c>
      <c r="B3442">
        <v>52.402209158031233</v>
      </c>
      <c r="C3442" t="s">
        <v>2075</v>
      </c>
      <c r="D3442" t="s">
        <v>2096</v>
      </c>
    </row>
    <row r="3443" spans="1:4" x14ac:dyDescent="0.3">
      <c r="A3443" t="s">
        <v>17</v>
      </c>
      <c r="B3443">
        <v>34.859630146607046</v>
      </c>
      <c r="C3443" t="s">
        <v>2075</v>
      </c>
      <c r="D3443" t="s">
        <v>2096</v>
      </c>
    </row>
    <row r="3444" spans="1:4" x14ac:dyDescent="0.3">
      <c r="A3444" t="s">
        <v>209</v>
      </c>
      <c r="B3444">
        <v>17.501980947637506</v>
      </c>
      <c r="C3444" t="s">
        <v>2075</v>
      </c>
      <c r="D3444" t="s">
        <v>2096</v>
      </c>
    </row>
    <row r="3445" spans="1:4" x14ac:dyDescent="0.3">
      <c r="A3445" t="s">
        <v>446</v>
      </c>
      <c r="B3445">
        <v>4.0598063786682376E-2</v>
      </c>
      <c r="C3445" t="s">
        <v>2075</v>
      </c>
      <c r="D3445" t="s">
        <v>2096</v>
      </c>
    </row>
    <row r="3446" spans="1:4" x14ac:dyDescent="0.3">
      <c r="A3446" t="s">
        <v>1632</v>
      </c>
      <c r="B3446">
        <v>5.8816483207631309</v>
      </c>
      <c r="C3446" t="s">
        <v>2075</v>
      </c>
      <c r="D3446" t="s">
        <v>2096</v>
      </c>
    </row>
    <row r="3447" spans="1:4" x14ac:dyDescent="0.3">
      <c r="A3447" t="s">
        <v>1626</v>
      </c>
      <c r="B3447">
        <v>10.599719034018653</v>
      </c>
      <c r="C3447" t="s">
        <v>2075</v>
      </c>
      <c r="D3447" t="s">
        <v>2096</v>
      </c>
    </row>
    <row r="3448" spans="1:4" x14ac:dyDescent="0.3">
      <c r="A3448" t="s">
        <v>1627</v>
      </c>
      <c r="B3448">
        <v>-3.0110498256413547</v>
      </c>
      <c r="C3448" t="s">
        <v>2075</v>
      </c>
      <c r="D3448" t="s">
        <v>2096</v>
      </c>
    </row>
    <row r="3449" spans="1:4" x14ac:dyDescent="0.3">
      <c r="A3449" t="s">
        <v>1625</v>
      </c>
      <c r="B3449">
        <v>-1.5624940651945953</v>
      </c>
      <c r="C3449" t="s">
        <v>2075</v>
      </c>
      <c r="D3449" t="s">
        <v>2096</v>
      </c>
    </row>
    <row r="3450" spans="1:4" x14ac:dyDescent="0.3">
      <c r="A3450" t="s">
        <v>1623</v>
      </c>
      <c r="B3450">
        <v>-0.14452682241957315</v>
      </c>
      <c r="C3450" t="s">
        <v>2075</v>
      </c>
      <c r="D3450" t="s">
        <v>2096</v>
      </c>
    </row>
    <row r="3451" spans="1:4" x14ac:dyDescent="0.3">
      <c r="A3451" t="s">
        <v>1633</v>
      </c>
      <c r="B3451">
        <v>58.283857478794367</v>
      </c>
      <c r="C3451" t="s">
        <v>2075</v>
      </c>
      <c r="D3451" t="s">
        <v>2096</v>
      </c>
    </row>
    <row r="3452" spans="1:4" x14ac:dyDescent="0.3">
      <c r="A3452" t="s">
        <v>1628</v>
      </c>
      <c r="B3452">
        <v>52.402209158031233</v>
      </c>
      <c r="C3452" t="s">
        <v>2075</v>
      </c>
      <c r="D3452" t="s">
        <v>2097</v>
      </c>
    </row>
    <row r="3453" spans="1:4" x14ac:dyDescent="0.3">
      <c r="A3453" t="s">
        <v>17</v>
      </c>
      <c r="B3453">
        <v>34.859630146607046</v>
      </c>
      <c r="C3453" t="s">
        <v>2075</v>
      </c>
      <c r="D3453" t="s">
        <v>2097</v>
      </c>
    </row>
    <row r="3454" spans="1:4" x14ac:dyDescent="0.3">
      <c r="A3454" t="s">
        <v>209</v>
      </c>
      <c r="B3454">
        <v>17.501980947637506</v>
      </c>
      <c r="C3454" t="s">
        <v>2075</v>
      </c>
      <c r="D3454" t="s">
        <v>2097</v>
      </c>
    </row>
    <row r="3455" spans="1:4" x14ac:dyDescent="0.3">
      <c r="A3455" t="s">
        <v>446</v>
      </c>
      <c r="B3455">
        <v>4.0598063786682376E-2</v>
      </c>
      <c r="C3455" t="s">
        <v>2075</v>
      </c>
      <c r="D3455" t="s">
        <v>2097</v>
      </c>
    </row>
    <row r="3456" spans="1:4" x14ac:dyDescent="0.3">
      <c r="A3456" t="s">
        <v>1632</v>
      </c>
      <c r="B3456">
        <v>5.8816483207631309</v>
      </c>
      <c r="C3456" t="s">
        <v>2075</v>
      </c>
      <c r="D3456" t="s">
        <v>2097</v>
      </c>
    </row>
    <row r="3457" spans="1:4" x14ac:dyDescent="0.3">
      <c r="A3457" t="s">
        <v>1626</v>
      </c>
      <c r="B3457">
        <v>10.599719034018653</v>
      </c>
      <c r="C3457" t="s">
        <v>2075</v>
      </c>
      <c r="D3457" t="s">
        <v>2097</v>
      </c>
    </row>
    <row r="3458" spans="1:4" x14ac:dyDescent="0.3">
      <c r="A3458" t="s">
        <v>1627</v>
      </c>
      <c r="B3458">
        <v>-3.0110498256413547</v>
      </c>
      <c r="C3458" t="s">
        <v>2075</v>
      </c>
      <c r="D3458" t="s">
        <v>2097</v>
      </c>
    </row>
    <row r="3459" spans="1:4" x14ac:dyDescent="0.3">
      <c r="A3459" t="s">
        <v>1625</v>
      </c>
      <c r="B3459">
        <v>-1.5624940651945953</v>
      </c>
      <c r="C3459" t="s">
        <v>2075</v>
      </c>
      <c r="D3459" t="s">
        <v>2097</v>
      </c>
    </row>
    <row r="3460" spans="1:4" x14ac:dyDescent="0.3">
      <c r="A3460" t="s">
        <v>1623</v>
      </c>
      <c r="B3460">
        <v>-0.14452682241957315</v>
      </c>
      <c r="C3460" t="s">
        <v>2075</v>
      </c>
      <c r="D3460" t="s">
        <v>2097</v>
      </c>
    </row>
    <row r="3461" spans="1:4" x14ac:dyDescent="0.3">
      <c r="A3461" t="s">
        <v>1633</v>
      </c>
      <c r="B3461">
        <v>58.283857478794367</v>
      </c>
      <c r="C3461" t="s">
        <v>2075</v>
      </c>
      <c r="D3461" t="s">
        <v>2097</v>
      </c>
    </row>
    <row r="3462" spans="1:4" x14ac:dyDescent="0.3">
      <c r="A3462" t="s">
        <v>1628</v>
      </c>
      <c r="B3462">
        <v>51.923942368505166</v>
      </c>
      <c r="C3462" t="s">
        <v>2075</v>
      </c>
      <c r="D3462" t="s">
        <v>2098</v>
      </c>
    </row>
    <row r="3463" spans="1:4" x14ac:dyDescent="0.3">
      <c r="A3463" t="s">
        <v>17</v>
      </c>
      <c r="B3463">
        <v>34.381363357080978</v>
      </c>
      <c r="C3463" t="s">
        <v>2075</v>
      </c>
      <c r="D3463" t="s">
        <v>2098</v>
      </c>
    </row>
    <row r="3464" spans="1:4" x14ac:dyDescent="0.3">
      <c r="A3464" t="s">
        <v>209</v>
      </c>
      <c r="B3464">
        <v>17.501980947637506</v>
      </c>
      <c r="C3464" t="s">
        <v>2075</v>
      </c>
      <c r="D3464" t="s">
        <v>2098</v>
      </c>
    </row>
    <row r="3465" spans="1:4" x14ac:dyDescent="0.3">
      <c r="A3465" t="s">
        <v>446</v>
      </c>
      <c r="B3465">
        <v>4.0598063786682376E-2</v>
      </c>
      <c r="C3465" t="s">
        <v>2075</v>
      </c>
      <c r="D3465" t="s">
        <v>2098</v>
      </c>
    </row>
    <row r="3466" spans="1:4" x14ac:dyDescent="0.3">
      <c r="A3466" t="s">
        <v>1632</v>
      </c>
      <c r="B3466">
        <v>5.8816483207631309</v>
      </c>
      <c r="C3466" t="s">
        <v>2075</v>
      </c>
      <c r="D3466" t="s">
        <v>2098</v>
      </c>
    </row>
    <row r="3467" spans="1:4" x14ac:dyDescent="0.3">
      <c r="A3467" t="s">
        <v>1626</v>
      </c>
      <c r="B3467">
        <v>10.599719034018653</v>
      </c>
      <c r="C3467" t="s">
        <v>2075</v>
      </c>
      <c r="D3467" t="s">
        <v>2098</v>
      </c>
    </row>
    <row r="3468" spans="1:4" x14ac:dyDescent="0.3">
      <c r="A3468" t="s">
        <v>1627</v>
      </c>
      <c r="B3468">
        <v>-3.0110498256413547</v>
      </c>
      <c r="C3468" t="s">
        <v>2075</v>
      </c>
      <c r="D3468" t="s">
        <v>2098</v>
      </c>
    </row>
    <row r="3469" spans="1:4" x14ac:dyDescent="0.3">
      <c r="A3469" t="s">
        <v>1625</v>
      </c>
      <c r="B3469">
        <v>-1.5624940651945953</v>
      </c>
      <c r="C3469" t="s">
        <v>2075</v>
      </c>
      <c r="D3469" t="s">
        <v>2098</v>
      </c>
    </row>
    <row r="3470" spans="1:4" x14ac:dyDescent="0.3">
      <c r="A3470" t="s">
        <v>1623</v>
      </c>
      <c r="B3470">
        <v>-0.14452682241957315</v>
      </c>
      <c r="C3470" t="s">
        <v>2075</v>
      </c>
      <c r="D3470" t="s">
        <v>2098</v>
      </c>
    </row>
    <row r="3471" spans="1:4" x14ac:dyDescent="0.3">
      <c r="A3471" t="s">
        <v>1633</v>
      </c>
      <c r="B3471">
        <v>57.8055906892683</v>
      </c>
      <c r="C3471" t="s">
        <v>2075</v>
      </c>
      <c r="D3471" t="s">
        <v>2098</v>
      </c>
    </row>
    <row r="3472" spans="1:4" x14ac:dyDescent="0.3">
      <c r="A3472" t="s">
        <v>1628</v>
      </c>
      <c r="B3472">
        <v>52.422170296502635</v>
      </c>
      <c r="C3472" t="s">
        <v>2075</v>
      </c>
      <c r="D3472" t="s">
        <v>2099</v>
      </c>
    </row>
    <row r="3473" spans="1:4" x14ac:dyDescent="0.3">
      <c r="A3473" t="s">
        <v>17</v>
      </c>
      <c r="B3473">
        <v>34.859630146607046</v>
      </c>
      <c r="C3473" t="s">
        <v>2075</v>
      </c>
      <c r="D3473" t="s">
        <v>2099</v>
      </c>
    </row>
    <row r="3474" spans="1:4" x14ac:dyDescent="0.3">
      <c r="A3474" t="s">
        <v>209</v>
      </c>
      <c r="B3474">
        <v>17.521942086108904</v>
      </c>
      <c r="C3474" t="s">
        <v>2075</v>
      </c>
      <c r="D3474" t="s">
        <v>2099</v>
      </c>
    </row>
    <row r="3475" spans="1:4" x14ac:dyDescent="0.3">
      <c r="A3475" t="s">
        <v>446</v>
      </c>
      <c r="B3475">
        <v>4.0598063786682376E-2</v>
      </c>
      <c r="C3475" t="s">
        <v>2075</v>
      </c>
      <c r="D3475" t="s">
        <v>2099</v>
      </c>
    </row>
    <row r="3476" spans="1:4" x14ac:dyDescent="0.3">
      <c r="A3476" t="s">
        <v>1632</v>
      </c>
      <c r="B3476">
        <v>5.8816483207631309</v>
      </c>
      <c r="C3476" t="s">
        <v>2075</v>
      </c>
      <c r="D3476" t="s">
        <v>2099</v>
      </c>
    </row>
    <row r="3477" spans="1:4" x14ac:dyDescent="0.3">
      <c r="A3477" t="s">
        <v>1626</v>
      </c>
      <c r="B3477">
        <v>10.599719034018653</v>
      </c>
      <c r="C3477" t="s">
        <v>2075</v>
      </c>
      <c r="D3477" t="s">
        <v>2099</v>
      </c>
    </row>
    <row r="3478" spans="1:4" x14ac:dyDescent="0.3">
      <c r="A3478" t="s">
        <v>1627</v>
      </c>
      <c r="B3478">
        <v>-3.0110498256413547</v>
      </c>
      <c r="C3478" t="s">
        <v>2075</v>
      </c>
      <c r="D3478" t="s">
        <v>2099</v>
      </c>
    </row>
    <row r="3479" spans="1:4" x14ac:dyDescent="0.3">
      <c r="A3479" t="s">
        <v>1625</v>
      </c>
      <c r="B3479">
        <v>-1.5624940651945953</v>
      </c>
      <c r="C3479" t="s">
        <v>2075</v>
      </c>
      <c r="D3479" t="s">
        <v>2099</v>
      </c>
    </row>
    <row r="3480" spans="1:4" x14ac:dyDescent="0.3">
      <c r="A3480" t="s">
        <v>1623</v>
      </c>
      <c r="B3480">
        <v>-0.14452682241957315</v>
      </c>
      <c r="C3480" t="s">
        <v>2075</v>
      </c>
      <c r="D3480" t="s">
        <v>2099</v>
      </c>
    </row>
    <row r="3481" spans="1:4" x14ac:dyDescent="0.3">
      <c r="A3481" t="s">
        <v>1633</v>
      </c>
      <c r="B3481">
        <v>58.303818617265769</v>
      </c>
      <c r="C3481" t="s">
        <v>2075</v>
      </c>
      <c r="D3481" t="s">
        <v>2099</v>
      </c>
    </row>
    <row r="3482" spans="1:4" x14ac:dyDescent="0.3">
      <c r="A3482" t="s">
        <v>1628</v>
      </c>
      <c r="B3482">
        <v>52.220687333708931</v>
      </c>
      <c r="C3482" t="s">
        <v>2075</v>
      </c>
      <c r="D3482" t="s">
        <v>2100</v>
      </c>
    </row>
    <row r="3483" spans="1:4" x14ac:dyDescent="0.3">
      <c r="A3483" t="s">
        <v>17</v>
      </c>
      <c r="B3483">
        <v>34.859630146607046</v>
      </c>
      <c r="C3483" t="s">
        <v>2075</v>
      </c>
      <c r="D3483" t="s">
        <v>2100</v>
      </c>
    </row>
    <row r="3484" spans="1:4" x14ac:dyDescent="0.3">
      <c r="A3484" t="s">
        <v>209</v>
      </c>
      <c r="B3484">
        <v>17.320459123315199</v>
      </c>
      <c r="C3484" t="s">
        <v>2075</v>
      </c>
      <c r="D3484" t="s">
        <v>2100</v>
      </c>
    </row>
    <row r="3485" spans="1:4" x14ac:dyDescent="0.3">
      <c r="A3485" t="s">
        <v>446</v>
      </c>
      <c r="B3485">
        <v>4.0598063786682376E-2</v>
      </c>
      <c r="C3485" t="s">
        <v>2075</v>
      </c>
      <c r="D3485" t="s">
        <v>2100</v>
      </c>
    </row>
    <row r="3486" spans="1:4" x14ac:dyDescent="0.3">
      <c r="A3486" t="s">
        <v>1632</v>
      </c>
      <c r="B3486">
        <v>5.8816483207631309</v>
      </c>
      <c r="C3486" t="s">
        <v>2075</v>
      </c>
      <c r="D3486" t="s">
        <v>2100</v>
      </c>
    </row>
    <row r="3487" spans="1:4" x14ac:dyDescent="0.3">
      <c r="A3487" t="s">
        <v>1626</v>
      </c>
      <c r="B3487">
        <v>10.599719034018653</v>
      </c>
      <c r="C3487" t="s">
        <v>2075</v>
      </c>
      <c r="D3487" t="s">
        <v>2100</v>
      </c>
    </row>
    <row r="3488" spans="1:4" x14ac:dyDescent="0.3">
      <c r="A3488" t="s">
        <v>1627</v>
      </c>
      <c r="B3488">
        <v>-3.0110498256413547</v>
      </c>
      <c r="C3488" t="s">
        <v>2075</v>
      </c>
      <c r="D3488" t="s">
        <v>2100</v>
      </c>
    </row>
    <row r="3489" spans="1:4" x14ac:dyDescent="0.3">
      <c r="A3489" t="s">
        <v>1625</v>
      </c>
      <c r="B3489">
        <v>-1.5624940651945953</v>
      </c>
      <c r="C3489" t="s">
        <v>2075</v>
      </c>
      <c r="D3489" t="s">
        <v>2100</v>
      </c>
    </row>
    <row r="3490" spans="1:4" x14ac:dyDescent="0.3">
      <c r="A3490" t="s">
        <v>1623</v>
      </c>
      <c r="B3490">
        <v>-0.14452682241957315</v>
      </c>
      <c r="C3490" t="s">
        <v>2075</v>
      </c>
      <c r="D3490" t="s">
        <v>2100</v>
      </c>
    </row>
    <row r="3491" spans="1:4" x14ac:dyDescent="0.3">
      <c r="A3491" t="s">
        <v>1633</v>
      </c>
      <c r="B3491">
        <v>58.102335654472064</v>
      </c>
      <c r="C3491" t="s">
        <v>2075</v>
      </c>
      <c r="D3491" t="s">
        <v>2100</v>
      </c>
    </row>
    <row r="3492" spans="1:4" x14ac:dyDescent="0.3">
      <c r="A3492" t="s">
        <v>1628</v>
      </c>
      <c r="B3492">
        <v>52.392515301075093</v>
      </c>
      <c r="C3492" t="s">
        <v>2075</v>
      </c>
      <c r="D3492" t="s">
        <v>2101</v>
      </c>
    </row>
    <row r="3493" spans="1:4" x14ac:dyDescent="0.3">
      <c r="A3493" t="s">
        <v>17</v>
      </c>
      <c r="B3493">
        <v>34.859630146607046</v>
      </c>
      <c r="C3493" t="s">
        <v>2075</v>
      </c>
      <c r="D3493" t="s">
        <v>2101</v>
      </c>
    </row>
    <row r="3494" spans="1:4" x14ac:dyDescent="0.3">
      <c r="A3494" t="s">
        <v>209</v>
      </c>
      <c r="B3494">
        <v>17.492287090681366</v>
      </c>
      <c r="C3494" t="s">
        <v>2075</v>
      </c>
      <c r="D3494" t="s">
        <v>2101</v>
      </c>
    </row>
    <row r="3495" spans="1:4" x14ac:dyDescent="0.3">
      <c r="A3495" t="s">
        <v>446</v>
      </c>
      <c r="B3495">
        <v>4.0598063786682376E-2</v>
      </c>
      <c r="C3495" t="s">
        <v>2075</v>
      </c>
      <c r="D3495" t="s">
        <v>2101</v>
      </c>
    </row>
    <row r="3496" spans="1:4" x14ac:dyDescent="0.3">
      <c r="A3496" t="s">
        <v>1632</v>
      </c>
      <c r="B3496">
        <v>5.8816483207631309</v>
      </c>
      <c r="C3496" t="s">
        <v>2075</v>
      </c>
      <c r="D3496" t="s">
        <v>2101</v>
      </c>
    </row>
    <row r="3497" spans="1:4" x14ac:dyDescent="0.3">
      <c r="A3497" t="s">
        <v>1626</v>
      </c>
      <c r="B3497">
        <v>10.599719034018653</v>
      </c>
      <c r="C3497" t="s">
        <v>2075</v>
      </c>
      <c r="D3497" t="s">
        <v>2101</v>
      </c>
    </row>
    <row r="3498" spans="1:4" x14ac:dyDescent="0.3">
      <c r="A3498" t="s">
        <v>1627</v>
      </c>
      <c r="B3498">
        <v>-3.0110498256413547</v>
      </c>
      <c r="C3498" t="s">
        <v>2075</v>
      </c>
      <c r="D3498" t="s">
        <v>2101</v>
      </c>
    </row>
    <row r="3499" spans="1:4" x14ac:dyDescent="0.3">
      <c r="A3499" t="s">
        <v>1625</v>
      </c>
      <c r="B3499">
        <v>-1.5624940651945953</v>
      </c>
      <c r="C3499" t="s">
        <v>2075</v>
      </c>
      <c r="D3499" t="s">
        <v>2101</v>
      </c>
    </row>
    <row r="3500" spans="1:4" x14ac:dyDescent="0.3">
      <c r="A3500" t="s">
        <v>1623</v>
      </c>
      <c r="B3500">
        <v>-0.14452682241957315</v>
      </c>
      <c r="C3500" t="s">
        <v>2075</v>
      </c>
      <c r="D3500" t="s">
        <v>2101</v>
      </c>
    </row>
    <row r="3501" spans="1:4" x14ac:dyDescent="0.3">
      <c r="A3501" t="s">
        <v>1633</v>
      </c>
      <c r="B3501">
        <v>58.274163621838227</v>
      </c>
      <c r="C3501" t="s">
        <v>2075</v>
      </c>
      <c r="D3501" t="s">
        <v>2101</v>
      </c>
    </row>
    <row r="3502" spans="1:4" x14ac:dyDescent="0.3">
      <c r="A3502" t="s">
        <v>1628</v>
      </c>
      <c r="B3502">
        <v>52.089962474701743</v>
      </c>
      <c r="C3502" t="s">
        <v>2075</v>
      </c>
      <c r="D3502" t="s">
        <v>2102</v>
      </c>
    </row>
    <row r="3503" spans="1:4" x14ac:dyDescent="0.3">
      <c r="A3503" t="s">
        <v>17</v>
      </c>
      <c r="B3503">
        <v>34.859630146607046</v>
      </c>
      <c r="C3503" t="s">
        <v>2075</v>
      </c>
      <c r="D3503" t="s">
        <v>2102</v>
      </c>
    </row>
    <row r="3504" spans="1:4" x14ac:dyDescent="0.3">
      <c r="A3504" t="s">
        <v>209</v>
      </c>
      <c r="B3504">
        <v>17.189734264308015</v>
      </c>
      <c r="C3504" t="s">
        <v>2075</v>
      </c>
      <c r="D3504" t="s">
        <v>2102</v>
      </c>
    </row>
    <row r="3505" spans="1:4" x14ac:dyDescent="0.3">
      <c r="A3505" t="s">
        <v>446</v>
      </c>
      <c r="B3505">
        <v>4.0598063786682376E-2</v>
      </c>
      <c r="C3505" t="s">
        <v>2075</v>
      </c>
      <c r="D3505" t="s">
        <v>2102</v>
      </c>
    </row>
    <row r="3506" spans="1:4" x14ac:dyDescent="0.3">
      <c r="A3506" t="s">
        <v>1632</v>
      </c>
      <c r="B3506">
        <v>5.8816483207631309</v>
      </c>
      <c r="C3506" t="s">
        <v>2075</v>
      </c>
      <c r="D3506" t="s">
        <v>2102</v>
      </c>
    </row>
    <row r="3507" spans="1:4" x14ac:dyDescent="0.3">
      <c r="A3507" t="s">
        <v>1626</v>
      </c>
      <c r="B3507">
        <v>10.599719034018653</v>
      </c>
      <c r="C3507" t="s">
        <v>2075</v>
      </c>
      <c r="D3507" t="s">
        <v>2102</v>
      </c>
    </row>
    <row r="3508" spans="1:4" x14ac:dyDescent="0.3">
      <c r="A3508" t="s">
        <v>1627</v>
      </c>
      <c r="B3508">
        <v>-3.0110498256413547</v>
      </c>
      <c r="C3508" t="s">
        <v>2075</v>
      </c>
      <c r="D3508" t="s">
        <v>2102</v>
      </c>
    </row>
    <row r="3509" spans="1:4" x14ac:dyDescent="0.3">
      <c r="A3509" t="s">
        <v>1625</v>
      </c>
      <c r="B3509">
        <v>-1.5624940651945953</v>
      </c>
      <c r="C3509" t="s">
        <v>2075</v>
      </c>
      <c r="D3509" t="s">
        <v>2102</v>
      </c>
    </row>
    <row r="3510" spans="1:4" x14ac:dyDescent="0.3">
      <c r="A3510" t="s">
        <v>1623</v>
      </c>
      <c r="B3510">
        <v>-0.14452682241957315</v>
      </c>
      <c r="C3510" t="s">
        <v>2075</v>
      </c>
      <c r="D3510" t="s">
        <v>2102</v>
      </c>
    </row>
    <row r="3511" spans="1:4" x14ac:dyDescent="0.3">
      <c r="A3511" t="s">
        <v>1633</v>
      </c>
      <c r="B3511">
        <v>57.971610795464876</v>
      </c>
      <c r="C3511" t="s">
        <v>2075</v>
      </c>
      <c r="D3511" t="s">
        <v>2102</v>
      </c>
    </row>
    <row r="3512" spans="1:4" x14ac:dyDescent="0.3">
      <c r="A3512" t="s">
        <v>1628</v>
      </c>
      <c r="B3512">
        <v>52.391196850575831</v>
      </c>
      <c r="C3512" t="s">
        <v>2075</v>
      </c>
      <c r="D3512" t="s">
        <v>2103</v>
      </c>
    </row>
    <row r="3513" spans="1:4" x14ac:dyDescent="0.3">
      <c r="A3513" t="s">
        <v>17</v>
      </c>
      <c r="B3513">
        <v>34.859630146607046</v>
      </c>
      <c r="C3513" t="s">
        <v>2075</v>
      </c>
      <c r="D3513" t="s">
        <v>2103</v>
      </c>
    </row>
    <row r="3514" spans="1:4" x14ac:dyDescent="0.3">
      <c r="A3514" t="s">
        <v>209</v>
      </c>
      <c r="B3514">
        <v>17.490968640182107</v>
      </c>
      <c r="C3514" t="s">
        <v>2075</v>
      </c>
      <c r="D3514" t="s">
        <v>2103</v>
      </c>
    </row>
    <row r="3515" spans="1:4" x14ac:dyDescent="0.3">
      <c r="A3515" t="s">
        <v>446</v>
      </c>
      <c r="B3515">
        <v>4.0598063786682376E-2</v>
      </c>
      <c r="C3515" t="s">
        <v>2075</v>
      </c>
      <c r="D3515" t="s">
        <v>2103</v>
      </c>
    </row>
    <row r="3516" spans="1:4" x14ac:dyDescent="0.3">
      <c r="A3516" t="s">
        <v>1632</v>
      </c>
      <c r="B3516">
        <v>5.8816483207631309</v>
      </c>
      <c r="C3516" t="s">
        <v>2075</v>
      </c>
      <c r="D3516" t="s">
        <v>2103</v>
      </c>
    </row>
    <row r="3517" spans="1:4" x14ac:dyDescent="0.3">
      <c r="A3517" t="s">
        <v>1626</v>
      </c>
      <c r="B3517">
        <v>10.599719034018653</v>
      </c>
      <c r="C3517" t="s">
        <v>2075</v>
      </c>
      <c r="D3517" t="s">
        <v>2103</v>
      </c>
    </row>
    <row r="3518" spans="1:4" x14ac:dyDescent="0.3">
      <c r="A3518" t="s">
        <v>1627</v>
      </c>
      <c r="B3518">
        <v>-3.0110498256413547</v>
      </c>
      <c r="C3518" t="s">
        <v>2075</v>
      </c>
      <c r="D3518" t="s">
        <v>2103</v>
      </c>
    </row>
    <row r="3519" spans="1:4" x14ac:dyDescent="0.3">
      <c r="A3519" t="s">
        <v>1625</v>
      </c>
      <c r="B3519">
        <v>-1.5624940651945953</v>
      </c>
      <c r="C3519" t="s">
        <v>2075</v>
      </c>
      <c r="D3519" t="s">
        <v>2103</v>
      </c>
    </row>
    <row r="3520" spans="1:4" x14ac:dyDescent="0.3">
      <c r="A3520" t="s">
        <v>1623</v>
      </c>
      <c r="B3520">
        <v>-0.14452682241957315</v>
      </c>
      <c r="C3520" t="s">
        <v>2075</v>
      </c>
      <c r="D3520" t="s">
        <v>2103</v>
      </c>
    </row>
    <row r="3521" spans="1:4" x14ac:dyDescent="0.3">
      <c r="A3521" t="s">
        <v>1633</v>
      </c>
      <c r="B3521">
        <v>58.272845171338965</v>
      </c>
      <c r="C3521" t="s">
        <v>2075</v>
      </c>
      <c r="D3521" t="s">
        <v>2103</v>
      </c>
    </row>
    <row r="3522" spans="1:4" x14ac:dyDescent="0.3">
      <c r="A3522" t="s">
        <v>1628</v>
      </c>
      <c r="B3522">
        <v>52.365872669844407</v>
      </c>
      <c r="C3522" t="s">
        <v>2075</v>
      </c>
      <c r="D3522" t="s">
        <v>2104</v>
      </c>
    </row>
    <row r="3523" spans="1:4" x14ac:dyDescent="0.3">
      <c r="A3523" t="s">
        <v>17</v>
      </c>
      <c r="B3523">
        <v>34.859630146607046</v>
      </c>
      <c r="C3523" t="s">
        <v>2075</v>
      </c>
      <c r="D3523" t="s">
        <v>2104</v>
      </c>
    </row>
    <row r="3524" spans="1:4" x14ac:dyDescent="0.3">
      <c r="A3524" t="s">
        <v>209</v>
      </c>
      <c r="B3524">
        <v>17.465644459450679</v>
      </c>
      <c r="C3524" t="s">
        <v>2075</v>
      </c>
      <c r="D3524" t="s">
        <v>2104</v>
      </c>
    </row>
    <row r="3525" spans="1:4" x14ac:dyDescent="0.3">
      <c r="A3525" t="s">
        <v>446</v>
      </c>
      <c r="B3525">
        <v>4.0598063786682376E-2</v>
      </c>
      <c r="C3525" t="s">
        <v>2075</v>
      </c>
      <c r="D3525" t="s">
        <v>2104</v>
      </c>
    </row>
    <row r="3526" spans="1:4" x14ac:dyDescent="0.3">
      <c r="A3526" t="s">
        <v>1632</v>
      </c>
      <c r="B3526">
        <v>5.8816483207631309</v>
      </c>
      <c r="C3526" t="s">
        <v>2075</v>
      </c>
      <c r="D3526" t="s">
        <v>2104</v>
      </c>
    </row>
    <row r="3527" spans="1:4" x14ac:dyDescent="0.3">
      <c r="A3527" t="s">
        <v>1626</v>
      </c>
      <c r="B3527">
        <v>10.599719034018653</v>
      </c>
      <c r="C3527" t="s">
        <v>2075</v>
      </c>
      <c r="D3527" t="s">
        <v>2104</v>
      </c>
    </row>
    <row r="3528" spans="1:4" x14ac:dyDescent="0.3">
      <c r="A3528" t="s">
        <v>1627</v>
      </c>
      <c r="B3528">
        <v>-3.0110498256413547</v>
      </c>
      <c r="C3528" t="s">
        <v>2075</v>
      </c>
      <c r="D3528" t="s">
        <v>2104</v>
      </c>
    </row>
    <row r="3529" spans="1:4" x14ac:dyDescent="0.3">
      <c r="A3529" t="s">
        <v>1625</v>
      </c>
      <c r="B3529">
        <v>-1.5624940651945953</v>
      </c>
      <c r="C3529" t="s">
        <v>2075</v>
      </c>
      <c r="D3529" t="s">
        <v>2104</v>
      </c>
    </row>
    <row r="3530" spans="1:4" x14ac:dyDescent="0.3">
      <c r="A3530" t="s">
        <v>1623</v>
      </c>
      <c r="B3530">
        <v>-0.14452682241957315</v>
      </c>
      <c r="C3530" t="s">
        <v>2075</v>
      </c>
      <c r="D3530" t="s">
        <v>2104</v>
      </c>
    </row>
    <row r="3531" spans="1:4" x14ac:dyDescent="0.3">
      <c r="A3531" t="s">
        <v>1633</v>
      </c>
      <c r="B3531">
        <v>58.247520990607541</v>
      </c>
      <c r="C3531" t="s">
        <v>2075</v>
      </c>
      <c r="D3531" t="s">
        <v>2104</v>
      </c>
    </row>
    <row r="3532" spans="1:4" x14ac:dyDescent="0.3">
      <c r="A3532" t="s">
        <v>1628</v>
      </c>
      <c r="B3532">
        <v>51.872104162192606</v>
      </c>
      <c r="C3532" t="s">
        <v>2075</v>
      </c>
      <c r="D3532" t="s">
        <v>2105</v>
      </c>
    </row>
    <row r="3533" spans="1:4" x14ac:dyDescent="0.3">
      <c r="A3533" t="s">
        <v>17</v>
      </c>
      <c r="B3533">
        <v>34.859630146607046</v>
      </c>
      <c r="C3533" t="s">
        <v>2075</v>
      </c>
      <c r="D3533" t="s">
        <v>2105</v>
      </c>
    </row>
    <row r="3534" spans="1:4" x14ac:dyDescent="0.3">
      <c r="A3534" t="s">
        <v>209</v>
      </c>
      <c r="B3534">
        <v>16.971875951798882</v>
      </c>
      <c r="C3534" t="s">
        <v>2075</v>
      </c>
      <c r="D3534" t="s">
        <v>2105</v>
      </c>
    </row>
    <row r="3535" spans="1:4" x14ac:dyDescent="0.3">
      <c r="A3535" t="s">
        <v>446</v>
      </c>
      <c r="B3535">
        <v>4.0598063786682376E-2</v>
      </c>
      <c r="C3535" t="s">
        <v>2075</v>
      </c>
      <c r="D3535" t="s">
        <v>2105</v>
      </c>
    </row>
    <row r="3536" spans="1:4" x14ac:dyDescent="0.3">
      <c r="A3536" t="s">
        <v>1632</v>
      </c>
      <c r="B3536">
        <v>5.8816483207631309</v>
      </c>
      <c r="C3536" t="s">
        <v>2075</v>
      </c>
      <c r="D3536" t="s">
        <v>2105</v>
      </c>
    </row>
    <row r="3537" spans="1:4" x14ac:dyDescent="0.3">
      <c r="A3537" t="s">
        <v>1626</v>
      </c>
      <c r="B3537">
        <v>10.599719034018653</v>
      </c>
      <c r="C3537" t="s">
        <v>2075</v>
      </c>
      <c r="D3537" t="s">
        <v>2105</v>
      </c>
    </row>
    <row r="3538" spans="1:4" x14ac:dyDescent="0.3">
      <c r="A3538" t="s">
        <v>1627</v>
      </c>
      <c r="B3538">
        <v>-3.0110498256413547</v>
      </c>
      <c r="C3538" t="s">
        <v>2075</v>
      </c>
      <c r="D3538" t="s">
        <v>2105</v>
      </c>
    </row>
    <row r="3539" spans="1:4" x14ac:dyDescent="0.3">
      <c r="A3539" t="s">
        <v>1625</v>
      </c>
      <c r="B3539">
        <v>-1.5624940651945953</v>
      </c>
      <c r="C3539" t="s">
        <v>2075</v>
      </c>
      <c r="D3539" t="s">
        <v>2105</v>
      </c>
    </row>
    <row r="3540" spans="1:4" x14ac:dyDescent="0.3">
      <c r="A3540" t="s">
        <v>1623</v>
      </c>
      <c r="B3540">
        <v>-0.14452682241957315</v>
      </c>
      <c r="C3540" t="s">
        <v>2075</v>
      </c>
      <c r="D3540" t="s">
        <v>2105</v>
      </c>
    </row>
    <row r="3541" spans="1:4" x14ac:dyDescent="0.3">
      <c r="A3541" t="s">
        <v>1633</v>
      </c>
      <c r="B3541">
        <v>57.75375248295574</v>
      </c>
      <c r="C3541" t="s">
        <v>2075</v>
      </c>
      <c r="D3541" t="s">
        <v>2105</v>
      </c>
    </row>
    <row r="3542" spans="1:4" x14ac:dyDescent="0.3">
      <c r="A3542" t="s">
        <v>1628</v>
      </c>
      <c r="B3542">
        <v>52.402209158031233</v>
      </c>
      <c r="C3542" t="s">
        <v>2075</v>
      </c>
      <c r="D3542" t="s">
        <v>2106</v>
      </c>
    </row>
    <row r="3543" spans="1:4" x14ac:dyDescent="0.3">
      <c r="A3543" t="s">
        <v>17</v>
      </c>
      <c r="B3543">
        <v>34.859630146607046</v>
      </c>
      <c r="C3543" t="s">
        <v>2075</v>
      </c>
      <c r="D3543" t="s">
        <v>2106</v>
      </c>
    </row>
    <row r="3544" spans="1:4" x14ac:dyDescent="0.3">
      <c r="A3544" t="s">
        <v>209</v>
      </c>
      <c r="B3544">
        <v>17.501980947637506</v>
      </c>
      <c r="C3544" t="s">
        <v>2075</v>
      </c>
      <c r="D3544" t="s">
        <v>2106</v>
      </c>
    </row>
    <row r="3545" spans="1:4" x14ac:dyDescent="0.3">
      <c r="A3545" t="s">
        <v>446</v>
      </c>
      <c r="B3545">
        <v>4.0598063786682376E-2</v>
      </c>
      <c r="C3545" t="s">
        <v>2075</v>
      </c>
      <c r="D3545" t="s">
        <v>2106</v>
      </c>
    </row>
    <row r="3546" spans="1:4" x14ac:dyDescent="0.3">
      <c r="A3546" t="s">
        <v>1632</v>
      </c>
      <c r="B3546">
        <v>5.8816483207631309</v>
      </c>
      <c r="C3546" t="s">
        <v>2075</v>
      </c>
      <c r="D3546" t="s">
        <v>2106</v>
      </c>
    </row>
    <row r="3547" spans="1:4" x14ac:dyDescent="0.3">
      <c r="A3547" t="s">
        <v>1626</v>
      </c>
      <c r="B3547">
        <v>10.599719034018653</v>
      </c>
      <c r="C3547" t="s">
        <v>2075</v>
      </c>
      <c r="D3547" t="s">
        <v>2106</v>
      </c>
    </row>
    <row r="3548" spans="1:4" x14ac:dyDescent="0.3">
      <c r="A3548" t="s">
        <v>1627</v>
      </c>
      <c r="B3548">
        <v>-3.0110498256413547</v>
      </c>
      <c r="C3548" t="s">
        <v>2075</v>
      </c>
      <c r="D3548" t="s">
        <v>2106</v>
      </c>
    </row>
    <row r="3549" spans="1:4" x14ac:dyDescent="0.3">
      <c r="A3549" t="s">
        <v>1625</v>
      </c>
      <c r="B3549">
        <v>-1.5624940651945953</v>
      </c>
      <c r="C3549" t="s">
        <v>2075</v>
      </c>
      <c r="D3549" t="s">
        <v>2106</v>
      </c>
    </row>
    <row r="3550" spans="1:4" x14ac:dyDescent="0.3">
      <c r="A3550" t="s">
        <v>1623</v>
      </c>
      <c r="B3550">
        <v>-0.14452682241957315</v>
      </c>
      <c r="C3550" t="s">
        <v>2075</v>
      </c>
      <c r="D3550" t="s">
        <v>2106</v>
      </c>
    </row>
    <row r="3551" spans="1:4" x14ac:dyDescent="0.3">
      <c r="A3551" t="s">
        <v>1633</v>
      </c>
      <c r="B3551">
        <v>58.283857478794367</v>
      </c>
      <c r="C3551" t="s">
        <v>2075</v>
      </c>
      <c r="D3551" t="s">
        <v>2106</v>
      </c>
    </row>
    <row r="3552" spans="1:4" x14ac:dyDescent="0.3">
      <c r="A3552" t="s">
        <v>1628</v>
      </c>
      <c r="B3552">
        <v>52.402209158031233</v>
      </c>
      <c r="C3552" t="s">
        <v>2075</v>
      </c>
      <c r="D3552" t="s">
        <v>2041</v>
      </c>
    </row>
    <row r="3553" spans="1:4" x14ac:dyDescent="0.3">
      <c r="A3553" t="s">
        <v>17</v>
      </c>
      <c r="B3553">
        <v>34.859630146607046</v>
      </c>
      <c r="C3553" t="s">
        <v>2075</v>
      </c>
      <c r="D3553" t="s">
        <v>2041</v>
      </c>
    </row>
    <row r="3554" spans="1:4" x14ac:dyDescent="0.3">
      <c r="A3554" t="s">
        <v>209</v>
      </c>
      <c r="B3554">
        <v>17.501980947637506</v>
      </c>
      <c r="C3554" t="s">
        <v>2075</v>
      </c>
      <c r="D3554" t="s">
        <v>2041</v>
      </c>
    </row>
    <row r="3555" spans="1:4" x14ac:dyDescent="0.3">
      <c r="A3555" t="s">
        <v>446</v>
      </c>
      <c r="B3555">
        <v>4.0598063786682376E-2</v>
      </c>
      <c r="C3555" t="s">
        <v>2075</v>
      </c>
      <c r="D3555" t="s">
        <v>2041</v>
      </c>
    </row>
    <row r="3556" spans="1:4" x14ac:dyDescent="0.3">
      <c r="A3556" t="s">
        <v>1632</v>
      </c>
      <c r="B3556">
        <v>5.8816483207631309</v>
      </c>
      <c r="C3556" t="s">
        <v>2075</v>
      </c>
      <c r="D3556" t="s">
        <v>2041</v>
      </c>
    </row>
    <row r="3557" spans="1:4" x14ac:dyDescent="0.3">
      <c r="A3557" t="s">
        <v>1626</v>
      </c>
      <c r="B3557">
        <v>10.599719034018653</v>
      </c>
      <c r="C3557" t="s">
        <v>2075</v>
      </c>
      <c r="D3557" t="s">
        <v>2041</v>
      </c>
    </row>
    <row r="3558" spans="1:4" x14ac:dyDescent="0.3">
      <c r="A3558" t="s">
        <v>1627</v>
      </c>
      <c r="B3558">
        <v>-3.0110498256413547</v>
      </c>
      <c r="C3558" t="s">
        <v>2075</v>
      </c>
      <c r="D3558" t="s">
        <v>2041</v>
      </c>
    </row>
    <row r="3559" spans="1:4" x14ac:dyDescent="0.3">
      <c r="A3559" t="s">
        <v>1625</v>
      </c>
      <c r="B3559">
        <v>-1.5624940651945953</v>
      </c>
      <c r="C3559" t="s">
        <v>2075</v>
      </c>
      <c r="D3559" t="s">
        <v>2041</v>
      </c>
    </row>
    <row r="3560" spans="1:4" x14ac:dyDescent="0.3">
      <c r="A3560" t="s">
        <v>1623</v>
      </c>
      <c r="B3560">
        <v>-0.14452682241957315</v>
      </c>
      <c r="C3560" t="s">
        <v>2075</v>
      </c>
      <c r="D3560" t="s">
        <v>2041</v>
      </c>
    </row>
    <row r="3561" spans="1:4" x14ac:dyDescent="0.3">
      <c r="A3561" t="s">
        <v>1633</v>
      </c>
      <c r="B3561">
        <v>58.283857478794367</v>
      </c>
      <c r="C3561" t="s">
        <v>2075</v>
      </c>
      <c r="D3561" t="s">
        <v>2041</v>
      </c>
    </row>
    <row r="3562" spans="1:4" x14ac:dyDescent="0.3">
      <c r="A3562" t="s">
        <v>1628</v>
      </c>
      <c r="B3562">
        <v>52.369616165942766</v>
      </c>
      <c r="C3562" t="s">
        <v>2075</v>
      </c>
      <c r="D3562" t="s">
        <v>2042</v>
      </c>
    </row>
    <row r="3563" spans="1:4" x14ac:dyDescent="0.3">
      <c r="A3563" t="s">
        <v>17</v>
      </c>
      <c r="B3563">
        <v>34.859630146607046</v>
      </c>
      <c r="C3563" t="s">
        <v>2075</v>
      </c>
      <c r="D3563" t="s">
        <v>2042</v>
      </c>
    </row>
    <row r="3564" spans="1:4" x14ac:dyDescent="0.3">
      <c r="A3564" t="s">
        <v>209</v>
      </c>
      <c r="B3564">
        <v>17.469387955549038</v>
      </c>
      <c r="C3564" t="s">
        <v>2075</v>
      </c>
      <c r="D3564" t="s">
        <v>2042</v>
      </c>
    </row>
    <row r="3565" spans="1:4" x14ac:dyDescent="0.3">
      <c r="A3565" t="s">
        <v>446</v>
      </c>
      <c r="B3565">
        <v>4.0598063786682376E-2</v>
      </c>
      <c r="C3565" t="s">
        <v>2075</v>
      </c>
      <c r="D3565" t="s">
        <v>2042</v>
      </c>
    </row>
    <row r="3566" spans="1:4" x14ac:dyDescent="0.3">
      <c r="A3566" t="s">
        <v>1632</v>
      </c>
      <c r="B3566">
        <v>5.8816483207631309</v>
      </c>
      <c r="C3566" t="s">
        <v>2075</v>
      </c>
      <c r="D3566" t="s">
        <v>2042</v>
      </c>
    </row>
    <row r="3567" spans="1:4" x14ac:dyDescent="0.3">
      <c r="A3567" t="s">
        <v>1626</v>
      </c>
      <c r="B3567">
        <v>10.599719034018653</v>
      </c>
      <c r="C3567" t="s">
        <v>2075</v>
      </c>
      <c r="D3567" t="s">
        <v>2042</v>
      </c>
    </row>
    <row r="3568" spans="1:4" x14ac:dyDescent="0.3">
      <c r="A3568" t="s">
        <v>1627</v>
      </c>
      <c r="B3568">
        <v>-3.0110498256413547</v>
      </c>
      <c r="C3568" t="s">
        <v>2075</v>
      </c>
      <c r="D3568" t="s">
        <v>2042</v>
      </c>
    </row>
    <row r="3569" spans="1:4" x14ac:dyDescent="0.3">
      <c r="A3569" t="s">
        <v>1625</v>
      </c>
      <c r="B3569">
        <v>-1.5624940651945953</v>
      </c>
      <c r="C3569" t="s">
        <v>2075</v>
      </c>
      <c r="D3569" t="s">
        <v>2042</v>
      </c>
    </row>
    <row r="3570" spans="1:4" x14ac:dyDescent="0.3">
      <c r="A3570" t="s">
        <v>1623</v>
      </c>
      <c r="B3570">
        <v>-0.14452682241957315</v>
      </c>
      <c r="C3570" t="s">
        <v>2075</v>
      </c>
      <c r="D3570" t="s">
        <v>2042</v>
      </c>
    </row>
    <row r="3571" spans="1:4" x14ac:dyDescent="0.3">
      <c r="A3571" t="s">
        <v>1633</v>
      </c>
      <c r="B3571">
        <v>58.2512644867059</v>
      </c>
      <c r="C3571" t="s">
        <v>2075</v>
      </c>
      <c r="D3571" t="s">
        <v>2042</v>
      </c>
    </row>
    <row r="3572" spans="1:4" x14ac:dyDescent="0.3">
      <c r="A3572" t="s">
        <v>1628</v>
      </c>
      <c r="B3572">
        <v>52.648272383064835</v>
      </c>
      <c r="C3572" t="s">
        <v>2075</v>
      </c>
      <c r="D3572" t="s">
        <v>2043</v>
      </c>
    </row>
    <row r="3573" spans="1:4" x14ac:dyDescent="0.3">
      <c r="A3573" t="s">
        <v>17</v>
      </c>
      <c r="B3573">
        <v>34.859630146607046</v>
      </c>
      <c r="C3573" t="s">
        <v>2075</v>
      </c>
      <c r="D3573" t="s">
        <v>2043</v>
      </c>
    </row>
    <row r="3574" spans="1:4" x14ac:dyDescent="0.3">
      <c r="A3574" t="s">
        <v>209</v>
      </c>
      <c r="B3574">
        <v>17.748044172671108</v>
      </c>
      <c r="C3574" t="s">
        <v>2075</v>
      </c>
      <c r="D3574" t="s">
        <v>2043</v>
      </c>
    </row>
    <row r="3575" spans="1:4" x14ac:dyDescent="0.3">
      <c r="A3575" t="s">
        <v>446</v>
      </c>
      <c r="B3575">
        <v>4.0598063786682376E-2</v>
      </c>
      <c r="C3575" t="s">
        <v>2075</v>
      </c>
      <c r="D3575" t="s">
        <v>2043</v>
      </c>
    </row>
    <row r="3576" spans="1:4" x14ac:dyDescent="0.3">
      <c r="A3576" t="s">
        <v>1632</v>
      </c>
      <c r="B3576">
        <v>5.8816483207631309</v>
      </c>
      <c r="C3576" t="s">
        <v>2075</v>
      </c>
      <c r="D3576" t="s">
        <v>2043</v>
      </c>
    </row>
    <row r="3577" spans="1:4" x14ac:dyDescent="0.3">
      <c r="A3577" t="s">
        <v>1626</v>
      </c>
      <c r="B3577">
        <v>10.599719034018653</v>
      </c>
      <c r="C3577" t="s">
        <v>2075</v>
      </c>
      <c r="D3577" t="s">
        <v>2043</v>
      </c>
    </row>
    <row r="3578" spans="1:4" x14ac:dyDescent="0.3">
      <c r="A3578" t="s">
        <v>1627</v>
      </c>
      <c r="B3578">
        <v>-3.0110498256413547</v>
      </c>
      <c r="C3578" t="s">
        <v>2075</v>
      </c>
      <c r="D3578" t="s">
        <v>2043</v>
      </c>
    </row>
    <row r="3579" spans="1:4" x14ac:dyDescent="0.3">
      <c r="A3579" t="s">
        <v>1625</v>
      </c>
      <c r="B3579">
        <v>-1.5624940651945953</v>
      </c>
      <c r="C3579" t="s">
        <v>2075</v>
      </c>
      <c r="D3579" t="s">
        <v>2043</v>
      </c>
    </row>
    <row r="3580" spans="1:4" x14ac:dyDescent="0.3">
      <c r="A3580" t="s">
        <v>1623</v>
      </c>
      <c r="B3580">
        <v>-0.14452682241957315</v>
      </c>
      <c r="C3580" t="s">
        <v>2075</v>
      </c>
      <c r="D3580" t="s">
        <v>2043</v>
      </c>
    </row>
    <row r="3581" spans="1:4" x14ac:dyDescent="0.3">
      <c r="A3581" t="s">
        <v>1633</v>
      </c>
      <c r="B3581">
        <v>58.529920703827969</v>
      </c>
      <c r="C3581" t="s">
        <v>2075</v>
      </c>
      <c r="D3581" t="s">
        <v>2043</v>
      </c>
    </row>
    <row r="3582" spans="1:4" x14ac:dyDescent="0.3">
      <c r="A3582" t="s">
        <v>1628</v>
      </c>
      <c r="B3582">
        <v>52.402209158031233</v>
      </c>
      <c r="C3582" t="s">
        <v>2075</v>
      </c>
      <c r="D3582" t="s">
        <v>2044</v>
      </c>
    </row>
    <row r="3583" spans="1:4" x14ac:dyDescent="0.3">
      <c r="A3583" t="s">
        <v>17</v>
      </c>
      <c r="B3583">
        <v>34.859630146607046</v>
      </c>
      <c r="C3583" t="s">
        <v>2075</v>
      </c>
      <c r="D3583" t="s">
        <v>2044</v>
      </c>
    </row>
    <row r="3584" spans="1:4" x14ac:dyDescent="0.3">
      <c r="A3584" t="s">
        <v>209</v>
      </c>
      <c r="B3584">
        <v>17.501980947637506</v>
      </c>
      <c r="C3584" t="s">
        <v>2075</v>
      </c>
      <c r="D3584" t="s">
        <v>2044</v>
      </c>
    </row>
    <row r="3585" spans="1:4" x14ac:dyDescent="0.3">
      <c r="A3585" t="s">
        <v>446</v>
      </c>
      <c r="B3585">
        <v>4.0598063786682376E-2</v>
      </c>
      <c r="C3585" t="s">
        <v>2075</v>
      </c>
      <c r="D3585" t="s">
        <v>2044</v>
      </c>
    </row>
    <row r="3586" spans="1:4" x14ac:dyDescent="0.3">
      <c r="A3586" t="s">
        <v>1632</v>
      </c>
      <c r="B3586">
        <v>5.8816483207631309</v>
      </c>
      <c r="C3586" t="s">
        <v>2075</v>
      </c>
      <c r="D3586" t="s">
        <v>2044</v>
      </c>
    </row>
    <row r="3587" spans="1:4" x14ac:dyDescent="0.3">
      <c r="A3587" t="s">
        <v>1626</v>
      </c>
      <c r="B3587">
        <v>10.599719034018653</v>
      </c>
      <c r="C3587" t="s">
        <v>2075</v>
      </c>
      <c r="D3587" t="s">
        <v>2044</v>
      </c>
    </row>
    <row r="3588" spans="1:4" x14ac:dyDescent="0.3">
      <c r="A3588" t="s">
        <v>1627</v>
      </c>
      <c r="B3588">
        <v>-3.0110498256413547</v>
      </c>
      <c r="C3588" t="s">
        <v>2075</v>
      </c>
      <c r="D3588" t="s">
        <v>2044</v>
      </c>
    </row>
    <row r="3589" spans="1:4" x14ac:dyDescent="0.3">
      <c r="A3589" t="s">
        <v>1625</v>
      </c>
      <c r="B3589">
        <v>-1.5624940651945953</v>
      </c>
      <c r="C3589" t="s">
        <v>2075</v>
      </c>
      <c r="D3589" t="s">
        <v>2044</v>
      </c>
    </row>
    <row r="3590" spans="1:4" x14ac:dyDescent="0.3">
      <c r="A3590" t="s">
        <v>1623</v>
      </c>
      <c r="B3590">
        <v>-0.14452682241957315</v>
      </c>
      <c r="C3590" t="s">
        <v>2075</v>
      </c>
      <c r="D3590" t="s">
        <v>2044</v>
      </c>
    </row>
    <row r="3591" spans="1:4" x14ac:dyDescent="0.3">
      <c r="A3591" t="s">
        <v>1633</v>
      </c>
      <c r="B3591">
        <v>58.283857478794367</v>
      </c>
      <c r="C3591" t="s">
        <v>2075</v>
      </c>
      <c r="D3591" t="s">
        <v>2044</v>
      </c>
    </row>
    <row r="3592" spans="1:4" x14ac:dyDescent="0.3">
      <c r="A3592" t="s">
        <v>1628</v>
      </c>
      <c r="B3592">
        <v>54.044801677606877</v>
      </c>
      <c r="C3592" t="s">
        <v>2075</v>
      </c>
      <c r="D3592" t="s">
        <v>2045</v>
      </c>
    </row>
    <row r="3593" spans="1:4" x14ac:dyDescent="0.3">
      <c r="A3593" t="s">
        <v>17</v>
      </c>
      <c r="B3593">
        <v>34.859630146607046</v>
      </c>
      <c r="C3593" t="s">
        <v>2075</v>
      </c>
      <c r="D3593" t="s">
        <v>2045</v>
      </c>
    </row>
    <row r="3594" spans="1:4" x14ac:dyDescent="0.3">
      <c r="A3594" t="s">
        <v>209</v>
      </c>
      <c r="B3594">
        <v>19.144573467213153</v>
      </c>
      <c r="C3594" t="s">
        <v>2075</v>
      </c>
      <c r="D3594" t="s">
        <v>2045</v>
      </c>
    </row>
    <row r="3595" spans="1:4" x14ac:dyDescent="0.3">
      <c r="A3595" t="s">
        <v>446</v>
      </c>
      <c r="B3595">
        <v>4.0598063786682376E-2</v>
      </c>
      <c r="C3595" t="s">
        <v>2075</v>
      </c>
      <c r="D3595" t="s">
        <v>2045</v>
      </c>
    </row>
    <row r="3596" spans="1:4" x14ac:dyDescent="0.3">
      <c r="A3596" t="s">
        <v>1632</v>
      </c>
      <c r="B3596">
        <v>5.8816483207631309</v>
      </c>
      <c r="C3596" t="s">
        <v>2075</v>
      </c>
      <c r="D3596" t="s">
        <v>2045</v>
      </c>
    </row>
    <row r="3597" spans="1:4" x14ac:dyDescent="0.3">
      <c r="A3597" t="s">
        <v>1626</v>
      </c>
      <c r="B3597">
        <v>10.599719034018653</v>
      </c>
      <c r="C3597" t="s">
        <v>2075</v>
      </c>
      <c r="D3597" t="s">
        <v>2045</v>
      </c>
    </row>
    <row r="3598" spans="1:4" x14ac:dyDescent="0.3">
      <c r="A3598" t="s">
        <v>1627</v>
      </c>
      <c r="B3598">
        <v>-3.0110498256413547</v>
      </c>
      <c r="C3598" t="s">
        <v>2075</v>
      </c>
      <c r="D3598" t="s">
        <v>2045</v>
      </c>
    </row>
    <row r="3599" spans="1:4" x14ac:dyDescent="0.3">
      <c r="A3599" t="s">
        <v>1625</v>
      </c>
      <c r="B3599">
        <v>-1.5624940651945953</v>
      </c>
      <c r="C3599" t="s">
        <v>2075</v>
      </c>
      <c r="D3599" t="s">
        <v>2045</v>
      </c>
    </row>
    <row r="3600" spans="1:4" x14ac:dyDescent="0.3">
      <c r="A3600" t="s">
        <v>1623</v>
      </c>
      <c r="B3600">
        <v>-0.14452682241957315</v>
      </c>
      <c r="C3600" t="s">
        <v>2075</v>
      </c>
      <c r="D3600" t="s">
        <v>2045</v>
      </c>
    </row>
    <row r="3601" spans="1:4" x14ac:dyDescent="0.3">
      <c r="A3601" t="s">
        <v>1633</v>
      </c>
      <c r="B3601">
        <v>59.926449998370011</v>
      </c>
      <c r="C3601" t="s">
        <v>2075</v>
      </c>
      <c r="D3601" t="s">
        <v>2045</v>
      </c>
    </row>
    <row r="3602" spans="1:4" x14ac:dyDescent="0.3">
      <c r="A3602" t="s">
        <v>1628</v>
      </c>
      <c r="B3602">
        <v>52.402209158031233</v>
      </c>
      <c r="C3602" t="s">
        <v>2075</v>
      </c>
      <c r="D3602" t="s">
        <v>2046</v>
      </c>
    </row>
    <row r="3603" spans="1:4" x14ac:dyDescent="0.3">
      <c r="A3603" t="s">
        <v>17</v>
      </c>
      <c r="B3603">
        <v>34.859630146607046</v>
      </c>
      <c r="C3603" t="s">
        <v>2075</v>
      </c>
      <c r="D3603" t="s">
        <v>2046</v>
      </c>
    </row>
    <row r="3604" spans="1:4" x14ac:dyDescent="0.3">
      <c r="A3604" t="s">
        <v>209</v>
      </c>
      <c r="B3604">
        <v>17.501980947637506</v>
      </c>
      <c r="C3604" t="s">
        <v>2075</v>
      </c>
      <c r="D3604" t="s">
        <v>2046</v>
      </c>
    </row>
    <row r="3605" spans="1:4" x14ac:dyDescent="0.3">
      <c r="A3605" t="s">
        <v>446</v>
      </c>
      <c r="B3605">
        <v>4.0598063786682376E-2</v>
      </c>
      <c r="C3605" t="s">
        <v>2075</v>
      </c>
      <c r="D3605" t="s">
        <v>2046</v>
      </c>
    </row>
    <row r="3606" spans="1:4" x14ac:dyDescent="0.3">
      <c r="A3606" t="s">
        <v>1632</v>
      </c>
      <c r="B3606">
        <v>5.8816483207631309</v>
      </c>
      <c r="C3606" t="s">
        <v>2075</v>
      </c>
      <c r="D3606" t="s">
        <v>2046</v>
      </c>
    </row>
    <row r="3607" spans="1:4" x14ac:dyDescent="0.3">
      <c r="A3607" t="s">
        <v>1626</v>
      </c>
      <c r="B3607">
        <v>10.599719034018653</v>
      </c>
      <c r="C3607" t="s">
        <v>2075</v>
      </c>
      <c r="D3607" t="s">
        <v>2046</v>
      </c>
    </row>
    <row r="3608" spans="1:4" x14ac:dyDescent="0.3">
      <c r="A3608" t="s">
        <v>1627</v>
      </c>
      <c r="B3608">
        <v>-3.0110498256413547</v>
      </c>
      <c r="C3608" t="s">
        <v>2075</v>
      </c>
      <c r="D3608" t="s">
        <v>2046</v>
      </c>
    </row>
    <row r="3609" spans="1:4" x14ac:dyDescent="0.3">
      <c r="A3609" t="s">
        <v>1625</v>
      </c>
      <c r="B3609">
        <v>-1.5624940651945953</v>
      </c>
      <c r="C3609" t="s">
        <v>2075</v>
      </c>
      <c r="D3609" t="s">
        <v>2046</v>
      </c>
    </row>
    <row r="3610" spans="1:4" x14ac:dyDescent="0.3">
      <c r="A3610" t="s">
        <v>1623</v>
      </c>
      <c r="B3610">
        <v>-0.14452682241957315</v>
      </c>
      <c r="C3610" t="s">
        <v>2075</v>
      </c>
      <c r="D3610" t="s">
        <v>2046</v>
      </c>
    </row>
    <row r="3611" spans="1:4" x14ac:dyDescent="0.3">
      <c r="A3611" t="s">
        <v>1633</v>
      </c>
      <c r="B3611">
        <v>58.283857478794367</v>
      </c>
      <c r="C3611" t="s">
        <v>2075</v>
      </c>
      <c r="D3611" t="s">
        <v>2046</v>
      </c>
    </row>
    <row r="3612" spans="1:4" x14ac:dyDescent="0.3">
      <c r="A3612" t="s">
        <v>1628</v>
      </c>
      <c r="B3612">
        <v>52.402209158031233</v>
      </c>
      <c r="C3612" t="s">
        <v>2075</v>
      </c>
      <c r="D3612" t="s">
        <v>2276</v>
      </c>
    </row>
    <row r="3613" spans="1:4" x14ac:dyDescent="0.3">
      <c r="A3613" t="s">
        <v>17</v>
      </c>
      <c r="B3613">
        <v>34.859630146607046</v>
      </c>
      <c r="C3613" t="s">
        <v>2075</v>
      </c>
      <c r="D3613" t="s">
        <v>2276</v>
      </c>
    </row>
    <row r="3614" spans="1:4" x14ac:dyDescent="0.3">
      <c r="A3614" t="s">
        <v>209</v>
      </c>
      <c r="B3614">
        <v>17.501980947637506</v>
      </c>
      <c r="C3614" t="s">
        <v>2075</v>
      </c>
      <c r="D3614" t="s">
        <v>2276</v>
      </c>
    </row>
    <row r="3615" spans="1:4" x14ac:dyDescent="0.3">
      <c r="A3615" t="s">
        <v>446</v>
      </c>
      <c r="B3615">
        <v>4.0598063786682376E-2</v>
      </c>
      <c r="C3615" t="s">
        <v>2075</v>
      </c>
      <c r="D3615" t="s">
        <v>2276</v>
      </c>
    </row>
    <row r="3616" spans="1:4" x14ac:dyDescent="0.3">
      <c r="A3616" t="s">
        <v>1632</v>
      </c>
      <c r="B3616">
        <v>5.8816483207631309</v>
      </c>
      <c r="C3616" t="s">
        <v>2075</v>
      </c>
      <c r="D3616" t="s">
        <v>2276</v>
      </c>
    </row>
    <row r="3617" spans="1:4" x14ac:dyDescent="0.3">
      <c r="A3617" t="s">
        <v>1626</v>
      </c>
      <c r="B3617">
        <v>10.599719034018653</v>
      </c>
      <c r="C3617" t="s">
        <v>2075</v>
      </c>
      <c r="D3617" t="s">
        <v>2276</v>
      </c>
    </row>
    <row r="3618" spans="1:4" x14ac:dyDescent="0.3">
      <c r="A3618" t="s">
        <v>1627</v>
      </c>
      <c r="B3618">
        <v>-3.0110498256413547</v>
      </c>
      <c r="C3618" t="s">
        <v>2075</v>
      </c>
      <c r="D3618" t="s">
        <v>2276</v>
      </c>
    </row>
    <row r="3619" spans="1:4" x14ac:dyDescent="0.3">
      <c r="A3619" t="s">
        <v>1625</v>
      </c>
      <c r="B3619">
        <v>-1.5624940651945953</v>
      </c>
      <c r="C3619" t="s">
        <v>2075</v>
      </c>
      <c r="D3619" t="s">
        <v>2276</v>
      </c>
    </row>
    <row r="3620" spans="1:4" x14ac:dyDescent="0.3">
      <c r="A3620" t="s">
        <v>1623</v>
      </c>
      <c r="B3620">
        <v>-0.14452682241957315</v>
      </c>
      <c r="C3620" t="s">
        <v>2075</v>
      </c>
      <c r="D3620" t="s">
        <v>2276</v>
      </c>
    </row>
    <row r="3621" spans="1:4" x14ac:dyDescent="0.3">
      <c r="A3621" t="s">
        <v>1633</v>
      </c>
      <c r="B3621">
        <v>58.283857478794367</v>
      </c>
      <c r="C3621" t="s">
        <v>2075</v>
      </c>
      <c r="D3621" t="s">
        <v>2276</v>
      </c>
    </row>
    <row r="3622" spans="1:4" x14ac:dyDescent="0.3">
      <c r="A3622" t="s">
        <v>1628</v>
      </c>
      <c r="B3622">
        <v>52.402209158031233</v>
      </c>
      <c r="C3622" t="s">
        <v>2075</v>
      </c>
      <c r="D3622" t="s">
        <v>2277</v>
      </c>
    </row>
    <row r="3623" spans="1:4" x14ac:dyDescent="0.3">
      <c r="A3623" t="s">
        <v>17</v>
      </c>
      <c r="B3623">
        <v>34.859630146607046</v>
      </c>
      <c r="C3623" t="s">
        <v>2075</v>
      </c>
      <c r="D3623" t="s">
        <v>2277</v>
      </c>
    </row>
    <row r="3624" spans="1:4" x14ac:dyDescent="0.3">
      <c r="A3624" t="s">
        <v>209</v>
      </c>
      <c r="B3624">
        <v>17.501980947637506</v>
      </c>
      <c r="C3624" t="s">
        <v>2075</v>
      </c>
      <c r="D3624" t="s">
        <v>2277</v>
      </c>
    </row>
    <row r="3625" spans="1:4" x14ac:dyDescent="0.3">
      <c r="A3625" t="s">
        <v>446</v>
      </c>
      <c r="B3625">
        <v>4.0598063786682376E-2</v>
      </c>
      <c r="C3625" t="s">
        <v>2075</v>
      </c>
      <c r="D3625" t="s">
        <v>2277</v>
      </c>
    </row>
    <row r="3626" spans="1:4" x14ac:dyDescent="0.3">
      <c r="A3626" t="s">
        <v>1632</v>
      </c>
      <c r="B3626">
        <v>5.8816483207631309</v>
      </c>
      <c r="C3626" t="s">
        <v>2075</v>
      </c>
      <c r="D3626" t="s">
        <v>2277</v>
      </c>
    </row>
    <row r="3627" spans="1:4" x14ac:dyDescent="0.3">
      <c r="A3627" t="s">
        <v>1626</v>
      </c>
      <c r="B3627">
        <v>10.599719034018653</v>
      </c>
      <c r="C3627" t="s">
        <v>2075</v>
      </c>
      <c r="D3627" t="s">
        <v>2277</v>
      </c>
    </row>
    <row r="3628" spans="1:4" x14ac:dyDescent="0.3">
      <c r="A3628" t="s">
        <v>1627</v>
      </c>
      <c r="B3628">
        <v>-3.0110498256413547</v>
      </c>
      <c r="C3628" t="s">
        <v>2075</v>
      </c>
      <c r="D3628" t="s">
        <v>2277</v>
      </c>
    </row>
    <row r="3629" spans="1:4" x14ac:dyDescent="0.3">
      <c r="A3629" t="s">
        <v>1625</v>
      </c>
      <c r="B3629">
        <v>-1.5624940651945953</v>
      </c>
      <c r="C3629" t="s">
        <v>2075</v>
      </c>
      <c r="D3629" t="s">
        <v>2277</v>
      </c>
    </row>
    <row r="3630" spans="1:4" x14ac:dyDescent="0.3">
      <c r="A3630" t="s">
        <v>1623</v>
      </c>
      <c r="B3630">
        <v>-0.14452682241957315</v>
      </c>
      <c r="C3630" t="s">
        <v>2075</v>
      </c>
      <c r="D3630" t="s">
        <v>2277</v>
      </c>
    </row>
    <row r="3631" spans="1:4" x14ac:dyDescent="0.3">
      <c r="A3631" t="s">
        <v>1633</v>
      </c>
      <c r="B3631">
        <v>58.283857478794367</v>
      </c>
      <c r="C3631" t="s">
        <v>2075</v>
      </c>
      <c r="D3631" t="s">
        <v>2277</v>
      </c>
    </row>
    <row r="3632" spans="1:4" x14ac:dyDescent="0.3">
      <c r="A3632" t="s">
        <v>1628</v>
      </c>
      <c r="B3632">
        <v>52.402209158031233</v>
      </c>
      <c r="C3632" t="s">
        <v>2075</v>
      </c>
      <c r="D3632" t="s">
        <v>2278</v>
      </c>
    </row>
    <row r="3633" spans="1:4" x14ac:dyDescent="0.3">
      <c r="A3633" t="s">
        <v>17</v>
      </c>
      <c r="B3633">
        <v>34.859630146607046</v>
      </c>
      <c r="C3633" t="s">
        <v>2075</v>
      </c>
      <c r="D3633" t="s">
        <v>2278</v>
      </c>
    </row>
    <row r="3634" spans="1:4" x14ac:dyDescent="0.3">
      <c r="A3634" t="s">
        <v>209</v>
      </c>
      <c r="B3634">
        <v>17.501980947637506</v>
      </c>
      <c r="C3634" t="s">
        <v>2075</v>
      </c>
      <c r="D3634" t="s">
        <v>2278</v>
      </c>
    </row>
    <row r="3635" spans="1:4" x14ac:dyDescent="0.3">
      <c r="A3635" t="s">
        <v>446</v>
      </c>
      <c r="B3635">
        <v>4.0598063786682376E-2</v>
      </c>
      <c r="C3635" t="s">
        <v>2075</v>
      </c>
      <c r="D3635" t="s">
        <v>2278</v>
      </c>
    </row>
    <row r="3636" spans="1:4" x14ac:dyDescent="0.3">
      <c r="A3636" t="s">
        <v>1632</v>
      </c>
      <c r="B3636">
        <v>5.8816483207631309</v>
      </c>
      <c r="C3636" t="s">
        <v>2075</v>
      </c>
      <c r="D3636" t="s">
        <v>2278</v>
      </c>
    </row>
    <row r="3637" spans="1:4" x14ac:dyDescent="0.3">
      <c r="A3637" t="s">
        <v>1626</v>
      </c>
      <c r="B3637">
        <v>10.599719034018653</v>
      </c>
      <c r="C3637" t="s">
        <v>2075</v>
      </c>
      <c r="D3637" t="s">
        <v>2278</v>
      </c>
    </row>
    <row r="3638" spans="1:4" x14ac:dyDescent="0.3">
      <c r="A3638" t="s">
        <v>1627</v>
      </c>
      <c r="B3638">
        <v>-3.0110498256413547</v>
      </c>
      <c r="C3638" t="s">
        <v>2075</v>
      </c>
      <c r="D3638" t="s">
        <v>2278</v>
      </c>
    </row>
    <row r="3639" spans="1:4" x14ac:dyDescent="0.3">
      <c r="A3639" t="s">
        <v>1625</v>
      </c>
      <c r="B3639">
        <v>-1.5624940651945953</v>
      </c>
      <c r="C3639" t="s">
        <v>2075</v>
      </c>
      <c r="D3639" t="s">
        <v>2278</v>
      </c>
    </row>
    <row r="3640" spans="1:4" x14ac:dyDescent="0.3">
      <c r="A3640" t="s">
        <v>1623</v>
      </c>
      <c r="B3640">
        <v>-0.14452682241957315</v>
      </c>
      <c r="C3640" t="s">
        <v>2075</v>
      </c>
      <c r="D3640" t="s">
        <v>2278</v>
      </c>
    </row>
    <row r="3641" spans="1:4" x14ac:dyDescent="0.3">
      <c r="A3641" t="s">
        <v>1633</v>
      </c>
      <c r="B3641">
        <v>58.283857478794367</v>
      </c>
      <c r="C3641" t="s">
        <v>2075</v>
      </c>
      <c r="D3641" t="s">
        <v>2278</v>
      </c>
    </row>
    <row r="3642" spans="1:4" x14ac:dyDescent="0.3">
      <c r="A3642" t="s">
        <v>1628</v>
      </c>
      <c r="B3642">
        <v>52.402209158031233</v>
      </c>
      <c r="C3642" t="s">
        <v>2075</v>
      </c>
      <c r="D3642" t="s">
        <v>2279</v>
      </c>
    </row>
    <row r="3643" spans="1:4" x14ac:dyDescent="0.3">
      <c r="A3643" t="s">
        <v>17</v>
      </c>
      <c r="B3643">
        <v>34.859630146607046</v>
      </c>
      <c r="C3643" t="s">
        <v>2075</v>
      </c>
      <c r="D3643" t="s">
        <v>2279</v>
      </c>
    </row>
    <row r="3644" spans="1:4" x14ac:dyDescent="0.3">
      <c r="A3644" t="s">
        <v>209</v>
      </c>
      <c r="B3644">
        <v>17.501980947637506</v>
      </c>
      <c r="C3644" t="s">
        <v>2075</v>
      </c>
      <c r="D3644" t="s">
        <v>2279</v>
      </c>
    </row>
    <row r="3645" spans="1:4" x14ac:dyDescent="0.3">
      <c r="A3645" t="s">
        <v>446</v>
      </c>
      <c r="B3645">
        <v>4.0598063786682376E-2</v>
      </c>
      <c r="C3645" t="s">
        <v>2075</v>
      </c>
      <c r="D3645" t="s">
        <v>2279</v>
      </c>
    </row>
    <row r="3646" spans="1:4" x14ac:dyDescent="0.3">
      <c r="A3646" t="s">
        <v>1632</v>
      </c>
      <c r="B3646">
        <v>5.8816483207631309</v>
      </c>
      <c r="C3646" t="s">
        <v>2075</v>
      </c>
      <c r="D3646" t="s">
        <v>2279</v>
      </c>
    </row>
    <row r="3647" spans="1:4" x14ac:dyDescent="0.3">
      <c r="A3647" t="s">
        <v>1626</v>
      </c>
      <c r="B3647">
        <v>10.599719034018653</v>
      </c>
      <c r="C3647" t="s">
        <v>2075</v>
      </c>
      <c r="D3647" t="s">
        <v>2279</v>
      </c>
    </row>
    <row r="3648" spans="1:4" x14ac:dyDescent="0.3">
      <c r="A3648" t="s">
        <v>1627</v>
      </c>
      <c r="B3648">
        <v>-3.0110498256413547</v>
      </c>
      <c r="C3648" t="s">
        <v>2075</v>
      </c>
      <c r="D3648" t="s">
        <v>2279</v>
      </c>
    </row>
    <row r="3649" spans="1:4" x14ac:dyDescent="0.3">
      <c r="A3649" t="s">
        <v>1625</v>
      </c>
      <c r="B3649">
        <v>-1.5624940651945953</v>
      </c>
      <c r="C3649" t="s">
        <v>2075</v>
      </c>
      <c r="D3649" t="s">
        <v>2279</v>
      </c>
    </row>
    <row r="3650" spans="1:4" x14ac:dyDescent="0.3">
      <c r="A3650" t="s">
        <v>1623</v>
      </c>
      <c r="B3650">
        <v>-0.14452682241957315</v>
      </c>
      <c r="C3650" t="s">
        <v>2075</v>
      </c>
      <c r="D3650" t="s">
        <v>2279</v>
      </c>
    </row>
    <row r="3651" spans="1:4" x14ac:dyDescent="0.3">
      <c r="A3651" t="s">
        <v>1633</v>
      </c>
      <c r="B3651">
        <v>58.283857478794367</v>
      </c>
      <c r="C3651" t="s">
        <v>2075</v>
      </c>
      <c r="D3651" t="s">
        <v>2279</v>
      </c>
    </row>
    <row r="3652" spans="1:4" x14ac:dyDescent="0.3">
      <c r="A3652" t="s">
        <v>1628</v>
      </c>
      <c r="B3652">
        <v>52.402209158031233</v>
      </c>
      <c r="C3652" t="s">
        <v>2075</v>
      </c>
      <c r="D3652" t="s">
        <v>2280</v>
      </c>
    </row>
    <row r="3653" spans="1:4" x14ac:dyDescent="0.3">
      <c r="A3653" t="s">
        <v>17</v>
      </c>
      <c r="B3653">
        <v>34.859630146607046</v>
      </c>
      <c r="C3653" t="s">
        <v>2075</v>
      </c>
      <c r="D3653" t="s">
        <v>2280</v>
      </c>
    </row>
    <row r="3654" spans="1:4" x14ac:dyDescent="0.3">
      <c r="A3654" t="s">
        <v>209</v>
      </c>
      <c r="B3654">
        <v>17.501980947637506</v>
      </c>
      <c r="C3654" t="s">
        <v>2075</v>
      </c>
      <c r="D3654" t="s">
        <v>2280</v>
      </c>
    </row>
    <row r="3655" spans="1:4" x14ac:dyDescent="0.3">
      <c r="A3655" t="s">
        <v>446</v>
      </c>
      <c r="B3655">
        <v>4.0598063786682376E-2</v>
      </c>
      <c r="C3655" t="s">
        <v>2075</v>
      </c>
      <c r="D3655" t="s">
        <v>2280</v>
      </c>
    </row>
    <row r="3656" spans="1:4" x14ac:dyDescent="0.3">
      <c r="A3656" t="s">
        <v>1632</v>
      </c>
      <c r="B3656">
        <v>5.8816483207631309</v>
      </c>
      <c r="C3656" t="s">
        <v>2075</v>
      </c>
      <c r="D3656" t="s">
        <v>2280</v>
      </c>
    </row>
    <row r="3657" spans="1:4" x14ac:dyDescent="0.3">
      <c r="A3657" t="s">
        <v>1626</v>
      </c>
      <c r="B3657">
        <v>10.599719034018653</v>
      </c>
      <c r="C3657" t="s">
        <v>2075</v>
      </c>
      <c r="D3657" t="s">
        <v>2280</v>
      </c>
    </row>
    <row r="3658" spans="1:4" x14ac:dyDescent="0.3">
      <c r="A3658" t="s">
        <v>1627</v>
      </c>
      <c r="B3658">
        <v>-3.0110498256413547</v>
      </c>
      <c r="C3658" t="s">
        <v>2075</v>
      </c>
      <c r="D3658" t="s">
        <v>2280</v>
      </c>
    </row>
    <row r="3659" spans="1:4" x14ac:dyDescent="0.3">
      <c r="A3659" t="s">
        <v>1625</v>
      </c>
      <c r="B3659">
        <v>-1.5624940651945953</v>
      </c>
      <c r="C3659" t="s">
        <v>2075</v>
      </c>
      <c r="D3659" t="s">
        <v>2280</v>
      </c>
    </row>
    <row r="3660" spans="1:4" x14ac:dyDescent="0.3">
      <c r="A3660" t="s">
        <v>1623</v>
      </c>
      <c r="B3660">
        <v>-0.14452682241957315</v>
      </c>
      <c r="C3660" t="s">
        <v>2075</v>
      </c>
      <c r="D3660" t="s">
        <v>2280</v>
      </c>
    </row>
    <row r="3661" spans="1:4" x14ac:dyDescent="0.3">
      <c r="A3661" t="s">
        <v>1633</v>
      </c>
      <c r="B3661">
        <v>58.283857478794367</v>
      </c>
      <c r="C3661" t="s">
        <v>2075</v>
      </c>
      <c r="D3661" t="s">
        <v>2280</v>
      </c>
    </row>
    <row r="3662" spans="1:4" x14ac:dyDescent="0.3">
      <c r="A3662" t="s">
        <v>1628</v>
      </c>
      <c r="B3662">
        <v>52.402209158031233</v>
      </c>
      <c r="C3662" t="s">
        <v>2075</v>
      </c>
      <c r="D3662" t="s">
        <v>2281</v>
      </c>
    </row>
    <row r="3663" spans="1:4" x14ac:dyDescent="0.3">
      <c r="A3663" t="s">
        <v>17</v>
      </c>
      <c r="B3663">
        <v>34.859630146607046</v>
      </c>
      <c r="C3663" t="s">
        <v>2075</v>
      </c>
      <c r="D3663" t="s">
        <v>2281</v>
      </c>
    </row>
    <row r="3664" spans="1:4" x14ac:dyDescent="0.3">
      <c r="A3664" t="s">
        <v>209</v>
      </c>
      <c r="B3664">
        <v>17.501980947637506</v>
      </c>
      <c r="C3664" t="s">
        <v>2075</v>
      </c>
      <c r="D3664" t="s">
        <v>2281</v>
      </c>
    </row>
    <row r="3665" spans="1:4" x14ac:dyDescent="0.3">
      <c r="A3665" t="s">
        <v>446</v>
      </c>
      <c r="B3665">
        <v>4.0598063786682376E-2</v>
      </c>
      <c r="C3665" t="s">
        <v>2075</v>
      </c>
      <c r="D3665" t="s">
        <v>2281</v>
      </c>
    </row>
    <row r="3666" spans="1:4" x14ac:dyDescent="0.3">
      <c r="A3666" t="s">
        <v>1632</v>
      </c>
      <c r="B3666">
        <v>5.8816483207631309</v>
      </c>
      <c r="C3666" t="s">
        <v>2075</v>
      </c>
      <c r="D3666" t="s">
        <v>2281</v>
      </c>
    </row>
    <row r="3667" spans="1:4" x14ac:dyDescent="0.3">
      <c r="A3667" t="s">
        <v>1626</v>
      </c>
      <c r="B3667">
        <v>10.599719034018653</v>
      </c>
      <c r="C3667" t="s">
        <v>2075</v>
      </c>
      <c r="D3667" t="s">
        <v>2281</v>
      </c>
    </row>
    <row r="3668" spans="1:4" x14ac:dyDescent="0.3">
      <c r="A3668" t="s">
        <v>1627</v>
      </c>
      <c r="B3668">
        <v>-3.0110498256413547</v>
      </c>
      <c r="C3668" t="s">
        <v>2075</v>
      </c>
      <c r="D3668" t="s">
        <v>2281</v>
      </c>
    </row>
    <row r="3669" spans="1:4" x14ac:dyDescent="0.3">
      <c r="A3669" t="s">
        <v>1625</v>
      </c>
      <c r="B3669">
        <v>-1.5624940651945953</v>
      </c>
      <c r="C3669" t="s">
        <v>2075</v>
      </c>
      <c r="D3669" t="s">
        <v>2281</v>
      </c>
    </row>
    <row r="3670" spans="1:4" x14ac:dyDescent="0.3">
      <c r="A3670" t="s">
        <v>1623</v>
      </c>
      <c r="B3670">
        <v>-0.14452682241957315</v>
      </c>
      <c r="C3670" t="s">
        <v>2075</v>
      </c>
      <c r="D3670" t="s">
        <v>2281</v>
      </c>
    </row>
    <row r="3671" spans="1:4" x14ac:dyDescent="0.3">
      <c r="A3671" t="s">
        <v>1633</v>
      </c>
      <c r="B3671">
        <v>58.283857478794367</v>
      </c>
      <c r="C3671" t="s">
        <v>2075</v>
      </c>
      <c r="D3671" t="s">
        <v>2281</v>
      </c>
    </row>
    <row r="3672" spans="1:4" x14ac:dyDescent="0.3">
      <c r="A3672" t="s">
        <v>1628</v>
      </c>
      <c r="B3672">
        <v>17.595233262205817</v>
      </c>
      <c r="C3672" t="s">
        <v>860</v>
      </c>
      <c r="D3672" t="s">
        <v>2024</v>
      </c>
    </row>
    <row r="3673" spans="1:4" x14ac:dyDescent="0.3">
      <c r="A3673" t="s">
        <v>17</v>
      </c>
      <c r="B3673">
        <v>0</v>
      </c>
      <c r="C3673" t="s">
        <v>860</v>
      </c>
      <c r="D3673" t="s">
        <v>2024</v>
      </c>
    </row>
    <row r="3674" spans="1:4" x14ac:dyDescent="0.3">
      <c r="A3674" t="s">
        <v>209</v>
      </c>
      <c r="B3674">
        <v>17.554635198419135</v>
      </c>
      <c r="C3674" t="s">
        <v>860</v>
      </c>
      <c r="D3674" t="s">
        <v>2024</v>
      </c>
    </row>
    <row r="3675" spans="1:4" x14ac:dyDescent="0.3">
      <c r="A3675" t="s">
        <v>446</v>
      </c>
      <c r="B3675">
        <v>4.0598063786682376E-2</v>
      </c>
      <c r="C3675" t="s">
        <v>860</v>
      </c>
      <c r="D3675" t="s">
        <v>2024</v>
      </c>
    </row>
    <row r="3676" spans="1:4" x14ac:dyDescent="0.3">
      <c r="A3676" t="s">
        <v>1632</v>
      </c>
      <c r="B3676" t="s">
        <v>361</v>
      </c>
      <c r="C3676" t="s">
        <v>860</v>
      </c>
      <c r="D3676" t="s">
        <v>2024</v>
      </c>
    </row>
    <row r="3677" spans="1:4" x14ac:dyDescent="0.3">
      <c r="A3677" t="s">
        <v>1626</v>
      </c>
      <c r="B3677" t="s">
        <v>361</v>
      </c>
      <c r="C3677" t="s">
        <v>860</v>
      </c>
      <c r="D3677" t="s">
        <v>2024</v>
      </c>
    </row>
    <row r="3678" spans="1:4" x14ac:dyDescent="0.3">
      <c r="A3678" t="s">
        <v>1627</v>
      </c>
      <c r="B3678" t="s">
        <v>361</v>
      </c>
      <c r="C3678" t="s">
        <v>860</v>
      </c>
      <c r="D3678" t="s">
        <v>2024</v>
      </c>
    </row>
    <row r="3679" spans="1:4" x14ac:dyDescent="0.3">
      <c r="A3679" t="s">
        <v>1625</v>
      </c>
      <c r="B3679" t="s">
        <v>361</v>
      </c>
      <c r="C3679" t="s">
        <v>860</v>
      </c>
      <c r="D3679" t="s">
        <v>2024</v>
      </c>
    </row>
    <row r="3680" spans="1:4" x14ac:dyDescent="0.3">
      <c r="A3680" t="s">
        <v>1623</v>
      </c>
      <c r="B3680" t="s">
        <v>361</v>
      </c>
      <c r="C3680" t="s">
        <v>860</v>
      </c>
      <c r="D3680" t="s">
        <v>2024</v>
      </c>
    </row>
    <row r="3681" spans="1:4" x14ac:dyDescent="0.3">
      <c r="A3681" t="s">
        <v>1633</v>
      </c>
      <c r="B3681">
        <v>17.595233262205817</v>
      </c>
      <c r="C3681" t="s">
        <v>860</v>
      </c>
      <c r="D3681" t="s">
        <v>2024</v>
      </c>
    </row>
    <row r="3682" spans="1:4" x14ac:dyDescent="0.3">
      <c r="A3682" t="s">
        <v>1628</v>
      </c>
      <c r="B3682">
        <v>35.220246231044904</v>
      </c>
      <c r="C3682" t="s">
        <v>860</v>
      </c>
      <c r="D3682" t="s">
        <v>2025</v>
      </c>
    </row>
    <row r="3683" spans="1:4" x14ac:dyDescent="0.3">
      <c r="A3683" t="s">
        <v>17</v>
      </c>
      <c r="B3683">
        <v>0</v>
      </c>
      <c r="C3683" t="s">
        <v>860</v>
      </c>
      <c r="D3683" t="s">
        <v>2025</v>
      </c>
    </row>
    <row r="3684" spans="1:4" x14ac:dyDescent="0.3">
      <c r="A3684" t="s">
        <v>209</v>
      </c>
      <c r="B3684">
        <v>35.179648167258222</v>
      </c>
      <c r="C3684" t="s">
        <v>860</v>
      </c>
      <c r="D3684" t="s">
        <v>2025</v>
      </c>
    </row>
    <row r="3685" spans="1:4" x14ac:dyDescent="0.3">
      <c r="A3685" t="s">
        <v>446</v>
      </c>
      <c r="B3685">
        <v>4.0598063786682376E-2</v>
      </c>
      <c r="C3685" t="s">
        <v>860</v>
      </c>
      <c r="D3685" t="s">
        <v>2025</v>
      </c>
    </row>
    <row r="3686" spans="1:4" x14ac:dyDescent="0.3">
      <c r="A3686" t="s">
        <v>1632</v>
      </c>
      <c r="B3686" t="s">
        <v>361</v>
      </c>
      <c r="C3686" t="s">
        <v>860</v>
      </c>
      <c r="D3686" t="s">
        <v>2025</v>
      </c>
    </row>
    <row r="3687" spans="1:4" x14ac:dyDescent="0.3">
      <c r="A3687" t="s">
        <v>1626</v>
      </c>
      <c r="B3687" t="s">
        <v>361</v>
      </c>
      <c r="C3687" t="s">
        <v>860</v>
      </c>
      <c r="D3687" t="s">
        <v>2025</v>
      </c>
    </row>
    <row r="3688" spans="1:4" x14ac:dyDescent="0.3">
      <c r="A3688" t="s">
        <v>1627</v>
      </c>
      <c r="B3688" t="s">
        <v>361</v>
      </c>
      <c r="C3688" t="s">
        <v>860</v>
      </c>
      <c r="D3688" t="s">
        <v>2025</v>
      </c>
    </row>
    <row r="3689" spans="1:4" x14ac:dyDescent="0.3">
      <c r="A3689" t="s">
        <v>1625</v>
      </c>
      <c r="B3689" t="s">
        <v>361</v>
      </c>
      <c r="C3689" t="s">
        <v>860</v>
      </c>
      <c r="D3689" t="s">
        <v>2025</v>
      </c>
    </row>
    <row r="3690" spans="1:4" x14ac:dyDescent="0.3">
      <c r="A3690" t="s">
        <v>1623</v>
      </c>
      <c r="B3690" t="s">
        <v>361</v>
      </c>
      <c r="C3690" t="s">
        <v>860</v>
      </c>
      <c r="D3690" t="s">
        <v>2025</v>
      </c>
    </row>
    <row r="3691" spans="1:4" x14ac:dyDescent="0.3">
      <c r="A3691" t="s">
        <v>1633</v>
      </c>
      <c r="B3691">
        <v>35.220246231044904</v>
      </c>
      <c r="C3691" t="s">
        <v>860</v>
      </c>
      <c r="D3691" t="s">
        <v>2025</v>
      </c>
    </row>
    <row r="3692" spans="1:4" x14ac:dyDescent="0.3">
      <c r="A3692" t="s">
        <v>1628</v>
      </c>
      <c r="B3692">
        <v>17.595233262205817</v>
      </c>
      <c r="C3692" t="s">
        <v>860</v>
      </c>
      <c r="D3692" t="s">
        <v>2026</v>
      </c>
    </row>
    <row r="3693" spans="1:4" x14ac:dyDescent="0.3">
      <c r="A3693" t="s">
        <v>17</v>
      </c>
      <c r="B3693">
        <v>0</v>
      </c>
      <c r="C3693" t="s">
        <v>860</v>
      </c>
      <c r="D3693" t="s">
        <v>2026</v>
      </c>
    </row>
    <row r="3694" spans="1:4" x14ac:dyDescent="0.3">
      <c r="A3694" t="s">
        <v>209</v>
      </c>
      <c r="B3694">
        <v>17.554635198419135</v>
      </c>
      <c r="C3694" t="s">
        <v>860</v>
      </c>
      <c r="D3694" t="s">
        <v>2026</v>
      </c>
    </row>
    <row r="3695" spans="1:4" x14ac:dyDescent="0.3">
      <c r="A3695" t="s">
        <v>446</v>
      </c>
      <c r="B3695">
        <v>4.0598063786682376E-2</v>
      </c>
      <c r="C3695" t="s">
        <v>860</v>
      </c>
      <c r="D3695" t="s">
        <v>2026</v>
      </c>
    </row>
    <row r="3696" spans="1:4" x14ac:dyDescent="0.3">
      <c r="A3696" t="s">
        <v>1632</v>
      </c>
      <c r="B3696" t="s">
        <v>361</v>
      </c>
      <c r="C3696" t="s">
        <v>860</v>
      </c>
      <c r="D3696" t="s">
        <v>2026</v>
      </c>
    </row>
    <row r="3697" spans="1:4" x14ac:dyDescent="0.3">
      <c r="A3697" t="s">
        <v>1626</v>
      </c>
      <c r="B3697" t="s">
        <v>361</v>
      </c>
      <c r="C3697" t="s">
        <v>860</v>
      </c>
      <c r="D3697" t="s">
        <v>2026</v>
      </c>
    </row>
    <row r="3698" spans="1:4" x14ac:dyDescent="0.3">
      <c r="A3698" t="s">
        <v>1627</v>
      </c>
      <c r="B3698" t="s">
        <v>361</v>
      </c>
      <c r="C3698" t="s">
        <v>860</v>
      </c>
      <c r="D3698" t="s">
        <v>2026</v>
      </c>
    </row>
    <row r="3699" spans="1:4" x14ac:dyDescent="0.3">
      <c r="A3699" t="s">
        <v>1625</v>
      </c>
      <c r="B3699" t="s">
        <v>361</v>
      </c>
      <c r="C3699" t="s">
        <v>860</v>
      </c>
      <c r="D3699" t="s">
        <v>2026</v>
      </c>
    </row>
    <row r="3700" spans="1:4" x14ac:dyDescent="0.3">
      <c r="A3700" t="s">
        <v>1623</v>
      </c>
      <c r="B3700" t="s">
        <v>361</v>
      </c>
      <c r="C3700" t="s">
        <v>860</v>
      </c>
      <c r="D3700" t="s">
        <v>2026</v>
      </c>
    </row>
    <row r="3701" spans="1:4" x14ac:dyDescent="0.3">
      <c r="A3701" t="s">
        <v>1633</v>
      </c>
      <c r="B3701">
        <v>17.595233262205817</v>
      </c>
      <c r="C3701" t="s">
        <v>860</v>
      </c>
      <c r="D3701" t="s">
        <v>2026</v>
      </c>
    </row>
    <row r="3702" spans="1:4" x14ac:dyDescent="0.3">
      <c r="A3702" t="s">
        <v>1628</v>
      </c>
      <c r="B3702">
        <v>17.595233262205817</v>
      </c>
      <c r="C3702" t="s">
        <v>860</v>
      </c>
      <c r="D3702" t="s">
        <v>2027</v>
      </c>
    </row>
    <row r="3703" spans="1:4" x14ac:dyDescent="0.3">
      <c r="A3703" t="s">
        <v>17</v>
      </c>
      <c r="B3703">
        <v>0</v>
      </c>
      <c r="C3703" t="s">
        <v>860</v>
      </c>
      <c r="D3703" t="s">
        <v>2027</v>
      </c>
    </row>
    <row r="3704" spans="1:4" x14ac:dyDescent="0.3">
      <c r="A3704" t="s">
        <v>209</v>
      </c>
      <c r="B3704">
        <v>17.554635198419135</v>
      </c>
      <c r="C3704" t="s">
        <v>860</v>
      </c>
      <c r="D3704" t="s">
        <v>2027</v>
      </c>
    </row>
    <row r="3705" spans="1:4" x14ac:dyDescent="0.3">
      <c r="A3705" t="s">
        <v>446</v>
      </c>
      <c r="B3705">
        <v>4.0598063786682376E-2</v>
      </c>
      <c r="C3705" t="s">
        <v>860</v>
      </c>
      <c r="D3705" t="s">
        <v>2027</v>
      </c>
    </row>
    <row r="3706" spans="1:4" x14ac:dyDescent="0.3">
      <c r="A3706" t="s">
        <v>1632</v>
      </c>
      <c r="B3706" t="s">
        <v>361</v>
      </c>
      <c r="C3706" t="s">
        <v>860</v>
      </c>
      <c r="D3706" t="s">
        <v>2027</v>
      </c>
    </row>
    <row r="3707" spans="1:4" x14ac:dyDescent="0.3">
      <c r="A3707" t="s">
        <v>1626</v>
      </c>
      <c r="B3707" t="s">
        <v>361</v>
      </c>
      <c r="C3707" t="s">
        <v>860</v>
      </c>
      <c r="D3707" t="s">
        <v>2027</v>
      </c>
    </row>
    <row r="3708" spans="1:4" x14ac:dyDescent="0.3">
      <c r="A3708" t="s">
        <v>1627</v>
      </c>
      <c r="B3708" t="s">
        <v>361</v>
      </c>
      <c r="C3708" t="s">
        <v>860</v>
      </c>
      <c r="D3708" t="s">
        <v>2027</v>
      </c>
    </row>
    <row r="3709" spans="1:4" x14ac:dyDescent="0.3">
      <c r="A3709" t="s">
        <v>1625</v>
      </c>
      <c r="B3709" t="s">
        <v>361</v>
      </c>
      <c r="C3709" t="s">
        <v>860</v>
      </c>
      <c r="D3709" t="s">
        <v>2027</v>
      </c>
    </row>
    <row r="3710" spans="1:4" x14ac:dyDescent="0.3">
      <c r="A3710" t="s">
        <v>1623</v>
      </c>
      <c r="B3710" t="s">
        <v>361</v>
      </c>
      <c r="C3710" t="s">
        <v>860</v>
      </c>
      <c r="D3710" t="s">
        <v>2027</v>
      </c>
    </row>
    <row r="3711" spans="1:4" x14ac:dyDescent="0.3">
      <c r="A3711" t="s">
        <v>1633</v>
      </c>
      <c r="B3711">
        <v>17.595233262205817</v>
      </c>
      <c r="C3711" t="s">
        <v>860</v>
      </c>
      <c r="D3711" t="s">
        <v>2027</v>
      </c>
    </row>
    <row r="3712" spans="1:4" x14ac:dyDescent="0.3">
      <c r="A3712" t="s">
        <v>1628</v>
      </c>
      <c r="B3712">
        <v>16.504890044517175</v>
      </c>
      <c r="C3712" t="s">
        <v>860</v>
      </c>
      <c r="D3712" t="s">
        <v>2028</v>
      </c>
    </row>
    <row r="3713" spans="1:4" x14ac:dyDescent="0.3">
      <c r="A3713" t="s">
        <v>17</v>
      </c>
      <c r="B3713">
        <v>0</v>
      </c>
      <c r="C3713" t="s">
        <v>860</v>
      </c>
      <c r="D3713" t="s">
        <v>2028</v>
      </c>
    </row>
    <row r="3714" spans="1:4" x14ac:dyDescent="0.3">
      <c r="A3714" t="s">
        <v>209</v>
      </c>
      <c r="B3714">
        <v>16.464291980730493</v>
      </c>
      <c r="C3714" t="s">
        <v>860</v>
      </c>
      <c r="D3714" t="s">
        <v>2028</v>
      </c>
    </row>
    <row r="3715" spans="1:4" x14ac:dyDescent="0.3">
      <c r="A3715" t="s">
        <v>446</v>
      </c>
      <c r="B3715">
        <v>4.0598063786682376E-2</v>
      </c>
      <c r="C3715" t="s">
        <v>860</v>
      </c>
      <c r="D3715" t="s">
        <v>2028</v>
      </c>
    </row>
    <row r="3716" spans="1:4" x14ac:dyDescent="0.3">
      <c r="A3716" t="s">
        <v>1632</v>
      </c>
      <c r="B3716" t="s">
        <v>361</v>
      </c>
      <c r="C3716" t="s">
        <v>860</v>
      </c>
      <c r="D3716" t="s">
        <v>2028</v>
      </c>
    </row>
    <row r="3717" spans="1:4" x14ac:dyDescent="0.3">
      <c r="A3717" t="s">
        <v>1626</v>
      </c>
      <c r="B3717" t="s">
        <v>361</v>
      </c>
      <c r="C3717" t="s">
        <v>860</v>
      </c>
      <c r="D3717" t="s">
        <v>2028</v>
      </c>
    </row>
    <row r="3718" spans="1:4" x14ac:dyDescent="0.3">
      <c r="A3718" t="s">
        <v>1627</v>
      </c>
      <c r="B3718" t="s">
        <v>361</v>
      </c>
      <c r="C3718" t="s">
        <v>860</v>
      </c>
      <c r="D3718" t="s">
        <v>2028</v>
      </c>
    </row>
    <row r="3719" spans="1:4" x14ac:dyDescent="0.3">
      <c r="A3719" t="s">
        <v>1625</v>
      </c>
      <c r="B3719" t="s">
        <v>361</v>
      </c>
      <c r="C3719" t="s">
        <v>860</v>
      </c>
      <c r="D3719" t="s">
        <v>2028</v>
      </c>
    </row>
    <row r="3720" spans="1:4" x14ac:dyDescent="0.3">
      <c r="A3720" t="s">
        <v>1623</v>
      </c>
      <c r="B3720" t="s">
        <v>361</v>
      </c>
      <c r="C3720" t="s">
        <v>860</v>
      </c>
      <c r="D3720" t="s">
        <v>2028</v>
      </c>
    </row>
    <row r="3721" spans="1:4" x14ac:dyDescent="0.3">
      <c r="A3721" t="s">
        <v>1633</v>
      </c>
      <c r="B3721">
        <v>16.504890044517175</v>
      </c>
      <c r="C3721" t="s">
        <v>860</v>
      </c>
      <c r="D3721" t="s">
        <v>2028</v>
      </c>
    </row>
    <row r="3722" spans="1:4" x14ac:dyDescent="0.3">
      <c r="A3722" t="s">
        <v>1628</v>
      </c>
      <c r="B3722">
        <v>17.595233262205817</v>
      </c>
      <c r="C3722" t="s">
        <v>860</v>
      </c>
      <c r="D3722" t="s">
        <v>2029</v>
      </c>
    </row>
    <row r="3723" spans="1:4" x14ac:dyDescent="0.3">
      <c r="A3723" t="s">
        <v>17</v>
      </c>
      <c r="B3723">
        <v>0</v>
      </c>
      <c r="C3723" t="s">
        <v>860</v>
      </c>
      <c r="D3723" t="s">
        <v>2029</v>
      </c>
    </row>
    <row r="3724" spans="1:4" x14ac:dyDescent="0.3">
      <c r="A3724" t="s">
        <v>209</v>
      </c>
      <c r="B3724">
        <v>17.554635198419135</v>
      </c>
      <c r="C3724" t="s">
        <v>860</v>
      </c>
      <c r="D3724" t="s">
        <v>2029</v>
      </c>
    </row>
    <row r="3725" spans="1:4" x14ac:dyDescent="0.3">
      <c r="A3725" t="s">
        <v>446</v>
      </c>
      <c r="B3725">
        <v>4.0598063786682376E-2</v>
      </c>
      <c r="C3725" t="s">
        <v>860</v>
      </c>
      <c r="D3725" t="s">
        <v>2029</v>
      </c>
    </row>
    <row r="3726" spans="1:4" x14ac:dyDescent="0.3">
      <c r="A3726" t="s">
        <v>1632</v>
      </c>
      <c r="B3726" t="s">
        <v>361</v>
      </c>
      <c r="C3726" t="s">
        <v>860</v>
      </c>
      <c r="D3726" t="s">
        <v>2029</v>
      </c>
    </row>
    <row r="3727" spans="1:4" x14ac:dyDescent="0.3">
      <c r="A3727" t="s">
        <v>1626</v>
      </c>
      <c r="B3727" t="s">
        <v>361</v>
      </c>
      <c r="C3727" t="s">
        <v>860</v>
      </c>
      <c r="D3727" t="s">
        <v>2029</v>
      </c>
    </row>
    <row r="3728" spans="1:4" x14ac:dyDescent="0.3">
      <c r="A3728" t="s">
        <v>1627</v>
      </c>
      <c r="B3728" t="s">
        <v>361</v>
      </c>
      <c r="C3728" t="s">
        <v>860</v>
      </c>
      <c r="D3728" t="s">
        <v>2029</v>
      </c>
    </row>
    <row r="3729" spans="1:4" x14ac:dyDescent="0.3">
      <c r="A3729" t="s">
        <v>1625</v>
      </c>
      <c r="B3729" t="s">
        <v>361</v>
      </c>
      <c r="C3729" t="s">
        <v>860</v>
      </c>
      <c r="D3729" t="s">
        <v>2029</v>
      </c>
    </row>
    <row r="3730" spans="1:4" x14ac:dyDescent="0.3">
      <c r="A3730" t="s">
        <v>1623</v>
      </c>
      <c r="B3730" t="s">
        <v>361</v>
      </c>
      <c r="C3730" t="s">
        <v>860</v>
      </c>
      <c r="D3730" t="s">
        <v>2029</v>
      </c>
    </row>
    <row r="3731" spans="1:4" x14ac:dyDescent="0.3">
      <c r="A3731" t="s">
        <v>1633</v>
      </c>
      <c r="B3731">
        <v>17.595233262205817</v>
      </c>
      <c r="C3731" t="s">
        <v>860</v>
      </c>
      <c r="D3731" t="s">
        <v>2029</v>
      </c>
    </row>
    <row r="3732" spans="1:4" x14ac:dyDescent="0.3">
      <c r="A3732" t="s">
        <v>1628</v>
      </c>
      <c r="B3732">
        <v>17.595233262205817</v>
      </c>
      <c r="C3732" t="s">
        <v>860</v>
      </c>
      <c r="D3732" t="s">
        <v>2030</v>
      </c>
    </row>
    <row r="3733" spans="1:4" x14ac:dyDescent="0.3">
      <c r="A3733" t="s">
        <v>17</v>
      </c>
      <c r="B3733">
        <v>0</v>
      </c>
      <c r="C3733" t="s">
        <v>860</v>
      </c>
      <c r="D3733" t="s">
        <v>2030</v>
      </c>
    </row>
    <row r="3734" spans="1:4" x14ac:dyDescent="0.3">
      <c r="A3734" t="s">
        <v>209</v>
      </c>
      <c r="B3734">
        <v>17.554635198419135</v>
      </c>
      <c r="C3734" t="s">
        <v>860</v>
      </c>
      <c r="D3734" t="s">
        <v>2030</v>
      </c>
    </row>
    <row r="3735" spans="1:4" x14ac:dyDescent="0.3">
      <c r="A3735" t="s">
        <v>446</v>
      </c>
      <c r="B3735">
        <v>4.0598063786682376E-2</v>
      </c>
      <c r="C3735" t="s">
        <v>860</v>
      </c>
      <c r="D3735" t="s">
        <v>2030</v>
      </c>
    </row>
    <row r="3736" spans="1:4" x14ac:dyDescent="0.3">
      <c r="A3736" t="s">
        <v>1632</v>
      </c>
      <c r="B3736" t="s">
        <v>361</v>
      </c>
      <c r="C3736" t="s">
        <v>860</v>
      </c>
      <c r="D3736" t="s">
        <v>2030</v>
      </c>
    </row>
    <row r="3737" spans="1:4" x14ac:dyDescent="0.3">
      <c r="A3737" t="s">
        <v>1626</v>
      </c>
      <c r="B3737" t="s">
        <v>361</v>
      </c>
      <c r="C3737" t="s">
        <v>860</v>
      </c>
      <c r="D3737" t="s">
        <v>2030</v>
      </c>
    </row>
    <row r="3738" spans="1:4" x14ac:dyDescent="0.3">
      <c r="A3738" t="s">
        <v>1627</v>
      </c>
      <c r="B3738" t="s">
        <v>361</v>
      </c>
      <c r="C3738" t="s">
        <v>860</v>
      </c>
      <c r="D3738" t="s">
        <v>2030</v>
      </c>
    </row>
    <row r="3739" spans="1:4" x14ac:dyDescent="0.3">
      <c r="A3739" t="s">
        <v>1625</v>
      </c>
      <c r="B3739" t="s">
        <v>361</v>
      </c>
      <c r="C3739" t="s">
        <v>860</v>
      </c>
      <c r="D3739" t="s">
        <v>2030</v>
      </c>
    </row>
    <row r="3740" spans="1:4" x14ac:dyDescent="0.3">
      <c r="A3740" t="s">
        <v>1623</v>
      </c>
      <c r="B3740" t="s">
        <v>361</v>
      </c>
      <c r="C3740" t="s">
        <v>860</v>
      </c>
      <c r="D3740" t="s">
        <v>2030</v>
      </c>
    </row>
    <row r="3741" spans="1:4" x14ac:dyDescent="0.3">
      <c r="A3741" t="s">
        <v>1633</v>
      </c>
      <c r="B3741">
        <v>17.595233262205817</v>
      </c>
      <c r="C3741" t="s">
        <v>860</v>
      </c>
      <c r="D3741" t="s">
        <v>2030</v>
      </c>
    </row>
    <row r="3742" spans="1:4" x14ac:dyDescent="0.3">
      <c r="A3742" t="s">
        <v>1628</v>
      </c>
      <c r="B3742">
        <v>16.420536693689911</v>
      </c>
      <c r="C3742" t="s">
        <v>860</v>
      </c>
      <c r="D3742" t="s">
        <v>2031</v>
      </c>
    </row>
    <row r="3743" spans="1:4" x14ac:dyDescent="0.3">
      <c r="A3743" t="s">
        <v>17</v>
      </c>
      <c r="B3743">
        <v>0</v>
      </c>
      <c r="C3743" t="s">
        <v>860</v>
      </c>
      <c r="D3743" t="s">
        <v>2031</v>
      </c>
    </row>
    <row r="3744" spans="1:4" x14ac:dyDescent="0.3">
      <c r="A3744" t="s">
        <v>209</v>
      </c>
      <c r="B3744">
        <v>16.379938629903229</v>
      </c>
      <c r="C3744" t="s">
        <v>860</v>
      </c>
      <c r="D3744" t="s">
        <v>2031</v>
      </c>
    </row>
    <row r="3745" spans="1:4" x14ac:dyDescent="0.3">
      <c r="A3745" t="s">
        <v>446</v>
      </c>
      <c r="B3745">
        <v>4.0598063786682376E-2</v>
      </c>
      <c r="C3745" t="s">
        <v>860</v>
      </c>
      <c r="D3745" t="s">
        <v>2031</v>
      </c>
    </row>
    <row r="3746" spans="1:4" x14ac:dyDescent="0.3">
      <c r="A3746" t="s">
        <v>1632</v>
      </c>
      <c r="B3746" t="s">
        <v>361</v>
      </c>
      <c r="C3746" t="s">
        <v>860</v>
      </c>
      <c r="D3746" t="s">
        <v>2031</v>
      </c>
    </row>
    <row r="3747" spans="1:4" x14ac:dyDescent="0.3">
      <c r="A3747" t="s">
        <v>1626</v>
      </c>
      <c r="B3747" t="s">
        <v>361</v>
      </c>
      <c r="C3747" t="s">
        <v>860</v>
      </c>
      <c r="D3747" t="s">
        <v>2031</v>
      </c>
    </row>
    <row r="3748" spans="1:4" x14ac:dyDescent="0.3">
      <c r="A3748" t="s">
        <v>1627</v>
      </c>
      <c r="B3748" t="s">
        <v>361</v>
      </c>
      <c r="C3748" t="s">
        <v>860</v>
      </c>
      <c r="D3748" t="s">
        <v>2031</v>
      </c>
    </row>
    <row r="3749" spans="1:4" x14ac:dyDescent="0.3">
      <c r="A3749" t="s">
        <v>1625</v>
      </c>
      <c r="B3749" t="s">
        <v>361</v>
      </c>
      <c r="C3749" t="s">
        <v>860</v>
      </c>
      <c r="D3749" t="s">
        <v>2031</v>
      </c>
    </row>
    <row r="3750" spans="1:4" x14ac:dyDescent="0.3">
      <c r="A3750" t="s">
        <v>1623</v>
      </c>
      <c r="B3750" t="s">
        <v>361</v>
      </c>
      <c r="C3750" t="s">
        <v>860</v>
      </c>
      <c r="D3750" t="s">
        <v>2031</v>
      </c>
    </row>
    <row r="3751" spans="1:4" x14ac:dyDescent="0.3">
      <c r="A3751" t="s">
        <v>1633</v>
      </c>
      <c r="B3751">
        <v>16.420536693689911</v>
      </c>
      <c r="C3751" t="s">
        <v>860</v>
      </c>
      <c r="D3751" t="s">
        <v>2031</v>
      </c>
    </row>
    <row r="3752" spans="1:4" x14ac:dyDescent="0.3">
      <c r="A3752" t="s">
        <v>1628</v>
      </c>
      <c r="B3752">
        <v>17.595233262205817</v>
      </c>
      <c r="C3752" t="s">
        <v>860</v>
      </c>
      <c r="D3752" t="s">
        <v>2032</v>
      </c>
    </row>
    <row r="3753" spans="1:4" x14ac:dyDescent="0.3">
      <c r="A3753" t="s">
        <v>17</v>
      </c>
      <c r="B3753">
        <v>0</v>
      </c>
      <c r="C3753" t="s">
        <v>860</v>
      </c>
      <c r="D3753" t="s">
        <v>2032</v>
      </c>
    </row>
    <row r="3754" spans="1:4" x14ac:dyDescent="0.3">
      <c r="A3754" t="s">
        <v>209</v>
      </c>
      <c r="B3754">
        <v>17.554635198419135</v>
      </c>
      <c r="C3754" t="s">
        <v>860</v>
      </c>
      <c r="D3754" t="s">
        <v>2032</v>
      </c>
    </row>
    <row r="3755" spans="1:4" x14ac:dyDescent="0.3">
      <c r="A3755" t="s">
        <v>446</v>
      </c>
      <c r="B3755">
        <v>4.0598063786682376E-2</v>
      </c>
      <c r="C3755" t="s">
        <v>860</v>
      </c>
      <c r="D3755" t="s">
        <v>2032</v>
      </c>
    </row>
    <row r="3756" spans="1:4" x14ac:dyDescent="0.3">
      <c r="A3756" t="s">
        <v>1632</v>
      </c>
      <c r="B3756" t="s">
        <v>361</v>
      </c>
      <c r="C3756" t="s">
        <v>860</v>
      </c>
      <c r="D3756" t="s">
        <v>2032</v>
      </c>
    </row>
    <row r="3757" spans="1:4" x14ac:dyDescent="0.3">
      <c r="A3757" t="s">
        <v>1626</v>
      </c>
      <c r="B3757" t="s">
        <v>361</v>
      </c>
      <c r="C3757" t="s">
        <v>860</v>
      </c>
      <c r="D3757" t="s">
        <v>2032</v>
      </c>
    </row>
    <row r="3758" spans="1:4" x14ac:dyDescent="0.3">
      <c r="A3758" t="s">
        <v>1627</v>
      </c>
      <c r="B3758" t="s">
        <v>361</v>
      </c>
      <c r="C3758" t="s">
        <v>860</v>
      </c>
      <c r="D3758" t="s">
        <v>2032</v>
      </c>
    </row>
    <row r="3759" spans="1:4" x14ac:dyDescent="0.3">
      <c r="A3759" t="s">
        <v>1625</v>
      </c>
      <c r="B3759" t="s">
        <v>361</v>
      </c>
      <c r="C3759" t="s">
        <v>860</v>
      </c>
      <c r="D3759" t="s">
        <v>2032</v>
      </c>
    </row>
    <row r="3760" spans="1:4" x14ac:dyDescent="0.3">
      <c r="A3760" t="s">
        <v>1623</v>
      </c>
      <c r="B3760" t="s">
        <v>361</v>
      </c>
      <c r="C3760" t="s">
        <v>860</v>
      </c>
      <c r="D3760" t="s">
        <v>2032</v>
      </c>
    </row>
    <row r="3761" spans="1:4" x14ac:dyDescent="0.3">
      <c r="A3761" t="s">
        <v>1633</v>
      </c>
      <c r="B3761">
        <v>17.595233262205817</v>
      </c>
      <c r="C3761" t="s">
        <v>860</v>
      </c>
      <c r="D3761" t="s">
        <v>2032</v>
      </c>
    </row>
    <row r="3762" spans="1:4" x14ac:dyDescent="0.3">
      <c r="A3762" t="s">
        <v>1628</v>
      </c>
      <c r="B3762">
        <v>9.7321663512086438</v>
      </c>
      <c r="C3762" t="s">
        <v>860</v>
      </c>
      <c r="D3762" t="s">
        <v>2033</v>
      </c>
    </row>
    <row r="3763" spans="1:4" x14ac:dyDescent="0.3">
      <c r="A3763" t="s">
        <v>17</v>
      </c>
      <c r="B3763">
        <v>0</v>
      </c>
      <c r="C3763" t="s">
        <v>860</v>
      </c>
      <c r="D3763" t="s">
        <v>2033</v>
      </c>
    </row>
    <row r="3764" spans="1:4" x14ac:dyDescent="0.3">
      <c r="A3764" t="s">
        <v>209</v>
      </c>
      <c r="B3764">
        <v>9.691568287421962</v>
      </c>
      <c r="C3764" t="s">
        <v>860</v>
      </c>
      <c r="D3764" t="s">
        <v>2033</v>
      </c>
    </row>
    <row r="3765" spans="1:4" x14ac:dyDescent="0.3">
      <c r="A3765" t="s">
        <v>446</v>
      </c>
      <c r="B3765">
        <v>4.0598063786682376E-2</v>
      </c>
      <c r="C3765" t="s">
        <v>860</v>
      </c>
      <c r="D3765" t="s">
        <v>2033</v>
      </c>
    </row>
    <row r="3766" spans="1:4" x14ac:dyDescent="0.3">
      <c r="A3766" t="s">
        <v>1632</v>
      </c>
      <c r="B3766" t="s">
        <v>361</v>
      </c>
      <c r="C3766" t="s">
        <v>860</v>
      </c>
      <c r="D3766" t="s">
        <v>2033</v>
      </c>
    </row>
    <row r="3767" spans="1:4" x14ac:dyDescent="0.3">
      <c r="A3767" t="s">
        <v>1626</v>
      </c>
      <c r="B3767" t="s">
        <v>361</v>
      </c>
      <c r="C3767" t="s">
        <v>860</v>
      </c>
      <c r="D3767" t="s">
        <v>2033</v>
      </c>
    </row>
    <row r="3768" spans="1:4" x14ac:dyDescent="0.3">
      <c r="A3768" t="s">
        <v>1627</v>
      </c>
      <c r="B3768" t="s">
        <v>361</v>
      </c>
      <c r="C3768" t="s">
        <v>860</v>
      </c>
      <c r="D3768" t="s">
        <v>2033</v>
      </c>
    </row>
    <row r="3769" spans="1:4" x14ac:dyDescent="0.3">
      <c r="A3769" t="s">
        <v>1625</v>
      </c>
      <c r="B3769" t="s">
        <v>361</v>
      </c>
      <c r="C3769" t="s">
        <v>860</v>
      </c>
      <c r="D3769" t="s">
        <v>2033</v>
      </c>
    </row>
    <row r="3770" spans="1:4" x14ac:dyDescent="0.3">
      <c r="A3770" t="s">
        <v>1623</v>
      </c>
      <c r="B3770" t="s">
        <v>361</v>
      </c>
      <c r="C3770" t="s">
        <v>860</v>
      </c>
      <c r="D3770" t="s">
        <v>2033</v>
      </c>
    </row>
    <row r="3771" spans="1:4" x14ac:dyDescent="0.3">
      <c r="A3771" t="s">
        <v>1633</v>
      </c>
      <c r="B3771">
        <v>9.7321663512086438</v>
      </c>
      <c r="C3771" t="s">
        <v>860</v>
      </c>
      <c r="D3771" t="s">
        <v>2033</v>
      </c>
    </row>
    <row r="3772" spans="1:4" x14ac:dyDescent="0.3">
      <c r="A3772" t="s">
        <v>1628</v>
      </c>
      <c r="B3772">
        <v>17.595233262205817</v>
      </c>
      <c r="C3772" t="s">
        <v>860</v>
      </c>
      <c r="D3772" t="s">
        <v>2274</v>
      </c>
    </row>
    <row r="3773" spans="1:4" x14ac:dyDescent="0.3">
      <c r="A3773" t="s">
        <v>17</v>
      </c>
      <c r="B3773">
        <v>0</v>
      </c>
      <c r="C3773" t="s">
        <v>860</v>
      </c>
      <c r="D3773" t="s">
        <v>2274</v>
      </c>
    </row>
    <row r="3774" spans="1:4" x14ac:dyDescent="0.3">
      <c r="A3774" t="s">
        <v>209</v>
      </c>
      <c r="B3774">
        <v>17.554635198419135</v>
      </c>
      <c r="C3774" t="s">
        <v>860</v>
      </c>
      <c r="D3774" t="s">
        <v>2274</v>
      </c>
    </row>
    <row r="3775" spans="1:4" x14ac:dyDescent="0.3">
      <c r="A3775" t="s">
        <v>446</v>
      </c>
      <c r="B3775">
        <v>4.0598063786682376E-2</v>
      </c>
      <c r="C3775" t="s">
        <v>860</v>
      </c>
      <c r="D3775" t="s">
        <v>2274</v>
      </c>
    </row>
    <row r="3776" spans="1:4" x14ac:dyDescent="0.3">
      <c r="A3776" t="s">
        <v>1632</v>
      </c>
      <c r="B3776" t="s">
        <v>361</v>
      </c>
      <c r="C3776" t="s">
        <v>860</v>
      </c>
      <c r="D3776" t="s">
        <v>2274</v>
      </c>
    </row>
    <row r="3777" spans="1:4" x14ac:dyDescent="0.3">
      <c r="A3777" t="s">
        <v>1626</v>
      </c>
      <c r="B3777" t="s">
        <v>361</v>
      </c>
      <c r="C3777" t="s">
        <v>860</v>
      </c>
      <c r="D3777" t="s">
        <v>2274</v>
      </c>
    </row>
    <row r="3778" spans="1:4" x14ac:dyDescent="0.3">
      <c r="A3778" t="s">
        <v>1627</v>
      </c>
      <c r="B3778" t="s">
        <v>361</v>
      </c>
      <c r="C3778" t="s">
        <v>860</v>
      </c>
      <c r="D3778" t="s">
        <v>2274</v>
      </c>
    </row>
    <row r="3779" spans="1:4" x14ac:dyDescent="0.3">
      <c r="A3779" t="s">
        <v>1625</v>
      </c>
      <c r="B3779" t="s">
        <v>361</v>
      </c>
      <c r="C3779" t="s">
        <v>860</v>
      </c>
      <c r="D3779" t="s">
        <v>2274</v>
      </c>
    </row>
    <row r="3780" spans="1:4" x14ac:dyDescent="0.3">
      <c r="A3780" t="s">
        <v>1623</v>
      </c>
      <c r="B3780" t="s">
        <v>361</v>
      </c>
      <c r="C3780" t="s">
        <v>860</v>
      </c>
      <c r="D3780" t="s">
        <v>2274</v>
      </c>
    </row>
    <row r="3781" spans="1:4" x14ac:dyDescent="0.3">
      <c r="A3781" t="s">
        <v>1633</v>
      </c>
      <c r="B3781">
        <v>17.595233262205817</v>
      </c>
      <c r="C3781" t="s">
        <v>860</v>
      </c>
      <c r="D3781" t="s">
        <v>2274</v>
      </c>
    </row>
    <row r="3782" spans="1:4" x14ac:dyDescent="0.3">
      <c r="A3782" t="s">
        <v>1628</v>
      </c>
      <c r="B3782">
        <v>17.595233262205817</v>
      </c>
      <c r="C3782" t="s">
        <v>860</v>
      </c>
      <c r="D3782" t="s">
        <v>2275</v>
      </c>
    </row>
    <row r="3783" spans="1:4" x14ac:dyDescent="0.3">
      <c r="A3783" t="s">
        <v>17</v>
      </c>
      <c r="B3783">
        <v>0</v>
      </c>
      <c r="C3783" t="s">
        <v>860</v>
      </c>
      <c r="D3783" t="s">
        <v>2275</v>
      </c>
    </row>
    <row r="3784" spans="1:4" x14ac:dyDescent="0.3">
      <c r="A3784" t="s">
        <v>209</v>
      </c>
      <c r="B3784">
        <v>17.554635198419135</v>
      </c>
      <c r="C3784" t="s">
        <v>860</v>
      </c>
      <c r="D3784" t="s">
        <v>2275</v>
      </c>
    </row>
    <row r="3785" spans="1:4" x14ac:dyDescent="0.3">
      <c r="A3785" t="s">
        <v>446</v>
      </c>
      <c r="B3785">
        <v>4.0598063786682376E-2</v>
      </c>
      <c r="C3785" t="s">
        <v>860</v>
      </c>
      <c r="D3785" t="s">
        <v>2275</v>
      </c>
    </row>
    <row r="3786" spans="1:4" x14ac:dyDescent="0.3">
      <c r="A3786" t="s">
        <v>1632</v>
      </c>
      <c r="B3786" t="s">
        <v>361</v>
      </c>
      <c r="C3786" t="s">
        <v>860</v>
      </c>
      <c r="D3786" t="s">
        <v>2275</v>
      </c>
    </row>
    <row r="3787" spans="1:4" x14ac:dyDescent="0.3">
      <c r="A3787" t="s">
        <v>1626</v>
      </c>
      <c r="B3787" t="s">
        <v>361</v>
      </c>
      <c r="C3787" t="s">
        <v>860</v>
      </c>
      <c r="D3787" t="s">
        <v>2275</v>
      </c>
    </row>
    <row r="3788" spans="1:4" x14ac:dyDescent="0.3">
      <c r="A3788" t="s">
        <v>1627</v>
      </c>
      <c r="B3788" t="s">
        <v>361</v>
      </c>
      <c r="C3788" t="s">
        <v>860</v>
      </c>
      <c r="D3788" t="s">
        <v>2275</v>
      </c>
    </row>
    <row r="3789" spans="1:4" x14ac:dyDescent="0.3">
      <c r="A3789" t="s">
        <v>1625</v>
      </c>
      <c r="B3789" t="s">
        <v>361</v>
      </c>
      <c r="C3789" t="s">
        <v>860</v>
      </c>
      <c r="D3789" t="s">
        <v>2275</v>
      </c>
    </row>
    <row r="3790" spans="1:4" x14ac:dyDescent="0.3">
      <c r="A3790" t="s">
        <v>1623</v>
      </c>
      <c r="B3790" t="s">
        <v>361</v>
      </c>
      <c r="C3790" t="s">
        <v>860</v>
      </c>
      <c r="D3790" t="s">
        <v>2275</v>
      </c>
    </row>
    <row r="3791" spans="1:4" x14ac:dyDescent="0.3">
      <c r="A3791" t="s">
        <v>1633</v>
      </c>
      <c r="B3791">
        <v>17.595233262205817</v>
      </c>
      <c r="C3791" t="s">
        <v>860</v>
      </c>
      <c r="D3791" t="s">
        <v>2275</v>
      </c>
    </row>
    <row r="3792" spans="1:4" x14ac:dyDescent="0.3">
      <c r="A3792" t="s">
        <v>1628</v>
      </c>
      <c r="B3792">
        <v>18.002719781400792</v>
      </c>
      <c r="C3792" t="s">
        <v>860</v>
      </c>
      <c r="D3792" t="s">
        <v>2166</v>
      </c>
    </row>
    <row r="3793" spans="1:4" x14ac:dyDescent="0.3">
      <c r="A3793" t="s">
        <v>17</v>
      </c>
      <c r="B3793">
        <v>0</v>
      </c>
      <c r="C3793" t="s">
        <v>860</v>
      </c>
      <c r="D3793" t="s">
        <v>2166</v>
      </c>
    </row>
    <row r="3794" spans="1:4" x14ac:dyDescent="0.3">
      <c r="A3794" t="s">
        <v>209</v>
      </c>
      <c r="B3794">
        <v>17.96212171761411</v>
      </c>
      <c r="C3794" t="s">
        <v>860</v>
      </c>
      <c r="D3794" t="s">
        <v>2166</v>
      </c>
    </row>
    <row r="3795" spans="1:4" x14ac:dyDescent="0.3">
      <c r="A3795" t="s">
        <v>446</v>
      </c>
      <c r="B3795">
        <v>4.0598063786682376E-2</v>
      </c>
      <c r="C3795" t="s">
        <v>860</v>
      </c>
      <c r="D3795" t="s">
        <v>2166</v>
      </c>
    </row>
    <row r="3796" spans="1:4" x14ac:dyDescent="0.3">
      <c r="A3796" t="s">
        <v>1632</v>
      </c>
      <c r="B3796" t="s">
        <v>361</v>
      </c>
      <c r="C3796" t="s">
        <v>860</v>
      </c>
      <c r="D3796" t="s">
        <v>2166</v>
      </c>
    </row>
    <row r="3797" spans="1:4" x14ac:dyDescent="0.3">
      <c r="A3797" t="s">
        <v>1626</v>
      </c>
      <c r="B3797" t="s">
        <v>361</v>
      </c>
      <c r="C3797" t="s">
        <v>860</v>
      </c>
      <c r="D3797" t="s">
        <v>2166</v>
      </c>
    </row>
    <row r="3798" spans="1:4" x14ac:dyDescent="0.3">
      <c r="A3798" t="s">
        <v>1627</v>
      </c>
      <c r="B3798" t="s">
        <v>361</v>
      </c>
      <c r="C3798" t="s">
        <v>860</v>
      </c>
      <c r="D3798" t="s">
        <v>2166</v>
      </c>
    </row>
    <row r="3799" spans="1:4" x14ac:dyDescent="0.3">
      <c r="A3799" t="s">
        <v>1625</v>
      </c>
      <c r="B3799" t="s">
        <v>361</v>
      </c>
      <c r="C3799" t="s">
        <v>860</v>
      </c>
      <c r="D3799" t="s">
        <v>2166</v>
      </c>
    </row>
    <row r="3800" spans="1:4" x14ac:dyDescent="0.3">
      <c r="A3800" t="s">
        <v>1623</v>
      </c>
      <c r="B3800" t="s">
        <v>361</v>
      </c>
      <c r="C3800" t="s">
        <v>860</v>
      </c>
      <c r="D3800" t="s">
        <v>2166</v>
      </c>
    </row>
    <row r="3801" spans="1:4" x14ac:dyDescent="0.3">
      <c r="A3801" t="s">
        <v>1633</v>
      </c>
      <c r="B3801">
        <v>18.002719781400792</v>
      </c>
      <c r="C3801" t="s">
        <v>860</v>
      </c>
      <c r="D3801" t="s">
        <v>2166</v>
      </c>
    </row>
    <row r="3802" spans="1:4" x14ac:dyDescent="0.3">
      <c r="A3802" t="s">
        <v>1628</v>
      </c>
      <c r="B3802">
        <v>17.273213941658216</v>
      </c>
      <c r="C3802" t="s">
        <v>860</v>
      </c>
      <c r="D3802" t="s">
        <v>2167</v>
      </c>
    </row>
    <row r="3803" spans="1:4" x14ac:dyDescent="0.3">
      <c r="A3803" t="s">
        <v>17</v>
      </c>
      <c r="B3803">
        <v>0</v>
      </c>
      <c r="C3803" t="s">
        <v>860</v>
      </c>
      <c r="D3803" t="s">
        <v>2167</v>
      </c>
    </row>
    <row r="3804" spans="1:4" x14ac:dyDescent="0.3">
      <c r="A3804" t="s">
        <v>209</v>
      </c>
      <c r="B3804">
        <v>17.232615877871535</v>
      </c>
      <c r="C3804" t="s">
        <v>860</v>
      </c>
      <c r="D3804" t="s">
        <v>2167</v>
      </c>
    </row>
    <row r="3805" spans="1:4" x14ac:dyDescent="0.3">
      <c r="A3805" t="s">
        <v>446</v>
      </c>
      <c r="B3805">
        <v>4.0598063786682376E-2</v>
      </c>
      <c r="C3805" t="s">
        <v>860</v>
      </c>
      <c r="D3805" t="s">
        <v>2167</v>
      </c>
    </row>
    <row r="3806" spans="1:4" x14ac:dyDescent="0.3">
      <c r="A3806" t="s">
        <v>1632</v>
      </c>
      <c r="B3806" t="s">
        <v>361</v>
      </c>
      <c r="C3806" t="s">
        <v>860</v>
      </c>
      <c r="D3806" t="s">
        <v>2167</v>
      </c>
    </row>
    <row r="3807" spans="1:4" x14ac:dyDescent="0.3">
      <c r="A3807" t="s">
        <v>1626</v>
      </c>
      <c r="B3807" t="s">
        <v>361</v>
      </c>
      <c r="C3807" t="s">
        <v>860</v>
      </c>
      <c r="D3807" t="s">
        <v>2167</v>
      </c>
    </row>
    <row r="3808" spans="1:4" x14ac:dyDescent="0.3">
      <c r="A3808" t="s">
        <v>1627</v>
      </c>
      <c r="B3808" t="s">
        <v>361</v>
      </c>
      <c r="C3808" t="s">
        <v>860</v>
      </c>
      <c r="D3808" t="s">
        <v>2167</v>
      </c>
    </row>
    <row r="3809" spans="1:4" x14ac:dyDescent="0.3">
      <c r="A3809" t="s">
        <v>1625</v>
      </c>
      <c r="B3809" t="s">
        <v>361</v>
      </c>
      <c r="C3809" t="s">
        <v>860</v>
      </c>
      <c r="D3809" t="s">
        <v>2167</v>
      </c>
    </row>
    <row r="3810" spans="1:4" x14ac:dyDescent="0.3">
      <c r="A3810" t="s">
        <v>1623</v>
      </c>
      <c r="B3810" t="s">
        <v>361</v>
      </c>
      <c r="C3810" t="s">
        <v>860</v>
      </c>
      <c r="D3810" t="s">
        <v>2167</v>
      </c>
    </row>
    <row r="3811" spans="1:4" x14ac:dyDescent="0.3">
      <c r="A3811" t="s">
        <v>1633</v>
      </c>
      <c r="B3811">
        <v>17.273213941658216</v>
      </c>
      <c r="C3811" t="s">
        <v>860</v>
      </c>
      <c r="D3811" t="s">
        <v>2167</v>
      </c>
    </row>
    <row r="3812" spans="1:4" x14ac:dyDescent="0.3">
      <c r="A3812" t="s">
        <v>1628</v>
      </c>
      <c r="B3812">
        <v>17.581696084777956</v>
      </c>
      <c r="C3812" t="s">
        <v>860</v>
      </c>
      <c r="D3812" t="s">
        <v>2168</v>
      </c>
    </row>
    <row r="3813" spans="1:4" x14ac:dyDescent="0.3">
      <c r="A3813" t="s">
        <v>17</v>
      </c>
      <c r="B3813">
        <v>0</v>
      </c>
      <c r="C3813" t="s">
        <v>860</v>
      </c>
      <c r="D3813" t="s">
        <v>2168</v>
      </c>
    </row>
    <row r="3814" spans="1:4" x14ac:dyDescent="0.3">
      <c r="A3814" t="s">
        <v>209</v>
      </c>
      <c r="B3814">
        <v>17.541098020991274</v>
      </c>
      <c r="C3814" t="s">
        <v>860</v>
      </c>
      <c r="D3814" t="s">
        <v>2168</v>
      </c>
    </row>
    <row r="3815" spans="1:4" x14ac:dyDescent="0.3">
      <c r="A3815" t="s">
        <v>446</v>
      </c>
      <c r="B3815">
        <v>4.0598063786682376E-2</v>
      </c>
      <c r="C3815" t="s">
        <v>860</v>
      </c>
      <c r="D3815" t="s">
        <v>2168</v>
      </c>
    </row>
    <row r="3816" spans="1:4" x14ac:dyDescent="0.3">
      <c r="A3816" t="s">
        <v>1632</v>
      </c>
      <c r="B3816" t="s">
        <v>361</v>
      </c>
      <c r="C3816" t="s">
        <v>860</v>
      </c>
      <c r="D3816" t="s">
        <v>2168</v>
      </c>
    </row>
    <row r="3817" spans="1:4" x14ac:dyDescent="0.3">
      <c r="A3817" t="s">
        <v>1626</v>
      </c>
      <c r="B3817" t="s">
        <v>361</v>
      </c>
      <c r="C3817" t="s">
        <v>860</v>
      </c>
      <c r="D3817" t="s">
        <v>2168</v>
      </c>
    </row>
    <row r="3818" spans="1:4" x14ac:dyDescent="0.3">
      <c r="A3818" t="s">
        <v>1627</v>
      </c>
      <c r="B3818" t="s">
        <v>361</v>
      </c>
      <c r="C3818" t="s">
        <v>860</v>
      </c>
      <c r="D3818" t="s">
        <v>2168</v>
      </c>
    </row>
    <row r="3819" spans="1:4" x14ac:dyDescent="0.3">
      <c r="A3819" t="s">
        <v>1625</v>
      </c>
      <c r="B3819" t="s">
        <v>361</v>
      </c>
      <c r="C3819" t="s">
        <v>860</v>
      </c>
      <c r="D3819" t="s">
        <v>2168</v>
      </c>
    </row>
    <row r="3820" spans="1:4" x14ac:dyDescent="0.3">
      <c r="A3820" t="s">
        <v>1623</v>
      </c>
      <c r="B3820" t="s">
        <v>361</v>
      </c>
      <c r="C3820" t="s">
        <v>860</v>
      </c>
      <c r="D3820" t="s">
        <v>2168</v>
      </c>
    </row>
    <row r="3821" spans="1:4" x14ac:dyDescent="0.3">
      <c r="A3821" t="s">
        <v>1633</v>
      </c>
      <c r="B3821">
        <v>17.581696084777956</v>
      </c>
      <c r="C3821" t="s">
        <v>860</v>
      </c>
      <c r="D3821" t="s">
        <v>2168</v>
      </c>
    </row>
    <row r="3822" spans="1:4" x14ac:dyDescent="0.3">
      <c r="A3822" t="s">
        <v>1628</v>
      </c>
      <c r="B3822">
        <v>17.279618307691347</v>
      </c>
      <c r="C3822" t="s">
        <v>860</v>
      </c>
      <c r="D3822" t="s">
        <v>2169</v>
      </c>
    </row>
    <row r="3823" spans="1:4" x14ac:dyDescent="0.3">
      <c r="A3823" t="s">
        <v>17</v>
      </c>
      <c r="B3823">
        <v>0</v>
      </c>
      <c r="C3823" t="s">
        <v>860</v>
      </c>
      <c r="D3823" t="s">
        <v>2169</v>
      </c>
    </row>
    <row r="3824" spans="1:4" x14ac:dyDescent="0.3">
      <c r="A3824" t="s">
        <v>209</v>
      </c>
      <c r="B3824">
        <v>17.239020243904665</v>
      </c>
      <c r="C3824" t="s">
        <v>860</v>
      </c>
      <c r="D3824" t="s">
        <v>2169</v>
      </c>
    </row>
    <row r="3825" spans="1:4" x14ac:dyDescent="0.3">
      <c r="A3825" t="s">
        <v>446</v>
      </c>
      <c r="B3825">
        <v>4.0598063786682376E-2</v>
      </c>
      <c r="C3825" t="s">
        <v>860</v>
      </c>
      <c r="D3825" t="s">
        <v>2169</v>
      </c>
    </row>
    <row r="3826" spans="1:4" x14ac:dyDescent="0.3">
      <c r="A3826" t="s">
        <v>1632</v>
      </c>
      <c r="B3826" t="s">
        <v>361</v>
      </c>
      <c r="C3826" t="s">
        <v>860</v>
      </c>
      <c r="D3826" t="s">
        <v>2169</v>
      </c>
    </row>
    <row r="3827" spans="1:4" x14ac:dyDescent="0.3">
      <c r="A3827" t="s">
        <v>1626</v>
      </c>
      <c r="B3827" t="s">
        <v>361</v>
      </c>
      <c r="C3827" t="s">
        <v>860</v>
      </c>
      <c r="D3827" t="s">
        <v>2169</v>
      </c>
    </row>
    <row r="3828" spans="1:4" x14ac:dyDescent="0.3">
      <c r="A3828" t="s">
        <v>1627</v>
      </c>
      <c r="B3828" t="s">
        <v>361</v>
      </c>
      <c r="C3828" t="s">
        <v>860</v>
      </c>
      <c r="D3828" t="s">
        <v>2169</v>
      </c>
    </row>
    <row r="3829" spans="1:4" x14ac:dyDescent="0.3">
      <c r="A3829" t="s">
        <v>1625</v>
      </c>
      <c r="B3829" t="s">
        <v>361</v>
      </c>
      <c r="C3829" t="s">
        <v>860</v>
      </c>
      <c r="D3829" t="s">
        <v>2169</v>
      </c>
    </row>
    <row r="3830" spans="1:4" x14ac:dyDescent="0.3">
      <c r="A3830" t="s">
        <v>1623</v>
      </c>
      <c r="B3830" t="s">
        <v>361</v>
      </c>
      <c r="C3830" t="s">
        <v>860</v>
      </c>
      <c r="D3830" t="s">
        <v>2169</v>
      </c>
    </row>
    <row r="3831" spans="1:4" x14ac:dyDescent="0.3">
      <c r="A3831" t="s">
        <v>1633</v>
      </c>
      <c r="B3831">
        <v>17.279618307691347</v>
      </c>
      <c r="C3831" t="s">
        <v>860</v>
      </c>
      <c r="D3831" t="s">
        <v>2169</v>
      </c>
    </row>
    <row r="3832" spans="1:4" x14ac:dyDescent="0.3">
      <c r="A3832" t="s">
        <v>1628</v>
      </c>
      <c r="B3832">
        <v>17.627930462614799</v>
      </c>
      <c r="C3832" t="s">
        <v>860</v>
      </c>
      <c r="D3832" t="s">
        <v>2170</v>
      </c>
    </row>
    <row r="3833" spans="1:4" x14ac:dyDescent="0.3">
      <c r="A3833" t="s">
        <v>17</v>
      </c>
      <c r="B3833">
        <v>0</v>
      </c>
      <c r="C3833" t="s">
        <v>860</v>
      </c>
      <c r="D3833" t="s">
        <v>2170</v>
      </c>
    </row>
    <row r="3834" spans="1:4" x14ac:dyDescent="0.3">
      <c r="A3834" t="s">
        <v>209</v>
      </c>
      <c r="B3834">
        <v>17.587332398828117</v>
      </c>
      <c r="C3834" t="s">
        <v>860</v>
      </c>
      <c r="D3834" t="s">
        <v>2170</v>
      </c>
    </row>
    <row r="3835" spans="1:4" x14ac:dyDescent="0.3">
      <c r="A3835" t="s">
        <v>446</v>
      </c>
      <c r="B3835">
        <v>4.0598063786682376E-2</v>
      </c>
      <c r="C3835" t="s">
        <v>860</v>
      </c>
      <c r="D3835" t="s">
        <v>2170</v>
      </c>
    </row>
    <row r="3836" spans="1:4" x14ac:dyDescent="0.3">
      <c r="A3836" t="s">
        <v>1632</v>
      </c>
      <c r="B3836" t="s">
        <v>361</v>
      </c>
      <c r="C3836" t="s">
        <v>860</v>
      </c>
      <c r="D3836" t="s">
        <v>2170</v>
      </c>
    </row>
    <row r="3837" spans="1:4" x14ac:dyDescent="0.3">
      <c r="A3837" t="s">
        <v>1626</v>
      </c>
      <c r="B3837" t="s">
        <v>361</v>
      </c>
      <c r="C3837" t="s">
        <v>860</v>
      </c>
      <c r="D3837" t="s">
        <v>2170</v>
      </c>
    </row>
    <row r="3838" spans="1:4" x14ac:dyDescent="0.3">
      <c r="A3838" t="s">
        <v>1627</v>
      </c>
      <c r="B3838" t="s">
        <v>361</v>
      </c>
      <c r="C3838" t="s">
        <v>860</v>
      </c>
      <c r="D3838" t="s">
        <v>2170</v>
      </c>
    </row>
    <row r="3839" spans="1:4" x14ac:dyDescent="0.3">
      <c r="A3839" t="s">
        <v>1625</v>
      </c>
      <c r="B3839" t="s">
        <v>361</v>
      </c>
      <c r="C3839" t="s">
        <v>860</v>
      </c>
      <c r="D3839" t="s">
        <v>2170</v>
      </c>
    </row>
    <row r="3840" spans="1:4" x14ac:dyDescent="0.3">
      <c r="A3840" t="s">
        <v>1623</v>
      </c>
      <c r="B3840" t="s">
        <v>361</v>
      </c>
      <c r="C3840" t="s">
        <v>860</v>
      </c>
      <c r="D3840" t="s">
        <v>2170</v>
      </c>
    </row>
    <row r="3841" spans="1:4" x14ac:dyDescent="0.3">
      <c r="A3841" t="s">
        <v>1633</v>
      </c>
      <c r="B3841">
        <v>17.627930462614799</v>
      </c>
      <c r="C3841" t="s">
        <v>860</v>
      </c>
      <c r="D3841" t="s">
        <v>2170</v>
      </c>
    </row>
    <row r="3842" spans="1:4" x14ac:dyDescent="0.3">
      <c r="A3842" t="s">
        <v>1628</v>
      </c>
      <c r="B3842">
        <v>17.737585524763158</v>
      </c>
      <c r="C3842" t="s">
        <v>860</v>
      </c>
      <c r="D3842" t="s">
        <v>2171</v>
      </c>
    </row>
    <row r="3843" spans="1:4" x14ac:dyDescent="0.3">
      <c r="A3843" t="s">
        <v>17</v>
      </c>
      <c r="B3843">
        <v>0</v>
      </c>
      <c r="C3843" t="s">
        <v>860</v>
      </c>
      <c r="D3843" t="s">
        <v>2171</v>
      </c>
    </row>
    <row r="3844" spans="1:4" x14ac:dyDescent="0.3">
      <c r="A3844" t="s">
        <v>209</v>
      </c>
      <c r="B3844">
        <v>17.696987460976477</v>
      </c>
      <c r="C3844" t="s">
        <v>860</v>
      </c>
      <c r="D3844" t="s">
        <v>2171</v>
      </c>
    </row>
    <row r="3845" spans="1:4" x14ac:dyDescent="0.3">
      <c r="A3845" t="s">
        <v>446</v>
      </c>
      <c r="B3845">
        <v>4.0598063786682376E-2</v>
      </c>
      <c r="C3845" t="s">
        <v>860</v>
      </c>
      <c r="D3845" t="s">
        <v>2171</v>
      </c>
    </row>
    <row r="3846" spans="1:4" x14ac:dyDescent="0.3">
      <c r="A3846" t="s">
        <v>1632</v>
      </c>
      <c r="B3846" t="s">
        <v>361</v>
      </c>
      <c r="C3846" t="s">
        <v>860</v>
      </c>
      <c r="D3846" t="s">
        <v>2171</v>
      </c>
    </row>
    <row r="3847" spans="1:4" x14ac:dyDescent="0.3">
      <c r="A3847" t="s">
        <v>1626</v>
      </c>
      <c r="B3847" t="s">
        <v>361</v>
      </c>
      <c r="C3847" t="s">
        <v>860</v>
      </c>
      <c r="D3847" t="s">
        <v>2171</v>
      </c>
    </row>
    <row r="3848" spans="1:4" x14ac:dyDescent="0.3">
      <c r="A3848" t="s">
        <v>1627</v>
      </c>
      <c r="B3848" t="s">
        <v>361</v>
      </c>
      <c r="C3848" t="s">
        <v>860</v>
      </c>
      <c r="D3848" t="s">
        <v>2171</v>
      </c>
    </row>
    <row r="3849" spans="1:4" x14ac:dyDescent="0.3">
      <c r="A3849" t="s">
        <v>1625</v>
      </c>
      <c r="B3849" t="s">
        <v>361</v>
      </c>
      <c r="C3849" t="s">
        <v>860</v>
      </c>
      <c r="D3849" t="s">
        <v>2171</v>
      </c>
    </row>
    <row r="3850" spans="1:4" x14ac:dyDescent="0.3">
      <c r="A3850" t="s">
        <v>1623</v>
      </c>
      <c r="B3850" t="s">
        <v>361</v>
      </c>
      <c r="C3850" t="s">
        <v>860</v>
      </c>
      <c r="D3850" t="s">
        <v>2171</v>
      </c>
    </row>
    <row r="3851" spans="1:4" x14ac:dyDescent="0.3">
      <c r="A3851" t="s">
        <v>1633</v>
      </c>
      <c r="B3851">
        <v>17.737585524763158</v>
      </c>
      <c r="C3851" t="s">
        <v>860</v>
      </c>
      <c r="D3851" t="s">
        <v>2171</v>
      </c>
    </row>
    <row r="3852" spans="1:4" x14ac:dyDescent="0.3">
      <c r="A3852" t="s">
        <v>1628</v>
      </c>
      <c r="B3852">
        <v>18.286636872851872</v>
      </c>
      <c r="C3852" t="s">
        <v>860</v>
      </c>
      <c r="D3852" t="s">
        <v>2172</v>
      </c>
    </row>
    <row r="3853" spans="1:4" x14ac:dyDescent="0.3">
      <c r="A3853" t="s">
        <v>17</v>
      </c>
      <c r="B3853">
        <v>0</v>
      </c>
      <c r="C3853" t="s">
        <v>860</v>
      </c>
      <c r="D3853" t="s">
        <v>2172</v>
      </c>
    </row>
    <row r="3854" spans="1:4" x14ac:dyDescent="0.3">
      <c r="A3854" t="s">
        <v>209</v>
      </c>
      <c r="B3854">
        <v>18.24603880906519</v>
      </c>
      <c r="C3854" t="s">
        <v>860</v>
      </c>
      <c r="D3854" t="s">
        <v>2172</v>
      </c>
    </row>
    <row r="3855" spans="1:4" x14ac:dyDescent="0.3">
      <c r="A3855" t="s">
        <v>446</v>
      </c>
      <c r="B3855">
        <v>4.0598063786682376E-2</v>
      </c>
      <c r="C3855" t="s">
        <v>860</v>
      </c>
      <c r="D3855" t="s">
        <v>2172</v>
      </c>
    </row>
    <row r="3856" spans="1:4" x14ac:dyDescent="0.3">
      <c r="A3856" t="s">
        <v>1632</v>
      </c>
      <c r="B3856" t="s">
        <v>361</v>
      </c>
      <c r="C3856" t="s">
        <v>860</v>
      </c>
      <c r="D3856" t="s">
        <v>2172</v>
      </c>
    </row>
    <row r="3857" spans="1:4" x14ac:dyDescent="0.3">
      <c r="A3857" t="s">
        <v>1626</v>
      </c>
      <c r="B3857" t="s">
        <v>361</v>
      </c>
      <c r="C3857" t="s">
        <v>860</v>
      </c>
      <c r="D3857" t="s">
        <v>2172</v>
      </c>
    </row>
    <row r="3858" spans="1:4" x14ac:dyDescent="0.3">
      <c r="A3858" t="s">
        <v>1627</v>
      </c>
      <c r="B3858" t="s">
        <v>361</v>
      </c>
      <c r="C3858" t="s">
        <v>860</v>
      </c>
      <c r="D3858" t="s">
        <v>2172</v>
      </c>
    </row>
    <row r="3859" spans="1:4" x14ac:dyDescent="0.3">
      <c r="A3859" t="s">
        <v>1625</v>
      </c>
      <c r="B3859" t="s">
        <v>361</v>
      </c>
      <c r="C3859" t="s">
        <v>860</v>
      </c>
      <c r="D3859" t="s">
        <v>2172</v>
      </c>
    </row>
    <row r="3860" spans="1:4" x14ac:dyDescent="0.3">
      <c r="A3860" t="s">
        <v>1623</v>
      </c>
      <c r="B3860" t="s">
        <v>361</v>
      </c>
      <c r="C3860" t="s">
        <v>860</v>
      </c>
      <c r="D3860" t="s">
        <v>2172</v>
      </c>
    </row>
    <row r="3861" spans="1:4" x14ac:dyDescent="0.3">
      <c r="A3861" t="s">
        <v>1633</v>
      </c>
      <c r="B3861">
        <v>18.286636872851872</v>
      </c>
      <c r="C3861" t="s">
        <v>860</v>
      </c>
      <c r="D3861" t="s">
        <v>2172</v>
      </c>
    </row>
    <row r="3862" spans="1:4" x14ac:dyDescent="0.3">
      <c r="A3862" t="s">
        <v>1628</v>
      </c>
      <c r="B3862">
        <v>18.910308747699972</v>
      </c>
      <c r="C3862" t="s">
        <v>860</v>
      </c>
      <c r="D3862" t="s">
        <v>2173</v>
      </c>
    </row>
    <row r="3863" spans="1:4" x14ac:dyDescent="0.3">
      <c r="A3863" t="s">
        <v>17</v>
      </c>
      <c r="B3863">
        <v>0</v>
      </c>
      <c r="C3863" t="s">
        <v>860</v>
      </c>
      <c r="D3863" t="s">
        <v>2173</v>
      </c>
    </row>
    <row r="3864" spans="1:4" x14ac:dyDescent="0.3">
      <c r="A3864" t="s">
        <v>209</v>
      </c>
      <c r="B3864">
        <v>18.86971068391329</v>
      </c>
      <c r="C3864" t="s">
        <v>860</v>
      </c>
      <c r="D3864" t="s">
        <v>2173</v>
      </c>
    </row>
    <row r="3865" spans="1:4" x14ac:dyDescent="0.3">
      <c r="A3865" t="s">
        <v>446</v>
      </c>
      <c r="B3865">
        <v>4.0598063786682376E-2</v>
      </c>
      <c r="C3865" t="s">
        <v>860</v>
      </c>
      <c r="D3865" t="s">
        <v>2173</v>
      </c>
    </row>
    <row r="3866" spans="1:4" x14ac:dyDescent="0.3">
      <c r="A3866" t="s">
        <v>1632</v>
      </c>
      <c r="B3866" t="s">
        <v>361</v>
      </c>
      <c r="C3866" t="s">
        <v>860</v>
      </c>
      <c r="D3866" t="s">
        <v>2173</v>
      </c>
    </row>
    <row r="3867" spans="1:4" x14ac:dyDescent="0.3">
      <c r="A3867" t="s">
        <v>1626</v>
      </c>
      <c r="B3867" t="s">
        <v>361</v>
      </c>
      <c r="C3867" t="s">
        <v>860</v>
      </c>
      <c r="D3867" t="s">
        <v>2173</v>
      </c>
    </row>
    <row r="3868" spans="1:4" x14ac:dyDescent="0.3">
      <c r="A3868" t="s">
        <v>1627</v>
      </c>
      <c r="B3868" t="s">
        <v>361</v>
      </c>
      <c r="C3868" t="s">
        <v>860</v>
      </c>
      <c r="D3868" t="s">
        <v>2173</v>
      </c>
    </row>
    <row r="3869" spans="1:4" x14ac:dyDescent="0.3">
      <c r="A3869" t="s">
        <v>1625</v>
      </c>
      <c r="B3869" t="s">
        <v>361</v>
      </c>
      <c r="C3869" t="s">
        <v>860</v>
      </c>
      <c r="D3869" t="s">
        <v>2173</v>
      </c>
    </row>
    <row r="3870" spans="1:4" x14ac:dyDescent="0.3">
      <c r="A3870" t="s">
        <v>1623</v>
      </c>
      <c r="B3870" t="s">
        <v>361</v>
      </c>
      <c r="C3870" t="s">
        <v>860</v>
      </c>
      <c r="D3870" t="s">
        <v>2173</v>
      </c>
    </row>
    <row r="3871" spans="1:4" x14ac:dyDescent="0.3">
      <c r="A3871" t="s">
        <v>1633</v>
      </c>
      <c r="B3871">
        <v>18.910308747699972</v>
      </c>
      <c r="C3871" t="s">
        <v>860</v>
      </c>
      <c r="D3871" t="s">
        <v>2173</v>
      </c>
    </row>
    <row r="3872" spans="1:4" x14ac:dyDescent="0.3">
      <c r="A3872" t="s">
        <v>1628</v>
      </c>
      <c r="B3872">
        <v>18.469814415340906</v>
      </c>
      <c r="C3872" t="s">
        <v>860</v>
      </c>
      <c r="D3872" t="s">
        <v>2174</v>
      </c>
    </row>
    <row r="3873" spans="1:4" x14ac:dyDescent="0.3">
      <c r="A3873" t="s">
        <v>17</v>
      </c>
      <c r="B3873">
        <v>0</v>
      </c>
      <c r="C3873" t="s">
        <v>860</v>
      </c>
      <c r="D3873" t="s">
        <v>2174</v>
      </c>
    </row>
    <row r="3874" spans="1:4" x14ac:dyDescent="0.3">
      <c r="A3874" t="s">
        <v>209</v>
      </c>
      <c r="B3874">
        <v>18.429216351554224</v>
      </c>
      <c r="C3874" t="s">
        <v>860</v>
      </c>
      <c r="D3874" t="s">
        <v>2174</v>
      </c>
    </row>
    <row r="3875" spans="1:4" x14ac:dyDescent="0.3">
      <c r="A3875" t="s">
        <v>446</v>
      </c>
      <c r="B3875">
        <v>4.0598063786682376E-2</v>
      </c>
      <c r="C3875" t="s">
        <v>860</v>
      </c>
      <c r="D3875" t="s">
        <v>2174</v>
      </c>
    </row>
    <row r="3876" spans="1:4" x14ac:dyDescent="0.3">
      <c r="A3876" t="s">
        <v>1632</v>
      </c>
      <c r="B3876" t="s">
        <v>361</v>
      </c>
      <c r="C3876" t="s">
        <v>860</v>
      </c>
      <c r="D3876" t="s">
        <v>2174</v>
      </c>
    </row>
    <row r="3877" spans="1:4" x14ac:dyDescent="0.3">
      <c r="A3877" t="s">
        <v>1626</v>
      </c>
      <c r="B3877" t="s">
        <v>361</v>
      </c>
      <c r="C3877" t="s">
        <v>860</v>
      </c>
      <c r="D3877" t="s">
        <v>2174</v>
      </c>
    </row>
    <row r="3878" spans="1:4" x14ac:dyDescent="0.3">
      <c r="A3878" t="s">
        <v>1627</v>
      </c>
      <c r="B3878" t="s">
        <v>361</v>
      </c>
      <c r="C3878" t="s">
        <v>860</v>
      </c>
      <c r="D3878" t="s">
        <v>2174</v>
      </c>
    </row>
    <row r="3879" spans="1:4" x14ac:dyDescent="0.3">
      <c r="A3879" t="s">
        <v>1625</v>
      </c>
      <c r="B3879" t="s">
        <v>361</v>
      </c>
      <c r="C3879" t="s">
        <v>860</v>
      </c>
      <c r="D3879" t="s">
        <v>2174</v>
      </c>
    </row>
    <row r="3880" spans="1:4" x14ac:dyDescent="0.3">
      <c r="A3880" t="s">
        <v>1623</v>
      </c>
      <c r="B3880" t="s">
        <v>361</v>
      </c>
      <c r="C3880" t="s">
        <v>860</v>
      </c>
      <c r="D3880" t="s">
        <v>2174</v>
      </c>
    </row>
    <row r="3881" spans="1:4" x14ac:dyDescent="0.3">
      <c r="A3881" t="s">
        <v>1633</v>
      </c>
      <c r="B3881">
        <v>18.469814415340906</v>
      </c>
      <c r="C3881" t="s">
        <v>860</v>
      </c>
      <c r="D3881" t="s">
        <v>2174</v>
      </c>
    </row>
    <row r="3882" spans="1:4" x14ac:dyDescent="0.3">
      <c r="A3882" t="s">
        <v>1628</v>
      </c>
      <c r="B3882">
        <v>17.75111826305228</v>
      </c>
      <c r="C3882" t="s">
        <v>860</v>
      </c>
      <c r="D3882" t="s">
        <v>2175</v>
      </c>
    </row>
    <row r="3883" spans="1:4" x14ac:dyDescent="0.3">
      <c r="A3883" t="s">
        <v>17</v>
      </c>
      <c r="B3883">
        <v>0</v>
      </c>
      <c r="C3883" t="s">
        <v>860</v>
      </c>
      <c r="D3883" t="s">
        <v>2175</v>
      </c>
    </row>
    <row r="3884" spans="1:4" x14ac:dyDescent="0.3">
      <c r="A3884" t="s">
        <v>209</v>
      </c>
      <c r="B3884">
        <v>17.710520199265599</v>
      </c>
      <c r="C3884" t="s">
        <v>860</v>
      </c>
      <c r="D3884" t="s">
        <v>2175</v>
      </c>
    </row>
    <row r="3885" spans="1:4" x14ac:dyDescent="0.3">
      <c r="A3885" t="s">
        <v>446</v>
      </c>
      <c r="B3885">
        <v>4.0598063786682376E-2</v>
      </c>
      <c r="C3885" t="s">
        <v>860</v>
      </c>
      <c r="D3885" t="s">
        <v>2175</v>
      </c>
    </row>
    <row r="3886" spans="1:4" x14ac:dyDescent="0.3">
      <c r="A3886" t="s">
        <v>1632</v>
      </c>
      <c r="B3886" t="s">
        <v>361</v>
      </c>
      <c r="C3886" t="s">
        <v>860</v>
      </c>
      <c r="D3886" t="s">
        <v>2175</v>
      </c>
    </row>
    <row r="3887" spans="1:4" x14ac:dyDescent="0.3">
      <c r="A3887" t="s">
        <v>1626</v>
      </c>
      <c r="B3887" t="s">
        <v>361</v>
      </c>
      <c r="C3887" t="s">
        <v>860</v>
      </c>
      <c r="D3887" t="s">
        <v>2175</v>
      </c>
    </row>
    <row r="3888" spans="1:4" x14ac:dyDescent="0.3">
      <c r="A3888" t="s">
        <v>1627</v>
      </c>
      <c r="B3888" t="s">
        <v>361</v>
      </c>
      <c r="C3888" t="s">
        <v>860</v>
      </c>
      <c r="D3888" t="s">
        <v>2175</v>
      </c>
    </row>
    <row r="3889" spans="1:4" x14ac:dyDescent="0.3">
      <c r="A3889" t="s">
        <v>1625</v>
      </c>
      <c r="B3889" t="s">
        <v>361</v>
      </c>
      <c r="C3889" t="s">
        <v>860</v>
      </c>
      <c r="D3889" t="s">
        <v>2175</v>
      </c>
    </row>
    <row r="3890" spans="1:4" x14ac:dyDescent="0.3">
      <c r="A3890" t="s">
        <v>1623</v>
      </c>
      <c r="B3890" t="s">
        <v>361</v>
      </c>
      <c r="C3890" t="s">
        <v>860</v>
      </c>
      <c r="D3890" t="s">
        <v>2175</v>
      </c>
    </row>
    <row r="3891" spans="1:4" x14ac:dyDescent="0.3">
      <c r="A3891" t="s">
        <v>1633</v>
      </c>
      <c r="B3891">
        <v>17.75111826305228</v>
      </c>
      <c r="C3891" t="s">
        <v>860</v>
      </c>
      <c r="D3891" t="s">
        <v>2175</v>
      </c>
    </row>
    <row r="3892" spans="1:4" x14ac:dyDescent="0.3">
      <c r="A3892" t="s">
        <v>1628</v>
      </c>
      <c r="B3892">
        <v>17.305848651423002</v>
      </c>
      <c r="C3892" t="s">
        <v>860</v>
      </c>
      <c r="D3892" t="s">
        <v>2176</v>
      </c>
    </row>
    <row r="3893" spans="1:4" x14ac:dyDescent="0.3">
      <c r="A3893" t="s">
        <v>17</v>
      </c>
      <c r="B3893">
        <v>0</v>
      </c>
      <c r="C3893" t="s">
        <v>860</v>
      </c>
      <c r="D3893" t="s">
        <v>2176</v>
      </c>
    </row>
    <row r="3894" spans="1:4" x14ac:dyDescent="0.3">
      <c r="A3894" t="s">
        <v>209</v>
      </c>
      <c r="B3894">
        <v>17.26525058763632</v>
      </c>
      <c r="C3894" t="s">
        <v>860</v>
      </c>
      <c r="D3894" t="s">
        <v>2176</v>
      </c>
    </row>
    <row r="3895" spans="1:4" x14ac:dyDescent="0.3">
      <c r="A3895" t="s">
        <v>446</v>
      </c>
      <c r="B3895">
        <v>4.0598063786682376E-2</v>
      </c>
      <c r="C3895" t="s">
        <v>860</v>
      </c>
      <c r="D3895" t="s">
        <v>2176</v>
      </c>
    </row>
    <row r="3896" spans="1:4" x14ac:dyDescent="0.3">
      <c r="A3896" t="s">
        <v>1632</v>
      </c>
      <c r="B3896" t="s">
        <v>361</v>
      </c>
      <c r="C3896" t="s">
        <v>860</v>
      </c>
      <c r="D3896" t="s">
        <v>2176</v>
      </c>
    </row>
    <row r="3897" spans="1:4" x14ac:dyDescent="0.3">
      <c r="A3897" t="s">
        <v>1626</v>
      </c>
      <c r="B3897" t="s">
        <v>361</v>
      </c>
      <c r="C3897" t="s">
        <v>860</v>
      </c>
      <c r="D3897" t="s">
        <v>2176</v>
      </c>
    </row>
    <row r="3898" spans="1:4" x14ac:dyDescent="0.3">
      <c r="A3898" t="s">
        <v>1627</v>
      </c>
      <c r="B3898" t="s">
        <v>361</v>
      </c>
      <c r="C3898" t="s">
        <v>860</v>
      </c>
      <c r="D3898" t="s">
        <v>2176</v>
      </c>
    </row>
    <row r="3899" spans="1:4" x14ac:dyDescent="0.3">
      <c r="A3899" t="s">
        <v>1625</v>
      </c>
      <c r="B3899" t="s">
        <v>361</v>
      </c>
      <c r="C3899" t="s">
        <v>860</v>
      </c>
      <c r="D3899" t="s">
        <v>2176</v>
      </c>
    </row>
    <row r="3900" spans="1:4" x14ac:dyDescent="0.3">
      <c r="A3900" t="s">
        <v>1623</v>
      </c>
      <c r="B3900" t="s">
        <v>361</v>
      </c>
      <c r="C3900" t="s">
        <v>860</v>
      </c>
      <c r="D3900" t="s">
        <v>2176</v>
      </c>
    </row>
    <row r="3901" spans="1:4" x14ac:dyDescent="0.3">
      <c r="A3901" t="s">
        <v>1633</v>
      </c>
      <c r="B3901">
        <v>17.305848651423002</v>
      </c>
      <c r="C3901" t="s">
        <v>860</v>
      </c>
      <c r="D3901" t="s">
        <v>2176</v>
      </c>
    </row>
    <row r="3902" spans="1:4" x14ac:dyDescent="0.3">
      <c r="A3902" t="s">
        <v>1628</v>
      </c>
      <c r="B3902">
        <v>17.325484503716332</v>
      </c>
      <c r="C3902" t="s">
        <v>860</v>
      </c>
      <c r="D3902" t="s">
        <v>2177</v>
      </c>
    </row>
    <row r="3903" spans="1:4" x14ac:dyDescent="0.3">
      <c r="A3903" t="s">
        <v>17</v>
      </c>
      <c r="B3903">
        <v>0</v>
      </c>
      <c r="C3903" t="s">
        <v>860</v>
      </c>
      <c r="D3903" t="s">
        <v>2177</v>
      </c>
    </row>
    <row r="3904" spans="1:4" x14ac:dyDescent="0.3">
      <c r="A3904" t="s">
        <v>209</v>
      </c>
      <c r="B3904">
        <v>17.28488643992965</v>
      </c>
      <c r="C3904" t="s">
        <v>860</v>
      </c>
      <c r="D3904" t="s">
        <v>2177</v>
      </c>
    </row>
    <row r="3905" spans="1:4" x14ac:dyDescent="0.3">
      <c r="A3905" t="s">
        <v>446</v>
      </c>
      <c r="B3905">
        <v>4.0598063786682376E-2</v>
      </c>
      <c r="C3905" t="s">
        <v>860</v>
      </c>
      <c r="D3905" t="s">
        <v>2177</v>
      </c>
    </row>
    <row r="3906" spans="1:4" x14ac:dyDescent="0.3">
      <c r="A3906" t="s">
        <v>1632</v>
      </c>
      <c r="B3906" t="s">
        <v>361</v>
      </c>
      <c r="C3906" t="s">
        <v>860</v>
      </c>
      <c r="D3906" t="s">
        <v>2177</v>
      </c>
    </row>
    <row r="3907" spans="1:4" x14ac:dyDescent="0.3">
      <c r="A3907" t="s">
        <v>1626</v>
      </c>
      <c r="B3907" t="s">
        <v>361</v>
      </c>
      <c r="C3907" t="s">
        <v>860</v>
      </c>
      <c r="D3907" t="s">
        <v>2177</v>
      </c>
    </row>
    <row r="3908" spans="1:4" x14ac:dyDescent="0.3">
      <c r="A3908" t="s">
        <v>1627</v>
      </c>
      <c r="B3908" t="s">
        <v>361</v>
      </c>
      <c r="C3908" t="s">
        <v>860</v>
      </c>
      <c r="D3908" t="s">
        <v>2177</v>
      </c>
    </row>
    <row r="3909" spans="1:4" x14ac:dyDescent="0.3">
      <c r="A3909" t="s">
        <v>1625</v>
      </c>
      <c r="B3909" t="s">
        <v>361</v>
      </c>
      <c r="C3909" t="s">
        <v>860</v>
      </c>
      <c r="D3909" t="s">
        <v>2177</v>
      </c>
    </row>
    <row r="3910" spans="1:4" x14ac:dyDescent="0.3">
      <c r="A3910" t="s">
        <v>1623</v>
      </c>
      <c r="B3910" t="s">
        <v>361</v>
      </c>
      <c r="C3910" t="s">
        <v>860</v>
      </c>
      <c r="D3910" t="s">
        <v>2177</v>
      </c>
    </row>
    <row r="3911" spans="1:4" x14ac:dyDescent="0.3">
      <c r="A3911" t="s">
        <v>1633</v>
      </c>
      <c r="B3911">
        <v>17.325484503716332</v>
      </c>
      <c r="C3911" t="s">
        <v>860</v>
      </c>
      <c r="D3911" t="s">
        <v>2177</v>
      </c>
    </row>
    <row r="3912" spans="1:4" x14ac:dyDescent="0.3">
      <c r="A3912" t="s">
        <v>1628</v>
      </c>
      <c r="B3912">
        <v>17.724010045363897</v>
      </c>
      <c r="C3912" t="s">
        <v>860</v>
      </c>
      <c r="D3912" t="s">
        <v>2178</v>
      </c>
    </row>
    <row r="3913" spans="1:4" x14ac:dyDescent="0.3">
      <c r="A3913" t="s">
        <v>17</v>
      </c>
      <c r="B3913">
        <v>0</v>
      </c>
      <c r="C3913" t="s">
        <v>860</v>
      </c>
      <c r="D3913" t="s">
        <v>2178</v>
      </c>
    </row>
    <row r="3914" spans="1:4" x14ac:dyDescent="0.3">
      <c r="A3914" t="s">
        <v>209</v>
      </c>
      <c r="B3914">
        <v>17.683411981577215</v>
      </c>
      <c r="C3914" t="s">
        <v>860</v>
      </c>
      <c r="D3914" t="s">
        <v>2178</v>
      </c>
    </row>
    <row r="3915" spans="1:4" x14ac:dyDescent="0.3">
      <c r="A3915" t="s">
        <v>446</v>
      </c>
      <c r="B3915">
        <v>4.0598063786682376E-2</v>
      </c>
      <c r="C3915" t="s">
        <v>860</v>
      </c>
      <c r="D3915" t="s">
        <v>2178</v>
      </c>
    </row>
    <row r="3916" spans="1:4" x14ac:dyDescent="0.3">
      <c r="A3916" t="s">
        <v>1632</v>
      </c>
      <c r="B3916" t="s">
        <v>361</v>
      </c>
      <c r="C3916" t="s">
        <v>860</v>
      </c>
      <c r="D3916" t="s">
        <v>2178</v>
      </c>
    </row>
    <row r="3917" spans="1:4" x14ac:dyDescent="0.3">
      <c r="A3917" t="s">
        <v>1626</v>
      </c>
      <c r="B3917" t="s">
        <v>361</v>
      </c>
      <c r="C3917" t="s">
        <v>860</v>
      </c>
      <c r="D3917" t="s">
        <v>2178</v>
      </c>
    </row>
    <row r="3918" spans="1:4" x14ac:dyDescent="0.3">
      <c r="A3918" t="s">
        <v>1627</v>
      </c>
      <c r="B3918" t="s">
        <v>361</v>
      </c>
      <c r="C3918" t="s">
        <v>860</v>
      </c>
      <c r="D3918" t="s">
        <v>2178</v>
      </c>
    </row>
    <row r="3919" spans="1:4" x14ac:dyDescent="0.3">
      <c r="A3919" t="s">
        <v>1625</v>
      </c>
      <c r="B3919" t="s">
        <v>361</v>
      </c>
      <c r="C3919" t="s">
        <v>860</v>
      </c>
      <c r="D3919" t="s">
        <v>2178</v>
      </c>
    </row>
    <row r="3920" spans="1:4" x14ac:dyDescent="0.3">
      <c r="A3920" t="s">
        <v>1623</v>
      </c>
      <c r="B3920" t="s">
        <v>361</v>
      </c>
      <c r="C3920" t="s">
        <v>860</v>
      </c>
      <c r="D3920" t="s">
        <v>2178</v>
      </c>
    </row>
    <row r="3921" spans="1:4" x14ac:dyDescent="0.3">
      <c r="A3921" t="s">
        <v>1633</v>
      </c>
      <c r="B3921">
        <v>17.724010045363897</v>
      </c>
      <c r="C3921" t="s">
        <v>860</v>
      </c>
      <c r="D3921" t="s">
        <v>2178</v>
      </c>
    </row>
    <row r="3922" spans="1:4" x14ac:dyDescent="0.3">
      <c r="A3922" t="s">
        <v>1628</v>
      </c>
      <c r="B3922">
        <v>17.90308371677839</v>
      </c>
      <c r="C3922" t="s">
        <v>860</v>
      </c>
      <c r="D3922" t="s">
        <v>2179</v>
      </c>
    </row>
    <row r="3923" spans="1:4" x14ac:dyDescent="0.3">
      <c r="A3923" t="s">
        <v>17</v>
      </c>
      <c r="B3923">
        <v>0</v>
      </c>
      <c r="C3923" t="s">
        <v>860</v>
      </c>
      <c r="D3923" t="s">
        <v>2179</v>
      </c>
    </row>
    <row r="3924" spans="1:4" x14ac:dyDescent="0.3">
      <c r="A3924" t="s">
        <v>209</v>
      </c>
      <c r="B3924">
        <v>17.862485652991708</v>
      </c>
      <c r="C3924" t="s">
        <v>860</v>
      </c>
      <c r="D3924" t="s">
        <v>2179</v>
      </c>
    </row>
    <row r="3925" spans="1:4" x14ac:dyDescent="0.3">
      <c r="A3925" t="s">
        <v>446</v>
      </c>
      <c r="B3925">
        <v>4.0598063786682376E-2</v>
      </c>
      <c r="C3925" t="s">
        <v>860</v>
      </c>
      <c r="D3925" t="s">
        <v>2179</v>
      </c>
    </row>
    <row r="3926" spans="1:4" x14ac:dyDescent="0.3">
      <c r="A3926" t="s">
        <v>1632</v>
      </c>
      <c r="B3926" t="s">
        <v>361</v>
      </c>
      <c r="C3926" t="s">
        <v>860</v>
      </c>
      <c r="D3926" t="s">
        <v>2179</v>
      </c>
    </row>
    <row r="3927" spans="1:4" x14ac:dyDescent="0.3">
      <c r="A3927" t="s">
        <v>1626</v>
      </c>
      <c r="B3927" t="s">
        <v>361</v>
      </c>
      <c r="C3927" t="s">
        <v>860</v>
      </c>
      <c r="D3927" t="s">
        <v>2179</v>
      </c>
    </row>
    <row r="3928" spans="1:4" x14ac:dyDescent="0.3">
      <c r="A3928" t="s">
        <v>1627</v>
      </c>
      <c r="B3928" t="s">
        <v>361</v>
      </c>
      <c r="C3928" t="s">
        <v>860</v>
      </c>
      <c r="D3928" t="s">
        <v>2179</v>
      </c>
    </row>
    <row r="3929" spans="1:4" x14ac:dyDescent="0.3">
      <c r="A3929" t="s">
        <v>1625</v>
      </c>
      <c r="B3929" t="s">
        <v>361</v>
      </c>
      <c r="C3929" t="s">
        <v>860</v>
      </c>
      <c r="D3929" t="s">
        <v>2179</v>
      </c>
    </row>
    <row r="3930" spans="1:4" x14ac:dyDescent="0.3">
      <c r="A3930" t="s">
        <v>1623</v>
      </c>
      <c r="B3930" t="s">
        <v>361</v>
      </c>
      <c r="C3930" t="s">
        <v>860</v>
      </c>
      <c r="D3930" t="s">
        <v>2179</v>
      </c>
    </row>
    <row r="3931" spans="1:4" x14ac:dyDescent="0.3">
      <c r="A3931" t="s">
        <v>1633</v>
      </c>
      <c r="B3931">
        <v>17.90308371677839</v>
      </c>
      <c r="C3931" t="s">
        <v>860</v>
      </c>
      <c r="D3931" t="s">
        <v>2179</v>
      </c>
    </row>
    <row r="3932" spans="1:4" x14ac:dyDescent="0.3">
      <c r="A3932" t="s">
        <v>1628</v>
      </c>
      <c r="B3932">
        <v>16.864811566146837</v>
      </c>
      <c r="C3932" t="s">
        <v>860</v>
      </c>
      <c r="D3932" t="s">
        <v>2180</v>
      </c>
    </row>
    <row r="3933" spans="1:4" x14ac:dyDescent="0.3">
      <c r="A3933" t="s">
        <v>17</v>
      </c>
      <c r="B3933">
        <v>0</v>
      </c>
      <c r="C3933" t="s">
        <v>860</v>
      </c>
      <c r="D3933" t="s">
        <v>2180</v>
      </c>
    </row>
    <row r="3934" spans="1:4" x14ac:dyDescent="0.3">
      <c r="A3934" t="s">
        <v>209</v>
      </c>
      <c r="B3934">
        <v>16.824213502360156</v>
      </c>
      <c r="C3934" t="s">
        <v>860</v>
      </c>
      <c r="D3934" t="s">
        <v>2180</v>
      </c>
    </row>
    <row r="3935" spans="1:4" x14ac:dyDescent="0.3">
      <c r="A3935" t="s">
        <v>446</v>
      </c>
      <c r="B3935">
        <v>4.0598063786682376E-2</v>
      </c>
      <c r="C3935" t="s">
        <v>860</v>
      </c>
      <c r="D3935" t="s">
        <v>2180</v>
      </c>
    </row>
    <row r="3936" spans="1:4" x14ac:dyDescent="0.3">
      <c r="A3936" t="s">
        <v>1632</v>
      </c>
      <c r="B3936" t="s">
        <v>361</v>
      </c>
      <c r="C3936" t="s">
        <v>860</v>
      </c>
      <c r="D3936" t="s">
        <v>2180</v>
      </c>
    </row>
    <row r="3937" spans="1:4" x14ac:dyDescent="0.3">
      <c r="A3937" t="s">
        <v>1626</v>
      </c>
      <c r="B3937" t="s">
        <v>361</v>
      </c>
      <c r="C3937" t="s">
        <v>860</v>
      </c>
      <c r="D3937" t="s">
        <v>2180</v>
      </c>
    </row>
    <row r="3938" spans="1:4" x14ac:dyDescent="0.3">
      <c r="A3938" t="s">
        <v>1627</v>
      </c>
      <c r="B3938" t="s">
        <v>361</v>
      </c>
      <c r="C3938" t="s">
        <v>860</v>
      </c>
      <c r="D3938" t="s">
        <v>2180</v>
      </c>
    </row>
    <row r="3939" spans="1:4" x14ac:dyDescent="0.3">
      <c r="A3939" t="s">
        <v>1625</v>
      </c>
      <c r="B3939" t="s">
        <v>361</v>
      </c>
      <c r="C3939" t="s">
        <v>860</v>
      </c>
      <c r="D3939" t="s">
        <v>2180</v>
      </c>
    </row>
    <row r="3940" spans="1:4" x14ac:dyDescent="0.3">
      <c r="A3940" t="s">
        <v>1623</v>
      </c>
      <c r="B3940" t="s">
        <v>361</v>
      </c>
      <c r="C3940" t="s">
        <v>860</v>
      </c>
      <c r="D3940" t="s">
        <v>2180</v>
      </c>
    </row>
    <row r="3941" spans="1:4" x14ac:dyDescent="0.3">
      <c r="A3941" t="s">
        <v>1633</v>
      </c>
      <c r="B3941">
        <v>16.864811566146837</v>
      </c>
      <c r="C3941" t="s">
        <v>860</v>
      </c>
      <c r="D3941" t="s">
        <v>2180</v>
      </c>
    </row>
    <row r="3942" spans="1:4" x14ac:dyDescent="0.3">
      <c r="A3942" t="s">
        <v>1628</v>
      </c>
      <c r="B3942">
        <v>18.575670428296636</v>
      </c>
      <c r="C3942" t="s">
        <v>860</v>
      </c>
      <c r="D3942" t="s">
        <v>2181</v>
      </c>
    </row>
    <row r="3943" spans="1:4" x14ac:dyDescent="0.3">
      <c r="A3943" t="s">
        <v>17</v>
      </c>
      <c r="B3943">
        <v>0</v>
      </c>
      <c r="C3943" t="s">
        <v>860</v>
      </c>
      <c r="D3943" t="s">
        <v>2181</v>
      </c>
    </row>
    <row r="3944" spans="1:4" x14ac:dyDescent="0.3">
      <c r="A3944" t="s">
        <v>209</v>
      </c>
      <c r="B3944">
        <v>18.535072364509954</v>
      </c>
      <c r="C3944" t="s">
        <v>860</v>
      </c>
      <c r="D3944" t="s">
        <v>2181</v>
      </c>
    </row>
    <row r="3945" spans="1:4" x14ac:dyDescent="0.3">
      <c r="A3945" t="s">
        <v>446</v>
      </c>
      <c r="B3945">
        <v>4.0598063786682376E-2</v>
      </c>
      <c r="C3945" t="s">
        <v>860</v>
      </c>
      <c r="D3945" t="s">
        <v>2181</v>
      </c>
    </row>
    <row r="3946" spans="1:4" x14ac:dyDescent="0.3">
      <c r="A3946" t="s">
        <v>1632</v>
      </c>
      <c r="B3946" t="s">
        <v>361</v>
      </c>
      <c r="C3946" t="s">
        <v>860</v>
      </c>
      <c r="D3946" t="s">
        <v>2181</v>
      </c>
    </row>
    <row r="3947" spans="1:4" x14ac:dyDescent="0.3">
      <c r="A3947" t="s">
        <v>1626</v>
      </c>
      <c r="B3947" t="s">
        <v>361</v>
      </c>
      <c r="C3947" t="s">
        <v>860</v>
      </c>
      <c r="D3947" t="s">
        <v>2181</v>
      </c>
    </row>
    <row r="3948" spans="1:4" x14ac:dyDescent="0.3">
      <c r="A3948" t="s">
        <v>1627</v>
      </c>
      <c r="B3948" t="s">
        <v>361</v>
      </c>
      <c r="C3948" t="s">
        <v>860</v>
      </c>
      <c r="D3948" t="s">
        <v>2181</v>
      </c>
    </row>
    <row r="3949" spans="1:4" x14ac:dyDescent="0.3">
      <c r="A3949" t="s">
        <v>1625</v>
      </c>
      <c r="B3949" t="s">
        <v>361</v>
      </c>
      <c r="C3949" t="s">
        <v>860</v>
      </c>
      <c r="D3949" t="s">
        <v>2181</v>
      </c>
    </row>
    <row r="3950" spans="1:4" x14ac:dyDescent="0.3">
      <c r="A3950" t="s">
        <v>1623</v>
      </c>
      <c r="B3950" t="s">
        <v>361</v>
      </c>
      <c r="C3950" t="s">
        <v>860</v>
      </c>
      <c r="D3950" t="s">
        <v>2181</v>
      </c>
    </row>
    <row r="3951" spans="1:4" x14ac:dyDescent="0.3">
      <c r="A3951" t="s">
        <v>1633</v>
      </c>
      <c r="B3951">
        <v>18.575670428296636</v>
      </c>
      <c r="C3951" t="s">
        <v>860</v>
      </c>
      <c r="D3951" t="s">
        <v>2181</v>
      </c>
    </row>
    <row r="3952" spans="1:4" x14ac:dyDescent="0.3">
      <c r="A3952" t="s">
        <v>1628</v>
      </c>
      <c r="B3952">
        <v>17.462752277715204</v>
      </c>
      <c r="C3952" t="s">
        <v>860</v>
      </c>
      <c r="D3952" t="s">
        <v>2182</v>
      </c>
    </row>
    <row r="3953" spans="1:4" x14ac:dyDescent="0.3">
      <c r="A3953" t="s">
        <v>17</v>
      </c>
      <c r="B3953">
        <v>0</v>
      </c>
      <c r="C3953" t="s">
        <v>860</v>
      </c>
      <c r="D3953" t="s">
        <v>2182</v>
      </c>
    </row>
    <row r="3954" spans="1:4" x14ac:dyDescent="0.3">
      <c r="A3954" t="s">
        <v>209</v>
      </c>
      <c r="B3954">
        <v>17.422154213928522</v>
      </c>
      <c r="C3954" t="s">
        <v>860</v>
      </c>
      <c r="D3954" t="s">
        <v>2182</v>
      </c>
    </row>
    <row r="3955" spans="1:4" x14ac:dyDescent="0.3">
      <c r="A3955" t="s">
        <v>446</v>
      </c>
      <c r="B3955">
        <v>4.0598063786682376E-2</v>
      </c>
      <c r="C3955" t="s">
        <v>860</v>
      </c>
      <c r="D3955" t="s">
        <v>2182</v>
      </c>
    </row>
    <row r="3956" spans="1:4" x14ac:dyDescent="0.3">
      <c r="A3956" t="s">
        <v>1632</v>
      </c>
      <c r="B3956" t="s">
        <v>361</v>
      </c>
      <c r="C3956" t="s">
        <v>860</v>
      </c>
      <c r="D3956" t="s">
        <v>2182</v>
      </c>
    </row>
    <row r="3957" spans="1:4" x14ac:dyDescent="0.3">
      <c r="A3957" t="s">
        <v>1626</v>
      </c>
      <c r="B3957" t="s">
        <v>361</v>
      </c>
      <c r="C3957" t="s">
        <v>860</v>
      </c>
      <c r="D3957" t="s">
        <v>2182</v>
      </c>
    </row>
    <row r="3958" spans="1:4" x14ac:dyDescent="0.3">
      <c r="A3958" t="s">
        <v>1627</v>
      </c>
      <c r="B3958" t="s">
        <v>361</v>
      </c>
      <c r="C3958" t="s">
        <v>860</v>
      </c>
      <c r="D3958" t="s">
        <v>2182</v>
      </c>
    </row>
    <row r="3959" spans="1:4" x14ac:dyDescent="0.3">
      <c r="A3959" t="s">
        <v>1625</v>
      </c>
      <c r="B3959" t="s">
        <v>361</v>
      </c>
      <c r="C3959" t="s">
        <v>860</v>
      </c>
      <c r="D3959" t="s">
        <v>2182</v>
      </c>
    </row>
    <row r="3960" spans="1:4" x14ac:dyDescent="0.3">
      <c r="A3960" t="s">
        <v>1623</v>
      </c>
      <c r="B3960" t="s">
        <v>361</v>
      </c>
      <c r="C3960" t="s">
        <v>860</v>
      </c>
      <c r="D3960" t="s">
        <v>2182</v>
      </c>
    </row>
    <row r="3961" spans="1:4" x14ac:dyDescent="0.3">
      <c r="A3961" t="s">
        <v>1633</v>
      </c>
      <c r="B3961">
        <v>17.462752277715204</v>
      </c>
      <c r="C3961" t="s">
        <v>860</v>
      </c>
      <c r="D3961" t="s">
        <v>2182</v>
      </c>
    </row>
    <row r="3962" spans="1:4" x14ac:dyDescent="0.3">
      <c r="A3962" t="s">
        <v>1628</v>
      </c>
      <c r="B3962">
        <v>18.070568644680446</v>
      </c>
      <c r="C3962" t="s">
        <v>860</v>
      </c>
      <c r="D3962" t="s">
        <v>2183</v>
      </c>
    </row>
    <row r="3963" spans="1:4" x14ac:dyDescent="0.3">
      <c r="A3963" t="s">
        <v>17</v>
      </c>
      <c r="B3963">
        <v>0</v>
      </c>
      <c r="C3963" t="s">
        <v>860</v>
      </c>
      <c r="D3963" t="s">
        <v>2183</v>
      </c>
    </row>
    <row r="3964" spans="1:4" x14ac:dyDescent="0.3">
      <c r="A3964" t="s">
        <v>209</v>
      </c>
      <c r="B3964">
        <v>18.029970580893764</v>
      </c>
      <c r="C3964" t="s">
        <v>860</v>
      </c>
      <c r="D3964" t="s">
        <v>2183</v>
      </c>
    </row>
    <row r="3965" spans="1:4" x14ac:dyDescent="0.3">
      <c r="A3965" t="s">
        <v>446</v>
      </c>
      <c r="B3965">
        <v>4.0598063786682376E-2</v>
      </c>
      <c r="C3965" t="s">
        <v>860</v>
      </c>
      <c r="D3965" t="s">
        <v>2183</v>
      </c>
    </row>
    <row r="3966" spans="1:4" x14ac:dyDescent="0.3">
      <c r="A3966" t="s">
        <v>1632</v>
      </c>
      <c r="B3966" t="s">
        <v>361</v>
      </c>
      <c r="C3966" t="s">
        <v>860</v>
      </c>
      <c r="D3966" t="s">
        <v>2183</v>
      </c>
    </row>
    <row r="3967" spans="1:4" x14ac:dyDescent="0.3">
      <c r="A3967" t="s">
        <v>1626</v>
      </c>
      <c r="B3967" t="s">
        <v>361</v>
      </c>
      <c r="C3967" t="s">
        <v>860</v>
      </c>
      <c r="D3967" t="s">
        <v>2183</v>
      </c>
    </row>
    <row r="3968" spans="1:4" x14ac:dyDescent="0.3">
      <c r="A3968" t="s">
        <v>1627</v>
      </c>
      <c r="B3968" t="s">
        <v>361</v>
      </c>
      <c r="C3968" t="s">
        <v>860</v>
      </c>
      <c r="D3968" t="s">
        <v>2183</v>
      </c>
    </row>
    <row r="3969" spans="1:4" x14ac:dyDescent="0.3">
      <c r="A3969" t="s">
        <v>1625</v>
      </c>
      <c r="B3969" t="s">
        <v>361</v>
      </c>
      <c r="C3969" t="s">
        <v>860</v>
      </c>
      <c r="D3969" t="s">
        <v>2183</v>
      </c>
    </row>
    <row r="3970" spans="1:4" x14ac:dyDescent="0.3">
      <c r="A3970" t="s">
        <v>1623</v>
      </c>
      <c r="B3970" t="s">
        <v>361</v>
      </c>
      <c r="C3970" t="s">
        <v>860</v>
      </c>
      <c r="D3970" t="s">
        <v>2183</v>
      </c>
    </row>
    <row r="3971" spans="1:4" x14ac:dyDescent="0.3">
      <c r="A3971" t="s">
        <v>1633</v>
      </c>
      <c r="B3971">
        <v>18.070568644680446</v>
      </c>
      <c r="C3971" t="s">
        <v>860</v>
      </c>
      <c r="D3971" t="s">
        <v>2183</v>
      </c>
    </row>
    <row r="3972" spans="1:4" x14ac:dyDescent="0.3">
      <c r="A3972" t="s">
        <v>1628</v>
      </c>
      <c r="B3972">
        <v>17.887080094981904</v>
      </c>
      <c r="C3972" t="s">
        <v>860</v>
      </c>
      <c r="D3972" t="s">
        <v>2184</v>
      </c>
    </row>
    <row r="3973" spans="1:4" x14ac:dyDescent="0.3">
      <c r="A3973" t="s">
        <v>17</v>
      </c>
      <c r="B3973">
        <v>0</v>
      </c>
      <c r="C3973" t="s">
        <v>860</v>
      </c>
      <c r="D3973" t="s">
        <v>2184</v>
      </c>
    </row>
    <row r="3974" spans="1:4" x14ac:dyDescent="0.3">
      <c r="A3974" t="s">
        <v>209</v>
      </c>
      <c r="B3974">
        <v>17.846482031195222</v>
      </c>
      <c r="C3974" t="s">
        <v>860</v>
      </c>
      <c r="D3974" t="s">
        <v>2184</v>
      </c>
    </row>
    <row r="3975" spans="1:4" x14ac:dyDescent="0.3">
      <c r="A3975" t="s">
        <v>446</v>
      </c>
      <c r="B3975">
        <v>4.0598063786682376E-2</v>
      </c>
      <c r="C3975" t="s">
        <v>860</v>
      </c>
      <c r="D3975" t="s">
        <v>2184</v>
      </c>
    </row>
    <row r="3976" spans="1:4" x14ac:dyDescent="0.3">
      <c r="A3976" t="s">
        <v>1632</v>
      </c>
      <c r="B3976" t="s">
        <v>361</v>
      </c>
      <c r="C3976" t="s">
        <v>860</v>
      </c>
      <c r="D3976" t="s">
        <v>2184</v>
      </c>
    </row>
    <row r="3977" spans="1:4" x14ac:dyDescent="0.3">
      <c r="A3977" t="s">
        <v>1626</v>
      </c>
      <c r="B3977" t="s">
        <v>361</v>
      </c>
      <c r="C3977" t="s">
        <v>860</v>
      </c>
      <c r="D3977" t="s">
        <v>2184</v>
      </c>
    </row>
    <row r="3978" spans="1:4" x14ac:dyDescent="0.3">
      <c r="A3978" t="s">
        <v>1627</v>
      </c>
      <c r="B3978" t="s">
        <v>361</v>
      </c>
      <c r="C3978" t="s">
        <v>860</v>
      </c>
      <c r="D3978" t="s">
        <v>2184</v>
      </c>
    </row>
    <row r="3979" spans="1:4" x14ac:dyDescent="0.3">
      <c r="A3979" t="s">
        <v>1625</v>
      </c>
      <c r="B3979" t="s">
        <v>361</v>
      </c>
      <c r="C3979" t="s">
        <v>860</v>
      </c>
      <c r="D3979" t="s">
        <v>2184</v>
      </c>
    </row>
    <row r="3980" spans="1:4" x14ac:dyDescent="0.3">
      <c r="A3980" t="s">
        <v>1623</v>
      </c>
      <c r="B3980" t="s">
        <v>361</v>
      </c>
      <c r="C3980" t="s">
        <v>860</v>
      </c>
      <c r="D3980" t="s">
        <v>2184</v>
      </c>
    </row>
    <row r="3981" spans="1:4" x14ac:dyDescent="0.3">
      <c r="A3981" t="s">
        <v>1633</v>
      </c>
      <c r="B3981">
        <v>17.887080094981904</v>
      </c>
      <c r="C3981" t="s">
        <v>860</v>
      </c>
      <c r="D3981" t="s">
        <v>2184</v>
      </c>
    </row>
    <row r="3982" spans="1:4" x14ac:dyDescent="0.3">
      <c r="A3982" t="s">
        <v>1628</v>
      </c>
      <c r="B3982">
        <v>17.909492275291992</v>
      </c>
      <c r="C3982" t="s">
        <v>860</v>
      </c>
      <c r="D3982" t="s">
        <v>2185</v>
      </c>
    </row>
    <row r="3983" spans="1:4" x14ac:dyDescent="0.3">
      <c r="A3983" t="s">
        <v>17</v>
      </c>
      <c r="B3983">
        <v>0</v>
      </c>
      <c r="C3983" t="s">
        <v>860</v>
      </c>
      <c r="D3983" t="s">
        <v>2185</v>
      </c>
    </row>
    <row r="3984" spans="1:4" x14ac:dyDescent="0.3">
      <c r="A3984" t="s">
        <v>209</v>
      </c>
      <c r="B3984">
        <v>17.86889421150531</v>
      </c>
      <c r="C3984" t="s">
        <v>860</v>
      </c>
      <c r="D3984" t="s">
        <v>2185</v>
      </c>
    </row>
    <row r="3985" spans="1:4" x14ac:dyDescent="0.3">
      <c r="A3985" t="s">
        <v>446</v>
      </c>
      <c r="B3985">
        <v>4.0598063786682376E-2</v>
      </c>
      <c r="C3985" t="s">
        <v>860</v>
      </c>
      <c r="D3985" t="s">
        <v>2185</v>
      </c>
    </row>
    <row r="3986" spans="1:4" x14ac:dyDescent="0.3">
      <c r="A3986" t="s">
        <v>1632</v>
      </c>
      <c r="B3986" t="s">
        <v>361</v>
      </c>
      <c r="C3986" t="s">
        <v>860</v>
      </c>
      <c r="D3986" t="s">
        <v>2185</v>
      </c>
    </row>
    <row r="3987" spans="1:4" x14ac:dyDescent="0.3">
      <c r="A3987" t="s">
        <v>1626</v>
      </c>
      <c r="B3987" t="s">
        <v>361</v>
      </c>
      <c r="C3987" t="s">
        <v>860</v>
      </c>
      <c r="D3987" t="s">
        <v>2185</v>
      </c>
    </row>
    <row r="3988" spans="1:4" x14ac:dyDescent="0.3">
      <c r="A3988" t="s">
        <v>1627</v>
      </c>
      <c r="B3988" t="s">
        <v>361</v>
      </c>
      <c r="C3988" t="s">
        <v>860</v>
      </c>
      <c r="D3988" t="s">
        <v>2185</v>
      </c>
    </row>
    <row r="3989" spans="1:4" x14ac:dyDescent="0.3">
      <c r="A3989" t="s">
        <v>1625</v>
      </c>
      <c r="B3989" t="s">
        <v>361</v>
      </c>
      <c r="C3989" t="s">
        <v>860</v>
      </c>
      <c r="D3989" t="s">
        <v>2185</v>
      </c>
    </row>
    <row r="3990" spans="1:4" x14ac:dyDescent="0.3">
      <c r="A3990" t="s">
        <v>1623</v>
      </c>
      <c r="B3990" t="s">
        <v>361</v>
      </c>
      <c r="C3990" t="s">
        <v>860</v>
      </c>
      <c r="D3990" t="s">
        <v>2185</v>
      </c>
    </row>
    <row r="3991" spans="1:4" x14ac:dyDescent="0.3">
      <c r="A3991" t="s">
        <v>1633</v>
      </c>
      <c r="B3991">
        <v>17.909492275291992</v>
      </c>
      <c r="C3991" t="s">
        <v>860</v>
      </c>
      <c r="D3991" t="s">
        <v>2185</v>
      </c>
    </row>
    <row r="3992" spans="1:4" x14ac:dyDescent="0.3">
      <c r="A3992" t="s">
        <v>1628</v>
      </c>
      <c r="B3992">
        <v>17.763454598562028</v>
      </c>
      <c r="C3992" t="s">
        <v>860</v>
      </c>
      <c r="D3992" t="s">
        <v>2186</v>
      </c>
    </row>
    <row r="3993" spans="1:4" x14ac:dyDescent="0.3">
      <c r="A3993" t="s">
        <v>17</v>
      </c>
      <c r="B3993">
        <v>0</v>
      </c>
      <c r="C3993" t="s">
        <v>860</v>
      </c>
      <c r="D3993" t="s">
        <v>2186</v>
      </c>
    </row>
    <row r="3994" spans="1:4" x14ac:dyDescent="0.3">
      <c r="A3994" t="s">
        <v>209</v>
      </c>
      <c r="B3994">
        <v>17.722856534775346</v>
      </c>
      <c r="C3994" t="s">
        <v>860</v>
      </c>
      <c r="D3994" t="s">
        <v>2186</v>
      </c>
    </row>
    <row r="3995" spans="1:4" x14ac:dyDescent="0.3">
      <c r="A3995" t="s">
        <v>446</v>
      </c>
      <c r="B3995">
        <v>4.0598063786682376E-2</v>
      </c>
      <c r="C3995" t="s">
        <v>860</v>
      </c>
      <c r="D3995" t="s">
        <v>2186</v>
      </c>
    </row>
    <row r="3996" spans="1:4" x14ac:dyDescent="0.3">
      <c r="A3996" t="s">
        <v>1632</v>
      </c>
      <c r="B3996" t="s">
        <v>361</v>
      </c>
      <c r="C3996" t="s">
        <v>860</v>
      </c>
      <c r="D3996" t="s">
        <v>2186</v>
      </c>
    </row>
    <row r="3997" spans="1:4" x14ac:dyDescent="0.3">
      <c r="A3997" t="s">
        <v>1626</v>
      </c>
      <c r="B3997" t="s">
        <v>361</v>
      </c>
      <c r="C3997" t="s">
        <v>860</v>
      </c>
      <c r="D3997" t="s">
        <v>2186</v>
      </c>
    </row>
    <row r="3998" spans="1:4" x14ac:dyDescent="0.3">
      <c r="A3998" t="s">
        <v>1627</v>
      </c>
      <c r="B3998" t="s">
        <v>361</v>
      </c>
      <c r="C3998" t="s">
        <v>860</v>
      </c>
      <c r="D3998" t="s">
        <v>2186</v>
      </c>
    </row>
    <row r="3999" spans="1:4" x14ac:dyDescent="0.3">
      <c r="A3999" t="s">
        <v>1625</v>
      </c>
      <c r="B3999" t="s">
        <v>361</v>
      </c>
      <c r="C3999" t="s">
        <v>860</v>
      </c>
      <c r="D3999" t="s">
        <v>2186</v>
      </c>
    </row>
    <row r="4000" spans="1:4" x14ac:dyDescent="0.3">
      <c r="A4000" t="s">
        <v>1623</v>
      </c>
      <c r="B4000" t="s">
        <v>361</v>
      </c>
      <c r="C4000" t="s">
        <v>860</v>
      </c>
      <c r="D4000" t="s">
        <v>2186</v>
      </c>
    </row>
    <row r="4001" spans="1:4" x14ac:dyDescent="0.3">
      <c r="A4001" t="s">
        <v>1633</v>
      </c>
      <c r="B4001">
        <v>17.763454598562028</v>
      </c>
      <c r="C4001" t="s">
        <v>860</v>
      </c>
      <c r="D4001" t="s">
        <v>2186</v>
      </c>
    </row>
    <row r="4002" spans="1:4" x14ac:dyDescent="0.3">
      <c r="A4002" t="s">
        <v>1628</v>
      </c>
      <c r="B4002">
        <v>17.779624261880834</v>
      </c>
      <c r="C4002" t="s">
        <v>860</v>
      </c>
      <c r="D4002" t="s">
        <v>2187</v>
      </c>
    </row>
    <row r="4003" spans="1:4" x14ac:dyDescent="0.3">
      <c r="A4003" t="s">
        <v>17</v>
      </c>
      <c r="B4003">
        <v>0</v>
      </c>
      <c r="C4003" t="s">
        <v>860</v>
      </c>
      <c r="D4003" t="s">
        <v>2187</v>
      </c>
    </row>
    <row r="4004" spans="1:4" x14ac:dyDescent="0.3">
      <c r="A4004" t="s">
        <v>209</v>
      </c>
      <c r="B4004">
        <v>17.739026198094152</v>
      </c>
      <c r="C4004" t="s">
        <v>860</v>
      </c>
      <c r="D4004" t="s">
        <v>2187</v>
      </c>
    </row>
    <row r="4005" spans="1:4" x14ac:dyDescent="0.3">
      <c r="A4005" t="s">
        <v>446</v>
      </c>
      <c r="B4005">
        <v>4.0598063786682376E-2</v>
      </c>
      <c r="C4005" t="s">
        <v>860</v>
      </c>
      <c r="D4005" t="s">
        <v>2187</v>
      </c>
    </row>
    <row r="4006" spans="1:4" x14ac:dyDescent="0.3">
      <c r="A4006" t="s">
        <v>1632</v>
      </c>
      <c r="B4006" t="s">
        <v>361</v>
      </c>
      <c r="C4006" t="s">
        <v>860</v>
      </c>
      <c r="D4006" t="s">
        <v>2187</v>
      </c>
    </row>
    <row r="4007" spans="1:4" x14ac:dyDescent="0.3">
      <c r="A4007" t="s">
        <v>1626</v>
      </c>
      <c r="B4007" t="s">
        <v>361</v>
      </c>
      <c r="C4007" t="s">
        <v>860</v>
      </c>
      <c r="D4007" t="s">
        <v>2187</v>
      </c>
    </row>
    <row r="4008" spans="1:4" x14ac:dyDescent="0.3">
      <c r="A4008" t="s">
        <v>1627</v>
      </c>
      <c r="B4008" t="s">
        <v>361</v>
      </c>
      <c r="C4008" t="s">
        <v>860</v>
      </c>
      <c r="D4008" t="s">
        <v>2187</v>
      </c>
    </row>
    <row r="4009" spans="1:4" x14ac:dyDescent="0.3">
      <c r="A4009" t="s">
        <v>1625</v>
      </c>
      <c r="B4009" t="s">
        <v>361</v>
      </c>
      <c r="C4009" t="s">
        <v>860</v>
      </c>
      <c r="D4009" t="s">
        <v>2187</v>
      </c>
    </row>
    <row r="4010" spans="1:4" x14ac:dyDescent="0.3">
      <c r="A4010" t="s">
        <v>1623</v>
      </c>
      <c r="B4010" t="s">
        <v>361</v>
      </c>
      <c r="C4010" t="s">
        <v>860</v>
      </c>
      <c r="D4010" t="s">
        <v>2187</v>
      </c>
    </row>
    <row r="4011" spans="1:4" x14ac:dyDescent="0.3">
      <c r="A4011" t="s">
        <v>1633</v>
      </c>
      <c r="B4011">
        <v>17.779624261880834</v>
      </c>
      <c r="C4011" t="s">
        <v>860</v>
      </c>
      <c r="D4011" t="s">
        <v>2187</v>
      </c>
    </row>
    <row r="4012" spans="1:4" x14ac:dyDescent="0.3">
      <c r="A4012" t="s">
        <v>1628</v>
      </c>
      <c r="B4012">
        <v>17.653966597536009</v>
      </c>
      <c r="C4012" t="s">
        <v>860</v>
      </c>
      <c r="D4012" t="s">
        <v>2188</v>
      </c>
    </row>
    <row r="4013" spans="1:4" x14ac:dyDescent="0.3">
      <c r="A4013" t="s">
        <v>17</v>
      </c>
      <c r="B4013">
        <v>0</v>
      </c>
      <c r="C4013" t="s">
        <v>860</v>
      </c>
      <c r="D4013" t="s">
        <v>2188</v>
      </c>
    </row>
    <row r="4014" spans="1:4" x14ac:dyDescent="0.3">
      <c r="A4014" t="s">
        <v>209</v>
      </c>
      <c r="B4014">
        <v>17.613368533749327</v>
      </c>
      <c r="C4014" t="s">
        <v>860</v>
      </c>
      <c r="D4014" t="s">
        <v>2188</v>
      </c>
    </row>
    <row r="4015" spans="1:4" x14ac:dyDescent="0.3">
      <c r="A4015" t="s">
        <v>446</v>
      </c>
      <c r="B4015">
        <v>4.0598063786682376E-2</v>
      </c>
      <c r="C4015" t="s">
        <v>860</v>
      </c>
      <c r="D4015" t="s">
        <v>2188</v>
      </c>
    </row>
    <row r="4016" spans="1:4" x14ac:dyDescent="0.3">
      <c r="A4016" t="s">
        <v>1632</v>
      </c>
      <c r="B4016" t="s">
        <v>361</v>
      </c>
      <c r="C4016" t="s">
        <v>860</v>
      </c>
      <c r="D4016" t="s">
        <v>2188</v>
      </c>
    </row>
    <row r="4017" spans="1:4" x14ac:dyDescent="0.3">
      <c r="A4017" t="s">
        <v>1626</v>
      </c>
      <c r="B4017" t="s">
        <v>361</v>
      </c>
      <c r="C4017" t="s">
        <v>860</v>
      </c>
      <c r="D4017" t="s">
        <v>2188</v>
      </c>
    </row>
    <row r="4018" spans="1:4" x14ac:dyDescent="0.3">
      <c r="A4018" t="s">
        <v>1627</v>
      </c>
      <c r="B4018" t="s">
        <v>361</v>
      </c>
      <c r="C4018" t="s">
        <v>860</v>
      </c>
      <c r="D4018" t="s">
        <v>2188</v>
      </c>
    </row>
    <row r="4019" spans="1:4" x14ac:dyDescent="0.3">
      <c r="A4019" t="s">
        <v>1625</v>
      </c>
      <c r="B4019" t="s">
        <v>361</v>
      </c>
      <c r="C4019" t="s">
        <v>860</v>
      </c>
      <c r="D4019" t="s">
        <v>2188</v>
      </c>
    </row>
    <row r="4020" spans="1:4" x14ac:dyDescent="0.3">
      <c r="A4020" t="s">
        <v>1623</v>
      </c>
      <c r="B4020" t="s">
        <v>361</v>
      </c>
      <c r="C4020" t="s">
        <v>860</v>
      </c>
      <c r="D4020" t="s">
        <v>2188</v>
      </c>
    </row>
    <row r="4021" spans="1:4" x14ac:dyDescent="0.3">
      <c r="A4021" t="s">
        <v>1633</v>
      </c>
      <c r="B4021">
        <v>17.653966597536009</v>
      </c>
      <c r="C4021" t="s">
        <v>860</v>
      </c>
      <c r="D4021" t="s">
        <v>2188</v>
      </c>
    </row>
    <row r="4022" spans="1:4" x14ac:dyDescent="0.3">
      <c r="A4022" t="s">
        <v>1628</v>
      </c>
      <c r="B4022">
        <v>18.517314070845675</v>
      </c>
      <c r="C4022" t="s">
        <v>860</v>
      </c>
      <c r="D4022" t="s">
        <v>2189</v>
      </c>
    </row>
    <row r="4023" spans="1:4" x14ac:dyDescent="0.3">
      <c r="A4023" t="s">
        <v>17</v>
      </c>
      <c r="B4023">
        <v>0</v>
      </c>
      <c r="C4023" t="s">
        <v>860</v>
      </c>
      <c r="D4023" t="s">
        <v>2189</v>
      </c>
    </row>
    <row r="4024" spans="1:4" x14ac:dyDescent="0.3">
      <c r="A4024" t="s">
        <v>209</v>
      </c>
      <c r="B4024">
        <v>18.476716007058993</v>
      </c>
      <c r="C4024" t="s">
        <v>860</v>
      </c>
      <c r="D4024" t="s">
        <v>2189</v>
      </c>
    </row>
    <row r="4025" spans="1:4" x14ac:dyDescent="0.3">
      <c r="A4025" t="s">
        <v>446</v>
      </c>
      <c r="B4025">
        <v>4.0598063786682376E-2</v>
      </c>
      <c r="C4025" t="s">
        <v>860</v>
      </c>
      <c r="D4025" t="s">
        <v>2189</v>
      </c>
    </row>
    <row r="4026" spans="1:4" x14ac:dyDescent="0.3">
      <c r="A4026" t="s">
        <v>1632</v>
      </c>
      <c r="B4026" t="s">
        <v>361</v>
      </c>
      <c r="C4026" t="s">
        <v>860</v>
      </c>
      <c r="D4026" t="s">
        <v>2189</v>
      </c>
    </row>
    <row r="4027" spans="1:4" x14ac:dyDescent="0.3">
      <c r="A4027" t="s">
        <v>1626</v>
      </c>
      <c r="B4027" t="s">
        <v>361</v>
      </c>
      <c r="C4027" t="s">
        <v>860</v>
      </c>
      <c r="D4027" t="s">
        <v>2189</v>
      </c>
    </row>
    <row r="4028" spans="1:4" x14ac:dyDescent="0.3">
      <c r="A4028" t="s">
        <v>1627</v>
      </c>
      <c r="B4028" t="s">
        <v>361</v>
      </c>
      <c r="C4028" t="s">
        <v>860</v>
      </c>
      <c r="D4028" t="s">
        <v>2189</v>
      </c>
    </row>
    <row r="4029" spans="1:4" x14ac:dyDescent="0.3">
      <c r="A4029" t="s">
        <v>1625</v>
      </c>
      <c r="B4029" t="s">
        <v>361</v>
      </c>
      <c r="C4029" t="s">
        <v>860</v>
      </c>
      <c r="D4029" t="s">
        <v>2189</v>
      </c>
    </row>
    <row r="4030" spans="1:4" x14ac:dyDescent="0.3">
      <c r="A4030" t="s">
        <v>1623</v>
      </c>
      <c r="B4030" t="s">
        <v>361</v>
      </c>
      <c r="C4030" t="s">
        <v>860</v>
      </c>
      <c r="D4030" t="s">
        <v>2189</v>
      </c>
    </row>
    <row r="4031" spans="1:4" x14ac:dyDescent="0.3">
      <c r="A4031" t="s">
        <v>1633</v>
      </c>
      <c r="B4031">
        <v>18.517314070845675</v>
      </c>
      <c r="C4031" t="s">
        <v>860</v>
      </c>
      <c r="D4031" t="s">
        <v>2189</v>
      </c>
    </row>
    <row r="4032" spans="1:4" x14ac:dyDescent="0.3">
      <c r="A4032" t="s">
        <v>1628</v>
      </c>
      <c r="B4032">
        <v>17.729305864485266</v>
      </c>
      <c r="C4032" t="s">
        <v>860</v>
      </c>
      <c r="D4032" t="s">
        <v>2190</v>
      </c>
    </row>
    <row r="4033" spans="1:4" x14ac:dyDescent="0.3">
      <c r="A4033" t="s">
        <v>17</v>
      </c>
      <c r="B4033">
        <v>0</v>
      </c>
      <c r="C4033" t="s">
        <v>860</v>
      </c>
      <c r="D4033" t="s">
        <v>2190</v>
      </c>
    </row>
    <row r="4034" spans="1:4" x14ac:dyDescent="0.3">
      <c r="A4034" t="s">
        <v>209</v>
      </c>
      <c r="B4034">
        <v>17.688707800698584</v>
      </c>
      <c r="C4034" t="s">
        <v>860</v>
      </c>
      <c r="D4034" t="s">
        <v>2190</v>
      </c>
    </row>
    <row r="4035" spans="1:4" x14ac:dyDescent="0.3">
      <c r="A4035" t="s">
        <v>446</v>
      </c>
      <c r="B4035">
        <v>4.0598063786682376E-2</v>
      </c>
      <c r="C4035" t="s">
        <v>860</v>
      </c>
      <c r="D4035" t="s">
        <v>2190</v>
      </c>
    </row>
    <row r="4036" spans="1:4" x14ac:dyDescent="0.3">
      <c r="A4036" t="s">
        <v>1632</v>
      </c>
      <c r="B4036" t="s">
        <v>361</v>
      </c>
      <c r="C4036" t="s">
        <v>860</v>
      </c>
      <c r="D4036" t="s">
        <v>2190</v>
      </c>
    </row>
    <row r="4037" spans="1:4" x14ac:dyDescent="0.3">
      <c r="A4037" t="s">
        <v>1626</v>
      </c>
      <c r="B4037" t="s">
        <v>361</v>
      </c>
      <c r="C4037" t="s">
        <v>860</v>
      </c>
      <c r="D4037" t="s">
        <v>2190</v>
      </c>
    </row>
    <row r="4038" spans="1:4" x14ac:dyDescent="0.3">
      <c r="A4038" t="s">
        <v>1627</v>
      </c>
      <c r="B4038" t="s">
        <v>361</v>
      </c>
      <c r="C4038" t="s">
        <v>860</v>
      </c>
      <c r="D4038" t="s">
        <v>2190</v>
      </c>
    </row>
    <row r="4039" spans="1:4" x14ac:dyDescent="0.3">
      <c r="A4039" t="s">
        <v>1625</v>
      </c>
      <c r="B4039" t="s">
        <v>361</v>
      </c>
      <c r="C4039" t="s">
        <v>860</v>
      </c>
      <c r="D4039" t="s">
        <v>2190</v>
      </c>
    </row>
    <row r="4040" spans="1:4" x14ac:dyDescent="0.3">
      <c r="A4040" t="s">
        <v>1623</v>
      </c>
      <c r="B4040" t="s">
        <v>361</v>
      </c>
      <c r="C4040" t="s">
        <v>860</v>
      </c>
      <c r="D4040" t="s">
        <v>2190</v>
      </c>
    </row>
    <row r="4041" spans="1:4" x14ac:dyDescent="0.3">
      <c r="A4041" t="s">
        <v>1633</v>
      </c>
      <c r="B4041">
        <v>17.729305864485266</v>
      </c>
      <c r="C4041" t="s">
        <v>860</v>
      </c>
      <c r="D4041" t="s">
        <v>2190</v>
      </c>
    </row>
    <row r="4042" spans="1:4" x14ac:dyDescent="0.3">
      <c r="A4042" t="s">
        <v>1628</v>
      </c>
      <c r="B4042">
        <v>17.731333871713709</v>
      </c>
      <c r="C4042" t="s">
        <v>860</v>
      </c>
      <c r="D4042" t="s">
        <v>2191</v>
      </c>
    </row>
    <row r="4043" spans="1:4" x14ac:dyDescent="0.3">
      <c r="A4043" t="s">
        <v>17</v>
      </c>
      <c r="B4043">
        <v>0</v>
      </c>
      <c r="C4043" t="s">
        <v>860</v>
      </c>
      <c r="D4043" t="s">
        <v>2191</v>
      </c>
    </row>
    <row r="4044" spans="1:4" x14ac:dyDescent="0.3">
      <c r="A4044" t="s">
        <v>209</v>
      </c>
      <c r="B4044">
        <v>17.690735807927027</v>
      </c>
      <c r="C4044" t="s">
        <v>860</v>
      </c>
      <c r="D4044" t="s">
        <v>2191</v>
      </c>
    </row>
    <row r="4045" spans="1:4" x14ac:dyDescent="0.3">
      <c r="A4045" t="s">
        <v>446</v>
      </c>
      <c r="B4045">
        <v>4.0598063786682376E-2</v>
      </c>
      <c r="C4045" t="s">
        <v>860</v>
      </c>
      <c r="D4045" t="s">
        <v>2191</v>
      </c>
    </row>
    <row r="4046" spans="1:4" x14ac:dyDescent="0.3">
      <c r="A4046" t="s">
        <v>1632</v>
      </c>
      <c r="B4046" t="s">
        <v>361</v>
      </c>
      <c r="C4046" t="s">
        <v>860</v>
      </c>
      <c r="D4046" t="s">
        <v>2191</v>
      </c>
    </row>
    <row r="4047" spans="1:4" x14ac:dyDescent="0.3">
      <c r="A4047" t="s">
        <v>1626</v>
      </c>
      <c r="B4047" t="s">
        <v>361</v>
      </c>
      <c r="C4047" t="s">
        <v>860</v>
      </c>
      <c r="D4047" t="s">
        <v>2191</v>
      </c>
    </row>
    <row r="4048" spans="1:4" x14ac:dyDescent="0.3">
      <c r="A4048" t="s">
        <v>1627</v>
      </c>
      <c r="B4048" t="s">
        <v>361</v>
      </c>
      <c r="C4048" t="s">
        <v>860</v>
      </c>
      <c r="D4048" t="s">
        <v>2191</v>
      </c>
    </row>
    <row r="4049" spans="1:4" x14ac:dyDescent="0.3">
      <c r="A4049" t="s">
        <v>1625</v>
      </c>
      <c r="B4049" t="s">
        <v>361</v>
      </c>
      <c r="C4049" t="s">
        <v>860</v>
      </c>
      <c r="D4049" t="s">
        <v>2191</v>
      </c>
    </row>
    <row r="4050" spans="1:4" x14ac:dyDescent="0.3">
      <c r="A4050" t="s">
        <v>1623</v>
      </c>
      <c r="B4050" t="s">
        <v>361</v>
      </c>
      <c r="C4050" t="s">
        <v>860</v>
      </c>
      <c r="D4050" t="s">
        <v>2191</v>
      </c>
    </row>
    <row r="4051" spans="1:4" x14ac:dyDescent="0.3">
      <c r="A4051" t="s">
        <v>1633</v>
      </c>
      <c r="B4051">
        <v>17.731333871713709</v>
      </c>
      <c r="C4051" t="s">
        <v>860</v>
      </c>
      <c r="D4051" t="s">
        <v>2191</v>
      </c>
    </row>
    <row r="4052" spans="1:4" x14ac:dyDescent="0.3">
      <c r="A4052" t="s">
        <v>1628</v>
      </c>
      <c r="B4052">
        <v>17.398180943173625</v>
      </c>
      <c r="C4052" t="s">
        <v>860</v>
      </c>
      <c r="D4052" t="s">
        <v>2192</v>
      </c>
    </row>
    <row r="4053" spans="1:4" x14ac:dyDescent="0.3">
      <c r="A4053" t="s">
        <v>17</v>
      </c>
      <c r="B4053">
        <v>0</v>
      </c>
      <c r="C4053" t="s">
        <v>860</v>
      </c>
      <c r="D4053" t="s">
        <v>2192</v>
      </c>
    </row>
    <row r="4054" spans="1:4" x14ac:dyDescent="0.3">
      <c r="A4054" t="s">
        <v>209</v>
      </c>
      <c r="B4054">
        <v>17.357582879386943</v>
      </c>
      <c r="C4054" t="s">
        <v>860</v>
      </c>
      <c r="D4054" t="s">
        <v>2192</v>
      </c>
    </row>
    <row r="4055" spans="1:4" x14ac:dyDescent="0.3">
      <c r="A4055" t="s">
        <v>446</v>
      </c>
      <c r="B4055">
        <v>4.0598063786682376E-2</v>
      </c>
      <c r="C4055" t="s">
        <v>860</v>
      </c>
      <c r="D4055" t="s">
        <v>2192</v>
      </c>
    </row>
    <row r="4056" spans="1:4" x14ac:dyDescent="0.3">
      <c r="A4056" t="s">
        <v>1632</v>
      </c>
      <c r="B4056" t="s">
        <v>361</v>
      </c>
      <c r="C4056" t="s">
        <v>860</v>
      </c>
      <c r="D4056" t="s">
        <v>2192</v>
      </c>
    </row>
    <row r="4057" spans="1:4" x14ac:dyDescent="0.3">
      <c r="A4057" t="s">
        <v>1626</v>
      </c>
      <c r="B4057" t="s">
        <v>361</v>
      </c>
      <c r="C4057" t="s">
        <v>860</v>
      </c>
      <c r="D4057" t="s">
        <v>2192</v>
      </c>
    </row>
    <row r="4058" spans="1:4" x14ac:dyDescent="0.3">
      <c r="A4058" t="s">
        <v>1627</v>
      </c>
      <c r="B4058" t="s">
        <v>361</v>
      </c>
      <c r="C4058" t="s">
        <v>860</v>
      </c>
      <c r="D4058" t="s">
        <v>2192</v>
      </c>
    </row>
    <row r="4059" spans="1:4" x14ac:dyDescent="0.3">
      <c r="A4059" t="s">
        <v>1625</v>
      </c>
      <c r="B4059" t="s">
        <v>361</v>
      </c>
      <c r="C4059" t="s">
        <v>860</v>
      </c>
      <c r="D4059" t="s">
        <v>2192</v>
      </c>
    </row>
    <row r="4060" spans="1:4" x14ac:dyDescent="0.3">
      <c r="A4060" t="s">
        <v>1623</v>
      </c>
      <c r="B4060" t="s">
        <v>361</v>
      </c>
      <c r="C4060" t="s">
        <v>860</v>
      </c>
      <c r="D4060" t="s">
        <v>2192</v>
      </c>
    </row>
    <row r="4061" spans="1:4" x14ac:dyDescent="0.3">
      <c r="A4061" t="s">
        <v>1633</v>
      </c>
      <c r="B4061">
        <v>17.398180943173625</v>
      </c>
      <c r="C4061" t="s">
        <v>860</v>
      </c>
      <c r="D4061" t="s">
        <v>2192</v>
      </c>
    </row>
    <row r="4062" spans="1:4" x14ac:dyDescent="0.3">
      <c r="A4062" t="s">
        <v>1628</v>
      </c>
      <c r="B4062">
        <v>16.664746974897085</v>
      </c>
      <c r="C4062" t="s">
        <v>860</v>
      </c>
      <c r="D4062" t="s">
        <v>2107</v>
      </c>
    </row>
    <row r="4063" spans="1:4" x14ac:dyDescent="0.3">
      <c r="A4063" t="s">
        <v>17</v>
      </c>
      <c r="B4063">
        <v>0</v>
      </c>
      <c r="C4063" t="s">
        <v>860</v>
      </c>
      <c r="D4063" t="s">
        <v>2107</v>
      </c>
    </row>
    <row r="4064" spans="1:4" x14ac:dyDescent="0.3">
      <c r="A4064" t="s">
        <v>209</v>
      </c>
      <c r="B4064">
        <v>16.624148911110403</v>
      </c>
      <c r="C4064" t="s">
        <v>860</v>
      </c>
      <c r="D4064" t="s">
        <v>2107</v>
      </c>
    </row>
    <row r="4065" spans="1:4" x14ac:dyDescent="0.3">
      <c r="A4065" t="s">
        <v>446</v>
      </c>
      <c r="B4065">
        <v>4.0598063786682376E-2</v>
      </c>
      <c r="C4065" t="s">
        <v>860</v>
      </c>
      <c r="D4065" t="s">
        <v>2107</v>
      </c>
    </row>
    <row r="4066" spans="1:4" x14ac:dyDescent="0.3">
      <c r="A4066" t="s">
        <v>1632</v>
      </c>
      <c r="B4066" t="s">
        <v>361</v>
      </c>
      <c r="C4066" t="s">
        <v>860</v>
      </c>
      <c r="D4066" t="s">
        <v>2107</v>
      </c>
    </row>
    <row r="4067" spans="1:4" x14ac:dyDescent="0.3">
      <c r="A4067" t="s">
        <v>1626</v>
      </c>
      <c r="B4067" t="s">
        <v>361</v>
      </c>
      <c r="C4067" t="s">
        <v>860</v>
      </c>
      <c r="D4067" t="s">
        <v>2107</v>
      </c>
    </row>
    <row r="4068" spans="1:4" x14ac:dyDescent="0.3">
      <c r="A4068" t="s">
        <v>1627</v>
      </c>
      <c r="B4068" t="s">
        <v>361</v>
      </c>
      <c r="C4068" t="s">
        <v>860</v>
      </c>
      <c r="D4068" t="s">
        <v>2107</v>
      </c>
    </row>
    <row r="4069" spans="1:4" x14ac:dyDescent="0.3">
      <c r="A4069" t="s">
        <v>1625</v>
      </c>
      <c r="B4069" t="s">
        <v>361</v>
      </c>
      <c r="C4069" t="s">
        <v>860</v>
      </c>
      <c r="D4069" t="s">
        <v>2107</v>
      </c>
    </row>
    <row r="4070" spans="1:4" x14ac:dyDescent="0.3">
      <c r="A4070" t="s">
        <v>1623</v>
      </c>
      <c r="B4070" t="s">
        <v>361</v>
      </c>
      <c r="C4070" t="s">
        <v>860</v>
      </c>
      <c r="D4070" t="s">
        <v>2107</v>
      </c>
    </row>
    <row r="4071" spans="1:4" x14ac:dyDescent="0.3">
      <c r="A4071" t="s">
        <v>1633</v>
      </c>
      <c r="B4071">
        <v>16.664746974897085</v>
      </c>
      <c r="C4071" t="s">
        <v>860</v>
      </c>
      <c r="D4071" t="s">
        <v>2107</v>
      </c>
    </row>
    <row r="4072" spans="1:4" x14ac:dyDescent="0.3">
      <c r="A4072" t="s">
        <v>1628</v>
      </c>
      <c r="B4072">
        <v>17.551227971461017</v>
      </c>
      <c r="C4072" t="s">
        <v>860</v>
      </c>
      <c r="D4072" t="s">
        <v>2034</v>
      </c>
    </row>
    <row r="4073" spans="1:4" x14ac:dyDescent="0.3">
      <c r="A4073" t="s">
        <v>17</v>
      </c>
      <c r="B4073">
        <v>0</v>
      </c>
      <c r="C4073" t="s">
        <v>860</v>
      </c>
      <c r="D4073" t="s">
        <v>2034</v>
      </c>
    </row>
    <row r="4074" spans="1:4" x14ac:dyDescent="0.3">
      <c r="A4074" t="s">
        <v>209</v>
      </c>
      <c r="B4074">
        <v>17.510629907674335</v>
      </c>
      <c r="C4074" t="s">
        <v>860</v>
      </c>
      <c r="D4074" t="s">
        <v>2034</v>
      </c>
    </row>
    <row r="4075" spans="1:4" x14ac:dyDescent="0.3">
      <c r="A4075" t="s">
        <v>446</v>
      </c>
      <c r="B4075">
        <v>4.0598063786682376E-2</v>
      </c>
      <c r="C4075" t="s">
        <v>860</v>
      </c>
      <c r="D4075" t="s">
        <v>2034</v>
      </c>
    </row>
    <row r="4076" spans="1:4" x14ac:dyDescent="0.3">
      <c r="A4076" t="s">
        <v>1632</v>
      </c>
      <c r="B4076" t="s">
        <v>361</v>
      </c>
      <c r="C4076" t="s">
        <v>860</v>
      </c>
      <c r="D4076" t="s">
        <v>2034</v>
      </c>
    </row>
    <row r="4077" spans="1:4" x14ac:dyDescent="0.3">
      <c r="A4077" t="s">
        <v>1626</v>
      </c>
      <c r="B4077" t="s">
        <v>361</v>
      </c>
      <c r="C4077" t="s">
        <v>860</v>
      </c>
      <c r="D4077" t="s">
        <v>2034</v>
      </c>
    </row>
    <row r="4078" spans="1:4" x14ac:dyDescent="0.3">
      <c r="A4078" t="s">
        <v>1627</v>
      </c>
      <c r="B4078" t="s">
        <v>361</v>
      </c>
      <c r="C4078" t="s">
        <v>860</v>
      </c>
      <c r="D4078" t="s">
        <v>2034</v>
      </c>
    </row>
    <row r="4079" spans="1:4" x14ac:dyDescent="0.3">
      <c r="A4079" t="s">
        <v>1625</v>
      </c>
      <c r="B4079" t="s">
        <v>361</v>
      </c>
      <c r="C4079" t="s">
        <v>860</v>
      </c>
      <c r="D4079" t="s">
        <v>2034</v>
      </c>
    </row>
    <row r="4080" spans="1:4" x14ac:dyDescent="0.3">
      <c r="A4080" t="s">
        <v>1623</v>
      </c>
      <c r="B4080" t="s">
        <v>361</v>
      </c>
      <c r="C4080" t="s">
        <v>860</v>
      </c>
      <c r="D4080" t="s">
        <v>2034</v>
      </c>
    </row>
    <row r="4081" spans="1:4" x14ac:dyDescent="0.3">
      <c r="A4081" t="s">
        <v>1633</v>
      </c>
      <c r="B4081">
        <v>17.551227971461017</v>
      </c>
      <c r="C4081" t="s">
        <v>860</v>
      </c>
      <c r="D4081" t="s">
        <v>2034</v>
      </c>
    </row>
    <row r="4082" spans="1:4" x14ac:dyDescent="0.3">
      <c r="A4082" t="s">
        <v>1628</v>
      </c>
      <c r="B4082">
        <v>17.921102230712368</v>
      </c>
      <c r="C4082" t="s">
        <v>860</v>
      </c>
      <c r="D4082" t="s">
        <v>2035</v>
      </c>
    </row>
    <row r="4083" spans="1:4" x14ac:dyDescent="0.3">
      <c r="A4083" t="s">
        <v>17</v>
      </c>
      <c r="B4083">
        <v>0</v>
      </c>
      <c r="C4083" t="s">
        <v>860</v>
      </c>
      <c r="D4083" t="s">
        <v>2035</v>
      </c>
    </row>
    <row r="4084" spans="1:4" x14ac:dyDescent="0.3">
      <c r="A4084" t="s">
        <v>209</v>
      </c>
      <c r="B4084">
        <v>17.880504166925686</v>
      </c>
      <c r="C4084" t="s">
        <v>860</v>
      </c>
      <c r="D4084" t="s">
        <v>2035</v>
      </c>
    </row>
    <row r="4085" spans="1:4" x14ac:dyDescent="0.3">
      <c r="A4085" t="s">
        <v>446</v>
      </c>
      <c r="B4085">
        <v>4.0598063786682376E-2</v>
      </c>
      <c r="C4085" t="s">
        <v>860</v>
      </c>
      <c r="D4085" t="s">
        <v>2035</v>
      </c>
    </row>
    <row r="4086" spans="1:4" x14ac:dyDescent="0.3">
      <c r="A4086" t="s">
        <v>1632</v>
      </c>
      <c r="B4086" t="s">
        <v>361</v>
      </c>
      <c r="C4086" t="s">
        <v>860</v>
      </c>
      <c r="D4086" t="s">
        <v>2035</v>
      </c>
    </row>
    <row r="4087" spans="1:4" x14ac:dyDescent="0.3">
      <c r="A4087" t="s">
        <v>1626</v>
      </c>
      <c r="B4087" t="s">
        <v>361</v>
      </c>
      <c r="C4087" t="s">
        <v>860</v>
      </c>
      <c r="D4087" t="s">
        <v>2035</v>
      </c>
    </row>
    <row r="4088" spans="1:4" x14ac:dyDescent="0.3">
      <c r="A4088" t="s">
        <v>1627</v>
      </c>
      <c r="B4088" t="s">
        <v>361</v>
      </c>
      <c r="C4088" t="s">
        <v>860</v>
      </c>
      <c r="D4088" t="s">
        <v>2035</v>
      </c>
    </row>
    <row r="4089" spans="1:4" x14ac:dyDescent="0.3">
      <c r="A4089" t="s">
        <v>1625</v>
      </c>
      <c r="B4089" t="s">
        <v>361</v>
      </c>
      <c r="C4089" t="s">
        <v>860</v>
      </c>
      <c r="D4089" t="s">
        <v>2035</v>
      </c>
    </row>
    <row r="4090" spans="1:4" x14ac:dyDescent="0.3">
      <c r="A4090" t="s">
        <v>1623</v>
      </c>
      <c r="B4090" t="s">
        <v>361</v>
      </c>
      <c r="C4090" t="s">
        <v>860</v>
      </c>
      <c r="D4090" t="s">
        <v>2035</v>
      </c>
    </row>
    <row r="4091" spans="1:4" x14ac:dyDescent="0.3">
      <c r="A4091" t="s">
        <v>1633</v>
      </c>
      <c r="B4091">
        <v>17.921102230712368</v>
      </c>
      <c r="C4091" t="s">
        <v>860</v>
      </c>
      <c r="D4091" t="s">
        <v>2035</v>
      </c>
    </row>
    <row r="4092" spans="1:4" x14ac:dyDescent="0.3">
      <c r="A4092" t="s">
        <v>1628</v>
      </c>
      <c r="B4092">
        <v>17.595233262205817</v>
      </c>
      <c r="C4092" t="s">
        <v>860</v>
      </c>
      <c r="D4092" t="s">
        <v>2036</v>
      </c>
    </row>
    <row r="4093" spans="1:4" x14ac:dyDescent="0.3">
      <c r="A4093" t="s">
        <v>17</v>
      </c>
      <c r="B4093">
        <v>0</v>
      </c>
      <c r="C4093" t="s">
        <v>860</v>
      </c>
      <c r="D4093" t="s">
        <v>2036</v>
      </c>
    </row>
    <row r="4094" spans="1:4" x14ac:dyDescent="0.3">
      <c r="A4094" t="s">
        <v>209</v>
      </c>
      <c r="B4094">
        <v>17.554635198419135</v>
      </c>
      <c r="C4094" t="s">
        <v>860</v>
      </c>
      <c r="D4094" t="s">
        <v>2036</v>
      </c>
    </row>
    <row r="4095" spans="1:4" x14ac:dyDescent="0.3">
      <c r="A4095" t="s">
        <v>446</v>
      </c>
      <c r="B4095">
        <v>4.0598063786682376E-2</v>
      </c>
      <c r="C4095" t="s">
        <v>860</v>
      </c>
      <c r="D4095" t="s">
        <v>2036</v>
      </c>
    </row>
    <row r="4096" spans="1:4" x14ac:dyDescent="0.3">
      <c r="A4096" t="s">
        <v>1632</v>
      </c>
      <c r="B4096" t="s">
        <v>361</v>
      </c>
      <c r="C4096" t="s">
        <v>860</v>
      </c>
      <c r="D4096" t="s">
        <v>2036</v>
      </c>
    </row>
    <row r="4097" spans="1:4" x14ac:dyDescent="0.3">
      <c r="A4097" t="s">
        <v>1626</v>
      </c>
      <c r="B4097" t="s">
        <v>361</v>
      </c>
      <c r="C4097" t="s">
        <v>860</v>
      </c>
      <c r="D4097" t="s">
        <v>2036</v>
      </c>
    </row>
    <row r="4098" spans="1:4" x14ac:dyDescent="0.3">
      <c r="A4098" t="s">
        <v>1627</v>
      </c>
      <c r="B4098" t="s">
        <v>361</v>
      </c>
      <c r="C4098" t="s">
        <v>860</v>
      </c>
      <c r="D4098" t="s">
        <v>2036</v>
      </c>
    </row>
    <row r="4099" spans="1:4" x14ac:dyDescent="0.3">
      <c r="A4099" t="s">
        <v>1625</v>
      </c>
      <c r="B4099" t="s">
        <v>361</v>
      </c>
      <c r="C4099" t="s">
        <v>860</v>
      </c>
      <c r="D4099" t="s">
        <v>2036</v>
      </c>
    </row>
    <row r="4100" spans="1:4" x14ac:dyDescent="0.3">
      <c r="A4100" t="s">
        <v>1623</v>
      </c>
      <c r="B4100" t="s">
        <v>361</v>
      </c>
      <c r="C4100" t="s">
        <v>860</v>
      </c>
      <c r="D4100" t="s">
        <v>2036</v>
      </c>
    </row>
    <row r="4101" spans="1:4" x14ac:dyDescent="0.3">
      <c r="A4101" t="s">
        <v>1633</v>
      </c>
      <c r="B4101">
        <v>17.595233262205817</v>
      </c>
      <c r="C4101" t="s">
        <v>860</v>
      </c>
      <c r="D4101" t="s">
        <v>2036</v>
      </c>
    </row>
    <row r="4102" spans="1:4" x14ac:dyDescent="0.3">
      <c r="A4102" t="s">
        <v>1628</v>
      </c>
      <c r="B4102">
        <v>17.919783780213105</v>
      </c>
      <c r="C4102" t="s">
        <v>860</v>
      </c>
      <c r="D4102" t="s">
        <v>2037</v>
      </c>
    </row>
    <row r="4103" spans="1:4" x14ac:dyDescent="0.3">
      <c r="A4103" t="s">
        <v>17</v>
      </c>
      <c r="B4103">
        <v>0</v>
      </c>
      <c r="C4103" t="s">
        <v>860</v>
      </c>
      <c r="D4103" t="s">
        <v>2037</v>
      </c>
    </row>
    <row r="4104" spans="1:4" x14ac:dyDescent="0.3">
      <c r="A4104" t="s">
        <v>209</v>
      </c>
      <c r="B4104">
        <v>17.879185716426424</v>
      </c>
      <c r="C4104" t="s">
        <v>860</v>
      </c>
      <c r="D4104" t="s">
        <v>2037</v>
      </c>
    </row>
    <row r="4105" spans="1:4" x14ac:dyDescent="0.3">
      <c r="A4105" t="s">
        <v>446</v>
      </c>
      <c r="B4105">
        <v>4.0598063786682376E-2</v>
      </c>
      <c r="C4105" t="s">
        <v>860</v>
      </c>
      <c r="D4105" t="s">
        <v>2037</v>
      </c>
    </row>
    <row r="4106" spans="1:4" x14ac:dyDescent="0.3">
      <c r="A4106" t="s">
        <v>1632</v>
      </c>
      <c r="B4106" t="s">
        <v>361</v>
      </c>
      <c r="C4106" t="s">
        <v>860</v>
      </c>
      <c r="D4106" t="s">
        <v>2037</v>
      </c>
    </row>
    <row r="4107" spans="1:4" x14ac:dyDescent="0.3">
      <c r="A4107" t="s">
        <v>1626</v>
      </c>
      <c r="B4107" t="s">
        <v>361</v>
      </c>
      <c r="C4107" t="s">
        <v>860</v>
      </c>
      <c r="D4107" t="s">
        <v>2037</v>
      </c>
    </row>
    <row r="4108" spans="1:4" x14ac:dyDescent="0.3">
      <c r="A4108" t="s">
        <v>1627</v>
      </c>
      <c r="B4108" t="s">
        <v>361</v>
      </c>
      <c r="C4108" t="s">
        <v>860</v>
      </c>
      <c r="D4108" t="s">
        <v>2037</v>
      </c>
    </row>
    <row r="4109" spans="1:4" x14ac:dyDescent="0.3">
      <c r="A4109" t="s">
        <v>1625</v>
      </c>
      <c r="B4109" t="s">
        <v>361</v>
      </c>
      <c r="C4109" t="s">
        <v>860</v>
      </c>
      <c r="D4109" t="s">
        <v>2037</v>
      </c>
    </row>
    <row r="4110" spans="1:4" x14ac:dyDescent="0.3">
      <c r="A4110" t="s">
        <v>1623</v>
      </c>
      <c r="B4110" t="s">
        <v>361</v>
      </c>
      <c r="C4110" t="s">
        <v>860</v>
      </c>
      <c r="D4110" t="s">
        <v>2037</v>
      </c>
    </row>
    <row r="4111" spans="1:4" x14ac:dyDescent="0.3">
      <c r="A4111" t="s">
        <v>1633</v>
      </c>
      <c r="B4111">
        <v>17.919783780213105</v>
      </c>
      <c r="C4111" t="s">
        <v>860</v>
      </c>
      <c r="D4111" t="s">
        <v>2037</v>
      </c>
    </row>
    <row r="4112" spans="1:4" x14ac:dyDescent="0.3">
      <c r="A4112" t="s">
        <v>1628</v>
      </c>
      <c r="B4112">
        <v>17.444696382574683</v>
      </c>
      <c r="C4112" t="s">
        <v>860</v>
      </c>
      <c r="D4112" t="s">
        <v>2038</v>
      </c>
    </row>
    <row r="4113" spans="1:4" x14ac:dyDescent="0.3">
      <c r="A4113" t="s">
        <v>17</v>
      </c>
      <c r="B4113">
        <v>0</v>
      </c>
      <c r="C4113" t="s">
        <v>860</v>
      </c>
      <c r="D4113" t="s">
        <v>2038</v>
      </c>
    </row>
    <row r="4114" spans="1:4" x14ac:dyDescent="0.3">
      <c r="A4114" t="s">
        <v>209</v>
      </c>
      <c r="B4114">
        <v>17.404098318788002</v>
      </c>
      <c r="C4114" t="s">
        <v>860</v>
      </c>
      <c r="D4114" t="s">
        <v>2038</v>
      </c>
    </row>
    <row r="4115" spans="1:4" x14ac:dyDescent="0.3">
      <c r="A4115" t="s">
        <v>446</v>
      </c>
      <c r="B4115">
        <v>4.0598063786682376E-2</v>
      </c>
      <c r="C4115" t="s">
        <v>860</v>
      </c>
      <c r="D4115" t="s">
        <v>2038</v>
      </c>
    </row>
    <row r="4116" spans="1:4" x14ac:dyDescent="0.3">
      <c r="A4116" t="s">
        <v>1632</v>
      </c>
      <c r="B4116" t="s">
        <v>361</v>
      </c>
      <c r="C4116" t="s">
        <v>860</v>
      </c>
      <c r="D4116" t="s">
        <v>2038</v>
      </c>
    </row>
    <row r="4117" spans="1:4" x14ac:dyDescent="0.3">
      <c r="A4117" t="s">
        <v>1626</v>
      </c>
      <c r="B4117" t="s">
        <v>361</v>
      </c>
      <c r="C4117" t="s">
        <v>860</v>
      </c>
      <c r="D4117" t="s">
        <v>2038</v>
      </c>
    </row>
    <row r="4118" spans="1:4" x14ac:dyDescent="0.3">
      <c r="A4118" t="s">
        <v>1627</v>
      </c>
      <c r="B4118" t="s">
        <v>361</v>
      </c>
      <c r="C4118" t="s">
        <v>860</v>
      </c>
      <c r="D4118" t="s">
        <v>2038</v>
      </c>
    </row>
    <row r="4119" spans="1:4" x14ac:dyDescent="0.3">
      <c r="A4119" t="s">
        <v>1625</v>
      </c>
      <c r="B4119" t="s">
        <v>361</v>
      </c>
      <c r="C4119" t="s">
        <v>860</v>
      </c>
      <c r="D4119" t="s">
        <v>2038</v>
      </c>
    </row>
    <row r="4120" spans="1:4" x14ac:dyDescent="0.3">
      <c r="A4120" t="s">
        <v>1623</v>
      </c>
      <c r="B4120" t="s">
        <v>361</v>
      </c>
      <c r="C4120" t="s">
        <v>860</v>
      </c>
      <c r="D4120" t="s">
        <v>2038</v>
      </c>
    </row>
    <row r="4121" spans="1:4" x14ac:dyDescent="0.3">
      <c r="A4121" t="s">
        <v>1633</v>
      </c>
      <c r="B4121">
        <v>17.444696382574683</v>
      </c>
      <c r="C4121" t="s">
        <v>860</v>
      </c>
      <c r="D4121" t="s">
        <v>2038</v>
      </c>
    </row>
    <row r="4122" spans="1:4" x14ac:dyDescent="0.3">
      <c r="A4122" t="s">
        <v>1628</v>
      </c>
      <c r="B4122">
        <v>17.400691091829877</v>
      </c>
      <c r="C4122" t="s">
        <v>860</v>
      </c>
      <c r="D4122" t="s">
        <v>2039</v>
      </c>
    </row>
    <row r="4123" spans="1:4" x14ac:dyDescent="0.3">
      <c r="A4123" t="s">
        <v>17</v>
      </c>
      <c r="B4123">
        <v>0</v>
      </c>
      <c r="C4123" t="s">
        <v>860</v>
      </c>
      <c r="D4123" t="s">
        <v>2039</v>
      </c>
    </row>
    <row r="4124" spans="1:4" x14ac:dyDescent="0.3">
      <c r="A4124" t="s">
        <v>209</v>
      </c>
      <c r="B4124">
        <v>17.360093028043195</v>
      </c>
      <c r="C4124" t="s">
        <v>860</v>
      </c>
      <c r="D4124" t="s">
        <v>2039</v>
      </c>
    </row>
    <row r="4125" spans="1:4" x14ac:dyDescent="0.3">
      <c r="A4125" t="s">
        <v>446</v>
      </c>
      <c r="B4125">
        <v>4.0598063786682376E-2</v>
      </c>
      <c r="C4125" t="s">
        <v>860</v>
      </c>
      <c r="D4125" t="s">
        <v>2039</v>
      </c>
    </row>
    <row r="4126" spans="1:4" x14ac:dyDescent="0.3">
      <c r="A4126" t="s">
        <v>1632</v>
      </c>
      <c r="B4126" t="s">
        <v>361</v>
      </c>
      <c r="C4126" t="s">
        <v>860</v>
      </c>
      <c r="D4126" t="s">
        <v>2039</v>
      </c>
    </row>
    <row r="4127" spans="1:4" x14ac:dyDescent="0.3">
      <c r="A4127" t="s">
        <v>1626</v>
      </c>
      <c r="B4127" t="s">
        <v>361</v>
      </c>
      <c r="C4127" t="s">
        <v>860</v>
      </c>
      <c r="D4127" t="s">
        <v>2039</v>
      </c>
    </row>
    <row r="4128" spans="1:4" x14ac:dyDescent="0.3">
      <c r="A4128" t="s">
        <v>1627</v>
      </c>
      <c r="B4128" t="s">
        <v>361</v>
      </c>
      <c r="C4128" t="s">
        <v>860</v>
      </c>
      <c r="D4128" t="s">
        <v>2039</v>
      </c>
    </row>
    <row r="4129" spans="1:4" x14ac:dyDescent="0.3">
      <c r="A4129" t="s">
        <v>1625</v>
      </c>
      <c r="B4129" t="s">
        <v>361</v>
      </c>
      <c r="C4129" t="s">
        <v>860</v>
      </c>
      <c r="D4129" t="s">
        <v>2039</v>
      </c>
    </row>
    <row r="4130" spans="1:4" x14ac:dyDescent="0.3">
      <c r="A4130" t="s">
        <v>1623</v>
      </c>
      <c r="B4130" t="s">
        <v>361</v>
      </c>
      <c r="C4130" t="s">
        <v>860</v>
      </c>
      <c r="D4130" t="s">
        <v>2039</v>
      </c>
    </row>
    <row r="4131" spans="1:4" x14ac:dyDescent="0.3">
      <c r="A4131" t="s">
        <v>1633</v>
      </c>
      <c r="B4131">
        <v>17.400691091829877</v>
      </c>
      <c r="C4131" t="s">
        <v>860</v>
      </c>
      <c r="D4131" t="s">
        <v>2039</v>
      </c>
    </row>
    <row r="4132" spans="1:4" x14ac:dyDescent="0.3">
      <c r="A4132" t="s">
        <v>1628</v>
      </c>
      <c r="B4132">
        <v>17.504076014804539</v>
      </c>
      <c r="C4132" t="s">
        <v>860</v>
      </c>
      <c r="D4132" t="s">
        <v>2040</v>
      </c>
    </row>
    <row r="4133" spans="1:4" x14ac:dyDescent="0.3">
      <c r="A4133" t="s">
        <v>17</v>
      </c>
      <c r="B4133">
        <v>0</v>
      </c>
      <c r="C4133" t="s">
        <v>860</v>
      </c>
      <c r="D4133" t="s">
        <v>2040</v>
      </c>
    </row>
    <row r="4134" spans="1:4" x14ac:dyDescent="0.3">
      <c r="A4134" t="s">
        <v>209</v>
      </c>
      <c r="B4134">
        <v>17.463477951017857</v>
      </c>
      <c r="C4134" t="s">
        <v>860</v>
      </c>
      <c r="D4134" t="s">
        <v>2040</v>
      </c>
    </row>
    <row r="4135" spans="1:4" x14ac:dyDescent="0.3">
      <c r="A4135" t="s">
        <v>446</v>
      </c>
      <c r="B4135">
        <v>4.0598063786682376E-2</v>
      </c>
      <c r="C4135" t="s">
        <v>860</v>
      </c>
      <c r="D4135" t="s">
        <v>2040</v>
      </c>
    </row>
    <row r="4136" spans="1:4" x14ac:dyDescent="0.3">
      <c r="A4136" t="s">
        <v>1632</v>
      </c>
      <c r="B4136" t="s">
        <v>361</v>
      </c>
      <c r="C4136" t="s">
        <v>860</v>
      </c>
      <c r="D4136" t="s">
        <v>2040</v>
      </c>
    </row>
    <row r="4137" spans="1:4" x14ac:dyDescent="0.3">
      <c r="A4137" t="s">
        <v>1626</v>
      </c>
      <c r="B4137" t="s">
        <v>361</v>
      </c>
      <c r="C4137" t="s">
        <v>860</v>
      </c>
      <c r="D4137" t="s">
        <v>2040</v>
      </c>
    </row>
    <row r="4138" spans="1:4" x14ac:dyDescent="0.3">
      <c r="A4138" t="s">
        <v>1627</v>
      </c>
      <c r="B4138" t="s">
        <v>361</v>
      </c>
      <c r="C4138" t="s">
        <v>860</v>
      </c>
      <c r="D4138" t="s">
        <v>2040</v>
      </c>
    </row>
    <row r="4139" spans="1:4" x14ac:dyDescent="0.3">
      <c r="A4139" t="s">
        <v>1625</v>
      </c>
      <c r="B4139" t="s">
        <v>361</v>
      </c>
      <c r="C4139" t="s">
        <v>860</v>
      </c>
      <c r="D4139" t="s">
        <v>2040</v>
      </c>
    </row>
    <row r="4140" spans="1:4" x14ac:dyDescent="0.3">
      <c r="A4140" t="s">
        <v>1623</v>
      </c>
      <c r="B4140" t="s">
        <v>361</v>
      </c>
      <c r="C4140" t="s">
        <v>860</v>
      </c>
      <c r="D4140" t="s">
        <v>2040</v>
      </c>
    </row>
    <row r="4141" spans="1:4" x14ac:dyDescent="0.3">
      <c r="A4141" t="s">
        <v>1633</v>
      </c>
      <c r="B4141">
        <v>17.504076014804539</v>
      </c>
      <c r="C4141" t="s">
        <v>860</v>
      </c>
      <c r="D4141" t="s">
        <v>2040</v>
      </c>
    </row>
    <row r="4142" spans="1:4" x14ac:dyDescent="0.3">
      <c r="A4142" t="s">
        <v>1628</v>
      </c>
      <c r="B4142">
        <v>17.595233262205817</v>
      </c>
      <c r="C4142" t="s">
        <v>860</v>
      </c>
      <c r="D4142" t="s">
        <v>2041</v>
      </c>
    </row>
    <row r="4143" spans="1:4" x14ac:dyDescent="0.3">
      <c r="A4143" t="s">
        <v>17</v>
      </c>
      <c r="B4143">
        <v>0</v>
      </c>
      <c r="C4143" t="s">
        <v>860</v>
      </c>
      <c r="D4143" t="s">
        <v>2041</v>
      </c>
    </row>
    <row r="4144" spans="1:4" x14ac:dyDescent="0.3">
      <c r="A4144" t="s">
        <v>209</v>
      </c>
      <c r="B4144">
        <v>17.554635198419135</v>
      </c>
      <c r="C4144" t="s">
        <v>860</v>
      </c>
      <c r="D4144" t="s">
        <v>2041</v>
      </c>
    </row>
    <row r="4145" spans="1:4" x14ac:dyDescent="0.3">
      <c r="A4145" t="s">
        <v>446</v>
      </c>
      <c r="B4145">
        <v>4.0598063786682376E-2</v>
      </c>
      <c r="C4145" t="s">
        <v>860</v>
      </c>
      <c r="D4145" t="s">
        <v>2041</v>
      </c>
    </row>
    <row r="4146" spans="1:4" x14ac:dyDescent="0.3">
      <c r="A4146" t="s">
        <v>1632</v>
      </c>
      <c r="B4146" t="s">
        <v>361</v>
      </c>
      <c r="C4146" t="s">
        <v>860</v>
      </c>
      <c r="D4146" t="s">
        <v>2041</v>
      </c>
    </row>
    <row r="4147" spans="1:4" x14ac:dyDescent="0.3">
      <c r="A4147" t="s">
        <v>1626</v>
      </c>
      <c r="B4147" t="s">
        <v>361</v>
      </c>
      <c r="C4147" t="s">
        <v>860</v>
      </c>
      <c r="D4147" t="s">
        <v>2041</v>
      </c>
    </row>
    <row r="4148" spans="1:4" x14ac:dyDescent="0.3">
      <c r="A4148" t="s">
        <v>1627</v>
      </c>
      <c r="B4148" t="s">
        <v>361</v>
      </c>
      <c r="C4148" t="s">
        <v>860</v>
      </c>
      <c r="D4148" t="s">
        <v>2041</v>
      </c>
    </row>
    <row r="4149" spans="1:4" x14ac:dyDescent="0.3">
      <c r="A4149" t="s">
        <v>1625</v>
      </c>
      <c r="B4149" t="s">
        <v>361</v>
      </c>
      <c r="C4149" t="s">
        <v>860</v>
      </c>
      <c r="D4149" t="s">
        <v>2041</v>
      </c>
    </row>
    <row r="4150" spans="1:4" x14ac:dyDescent="0.3">
      <c r="A4150" t="s">
        <v>1623</v>
      </c>
      <c r="B4150" t="s">
        <v>361</v>
      </c>
      <c r="C4150" t="s">
        <v>860</v>
      </c>
      <c r="D4150" t="s">
        <v>2041</v>
      </c>
    </row>
    <row r="4151" spans="1:4" x14ac:dyDescent="0.3">
      <c r="A4151" t="s">
        <v>1633</v>
      </c>
      <c r="B4151">
        <v>17.595233262205817</v>
      </c>
      <c r="C4151" t="s">
        <v>860</v>
      </c>
      <c r="D4151" t="s">
        <v>2041</v>
      </c>
    </row>
    <row r="4152" spans="1:4" x14ac:dyDescent="0.3">
      <c r="A4152" t="s">
        <v>1628</v>
      </c>
      <c r="B4152">
        <v>17.513874227870119</v>
      </c>
      <c r="C4152" t="s">
        <v>860</v>
      </c>
      <c r="D4152" t="s">
        <v>2042</v>
      </c>
    </row>
    <row r="4153" spans="1:4" x14ac:dyDescent="0.3">
      <c r="A4153" t="s">
        <v>17</v>
      </c>
      <c r="B4153">
        <v>0</v>
      </c>
      <c r="C4153" t="s">
        <v>860</v>
      </c>
      <c r="D4153" t="s">
        <v>2042</v>
      </c>
    </row>
    <row r="4154" spans="1:4" x14ac:dyDescent="0.3">
      <c r="A4154" t="s">
        <v>209</v>
      </c>
      <c r="B4154">
        <v>17.473276164083437</v>
      </c>
      <c r="C4154" t="s">
        <v>860</v>
      </c>
      <c r="D4154" t="s">
        <v>2042</v>
      </c>
    </row>
    <row r="4155" spans="1:4" x14ac:dyDescent="0.3">
      <c r="A4155" t="s">
        <v>446</v>
      </c>
      <c r="B4155">
        <v>4.0598063786682376E-2</v>
      </c>
      <c r="C4155" t="s">
        <v>860</v>
      </c>
      <c r="D4155" t="s">
        <v>2042</v>
      </c>
    </row>
    <row r="4156" spans="1:4" x14ac:dyDescent="0.3">
      <c r="A4156" t="s">
        <v>1632</v>
      </c>
      <c r="B4156" t="s">
        <v>361</v>
      </c>
      <c r="C4156" t="s">
        <v>860</v>
      </c>
      <c r="D4156" t="s">
        <v>2042</v>
      </c>
    </row>
    <row r="4157" spans="1:4" x14ac:dyDescent="0.3">
      <c r="A4157" t="s">
        <v>1626</v>
      </c>
      <c r="B4157" t="s">
        <v>361</v>
      </c>
      <c r="C4157" t="s">
        <v>860</v>
      </c>
      <c r="D4157" t="s">
        <v>2042</v>
      </c>
    </row>
    <row r="4158" spans="1:4" x14ac:dyDescent="0.3">
      <c r="A4158" t="s">
        <v>1627</v>
      </c>
      <c r="B4158" t="s">
        <v>361</v>
      </c>
      <c r="C4158" t="s">
        <v>860</v>
      </c>
      <c r="D4158" t="s">
        <v>2042</v>
      </c>
    </row>
    <row r="4159" spans="1:4" x14ac:dyDescent="0.3">
      <c r="A4159" t="s">
        <v>1625</v>
      </c>
      <c r="B4159" t="s">
        <v>361</v>
      </c>
      <c r="C4159" t="s">
        <v>860</v>
      </c>
      <c r="D4159" t="s">
        <v>2042</v>
      </c>
    </row>
    <row r="4160" spans="1:4" x14ac:dyDescent="0.3">
      <c r="A4160" t="s">
        <v>1623</v>
      </c>
      <c r="B4160" t="s">
        <v>361</v>
      </c>
      <c r="C4160" t="s">
        <v>860</v>
      </c>
      <c r="D4160" t="s">
        <v>2042</v>
      </c>
    </row>
    <row r="4161" spans="1:4" x14ac:dyDescent="0.3">
      <c r="A4161" t="s">
        <v>1633</v>
      </c>
      <c r="B4161">
        <v>17.513874227870119</v>
      </c>
      <c r="C4161" t="s">
        <v>860</v>
      </c>
      <c r="D4161" t="s">
        <v>2042</v>
      </c>
    </row>
    <row r="4162" spans="1:4" x14ac:dyDescent="0.3">
      <c r="A4162" t="s">
        <v>1628</v>
      </c>
      <c r="B4162">
        <v>18.209459360869058</v>
      </c>
      <c r="C4162" t="s">
        <v>860</v>
      </c>
      <c r="D4162" t="s">
        <v>2043</v>
      </c>
    </row>
    <row r="4163" spans="1:4" x14ac:dyDescent="0.3">
      <c r="A4163" t="s">
        <v>17</v>
      </c>
      <c r="B4163">
        <v>0</v>
      </c>
      <c r="C4163" t="s">
        <v>860</v>
      </c>
      <c r="D4163" t="s">
        <v>2043</v>
      </c>
    </row>
    <row r="4164" spans="1:4" x14ac:dyDescent="0.3">
      <c r="A4164" t="s">
        <v>209</v>
      </c>
      <c r="B4164">
        <v>18.168861297082376</v>
      </c>
      <c r="C4164" t="s">
        <v>860</v>
      </c>
      <c r="D4164" t="s">
        <v>2043</v>
      </c>
    </row>
    <row r="4165" spans="1:4" x14ac:dyDescent="0.3">
      <c r="A4165" t="s">
        <v>446</v>
      </c>
      <c r="B4165">
        <v>4.0598063786682376E-2</v>
      </c>
      <c r="C4165" t="s">
        <v>860</v>
      </c>
      <c r="D4165" t="s">
        <v>2043</v>
      </c>
    </row>
    <row r="4166" spans="1:4" x14ac:dyDescent="0.3">
      <c r="A4166" t="s">
        <v>1632</v>
      </c>
      <c r="B4166" t="s">
        <v>361</v>
      </c>
      <c r="C4166" t="s">
        <v>860</v>
      </c>
      <c r="D4166" t="s">
        <v>2043</v>
      </c>
    </row>
    <row r="4167" spans="1:4" x14ac:dyDescent="0.3">
      <c r="A4167" t="s">
        <v>1626</v>
      </c>
      <c r="B4167" t="s">
        <v>361</v>
      </c>
      <c r="C4167" t="s">
        <v>860</v>
      </c>
      <c r="D4167" t="s">
        <v>2043</v>
      </c>
    </row>
    <row r="4168" spans="1:4" x14ac:dyDescent="0.3">
      <c r="A4168" t="s">
        <v>1627</v>
      </c>
      <c r="B4168" t="s">
        <v>361</v>
      </c>
      <c r="C4168" t="s">
        <v>860</v>
      </c>
      <c r="D4168" t="s">
        <v>2043</v>
      </c>
    </row>
    <row r="4169" spans="1:4" x14ac:dyDescent="0.3">
      <c r="A4169" t="s">
        <v>1625</v>
      </c>
      <c r="B4169" t="s">
        <v>361</v>
      </c>
      <c r="C4169" t="s">
        <v>860</v>
      </c>
      <c r="D4169" t="s">
        <v>2043</v>
      </c>
    </row>
    <row r="4170" spans="1:4" x14ac:dyDescent="0.3">
      <c r="A4170" t="s">
        <v>1623</v>
      </c>
      <c r="B4170" t="s">
        <v>361</v>
      </c>
      <c r="C4170" t="s">
        <v>860</v>
      </c>
      <c r="D4170" t="s">
        <v>2043</v>
      </c>
    </row>
    <row r="4171" spans="1:4" x14ac:dyDescent="0.3">
      <c r="A4171" t="s">
        <v>1633</v>
      </c>
      <c r="B4171">
        <v>18.209459360869058</v>
      </c>
      <c r="C4171" t="s">
        <v>860</v>
      </c>
      <c r="D4171" t="s">
        <v>2043</v>
      </c>
    </row>
    <row r="4172" spans="1:4" x14ac:dyDescent="0.3">
      <c r="A4172" t="s">
        <v>1628</v>
      </c>
      <c r="B4172">
        <v>17.595233262205817</v>
      </c>
      <c r="C4172" t="s">
        <v>860</v>
      </c>
      <c r="D4172" t="s">
        <v>2044</v>
      </c>
    </row>
    <row r="4173" spans="1:4" x14ac:dyDescent="0.3">
      <c r="A4173" t="s">
        <v>17</v>
      </c>
      <c r="B4173">
        <v>0</v>
      </c>
      <c r="C4173" t="s">
        <v>860</v>
      </c>
      <c r="D4173" t="s">
        <v>2044</v>
      </c>
    </row>
    <row r="4174" spans="1:4" x14ac:dyDescent="0.3">
      <c r="A4174" t="s">
        <v>209</v>
      </c>
      <c r="B4174">
        <v>17.554635198419135</v>
      </c>
      <c r="C4174" t="s">
        <v>860</v>
      </c>
      <c r="D4174" t="s">
        <v>2044</v>
      </c>
    </row>
    <row r="4175" spans="1:4" x14ac:dyDescent="0.3">
      <c r="A4175" t="s">
        <v>446</v>
      </c>
      <c r="B4175">
        <v>4.0598063786682376E-2</v>
      </c>
      <c r="C4175" t="s">
        <v>860</v>
      </c>
      <c r="D4175" t="s">
        <v>2044</v>
      </c>
    </row>
    <row r="4176" spans="1:4" x14ac:dyDescent="0.3">
      <c r="A4176" t="s">
        <v>1632</v>
      </c>
      <c r="B4176" t="s">
        <v>361</v>
      </c>
      <c r="C4176" t="s">
        <v>860</v>
      </c>
      <c r="D4176" t="s">
        <v>2044</v>
      </c>
    </row>
    <row r="4177" spans="1:4" x14ac:dyDescent="0.3">
      <c r="A4177" t="s">
        <v>1626</v>
      </c>
      <c r="B4177" t="s">
        <v>361</v>
      </c>
      <c r="C4177" t="s">
        <v>860</v>
      </c>
      <c r="D4177" t="s">
        <v>2044</v>
      </c>
    </row>
    <row r="4178" spans="1:4" x14ac:dyDescent="0.3">
      <c r="A4178" t="s">
        <v>1627</v>
      </c>
      <c r="B4178" t="s">
        <v>361</v>
      </c>
      <c r="C4178" t="s">
        <v>860</v>
      </c>
      <c r="D4178" t="s">
        <v>2044</v>
      </c>
    </row>
    <row r="4179" spans="1:4" x14ac:dyDescent="0.3">
      <c r="A4179" t="s">
        <v>1625</v>
      </c>
      <c r="B4179" t="s">
        <v>361</v>
      </c>
      <c r="C4179" t="s">
        <v>860</v>
      </c>
      <c r="D4179" t="s">
        <v>2044</v>
      </c>
    </row>
    <row r="4180" spans="1:4" x14ac:dyDescent="0.3">
      <c r="A4180" t="s">
        <v>1623</v>
      </c>
      <c r="B4180" t="s">
        <v>361</v>
      </c>
      <c r="C4180" t="s">
        <v>860</v>
      </c>
      <c r="D4180" t="s">
        <v>2044</v>
      </c>
    </row>
    <row r="4181" spans="1:4" x14ac:dyDescent="0.3">
      <c r="A4181" t="s">
        <v>1633</v>
      </c>
      <c r="B4181">
        <v>17.595233262205817</v>
      </c>
      <c r="C4181" t="s">
        <v>860</v>
      </c>
      <c r="D4181" t="s">
        <v>2044</v>
      </c>
    </row>
    <row r="4182" spans="1:4" x14ac:dyDescent="0.3">
      <c r="A4182" t="s">
        <v>1628</v>
      </c>
      <c r="B4182">
        <v>21.695493245608869</v>
      </c>
      <c r="C4182" t="s">
        <v>860</v>
      </c>
      <c r="D4182" t="s">
        <v>2045</v>
      </c>
    </row>
    <row r="4183" spans="1:4" x14ac:dyDescent="0.3">
      <c r="A4183" t="s">
        <v>17</v>
      </c>
      <c r="B4183">
        <v>0</v>
      </c>
      <c r="C4183" t="s">
        <v>860</v>
      </c>
      <c r="D4183" t="s">
        <v>2045</v>
      </c>
    </row>
    <row r="4184" spans="1:4" x14ac:dyDescent="0.3">
      <c r="A4184" t="s">
        <v>209</v>
      </c>
      <c r="B4184">
        <v>21.654895181822187</v>
      </c>
      <c r="C4184" t="s">
        <v>860</v>
      </c>
      <c r="D4184" t="s">
        <v>2045</v>
      </c>
    </row>
    <row r="4185" spans="1:4" x14ac:dyDescent="0.3">
      <c r="A4185" t="s">
        <v>446</v>
      </c>
      <c r="B4185">
        <v>4.0598063786682376E-2</v>
      </c>
      <c r="C4185" t="s">
        <v>860</v>
      </c>
      <c r="D4185" t="s">
        <v>2045</v>
      </c>
    </row>
    <row r="4186" spans="1:4" x14ac:dyDescent="0.3">
      <c r="A4186" t="s">
        <v>1632</v>
      </c>
      <c r="B4186" t="s">
        <v>361</v>
      </c>
      <c r="C4186" t="s">
        <v>860</v>
      </c>
      <c r="D4186" t="s">
        <v>2045</v>
      </c>
    </row>
    <row r="4187" spans="1:4" x14ac:dyDescent="0.3">
      <c r="A4187" t="s">
        <v>1626</v>
      </c>
      <c r="B4187" t="s">
        <v>361</v>
      </c>
      <c r="C4187" t="s">
        <v>860</v>
      </c>
      <c r="D4187" t="s">
        <v>2045</v>
      </c>
    </row>
    <row r="4188" spans="1:4" x14ac:dyDescent="0.3">
      <c r="A4188" t="s">
        <v>1627</v>
      </c>
      <c r="B4188" t="s">
        <v>361</v>
      </c>
      <c r="C4188" t="s">
        <v>860</v>
      </c>
      <c r="D4188" t="s">
        <v>2045</v>
      </c>
    </row>
    <row r="4189" spans="1:4" x14ac:dyDescent="0.3">
      <c r="A4189" t="s">
        <v>1625</v>
      </c>
      <c r="B4189" t="s">
        <v>361</v>
      </c>
      <c r="C4189" t="s">
        <v>860</v>
      </c>
      <c r="D4189" t="s">
        <v>2045</v>
      </c>
    </row>
    <row r="4190" spans="1:4" x14ac:dyDescent="0.3">
      <c r="A4190" t="s">
        <v>1623</v>
      </c>
      <c r="B4190" t="s">
        <v>361</v>
      </c>
      <c r="C4190" t="s">
        <v>860</v>
      </c>
      <c r="D4190" t="s">
        <v>2045</v>
      </c>
    </row>
    <row r="4191" spans="1:4" x14ac:dyDescent="0.3">
      <c r="A4191" t="s">
        <v>1633</v>
      </c>
      <c r="B4191">
        <v>21.695493245608869</v>
      </c>
      <c r="C4191" t="s">
        <v>860</v>
      </c>
      <c r="D4191" t="s">
        <v>2045</v>
      </c>
    </row>
    <row r="4192" spans="1:4" x14ac:dyDescent="0.3">
      <c r="A4192" t="s">
        <v>1628</v>
      </c>
      <c r="B4192">
        <v>17.595233262205817</v>
      </c>
      <c r="C4192" t="s">
        <v>860</v>
      </c>
      <c r="D4192" t="s">
        <v>2046</v>
      </c>
    </row>
    <row r="4193" spans="1:4" x14ac:dyDescent="0.3">
      <c r="A4193" t="s">
        <v>17</v>
      </c>
      <c r="B4193">
        <v>0</v>
      </c>
      <c r="C4193" t="s">
        <v>860</v>
      </c>
      <c r="D4193" t="s">
        <v>2046</v>
      </c>
    </row>
    <row r="4194" spans="1:4" x14ac:dyDescent="0.3">
      <c r="A4194" t="s">
        <v>209</v>
      </c>
      <c r="B4194">
        <v>17.554635198419135</v>
      </c>
      <c r="C4194" t="s">
        <v>860</v>
      </c>
      <c r="D4194" t="s">
        <v>2046</v>
      </c>
    </row>
    <row r="4195" spans="1:4" x14ac:dyDescent="0.3">
      <c r="A4195" t="s">
        <v>446</v>
      </c>
      <c r="B4195">
        <v>4.0598063786682376E-2</v>
      </c>
      <c r="C4195" t="s">
        <v>860</v>
      </c>
      <c r="D4195" t="s">
        <v>2046</v>
      </c>
    </row>
    <row r="4196" spans="1:4" x14ac:dyDescent="0.3">
      <c r="A4196" t="s">
        <v>1632</v>
      </c>
      <c r="B4196" t="s">
        <v>361</v>
      </c>
      <c r="C4196" t="s">
        <v>860</v>
      </c>
      <c r="D4196" t="s">
        <v>2046</v>
      </c>
    </row>
    <row r="4197" spans="1:4" x14ac:dyDescent="0.3">
      <c r="A4197" t="s">
        <v>1626</v>
      </c>
      <c r="B4197" t="s">
        <v>361</v>
      </c>
      <c r="C4197" t="s">
        <v>860</v>
      </c>
      <c r="D4197" t="s">
        <v>2046</v>
      </c>
    </row>
    <row r="4198" spans="1:4" x14ac:dyDescent="0.3">
      <c r="A4198" t="s">
        <v>1627</v>
      </c>
      <c r="B4198" t="s">
        <v>361</v>
      </c>
      <c r="C4198" t="s">
        <v>860</v>
      </c>
      <c r="D4198" t="s">
        <v>2046</v>
      </c>
    </row>
    <row r="4199" spans="1:4" x14ac:dyDescent="0.3">
      <c r="A4199" t="s">
        <v>1625</v>
      </c>
      <c r="B4199" t="s">
        <v>361</v>
      </c>
      <c r="C4199" t="s">
        <v>860</v>
      </c>
      <c r="D4199" t="s">
        <v>2046</v>
      </c>
    </row>
    <row r="4200" spans="1:4" x14ac:dyDescent="0.3">
      <c r="A4200" t="s">
        <v>1623</v>
      </c>
      <c r="B4200" t="s">
        <v>361</v>
      </c>
      <c r="C4200" t="s">
        <v>860</v>
      </c>
      <c r="D4200" t="s">
        <v>2046</v>
      </c>
    </row>
    <row r="4201" spans="1:4" x14ac:dyDescent="0.3">
      <c r="A4201" t="s">
        <v>1633</v>
      </c>
      <c r="B4201">
        <v>17.595233262205817</v>
      </c>
      <c r="C4201" t="s">
        <v>860</v>
      </c>
      <c r="D4201" t="s">
        <v>2046</v>
      </c>
    </row>
    <row r="4202" spans="1:4" x14ac:dyDescent="0.3">
      <c r="A4202" t="s">
        <v>1628</v>
      </c>
      <c r="B4202">
        <v>17.595233262205817</v>
      </c>
      <c r="C4202" t="s">
        <v>860</v>
      </c>
      <c r="D4202" t="s">
        <v>2276</v>
      </c>
    </row>
    <row r="4203" spans="1:4" x14ac:dyDescent="0.3">
      <c r="A4203" t="s">
        <v>17</v>
      </c>
      <c r="B4203">
        <v>0</v>
      </c>
      <c r="C4203" t="s">
        <v>860</v>
      </c>
      <c r="D4203" t="s">
        <v>2276</v>
      </c>
    </row>
    <row r="4204" spans="1:4" x14ac:dyDescent="0.3">
      <c r="A4204" t="s">
        <v>209</v>
      </c>
      <c r="B4204">
        <v>17.554635198419135</v>
      </c>
      <c r="C4204" t="s">
        <v>860</v>
      </c>
      <c r="D4204" t="s">
        <v>2276</v>
      </c>
    </row>
    <row r="4205" spans="1:4" x14ac:dyDescent="0.3">
      <c r="A4205" t="s">
        <v>446</v>
      </c>
      <c r="B4205">
        <v>4.0598063786682376E-2</v>
      </c>
      <c r="C4205" t="s">
        <v>860</v>
      </c>
      <c r="D4205" t="s">
        <v>2276</v>
      </c>
    </row>
    <row r="4206" spans="1:4" x14ac:dyDescent="0.3">
      <c r="A4206" t="s">
        <v>1632</v>
      </c>
      <c r="B4206" t="s">
        <v>361</v>
      </c>
      <c r="C4206" t="s">
        <v>860</v>
      </c>
      <c r="D4206" t="s">
        <v>2276</v>
      </c>
    </row>
    <row r="4207" spans="1:4" x14ac:dyDescent="0.3">
      <c r="A4207" t="s">
        <v>1626</v>
      </c>
      <c r="B4207" t="s">
        <v>361</v>
      </c>
      <c r="C4207" t="s">
        <v>860</v>
      </c>
      <c r="D4207" t="s">
        <v>2276</v>
      </c>
    </row>
    <row r="4208" spans="1:4" x14ac:dyDescent="0.3">
      <c r="A4208" t="s">
        <v>1627</v>
      </c>
      <c r="B4208" t="s">
        <v>361</v>
      </c>
      <c r="C4208" t="s">
        <v>860</v>
      </c>
      <c r="D4208" t="s">
        <v>2276</v>
      </c>
    </row>
    <row r="4209" spans="1:4" x14ac:dyDescent="0.3">
      <c r="A4209" t="s">
        <v>1625</v>
      </c>
      <c r="B4209" t="s">
        <v>361</v>
      </c>
      <c r="C4209" t="s">
        <v>860</v>
      </c>
      <c r="D4209" t="s">
        <v>2276</v>
      </c>
    </row>
    <row r="4210" spans="1:4" x14ac:dyDescent="0.3">
      <c r="A4210" t="s">
        <v>1623</v>
      </c>
      <c r="B4210" t="s">
        <v>361</v>
      </c>
      <c r="C4210" t="s">
        <v>860</v>
      </c>
      <c r="D4210" t="s">
        <v>2276</v>
      </c>
    </row>
    <row r="4211" spans="1:4" x14ac:dyDescent="0.3">
      <c r="A4211" t="s">
        <v>1633</v>
      </c>
      <c r="B4211">
        <v>17.595233262205817</v>
      </c>
      <c r="C4211" t="s">
        <v>860</v>
      </c>
      <c r="D4211" t="s">
        <v>2276</v>
      </c>
    </row>
    <row r="4212" spans="1:4" x14ac:dyDescent="0.3">
      <c r="A4212" t="s">
        <v>1628</v>
      </c>
      <c r="B4212">
        <v>17.595233262205817</v>
      </c>
      <c r="C4212" t="s">
        <v>860</v>
      </c>
      <c r="D4212" t="s">
        <v>2277</v>
      </c>
    </row>
    <row r="4213" spans="1:4" x14ac:dyDescent="0.3">
      <c r="A4213" t="s">
        <v>17</v>
      </c>
      <c r="B4213">
        <v>0</v>
      </c>
      <c r="C4213" t="s">
        <v>860</v>
      </c>
      <c r="D4213" t="s">
        <v>2277</v>
      </c>
    </row>
    <row r="4214" spans="1:4" x14ac:dyDescent="0.3">
      <c r="A4214" t="s">
        <v>209</v>
      </c>
      <c r="B4214">
        <v>17.554635198419135</v>
      </c>
      <c r="C4214" t="s">
        <v>860</v>
      </c>
      <c r="D4214" t="s">
        <v>2277</v>
      </c>
    </row>
    <row r="4215" spans="1:4" x14ac:dyDescent="0.3">
      <c r="A4215" t="s">
        <v>446</v>
      </c>
      <c r="B4215">
        <v>4.0598063786682376E-2</v>
      </c>
      <c r="C4215" t="s">
        <v>860</v>
      </c>
      <c r="D4215" t="s">
        <v>2277</v>
      </c>
    </row>
    <row r="4216" spans="1:4" x14ac:dyDescent="0.3">
      <c r="A4216" t="s">
        <v>1632</v>
      </c>
      <c r="B4216" t="s">
        <v>361</v>
      </c>
      <c r="C4216" t="s">
        <v>860</v>
      </c>
      <c r="D4216" t="s">
        <v>2277</v>
      </c>
    </row>
    <row r="4217" spans="1:4" x14ac:dyDescent="0.3">
      <c r="A4217" t="s">
        <v>1626</v>
      </c>
      <c r="B4217" t="s">
        <v>361</v>
      </c>
      <c r="C4217" t="s">
        <v>860</v>
      </c>
      <c r="D4217" t="s">
        <v>2277</v>
      </c>
    </row>
    <row r="4218" spans="1:4" x14ac:dyDescent="0.3">
      <c r="A4218" t="s">
        <v>1627</v>
      </c>
      <c r="B4218" t="s">
        <v>361</v>
      </c>
      <c r="C4218" t="s">
        <v>860</v>
      </c>
      <c r="D4218" t="s">
        <v>2277</v>
      </c>
    </row>
    <row r="4219" spans="1:4" x14ac:dyDescent="0.3">
      <c r="A4219" t="s">
        <v>1625</v>
      </c>
      <c r="B4219" t="s">
        <v>361</v>
      </c>
      <c r="C4219" t="s">
        <v>860</v>
      </c>
      <c r="D4219" t="s">
        <v>2277</v>
      </c>
    </row>
    <row r="4220" spans="1:4" x14ac:dyDescent="0.3">
      <c r="A4220" t="s">
        <v>1623</v>
      </c>
      <c r="B4220" t="s">
        <v>361</v>
      </c>
      <c r="C4220" t="s">
        <v>860</v>
      </c>
      <c r="D4220" t="s">
        <v>2277</v>
      </c>
    </row>
    <row r="4221" spans="1:4" x14ac:dyDescent="0.3">
      <c r="A4221" t="s">
        <v>1633</v>
      </c>
      <c r="B4221">
        <v>17.595233262205817</v>
      </c>
      <c r="C4221" t="s">
        <v>860</v>
      </c>
      <c r="D4221" t="s">
        <v>2277</v>
      </c>
    </row>
    <row r="4222" spans="1:4" x14ac:dyDescent="0.3">
      <c r="A4222" t="s">
        <v>1628</v>
      </c>
      <c r="B4222">
        <v>17.595233262205817</v>
      </c>
      <c r="C4222" t="s">
        <v>860</v>
      </c>
      <c r="D4222" t="s">
        <v>2278</v>
      </c>
    </row>
    <row r="4223" spans="1:4" x14ac:dyDescent="0.3">
      <c r="A4223" t="s">
        <v>17</v>
      </c>
      <c r="B4223">
        <v>0</v>
      </c>
      <c r="C4223" t="s">
        <v>860</v>
      </c>
      <c r="D4223" t="s">
        <v>2278</v>
      </c>
    </row>
    <row r="4224" spans="1:4" x14ac:dyDescent="0.3">
      <c r="A4224" t="s">
        <v>209</v>
      </c>
      <c r="B4224">
        <v>17.554635198419135</v>
      </c>
      <c r="C4224" t="s">
        <v>860</v>
      </c>
      <c r="D4224" t="s">
        <v>2278</v>
      </c>
    </row>
    <row r="4225" spans="1:4" x14ac:dyDescent="0.3">
      <c r="A4225" t="s">
        <v>446</v>
      </c>
      <c r="B4225">
        <v>4.0598063786682376E-2</v>
      </c>
      <c r="C4225" t="s">
        <v>860</v>
      </c>
      <c r="D4225" t="s">
        <v>2278</v>
      </c>
    </row>
    <row r="4226" spans="1:4" x14ac:dyDescent="0.3">
      <c r="A4226" t="s">
        <v>1632</v>
      </c>
      <c r="B4226" t="s">
        <v>361</v>
      </c>
      <c r="C4226" t="s">
        <v>860</v>
      </c>
      <c r="D4226" t="s">
        <v>2278</v>
      </c>
    </row>
    <row r="4227" spans="1:4" x14ac:dyDescent="0.3">
      <c r="A4227" t="s">
        <v>1626</v>
      </c>
      <c r="B4227" t="s">
        <v>361</v>
      </c>
      <c r="C4227" t="s">
        <v>860</v>
      </c>
      <c r="D4227" t="s">
        <v>2278</v>
      </c>
    </row>
    <row r="4228" spans="1:4" x14ac:dyDescent="0.3">
      <c r="A4228" t="s">
        <v>1627</v>
      </c>
      <c r="B4228" t="s">
        <v>361</v>
      </c>
      <c r="C4228" t="s">
        <v>860</v>
      </c>
      <c r="D4228" t="s">
        <v>2278</v>
      </c>
    </row>
    <row r="4229" spans="1:4" x14ac:dyDescent="0.3">
      <c r="A4229" t="s">
        <v>1625</v>
      </c>
      <c r="B4229" t="s">
        <v>361</v>
      </c>
      <c r="C4229" t="s">
        <v>860</v>
      </c>
      <c r="D4229" t="s">
        <v>2278</v>
      </c>
    </row>
    <row r="4230" spans="1:4" x14ac:dyDescent="0.3">
      <c r="A4230" t="s">
        <v>1623</v>
      </c>
      <c r="B4230" t="s">
        <v>361</v>
      </c>
      <c r="C4230" t="s">
        <v>860</v>
      </c>
      <c r="D4230" t="s">
        <v>2278</v>
      </c>
    </row>
    <row r="4231" spans="1:4" x14ac:dyDescent="0.3">
      <c r="A4231" t="s">
        <v>1633</v>
      </c>
      <c r="B4231">
        <v>17.595233262205817</v>
      </c>
      <c r="C4231" t="s">
        <v>860</v>
      </c>
      <c r="D4231" t="s">
        <v>2278</v>
      </c>
    </row>
    <row r="4232" spans="1:4" x14ac:dyDescent="0.3">
      <c r="A4232" t="s">
        <v>1628</v>
      </c>
      <c r="B4232">
        <v>17.595233262205817</v>
      </c>
      <c r="C4232" t="s">
        <v>860</v>
      </c>
      <c r="D4232" t="s">
        <v>2279</v>
      </c>
    </row>
    <row r="4233" spans="1:4" x14ac:dyDescent="0.3">
      <c r="A4233" t="s">
        <v>17</v>
      </c>
      <c r="B4233">
        <v>0</v>
      </c>
      <c r="C4233" t="s">
        <v>860</v>
      </c>
      <c r="D4233" t="s">
        <v>2279</v>
      </c>
    </row>
    <row r="4234" spans="1:4" x14ac:dyDescent="0.3">
      <c r="A4234" t="s">
        <v>209</v>
      </c>
      <c r="B4234">
        <v>17.554635198419135</v>
      </c>
      <c r="C4234" t="s">
        <v>860</v>
      </c>
      <c r="D4234" t="s">
        <v>2279</v>
      </c>
    </row>
    <row r="4235" spans="1:4" x14ac:dyDescent="0.3">
      <c r="A4235" t="s">
        <v>446</v>
      </c>
      <c r="B4235">
        <v>4.0598063786682376E-2</v>
      </c>
      <c r="C4235" t="s">
        <v>860</v>
      </c>
      <c r="D4235" t="s">
        <v>2279</v>
      </c>
    </row>
    <row r="4236" spans="1:4" x14ac:dyDescent="0.3">
      <c r="A4236" t="s">
        <v>1632</v>
      </c>
      <c r="B4236" t="s">
        <v>361</v>
      </c>
      <c r="C4236" t="s">
        <v>860</v>
      </c>
      <c r="D4236" t="s">
        <v>2279</v>
      </c>
    </row>
    <row r="4237" spans="1:4" x14ac:dyDescent="0.3">
      <c r="A4237" t="s">
        <v>1626</v>
      </c>
      <c r="B4237" t="s">
        <v>361</v>
      </c>
      <c r="C4237" t="s">
        <v>860</v>
      </c>
      <c r="D4237" t="s">
        <v>2279</v>
      </c>
    </row>
    <row r="4238" spans="1:4" x14ac:dyDescent="0.3">
      <c r="A4238" t="s">
        <v>1627</v>
      </c>
      <c r="B4238" t="s">
        <v>361</v>
      </c>
      <c r="C4238" t="s">
        <v>860</v>
      </c>
      <c r="D4238" t="s">
        <v>2279</v>
      </c>
    </row>
    <row r="4239" spans="1:4" x14ac:dyDescent="0.3">
      <c r="A4239" t="s">
        <v>1625</v>
      </c>
      <c r="B4239" t="s">
        <v>361</v>
      </c>
      <c r="C4239" t="s">
        <v>860</v>
      </c>
      <c r="D4239" t="s">
        <v>2279</v>
      </c>
    </row>
    <row r="4240" spans="1:4" x14ac:dyDescent="0.3">
      <c r="A4240" t="s">
        <v>1623</v>
      </c>
      <c r="B4240" t="s">
        <v>361</v>
      </c>
      <c r="C4240" t="s">
        <v>860</v>
      </c>
      <c r="D4240" t="s">
        <v>2279</v>
      </c>
    </row>
    <row r="4241" spans="1:4" x14ac:dyDescent="0.3">
      <c r="A4241" t="s">
        <v>1633</v>
      </c>
      <c r="B4241">
        <v>17.595233262205817</v>
      </c>
      <c r="C4241" t="s">
        <v>860</v>
      </c>
      <c r="D4241" t="s">
        <v>2279</v>
      </c>
    </row>
    <row r="4242" spans="1:4" x14ac:dyDescent="0.3">
      <c r="A4242" t="s">
        <v>1628</v>
      </c>
      <c r="B4242">
        <v>17.595233262205817</v>
      </c>
      <c r="C4242" t="s">
        <v>860</v>
      </c>
      <c r="D4242" t="s">
        <v>2280</v>
      </c>
    </row>
    <row r="4243" spans="1:4" x14ac:dyDescent="0.3">
      <c r="A4243" t="s">
        <v>17</v>
      </c>
      <c r="B4243">
        <v>0</v>
      </c>
      <c r="C4243" t="s">
        <v>860</v>
      </c>
      <c r="D4243" t="s">
        <v>2280</v>
      </c>
    </row>
    <row r="4244" spans="1:4" x14ac:dyDescent="0.3">
      <c r="A4244" t="s">
        <v>209</v>
      </c>
      <c r="B4244">
        <v>17.554635198419135</v>
      </c>
      <c r="C4244" t="s">
        <v>860</v>
      </c>
      <c r="D4244" t="s">
        <v>2280</v>
      </c>
    </row>
    <row r="4245" spans="1:4" x14ac:dyDescent="0.3">
      <c r="A4245" t="s">
        <v>446</v>
      </c>
      <c r="B4245">
        <v>4.0598063786682376E-2</v>
      </c>
      <c r="C4245" t="s">
        <v>860</v>
      </c>
      <c r="D4245" t="s">
        <v>2280</v>
      </c>
    </row>
    <row r="4246" spans="1:4" x14ac:dyDescent="0.3">
      <c r="A4246" t="s">
        <v>1632</v>
      </c>
      <c r="B4246" t="s">
        <v>361</v>
      </c>
      <c r="C4246" t="s">
        <v>860</v>
      </c>
      <c r="D4246" t="s">
        <v>2280</v>
      </c>
    </row>
    <row r="4247" spans="1:4" x14ac:dyDescent="0.3">
      <c r="A4247" t="s">
        <v>1626</v>
      </c>
      <c r="B4247" t="s">
        <v>361</v>
      </c>
      <c r="C4247" t="s">
        <v>860</v>
      </c>
      <c r="D4247" t="s">
        <v>2280</v>
      </c>
    </row>
    <row r="4248" spans="1:4" x14ac:dyDescent="0.3">
      <c r="A4248" t="s">
        <v>1627</v>
      </c>
      <c r="B4248" t="s">
        <v>361</v>
      </c>
      <c r="C4248" t="s">
        <v>860</v>
      </c>
      <c r="D4248" t="s">
        <v>2280</v>
      </c>
    </row>
    <row r="4249" spans="1:4" x14ac:dyDescent="0.3">
      <c r="A4249" t="s">
        <v>1625</v>
      </c>
      <c r="B4249" t="s">
        <v>361</v>
      </c>
      <c r="C4249" t="s">
        <v>860</v>
      </c>
      <c r="D4249" t="s">
        <v>2280</v>
      </c>
    </row>
    <row r="4250" spans="1:4" x14ac:dyDescent="0.3">
      <c r="A4250" t="s">
        <v>1623</v>
      </c>
      <c r="B4250" t="s">
        <v>361</v>
      </c>
      <c r="C4250" t="s">
        <v>860</v>
      </c>
      <c r="D4250" t="s">
        <v>2280</v>
      </c>
    </row>
    <row r="4251" spans="1:4" x14ac:dyDescent="0.3">
      <c r="A4251" t="s">
        <v>1633</v>
      </c>
      <c r="B4251">
        <v>17.595233262205817</v>
      </c>
      <c r="C4251" t="s">
        <v>860</v>
      </c>
      <c r="D4251" t="s">
        <v>2280</v>
      </c>
    </row>
    <row r="4252" spans="1:4" x14ac:dyDescent="0.3">
      <c r="A4252" t="s">
        <v>1628</v>
      </c>
      <c r="B4252">
        <v>17.595233262205817</v>
      </c>
      <c r="C4252" t="s">
        <v>860</v>
      </c>
      <c r="D4252" t="s">
        <v>2281</v>
      </c>
    </row>
    <row r="4253" spans="1:4" x14ac:dyDescent="0.3">
      <c r="A4253" t="s">
        <v>17</v>
      </c>
      <c r="B4253">
        <v>0</v>
      </c>
      <c r="C4253" t="s">
        <v>860</v>
      </c>
      <c r="D4253" t="s">
        <v>2281</v>
      </c>
    </row>
    <row r="4254" spans="1:4" x14ac:dyDescent="0.3">
      <c r="A4254" t="s">
        <v>209</v>
      </c>
      <c r="B4254">
        <v>17.554635198419135</v>
      </c>
      <c r="C4254" t="s">
        <v>860</v>
      </c>
      <c r="D4254" t="s">
        <v>2281</v>
      </c>
    </row>
    <row r="4255" spans="1:4" x14ac:dyDescent="0.3">
      <c r="A4255" t="s">
        <v>446</v>
      </c>
      <c r="B4255">
        <v>4.0598063786682376E-2</v>
      </c>
      <c r="C4255" t="s">
        <v>860</v>
      </c>
      <c r="D4255" t="s">
        <v>2281</v>
      </c>
    </row>
    <row r="4256" spans="1:4" x14ac:dyDescent="0.3">
      <c r="A4256" t="s">
        <v>1632</v>
      </c>
      <c r="B4256" t="s">
        <v>361</v>
      </c>
      <c r="C4256" t="s">
        <v>860</v>
      </c>
      <c r="D4256" t="s">
        <v>2281</v>
      </c>
    </row>
    <row r="4257" spans="1:4" x14ac:dyDescent="0.3">
      <c r="A4257" t="s">
        <v>1626</v>
      </c>
      <c r="B4257" t="s">
        <v>361</v>
      </c>
      <c r="C4257" t="s">
        <v>860</v>
      </c>
      <c r="D4257" t="s">
        <v>2281</v>
      </c>
    </row>
    <row r="4258" spans="1:4" x14ac:dyDescent="0.3">
      <c r="A4258" t="s">
        <v>1627</v>
      </c>
      <c r="B4258" t="s">
        <v>361</v>
      </c>
      <c r="C4258" t="s">
        <v>860</v>
      </c>
      <c r="D4258" t="s">
        <v>2281</v>
      </c>
    </row>
    <row r="4259" spans="1:4" x14ac:dyDescent="0.3">
      <c r="A4259" t="s">
        <v>1625</v>
      </c>
      <c r="B4259" t="s">
        <v>361</v>
      </c>
      <c r="C4259" t="s">
        <v>860</v>
      </c>
      <c r="D4259" t="s">
        <v>2281</v>
      </c>
    </row>
    <row r="4260" spans="1:4" x14ac:dyDescent="0.3">
      <c r="A4260" t="s">
        <v>1623</v>
      </c>
      <c r="B4260" t="s">
        <v>361</v>
      </c>
      <c r="C4260" t="s">
        <v>860</v>
      </c>
      <c r="D4260" t="s">
        <v>2281</v>
      </c>
    </row>
    <row r="4261" spans="1:4" x14ac:dyDescent="0.3">
      <c r="A4261" t="s">
        <v>1633</v>
      </c>
      <c r="B4261">
        <v>17.595233262205817</v>
      </c>
      <c r="C4261" t="s">
        <v>860</v>
      </c>
      <c r="D4261" t="s">
        <v>2281</v>
      </c>
    </row>
    <row r="4262" spans="1:4" x14ac:dyDescent="0.3">
      <c r="A4262" t="s">
        <v>1628</v>
      </c>
      <c r="B4262">
        <v>16.994366562717872</v>
      </c>
      <c r="C4262" t="s">
        <v>862</v>
      </c>
      <c r="D4262" t="s">
        <v>2024</v>
      </c>
    </row>
    <row r="4263" spans="1:4" x14ac:dyDescent="0.3">
      <c r="A4263" t="s">
        <v>17</v>
      </c>
      <c r="B4263">
        <v>0</v>
      </c>
      <c r="C4263" t="s">
        <v>862</v>
      </c>
      <c r="D4263" t="s">
        <v>2024</v>
      </c>
    </row>
    <row r="4264" spans="1:4" x14ac:dyDescent="0.3">
      <c r="A4264" t="s">
        <v>209</v>
      </c>
      <c r="B4264">
        <v>16.95376849893119</v>
      </c>
      <c r="C4264" t="s">
        <v>862</v>
      </c>
      <c r="D4264" t="s">
        <v>2024</v>
      </c>
    </row>
    <row r="4265" spans="1:4" x14ac:dyDescent="0.3">
      <c r="A4265" t="s">
        <v>446</v>
      </c>
      <c r="B4265">
        <v>4.0598063786682376E-2</v>
      </c>
      <c r="C4265" t="s">
        <v>862</v>
      </c>
      <c r="D4265" t="s">
        <v>2024</v>
      </c>
    </row>
    <row r="4266" spans="1:4" x14ac:dyDescent="0.3">
      <c r="A4266" t="s">
        <v>1632</v>
      </c>
      <c r="B4266" t="s">
        <v>361</v>
      </c>
      <c r="C4266" t="s">
        <v>862</v>
      </c>
      <c r="D4266" t="s">
        <v>2024</v>
      </c>
    </row>
    <row r="4267" spans="1:4" x14ac:dyDescent="0.3">
      <c r="A4267" t="s">
        <v>1626</v>
      </c>
      <c r="B4267" t="s">
        <v>361</v>
      </c>
      <c r="C4267" t="s">
        <v>862</v>
      </c>
      <c r="D4267" t="s">
        <v>2024</v>
      </c>
    </row>
    <row r="4268" spans="1:4" x14ac:dyDescent="0.3">
      <c r="A4268" t="s">
        <v>1627</v>
      </c>
      <c r="B4268" t="s">
        <v>361</v>
      </c>
      <c r="C4268" t="s">
        <v>862</v>
      </c>
      <c r="D4268" t="s">
        <v>2024</v>
      </c>
    </row>
    <row r="4269" spans="1:4" x14ac:dyDescent="0.3">
      <c r="A4269" t="s">
        <v>1625</v>
      </c>
      <c r="B4269" t="s">
        <v>361</v>
      </c>
      <c r="C4269" t="s">
        <v>862</v>
      </c>
      <c r="D4269" t="s">
        <v>2024</v>
      </c>
    </row>
    <row r="4270" spans="1:4" x14ac:dyDescent="0.3">
      <c r="A4270" t="s">
        <v>1623</v>
      </c>
      <c r="B4270" t="s">
        <v>361</v>
      </c>
      <c r="C4270" t="s">
        <v>862</v>
      </c>
      <c r="D4270" t="s">
        <v>2024</v>
      </c>
    </row>
    <row r="4271" spans="1:4" x14ac:dyDescent="0.3">
      <c r="A4271" t="s">
        <v>1633</v>
      </c>
      <c r="B4271">
        <v>16.994366562717872</v>
      </c>
      <c r="C4271" t="s">
        <v>862</v>
      </c>
      <c r="D4271" t="s">
        <v>2024</v>
      </c>
    </row>
    <row r="4272" spans="1:4" x14ac:dyDescent="0.3">
      <c r="A4272" t="s">
        <v>1628</v>
      </c>
      <c r="B4272">
        <v>34.002909429304594</v>
      </c>
      <c r="C4272" t="s">
        <v>862</v>
      </c>
      <c r="D4272" t="s">
        <v>2025</v>
      </c>
    </row>
    <row r="4273" spans="1:4" x14ac:dyDescent="0.3">
      <c r="A4273" t="s">
        <v>17</v>
      </c>
      <c r="B4273">
        <v>0</v>
      </c>
      <c r="C4273" t="s">
        <v>862</v>
      </c>
      <c r="D4273" t="s">
        <v>2025</v>
      </c>
    </row>
    <row r="4274" spans="1:4" x14ac:dyDescent="0.3">
      <c r="A4274" t="s">
        <v>209</v>
      </c>
      <c r="B4274">
        <v>33.962311365517913</v>
      </c>
      <c r="C4274" t="s">
        <v>862</v>
      </c>
      <c r="D4274" t="s">
        <v>2025</v>
      </c>
    </row>
    <row r="4275" spans="1:4" x14ac:dyDescent="0.3">
      <c r="A4275" t="s">
        <v>446</v>
      </c>
      <c r="B4275">
        <v>4.0598063786682376E-2</v>
      </c>
      <c r="C4275" t="s">
        <v>862</v>
      </c>
      <c r="D4275" t="s">
        <v>2025</v>
      </c>
    </row>
    <row r="4276" spans="1:4" x14ac:dyDescent="0.3">
      <c r="A4276" t="s">
        <v>1632</v>
      </c>
      <c r="B4276" t="s">
        <v>361</v>
      </c>
      <c r="C4276" t="s">
        <v>862</v>
      </c>
      <c r="D4276" t="s">
        <v>2025</v>
      </c>
    </row>
    <row r="4277" spans="1:4" x14ac:dyDescent="0.3">
      <c r="A4277" t="s">
        <v>1626</v>
      </c>
      <c r="B4277" t="s">
        <v>361</v>
      </c>
      <c r="C4277" t="s">
        <v>862</v>
      </c>
      <c r="D4277" t="s">
        <v>2025</v>
      </c>
    </row>
    <row r="4278" spans="1:4" x14ac:dyDescent="0.3">
      <c r="A4278" t="s">
        <v>1627</v>
      </c>
      <c r="B4278" t="s">
        <v>361</v>
      </c>
      <c r="C4278" t="s">
        <v>862</v>
      </c>
      <c r="D4278" t="s">
        <v>2025</v>
      </c>
    </row>
    <row r="4279" spans="1:4" x14ac:dyDescent="0.3">
      <c r="A4279" t="s">
        <v>1625</v>
      </c>
      <c r="B4279" t="s">
        <v>361</v>
      </c>
      <c r="C4279" t="s">
        <v>862</v>
      </c>
      <c r="D4279" t="s">
        <v>2025</v>
      </c>
    </row>
    <row r="4280" spans="1:4" x14ac:dyDescent="0.3">
      <c r="A4280" t="s">
        <v>1623</v>
      </c>
      <c r="B4280" t="s">
        <v>361</v>
      </c>
      <c r="C4280" t="s">
        <v>862</v>
      </c>
      <c r="D4280" t="s">
        <v>2025</v>
      </c>
    </row>
    <row r="4281" spans="1:4" x14ac:dyDescent="0.3">
      <c r="A4281" t="s">
        <v>1633</v>
      </c>
      <c r="B4281">
        <v>34.002909429304594</v>
      </c>
      <c r="C4281" t="s">
        <v>862</v>
      </c>
      <c r="D4281" t="s">
        <v>2025</v>
      </c>
    </row>
    <row r="4282" spans="1:4" x14ac:dyDescent="0.3">
      <c r="A4282" t="s">
        <v>1628</v>
      </c>
      <c r="B4282">
        <v>16.994366562717872</v>
      </c>
      <c r="C4282" t="s">
        <v>862</v>
      </c>
      <c r="D4282" t="s">
        <v>2026</v>
      </c>
    </row>
    <row r="4283" spans="1:4" x14ac:dyDescent="0.3">
      <c r="A4283" t="s">
        <v>17</v>
      </c>
      <c r="B4283">
        <v>0</v>
      </c>
      <c r="C4283" t="s">
        <v>862</v>
      </c>
      <c r="D4283" t="s">
        <v>2026</v>
      </c>
    </row>
    <row r="4284" spans="1:4" x14ac:dyDescent="0.3">
      <c r="A4284" t="s">
        <v>209</v>
      </c>
      <c r="B4284">
        <v>16.95376849893119</v>
      </c>
      <c r="C4284" t="s">
        <v>862</v>
      </c>
      <c r="D4284" t="s">
        <v>2026</v>
      </c>
    </row>
    <row r="4285" spans="1:4" x14ac:dyDescent="0.3">
      <c r="A4285" t="s">
        <v>446</v>
      </c>
      <c r="B4285">
        <v>4.0598063786682376E-2</v>
      </c>
      <c r="C4285" t="s">
        <v>862</v>
      </c>
      <c r="D4285" t="s">
        <v>2026</v>
      </c>
    </row>
    <row r="4286" spans="1:4" x14ac:dyDescent="0.3">
      <c r="A4286" t="s">
        <v>1632</v>
      </c>
      <c r="B4286" t="s">
        <v>361</v>
      </c>
      <c r="C4286" t="s">
        <v>862</v>
      </c>
      <c r="D4286" t="s">
        <v>2026</v>
      </c>
    </row>
    <row r="4287" spans="1:4" x14ac:dyDescent="0.3">
      <c r="A4287" t="s">
        <v>1626</v>
      </c>
      <c r="B4287" t="s">
        <v>361</v>
      </c>
      <c r="C4287" t="s">
        <v>862</v>
      </c>
      <c r="D4287" t="s">
        <v>2026</v>
      </c>
    </row>
    <row r="4288" spans="1:4" x14ac:dyDescent="0.3">
      <c r="A4288" t="s">
        <v>1627</v>
      </c>
      <c r="B4288" t="s">
        <v>361</v>
      </c>
      <c r="C4288" t="s">
        <v>862</v>
      </c>
      <c r="D4288" t="s">
        <v>2026</v>
      </c>
    </row>
    <row r="4289" spans="1:4" x14ac:dyDescent="0.3">
      <c r="A4289" t="s">
        <v>1625</v>
      </c>
      <c r="B4289" t="s">
        <v>361</v>
      </c>
      <c r="C4289" t="s">
        <v>862</v>
      </c>
      <c r="D4289" t="s">
        <v>2026</v>
      </c>
    </row>
    <row r="4290" spans="1:4" x14ac:dyDescent="0.3">
      <c r="A4290" t="s">
        <v>1623</v>
      </c>
      <c r="B4290" t="s">
        <v>361</v>
      </c>
      <c r="C4290" t="s">
        <v>862</v>
      </c>
      <c r="D4290" t="s">
        <v>2026</v>
      </c>
    </row>
    <row r="4291" spans="1:4" x14ac:dyDescent="0.3">
      <c r="A4291" t="s">
        <v>1633</v>
      </c>
      <c r="B4291">
        <v>16.994366562717872</v>
      </c>
      <c r="C4291" t="s">
        <v>862</v>
      </c>
      <c r="D4291" t="s">
        <v>2026</v>
      </c>
    </row>
    <row r="4292" spans="1:4" x14ac:dyDescent="0.3">
      <c r="A4292" t="s">
        <v>1628</v>
      </c>
      <c r="B4292">
        <v>16.994366562717872</v>
      </c>
      <c r="C4292" t="s">
        <v>862</v>
      </c>
      <c r="D4292" t="s">
        <v>2027</v>
      </c>
    </row>
    <row r="4293" spans="1:4" x14ac:dyDescent="0.3">
      <c r="A4293" t="s">
        <v>17</v>
      </c>
      <c r="B4293">
        <v>0</v>
      </c>
      <c r="C4293" t="s">
        <v>862</v>
      </c>
      <c r="D4293" t="s">
        <v>2027</v>
      </c>
    </row>
    <row r="4294" spans="1:4" x14ac:dyDescent="0.3">
      <c r="A4294" t="s">
        <v>209</v>
      </c>
      <c r="B4294">
        <v>16.95376849893119</v>
      </c>
      <c r="C4294" t="s">
        <v>862</v>
      </c>
      <c r="D4294" t="s">
        <v>2027</v>
      </c>
    </row>
    <row r="4295" spans="1:4" x14ac:dyDescent="0.3">
      <c r="A4295" t="s">
        <v>446</v>
      </c>
      <c r="B4295">
        <v>4.0598063786682376E-2</v>
      </c>
      <c r="C4295" t="s">
        <v>862</v>
      </c>
      <c r="D4295" t="s">
        <v>2027</v>
      </c>
    </row>
    <row r="4296" spans="1:4" x14ac:dyDescent="0.3">
      <c r="A4296" t="s">
        <v>1632</v>
      </c>
      <c r="B4296" t="s">
        <v>361</v>
      </c>
      <c r="C4296" t="s">
        <v>862</v>
      </c>
      <c r="D4296" t="s">
        <v>2027</v>
      </c>
    </row>
    <row r="4297" spans="1:4" x14ac:dyDescent="0.3">
      <c r="A4297" t="s">
        <v>1626</v>
      </c>
      <c r="B4297" t="s">
        <v>361</v>
      </c>
      <c r="C4297" t="s">
        <v>862</v>
      </c>
      <c r="D4297" t="s">
        <v>2027</v>
      </c>
    </row>
    <row r="4298" spans="1:4" x14ac:dyDescent="0.3">
      <c r="A4298" t="s">
        <v>1627</v>
      </c>
      <c r="B4298" t="s">
        <v>361</v>
      </c>
      <c r="C4298" t="s">
        <v>862</v>
      </c>
      <c r="D4298" t="s">
        <v>2027</v>
      </c>
    </row>
    <row r="4299" spans="1:4" x14ac:dyDescent="0.3">
      <c r="A4299" t="s">
        <v>1625</v>
      </c>
      <c r="B4299" t="s">
        <v>361</v>
      </c>
      <c r="C4299" t="s">
        <v>862</v>
      </c>
      <c r="D4299" t="s">
        <v>2027</v>
      </c>
    </row>
    <row r="4300" spans="1:4" x14ac:dyDescent="0.3">
      <c r="A4300" t="s">
        <v>1623</v>
      </c>
      <c r="B4300" t="s">
        <v>361</v>
      </c>
      <c r="C4300" t="s">
        <v>862</v>
      </c>
      <c r="D4300" t="s">
        <v>2027</v>
      </c>
    </row>
    <row r="4301" spans="1:4" x14ac:dyDescent="0.3">
      <c r="A4301" t="s">
        <v>1633</v>
      </c>
      <c r="B4301">
        <v>16.994366562717872</v>
      </c>
      <c r="C4301" t="s">
        <v>862</v>
      </c>
      <c r="D4301" t="s">
        <v>2027</v>
      </c>
    </row>
    <row r="4302" spans="1:4" x14ac:dyDescent="0.3">
      <c r="A4302" t="s">
        <v>1628</v>
      </c>
      <c r="B4302">
        <v>15.904023345029225</v>
      </c>
      <c r="C4302" t="s">
        <v>862</v>
      </c>
      <c r="D4302" t="s">
        <v>2028</v>
      </c>
    </row>
    <row r="4303" spans="1:4" x14ac:dyDescent="0.3">
      <c r="A4303" t="s">
        <v>17</v>
      </c>
      <c r="B4303">
        <v>0</v>
      </c>
      <c r="C4303" t="s">
        <v>862</v>
      </c>
      <c r="D4303" t="s">
        <v>2028</v>
      </c>
    </row>
    <row r="4304" spans="1:4" x14ac:dyDescent="0.3">
      <c r="A4304" t="s">
        <v>209</v>
      </c>
      <c r="B4304">
        <v>15.863425281242543</v>
      </c>
      <c r="C4304" t="s">
        <v>862</v>
      </c>
      <c r="D4304" t="s">
        <v>2028</v>
      </c>
    </row>
    <row r="4305" spans="1:4" x14ac:dyDescent="0.3">
      <c r="A4305" t="s">
        <v>446</v>
      </c>
      <c r="B4305">
        <v>4.0598063786682376E-2</v>
      </c>
      <c r="C4305" t="s">
        <v>862</v>
      </c>
      <c r="D4305" t="s">
        <v>2028</v>
      </c>
    </row>
    <row r="4306" spans="1:4" x14ac:dyDescent="0.3">
      <c r="A4306" t="s">
        <v>1632</v>
      </c>
      <c r="B4306" t="s">
        <v>361</v>
      </c>
      <c r="C4306" t="s">
        <v>862</v>
      </c>
      <c r="D4306" t="s">
        <v>2028</v>
      </c>
    </row>
    <row r="4307" spans="1:4" x14ac:dyDescent="0.3">
      <c r="A4307" t="s">
        <v>1626</v>
      </c>
      <c r="B4307" t="s">
        <v>361</v>
      </c>
      <c r="C4307" t="s">
        <v>862</v>
      </c>
      <c r="D4307" t="s">
        <v>2028</v>
      </c>
    </row>
    <row r="4308" spans="1:4" x14ac:dyDescent="0.3">
      <c r="A4308" t="s">
        <v>1627</v>
      </c>
      <c r="B4308" t="s">
        <v>361</v>
      </c>
      <c r="C4308" t="s">
        <v>862</v>
      </c>
      <c r="D4308" t="s">
        <v>2028</v>
      </c>
    </row>
    <row r="4309" spans="1:4" x14ac:dyDescent="0.3">
      <c r="A4309" t="s">
        <v>1625</v>
      </c>
      <c r="B4309" t="s">
        <v>361</v>
      </c>
      <c r="C4309" t="s">
        <v>862</v>
      </c>
      <c r="D4309" t="s">
        <v>2028</v>
      </c>
    </row>
    <row r="4310" spans="1:4" x14ac:dyDescent="0.3">
      <c r="A4310" t="s">
        <v>1623</v>
      </c>
      <c r="B4310" t="s">
        <v>361</v>
      </c>
      <c r="C4310" t="s">
        <v>862</v>
      </c>
      <c r="D4310" t="s">
        <v>2028</v>
      </c>
    </row>
    <row r="4311" spans="1:4" x14ac:dyDescent="0.3">
      <c r="A4311" t="s">
        <v>1633</v>
      </c>
      <c r="B4311">
        <v>15.904023345029225</v>
      </c>
      <c r="C4311" t="s">
        <v>862</v>
      </c>
      <c r="D4311" t="s">
        <v>2028</v>
      </c>
    </row>
    <row r="4312" spans="1:4" x14ac:dyDescent="0.3">
      <c r="A4312" t="s">
        <v>1628</v>
      </c>
      <c r="B4312">
        <v>16.994366562717872</v>
      </c>
      <c r="C4312" t="s">
        <v>862</v>
      </c>
      <c r="D4312" t="s">
        <v>2029</v>
      </c>
    </row>
    <row r="4313" spans="1:4" x14ac:dyDescent="0.3">
      <c r="A4313" t="s">
        <v>17</v>
      </c>
      <c r="B4313">
        <v>0</v>
      </c>
      <c r="C4313" t="s">
        <v>862</v>
      </c>
      <c r="D4313" t="s">
        <v>2029</v>
      </c>
    </row>
    <row r="4314" spans="1:4" x14ac:dyDescent="0.3">
      <c r="A4314" t="s">
        <v>209</v>
      </c>
      <c r="B4314">
        <v>16.95376849893119</v>
      </c>
      <c r="C4314" t="s">
        <v>862</v>
      </c>
      <c r="D4314" t="s">
        <v>2029</v>
      </c>
    </row>
    <row r="4315" spans="1:4" x14ac:dyDescent="0.3">
      <c r="A4315" t="s">
        <v>446</v>
      </c>
      <c r="B4315">
        <v>4.0598063786682376E-2</v>
      </c>
      <c r="C4315" t="s">
        <v>862</v>
      </c>
      <c r="D4315" t="s">
        <v>2029</v>
      </c>
    </row>
    <row r="4316" spans="1:4" x14ac:dyDescent="0.3">
      <c r="A4316" t="s">
        <v>1632</v>
      </c>
      <c r="B4316" t="s">
        <v>361</v>
      </c>
      <c r="C4316" t="s">
        <v>862</v>
      </c>
      <c r="D4316" t="s">
        <v>2029</v>
      </c>
    </row>
    <row r="4317" spans="1:4" x14ac:dyDescent="0.3">
      <c r="A4317" t="s">
        <v>1626</v>
      </c>
      <c r="B4317" t="s">
        <v>361</v>
      </c>
      <c r="C4317" t="s">
        <v>862</v>
      </c>
      <c r="D4317" t="s">
        <v>2029</v>
      </c>
    </row>
    <row r="4318" spans="1:4" x14ac:dyDescent="0.3">
      <c r="A4318" t="s">
        <v>1627</v>
      </c>
      <c r="B4318" t="s">
        <v>361</v>
      </c>
      <c r="C4318" t="s">
        <v>862</v>
      </c>
      <c r="D4318" t="s">
        <v>2029</v>
      </c>
    </row>
    <row r="4319" spans="1:4" x14ac:dyDescent="0.3">
      <c r="A4319" t="s">
        <v>1625</v>
      </c>
      <c r="B4319" t="s">
        <v>361</v>
      </c>
      <c r="C4319" t="s">
        <v>862</v>
      </c>
      <c r="D4319" t="s">
        <v>2029</v>
      </c>
    </row>
    <row r="4320" spans="1:4" x14ac:dyDescent="0.3">
      <c r="A4320" t="s">
        <v>1623</v>
      </c>
      <c r="B4320" t="s">
        <v>361</v>
      </c>
      <c r="C4320" t="s">
        <v>862</v>
      </c>
      <c r="D4320" t="s">
        <v>2029</v>
      </c>
    </row>
    <row r="4321" spans="1:4" x14ac:dyDescent="0.3">
      <c r="A4321" t="s">
        <v>1633</v>
      </c>
      <c r="B4321">
        <v>16.994366562717872</v>
      </c>
      <c r="C4321" t="s">
        <v>862</v>
      </c>
      <c r="D4321" t="s">
        <v>2029</v>
      </c>
    </row>
    <row r="4322" spans="1:4" x14ac:dyDescent="0.3">
      <c r="A4322" t="s">
        <v>1628</v>
      </c>
      <c r="B4322">
        <v>16.994366562717872</v>
      </c>
      <c r="C4322" t="s">
        <v>862</v>
      </c>
      <c r="D4322" t="s">
        <v>2030</v>
      </c>
    </row>
    <row r="4323" spans="1:4" x14ac:dyDescent="0.3">
      <c r="A4323" t="s">
        <v>17</v>
      </c>
      <c r="B4323">
        <v>0</v>
      </c>
      <c r="C4323" t="s">
        <v>862</v>
      </c>
      <c r="D4323" t="s">
        <v>2030</v>
      </c>
    </row>
    <row r="4324" spans="1:4" x14ac:dyDescent="0.3">
      <c r="A4324" t="s">
        <v>209</v>
      </c>
      <c r="B4324">
        <v>16.95376849893119</v>
      </c>
      <c r="C4324" t="s">
        <v>862</v>
      </c>
      <c r="D4324" t="s">
        <v>2030</v>
      </c>
    </row>
    <row r="4325" spans="1:4" x14ac:dyDescent="0.3">
      <c r="A4325" t="s">
        <v>446</v>
      </c>
      <c r="B4325">
        <v>4.0598063786682376E-2</v>
      </c>
      <c r="C4325" t="s">
        <v>862</v>
      </c>
      <c r="D4325" t="s">
        <v>2030</v>
      </c>
    </row>
    <row r="4326" spans="1:4" x14ac:dyDescent="0.3">
      <c r="A4326" t="s">
        <v>1632</v>
      </c>
      <c r="B4326" t="s">
        <v>361</v>
      </c>
      <c r="C4326" t="s">
        <v>862</v>
      </c>
      <c r="D4326" t="s">
        <v>2030</v>
      </c>
    </row>
    <row r="4327" spans="1:4" x14ac:dyDescent="0.3">
      <c r="A4327" t="s">
        <v>1626</v>
      </c>
      <c r="B4327" t="s">
        <v>361</v>
      </c>
      <c r="C4327" t="s">
        <v>862</v>
      </c>
      <c r="D4327" t="s">
        <v>2030</v>
      </c>
    </row>
    <row r="4328" spans="1:4" x14ac:dyDescent="0.3">
      <c r="A4328" t="s">
        <v>1627</v>
      </c>
      <c r="B4328" t="s">
        <v>361</v>
      </c>
      <c r="C4328" t="s">
        <v>862</v>
      </c>
      <c r="D4328" t="s">
        <v>2030</v>
      </c>
    </row>
    <row r="4329" spans="1:4" x14ac:dyDescent="0.3">
      <c r="A4329" t="s">
        <v>1625</v>
      </c>
      <c r="B4329" t="s">
        <v>361</v>
      </c>
      <c r="C4329" t="s">
        <v>862</v>
      </c>
      <c r="D4329" t="s">
        <v>2030</v>
      </c>
    </row>
    <row r="4330" spans="1:4" x14ac:dyDescent="0.3">
      <c r="A4330" t="s">
        <v>1623</v>
      </c>
      <c r="B4330" t="s">
        <v>361</v>
      </c>
      <c r="C4330" t="s">
        <v>862</v>
      </c>
      <c r="D4330" t="s">
        <v>2030</v>
      </c>
    </row>
    <row r="4331" spans="1:4" x14ac:dyDescent="0.3">
      <c r="A4331" t="s">
        <v>1633</v>
      </c>
      <c r="B4331">
        <v>16.994366562717872</v>
      </c>
      <c r="C4331" t="s">
        <v>862</v>
      </c>
      <c r="D4331" t="s">
        <v>2030</v>
      </c>
    </row>
    <row r="4332" spans="1:4" x14ac:dyDescent="0.3">
      <c r="A4332" t="s">
        <v>1628</v>
      </c>
      <c r="B4332">
        <v>15.819669994201972</v>
      </c>
      <c r="C4332" t="s">
        <v>862</v>
      </c>
      <c r="D4332" t="s">
        <v>2031</v>
      </c>
    </row>
    <row r="4333" spans="1:4" x14ac:dyDescent="0.3">
      <c r="A4333" t="s">
        <v>17</v>
      </c>
      <c r="B4333">
        <v>0</v>
      </c>
      <c r="C4333" t="s">
        <v>862</v>
      </c>
      <c r="D4333" t="s">
        <v>2031</v>
      </c>
    </row>
    <row r="4334" spans="1:4" x14ac:dyDescent="0.3">
      <c r="A4334" t="s">
        <v>209</v>
      </c>
      <c r="B4334">
        <v>15.77907193041529</v>
      </c>
      <c r="C4334" t="s">
        <v>862</v>
      </c>
      <c r="D4334" t="s">
        <v>2031</v>
      </c>
    </row>
    <row r="4335" spans="1:4" x14ac:dyDescent="0.3">
      <c r="A4335" t="s">
        <v>446</v>
      </c>
      <c r="B4335">
        <v>4.0598063786682376E-2</v>
      </c>
      <c r="C4335" t="s">
        <v>862</v>
      </c>
      <c r="D4335" t="s">
        <v>2031</v>
      </c>
    </row>
    <row r="4336" spans="1:4" x14ac:dyDescent="0.3">
      <c r="A4336" t="s">
        <v>1632</v>
      </c>
      <c r="B4336" t="s">
        <v>361</v>
      </c>
      <c r="C4336" t="s">
        <v>862</v>
      </c>
      <c r="D4336" t="s">
        <v>2031</v>
      </c>
    </row>
    <row r="4337" spans="1:4" x14ac:dyDescent="0.3">
      <c r="A4337" t="s">
        <v>1626</v>
      </c>
      <c r="B4337" t="s">
        <v>361</v>
      </c>
      <c r="C4337" t="s">
        <v>862</v>
      </c>
      <c r="D4337" t="s">
        <v>2031</v>
      </c>
    </row>
    <row r="4338" spans="1:4" x14ac:dyDescent="0.3">
      <c r="A4338" t="s">
        <v>1627</v>
      </c>
      <c r="B4338" t="s">
        <v>361</v>
      </c>
      <c r="C4338" t="s">
        <v>862</v>
      </c>
      <c r="D4338" t="s">
        <v>2031</v>
      </c>
    </row>
    <row r="4339" spans="1:4" x14ac:dyDescent="0.3">
      <c r="A4339" t="s">
        <v>1625</v>
      </c>
      <c r="B4339" t="s">
        <v>361</v>
      </c>
      <c r="C4339" t="s">
        <v>862</v>
      </c>
      <c r="D4339" t="s">
        <v>2031</v>
      </c>
    </row>
    <row r="4340" spans="1:4" x14ac:dyDescent="0.3">
      <c r="A4340" t="s">
        <v>1623</v>
      </c>
      <c r="B4340" t="s">
        <v>361</v>
      </c>
      <c r="C4340" t="s">
        <v>862</v>
      </c>
      <c r="D4340" t="s">
        <v>2031</v>
      </c>
    </row>
    <row r="4341" spans="1:4" x14ac:dyDescent="0.3">
      <c r="A4341" t="s">
        <v>1633</v>
      </c>
      <c r="B4341">
        <v>15.819669994201972</v>
      </c>
      <c r="C4341" t="s">
        <v>862</v>
      </c>
      <c r="D4341" t="s">
        <v>2031</v>
      </c>
    </row>
    <row r="4342" spans="1:4" x14ac:dyDescent="0.3">
      <c r="A4342" t="s">
        <v>1628</v>
      </c>
      <c r="B4342">
        <v>16.994366562717872</v>
      </c>
      <c r="C4342" t="s">
        <v>862</v>
      </c>
      <c r="D4342" t="s">
        <v>2032</v>
      </c>
    </row>
    <row r="4343" spans="1:4" x14ac:dyDescent="0.3">
      <c r="A4343" t="s">
        <v>17</v>
      </c>
      <c r="B4343">
        <v>0</v>
      </c>
      <c r="C4343" t="s">
        <v>862</v>
      </c>
      <c r="D4343" t="s">
        <v>2032</v>
      </c>
    </row>
    <row r="4344" spans="1:4" x14ac:dyDescent="0.3">
      <c r="A4344" t="s">
        <v>209</v>
      </c>
      <c r="B4344">
        <v>16.95376849893119</v>
      </c>
      <c r="C4344" t="s">
        <v>862</v>
      </c>
      <c r="D4344" t="s">
        <v>2032</v>
      </c>
    </row>
    <row r="4345" spans="1:4" x14ac:dyDescent="0.3">
      <c r="A4345" t="s">
        <v>446</v>
      </c>
      <c r="B4345">
        <v>4.0598063786682376E-2</v>
      </c>
      <c r="C4345" t="s">
        <v>862</v>
      </c>
      <c r="D4345" t="s">
        <v>2032</v>
      </c>
    </row>
    <row r="4346" spans="1:4" x14ac:dyDescent="0.3">
      <c r="A4346" t="s">
        <v>1632</v>
      </c>
      <c r="B4346" t="s">
        <v>361</v>
      </c>
      <c r="C4346" t="s">
        <v>862</v>
      </c>
      <c r="D4346" t="s">
        <v>2032</v>
      </c>
    </row>
    <row r="4347" spans="1:4" x14ac:dyDescent="0.3">
      <c r="A4347" t="s">
        <v>1626</v>
      </c>
      <c r="B4347" t="s">
        <v>361</v>
      </c>
      <c r="C4347" t="s">
        <v>862</v>
      </c>
      <c r="D4347" t="s">
        <v>2032</v>
      </c>
    </row>
    <row r="4348" spans="1:4" x14ac:dyDescent="0.3">
      <c r="A4348" t="s">
        <v>1627</v>
      </c>
      <c r="B4348" t="s">
        <v>361</v>
      </c>
      <c r="C4348" t="s">
        <v>862</v>
      </c>
      <c r="D4348" t="s">
        <v>2032</v>
      </c>
    </row>
    <row r="4349" spans="1:4" x14ac:dyDescent="0.3">
      <c r="A4349" t="s">
        <v>1625</v>
      </c>
      <c r="B4349" t="s">
        <v>361</v>
      </c>
      <c r="C4349" t="s">
        <v>862</v>
      </c>
      <c r="D4349" t="s">
        <v>2032</v>
      </c>
    </row>
    <row r="4350" spans="1:4" x14ac:dyDescent="0.3">
      <c r="A4350" t="s">
        <v>1623</v>
      </c>
      <c r="B4350" t="s">
        <v>361</v>
      </c>
      <c r="C4350" t="s">
        <v>862</v>
      </c>
      <c r="D4350" t="s">
        <v>2032</v>
      </c>
    </row>
    <row r="4351" spans="1:4" x14ac:dyDescent="0.3">
      <c r="A4351" t="s">
        <v>1633</v>
      </c>
      <c r="B4351">
        <v>16.994366562717872</v>
      </c>
      <c r="C4351" t="s">
        <v>862</v>
      </c>
      <c r="D4351" t="s">
        <v>2032</v>
      </c>
    </row>
    <row r="4352" spans="1:4" x14ac:dyDescent="0.3">
      <c r="A4352" t="s">
        <v>1628</v>
      </c>
      <c r="B4352">
        <v>9.1312996517206972</v>
      </c>
      <c r="C4352" t="s">
        <v>862</v>
      </c>
      <c r="D4352" t="s">
        <v>2033</v>
      </c>
    </row>
    <row r="4353" spans="1:4" x14ac:dyDescent="0.3">
      <c r="A4353" t="s">
        <v>17</v>
      </c>
      <c r="B4353">
        <v>0</v>
      </c>
      <c r="C4353" t="s">
        <v>862</v>
      </c>
      <c r="D4353" t="s">
        <v>2033</v>
      </c>
    </row>
    <row r="4354" spans="1:4" x14ac:dyDescent="0.3">
      <c r="A4354" t="s">
        <v>209</v>
      </c>
      <c r="B4354">
        <v>9.0907015879340154</v>
      </c>
      <c r="C4354" t="s">
        <v>862</v>
      </c>
      <c r="D4354" t="s">
        <v>2033</v>
      </c>
    </row>
    <row r="4355" spans="1:4" x14ac:dyDescent="0.3">
      <c r="A4355" t="s">
        <v>446</v>
      </c>
      <c r="B4355">
        <v>4.0598063786682376E-2</v>
      </c>
      <c r="C4355" t="s">
        <v>862</v>
      </c>
      <c r="D4355" t="s">
        <v>2033</v>
      </c>
    </row>
    <row r="4356" spans="1:4" x14ac:dyDescent="0.3">
      <c r="A4356" t="s">
        <v>1632</v>
      </c>
      <c r="B4356" t="s">
        <v>361</v>
      </c>
      <c r="C4356" t="s">
        <v>862</v>
      </c>
      <c r="D4356" t="s">
        <v>2033</v>
      </c>
    </row>
    <row r="4357" spans="1:4" x14ac:dyDescent="0.3">
      <c r="A4357" t="s">
        <v>1626</v>
      </c>
      <c r="B4357" t="s">
        <v>361</v>
      </c>
      <c r="C4357" t="s">
        <v>862</v>
      </c>
      <c r="D4357" t="s">
        <v>2033</v>
      </c>
    </row>
    <row r="4358" spans="1:4" x14ac:dyDescent="0.3">
      <c r="A4358" t="s">
        <v>1627</v>
      </c>
      <c r="B4358" t="s">
        <v>361</v>
      </c>
      <c r="C4358" t="s">
        <v>862</v>
      </c>
      <c r="D4358" t="s">
        <v>2033</v>
      </c>
    </row>
    <row r="4359" spans="1:4" x14ac:dyDescent="0.3">
      <c r="A4359" t="s">
        <v>1625</v>
      </c>
      <c r="B4359" t="s">
        <v>361</v>
      </c>
      <c r="C4359" t="s">
        <v>862</v>
      </c>
      <c r="D4359" t="s">
        <v>2033</v>
      </c>
    </row>
    <row r="4360" spans="1:4" x14ac:dyDescent="0.3">
      <c r="A4360" t="s">
        <v>1623</v>
      </c>
      <c r="B4360" t="s">
        <v>361</v>
      </c>
      <c r="C4360" t="s">
        <v>862</v>
      </c>
      <c r="D4360" t="s">
        <v>2033</v>
      </c>
    </row>
    <row r="4361" spans="1:4" x14ac:dyDescent="0.3">
      <c r="A4361" t="s">
        <v>1633</v>
      </c>
      <c r="B4361">
        <v>9.1312996517206972</v>
      </c>
      <c r="C4361" t="s">
        <v>862</v>
      </c>
      <c r="D4361" t="s">
        <v>2033</v>
      </c>
    </row>
    <row r="4362" spans="1:4" x14ac:dyDescent="0.3">
      <c r="A4362" t="s">
        <v>1628</v>
      </c>
      <c r="B4362">
        <v>16.994366562717872</v>
      </c>
      <c r="C4362" t="s">
        <v>862</v>
      </c>
      <c r="D4362" t="s">
        <v>2274</v>
      </c>
    </row>
    <row r="4363" spans="1:4" x14ac:dyDescent="0.3">
      <c r="A4363" t="s">
        <v>17</v>
      </c>
      <c r="B4363">
        <v>0</v>
      </c>
      <c r="C4363" t="s">
        <v>862</v>
      </c>
      <c r="D4363" t="s">
        <v>2274</v>
      </c>
    </row>
    <row r="4364" spans="1:4" x14ac:dyDescent="0.3">
      <c r="A4364" t="s">
        <v>209</v>
      </c>
      <c r="B4364">
        <v>16.95376849893119</v>
      </c>
      <c r="C4364" t="s">
        <v>862</v>
      </c>
      <c r="D4364" t="s">
        <v>2274</v>
      </c>
    </row>
    <row r="4365" spans="1:4" x14ac:dyDescent="0.3">
      <c r="A4365" t="s">
        <v>446</v>
      </c>
      <c r="B4365">
        <v>4.0598063786682376E-2</v>
      </c>
      <c r="C4365" t="s">
        <v>862</v>
      </c>
      <c r="D4365" t="s">
        <v>2274</v>
      </c>
    </row>
    <row r="4366" spans="1:4" x14ac:dyDescent="0.3">
      <c r="A4366" t="s">
        <v>1632</v>
      </c>
      <c r="B4366" t="s">
        <v>361</v>
      </c>
      <c r="C4366" t="s">
        <v>862</v>
      </c>
      <c r="D4366" t="s">
        <v>2274</v>
      </c>
    </row>
    <row r="4367" spans="1:4" x14ac:dyDescent="0.3">
      <c r="A4367" t="s">
        <v>1626</v>
      </c>
      <c r="B4367" t="s">
        <v>361</v>
      </c>
      <c r="C4367" t="s">
        <v>862</v>
      </c>
      <c r="D4367" t="s">
        <v>2274</v>
      </c>
    </row>
    <row r="4368" spans="1:4" x14ac:dyDescent="0.3">
      <c r="A4368" t="s">
        <v>1627</v>
      </c>
      <c r="B4368" t="s">
        <v>361</v>
      </c>
      <c r="C4368" t="s">
        <v>862</v>
      </c>
      <c r="D4368" t="s">
        <v>2274</v>
      </c>
    </row>
    <row r="4369" spans="1:4" x14ac:dyDescent="0.3">
      <c r="A4369" t="s">
        <v>1625</v>
      </c>
      <c r="B4369" t="s">
        <v>361</v>
      </c>
      <c r="C4369" t="s">
        <v>862</v>
      </c>
      <c r="D4369" t="s">
        <v>2274</v>
      </c>
    </row>
    <row r="4370" spans="1:4" x14ac:dyDescent="0.3">
      <c r="A4370" t="s">
        <v>1623</v>
      </c>
      <c r="B4370" t="s">
        <v>361</v>
      </c>
      <c r="C4370" t="s">
        <v>862</v>
      </c>
      <c r="D4370" t="s">
        <v>2274</v>
      </c>
    </row>
    <row r="4371" spans="1:4" x14ac:dyDescent="0.3">
      <c r="A4371" t="s">
        <v>1633</v>
      </c>
      <c r="B4371">
        <v>16.994366562717872</v>
      </c>
      <c r="C4371" t="s">
        <v>862</v>
      </c>
      <c r="D4371" t="s">
        <v>2274</v>
      </c>
    </row>
    <row r="4372" spans="1:4" x14ac:dyDescent="0.3">
      <c r="A4372" t="s">
        <v>1628</v>
      </c>
      <c r="B4372">
        <v>16.994366562717872</v>
      </c>
      <c r="C4372" t="s">
        <v>862</v>
      </c>
      <c r="D4372" t="s">
        <v>2275</v>
      </c>
    </row>
    <row r="4373" spans="1:4" x14ac:dyDescent="0.3">
      <c r="A4373" t="s">
        <v>17</v>
      </c>
      <c r="B4373">
        <v>0</v>
      </c>
      <c r="C4373" t="s">
        <v>862</v>
      </c>
      <c r="D4373" t="s">
        <v>2275</v>
      </c>
    </row>
    <row r="4374" spans="1:4" x14ac:dyDescent="0.3">
      <c r="A4374" t="s">
        <v>209</v>
      </c>
      <c r="B4374">
        <v>16.95376849893119</v>
      </c>
      <c r="C4374" t="s">
        <v>862</v>
      </c>
      <c r="D4374" t="s">
        <v>2275</v>
      </c>
    </row>
    <row r="4375" spans="1:4" x14ac:dyDescent="0.3">
      <c r="A4375" t="s">
        <v>446</v>
      </c>
      <c r="B4375">
        <v>4.0598063786682376E-2</v>
      </c>
      <c r="C4375" t="s">
        <v>862</v>
      </c>
      <c r="D4375" t="s">
        <v>2275</v>
      </c>
    </row>
    <row r="4376" spans="1:4" x14ac:dyDescent="0.3">
      <c r="A4376" t="s">
        <v>1632</v>
      </c>
      <c r="B4376" t="s">
        <v>361</v>
      </c>
      <c r="C4376" t="s">
        <v>862</v>
      </c>
      <c r="D4376" t="s">
        <v>2275</v>
      </c>
    </row>
    <row r="4377" spans="1:4" x14ac:dyDescent="0.3">
      <c r="A4377" t="s">
        <v>1626</v>
      </c>
      <c r="B4377" t="s">
        <v>361</v>
      </c>
      <c r="C4377" t="s">
        <v>862</v>
      </c>
      <c r="D4377" t="s">
        <v>2275</v>
      </c>
    </row>
    <row r="4378" spans="1:4" x14ac:dyDescent="0.3">
      <c r="A4378" t="s">
        <v>1627</v>
      </c>
      <c r="B4378" t="s">
        <v>361</v>
      </c>
      <c r="C4378" t="s">
        <v>862</v>
      </c>
      <c r="D4378" t="s">
        <v>2275</v>
      </c>
    </row>
    <row r="4379" spans="1:4" x14ac:dyDescent="0.3">
      <c r="A4379" t="s">
        <v>1625</v>
      </c>
      <c r="B4379" t="s">
        <v>361</v>
      </c>
      <c r="C4379" t="s">
        <v>862</v>
      </c>
      <c r="D4379" t="s">
        <v>2275</v>
      </c>
    </row>
    <row r="4380" spans="1:4" x14ac:dyDescent="0.3">
      <c r="A4380" t="s">
        <v>1623</v>
      </c>
      <c r="B4380" t="s">
        <v>361</v>
      </c>
      <c r="C4380" t="s">
        <v>862</v>
      </c>
      <c r="D4380" t="s">
        <v>2275</v>
      </c>
    </row>
    <row r="4381" spans="1:4" x14ac:dyDescent="0.3">
      <c r="A4381" t="s">
        <v>1633</v>
      </c>
      <c r="B4381">
        <v>16.994366562717872</v>
      </c>
      <c r="C4381" t="s">
        <v>862</v>
      </c>
      <c r="D4381" t="s">
        <v>2275</v>
      </c>
    </row>
    <row r="4382" spans="1:4" x14ac:dyDescent="0.3">
      <c r="A4382" t="s">
        <v>1628</v>
      </c>
      <c r="B4382">
        <v>17.401853081912851</v>
      </c>
      <c r="C4382" t="s">
        <v>862</v>
      </c>
      <c r="D4382" t="s">
        <v>2166</v>
      </c>
    </row>
    <row r="4383" spans="1:4" x14ac:dyDescent="0.3">
      <c r="A4383" t="s">
        <v>17</v>
      </c>
      <c r="B4383">
        <v>0</v>
      </c>
      <c r="C4383" t="s">
        <v>862</v>
      </c>
      <c r="D4383" t="s">
        <v>2166</v>
      </c>
    </row>
    <row r="4384" spans="1:4" x14ac:dyDescent="0.3">
      <c r="A4384" t="s">
        <v>209</v>
      </c>
      <c r="B4384">
        <v>17.361255018126169</v>
      </c>
      <c r="C4384" t="s">
        <v>862</v>
      </c>
      <c r="D4384" t="s">
        <v>2166</v>
      </c>
    </row>
    <row r="4385" spans="1:4" x14ac:dyDescent="0.3">
      <c r="A4385" t="s">
        <v>446</v>
      </c>
      <c r="B4385">
        <v>4.0598063786682376E-2</v>
      </c>
      <c r="C4385" t="s">
        <v>862</v>
      </c>
      <c r="D4385" t="s">
        <v>2166</v>
      </c>
    </row>
    <row r="4386" spans="1:4" x14ac:dyDescent="0.3">
      <c r="A4386" t="s">
        <v>1632</v>
      </c>
      <c r="B4386" t="s">
        <v>361</v>
      </c>
      <c r="C4386" t="s">
        <v>862</v>
      </c>
      <c r="D4386" t="s">
        <v>2166</v>
      </c>
    </row>
    <row r="4387" spans="1:4" x14ac:dyDescent="0.3">
      <c r="A4387" t="s">
        <v>1626</v>
      </c>
      <c r="B4387" t="s">
        <v>361</v>
      </c>
      <c r="C4387" t="s">
        <v>862</v>
      </c>
      <c r="D4387" t="s">
        <v>2166</v>
      </c>
    </row>
    <row r="4388" spans="1:4" x14ac:dyDescent="0.3">
      <c r="A4388" t="s">
        <v>1627</v>
      </c>
      <c r="B4388" t="s">
        <v>361</v>
      </c>
      <c r="C4388" t="s">
        <v>862</v>
      </c>
      <c r="D4388" t="s">
        <v>2166</v>
      </c>
    </row>
    <row r="4389" spans="1:4" x14ac:dyDescent="0.3">
      <c r="A4389" t="s">
        <v>1625</v>
      </c>
      <c r="B4389" t="s">
        <v>361</v>
      </c>
      <c r="C4389" t="s">
        <v>862</v>
      </c>
      <c r="D4389" t="s">
        <v>2166</v>
      </c>
    </row>
    <row r="4390" spans="1:4" x14ac:dyDescent="0.3">
      <c r="A4390" t="s">
        <v>1623</v>
      </c>
      <c r="B4390" t="s">
        <v>361</v>
      </c>
      <c r="C4390" t="s">
        <v>862</v>
      </c>
      <c r="D4390" t="s">
        <v>2166</v>
      </c>
    </row>
    <row r="4391" spans="1:4" x14ac:dyDescent="0.3">
      <c r="A4391" t="s">
        <v>1633</v>
      </c>
      <c r="B4391">
        <v>17.401853081912851</v>
      </c>
      <c r="C4391" t="s">
        <v>862</v>
      </c>
      <c r="D4391" t="s">
        <v>2166</v>
      </c>
    </row>
    <row r="4392" spans="1:4" x14ac:dyDescent="0.3">
      <c r="A4392" t="s">
        <v>1628</v>
      </c>
      <c r="B4392">
        <v>16.672347242170272</v>
      </c>
      <c r="C4392" t="s">
        <v>862</v>
      </c>
      <c r="D4392" t="s">
        <v>2167</v>
      </c>
    </row>
    <row r="4393" spans="1:4" x14ac:dyDescent="0.3">
      <c r="A4393" t="s">
        <v>17</v>
      </c>
      <c r="B4393">
        <v>0</v>
      </c>
      <c r="C4393" t="s">
        <v>862</v>
      </c>
      <c r="D4393" t="s">
        <v>2167</v>
      </c>
    </row>
    <row r="4394" spans="1:4" x14ac:dyDescent="0.3">
      <c r="A4394" t="s">
        <v>209</v>
      </c>
      <c r="B4394">
        <v>16.63174917838359</v>
      </c>
      <c r="C4394" t="s">
        <v>862</v>
      </c>
      <c r="D4394" t="s">
        <v>2167</v>
      </c>
    </row>
    <row r="4395" spans="1:4" x14ac:dyDescent="0.3">
      <c r="A4395" t="s">
        <v>446</v>
      </c>
      <c r="B4395">
        <v>4.0598063786682376E-2</v>
      </c>
      <c r="C4395" t="s">
        <v>862</v>
      </c>
      <c r="D4395" t="s">
        <v>2167</v>
      </c>
    </row>
    <row r="4396" spans="1:4" x14ac:dyDescent="0.3">
      <c r="A4396" t="s">
        <v>1632</v>
      </c>
      <c r="B4396" t="s">
        <v>361</v>
      </c>
      <c r="C4396" t="s">
        <v>862</v>
      </c>
      <c r="D4396" t="s">
        <v>2167</v>
      </c>
    </row>
    <row r="4397" spans="1:4" x14ac:dyDescent="0.3">
      <c r="A4397" t="s">
        <v>1626</v>
      </c>
      <c r="B4397" t="s">
        <v>361</v>
      </c>
      <c r="C4397" t="s">
        <v>862</v>
      </c>
      <c r="D4397" t="s">
        <v>2167</v>
      </c>
    </row>
    <row r="4398" spans="1:4" x14ac:dyDescent="0.3">
      <c r="A4398" t="s">
        <v>1627</v>
      </c>
      <c r="B4398" t="s">
        <v>361</v>
      </c>
      <c r="C4398" t="s">
        <v>862</v>
      </c>
      <c r="D4398" t="s">
        <v>2167</v>
      </c>
    </row>
    <row r="4399" spans="1:4" x14ac:dyDescent="0.3">
      <c r="A4399" t="s">
        <v>1625</v>
      </c>
      <c r="B4399" t="s">
        <v>361</v>
      </c>
      <c r="C4399" t="s">
        <v>862</v>
      </c>
      <c r="D4399" t="s">
        <v>2167</v>
      </c>
    </row>
    <row r="4400" spans="1:4" x14ac:dyDescent="0.3">
      <c r="A4400" t="s">
        <v>1623</v>
      </c>
      <c r="B4400" t="s">
        <v>361</v>
      </c>
      <c r="C4400" t="s">
        <v>862</v>
      </c>
      <c r="D4400" t="s">
        <v>2167</v>
      </c>
    </row>
    <row r="4401" spans="1:4" x14ac:dyDescent="0.3">
      <c r="A4401" t="s">
        <v>1633</v>
      </c>
      <c r="B4401">
        <v>16.672347242170272</v>
      </c>
      <c r="C4401" t="s">
        <v>862</v>
      </c>
      <c r="D4401" t="s">
        <v>2167</v>
      </c>
    </row>
    <row r="4402" spans="1:4" x14ac:dyDescent="0.3">
      <c r="A4402" t="s">
        <v>1628</v>
      </c>
      <c r="B4402">
        <v>16.980829385290011</v>
      </c>
      <c r="C4402" t="s">
        <v>862</v>
      </c>
      <c r="D4402" t="s">
        <v>2168</v>
      </c>
    </row>
    <row r="4403" spans="1:4" x14ac:dyDescent="0.3">
      <c r="A4403" t="s">
        <v>17</v>
      </c>
      <c r="B4403">
        <v>0</v>
      </c>
      <c r="C4403" t="s">
        <v>862</v>
      </c>
      <c r="D4403" t="s">
        <v>2168</v>
      </c>
    </row>
    <row r="4404" spans="1:4" x14ac:dyDescent="0.3">
      <c r="A4404" t="s">
        <v>209</v>
      </c>
      <c r="B4404">
        <v>16.94023132150333</v>
      </c>
      <c r="C4404" t="s">
        <v>862</v>
      </c>
      <c r="D4404" t="s">
        <v>2168</v>
      </c>
    </row>
    <row r="4405" spans="1:4" x14ac:dyDescent="0.3">
      <c r="A4405" t="s">
        <v>446</v>
      </c>
      <c r="B4405">
        <v>4.0598063786682376E-2</v>
      </c>
      <c r="C4405" t="s">
        <v>862</v>
      </c>
      <c r="D4405" t="s">
        <v>2168</v>
      </c>
    </row>
    <row r="4406" spans="1:4" x14ac:dyDescent="0.3">
      <c r="A4406" t="s">
        <v>1632</v>
      </c>
      <c r="B4406" t="s">
        <v>361</v>
      </c>
      <c r="C4406" t="s">
        <v>862</v>
      </c>
      <c r="D4406" t="s">
        <v>2168</v>
      </c>
    </row>
    <row r="4407" spans="1:4" x14ac:dyDescent="0.3">
      <c r="A4407" t="s">
        <v>1626</v>
      </c>
      <c r="B4407" t="s">
        <v>361</v>
      </c>
      <c r="C4407" t="s">
        <v>862</v>
      </c>
      <c r="D4407" t="s">
        <v>2168</v>
      </c>
    </row>
    <row r="4408" spans="1:4" x14ac:dyDescent="0.3">
      <c r="A4408" t="s">
        <v>1627</v>
      </c>
      <c r="B4408" t="s">
        <v>361</v>
      </c>
      <c r="C4408" t="s">
        <v>862</v>
      </c>
      <c r="D4408" t="s">
        <v>2168</v>
      </c>
    </row>
    <row r="4409" spans="1:4" x14ac:dyDescent="0.3">
      <c r="A4409" t="s">
        <v>1625</v>
      </c>
      <c r="B4409" t="s">
        <v>361</v>
      </c>
      <c r="C4409" t="s">
        <v>862</v>
      </c>
      <c r="D4409" t="s">
        <v>2168</v>
      </c>
    </row>
    <row r="4410" spans="1:4" x14ac:dyDescent="0.3">
      <c r="A4410" t="s">
        <v>1623</v>
      </c>
      <c r="B4410" t="s">
        <v>361</v>
      </c>
      <c r="C4410" t="s">
        <v>862</v>
      </c>
      <c r="D4410" t="s">
        <v>2168</v>
      </c>
    </row>
    <row r="4411" spans="1:4" x14ac:dyDescent="0.3">
      <c r="A4411" t="s">
        <v>1633</v>
      </c>
      <c r="B4411">
        <v>16.980829385290011</v>
      </c>
      <c r="C4411" t="s">
        <v>862</v>
      </c>
      <c r="D4411" t="s">
        <v>2168</v>
      </c>
    </row>
    <row r="4412" spans="1:4" x14ac:dyDescent="0.3">
      <c r="A4412" t="s">
        <v>1628</v>
      </c>
      <c r="B4412">
        <v>16.678751608203402</v>
      </c>
      <c r="C4412" t="s">
        <v>862</v>
      </c>
      <c r="D4412" t="s">
        <v>2169</v>
      </c>
    </row>
    <row r="4413" spans="1:4" x14ac:dyDescent="0.3">
      <c r="A4413" t="s">
        <v>17</v>
      </c>
      <c r="B4413">
        <v>0</v>
      </c>
      <c r="C4413" t="s">
        <v>862</v>
      </c>
      <c r="D4413" t="s">
        <v>2169</v>
      </c>
    </row>
    <row r="4414" spans="1:4" x14ac:dyDescent="0.3">
      <c r="A4414" t="s">
        <v>209</v>
      </c>
      <c r="B4414">
        <v>16.638153544416721</v>
      </c>
      <c r="C4414" t="s">
        <v>862</v>
      </c>
      <c r="D4414" t="s">
        <v>2169</v>
      </c>
    </row>
    <row r="4415" spans="1:4" x14ac:dyDescent="0.3">
      <c r="A4415" t="s">
        <v>446</v>
      </c>
      <c r="B4415">
        <v>4.0598063786682376E-2</v>
      </c>
      <c r="C4415" t="s">
        <v>862</v>
      </c>
      <c r="D4415" t="s">
        <v>2169</v>
      </c>
    </row>
    <row r="4416" spans="1:4" x14ac:dyDescent="0.3">
      <c r="A4416" t="s">
        <v>1632</v>
      </c>
      <c r="B4416" t="s">
        <v>361</v>
      </c>
      <c r="C4416" t="s">
        <v>862</v>
      </c>
      <c r="D4416" t="s">
        <v>2169</v>
      </c>
    </row>
    <row r="4417" spans="1:4" x14ac:dyDescent="0.3">
      <c r="A4417" t="s">
        <v>1626</v>
      </c>
      <c r="B4417" t="s">
        <v>361</v>
      </c>
      <c r="C4417" t="s">
        <v>862</v>
      </c>
      <c r="D4417" t="s">
        <v>2169</v>
      </c>
    </row>
    <row r="4418" spans="1:4" x14ac:dyDescent="0.3">
      <c r="A4418" t="s">
        <v>1627</v>
      </c>
      <c r="B4418" t="s">
        <v>361</v>
      </c>
      <c r="C4418" t="s">
        <v>862</v>
      </c>
      <c r="D4418" t="s">
        <v>2169</v>
      </c>
    </row>
    <row r="4419" spans="1:4" x14ac:dyDescent="0.3">
      <c r="A4419" t="s">
        <v>1625</v>
      </c>
      <c r="B4419" t="s">
        <v>361</v>
      </c>
      <c r="C4419" t="s">
        <v>862</v>
      </c>
      <c r="D4419" t="s">
        <v>2169</v>
      </c>
    </row>
    <row r="4420" spans="1:4" x14ac:dyDescent="0.3">
      <c r="A4420" t="s">
        <v>1623</v>
      </c>
      <c r="B4420" t="s">
        <v>361</v>
      </c>
      <c r="C4420" t="s">
        <v>862</v>
      </c>
      <c r="D4420" t="s">
        <v>2169</v>
      </c>
    </row>
    <row r="4421" spans="1:4" x14ac:dyDescent="0.3">
      <c r="A4421" t="s">
        <v>1633</v>
      </c>
      <c r="B4421">
        <v>16.678751608203402</v>
      </c>
      <c r="C4421" t="s">
        <v>862</v>
      </c>
      <c r="D4421" t="s">
        <v>2169</v>
      </c>
    </row>
    <row r="4422" spans="1:4" x14ac:dyDescent="0.3">
      <c r="A4422" t="s">
        <v>1628</v>
      </c>
      <c r="B4422">
        <v>17.027063763126854</v>
      </c>
      <c r="C4422" t="s">
        <v>862</v>
      </c>
      <c r="D4422" t="s">
        <v>2170</v>
      </c>
    </row>
    <row r="4423" spans="1:4" x14ac:dyDescent="0.3">
      <c r="A4423" t="s">
        <v>17</v>
      </c>
      <c r="B4423">
        <v>0</v>
      </c>
      <c r="C4423" t="s">
        <v>862</v>
      </c>
      <c r="D4423" t="s">
        <v>2170</v>
      </c>
    </row>
    <row r="4424" spans="1:4" x14ac:dyDescent="0.3">
      <c r="A4424" t="s">
        <v>209</v>
      </c>
      <c r="B4424">
        <v>16.986465699340172</v>
      </c>
      <c r="C4424" t="s">
        <v>862</v>
      </c>
      <c r="D4424" t="s">
        <v>2170</v>
      </c>
    </row>
    <row r="4425" spans="1:4" x14ac:dyDescent="0.3">
      <c r="A4425" t="s">
        <v>446</v>
      </c>
      <c r="B4425">
        <v>4.0598063786682376E-2</v>
      </c>
      <c r="C4425" t="s">
        <v>862</v>
      </c>
      <c r="D4425" t="s">
        <v>2170</v>
      </c>
    </row>
    <row r="4426" spans="1:4" x14ac:dyDescent="0.3">
      <c r="A4426" t="s">
        <v>1632</v>
      </c>
      <c r="B4426" t="s">
        <v>361</v>
      </c>
      <c r="C4426" t="s">
        <v>862</v>
      </c>
      <c r="D4426" t="s">
        <v>2170</v>
      </c>
    </row>
    <row r="4427" spans="1:4" x14ac:dyDescent="0.3">
      <c r="A4427" t="s">
        <v>1626</v>
      </c>
      <c r="B4427" t="s">
        <v>361</v>
      </c>
      <c r="C4427" t="s">
        <v>862</v>
      </c>
      <c r="D4427" t="s">
        <v>2170</v>
      </c>
    </row>
    <row r="4428" spans="1:4" x14ac:dyDescent="0.3">
      <c r="A4428" t="s">
        <v>1627</v>
      </c>
      <c r="B4428" t="s">
        <v>361</v>
      </c>
      <c r="C4428" t="s">
        <v>862</v>
      </c>
      <c r="D4428" t="s">
        <v>2170</v>
      </c>
    </row>
    <row r="4429" spans="1:4" x14ac:dyDescent="0.3">
      <c r="A4429" t="s">
        <v>1625</v>
      </c>
      <c r="B4429" t="s">
        <v>361</v>
      </c>
      <c r="C4429" t="s">
        <v>862</v>
      </c>
      <c r="D4429" t="s">
        <v>2170</v>
      </c>
    </row>
    <row r="4430" spans="1:4" x14ac:dyDescent="0.3">
      <c r="A4430" t="s">
        <v>1623</v>
      </c>
      <c r="B4430" t="s">
        <v>361</v>
      </c>
      <c r="C4430" t="s">
        <v>862</v>
      </c>
      <c r="D4430" t="s">
        <v>2170</v>
      </c>
    </row>
    <row r="4431" spans="1:4" x14ac:dyDescent="0.3">
      <c r="A4431" t="s">
        <v>1633</v>
      </c>
      <c r="B4431">
        <v>17.027063763126854</v>
      </c>
      <c r="C4431" t="s">
        <v>862</v>
      </c>
      <c r="D4431" t="s">
        <v>2170</v>
      </c>
    </row>
    <row r="4432" spans="1:4" x14ac:dyDescent="0.3">
      <c r="A4432" t="s">
        <v>1628</v>
      </c>
      <c r="B4432">
        <v>17.136718825275207</v>
      </c>
      <c r="C4432" t="s">
        <v>862</v>
      </c>
      <c r="D4432" t="s">
        <v>2171</v>
      </c>
    </row>
    <row r="4433" spans="1:4" x14ac:dyDescent="0.3">
      <c r="A4433" t="s">
        <v>17</v>
      </c>
      <c r="B4433">
        <v>0</v>
      </c>
      <c r="C4433" t="s">
        <v>862</v>
      </c>
      <c r="D4433" t="s">
        <v>2171</v>
      </c>
    </row>
    <row r="4434" spans="1:4" x14ac:dyDescent="0.3">
      <c r="A4434" t="s">
        <v>209</v>
      </c>
      <c r="B4434">
        <v>17.096120761488525</v>
      </c>
      <c r="C4434" t="s">
        <v>862</v>
      </c>
      <c r="D4434" t="s">
        <v>2171</v>
      </c>
    </row>
    <row r="4435" spans="1:4" x14ac:dyDescent="0.3">
      <c r="A4435" t="s">
        <v>446</v>
      </c>
      <c r="B4435">
        <v>4.0598063786682376E-2</v>
      </c>
      <c r="C4435" t="s">
        <v>862</v>
      </c>
      <c r="D4435" t="s">
        <v>2171</v>
      </c>
    </row>
    <row r="4436" spans="1:4" x14ac:dyDescent="0.3">
      <c r="A4436" t="s">
        <v>1632</v>
      </c>
      <c r="B4436" t="s">
        <v>361</v>
      </c>
      <c r="C4436" t="s">
        <v>862</v>
      </c>
      <c r="D4436" t="s">
        <v>2171</v>
      </c>
    </row>
    <row r="4437" spans="1:4" x14ac:dyDescent="0.3">
      <c r="A4437" t="s">
        <v>1626</v>
      </c>
      <c r="B4437" t="s">
        <v>361</v>
      </c>
      <c r="C4437" t="s">
        <v>862</v>
      </c>
      <c r="D4437" t="s">
        <v>2171</v>
      </c>
    </row>
    <row r="4438" spans="1:4" x14ac:dyDescent="0.3">
      <c r="A4438" t="s">
        <v>1627</v>
      </c>
      <c r="B4438" t="s">
        <v>361</v>
      </c>
      <c r="C4438" t="s">
        <v>862</v>
      </c>
      <c r="D4438" t="s">
        <v>2171</v>
      </c>
    </row>
    <row r="4439" spans="1:4" x14ac:dyDescent="0.3">
      <c r="A4439" t="s">
        <v>1625</v>
      </c>
      <c r="B4439" t="s">
        <v>361</v>
      </c>
      <c r="C4439" t="s">
        <v>862</v>
      </c>
      <c r="D4439" t="s">
        <v>2171</v>
      </c>
    </row>
    <row r="4440" spans="1:4" x14ac:dyDescent="0.3">
      <c r="A4440" t="s">
        <v>1623</v>
      </c>
      <c r="B4440" t="s">
        <v>361</v>
      </c>
      <c r="C4440" t="s">
        <v>862</v>
      </c>
      <c r="D4440" t="s">
        <v>2171</v>
      </c>
    </row>
    <row r="4441" spans="1:4" x14ac:dyDescent="0.3">
      <c r="A4441" t="s">
        <v>1633</v>
      </c>
      <c r="B4441">
        <v>17.136718825275207</v>
      </c>
      <c r="C4441" t="s">
        <v>862</v>
      </c>
      <c r="D4441" t="s">
        <v>2171</v>
      </c>
    </row>
    <row r="4442" spans="1:4" x14ac:dyDescent="0.3">
      <c r="A4442" t="s">
        <v>1628</v>
      </c>
      <c r="B4442">
        <v>17.685770173363927</v>
      </c>
      <c r="C4442" t="s">
        <v>862</v>
      </c>
      <c r="D4442" t="s">
        <v>2172</v>
      </c>
    </row>
    <row r="4443" spans="1:4" x14ac:dyDescent="0.3">
      <c r="A4443" t="s">
        <v>17</v>
      </c>
      <c r="B4443">
        <v>0</v>
      </c>
      <c r="C4443" t="s">
        <v>862</v>
      </c>
      <c r="D4443" t="s">
        <v>2172</v>
      </c>
    </row>
    <row r="4444" spans="1:4" x14ac:dyDescent="0.3">
      <c r="A4444" t="s">
        <v>209</v>
      </c>
      <c r="B4444">
        <v>17.645172109577246</v>
      </c>
      <c r="C4444" t="s">
        <v>862</v>
      </c>
      <c r="D4444" t="s">
        <v>2172</v>
      </c>
    </row>
    <row r="4445" spans="1:4" x14ac:dyDescent="0.3">
      <c r="A4445" t="s">
        <v>446</v>
      </c>
      <c r="B4445">
        <v>4.0598063786682376E-2</v>
      </c>
      <c r="C4445" t="s">
        <v>862</v>
      </c>
      <c r="D4445" t="s">
        <v>2172</v>
      </c>
    </row>
    <row r="4446" spans="1:4" x14ac:dyDescent="0.3">
      <c r="A4446" t="s">
        <v>1632</v>
      </c>
      <c r="B4446" t="s">
        <v>361</v>
      </c>
      <c r="C4446" t="s">
        <v>862</v>
      </c>
      <c r="D4446" t="s">
        <v>2172</v>
      </c>
    </row>
    <row r="4447" spans="1:4" x14ac:dyDescent="0.3">
      <c r="A4447" t="s">
        <v>1626</v>
      </c>
      <c r="B4447" t="s">
        <v>361</v>
      </c>
      <c r="C4447" t="s">
        <v>862</v>
      </c>
      <c r="D4447" t="s">
        <v>2172</v>
      </c>
    </row>
    <row r="4448" spans="1:4" x14ac:dyDescent="0.3">
      <c r="A4448" t="s">
        <v>1627</v>
      </c>
      <c r="B4448" t="s">
        <v>361</v>
      </c>
      <c r="C4448" t="s">
        <v>862</v>
      </c>
      <c r="D4448" t="s">
        <v>2172</v>
      </c>
    </row>
    <row r="4449" spans="1:4" x14ac:dyDescent="0.3">
      <c r="A4449" t="s">
        <v>1625</v>
      </c>
      <c r="B4449" t="s">
        <v>361</v>
      </c>
      <c r="C4449" t="s">
        <v>862</v>
      </c>
      <c r="D4449" t="s">
        <v>2172</v>
      </c>
    </row>
    <row r="4450" spans="1:4" x14ac:dyDescent="0.3">
      <c r="A4450" t="s">
        <v>1623</v>
      </c>
      <c r="B4450" t="s">
        <v>361</v>
      </c>
      <c r="C4450" t="s">
        <v>862</v>
      </c>
      <c r="D4450" t="s">
        <v>2172</v>
      </c>
    </row>
    <row r="4451" spans="1:4" x14ac:dyDescent="0.3">
      <c r="A4451" t="s">
        <v>1633</v>
      </c>
      <c r="B4451">
        <v>17.685770173363927</v>
      </c>
      <c r="C4451" t="s">
        <v>862</v>
      </c>
      <c r="D4451" t="s">
        <v>2172</v>
      </c>
    </row>
    <row r="4452" spans="1:4" x14ac:dyDescent="0.3">
      <c r="A4452" t="s">
        <v>1628</v>
      </c>
      <c r="B4452">
        <v>18.309442048212027</v>
      </c>
      <c r="C4452" t="s">
        <v>862</v>
      </c>
      <c r="D4452" t="s">
        <v>2173</v>
      </c>
    </row>
    <row r="4453" spans="1:4" x14ac:dyDescent="0.3">
      <c r="A4453" t="s">
        <v>17</v>
      </c>
      <c r="B4453">
        <v>0</v>
      </c>
      <c r="C4453" t="s">
        <v>862</v>
      </c>
      <c r="D4453" t="s">
        <v>2173</v>
      </c>
    </row>
    <row r="4454" spans="1:4" x14ac:dyDescent="0.3">
      <c r="A4454" t="s">
        <v>209</v>
      </c>
      <c r="B4454">
        <v>18.268843984425345</v>
      </c>
      <c r="C4454" t="s">
        <v>862</v>
      </c>
      <c r="D4454" t="s">
        <v>2173</v>
      </c>
    </row>
    <row r="4455" spans="1:4" x14ac:dyDescent="0.3">
      <c r="A4455" t="s">
        <v>446</v>
      </c>
      <c r="B4455">
        <v>4.0598063786682376E-2</v>
      </c>
      <c r="C4455" t="s">
        <v>862</v>
      </c>
      <c r="D4455" t="s">
        <v>2173</v>
      </c>
    </row>
    <row r="4456" spans="1:4" x14ac:dyDescent="0.3">
      <c r="A4456" t="s">
        <v>1632</v>
      </c>
      <c r="B4456" t="s">
        <v>361</v>
      </c>
      <c r="C4456" t="s">
        <v>862</v>
      </c>
      <c r="D4456" t="s">
        <v>2173</v>
      </c>
    </row>
    <row r="4457" spans="1:4" x14ac:dyDescent="0.3">
      <c r="A4457" t="s">
        <v>1626</v>
      </c>
      <c r="B4457" t="s">
        <v>361</v>
      </c>
      <c r="C4457" t="s">
        <v>862</v>
      </c>
      <c r="D4457" t="s">
        <v>2173</v>
      </c>
    </row>
    <row r="4458" spans="1:4" x14ac:dyDescent="0.3">
      <c r="A4458" t="s">
        <v>1627</v>
      </c>
      <c r="B4458" t="s">
        <v>361</v>
      </c>
      <c r="C4458" t="s">
        <v>862</v>
      </c>
      <c r="D4458" t="s">
        <v>2173</v>
      </c>
    </row>
    <row r="4459" spans="1:4" x14ac:dyDescent="0.3">
      <c r="A4459" t="s">
        <v>1625</v>
      </c>
      <c r="B4459" t="s">
        <v>361</v>
      </c>
      <c r="C4459" t="s">
        <v>862</v>
      </c>
      <c r="D4459" t="s">
        <v>2173</v>
      </c>
    </row>
    <row r="4460" spans="1:4" x14ac:dyDescent="0.3">
      <c r="A4460" t="s">
        <v>1623</v>
      </c>
      <c r="B4460" t="s">
        <v>361</v>
      </c>
      <c r="C4460" t="s">
        <v>862</v>
      </c>
      <c r="D4460" t="s">
        <v>2173</v>
      </c>
    </row>
    <row r="4461" spans="1:4" x14ac:dyDescent="0.3">
      <c r="A4461" t="s">
        <v>1633</v>
      </c>
      <c r="B4461">
        <v>18.309442048212027</v>
      </c>
      <c r="C4461" t="s">
        <v>862</v>
      </c>
      <c r="D4461" t="s">
        <v>2173</v>
      </c>
    </row>
    <row r="4462" spans="1:4" x14ac:dyDescent="0.3">
      <c r="A4462" t="s">
        <v>1628</v>
      </c>
      <c r="B4462">
        <v>17.868947715852954</v>
      </c>
      <c r="C4462" t="s">
        <v>862</v>
      </c>
      <c r="D4462" t="s">
        <v>2174</v>
      </c>
    </row>
    <row r="4463" spans="1:4" x14ac:dyDescent="0.3">
      <c r="A4463" t="s">
        <v>17</v>
      </c>
      <c r="B4463">
        <v>0</v>
      </c>
      <c r="C4463" t="s">
        <v>862</v>
      </c>
      <c r="D4463" t="s">
        <v>2174</v>
      </c>
    </row>
    <row r="4464" spans="1:4" x14ac:dyDescent="0.3">
      <c r="A4464" t="s">
        <v>209</v>
      </c>
      <c r="B4464">
        <v>17.828349652066272</v>
      </c>
      <c r="C4464" t="s">
        <v>862</v>
      </c>
      <c r="D4464" t="s">
        <v>2174</v>
      </c>
    </row>
    <row r="4465" spans="1:4" x14ac:dyDescent="0.3">
      <c r="A4465" t="s">
        <v>446</v>
      </c>
      <c r="B4465">
        <v>4.0598063786682376E-2</v>
      </c>
      <c r="C4465" t="s">
        <v>862</v>
      </c>
      <c r="D4465" t="s">
        <v>2174</v>
      </c>
    </row>
    <row r="4466" spans="1:4" x14ac:dyDescent="0.3">
      <c r="A4466" t="s">
        <v>1632</v>
      </c>
      <c r="B4466" t="s">
        <v>361</v>
      </c>
      <c r="C4466" t="s">
        <v>862</v>
      </c>
      <c r="D4466" t="s">
        <v>2174</v>
      </c>
    </row>
    <row r="4467" spans="1:4" x14ac:dyDescent="0.3">
      <c r="A4467" t="s">
        <v>1626</v>
      </c>
      <c r="B4467" t="s">
        <v>361</v>
      </c>
      <c r="C4467" t="s">
        <v>862</v>
      </c>
      <c r="D4467" t="s">
        <v>2174</v>
      </c>
    </row>
    <row r="4468" spans="1:4" x14ac:dyDescent="0.3">
      <c r="A4468" t="s">
        <v>1627</v>
      </c>
      <c r="B4468" t="s">
        <v>361</v>
      </c>
      <c r="C4468" t="s">
        <v>862</v>
      </c>
      <c r="D4468" t="s">
        <v>2174</v>
      </c>
    </row>
    <row r="4469" spans="1:4" x14ac:dyDescent="0.3">
      <c r="A4469" t="s">
        <v>1625</v>
      </c>
      <c r="B4469" t="s">
        <v>361</v>
      </c>
      <c r="C4469" t="s">
        <v>862</v>
      </c>
      <c r="D4469" t="s">
        <v>2174</v>
      </c>
    </row>
    <row r="4470" spans="1:4" x14ac:dyDescent="0.3">
      <c r="A4470" t="s">
        <v>1623</v>
      </c>
      <c r="B4470" t="s">
        <v>361</v>
      </c>
      <c r="C4470" t="s">
        <v>862</v>
      </c>
      <c r="D4470" t="s">
        <v>2174</v>
      </c>
    </row>
    <row r="4471" spans="1:4" x14ac:dyDescent="0.3">
      <c r="A4471" t="s">
        <v>1633</v>
      </c>
      <c r="B4471">
        <v>17.868947715852954</v>
      </c>
      <c r="C4471" t="s">
        <v>862</v>
      </c>
      <c r="D4471" t="s">
        <v>2174</v>
      </c>
    </row>
    <row r="4472" spans="1:4" x14ac:dyDescent="0.3">
      <c r="A4472" t="s">
        <v>1628</v>
      </c>
      <c r="B4472">
        <v>17.150251563564336</v>
      </c>
      <c r="C4472" t="s">
        <v>862</v>
      </c>
      <c r="D4472" t="s">
        <v>2175</v>
      </c>
    </row>
    <row r="4473" spans="1:4" x14ac:dyDescent="0.3">
      <c r="A4473" t="s">
        <v>17</v>
      </c>
      <c r="B4473">
        <v>0</v>
      </c>
      <c r="C4473" t="s">
        <v>862</v>
      </c>
      <c r="D4473" t="s">
        <v>2175</v>
      </c>
    </row>
    <row r="4474" spans="1:4" x14ac:dyDescent="0.3">
      <c r="A4474" t="s">
        <v>209</v>
      </c>
      <c r="B4474">
        <v>17.109653499777654</v>
      </c>
      <c r="C4474" t="s">
        <v>862</v>
      </c>
      <c r="D4474" t="s">
        <v>2175</v>
      </c>
    </row>
    <row r="4475" spans="1:4" x14ac:dyDescent="0.3">
      <c r="A4475" t="s">
        <v>446</v>
      </c>
      <c r="B4475">
        <v>4.0598063786682376E-2</v>
      </c>
      <c r="C4475" t="s">
        <v>862</v>
      </c>
      <c r="D4475" t="s">
        <v>2175</v>
      </c>
    </row>
    <row r="4476" spans="1:4" x14ac:dyDescent="0.3">
      <c r="A4476" t="s">
        <v>1632</v>
      </c>
      <c r="B4476" t="s">
        <v>361</v>
      </c>
      <c r="C4476" t="s">
        <v>862</v>
      </c>
      <c r="D4476" t="s">
        <v>2175</v>
      </c>
    </row>
    <row r="4477" spans="1:4" x14ac:dyDescent="0.3">
      <c r="A4477" t="s">
        <v>1626</v>
      </c>
      <c r="B4477" t="s">
        <v>361</v>
      </c>
      <c r="C4477" t="s">
        <v>862</v>
      </c>
      <c r="D4477" t="s">
        <v>2175</v>
      </c>
    </row>
    <row r="4478" spans="1:4" x14ac:dyDescent="0.3">
      <c r="A4478" t="s">
        <v>1627</v>
      </c>
      <c r="B4478" t="s">
        <v>361</v>
      </c>
      <c r="C4478" t="s">
        <v>862</v>
      </c>
      <c r="D4478" t="s">
        <v>2175</v>
      </c>
    </row>
    <row r="4479" spans="1:4" x14ac:dyDescent="0.3">
      <c r="A4479" t="s">
        <v>1625</v>
      </c>
      <c r="B4479" t="s">
        <v>361</v>
      </c>
      <c r="C4479" t="s">
        <v>862</v>
      </c>
      <c r="D4479" t="s">
        <v>2175</v>
      </c>
    </row>
    <row r="4480" spans="1:4" x14ac:dyDescent="0.3">
      <c r="A4480" t="s">
        <v>1623</v>
      </c>
      <c r="B4480" t="s">
        <v>361</v>
      </c>
      <c r="C4480" t="s">
        <v>862</v>
      </c>
      <c r="D4480" t="s">
        <v>2175</v>
      </c>
    </row>
    <row r="4481" spans="1:4" x14ac:dyDescent="0.3">
      <c r="A4481" t="s">
        <v>1633</v>
      </c>
      <c r="B4481">
        <v>17.150251563564336</v>
      </c>
      <c r="C4481" t="s">
        <v>862</v>
      </c>
      <c r="D4481" t="s">
        <v>2175</v>
      </c>
    </row>
    <row r="4482" spans="1:4" x14ac:dyDescent="0.3">
      <c r="A4482" t="s">
        <v>1628</v>
      </c>
      <c r="B4482">
        <v>16.70498195193505</v>
      </c>
      <c r="C4482" t="s">
        <v>862</v>
      </c>
      <c r="D4482" t="s">
        <v>2176</v>
      </c>
    </row>
    <row r="4483" spans="1:4" x14ac:dyDescent="0.3">
      <c r="A4483" t="s">
        <v>17</v>
      </c>
      <c r="B4483">
        <v>0</v>
      </c>
      <c r="C4483" t="s">
        <v>862</v>
      </c>
      <c r="D4483" t="s">
        <v>2176</v>
      </c>
    </row>
    <row r="4484" spans="1:4" x14ac:dyDescent="0.3">
      <c r="A4484" t="s">
        <v>209</v>
      </c>
      <c r="B4484">
        <v>16.664383888148368</v>
      </c>
      <c r="C4484" t="s">
        <v>862</v>
      </c>
      <c r="D4484" t="s">
        <v>2176</v>
      </c>
    </row>
    <row r="4485" spans="1:4" x14ac:dyDescent="0.3">
      <c r="A4485" t="s">
        <v>446</v>
      </c>
      <c r="B4485">
        <v>4.0598063786682376E-2</v>
      </c>
      <c r="C4485" t="s">
        <v>862</v>
      </c>
      <c r="D4485" t="s">
        <v>2176</v>
      </c>
    </row>
    <row r="4486" spans="1:4" x14ac:dyDescent="0.3">
      <c r="A4486" t="s">
        <v>1632</v>
      </c>
      <c r="B4486" t="s">
        <v>361</v>
      </c>
      <c r="C4486" t="s">
        <v>862</v>
      </c>
      <c r="D4486" t="s">
        <v>2176</v>
      </c>
    </row>
    <row r="4487" spans="1:4" x14ac:dyDescent="0.3">
      <c r="A4487" t="s">
        <v>1626</v>
      </c>
      <c r="B4487" t="s">
        <v>361</v>
      </c>
      <c r="C4487" t="s">
        <v>862</v>
      </c>
      <c r="D4487" t="s">
        <v>2176</v>
      </c>
    </row>
    <row r="4488" spans="1:4" x14ac:dyDescent="0.3">
      <c r="A4488" t="s">
        <v>1627</v>
      </c>
      <c r="B4488" t="s">
        <v>361</v>
      </c>
      <c r="C4488" t="s">
        <v>862</v>
      </c>
      <c r="D4488" t="s">
        <v>2176</v>
      </c>
    </row>
    <row r="4489" spans="1:4" x14ac:dyDescent="0.3">
      <c r="A4489" t="s">
        <v>1625</v>
      </c>
      <c r="B4489" t="s">
        <v>361</v>
      </c>
      <c r="C4489" t="s">
        <v>862</v>
      </c>
      <c r="D4489" t="s">
        <v>2176</v>
      </c>
    </row>
    <row r="4490" spans="1:4" x14ac:dyDescent="0.3">
      <c r="A4490" t="s">
        <v>1623</v>
      </c>
      <c r="B4490" t="s">
        <v>361</v>
      </c>
      <c r="C4490" t="s">
        <v>862</v>
      </c>
      <c r="D4490" t="s">
        <v>2176</v>
      </c>
    </row>
    <row r="4491" spans="1:4" x14ac:dyDescent="0.3">
      <c r="A4491" t="s">
        <v>1633</v>
      </c>
      <c r="B4491">
        <v>16.70498195193505</v>
      </c>
      <c r="C4491" t="s">
        <v>862</v>
      </c>
      <c r="D4491" t="s">
        <v>2176</v>
      </c>
    </row>
    <row r="4492" spans="1:4" x14ac:dyDescent="0.3">
      <c r="A4492" t="s">
        <v>1628</v>
      </c>
      <c r="B4492">
        <v>16.724617804228387</v>
      </c>
      <c r="C4492" t="s">
        <v>862</v>
      </c>
      <c r="D4492" t="s">
        <v>2177</v>
      </c>
    </row>
    <row r="4493" spans="1:4" x14ac:dyDescent="0.3">
      <c r="A4493" t="s">
        <v>17</v>
      </c>
      <c r="B4493">
        <v>0</v>
      </c>
      <c r="C4493" t="s">
        <v>862</v>
      </c>
      <c r="D4493" t="s">
        <v>2177</v>
      </c>
    </row>
    <row r="4494" spans="1:4" x14ac:dyDescent="0.3">
      <c r="A4494" t="s">
        <v>209</v>
      </c>
      <c r="B4494">
        <v>16.684019740441705</v>
      </c>
      <c r="C4494" t="s">
        <v>862</v>
      </c>
      <c r="D4494" t="s">
        <v>2177</v>
      </c>
    </row>
    <row r="4495" spans="1:4" x14ac:dyDescent="0.3">
      <c r="A4495" t="s">
        <v>446</v>
      </c>
      <c r="B4495">
        <v>4.0598063786682376E-2</v>
      </c>
      <c r="C4495" t="s">
        <v>862</v>
      </c>
      <c r="D4495" t="s">
        <v>2177</v>
      </c>
    </row>
    <row r="4496" spans="1:4" x14ac:dyDescent="0.3">
      <c r="A4496" t="s">
        <v>1632</v>
      </c>
      <c r="B4496" t="s">
        <v>361</v>
      </c>
      <c r="C4496" t="s">
        <v>862</v>
      </c>
      <c r="D4496" t="s">
        <v>2177</v>
      </c>
    </row>
    <row r="4497" spans="1:4" x14ac:dyDescent="0.3">
      <c r="A4497" t="s">
        <v>1626</v>
      </c>
      <c r="B4497" t="s">
        <v>361</v>
      </c>
      <c r="C4497" t="s">
        <v>862</v>
      </c>
      <c r="D4497" t="s">
        <v>2177</v>
      </c>
    </row>
    <row r="4498" spans="1:4" x14ac:dyDescent="0.3">
      <c r="A4498" t="s">
        <v>1627</v>
      </c>
      <c r="B4498" t="s">
        <v>361</v>
      </c>
      <c r="C4498" t="s">
        <v>862</v>
      </c>
      <c r="D4498" t="s">
        <v>2177</v>
      </c>
    </row>
    <row r="4499" spans="1:4" x14ac:dyDescent="0.3">
      <c r="A4499" t="s">
        <v>1625</v>
      </c>
      <c r="B4499" t="s">
        <v>361</v>
      </c>
      <c r="C4499" t="s">
        <v>862</v>
      </c>
      <c r="D4499" t="s">
        <v>2177</v>
      </c>
    </row>
    <row r="4500" spans="1:4" x14ac:dyDescent="0.3">
      <c r="A4500" t="s">
        <v>1623</v>
      </c>
      <c r="B4500" t="s">
        <v>361</v>
      </c>
      <c r="C4500" t="s">
        <v>862</v>
      </c>
      <c r="D4500" t="s">
        <v>2177</v>
      </c>
    </row>
    <row r="4501" spans="1:4" x14ac:dyDescent="0.3">
      <c r="A4501" t="s">
        <v>1633</v>
      </c>
      <c r="B4501">
        <v>16.724617804228387</v>
      </c>
      <c r="C4501" t="s">
        <v>862</v>
      </c>
      <c r="D4501" t="s">
        <v>2177</v>
      </c>
    </row>
    <row r="4502" spans="1:4" x14ac:dyDescent="0.3">
      <c r="A4502" t="s">
        <v>1628</v>
      </c>
      <c r="B4502">
        <v>17.123143345875953</v>
      </c>
      <c r="C4502" t="s">
        <v>862</v>
      </c>
      <c r="D4502" t="s">
        <v>2178</v>
      </c>
    </row>
    <row r="4503" spans="1:4" x14ac:dyDescent="0.3">
      <c r="A4503" t="s">
        <v>17</v>
      </c>
      <c r="B4503">
        <v>0</v>
      </c>
      <c r="C4503" t="s">
        <v>862</v>
      </c>
      <c r="D4503" t="s">
        <v>2178</v>
      </c>
    </row>
    <row r="4504" spans="1:4" x14ac:dyDescent="0.3">
      <c r="A4504" t="s">
        <v>209</v>
      </c>
      <c r="B4504">
        <v>17.082545282089271</v>
      </c>
      <c r="C4504" t="s">
        <v>862</v>
      </c>
      <c r="D4504" t="s">
        <v>2178</v>
      </c>
    </row>
    <row r="4505" spans="1:4" x14ac:dyDescent="0.3">
      <c r="A4505" t="s">
        <v>446</v>
      </c>
      <c r="B4505">
        <v>4.0598063786682376E-2</v>
      </c>
      <c r="C4505" t="s">
        <v>862</v>
      </c>
      <c r="D4505" t="s">
        <v>2178</v>
      </c>
    </row>
    <row r="4506" spans="1:4" x14ac:dyDescent="0.3">
      <c r="A4506" t="s">
        <v>1632</v>
      </c>
      <c r="B4506" t="s">
        <v>361</v>
      </c>
      <c r="C4506" t="s">
        <v>862</v>
      </c>
      <c r="D4506" t="s">
        <v>2178</v>
      </c>
    </row>
    <row r="4507" spans="1:4" x14ac:dyDescent="0.3">
      <c r="A4507" t="s">
        <v>1626</v>
      </c>
      <c r="B4507" t="s">
        <v>361</v>
      </c>
      <c r="C4507" t="s">
        <v>862</v>
      </c>
      <c r="D4507" t="s">
        <v>2178</v>
      </c>
    </row>
    <row r="4508" spans="1:4" x14ac:dyDescent="0.3">
      <c r="A4508" t="s">
        <v>1627</v>
      </c>
      <c r="B4508" t="s">
        <v>361</v>
      </c>
      <c r="C4508" t="s">
        <v>862</v>
      </c>
      <c r="D4508" t="s">
        <v>2178</v>
      </c>
    </row>
    <row r="4509" spans="1:4" x14ac:dyDescent="0.3">
      <c r="A4509" t="s">
        <v>1625</v>
      </c>
      <c r="B4509" t="s">
        <v>361</v>
      </c>
      <c r="C4509" t="s">
        <v>862</v>
      </c>
      <c r="D4509" t="s">
        <v>2178</v>
      </c>
    </row>
    <row r="4510" spans="1:4" x14ac:dyDescent="0.3">
      <c r="A4510" t="s">
        <v>1623</v>
      </c>
      <c r="B4510" t="s">
        <v>361</v>
      </c>
      <c r="C4510" t="s">
        <v>862</v>
      </c>
      <c r="D4510" t="s">
        <v>2178</v>
      </c>
    </row>
    <row r="4511" spans="1:4" x14ac:dyDescent="0.3">
      <c r="A4511" t="s">
        <v>1633</v>
      </c>
      <c r="B4511">
        <v>17.123143345875953</v>
      </c>
      <c r="C4511" t="s">
        <v>862</v>
      </c>
      <c r="D4511" t="s">
        <v>2178</v>
      </c>
    </row>
    <row r="4512" spans="1:4" x14ac:dyDescent="0.3">
      <c r="A4512" t="s">
        <v>1628</v>
      </c>
      <c r="B4512">
        <v>17.302217017290442</v>
      </c>
      <c r="C4512" t="s">
        <v>862</v>
      </c>
      <c r="D4512" t="s">
        <v>2179</v>
      </c>
    </row>
    <row r="4513" spans="1:4" x14ac:dyDescent="0.3">
      <c r="A4513" t="s">
        <v>17</v>
      </c>
      <c r="B4513">
        <v>0</v>
      </c>
      <c r="C4513" t="s">
        <v>862</v>
      </c>
      <c r="D4513" t="s">
        <v>2179</v>
      </c>
    </row>
    <row r="4514" spans="1:4" x14ac:dyDescent="0.3">
      <c r="A4514" t="s">
        <v>209</v>
      </c>
      <c r="B4514">
        <v>17.26161895350376</v>
      </c>
      <c r="C4514" t="s">
        <v>862</v>
      </c>
      <c r="D4514" t="s">
        <v>2179</v>
      </c>
    </row>
    <row r="4515" spans="1:4" x14ac:dyDescent="0.3">
      <c r="A4515" t="s">
        <v>446</v>
      </c>
      <c r="B4515">
        <v>4.0598063786682376E-2</v>
      </c>
      <c r="C4515" t="s">
        <v>862</v>
      </c>
      <c r="D4515" t="s">
        <v>2179</v>
      </c>
    </row>
    <row r="4516" spans="1:4" x14ac:dyDescent="0.3">
      <c r="A4516" t="s">
        <v>1632</v>
      </c>
      <c r="B4516" t="s">
        <v>361</v>
      </c>
      <c r="C4516" t="s">
        <v>862</v>
      </c>
      <c r="D4516" t="s">
        <v>2179</v>
      </c>
    </row>
    <row r="4517" spans="1:4" x14ac:dyDescent="0.3">
      <c r="A4517" t="s">
        <v>1626</v>
      </c>
      <c r="B4517" t="s">
        <v>361</v>
      </c>
      <c r="C4517" t="s">
        <v>862</v>
      </c>
      <c r="D4517" t="s">
        <v>2179</v>
      </c>
    </row>
    <row r="4518" spans="1:4" x14ac:dyDescent="0.3">
      <c r="A4518" t="s">
        <v>1627</v>
      </c>
      <c r="B4518" t="s">
        <v>361</v>
      </c>
      <c r="C4518" t="s">
        <v>862</v>
      </c>
      <c r="D4518" t="s">
        <v>2179</v>
      </c>
    </row>
    <row r="4519" spans="1:4" x14ac:dyDescent="0.3">
      <c r="A4519" t="s">
        <v>1625</v>
      </c>
      <c r="B4519" t="s">
        <v>361</v>
      </c>
      <c r="C4519" t="s">
        <v>862</v>
      </c>
      <c r="D4519" t="s">
        <v>2179</v>
      </c>
    </row>
    <row r="4520" spans="1:4" x14ac:dyDescent="0.3">
      <c r="A4520" t="s">
        <v>1623</v>
      </c>
      <c r="B4520" t="s">
        <v>361</v>
      </c>
      <c r="C4520" t="s">
        <v>862</v>
      </c>
      <c r="D4520" t="s">
        <v>2179</v>
      </c>
    </row>
    <row r="4521" spans="1:4" x14ac:dyDescent="0.3">
      <c r="A4521" t="s">
        <v>1633</v>
      </c>
      <c r="B4521">
        <v>17.302217017290442</v>
      </c>
      <c r="C4521" t="s">
        <v>862</v>
      </c>
      <c r="D4521" t="s">
        <v>2179</v>
      </c>
    </row>
    <row r="4522" spans="1:4" x14ac:dyDescent="0.3">
      <c r="A4522" t="s">
        <v>1628</v>
      </c>
      <c r="B4522">
        <v>16.263944866658889</v>
      </c>
      <c r="C4522" t="s">
        <v>862</v>
      </c>
      <c r="D4522" t="s">
        <v>2180</v>
      </c>
    </row>
    <row r="4523" spans="1:4" x14ac:dyDescent="0.3">
      <c r="A4523" t="s">
        <v>17</v>
      </c>
      <c r="B4523">
        <v>0</v>
      </c>
      <c r="C4523" t="s">
        <v>862</v>
      </c>
      <c r="D4523" t="s">
        <v>2180</v>
      </c>
    </row>
    <row r="4524" spans="1:4" x14ac:dyDescent="0.3">
      <c r="A4524" t="s">
        <v>209</v>
      </c>
      <c r="B4524">
        <v>16.223346802872207</v>
      </c>
      <c r="C4524" t="s">
        <v>862</v>
      </c>
      <c r="D4524" t="s">
        <v>2180</v>
      </c>
    </row>
    <row r="4525" spans="1:4" x14ac:dyDescent="0.3">
      <c r="A4525" t="s">
        <v>446</v>
      </c>
      <c r="B4525">
        <v>4.0598063786682376E-2</v>
      </c>
      <c r="C4525" t="s">
        <v>862</v>
      </c>
      <c r="D4525" t="s">
        <v>2180</v>
      </c>
    </row>
    <row r="4526" spans="1:4" x14ac:dyDescent="0.3">
      <c r="A4526" t="s">
        <v>1632</v>
      </c>
      <c r="B4526" t="s">
        <v>361</v>
      </c>
      <c r="C4526" t="s">
        <v>862</v>
      </c>
      <c r="D4526" t="s">
        <v>2180</v>
      </c>
    </row>
    <row r="4527" spans="1:4" x14ac:dyDescent="0.3">
      <c r="A4527" t="s">
        <v>1626</v>
      </c>
      <c r="B4527" t="s">
        <v>361</v>
      </c>
      <c r="C4527" t="s">
        <v>862</v>
      </c>
      <c r="D4527" t="s">
        <v>2180</v>
      </c>
    </row>
    <row r="4528" spans="1:4" x14ac:dyDescent="0.3">
      <c r="A4528" t="s">
        <v>1627</v>
      </c>
      <c r="B4528" t="s">
        <v>361</v>
      </c>
      <c r="C4528" t="s">
        <v>862</v>
      </c>
      <c r="D4528" t="s">
        <v>2180</v>
      </c>
    </row>
    <row r="4529" spans="1:4" x14ac:dyDescent="0.3">
      <c r="A4529" t="s">
        <v>1625</v>
      </c>
      <c r="B4529" t="s">
        <v>361</v>
      </c>
      <c r="C4529" t="s">
        <v>862</v>
      </c>
      <c r="D4529" t="s">
        <v>2180</v>
      </c>
    </row>
    <row r="4530" spans="1:4" x14ac:dyDescent="0.3">
      <c r="A4530" t="s">
        <v>1623</v>
      </c>
      <c r="B4530" t="s">
        <v>361</v>
      </c>
      <c r="C4530" t="s">
        <v>862</v>
      </c>
      <c r="D4530" t="s">
        <v>2180</v>
      </c>
    </row>
    <row r="4531" spans="1:4" x14ac:dyDescent="0.3">
      <c r="A4531" t="s">
        <v>1633</v>
      </c>
      <c r="B4531">
        <v>16.263944866658889</v>
      </c>
      <c r="C4531" t="s">
        <v>862</v>
      </c>
      <c r="D4531" t="s">
        <v>2180</v>
      </c>
    </row>
    <row r="4532" spans="1:4" x14ac:dyDescent="0.3">
      <c r="A4532" t="s">
        <v>1628</v>
      </c>
      <c r="B4532">
        <v>17.974803728808688</v>
      </c>
      <c r="C4532" t="s">
        <v>862</v>
      </c>
      <c r="D4532" t="s">
        <v>2181</v>
      </c>
    </row>
    <row r="4533" spans="1:4" x14ac:dyDescent="0.3">
      <c r="A4533" t="s">
        <v>17</v>
      </c>
      <c r="B4533">
        <v>0</v>
      </c>
      <c r="C4533" t="s">
        <v>862</v>
      </c>
      <c r="D4533" t="s">
        <v>2181</v>
      </c>
    </row>
    <row r="4534" spans="1:4" x14ac:dyDescent="0.3">
      <c r="A4534" t="s">
        <v>209</v>
      </c>
      <c r="B4534">
        <v>17.934205665022006</v>
      </c>
      <c r="C4534" t="s">
        <v>862</v>
      </c>
      <c r="D4534" t="s">
        <v>2181</v>
      </c>
    </row>
    <row r="4535" spans="1:4" x14ac:dyDescent="0.3">
      <c r="A4535" t="s">
        <v>446</v>
      </c>
      <c r="B4535">
        <v>4.0598063786682376E-2</v>
      </c>
      <c r="C4535" t="s">
        <v>862</v>
      </c>
      <c r="D4535" t="s">
        <v>2181</v>
      </c>
    </row>
    <row r="4536" spans="1:4" x14ac:dyDescent="0.3">
      <c r="A4536" t="s">
        <v>1632</v>
      </c>
      <c r="B4536" t="s">
        <v>361</v>
      </c>
      <c r="C4536" t="s">
        <v>862</v>
      </c>
      <c r="D4536" t="s">
        <v>2181</v>
      </c>
    </row>
    <row r="4537" spans="1:4" x14ac:dyDescent="0.3">
      <c r="A4537" t="s">
        <v>1626</v>
      </c>
      <c r="B4537" t="s">
        <v>361</v>
      </c>
      <c r="C4537" t="s">
        <v>862</v>
      </c>
      <c r="D4537" t="s">
        <v>2181</v>
      </c>
    </row>
    <row r="4538" spans="1:4" x14ac:dyDescent="0.3">
      <c r="A4538" t="s">
        <v>1627</v>
      </c>
      <c r="B4538" t="s">
        <v>361</v>
      </c>
      <c r="C4538" t="s">
        <v>862</v>
      </c>
      <c r="D4538" t="s">
        <v>2181</v>
      </c>
    </row>
    <row r="4539" spans="1:4" x14ac:dyDescent="0.3">
      <c r="A4539" t="s">
        <v>1625</v>
      </c>
      <c r="B4539" t="s">
        <v>361</v>
      </c>
      <c r="C4539" t="s">
        <v>862</v>
      </c>
      <c r="D4539" t="s">
        <v>2181</v>
      </c>
    </row>
    <row r="4540" spans="1:4" x14ac:dyDescent="0.3">
      <c r="A4540" t="s">
        <v>1623</v>
      </c>
      <c r="B4540" t="s">
        <v>361</v>
      </c>
      <c r="C4540" t="s">
        <v>862</v>
      </c>
      <c r="D4540" t="s">
        <v>2181</v>
      </c>
    </row>
    <row r="4541" spans="1:4" x14ac:dyDescent="0.3">
      <c r="A4541" t="s">
        <v>1633</v>
      </c>
      <c r="B4541">
        <v>17.974803728808688</v>
      </c>
      <c r="C4541" t="s">
        <v>862</v>
      </c>
      <c r="D4541" t="s">
        <v>2181</v>
      </c>
    </row>
    <row r="4542" spans="1:4" x14ac:dyDescent="0.3">
      <c r="A4542" t="s">
        <v>1628</v>
      </c>
      <c r="B4542">
        <v>16.861885578227252</v>
      </c>
      <c r="C4542" t="s">
        <v>862</v>
      </c>
      <c r="D4542" t="s">
        <v>2182</v>
      </c>
    </row>
    <row r="4543" spans="1:4" x14ac:dyDescent="0.3">
      <c r="A4543" t="s">
        <v>17</v>
      </c>
      <c r="B4543">
        <v>0</v>
      </c>
      <c r="C4543" t="s">
        <v>862</v>
      </c>
      <c r="D4543" t="s">
        <v>2182</v>
      </c>
    </row>
    <row r="4544" spans="1:4" x14ac:dyDescent="0.3">
      <c r="A4544" t="s">
        <v>209</v>
      </c>
      <c r="B4544">
        <v>16.82128751444057</v>
      </c>
      <c r="C4544" t="s">
        <v>862</v>
      </c>
      <c r="D4544" t="s">
        <v>2182</v>
      </c>
    </row>
    <row r="4545" spans="1:4" x14ac:dyDescent="0.3">
      <c r="A4545" t="s">
        <v>446</v>
      </c>
      <c r="B4545">
        <v>4.0598063786682376E-2</v>
      </c>
      <c r="C4545" t="s">
        <v>862</v>
      </c>
      <c r="D4545" t="s">
        <v>2182</v>
      </c>
    </row>
    <row r="4546" spans="1:4" x14ac:dyDescent="0.3">
      <c r="A4546" t="s">
        <v>1632</v>
      </c>
      <c r="B4546" t="s">
        <v>361</v>
      </c>
      <c r="C4546" t="s">
        <v>862</v>
      </c>
      <c r="D4546" t="s">
        <v>2182</v>
      </c>
    </row>
    <row r="4547" spans="1:4" x14ac:dyDescent="0.3">
      <c r="A4547" t="s">
        <v>1626</v>
      </c>
      <c r="B4547" t="s">
        <v>361</v>
      </c>
      <c r="C4547" t="s">
        <v>862</v>
      </c>
      <c r="D4547" t="s">
        <v>2182</v>
      </c>
    </row>
    <row r="4548" spans="1:4" x14ac:dyDescent="0.3">
      <c r="A4548" t="s">
        <v>1627</v>
      </c>
      <c r="B4548" t="s">
        <v>361</v>
      </c>
      <c r="C4548" t="s">
        <v>862</v>
      </c>
      <c r="D4548" t="s">
        <v>2182</v>
      </c>
    </row>
    <row r="4549" spans="1:4" x14ac:dyDescent="0.3">
      <c r="A4549" t="s">
        <v>1625</v>
      </c>
      <c r="B4549" t="s">
        <v>361</v>
      </c>
      <c r="C4549" t="s">
        <v>862</v>
      </c>
      <c r="D4549" t="s">
        <v>2182</v>
      </c>
    </row>
    <row r="4550" spans="1:4" x14ac:dyDescent="0.3">
      <c r="A4550" t="s">
        <v>1623</v>
      </c>
      <c r="B4550" t="s">
        <v>361</v>
      </c>
      <c r="C4550" t="s">
        <v>862</v>
      </c>
      <c r="D4550" t="s">
        <v>2182</v>
      </c>
    </row>
    <row r="4551" spans="1:4" x14ac:dyDescent="0.3">
      <c r="A4551" t="s">
        <v>1633</v>
      </c>
      <c r="B4551">
        <v>16.861885578227252</v>
      </c>
      <c r="C4551" t="s">
        <v>862</v>
      </c>
      <c r="D4551" t="s">
        <v>2182</v>
      </c>
    </row>
    <row r="4552" spans="1:4" x14ac:dyDescent="0.3">
      <c r="A4552" t="s">
        <v>1628</v>
      </c>
      <c r="B4552">
        <v>17.469701945192497</v>
      </c>
      <c r="C4552" t="s">
        <v>862</v>
      </c>
      <c r="D4552" t="s">
        <v>2183</v>
      </c>
    </row>
    <row r="4553" spans="1:4" x14ac:dyDescent="0.3">
      <c r="A4553" t="s">
        <v>17</v>
      </c>
      <c r="B4553">
        <v>0</v>
      </c>
      <c r="C4553" t="s">
        <v>862</v>
      </c>
      <c r="D4553" t="s">
        <v>2183</v>
      </c>
    </row>
    <row r="4554" spans="1:4" x14ac:dyDescent="0.3">
      <c r="A4554" t="s">
        <v>209</v>
      </c>
      <c r="B4554">
        <v>17.429103881405815</v>
      </c>
      <c r="C4554" t="s">
        <v>862</v>
      </c>
      <c r="D4554" t="s">
        <v>2183</v>
      </c>
    </row>
    <row r="4555" spans="1:4" x14ac:dyDescent="0.3">
      <c r="A4555" t="s">
        <v>446</v>
      </c>
      <c r="B4555">
        <v>4.0598063786682376E-2</v>
      </c>
      <c r="C4555" t="s">
        <v>862</v>
      </c>
      <c r="D4555" t="s">
        <v>2183</v>
      </c>
    </row>
    <row r="4556" spans="1:4" x14ac:dyDescent="0.3">
      <c r="A4556" t="s">
        <v>1632</v>
      </c>
      <c r="B4556" t="s">
        <v>361</v>
      </c>
      <c r="C4556" t="s">
        <v>862</v>
      </c>
      <c r="D4556" t="s">
        <v>2183</v>
      </c>
    </row>
    <row r="4557" spans="1:4" x14ac:dyDescent="0.3">
      <c r="A4557" t="s">
        <v>1626</v>
      </c>
      <c r="B4557" t="s">
        <v>361</v>
      </c>
      <c r="C4557" t="s">
        <v>862</v>
      </c>
      <c r="D4557" t="s">
        <v>2183</v>
      </c>
    </row>
    <row r="4558" spans="1:4" x14ac:dyDescent="0.3">
      <c r="A4558" t="s">
        <v>1627</v>
      </c>
      <c r="B4558" t="s">
        <v>361</v>
      </c>
      <c r="C4558" t="s">
        <v>862</v>
      </c>
      <c r="D4558" t="s">
        <v>2183</v>
      </c>
    </row>
    <row r="4559" spans="1:4" x14ac:dyDescent="0.3">
      <c r="A4559" t="s">
        <v>1625</v>
      </c>
      <c r="B4559" t="s">
        <v>361</v>
      </c>
      <c r="C4559" t="s">
        <v>862</v>
      </c>
      <c r="D4559" t="s">
        <v>2183</v>
      </c>
    </row>
    <row r="4560" spans="1:4" x14ac:dyDescent="0.3">
      <c r="A4560" t="s">
        <v>1623</v>
      </c>
      <c r="B4560" t="s">
        <v>361</v>
      </c>
      <c r="C4560" t="s">
        <v>862</v>
      </c>
      <c r="D4560" t="s">
        <v>2183</v>
      </c>
    </row>
    <row r="4561" spans="1:4" x14ac:dyDescent="0.3">
      <c r="A4561" t="s">
        <v>1633</v>
      </c>
      <c r="B4561">
        <v>17.469701945192497</v>
      </c>
      <c r="C4561" t="s">
        <v>862</v>
      </c>
      <c r="D4561" t="s">
        <v>2183</v>
      </c>
    </row>
    <row r="4562" spans="1:4" x14ac:dyDescent="0.3">
      <c r="A4562" t="s">
        <v>1628</v>
      </c>
      <c r="B4562">
        <v>17.286213395493945</v>
      </c>
      <c r="C4562" t="s">
        <v>862</v>
      </c>
      <c r="D4562" t="s">
        <v>2184</v>
      </c>
    </row>
    <row r="4563" spans="1:4" x14ac:dyDescent="0.3">
      <c r="A4563" t="s">
        <v>17</v>
      </c>
      <c r="B4563">
        <v>0</v>
      </c>
      <c r="C4563" t="s">
        <v>862</v>
      </c>
      <c r="D4563" t="s">
        <v>2184</v>
      </c>
    </row>
    <row r="4564" spans="1:4" x14ac:dyDescent="0.3">
      <c r="A4564" t="s">
        <v>209</v>
      </c>
      <c r="B4564">
        <v>17.245615331707263</v>
      </c>
      <c r="C4564" t="s">
        <v>862</v>
      </c>
      <c r="D4564" t="s">
        <v>2184</v>
      </c>
    </row>
    <row r="4565" spans="1:4" x14ac:dyDescent="0.3">
      <c r="A4565" t="s">
        <v>446</v>
      </c>
      <c r="B4565">
        <v>4.0598063786682376E-2</v>
      </c>
      <c r="C4565" t="s">
        <v>862</v>
      </c>
      <c r="D4565" t="s">
        <v>2184</v>
      </c>
    </row>
    <row r="4566" spans="1:4" x14ac:dyDescent="0.3">
      <c r="A4566" t="s">
        <v>1632</v>
      </c>
      <c r="B4566" t="s">
        <v>361</v>
      </c>
      <c r="C4566" t="s">
        <v>862</v>
      </c>
      <c r="D4566" t="s">
        <v>2184</v>
      </c>
    </row>
    <row r="4567" spans="1:4" x14ac:dyDescent="0.3">
      <c r="A4567" t="s">
        <v>1626</v>
      </c>
      <c r="B4567" t="s">
        <v>361</v>
      </c>
      <c r="C4567" t="s">
        <v>862</v>
      </c>
      <c r="D4567" t="s">
        <v>2184</v>
      </c>
    </row>
    <row r="4568" spans="1:4" x14ac:dyDescent="0.3">
      <c r="A4568" t="s">
        <v>1627</v>
      </c>
      <c r="B4568" t="s">
        <v>361</v>
      </c>
      <c r="C4568" t="s">
        <v>862</v>
      </c>
      <c r="D4568" t="s">
        <v>2184</v>
      </c>
    </row>
    <row r="4569" spans="1:4" x14ac:dyDescent="0.3">
      <c r="A4569" t="s">
        <v>1625</v>
      </c>
      <c r="B4569" t="s">
        <v>361</v>
      </c>
      <c r="C4569" t="s">
        <v>862</v>
      </c>
      <c r="D4569" t="s">
        <v>2184</v>
      </c>
    </row>
    <row r="4570" spans="1:4" x14ac:dyDescent="0.3">
      <c r="A4570" t="s">
        <v>1623</v>
      </c>
      <c r="B4570" t="s">
        <v>361</v>
      </c>
      <c r="C4570" t="s">
        <v>862</v>
      </c>
      <c r="D4570" t="s">
        <v>2184</v>
      </c>
    </row>
    <row r="4571" spans="1:4" x14ac:dyDescent="0.3">
      <c r="A4571" t="s">
        <v>1633</v>
      </c>
      <c r="B4571">
        <v>17.286213395493945</v>
      </c>
      <c r="C4571" t="s">
        <v>862</v>
      </c>
      <c r="D4571" t="s">
        <v>2184</v>
      </c>
    </row>
    <row r="4572" spans="1:4" x14ac:dyDescent="0.3">
      <c r="A4572" t="s">
        <v>1628</v>
      </c>
      <c r="B4572">
        <v>17.308625575804051</v>
      </c>
      <c r="C4572" t="s">
        <v>862</v>
      </c>
      <c r="D4572" t="s">
        <v>2185</v>
      </c>
    </row>
    <row r="4573" spans="1:4" x14ac:dyDescent="0.3">
      <c r="A4573" t="s">
        <v>17</v>
      </c>
      <c r="B4573">
        <v>0</v>
      </c>
      <c r="C4573" t="s">
        <v>862</v>
      </c>
      <c r="D4573" t="s">
        <v>2185</v>
      </c>
    </row>
    <row r="4574" spans="1:4" x14ac:dyDescent="0.3">
      <c r="A4574" t="s">
        <v>209</v>
      </c>
      <c r="B4574">
        <v>17.268027512017369</v>
      </c>
      <c r="C4574" t="s">
        <v>862</v>
      </c>
      <c r="D4574" t="s">
        <v>2185</v>
      </c>
    </row>
    <row r="4575" spans="1:4" x14ac:dyDescent="0.3">
      <c r="A4575" t="s">
        <v>446</v>
      </c>
      <c r="B4575">
        <v>4.0598063786682376E-2</v>
      </c>
      <c r="C4575" t="s">
        <v>862</v>
      </c>
      <c r="D4575" t="s">
        <v>2185</v>
      </c>
    </row>
    <row r="4576" spans="1:4" x14ac:dyDescent="0.3">
      <c r="A4576" t="s">
        <v>1632</v>
      </c>
      <c r="B4576" t="s">
        <v>361</v>
      </c>
      <c r="C4576" t="s">
        <v>862</v>
      </c>
      <c r="D4576" t="s">
        <v>2185</v>
      </c>
    </row>
    <row r="4577" spans="1:4" x14ac:dyDescent="0.3">
      <c r="A4577" t="s">
        <v>1626</v>
      </c>
      <c r="B4577" t="s">
        <v>361</v>
      </c>
      <c r="C4577" t="s">
        <v>862</v>
      </c>
      <c r="D4577" t="s">
        <v>2185</v>
      </c>
    </row>
    <row r="4578" spans="1:4" x14ac:dyDescent="0.3">
      <c r="A4578" t="s">
        <v>1627</v>
      </c>
      <c r="B4578" t="s">
        <v>361</v>
      </c>
      <c r="C4578" t="s">
        <v>862</v>
      </c>
      <c r="D4578" t="s">
        <v>2185</v>
      </c>
    </row>
    <row r="4579" spans="1:4" x14ac:dyDescent="0.3">
      <c r="A4579" t="s">
        <v>1625</v>
      </c>
      <c r="B4579" t="s">
        <v>361</v>
      </c>
      <c r="C4579" t="s">
        <v>862</v>
      </c>
      <c r="D4579" t="s">
        <v>2185</v>
      </c>
    </row>
    <row r="4580" spans="1:4" x14ac:dyDescent="0.3">
      <c r="A4580" t="s">
        <v>1623</v>
      </c>
      <c r="B4580" t="s">
        <v>361</v>
      </c>
      <c r="C4580" t="s">
        <v>862</v>
      </c>
      <c r="D4580" t="s">
        <v>2185</v>
      </c>
    </row>
    <row r="4581" spans="1:4" x14ac:dyDescent="0.3">
      <c r="A4581" t="s">
        <v>1633</v>
      </c>
      <c r="B4581">
        <v>17.308625575804051</v>
      </c>
      <c r="C4581" t="s">
        <v>862</v>
      </c>
      <c r="D4581" t="s">
        <v>2185</v>
      </c>
    </row>
    <row r="4582" spans="1:4" x14ac:dyDescent="0.3">
      <c r="A4582" t="s">
        <v>1628</v>
      </c>
      <c r="B4582">
        <v>17.162587899074087</v>
      </c>
      <c r="C4582" t="s">
        <v>862</v>
      </c>
      <c r="D4582" t="s">
        <v>2186</v>
      </c>
    </row>
    <row r="4583" spans="1:4" x14ac:dyDescent="0.3">
      <c r="A4583" t="s">
        <v>17</v>
      </c>
      <c r="B4583">
        <v>0</v>
      </c>
      <c r="C4583" t="s">
        <v>862</v>
      </c>
      <c r="D4583" t="s">
        <v>2186</v>
      </c>
    </row>
    <row r="4584" spans="1:4" x14ac:dyDescent="0.3">
      <c r="A4584" t="s">
        <v>209</v>
      </c>
      <c r="B4584">
        <v>17.121989835287405</v>
      </c>
      <c r="C4584" t="s">
        <v>862</v>
      </c>
      <c r="D4584" t="s">
        <v>2186</v>
      </c>
    </row>
    <row r="4585" spans="1:4" x14ac:dyDescent="0.3">
      <c r="A4585" t="s">
        <v>446</v>
      </c>
      <c r="B4585">
        <v>4.0598063786682376E-2</v>
      </c>
      <c r="C4585" t="s">
        <v>862</v>
      </c>
      <c r="D4585" t="s">
        <v>2186</v>
      </c>
    </row>
    <row r="4586" spans="1:4" x14ac:dyDescent="0.3">
      <c r="A4586" t="s">
        <v>1632</v>
      </c>
      <c r="B4586" t="s">
        <v>361</v>
      </c>
      <c r="C4586" t="s">
        <v>862</v>
      </c>
      <c r="D4586" t="s">
        <v>2186</v>
      </c>
    </row>
    <row r="4587" spans="1:4" x14ac:dyDescent="0.3">
      <c r="A4587" t="s">
        <v>1626</v>
      </c>
      <c r="B4587" t="s">
        <v>361</v>
      </c>
      <c r="C4587" t="s">
        <v>862</v>
      </c>
      <c r="D4587" t="s">
        <v>2186</v>
      </c>
    </row>
    <row r="4588" spans="1:4" x14ac:dyDescent="0.3">
      <c r="A4588" t="s">
        <v>1627</v>
      </c>
      <c r="B4588" t="s">
        <v>361</v>
      </c>
      <c r="C4588" t="s">
        <v>862</v>
      </c>
      <c r="D4588" t="s">
        <v>2186</v>
      </c>
    </row>
    <row r="4589" spans="1:4" x14ac:dyDescent="0.3">
      <c r="A4589" t="s">
        <v>1625</v>
      </c>
      <c r="B4589" t="s">
        <v>361</v>
      </c>
      <c r="C4589" t="s">
        <v>862</v>
      </c>
      <c r="D4589" t="s">
        <v>2186</v>
      </c>
    </row>
    <row r="4590" spans="1:4" x14ac:dyDescent="0.3">
      <c r="A4590" t="s">
        <v>1623</v>
      </c>
      <c r="B4590" t="s">
        <v>361</v>
      </c>
      <c r="C4590" t="s">
        <v>862</v>
      </c>
      <c r="D4590" t="s">
        <v>2186</v>
      </c>
    </row>
    <row r="4591" spans="1:4" x14ac:dyDescent="0.3">
      <c r="A4591" t="s">
        <v>1633</v>
      </c>
      <c r="B4591">
        <v>17.162587899074087</v>
      </c>
      <c r="C4591" t="s">
        <v>862</v>
      </c>
      <c r="D4591" t="s">
        <v>2186</v>
      </c>
    </row>
    <row r="4592" spans="1:4" x14ac:dyDescent="0.3">
      <c r="A4592" t="s">
        <v>1628</v>
      </c>
      <c r="B4592">
        <v>17.178757562392885</v>
      </c>
      <c r="C4592" t="s">
        <v>862</v>
      </c>
      <c r="D4592" t="s">
        <v>2187</v>
      </c>
    </row>
    <row r="4593" spans="1:4" x14ac:dyDescent="0.3">
      <c r="A4593" t="s">
        <v>17</v>
      </c>
      <c r="B4593">
        <v>0</v>
      </c>
      <c r="C4593" t="s">
        <v>862</v>
      </c>
      <c r="D4593" t="s">
        <v>2187</v>
      </c>
    </row>
    <row r="4594" spans="1:4" x14ac:dyDescent="0.3">
      <c r="A4594" t="s">
        <v>209</v>
      </c>
      <c r="B4594">
        <v>17.138159498606203</v>
      </c>
      <c r="C4594" t="s">
        <v>862</v>
      </c>
      <c r="D4594" t="s">
        <v>2187</v>
      </c>
    </row>
    <row r="4595" spans="1:4" x14ac:dyDescent="0.3">
      <c r="A4595" t="s">
        <v>446</v>
      </c>
      <c r="B4595">
        <v>4.0598063786682376E-2</v>
      </c>
      <c r="C4595" t="s">
        <v>862</v>
      </c>
      <c r="D4595" t="s">
        <v>2187</v>
      </c>
    </row>
    <row r="4596" spans="1:4" x14ac:dyDescent="0.3">
      <c r="A4596" t="s">
        <v>1632</v>
      </c>
      <c r="B4596" t="s">
        <v>361</v>
      </c>
      <c r="C4596" t="s">
        <v>862</v>
      </c>
      <c r="D4596" t="s">
        <v>2187</v>
      </c>
    </row>
    <row r="4597" spans="1:4" x14ac:dyDescent="0.3">
      <c r="A4597" t="s">
        <v>1626</v>
      </c>
      <c r="B4597" t="s">
        <v>361</v>
      </c>
      <c r="C4597" t="s">
        <v>862</v>
      </c>
      <c r="D4597" t="s">
        <v>2187</v>
      </c>
    </row>
    <row r="4598" spans="1:4" x14ac:dyDescent="0.3">
      <c r="A4598" t="s">
        <v>1627</v>
      </c>
      <c r="B4598" t="s">
        <v>361</v>
      </c>
      <c r="C4598" t="s">
        <v>862</v>
      </c>
      <c r="D4598" t="s">
        <v>2187</v>
      </c>
    </row>
    <row r="4599" spans="1:4" x14ac:dyDescent="0.3">
      <c r="A4599" t="s">
        <v>1625</v>
      </c>
      <c r="B4599" t="s">
        <v>361</v>
      </c>
      <c r="C4599" t="s">
        <v>862</v>
      </c>
      <c r="D4599" t="s">
        <v>2187</v>
      </c>
    </row>
    <row r="4600" spans="1:4" x14ac:dyDescent="0.3">
      <c r="A4600" t="s">
        <v>1623</v>
      </c>
      <c r="B4600" t="s">
        <v>361</v>
      </c>
      <c r="C4600" t="s">
        <v>862</v>
      </c>
      <c r="D4600" t="s">
        <v>2187</v>
      </c>
    </row>
    <row r="4601" spans="1:4" x14ac:dyDescent="0.3">
      <c r="A4601" t="s">
        <v>1633</v>
      </c>
      <c r="B4601">
        <v>17.178757562392885</v>
      </c>
      <c r="C4601" t="s">
        <v>862</v>
      </c>
      <c r="D4601" t="s">
        <v>2187</v>
      </c>
    </row>
    <row r="4602" spans="1:4" x14ac:dyDescent="0.3">
      <c r="A4602" t="s">
        <v>1628</v>
      </c>
      <c r="B4602">
        <v>17.053099898048057</v>
      </c>
      <c r="C4602" t="s">
        <v>862</v>
      </c>
      <c r="D4602" t="s">
        <v>2188</v>
      </c>
    </row>
    <row r="4603" spans="1:4" x14ac:dyDescent="0.3">
      <c r="A4603" t="s">
        <v>17</v>
      </c>
      <c r="B4603">
        <v>0</v>
      </c>
      <c r="C4603" t="s">
        <v>862</v>
      </c>
      <c r="D4603" t="s">
        <v>2188</v>
      </c>
    </row>
    <row r="4604" spans="1:4" x14ac:dyDescent="0.3">
      <c r="A4604" t="s">
        <v>209</v>
      </c>
      <c r="B4604">
        <v>17.012501834261375</v>
      </c>
      <c r="C4604" t="s">
        <v>862</v>
      </c>
      <c r="D4604" t="s">
        <v>2188</v>
      </c>
    </row>
    <row r="4605" spans="1:4" x14ac:dyDescent="0.3">
      <c r="A4605" t="s">
        <v>446</v>
      </c>
      <c r="B4605">
        <v>4.0598063786682376E-2</v>
      </c>
      <c r="C4605" t="s">
        <v>862</v>
      </c>
      <c r="D4605" t="s">
        <v>2188</v>
      </c>
    </row>
    <row r="4606" spans="1:4" x14ac:dyDescent="0.3">
      <c r="A4606" t="s">
        <v>1632</v>
      </c>
      <c r="B4606" t="s">
        <v>361</v>
      </c>
      <c r="C4606" t="s">
        <v>862</v>
      </c>
      <c r="D4606" t="s">
        <v>2188</v>
      </c>
    </row>
    <row r="4607" spans="1:4" x14ac:dyDescent="0.3">
      <c r="A4607" t="s">
        <v>1626</v>
      </c>
      <c r="B4607" t="s">
        <v>361</v>
      </c>
      <c r="C4607" t="s">
        <v>862</v>
      </c>
      <c r="D4607" t="s">
        <v>2188</v>
      </c>
    </row>
    <row r="4608" spans="1:4" x14ac:dyDescent="0.3">
      <c r="A4608" t="s">
        <v>1627</v>
      </c>
      <c r="B4608" t="s">
        <v>361</v>
      </c>
      <c r="C4608" t="s">
        <v>862</v>
      </c>
      <c r="D4608" t="s">
        <v>2188</v>
      </c>
    </row>
    <row r="4609" spans="1:4" x14ac:dyDescent="0.3">
      <c r="A4609" t="s">
        <v>1625</v>
      </c>
      <c r="B4609" t="s">
        <v>361</v>
      </c>
      <c r="C4609" t="s">
        <v>862</v>
      </c>
      <c r="D4609" t="s">
        <v>2188</v>
      </c>
    </row>
    <row r="4610" spans="1:4" x14ac:dyDescent="0.3">
      <c r="A4610" t="s">
        <v>1623</v>
      </c>
      <c r="B4610" t="s">
        <v>361</v>
      </c>
      <c r="C4610" t="s">
        <v>862</v>
      </c>
      <c r="D4610" t="s">
        <v>2188</v>
      </c>
    </row>
    <row r="4611" spans="1:4" x14ac:dyDescent="0.3">
      <c r="A4611" t="s">
        <v>1633</v>
      </c>
      <c r="B4611">
        <v>17.053099898048057</v>
      </c>
      <c r="C4611" t="s">
        <v>862</v>
      </c>
      <c r="D4611" t="s">
        <v>2188</v>
      </c>
    </row>
    <row r="4612" spans="1:4" x14ac:dyDescent="0.3">
      <c r="A4612" t="s">
        <v>1628</v>
      </c>
      <c r="B4612">
        <v>17.916447371357727</v>
      </c>
      <c r="C4612" t="s">
        <v>862</v>
      </c>
      <c r="D4612" t="s">
        <v>2189</v>
      </c>
    </row>
    <row r="4613" spans="1:4" x14ac:dyDescent="0.3">
      <c r="A4613" t="s">
        <v>17</v>
      </c>
      <c r="B4613">
        <v>0</v>
      </c>
      <c r="C4613" t="s">
        <v>862</v>
      </c>
      <c r="D4613" t="s">
        <v>2189</v>
      </c>
    </row>
    <row r="4614" spans="1:4" x14ac:dyDescent="0.3">
      <c r="A4614" t="s">
        <v>209</v>
      </c>
      <c r="B4614">
        <v>17.875849307571045</v>
      </c>
      <c r="C4614" t="s">
        <v>862</v>
      </c>
      <c r="D4614" t="s">
        <v>2189</v>
      </c>
    </row>
    <row r="4615" spans="1:4" x14ac:dyDescent="0.3">
      <c r="A4615" t="s">
        <v>446</v>
      </c>
      <c r="B4615">
        <v>4.0598063786682376E-2</v>
      </c>
      <c r="C4615" t="s">
        <v>862</v>
      </c>
      <c r="D4615" t="s">
        <v>2189</v>
      </c>
    </row>
    <row r="4616" spans="1:4" x14ac:dyDescent="0.3">
      <c r="A4616" t="s">
        <v>1632</v>
      </c>
      <c r="B4616" t="s">
        <v>361</v>
      </c>
      <c r="C4616" t="s">
        <v>862</v>
      </c>
      <c r="D4616" t="s">
        <v>2189</v>
      </c>
    </row>
    <row r="4617" spans="1:4" x14ac:dyDescent="0.3">
      <c r="A4617" t="s">
        <v>1626</v>
      </c>
      <c r="B4617" t="s">
        <v>361</v>
      </c>
      <c r="C4617" t="s">
        <v>862</v>
      </c>
      <c r="D4617" t="s">
        <v>2189</v>
      </c>
    </row>
    <row r="4618" spans="1:4" x14ac:dyDescent="0.3">
      <c r="A4618" t="s">
        <v>1627</v>
      </c>
      <c r="B4618" t="s">
        <v>361</v>
      </c>
      <c r="C4618" t="s">
        <v>862</v>
      </c>
      <c r="D4618" t="s">
        <v>2189</v>
      </c>
    </row>
    <row r="4619" spans="1:4" x14ac:dyDescent="0.3">
      <c r="A4619" t="s">
        <v>1625</v>
      </c>
      <c r="B4619" t="s">
        <v>361</v>
      </c>
      <c r="C4619" t="s">
        <v>862</v>
      </c>
      <c r="D4619" t="s">
        <v>2189</v>
      </c>
    </row>
    <row r="4620" spans="1:4" x14ac:dyDescent="0.3">
      <c r="A4620" t="s">
        <v>1623</v>
      </c>
      <c r="B4620" t="s">
        <v>361</v>
      </c>
      <c r="C4620" t="s">
        <v>862</v>
      </c>
      <c r="D4620" t="s">
        <v>2189</v>
      </c>
    </row>
    <row r="4621" spans="1:4" x14ac:dyDescent="0.3">
      <c r="A4621" t="s">
        <v>1633</v>
      </c>
      <c r="B4621">
        <v>17.916447371357727</v>
      </c>
      <c r="C4621" t="s">
        <v>862</v>
      </c>
      <c r="D4621" t="s">
        <v>2189</v>
      </c>
    </row>
    <row r="4622" spans="1:4" x14ac:dyDescent="0.3">
      <c r="A4622" t="s">
        <v>1628</v>
      </c>
      <c r="B4622">
        <v>17.128439164997314</v>
      </c>
      <c r="C4622" t="s">
        <v>862</v>
      </c>
      <c r="D4622" t="s">
        <v>2190</v>
      </c>
    </row>
    <row r="4623" spans="1:4" x14ac:dyDescent="0.3">
      <c r="A4623" t="s">
        <v>17</v>
      </c>
      <c r="B4623">
        <v>0</v>
      </c>
      <c r="C4623" t="s">
        <v>862</v>
      </c>
      <c r="D4623" t="s">
        <v>2190</v>
      </c>
    </row>
    <row r="4624" spans="1:4" x14ac:dyDescent="0.3">
      <c r="A4624" t="s">
        <v>209</v>
      </c>
      <c r="B4624">
        <v>17.087841101210632</v>
      </c>
      <c r="C4624" t="s">
        <v>862</v>
      </c>
      <c r="D4624" t="s">
        <v>2190</v>
      </c>
    </row>
    <row r="4625" spans="1:4" x14ac:dyDescent="0.3">
      <c r="A4625" t="s">
        <v>446</v>
      </c>
      <c r="B4625">
        <v>4.0598063786682376E-2</v>
      </c>
      <c r="C4625" t="s">
        <v>862</v>
      </c>
      <c r="D4625" t="s">
        <v>2190</v>
      </c>
    </row>
    <row r="4626" spans="1:4" x14ac:dyDescent="0.3">
      <c r="A4626" t="s">
        <v>1632</v>
      </c>
      <c r="B4626" t="s">
        <v>361</v>
      </c>
      <c r="C4626" t="s">
        <v>862</v>
      </c>
      <c r="D4626" t="s">
        <v>2190</v>
      </c>
    </row>
    <row r="4627" spans="1:4" x14ac:dyDescent="0.3">
      <c r="A4627" t="s">
        <v>1626</v>
      </c>
      <c r="B4627" t="s">
        <v>361</v>
      </c>
      <c r="C4627" t="s">
        <v>862</v>
      </c>
      <c r="D4627" t="s">
        <v>2190</v>
      </c>
    </row>
    <row r="4628" spans="1:4" x14ac:dyDescent="0.3">
      <c r="A4628" t="s">
        <v>1627</v>
      </c>
      <c r="B4628" t="s">
        <v>361</v>
      </c>
      <c r="C4628" t="s">
        <v>862</v>
      </c>
      <c r="D4628" t="s">
        <v>2190</v>
      </c>
    </row>
    <row r="4629" spans="1:4" x14ac:dyDescent="0.3">
      <c r="A4629" t="s">
        <v>1625</v>
      </c>
      <c r="B4629" t="s">
        <v>361</v>
      </c>
      <c r="C4629" t="s">
        <v>862</v>
      </c>
      <c r="D4629" t="s">
        <v>2190</v>
      </c>
    </row>
    <row r="4630" spans="1:4" x14ac:dyDescent="0.3">
      <c r="A4630" t="s">
        <v>1623</v>
      </c>
      <c r="B4630" t="s">
        <v>361</v>
      </c>
      <c r="C4630" t="s">
        <v>862</v>
      </c>
      <c r="D4630" t="s">
        <v>2190</v>
      </c>
    </row>
    <row r="4631" spans="1:4" x14ac:dyDescent="0.3">
      <c r="A4631" t="s">
        <v>1633</v>
      </c>
      <c r="B4631">
        <v>17.128439164997314</v>
      </c>
      <c r="C4631" t="s">
        <v>862</v>
      </c>
      <c r="D4631" t="s">
        <v>2190</v>
      </c>
    </row>
    <row r="4632" spans="1:4" x14ac:dyDescent="0.3">
      <c r="A4632" t="s">
        <v>1628</v>
      </c>
      <c r="B4632">
        <v>17.130467172225757</v>
      </c>
      <c r="C4632" t="s">
        <v>862</v>
      </c>
      <c r="D4632" t="s">
        <v>2191</v>
      </c>
    </row>
    <row r="4633" spans="1:4" x14ac:dyDescent="0.3">
      <c r="A4633" t="s">
        <v>17</v>
      </c>
      <c r="B4633">
        <v>0</v>
      </c>
      <c r="C4633" t="s">
        <v>862</v>
      </c>
      <c r="D4633" t="s">
        <v>2191</v>
      </c>
    </row>
    <row r="4634" spans="1:4" x14ac:dyDescent="0.3">
      <c r="A4634" t="s">
        <v>209</v>
      </c>
      <c r="B4634">
        <v>17.089869108439075</v>
      </c>
      <c r="C4634" t="s">
        <v>862</v>
      </c>
      <c r="D4634" t="s">
        <v>2191</v>
      </c>
    </row>
    <row r="4635" spans="1:4" x14ac:dyDescent="0.3">
      <c r="A4635" t="s">
        <v>446</v>
      </c>
      <c r="B4635">
        <v>4.0598063786682376E-2</v>
      </c>
      <c r="C4635" t="s">
        <v>862</v>
      </c>
      <c r="D4635" t="s">
        <v>2191</v>
      </c>
    </row>
    <row r="4636" spans="1:4" x14ac:dyDescent="0.3">
      <c r="A4636" t="s">
        <v>1632</v>
      </c>
      <c r="B4636" t="s">
        <v>361</v>
      </c>
      <c r="C4636" t="s">
        <v>862</v>
      </c>
      <c r="D4636" t="s">
        <v>2191</v>
      </c>
    </row>
    <row r="4637" spans="1:4" x14ac:dyDescent="0.3">
      <c r="A4637" t="s">
        <v>1626</v>
      </c>
      <c r="B4637" t="s">
        <v>361</v>
      </c>
      <c r="C4637" t="s">
        <v>862</v>
      </c>
      <c r="D4637" t="s">
        <v>2191</v>
      </c>
    </row>
    <row r="4638" spans="1:4" x14ac:dyDescent="0.3">
      <c r="A4638" t="s">
        <v>1627</v>
      </c>
      <c r="B4638" t="s">
        <v>361</v>
      </c>
      <c r="C4638" t="s">
        <v>862</v>
      </c>
      <c r="D4638" t="s">
        <v>2191</v>
      </c>
    </row>
    <row r="4639" spans="1:4" x14ac:dyDescent="0.3">
      <c r="A4639" t="s">
        <v>1625</v>
      </c>
      <c r="B4639" t="s">
        <v>361</v>
      </c>
      <c r="C4639" t="s">
        <v>862</v>
      </c>
      <c r="D4639" t="s">
        <v>2191</v>
      </c>
    </row>
    <row r="4640" spans="1:4" x14ac:dyDescent="0.3">
      <c r="A4640" t="s">
        <v>1623</v>
      </c>
      <c r="B4640" t="s">
        <v>361</v>
      </c>
      <c r="C4640" t="s">
        <v>862</v>
      </c>
      <c r="D4640" t="s">
        <v>2191</v>
      </c>
    </row>
    <row r="4641" spans="1:4" x14ac:dyDescent="0.3">
      <c r="A4641" t="s">
        <v>1633</v>
      </c>
      <c r="B4641">
        <v>17.130467172225757</v>
      </c>
      <c r="C4641" t="s">
        <v>862</v>
      </c>
      <c r="D4641" t="s">
        <v>2191</v>
      </c>
    </row>
    <row r="4642" spans="1:4" x14ac:dyDescent="0.3">
      <c r="A4642" t="s">
        <v>1628</v>
      </c>
      <c r="B4642">
        <v>16.797314243685676</v>
      </c>
      <c r="C4642" t="s">
        <v>862</v>
      </c>
      <c r="D4642" t="s">
        <v>2192</v>
      </c>
    </row>
    <row r="4643" spans="1:4" x14ac:dyDescent="0.3">
      <c r="A4643" t="s">
        <v>17</v>
      </c>
      <c r="B4643">
        <v>0</v>
      </c>
      <c r="C4643" t="s">
        <v>862</v>
      </c>
      <c r="D4643" t="s">
        <v>2192</v>
      </c>
    </row>
    <row r="4644" spans="1:4" x14ac:dyDescent="0.3">
      <c r="A4644" t="s">
        <v>209</v>
      </c>
      <c r="B4644">
        <v>16.756716179898994</v>
      </c>
      <c r="C4644" t="s">
        <v>862</v>
      </c>
      <c r="D4644" t="s">
        <v>2192</v>
      </c>
    </row>
    <row r="4645" spans="1:4" x14ac:dyDescent="0.3">
      <c r="A4645" t="s">
        <v>446</v>
      </c>
      <c r="B4645">
        <v>4.0598063786682376E-2</v>
      </c>
      <c r="C4645" t="s">
        <v>862</v>
      </c>
      <c r="D4645" t="s">
        <v>2192</v>
      </c>
    </row>
    <row r="4646" spans="1:4" x14ac:dyDescent="0.3">
      <c r="A4646" t="s">
        <v>1632</v>
      </c>
      <c r="B4646" t="s">
        <v>361</v>
      </c>
      <c r="C4646" t="s">
        <v>862</v>
      </c>
      <c r="D4646" t="s">
        <v>2192</v>
      </c>
    </row>
    <row r="4647" spans="1:4" x14ac:dyDescent="0.3">
      <c r="A4647" t="s">
        <v>1626</v>
      </c>
      <c r="B4647" t="s">
        <v>361</v>
      </c>
      <c r="C4647" t="s">
        <v>862</v>
      </c>
      <c r="D4647" t="s">
        <v>2192</v>
      </c>
    </row>
    <row r="4648" spans="1:4" x14ac:dyDescent="0.3">
      <c r="A4648" t="s">
        <v>1627</v>
      </c>
      <c r="B4648" t="s">
        <v>361</v>
      </c>
      <c r="C4648" t="s">
        <v>862</v>
      </c>
      <c r="D4648" t="s">
        <v>2192</v>
      </c>
    </row>
    <row r="4649" spans="1:4" x14ac:dyDescent="0.3">
      <c r="A4649" t="s">
        <v>1625</v>
      </c>
      <c r="B4649" t="s">
        <v>361</v>
      </c>
      <c r="C4649" t="s">
        <v>862</v>
      </c>
      <c r="D4649" t="s">
        <v>2192</v>
      </c>
    </row>
    <row r="4650" spans="1:4" x14ac:dyDescent="0.3">
      <c r="A4650" t="s">
        <v>1623</v>
      </c>
      <c r="B4650" t="s">
        <v>361</v>
      </c>
      <c r="C4650" t="s">
        <v>862</v>
      </c>
      <c r="D4650" t="s">
        <v>2192</v>
      </c>
    </row>
    <row r="4651" spans="1:4" x14ac:dyDescent="0.3">
      <c r="A4651" t="s">
        <v>1633</v>
      </c>
      <c r="B4651">
        <v>16.797314243685676</v>
      </c>
      <c r="C4651" t="s">
        <v>862</v>
      </c>
      <c r="D4651" t="s">
        <v>2192</v>
      </c>
    </row>
    <row r="4652" spans="1:4" x14ac:dyDescent="0.3">
      <c r="A4652" t="s">
        <v>1628</v>
      </c>
      <c r="B4652">
        <v>16.06388027540914</v>
      </c>
      <c r="C4652" t="s">
        <v>862</v>
      </c>
      <c r="D4652" t="s">
        <v>2107</v>
      </c>
    </row>
    <row r="4653" spans="1:4" x14ac:dyDescent="0.3">
      <c r="A4653" t="s">
        <v>17</v>
      </c>
      <c r="B4653">
        <v>0</v>
      </c>
      <c r="C4653" t="s">
        <v>862</v>
      </c>
      <c r="D4653" t="s">
        <v>2107</v>
      </c>
    </row>
    <row r="4654" spans="1:4" x14ac:dyDescent="0.3">
      <c r="A4654" t="s">
        <v>209</v>
      </c>
      <c r="B4654">
        <v>16.023282211622458</v>
      </c>
      <c r="C4654" t="s">
        <v>862</v>
      </c>
      <c r="D4654" t="s">
        <v>2107</v>
      </c>
    </row>
    <row r="4655" spans="1:4" x14ac:dyDescent="0.3">
      <c r="A4655" t="s">
        <v>446</v>
      </c>
      <c r="B4655">
        <v>4.0598063786682376E-2</v>
      </c>
      <c r="C4655" t="s">
        <v>862</v>
      </c>
      <c r="D4655" t="s">
        <v>2107</v>
      </c>
    </row>
    <row r="4656" spans="1:4" x14ac:dyDescent="0.3">
      <c r="A4656" t="s">
        <v>1632</v>
      </c>
      <c r="B4656" t="s">
        <v>361</v>
      </c>
      <c r="C4656" t="s">
        <v>862</v>
      </c>
      <c r="D4656" t="s">
        <v>2107</v>
      </c>
    </row>
    <row r="4657" spans="1:4" x14ac:dyDescent="0.3">
      <c r="A4657" t="s">
        <v>1626</v>
      </c>
      <c r="B4657" t="s">
        <v>361</v>
      </c>
      <c r="C4657" t="s">
        <v>862</v>
      </c>
      <c r="D4657" t="s">
        <v>2107</v>
      </c>
    </row>
    <row r="4658" spans="1:4" x14ac:dyDescent="0.3">
      <c r="A4658" t="s">
        <v>1627</v>
      </c>
      <c r="B4658" t="s">
        <v>361</v>
      </c>
      <c r="C4658" t="s">
        <v>862</v>
      </c>
      <c r="D4658" t="s">
        <v>2107</v>
      </c>
    </row>
    <row r="4659" spans="1:4" x14ac:dyDescent="0.3">
      <c r="A4659" t="s">
        <v>1625</v>
      </c>
      <c r="B4659" t="s">
        <v>361</v>
      </c>
      <c r="C4659" t="s">
        <v>862</v>
      </c>
      <c r="D4659" t="s">
        <v>2107</v>
      </c>
    </row>
    <row r="4660" spans="1:4" x14ac:dyDescent="0.3">
      <c r="A4660" t="s">
        <v>1623</v>
      </c>
      <c r="B4660" t="s">
        <v>361</v>
      </c>
      <c r="C4660" t="s">
        <v>862</v>
      </c>
      <c r="D4660" t="s">
        <v>2107</v>
      </c>
    </row>
    <row r="4661" spans="1:4" x14ac:dyDescent="0.3">
      <c r="A4661" t="s">
        <v>1633</v>
      </c>
      <c r="B4661">
        <v>16.06388027540914</v>
      </c>
      <c r="C4661" t="s">
        <v>862</v>
      </c>
      <c r="D4661" t="s">
        <v>2107</v>
      </c>
    </row>
    <row r="4662" spans="1:4" x14ac:dyDescent="0.3">
      <c r="A4662" t="s">
        <v>1628</v>
      </c>
      <c r="B4662">
        <v>16.950361271973073</v>
      </c>
      <c r="C4662" t="s">
        <v>862</v>
      </c>
      <c r="D4662" t="s">
        <v>2034</v>
      </c>
    </row>
    <row r="4663" spans="1:4" x14ac:dyDescent="0.3">
      <c r="A4663" t="s">
        <v>17</v>
      </c>
      <c r="B4663">
        <v>0</v>
      </c>
      <c r="C4663" t="s">
        <v>862</v>
      </c>
      <c r="D4663" t="s">
        <v>2034</v>
      </c>
    </row>
    <row r="4664" spans="1:4" x14ac:dyDescent="0.3">
      <c r="A4664" t="s">
        <v>209</v>
      </c>
      <c r="B4664">
        <v>16.909763208186391</v>
      </c>
      <c r="C4664" t="s">
        <v>862</v>
      </c>
      <c r="D4664" t="s">
        <v>2034</v>
      </c>
    </row>
    <row r="4665" spans="1:4" x14ac:dyDescent="0.3">
      <c r="A4665" t="s">
        <v>446</v>
      </c>
      <c r="B4665">
        <v>4.0598063786682376E-2</v>
      </c>
      <c r="C4665" t="s">
        <v>862</v>
      </c>
      <c r="D4665" t="s">
        <v>2034</v>
      </c>
    </row>
    <row r="4666" spans="1:4" x14ac:dyDescent="0.3">
      <c r="A4666" t="s">
        <v>1632</v>
      </c>
      <c r="B4666" t="s">
        <v>361</v>
      </c>
      <c r="C4666" t="s">
        <v>862</v>
      </c>
      <c r="D4666" t="s">
        <v>2034</v>
      </c>
    </row>
    <row r="4667" spans="1:4" x14ac:dyDescent="0.3">
      <c r="A4667" t="s">
        <v>1626</v>
      </c>
      <c r="B4667" t="s">
        <v>361</v>
      </c>
      <c r="C4667" t="s">
        <v>862</v>
      </c>
      <c r="D4667" t="s">
        <v>2034</v>
      </c>
    </row>
    <row r="4668" spans="1:4" x14ac:dyDescent="0.3">
      <c r="A4668" t="s">
        <v>1627</v>
      </c>
      <c r="B4668" t="s">
        <v>361</v>
      </c>
      <c r="C4668" t="s">
        <v>862</v>
      </c>
      <c r="D4668" t="s">
        <v>2034</v>
      </c>
    </row>
    <row r="4669" spans="1:4" x14ac:dyDescent="0.3">
      <c r="A4669" t="s">
        <v>1625</v>
      </c>
      <c r="B4669" t="s">
        <v>361</v>
      </c>
      <c r="C4669" t="s">
        <v>862</v>
      </c>
      <c r="D4669" t="s">
        <v>2034</v>
      </c>
    </row>
    <row r="4670" spans="1:4" x14ac:dyDescent="0.3">
      <c r="A4670" t="s">
        <v>1623</v>
      </c>
      <c r="B4670" t="s">
        <v>361</v>
      </c>
      <c r="C4670" t="s">
        <v>862</v>
      </c>
      <c r="D4670" t="s">
        <v>2034</v>
      </c>
    </row>
    <row r="4671" spans="1:4" x14ac:dyDescent="0.3">
      <c r="A4671" t="s">
        <v>1633</v>
      </c>
      <c r="B4671">
        <v>16.950361271973073</v>
      </c>
      <c r="C4671" t="s">
        <v>862</v>
      </c>
      <c r="D4671" t="s">
        <v>2034</v>
      </c>
    </row>
    <row r="4672" spans="1:4" x14ac:dyDescent="0.3">
      <c r="A4672" t="s">
        <v>1628</v>
      </c>
      <c r="B4672">
        <v>17.320235531224423</v>
      </c>
      <c r="C4672" t="s">
        <v>862</v>
      </c>
      <c r="D4672" t="s">
        <v>2035</v>
      </c>
    </row>
    <row r="4673" spans="1:4" x14ac:dyDescent="0.3">
      <c r="A4673" t="s">
        <v>17</v>
      </c>
      <c r="B4673">
        <v>0</v>
      </c>
      <c r="C4673" t="s">
        <v>862</v>
      </c>
      <c r="D4673" t="s">
        <v>2035</v>
      </c>
    </row>
    <row r="4674" spans="1:4" x14ac:dyDescent="0.3">
      <c r="A4674" t="s">
        <v>209</v>
      </c>
      <c r="B4674">
        <v>17.279637467437741</v>
      </c>
      <c r="C4674" t="s">
        <v>862</v>
      </c>
      <c r="D4674" t="s">
        <v>2035</v>
      </c>
    </row>
    <row r="4675" spans="1:4" x14ac:dyDescent="0.3">
      <c r="A4675" t="s">
        <v>446</v>
      </c>
      <c r="B4675">
        <v>4.0598063786682376E-2</v>
      </c>
      <c r="C4675" t="s">
        <v>862</v>
      </c>
      <c r="D4675" t="s">
        <v>2035</v>
      </c>
    </row>
    <row r="4676" spans="1:4" x14ac:dyDescent="0.3">
      <c r="A4676" t="s">
        <v>1632</v>
      </c>
      <c r="B4676" t="s">
        <v>361</v>
      </c>
      <c r="C4676" t="s">
        <v>862</v>
      </c>
      <c r="D4676" t="s">
        <v>2035</v>
      </c>
    </row>
    <row r="4677" spans="1:4" x14ac:dyDescent="0.3">
      <c r="A4677" t="s">
        <v>1626</v>
      </c>
      <c r="B4677" t="s">
        <v>361</v>
      </c>
      <c r="C4677" t="s">
        <v>862</v>
      </c>
      <c r="D4677" t="s">
        <v>2035</v>
      </c>
    </row>
    <row r="4678" spans="1:4" x14ac:dyDescent="0.3">
      <c r="A4678" t="s">
        <v>1627</v>
      </c>
      <c r="B4678" t="s">
        <v>361</v>
      </c>
      <c r="C4678" t="s">
        <v>862</v>
      </c>
      <c r="D4678" t="s">
        <v>2035</v>
      </c>
    </row>
    <row r="4679" spans="1:4" x14ac:dyDescent="0.3">
      <c r="A4679" t="s">
        <v>1625</v>
      </c>
      <c r="B4679" t="s">
        <v>361</v>
      </c>
      <c r="C4679" t="s">
        <v>862</v>
      </c>
      <c r="D4679" t="s">
        <v>2035</v>
      </c>
    </row>
    <row r="4680" spans="1:4" x14ac:dyDescent="0.3">
      <c r="A4680" t="s">
        <v>1623</v>
      </c>
      <c r="B4680" t="s">
        <v>361</v>
      </c>
      <c r="C4680" t="s">
        <v>862</v>
      </c>
      <c r="D4680" t="s">
        <v>2035</v>
      </c>
    </row>
    <row r="4681" spans="1:4" x14ac:dyDescent="0.3">
      <c r="A4681" t="s">
        <v>1633</v>
      </c>
      <c r="B4681">
        <v>17.320235531224423</v>
      </c>
      <c r="C4681" t="s">
        <v>862</v>
      </c>
      <c r="D4681" t="s">
        <v>2035</v>
      </c>
    </row>
    <row r="4682" spans="1:4" x14ac:dyDescent="0.3">
      <c r="A4682" t="s">
        <v>1628</v>
      </c>
      <c r="B4682">
        <v>16.994366562717872</v>
      </c>
      <c r="C4682" t="s">
        <v>862</v>
      </c>
      <c r="D4682" t="s">
        <v>2036</v>
      </c>
    </row>
    <row r="4683" spans="1:4" x14ac:dyDescent="0.3">
      <c r="A4683" t="s">
        <v>17</v>
      </c>
      <c r="B4683">
        <v>0</v>
      </c>
      <c r="C4683" t="s">
        <v>862</v>
      </c>
      <c r="D4683" t="s">
        <v>2036</v>
      </c>
    </row>
    <row r="4684" spans="1:4" x14ac:dyDescent="0.3">
      <c r="A4684" t="s">
        <v>209</v>
      </c>
      <c r="B4684">
        <v>16.95376849893119</v>
      </c>
      <c r="C4684" t="s">
        <v>862</v>
      </c>
      <c r="D4684" t="s">
        <v>2036</v>
      </c>
    </row>
    <row r="4685" spans="1:4" x14ac:dyDescent="0.3">
      <c r="A4685" t="s">
        <v>446</v>
      </c>
      <c r="B4685">
        <v>4.0598063786682376E-2</v>
      </c>
      <c r="C4685" t="s">
        <v>862</v>
      </c>
      <c r="D4685" t="s">
        <v>2036</v>
      </c>
    </row>
    <row r="4686" spans="1:4" x14ac:dyDescent="0.3">
      <c r="A4686" t="s">
        <v>1632</v>
      </c>
      <c r="B4686" t="s">
        <v>361</v>
      </c>
      <c r="C4686" t="s">
        <v>862</v>
      </c>
      <c r="D4686" t="s">
        <v>2036</v>
      </c>
    </row>
    <row r="4687" spans="1:4" x14ac:dyDescent="0.3">
      <c r="A4687" t="s">
        <v>1626</v>
      </c>
      <c r="B4687" t="s">
        <v>361</v>
      </c>
      <c r="C4687" t="s">
        <v>862</v>
      </c>
      <c r="D4687" t="s">
        <v>2036</v>
      </c>
    </row>
    <row r="4688" spans="1:4" x14ac:dyDescent="0.3">
      <c r="A4688" t="s">
        <v>1627</v>
      </c>
      <c r="B4688" t="s">
        <v>361</v>
      </c>
      <c r="C4688" t="s">
        <v>862</v>
      </c>
      <c r="D4688" t="s">
        <v>2036</v>
      </c>
    </row>
    <row r="4689" spans="1:4" x14ac:dyDescent="0.3">
      <c r="A4689" t="s">
        <v>1625</v>
      </c>
      <c r="B4689" t="s">
        <v>361</v>
      </c>
      <c r="C4689" t="s">
        <v>862</v>
      </c>
      <c r="D4689" t="s">
        <v>2036</v>
      </c>
    </row>
    <row r="4690" spans="1:4" x14ac:dyDescent="0.3">
      <c r="A4690" t="s">
        <v>1623</v>
      </c>
      <c r="B4690" t="s">
        <v>361</v>
      </c>
      <c r="C4690" t="s">
        <v>862</v>
      </c>
      <c r="D4690" t="s">
        <v>2036</v>
      </c>
    </row>
    <row r="4691" spans="1:4" x14ac:dyDescent="0.3">
      <c r="A4691" t="s">
        <v>1633</v>
      </c>
      <c r="B4691">
        <v>16.994366562717872</v>
      </c>
      <c r="C4691" t="s">
        <v>862</v>
      </c>
      <c r="D4691" t="s">
        <v>2036</v>
      </c>
    </row>
    <row r="4692" spans="1:4" x14ac:dyDescent="0.3">
      <c r="A4692" t="s">
        <v>1628</v>
      </c>
      <c r="B4692">
        <v>17.318917080725161</v>
      </c>
      <c r="C4692" t="s">
        <v>862</v>
      </c>
      <c r="D4692" t="s">
        <v>2037</v>
      </c>
    </row>
    <row r="4693" spans="1:4" x14ac:dyDescent="0.3">
      <c r="A4693" t="s">
        <v>17</v>
      </c>
      <c r="B4693">
        <v>0</v>
      </c>
      <c r="C4693" t="s">
        <v>862</v>
      </c>
      <c r="D4693" t="s">
        <v>2037</v>
      </c>
    </row>
    <row r="4694" spans="1:4" x14ac:dyDescent="0.3">
      <c r="A4694" t="s">
        <v>209</v>
      </c>
      <c r="B4694">
        <v>17.278319016938479</v>
      </c>
      <c r="C4694" t="s">
        <v>862</v>
      </c>
      <c r="D4694" t="s">
        <v>2037</v>
      </c>
    </row>
    <row r="4695" spans="1:4" x14ac:dyDescent="0.3">
      <c r="A4695" t="s">
        <v>446</v>
      </c>
      <c r="B4695">
        <v>4.0598063786682376E-2</v>
      </c>
      <c r="C4695" t="s">
        <v>862</v>
      </c>
      <c r="D4695" t="s">
        <v>2037</v>
      </c>
    </row>
    <row r="4696" spans="1:4" x14ac:dyDescent="0.3">
      <c r="A4696" t="s">
        <v>1632</v>
      </c>
      <c r="B4696" t="s">
        <v>361</v>
      </c>
      <c r="C4696" t="s">
        <v>862</v>
      </c>
      <c r="D4696" t="s">
        <v>2037</v>
      </c>
    </row>
    <row r="4697" spans="1:4" x14ac:dyDescent="0.3">
      <c r="A4697" t="s">
        <v>1626</v>
      </c>
      <c r="B4697" t="s">
        <v>361</v>
      </c>
      <c r="C4697" t="s">
        <v>862</v>
      </c>
      <c r="D4697" t="s">
        <v>2037</v>
      </c>
    </row>
    <row r="4698" spans="1:4" x14ac:dyDescent="0.3">
      <c r="A4698" t="s">
        <v>1627</v>
      </c>
      <c r="B4698" t="s">
        <v>361</v>
      </c>
      <c r="C4698" t="s">
        <v>862</v>
      </c>
      <c r="D4698" t="s">
        <v>2037</v>
      </c>
    </row>
    <row r="4699" spans="1:4" x14ac:dyDescent="0.3">
      <c r="A4699" t="s">
        <v>1625</v>
      </c>
      <c r="B4699" t="s">
        <v>361</v>
      </c>
      <c r="C4699" t="s">
        <v>862</v>
      </c>
      <c r="D4699" t="s">
        <v>2037</v>
      </c>
    </row>
    <row r="4700" spans="1:4" x14ac:dyDescent="0.3">
      <c r="A4700" t="s">
        <v>1623</v>
      </c>
      <c r="B4700" t="s">
        <v>361</v>
      </c>
      <c r="C4700" t="s">
        <v>862</v>
      </c>
      <c r="D4700" t="s">
        <v>2037</v>
      </c>
    </row>
    <row r="4701" spans="1:4" x14ac:dyDescent="0.3">
      <c r="A4701" t="s">
        <v>1633</v>
      </c>
      <c r="B4701">
        <v>17.318917080725161</v>
      </c>
      <c r="C4701" t="s">
        <v>862</v>
      </c>
      <c r="D4701" t="s">
        <v>2037</v>
      </c>
    </row>
    <row r="4702" spans="1:4" x14ac:dyDescent="0.3">
      <c r="A4702" t="s">
        <v>1628</v>
      </c>
      <c r="B4702">
        <v>16.843829683086739</v>
      </c>
      <c r="C4702" t="s">
        <v>862</v>
      </c>
      <c r="D4702" t="s">
        <v>2038</v>
      </c>
    </row>
    <row r="4703" spans="1:4" x14ac:dyDescent="0.3">
      <c r="A4703" t="s">
        <v>17</v>
      </c>
      <c r="B4703">
        <v>0</v>
      </c>
      <c r="C4703" t="s">
        <v>862</v>
      </c>
      <c r="D4703" t="s">
        <v>2038</v>
      </c>
    </row>
    <row r="4704" spans="1:4" x14ac:dyDescent="0.3">
      <c r="A4704" t="s">
        <v>209</v>
      </c>
      <c r="B4704">
        <v>16.803231619300057</v>
      </c>
      <c r="C4704" t="s">
        <v>862</v>
      </c>
      <c r="D4704" t="s">
        <v>2038</v>
      </c>
    </row>
    <row r="4705" spans="1:4" x14ac:dyDescent="0.3">
      <c r="A4705" t="s">
        <v>446</v>
      </c>
      <c r="B4705">
        <v>4.0598063786682376E-2</v>
      </c>
      <c r="C4705" t="s">
        <v>862</v>
      </c>
      <c r="D4705" t="s">
        <v>2038</v>
      </c>
    </row>
    <row r="4706" spans="1:4" x14ac:dyDescent="0.3">
      <c r="A4706" t="s">
        <v>1632</v>
      </c>
      <c r="B4706" t="s">
        <v>361</v>
      </c>
      <c r="C4706" t="s">
        <v>862</v>
      </c>
      <c r="D4706" t="s">
        <v>2038</v>
      </c>
    </row>
    <row r="4707" spans="1:4" x14ac:dyDescent="0.3">
      <c r="A4707" t="s">
        <v>1626</v>
      </c>
      <c r="B4707" t="s">
        <v>361</v>
      </c>
      <c r="C4707" t="s">
        <v>862</v>
      </c>
      <c r="D4707" t="s">
        <v>2038</v>
      </c>
    </row>
    <row r="4708" spans="1:4" x14ac:dyDescent="0.3">
      <c r="A4708" t="s">
        <v>1627</v>
      </c>
      <c r="B4708" t="s">
        <v>361</v>
      </c>
      <c r="C4708" t="s">
        <v>862</v>
      </c>
      <c r="D4708" t="s">
        <v>2038</v>
      </c>
    </row>
    <row r="4709" spans="1:4" x14ac:dyDescent="0.3">
      <c r="A4709" t="s">
        <v>1625</v>
      </c>
      <c r="B4709" t="s">
        <v>361</v>
      </c>
      <c r="C4709" t="s">
        <v>862</v>
      </c>
      <c r="D4709" t="s">
        <v>2038</v>
      </c>
    </row>
    <row r="4710" spans="1:4" x14ac:dyDescent="0.3">
      <c r="A4710" t="s">
        <v>1623</v>
      </c>
      <c r="B4710" t="s">
        <v>361</v>
      </c>
      <c r="C4710" t="s">
        <v>862</v>
      </c>
      <c r="D4710" t="s">
        <v>2038</v>
      </c>
    </row>
    <row r="4711" spans="1:4" x14ac:dyDescent="0.3">
      <c r="A4711" t="s">
        <v>1633</v>
      </c>
      <c r="B4711">
        <v>16.843829683086739</v>
      </c>
      <c r="C4711" t="s">
        <v>862</v>
      </c>
      <c r="D4711" t="s">
        <v>2038</v>
      </c>
    </row>
    <row r="4712" spans="1:4" x14ac:dyDescent="0.3">
      <c r="A4712" t="s">
        <v>1628</v>
      </c>
      <c r="B4712">
        <v>16.799824392341939</v>
      </c>
      <c r="C4712" t="s">
        <v>862</v>
      </c>
      <c r="D4712" t="s">
        <v>2039</v>
      </c>
    </row>
    <row r="4713" spans="1:4" x14ac:dyDescent="0.3">
      <c r="A4713" t="s">
        <v>17</v>
      </c>
      <c r="B4713">
        <v>0</v>
      </c>
      <c r="C4713" t="s">
        <v>862</v>
      </c>
      <c r="D4713" t="s">
        <v>2039</v>
      </c>
    </row>
    <row r="4714" spans="1:4" x14ac:dyDescent="0.3">
      <c r="A4714" t="s">
        <v>209</v>
      </c>
      <c r="B4714">
        <v>16.759226328555258</v>
      </c>
      <c r="C4714" t="s">
        <v>862</v>
      </c>
      <c r="D4714" t="s">
        <v>2039</v>
      </c>
    </row>
    <row r="4715" spans="1:4" x14ac:dyDescent="0.3">
      <c r="A4715" t="s">
        <v>446</v>
      </c>
      <c r="B4715">
        <v>4.0598063786682376E-2</v>
      </c>
      <c r="C4715" t="s">
        <v>862</v>
      </c>
      <c r="D4715" t="s">
        <v>2039</v>
      </c>
    </row>
    <row r="4716" spans="1:4" x14ac:dyDescent="0.3">
      <c r="A4716" t="s">
        <v>1632</v>
      </c>
      <c r="B4716" t="s">
        <v>361</v>
      </c>
      <c r="C4716" t="s">
        <v>862</v>
      </c>
      <c r="D4716" t="s">
        <v>2039</v>
      </c>
    </row>
    <row r="4717" spans="1:4" x14ac:dyDescent="0.3">
      <c r="A4717" t="s">
        <v>1626</v>
      </c>
      <c r="B4717" t="s">
        <v>361</v>
      </c>
      <c r="C4717" t="s">
        <v>862</v>
      </c>
      <c r="D4717" t="s">
        <v>2039</v>
      </c>
    </row>
    <row r="4718" spans="1:4" x14ac:dyDescent="0.3">
      <c r="A4718" t="s">
        <v>1627</v>
      </c>
      <c r="B4718" t="s">
        <v>361</v>
      </c>
      <c r="C4718" t="s">
        <v>862</v>
      </c>
      <c r="D4718" t="s">
        <v>2039</v>
      </c>
    </row>
    <row r="4719" spans="1:4" x14ac:dyDescent="0.3">
      <c r="A4719" t="s">
        <v>1625</v>
      </c>
      <c r="B4719" t="s">
        <v>361</v>
      </c>
      <c r="C4719" t="s">
        <v>862</v>
      </c>
      <c r="D4719" t="s">
        <v>2039</v>
      </c>
    </row>
    <row r="4720" spans="1:4" x14ac:dyDescent="0.3">
      <c r="A4720" t="s">
        <v>1623</v>
      </c>
      <c r="B4720" t="s">
        <v>361</v>
      </c>
      <c r="C4720" t="s">
        <v>862</v>
      </c>
      <c r="D4720" t="s">
        <v>2039</v>
      </c>
    </row>
    <row r="4721" spans="1:4" x14ac:dyDescent="0.3">
      <c r="A4721" t="s">
        <v>1633</v>
      </c>
      <c r="B4721">
        <v>16.799824392341939</v>
      </c>
      <c r="C4721" t="s">
        <v>862</v>
      </c>
      <c r="D4721" t="s">
        <v>2039</v>
      </c>
    </row>
    <row r="4722" spans="1:4" x14ac:dyDescent="0.3">
      <c r="A4722" t="s">
        <v>1628</v>
      </c>
      <c r="B4722">
        <v>16.903209315316595</v>
      </c>
      <c r="C4722" t="s">
        <v>862</v>
      </c>
      <c r="D4722" t="s">
        <v>2040</v>
      </c>
    </row>
    <row r="4723" spans="1:4" x14ac:dyDescent="0.3">
      <c r="A4723" t="s">
        <v>17</v>
      </c>
      <c r="B4723">
        <v>0</v>
      </c>
      <c r="C4723" t="s">
        <v>862</v>
      </c>
      <c r="D4723" t="s">
        <v>2040</v>
      </c>
    </row>
    <row r="4724" spans="1:4" x14ac:dyDescent="0.3">
      <c r="A4724" t="s">
        <v>209</v>
      </c>
      <c r="B4724">
        <v>16.862611251529913</v>
      </c>
      <c r="C4724" t="s">
        <v>862</v>
      </c>
      <c r="D4724" t="s">
        <v>2040</v>
      </c>
    </row>
    <row r="4725" spans="1:4" x14ac:dyDescent="0.3">
      <c r="A4725" t="s">
        <v>446</v>
      </c>
      <c r="B4725">
        <v>4.0598063786682376E-2</v>
      </c>
      <c r="C4725" t="s">
        <v>862</v>
      </c>
      <c r="D4725" t="s">
        <v>2040</v>
      </c>
    </row>
    <row r="4726" spans="1:4" x14ac:dyDescent="0.3">
      <c r="A4726" t="s">
        <v>1632</v>
      </c>
      <c r="B4726" t="s">
        <v>361</v>
      </c>
      <c r="C4726" t="s">
        <v>862</v>
      </c>
      <c r="D4726" t="s">
        <v>2040</v>
      </c>
    </row>
    <row r="4727" spans="1:4" x14ac:dyDescent="0.3">
      <c r="A4727" t="s">
        <v>1626</v>
      </c>
      <c r="B4727" t="s">
        <v>361</v>
      </c>
      <c r="C4727" t="s">
        <v>862</v>
      </c>
      <c r="D4727" t="s">
        <v>2040</v>
      </c>
    </row>
    <row r="4728" spans="1:4" x14ac:dyDescent="0.3">
      <c r="A4728" t="s">
        <v>1627</v>
      </c>
      <c r="B4728" t="s">
        <v>361</v>
      </c>
      <c r="C4728" t="s">
        <v>862</v>
      </c>
      <c r="D4728" t="s">
        <v>2040</v>
      </c>
    </row>
    <row r="4729" spans="1:4" x14ac:dyDescent="0.3">
      <c r="A4729" t="s">
        <v>1625</v>
      </c>
      <c r="B4729" t="s">
        <v>361</v>
      </c>
      <c r="C4729" t="s">
        <v>862</v>
      </c>
      <c r="D4729" t="s">
        <v>2040</v>
      </c>
    </row>
    <row r="4730" spans="1:4" x14ac:dyDescent="0.3">
      <c r="A4730" t="s">
        <v>1623</v>
      </c>
      <c r="B4730" t="s">
        <v>361</v>
      </c>
      <c r="C4730" t="s">
        <v>862</v>
      </c>
      <c r="D4730" t="s">
        <v>2040</v>
      </c>
    </row>
    <row r="4731" spans="1:4" x14ac:dyDescent="0.3">
      <c r="A4731" t="s">
        <v>1633</v>
      </c>
      <c r="B4731">
        <v>16.903209315316595</v>
      </c>
      <c r="C4731" t="s">
        <v>862</v>
      </c>
      <c r="D4731" t="s">
        <v>2040</v>
      </c>
    </row>
    <row r="4732" spans="1:4" x14ac:dyDescent="0.3">
      <c r="A4732" t="s">
        <v>1628</v>
      </c>
      <c r="B4732">
        <v>16.994366562717872</v>
      </c>
      <c r="C4732" t="s">
        <v>862</v>
      </c>
      <c r="D4732" t="s">
        <v>2041</v>
      </c>
    </row>
    <row r="4733" spans="1:4" x14ac:dyDescent="0.3">
      <c r="A4733" t="s">
        <v>17</v>
      </c>
      <c r="B4733">
        <v>0</v>
      </c>
      <c r="C4733" t="s">
        <v>862</v>
      </c>
      <c r="D4733" t="s">
        <v>2041</v>
      </c>
    </row>
    <row r="4734" spans="1:4" x14ac:dyDescent="0.3">
      <c r="A4734" t="s">
        <v>209</v>
      </c>
      <c r="B4734">
        <v>16.95376849893119</v>
      </c>
      <c r="C4734" t="s">
        <v>862</v>
      </c>
      <c r="D4734" t="s">
        <v>2041</v>
      </c>
    </row>
    <row r="4735" spans="1:4" x14ac:dyDescent="0.3">
      <c r="A4735" t="s">
        <v>446</v>
      </c>
      <c r="B4735">
        <v>4.0598063786682376E-2</v>
      </c>
      <c r="C4735" t="s">
        <v>862</v>
      </c>
      <c r="D4735" t="s">
        <v>2041</v>
      </c>
    </row>
    <row r="4736" spans="1:4" x14ac:dyDescent="0.3">
      <c r="A4736" t="s">
        <v>1632</v>
      </c>
      <c r="B4736" t="s">
        <v>361</v>
      </c>
      <c r="C4736" t="s">
        <v>862</v>
      </c>
      <c r="D4736" t="s">
        <v>2041</v>
      </c>
    </row>
    <row r="4737" spans="1:4" x14ac:dyDescent="0.3">
      <c r="A4737" t="s">
        <v>1626</v>
      </c>
      <c r="B4737" t="s">
        <v>361</v>
      </c>
      <c r="C4737" t="s">
        <v>862</v>
      </c>
      <c r="D4737" t="s">
        <v>2041</v>
      </c>
    </row>
    <row r="4738" spans="1:4" x14ac:dyDescent="0.3">
      <c r="A4738" t="s">
        <v>1627</v>
      </c>
      <c r="B4738" t="s">
        <v>361</v>
      </c>
      <c r="C4738" t="s">
        <v>862</v>
      </c>
      <c r="D4738" t="s">
        <v>2041</v>
      </c>
    </row>
    <row r="4739" spans="1:4" x14ac:dyDescent="0.3">
      <c r="A4739" t="s">
        <v>1625</v>
      </c>
      <c r="B4739" t="s">
        <v>361</v>
      </c>
      <c r="C4739" t="s">
        <v>862</v>
      </c>
      <c r="D4739" t="s">
        <v>2041</v>
      </c>
    </row>
    <row r="4740" spans="1:4" x14ac:dyDescent="0.3">
      <c r="A4740" t="s">
        <v>1623</v>
      </c>
      <c r="B4740" t="s">
        <v>361</v>
      </c>
      <c r="C4740" t="s">
        <v>862</v>
      </c>
      <c r="D4740" t="s">
        <v>2041</v>
      </c>
    </row>
    <row r="4741" spans="1:4" x14ac:dyDescent="0.3">
      <c r="A4741" t="s">
        <v>1633</v>
      </c>
      <c r="B4741">
        <v>16.994366562717872</v>
      </c>
      <c r="C4741" t="s">
        <v>862</v>
      </c>
      <c r="D4741" t="s">
        <v>2041</v>
      </c>
    </row>
    <row r="4742" spans="1:4" x14ac:dyDescent="0.3">
      <c r="A4742" t="s">
        <v>1628</v>
      </c>
      <c r="B4742">
        <v>16.913007528382174</v>
      </c>
      <c r="C4742" t="s">
        <v>862</v>
      </c>
      <c r="D4742" t="s">
        <v>2042</v>
      </c>
    </row>
    <row r="4743" spans="1:4" x14ac:dyDescent="0.3">
      <c r="A4743" t="s">
        <v>17</v>
      </c>
      <c r="B4743">
        <v>0</v>
      </c>
      <c r="C4743" t="s">
        <v>862</v>
      </c>
      <c r="D4743" t="s">
        <v>2042</v>
      </c>
    </row>
    <row r="4744" spans="1:4" x14ac:dyDescent="0.3">
      <c r="A4744" t="s">
        <v>209</v>
      </c>
      <c r="B4744">
        <v>16.872409464595492</v>
      </c>
      <c r="C4744" t="s">
        <v>862</v>
      </c>
      <c r="D4744" t="s">
        <v>2042</v>
      </c>
    </row>
    <row r="4745" spans="1:4" x14ac:dyDescent="0.3">
      <c r="A4745" t="s">
        <v>446</v>
      </c>
      <c r="B4745">
        <v>4.0598063786682376E-2</v>
      </c>
      <c r="C4745" t="s">
        <v>862</v>
      </c>
      <c r="D4745" t="s">
        <v>2042</v>
      </c>
    </row>
    <row r="4746" spans="1:4" x14ac:dyDescent="0.3">
      <c r="A4746" t="s">
        <v>1632</v>
      </c>
      <c r="B4746" t="s">
        <v>361</v>
      </c>
      <c r="C4746" t="s">
        <v>862</v>
      </c>
      <c r="D4746" t="s">
        <v>2042</v>
      </c>
    </row>
    <row r="4747" spans="1:4" x14ac:dyDescent="0.3">
      <c r="A4747" t="s">
        <v>1626</v>
      </c>
      <c r="B4747" t="s">
        <v>361</v>
      </c>
      <c r="C4747" t="s">
        <v>862</v>
      </c>
      <c r="D4747" t="s">
        <v>2042</v>
      </c>
    </row>
    <row r="4748" spans="1:4" x14ac:dyDescent="0.3">
      <c r="A4748" t="s">
        <v>1627</v>
      </c>
      <c r="B4748" t="s">
        <v>361</v>
      </c>
      <c r="C4748" t="s">
        <v>862</v>
      </c>
      <c r="D4748" t="s">
        <v>2042</v>
      </c>
    </row>
    <row r="4749" spans="1:4" x14ac:dyDescent="0.3">
      <c r="A4749" t="s">
        <v>1625</v>
      </c>
      <c r="B4749" t="s">
        <v>361</v>
      </c>
      <c r="C4749" t="s">
        <v>862</v>
      </c>
      <c r="D4749" t="s">
        <v>2042</v>
      </c>
    </row>
    <row r="4750" spans="1:4" x14ac:dyDescent="0.3">
      <c r="A4750" t="s">
        <v>1623</v>
      </c>
      <c r="B4750" t="s">
        <v>361</v>
      </c>
      <c r="C4750" t="s">
        <v>862</v>
      </c>
      <c r="D4750" t="s">
        <v>2042</v>
      </c>
    </row>
    <row r="4751" spans="1:4" x14ac:dyDescent="0.3">
      <c r="A4751" t="s">
        <v>1633</v>
      </c>
      <c r="B4751">
        <v>16.913007528382174</v>
      </c>
      <c r="C4751" t="s">
        <v>862</v>
      </c>
      <c r="D4751" t="s">
        <v>2042</v>
      </c>
    </row>
    <row r="4752" spans="1:4" x14ac:dyDescent="0.3">
      <c r="A4752" t="s">
        <v>1628</v>
      </c>
      <c r="B4752">
        <v>17.60859266138111</v>
      </c>
      <c r="C4752" t="s">
        <v>862</v>
      </c>
      <c r="D4752" t="s">
        <v>2043</v>
      </c>
    </row>
    <row r="4753" spans="1:4" x14ac:dyDescent="0.3">
      <c r="A4753" t="s">
        <v>17</v>
      </c>
      <c r="B4753">
        <v>0</v>
      </c>
      <c r="C4753" t="s">
        <v>862</v>
      </c>
      <c r="D4753" t="s">
        <v>2043</v>
      </c>
    </row>
    <row r="4754" spans="1:4" x14ac:dyDescent="0.3">
      <c r="A4754" t="s">
        <v>209</v>
      </c>
      <c r="B4754">
        <v>17.567994597594428</v>
      </c>
      <c r="C4754" t="s">
        <v>862</v>
      </c>
      <c r="D4754" t="s">
        <v>2043</v>
      </c>
    </row>
    <row r="4755" spans="1:4" x14ac:dyDescent="0.3">
      <c r="A4755" t="s">
        <v>446</v>
      </c>
      <c r="B4755">
        <v>4.0598063786682376E-2</v>
      </c>
      <c r="C4755" t="s">
        <v>862</v>
      </c>
      <c r="D4755" t="s">
        <v>2043</v>
      </c>
    </row>
    <row r="4756" spans="1:4" x14ac:dyDescent="0.3">
      <c r="A4756" t="s">
        <v>1632</v>
      </c>
      <c r="B4756" t="s">
        <v>361</v>
      </c>
      <c r="C4756" t="s">
        <v>862</v>
      </c>
      <c r="D4756" t="s">
        <v>2043</v>
      </c>
    </row>
    <row r="4757" spans="1:4" x14ac:dyDescent="0.3">
      <c r="A4757" t="s">
        <v>1626</v>
      </c>
      <c r="B4757" t="s">
        <v>361</v>
      </c>
      <c r="C4757" t="s">
        <v>862</v>
      </c>
      <c r="D4757" t="s">
        <v>2043</v>
      </c>
    </row>
    <row r="4758" spans="1:4" x14ac:dyDescent="0.3">
      <c r="A4758" t="s">
        <v>1627</v>
      </c>
      <c r="B4758" t="s">
        <v>361</v>
      </c>
      <c r="C4758" t="s">
        <v>862</v>
      </c>
      <c r="D4758" t="s">
        <v>2043</v>
      </c>
    </row>
    <row r="4759" spans="1:4" x14ac:dyDescent="0.3">
      <c r="A4759" t="s">
        <v>1625</v>
      </c>
      <c r="B4759" t="s">
        <v>361</v>
      </c>
      <c r="C4759" t="s">
        <v>862</v>
      </c>
      <c r="D4759" t="s">
        <v>2043</v>
      </c>
    </row>
    <row r="4760" spans="1:4" x14ac:dyDescent="0.3">
      <c r="A4760" t="s">
        <v>1623</v>
      </c>
      <c r="B4760" t="s">
        <v>361</v>
      </c>
      <c r="C4760" t="s">
        <v>862</v>
      </c>
      <c r="D4760" t="s">
        <v>2043</v>
      </c>
    </row>
    <row r="4761" spans="1:4" x14ac:dyDescent="0.3">
      <c r="A4761" t="s">
        <v>1633</v>
      </c>
      <c r="B4761">
        <v>17.60859266138111</v>
      </c>
      <c r="C4761" t="s">
        <v>862</v>
      </c>
      <c r="D4761" t="s">
        <v>2043</v>
      </c>
    </row>
    <row r="4762" spans="1:4" x14ac:dyDescent="0.3">
      <c r="A4762" t="s">
        <v>1628</v>
      </c>
      <c r="B4762">
        <v>16.994366562717872</v>
      </c>
      <c r="C4762" t="s">
        <v>862</v>
      </c>
      <c r="D4762" t="s">
        <v>2044</v>
      </c>
    </row>
    <row r="4763" spans="1:4" x14ac:dyDescent="0.3">
      <c r="A4763" t="s">
        <v>17</v>
      </c>
      <c r="B4763">
        <v>0</v>
      </c>
      <c r="C4763" t="s">
        <v>862</v>
      </c>
      <c r="D4763" t="s">
        <v>2044</v>
      </c>
    </row>
    <row r="4764" spans="1:4" x14ac:dyDescent="0.3">
      <c r="A4764" t="s">
        <v>209</v>
      </c>
      <c r="B4764">
        <v>16.95376849893119</v>
      </c>
      <c r="C4764" t="s">
        <v>862</v>
      </c>
      <c r="D4764" t="s">
        <v>2044</v>
      </c>
    </row>
    <row r="4765" spans="1:4" x14ac:dyDescent="0.3">
      <c r="A4765" t="s">
        <v>446</v>
      </c>
      <c r="B4765">
        <v>4.0598063786682376E-2</v>
      </c>
      <c r="C4765" t="s">
        <v>862</v>
      </c>
      <c r="D4765" t="s">
        <v>2044</v>
      </c>
    </row>
    <row r="4766" spans="1:4" x14ac:dyDescent="0.3">
      <c r="A4766" t="s">
        <v>1632</v>
      </c>
      <c r="B4766" t="s">
        <v>361</v>
      </c>
      <c r="C4766" t="s">
        <v>862</v>
      </c>
      <c r="D4766" t="s">
        <v>2044</v>
      </c>
    </row>
    <row r="4767" spans="1:4" x14ac:dyDescent="0.3">
      <c r="A4767" t="s">
        <v>1626</v>
      </c>
      <c r="B4767" t="s">
        <v>361</v>
      </c>
      <c r="C4767" t="s">
        <v>862</v>
      </c>
      <c r="D4767" t="s">
        <v>2044</v>
      </c>
    </row>
    <row r="4768" spans="1:4" x14ac:dyDescent="0.3">
      <c r="A4768" t="s">
        <v>1627</v>
      </c>
      <c r="B4768" t="s">
        <v>361</v>
      </c>
      <c r="C4768" t="s">
        <v>862</v>
      </c>
      <c r="D4768" t="s">
        <v>2044</v>
      </c>
    </row>
    <row r="4769" spans="1:4" x14ac:dyDescent="0.3">
      <c r="A4769" t="s">
        <v>1625</v>
      </c>
      <c r="B4769" t="s">
        <v>361</v>
      </c>
      <c r="C4769" t="s">
        <v>862</v>
      </c>
      <c r="D4769" t="s">
        <v>2044</v>
      </c>
    </row>
    <row r="4770" spans="1:4" x14ac:dyDescent="0.3">
      <c r="A4770" t="s">
        <v>1623</v>
      </c>
      <c r="B4770" t="s">
        <v>361</v>
      </c>
      <c r="C4770" t="s">
        <v>862</v>
      </c>
      <c r="D4770" t="s">
        <v>2044</v>
      </c>
    </row>
    <row r="4771" spans="1:4" x14ac:dyDescent="0.3">
      <c r="A4771" t="s">
        <v>1633</v>
      </c>
      <c r="B4771">
        <v>16.994366562717872</v>
      </c>
      <c r="C4771" t="s">
        <v>862</v>
      </c>
      <c r="D4771" t="s">
        <v>2044</v>
      </c>
    </row>
    <row r="4772" spans="1:4" x14ac:dyDescent="0.3">
      <c r="A4772" t="s">
        <v>1628</v>
      </c>
      <c r="B4772">
        <v>21.094626546120924</v>
      </c>
      <c r="C4772" t="s">
        <v>862</v>
      </c>
      <c r="D4772" t="s">
        <v>2045</v>
      </c>
    </row>
    <row r="4773" spans="1:4" x14ac:dyDescent="0.3">
      <c r="A4773" t="s">
        <v>17</v>
      </c>
      <c r="B4773">
        <v>0</v>
      </c>
      <c r="C4773" t="s">
        <v>862</v>
      </c>
      <c r="D4773" t="s">
        <v>2045</v>
      </c>
    </row>
    <row r="4774" spans="1:4" x14ac:dyDescent="0.3">
      <c r="A4774" t="s">
        <v>209</v>
      </c>
      <c r="B4774">
        <v>21.054028482334243</v>
      </c>
      <c r="C4774" t="s">
        <v>862</v>
      </c>
      <c r="D4774" t="s">
        <v>2045</v>
      </c>
    </row>
    <row r="4775" spans="1:4" x14ac:dyDescent="0.3">
      <c r="A4775" t="s">
        <v>446</v>
      </c>
      <c r="B4775">
        <v>4.0598063786682376E-2</v>
      </c>
      <c r="C4775" t="s">
        <v>862</v>
      </c>
      <c r="D4775" t="s">
        <v>2045</v>
      </c>
    </row>
    <row r="4776" spans="1:4" x14ac:dyDescent="0.3">
      <c r="A4776" t="s">
        <v>1632</v>
      </c>
      <c r="B4776" t="s">
        <v>361</v>
      </c>
      <c r="C4776" t="s">
        <v>862</v>
      </c>
      <c r="D4776" t="s">
        <v>2045</v>
      </c>
    </row>
    <row r="4777" spans="1:4" x14ac:dyDescent="0.3">
      <c r="A4777" t="s">
        <v>1626</v>
      </c>
      <c r="B4777" t="s">
        <v>361</v>
      </c>
      <c r="C4777" t="s">
        <v>862</v>
      </c>
      <c r="D4777" t="s">
        <v>2045</v>
      </c>
    </row>
    <row r="4778" spans="1:4" x14ac:dyDescent="0.3">
      <c r="A4778" t="s">
        <v>1627</v>
      </c>
      <c r="B4778" t="s">
        <v>361</v>
      </c>
      <c r="C4778" t="s">
        <v>862</v>
      </c>
      <c r="D4778" t="s">
        <v>2045</v>
      </c>
    </row>
    <row r="4779" spans="1:4" x14ac:dyDescent="0.3">
      <c r="A4779" t="s">
        <v>1625</v>
      </c>
      <c r="B4779" t="s">
        <v>361</v>
      </c>
      <c r="C4779" t="s">
        <v>862</v>
      </c>
      <c r="D4779" t="s">
        <v>2045</v>
      </c>
    </row>
    <row r="4780" spans="1:4" x14ac:dyDescent="0.3">
      <c r="A4780" t="s">
        <v>1623</v>
      </c>
      <c r="B4780" t="s">
        <v>361</v>
      </c>
      <c r="C4780" t="s">
        <v>862</v>
      </c>
      <c r="D4780" t="s">
        <v>2045</v>
      </c>
    </row>
    <row r="4781" spans="1:4" x14ac:dyDescent="0.3">
      <c r="A4781" t="s">
        <v>1633</v>
      </c>
      <c r="B4781">
        <v>21.094626546120924</v>
      </c>
      <c r="C4781" t="s">
        <v>862</v>
      </c>
      <c r="D4781" t="s">
        <v>2045</v>
      </c>
    </row>
    <row r="4782" spans="1:4" x14ac:dyDescent="0.3">
      <c r="A4782" t="s">
        <v>1628</v>
      </c>
      <c r="B4782">
        <v>16.994366562717872</v>
      </c>
      <c r="C4782" t="s">
        <v>862</v>
      </c>
      <c r="D4782" t="s">
        <v>2046</v>
      </c>
    </row>
    <row r="4783" spans="1:4" x14ac:dyDescent="0.3">
      <c r="A4783" t="s">
        <v>17</v>
      </c>
      <c r="B4783">
        <v>0</v>
      </c>
      <c r="C4783" t="s">
        <v>862</v>
      </c>
      <c r="D4783" t="s">
        <v>2046</v>
      </c>
    </row>
    <row r="4784" spans="1:4" x14ac:dyDescent="0.3">
      <c r="A4784" t="s">
        <v>209</v>
      </c>
      <c r="B4784">
        <v>16.95376849893119</v>
      </c>
      <c r="C4784" t="s">
        <v>862</v>
      </c>
      <c r="D4784" t="s">
        <v>2046</v>
      </c>
    </row>
    <row r="4785" spans="1:4" x14ac:dyDescent="0.3">
      <c r="A4785" t="s">
        <v>446</v>
      </c>
      <c r="B4785">
        <v>4.0598063786682376E-2</v>
      </c>
      <c r="C4785" t="s">
        <v>862</v>
      </c>
      <c r="D4785" t="s">
        <v>2046</v>
      </c>
    </row>
    <row r="4786" spans="1:4" x14ac:dyDescent="0.3">
      <c r="A4786" t="s">
        <v>1632</v>
      </c>
      <c r="B4786" t="s">
        <v>361</v>
      </c>
      <c r="C4786" t="s">
        <v>862</v>
      </c>
      <c r="D4786" t="s">
        <v>2046</v>
      </c>
    </row>
    <row r="4787" spans="1:4" x14ac:dyDescent="0.3">
      <c r="A4787" t="s">
        <v>1626</v>
      </c>
      <c r="B4787" t="s">
        <v>361</v>
      </c>
      <c r="C4787" t="s">
        <v>862</v>
      </c>
      <c r="D4787" t="s">
        <v>2046</v>
      </c>
    </row>
    <row r="4788" spans="1:4" x14ac:dyDescent="0.3">
      <c r="A4788" t="s">
        <v>1627</v>
      </c>
      <c r="B4788" t="s">
        <v>361</v>
      </c>
      <c r="C4788" t="s">
        <v>862</v>
      </c>
      <c r="D4788" t="s">
        <v>2046</v>
      </c>
    </row>
    <row r="4789" spans="1:4" x14ac:dyDescent="0.3">
      <c r="A4789" t="s">
        <v>1625</v>
      </c>
      <c r="B4789" t="s">
        <v>361</v>
      </c>
      <c r="C4789" t="s">
        <v>862</v>
      </c>
      <c r="D4789" t="s">
        <v>2046</v>
      </c>
    </row>
    <row r="4790" spans="1:4" x14ac:dyDescent="0.3">
      <c r="A4790" t="s">
        <v>1623</v>
      </c>
      <c r="B4790" t="s">
        <v>361</v>
      </c>
      <c r="C4790" t="s">
        <v>862</v>
      </c>
      <c r="D4790" t="s">
        <v>2046</v>
      </c>
    </row>
    <row r="4791" spans="1:4" x14ac:dyDescent="0.3">
      <c r="A4791" t="s">
        <v>1633</v>
      </c>
      <c r="B4791">
        <v>16.994366562717872</v>
      </c>
      <c r="C4791" t="s">
        <v>862</v>
      </c>
      <c r="D4791" t="s">
        <v>2046</v>
      </c>
    </row>
    <row r="4792" spans="1:4" x14ac:dyDescent="0.3">
      <c r="A4792" t="s">
        <v>1628</v>
      </c>
      <c r="B4792">
        <v>16.994366562717872</v>
      </c>
      <c r="C4792" t="s">
        <v>862</v>
      </c>
      <c r="D4792" t="s">
        <v>2276</v>
      </c>
    </row>
    <row r="4793" spans="1:4" x14ac:dyDescent="0.3">
      <c r="A4793" t="s">
        <v>17</v>
      </c>
      <c r="B4793">
        <v>0</v>
      </c>
      <c r="C4793" t="s">
        <v>862</v>
      </c>
      <c r="D4793" t="s">
        <v>2276</v>
      </c>
    </row>
    <row r="4794" spans="1:4" x14ac:dyDescent="0.3">
      <c r="A4794" t="s">
        <v>209</v>
      </c>
      <c r="B4794">
        <v>16.95376849893119</v>
      </c>
      <c r="C4794" t="s">
        <v>862</v>
      </c>
      <c r="D4794" t="s">
        <v>2276</v>
      </c>
    </row>
    <row r="4795" spans="1:4" x14ac:dyDescent="0.3">
      <c r="A4795" t="s">
        <v>446</v>
      </c>
      <c r="B4795">
        <v>4.0598063786682376E-2</v>
      </c>
      <c r="C4795" t="s">
        <v>862</v>
      </c>
      <c r="D4795" t="s">
        <v>2276</v>
      </c>
    </row>
    <row r="4796" spans="1:4" x14ac:dyDescent="0.3">
      <c r="A4796" t="s">
        <v>1632</v>
      </c>
      <c r="B4796" t="s">
        <v>361</v>
      </c>
      <c r="C4796" t="s">
        <v>862</v>
      </c>
      <c r="D4796" t="s">
        <v>2276</v>
      </c>
    </row>
    <row r="4797" spans="1:4" x14ac:dyDescent="0.3">
      <c r="A4797" t="s">
        <v>1626</v>
      </c>
      <c r="B4797" t="s">
        <v>361</v>
      </c>
      <c r="C4797" t="s">
        <v>862</v>
      </c>
      <c r="D4797" t="s">
        <v>2276</v>
      </c>
    </row>
    <row r="4798" spans="1:4" x14ac:dyDescent="0.3">
      <c r="A4798" t="s">
        <v>1627</v>
      </c>
      <c r="B4798" t="s">
        <v>361</v>
      </c>
      <c r="C4798" t="s">
        <v>862</v>
      </c>
      <c r="D4798" t="s">
        <v>2276</v>
      </c>
    </row>
    <row r="4799" spans="1:4" x14ac:dyDescent="0.3">
      <c r="A4799" t="s">
        <v>1625</v>
      </c>
      <c r="B4799" t="s">
        <v>361</v>
      </c>
      <c r="C4799" t="s">
        <v>862</v>
      </c>
      <c r="D4799" t="s">
        <v>2276</v>
      </c>
    </row>
    <row r="4800" spans="1:4" x14ac:dyDescent="0.3">
      <c r="A4800" t="s">
        <v>1623</v>
      </c>
      <c r="B4800" t="s">
        <v>361</v>
      </c>
      <c r="C4800" t="s">
        <v>862</v>
      </c>
      <c r="D4800" t="s">
        <v>2276</v>
      </c>
    </row>
    <row r="4801" spans="1:4" x14ac:dyDescent="0.3">
      <c r="A4801" t="s">
        <v>1633</v>
      </c>
      <c r="B4801">
        <v>16.994366562717872</v>
      </c>
      <c r="C4801" t="s">
        <v>862</v>
      </c>
      <c r="D4801" t="s">
        <v>2276</v>
      </c>
    </row>
    <row r="4802" spans="1:4" x14ac:dyDescent="0.3">
      <c r="A4802" t="s">
        <v>1628</v>
      </c>
      <c r="B4802">
        <v>16.994366562717872</v>
      </c>
      <c r="C4802" t="s">
        <v>862</v>
      </c>
      <c r="D4802" t="s">
        <v>2277</v>
      </c>
    </row>
    <row r="4803" spans="1:4" x14ac:dyDescent="0.3">
      <c r="A4803" t="s">
        <v>17</v>
      </c>
      <c r="B4803">
        <v>0</v>
      </c>
      <c r="C4803" t="s">
        <v>862</v>
      </c>
      <c r="D4803" t="s">
        <v>2277</v>
      </c>
    </row>
    <row r="4804" spans="1:4" x14ac:dyDescent="0.3">
      <c r="A4804" t="s">
        <v>209</v>
      </c>
      <c r="B4804">
        <v>16.95376849893119</v>
      </c>
      <c r="C4804" t="s">
        <v>862</v>
      </c>
      <c r="D4804" t="s">
        <v>2277</v>
      </c>
    </row>
    <row r="4805" spans="1:4" x14ac:dyDescent="0.3">
      <c r="A4805" t="s">
        <v>446</v>
      </c>
      <c r="B4805">
        <v>4.0598063786682376E-2</v>
      </c>
      <c r="C4805" t="s">
        <v>862</v>
      </c>
      <c r="D4805" t="s">
        <v>2277</v>
      </c>
    </row>
    <row r="4806" spans="1:4" x14ac:dyDescent="0.3">
      <c r="A4806" t="s">
        <v>1632</v>
      </c>
      <c r="B4806" t="s">
        <v>361</v>
      </c>
      <c r="C4806" t="s">
        <v>862</v>
      </c>
      <c r="D4806" t="s">
        <v>2277</v>
      </c>
    </row>
    <row r="4807" spans="1:4" x14ac:dyDescent="0.3">
      <c r="A4807" t="s">
        <v>1626</v>
      </c>
      <c r="B4807" t="s">
        <v>361</v>
      </c>
      <c r="C4807" t="s">
        <v>862</v>
      </c>
      <c r="D4807" t="s">
        <v>2277</v>
      </c>
    </row>
    <row r="4808" spans="1:4" x14ac:dyDescent="0.3">
      <c r="A4808" t="s">
        <v>1627</v>
      </c>
      <c r="B4808" t="s">
        <v>361</v>
      </c>
      <c r="C4808" t="s">
        <v>862</v>
      </c>
      <c r="D4808" t="s">
        <v>2277</v>
      </c>
    </row>
    <row r="4809" spans="1:4" x14ac:dyDescent="0.3">
      <c r="A4809" t="s">
        <v>1625</v>
      </c>
      <c r="B4809" t="s">
        <v>361</v>
      </c>
      <c r="C4809" t="s">
        <v>862</v>
      </c>
      <c r="D4809" t="s">
        <v>2277</v>
      </c>
    </row>
    <row r="4810" spans="1:4" x14ac:dyDescent="0.3">
      <c r="A4810" t="s">
        <v>1623</v>
      </c>
      <c r="B4810" t="s">
        <v>361</v>
      </c>
      <c r="C4810" t="s">
        <v>862</v>
      </c>
      <c r="D4810" t="s">
        <v>2277</v>
      </c>
    </row>
    <row r="4811" spans="1:4" x14ac:dyDescent="0.3">
      <c r="A4811" t="s">
        <v>1633</v>
      </c>
      <c r="B4811">
        <v>16.994366562717872</v>
      </c>
      <c r="C4811" t="s">
        <v>862</v>
      </c>
      <c r="D4811" t="s">
        <v>2277</v>
      </c>
    </row>
    <row r="4812" spans="1:4" x14ac:dyDescent="0.3">
      <c r="A4812" t="s">
        <v>1628</v>
      </c>
      <c r="B4812">
        <v>16.994366562717872</v>
      </c>
      <c r="C4812" t="s">
        <v>862</v>
      </c>
      <c r="D4812" t="s">
        <v>2278</v>
      </c>
    </row>
    <row r="4813" spans="1:4" x14ac:dyDescent="0.3">
      <c r="A4813" t="s">
        <v>17</v>
      </c>
      <c r="B4813">
        <v>0</v>
      </c>
      <c r="C4813" t="s">
        <v>862</v>
      </c>
      <c r="D4813" t="s">
        <v>2278</v>
      </c>
    </row>
    <row r="4814" spans="1:4" x14ac:dyDescent="0.3">
      <c r="A4814" t="s">
        <v>209</v>
      </c>
      <c r="B4814">
        <v>16.95376849893119</v>
      </c>
      <c r="C4814" t="s">
        <v>862</v>
      </c>
      <c r="D4814" t="s">
        <v>2278</v>
      </c>
    </row>
    <row r="4815" spans="1:4" x14ac:dyDescent="0.3">
      <c r="A4815" t="s">
        <v>446</v>
      </c>
      <c r="B4815">
        <v>4.0598063786682376E-2</v>
      </c>
      <c r="C4815" t="s">
        <v>862</v>
      </c>
      <c r="D4815" t="s">
        <v>2278</v>
      </c>
    </row>
    <row r="4816" spans="1:4" x14ac:dyDescent="0.3">
      <c r="A4816" t="s">
        <v>1632</v>
      </c>
      <c r="B4816" t="s">
        <v>361</v>
      </c>
      <c r="C4816" t="s">
        <v>862</v>
      </c>
      <c r="D4816" t="s">
        <v>2278</v>
      </c>
    </row>
    <row r="4817" spans="1:4" x14ac:dyDescent="0.3">
      <c r="A4817" t="s">
        <v>1626</v>
      </c>
      <c r="B4817" t="s">
        <v>361</v>
      </c>
      <c r="C4817" t="s">
        <v>862</v>
      </c>
      <c r="D4817" t="s">
        <v>2278</v>
      </c>
    </row>
    <row r="4818" spans="1:4" x14ac:dyDescent="0.3">
      <c r="A4818" t="s">
        <v>1627</v>
      </c>
      <c r="B4818" t="s">
        <v>361</v>
      </c>
      <c r="C4818" t="s">
        <v>862</v>
      </c>
      <c r="D4818" t="s">
        <v>2278</v>
      </c>
    </row>
    <row r="4819" spans="1:4" x14ac:dyDescent="0.3">
      <c r="A4819" t="s">
        <v>1625</v>
      </c>
      <c r="B4819" t="s">
        <v>361</v>
      </c>
      <c r="C4819" t="s">
        <v>862</v>
      </c>
      <c r="D4819" t="s">
        <v>2278</v>
      </c>
    </row>
    <row r="4820" spans="1:4" x14ac:dyDescent="0.3">
      <c r="A4820" t="s">
        <v>1623</v>
      </c>
      <c r="B4820" t="s">
        <v>361</v>
      </c>
      <c r="C4820" t="s">
        <v>862</v>
      </c>
      <c r="D4820" t="s">
        <v>2278</v>
      </c>
    </row>
    <row r="4821" spans="1:4" x14ac:dyDescent="0.3">
      <c r="A4821" t="s">
        <v>1633</v>
      </c>
      <c r="B4821">
        <v>16.994366562717872</v>
      </c>
      <c r="C4821" t="s">
        <v>862</v>
      </c>
      <c r="D4821" t="s">
        <v>2278</v>
      </c>
    </row>
    <row r="4822" spans="1:4" x14ac:dyDescent="0.3">
      <c r="A4822" t="s">
        <v>1628</v>
      </c>
      <c r="B4822">
        <v>16.994366562717872</v>
      </c>
      <c r="C4822" t="s">
        <v>862</v>
      </c>
      <c r="D4822" t="s">
        <v>2279</v>
      </c>
    </row>
    <row r="4823" spans="1:4" x14ac:dyDescent="0.3">
      <c r="A4823" t="s">
        <v>17</v>
      </c>
      <c r="B4823">
        <v>0</v>
      </c>
      <c r="C4823" t="s">
        <v>862</v>
      </c>
      <c r="D4823" t="s">
        <v>2279</v>
      </c>
    </row>
    <row r="4824" spans="1:4" x14ac:dyDescent="0.3">
      <c r="A4824" t="s">
        <v>209</v>
      </c>
      <c r="B4824">
        <v>16.95376849893119</v>
      </c>
      <c r="C4824" t="s">
        <v>862</v>
      </c>
      <c r="D4824" t="s">
        <v>2279</v>
      </c>
    </row>
    <row r="4825" spans="1:4" x14ac:dyDescent="0.3">
      <c r="A4825" t="s">
        <v>446</v>
      </c>
      <c r="B4825">
        <v>4.0598063786682376E-2</v>
      </c>
      <c r="C4825" t="s">
        <v>862</v>
      </c>
      <c r="D4825" t="s">
        <v>2279</v>
      </c>
    </row>
    <row r="4826" spans="1:4" x14ac:dyDescent="0.3">
      <c r="A4826" t="s">
        <v>1632</v>
      </c>
      <c r="B4826" t="s">
        <v>361</v>
      </c>
      <c r="C4826" t="s">
        <v>862</v>
      </c>
      <c r="D4826" t="s">
        <v>2279</v>
      </c>
    </row>
    <row r="4827" spans="1:4" x14ac:dyDescent="0.3">
      <c r="A4827" t="s">
        <v>1626</v>
      </c>
      <c r="B4827" t="s">
        <v>361</v>
      </c>
      <c r="C4827" t="s">
        <v>862</v>
      </c>
      <c r="D4827" t="s">
        <v>2279</v>
      </c>
    </row>
    <row r="4828" spans="1:4" x14ac:dyDescent="0.3">
      <c r="A4828" t="s">
        <v>1627</v>
      </c>
      <c r="B4828" t="s">
        <v>361</v>
      </c>
      <c r="C4828" t="s">
        <v>862</v>
      </c>
      <c r="D4828" t="s">
        <v>2279</v>
      </c>
    </row>
    <row r="4829" spans="1:4" x14ac:dyDescent="0.3">
      <c r="A4829" t="s">
        <v>1625</v>
      </c>
      <c r="B4829" t="s">
        <v>361</v>
      </c>
      <c r="C4829" t="s">
        <v>862</v>
      </c>
      <c r="D4829" t="s">
        <v>2279</v>
      </c>
    </row>
    <row r="4830" spans="1:4" x14ac:dyDescent="0.3">
      <c r="A4830" t="s">
        <v>1623</v>
      </c>
      <c r="B4830" t="s">
        <v>361</v>
      </c>
      <c r="C4830" t="s">
        <v>862</v>
      </c>
      <c r="D4830" t="s">
        <v>2279</v>
      </c>
    </row>
    <row r="4831" spans="1:4" x14ac:dyDescent="0.3">
      <c r="A4831" t="s">
        <v>1633</v>
      </c>
      <c r="B4831">
        <v>16.994366562717872</v>
      </c>
      <c r="C4831" t="s">
        <v>862</v>
      </c>
      <c r="D4831" t="s">
        <v>2279</v>
      </c>
    </row>
    <row r="4832" spans="1:4" x14ac:dyDescent="0.3">
      <c r="A4832" t="s">
        <v>1628</v>
      </c>
      <c r="B4832">
        <v>16.994366562717872</v>
      </c>
      <c r="C4832" t="s">
        <v>862</v>
      </c>
      <c r="D4832" t="s">
        <v>2280</v>
      </c>
    </row>
    <row r="4833" spans="1:4" x14ac:dyDescent="0.3">
      <c r="A4833" t="s">
        <v>17</v>
      </c>
      <c r="B4833">
        <v>0</v>
      </c>
      <c r="C4833" t="s">
        <v>862</v>
      </c>
      <c r="D4833" t="s">
        <v>2280</v>
      </c>
    </row>
    <row r="4834" spans="1:4" x14ac:dyDescent="0.3">
      <c r="A4834" t="s">
        <v>209</v>
      </c>
      <c r="B4834">
        <v>16.95376849893119</v>
      </c>
      <c r="C4834" t="s">
        <v>862</v>
      </c>
      <c r="D4834" t="s">
        <v>2280</v>
      </c>
    </row>
    <row r="4835" spans="1:4" x14ac:dyDescent="0.3">
      <c r="A4835" t="s">
        <v>446</v>
      </c>
      <c r="B4835">
        <v>4.0598063786682376E-2</v>
      </c>
      <c r="C4835" t="s">
        <v>862</v>
      </c>
      <c r="D4835" t="s">
        <v>2280</v>
      </c>
    </row>
    <row r="4836" spans="1:4" x14ac:dyDescent="0.3">
      <c r="A4836" t="s">
        <v>1632</v>
      </c>
      <c r="B4836" t="s">
        <v>361</v>
      </c>
      <c r="C4836" t="s">
        <v>862</v>
      </c>
      <c r="D4836" t="s">
        <v>2280</v>
      </c>
    </row>
    <row r="4837" spans="1:4" x14ac:dyDescent="0.3">
      <c r="A4837" t="s">
        <v>1626</v>
      </c>
      <c r="B4837" t="s">
        <v>361</v>
      </c>
      <c r="C4837" t="s">
        <v>862</v>
      </c>
      <c r="D4837" t="s">
        <v>2280</v>
      </c>
    </row>
    <row r="4838" spans="1:4" x14ac:dyDescent="0.3">
      <c r="A4838" t="s">
        <v>1627</v>
      </c>
      <c r="B4838" t="s">
        <v>361</v>
      </c>
      <c r="C4838" t="s">
        <v>862</v>
      </c>
      <c r="D4838" t="s">
        <v>2280</v>
      </c>
    </row>
    <row r="4839" spans="1:4" x14ac:dyDescent="0.3">
      <c r="A4839" t="s">
        <v>1625</v>
      </c>
      <c r="B4839" t="s">
        <v>361</v>
      </c>
      <c r="C4839" t="s">
        <v>862</v>
      </c>
      <c r="D4839" t="s">
        <v>2280</v>
      </c>
    </row>
    <row r="4840" spans="1:4" x14ac:dyDescent="0.3">
      <c r="A4840" t="s">
        <v>1623</v>
      </c>
      <c r="B4840" t="s">
        <v>361</v>
      </c>
      <c r="C4840" t="s">
        <v>862</v>
      </c>
      <c r="D4840" t="s">
        <v>2280</v>
      </c>
    </row>
    <row r="4841" spans="1:4" x14ac:dyDescent="0.3">
      <c r="A4841" t="s">
        <v>1633</v>
      </c>
      <c r="B4841">
        <v>16.994366562717872</v>
      </c>
      <c r="C4841" t="s">
        <v>862</v>
      </c>
      <c r="D4841" t="s">
        <v>2280</v>
      </c>
    </row>
    <row r="4842" spans="1:4" x14ac:dyDescent="0.3">
      <c r="A4842" t="s">
        <v>1628</v>
      </c>
      <c r="B4842">
        <v>16.994366562717872</v>
      </c>
      <c r="C4842" t="s">
        <v>862</v>
      </c>
      <c r="D4842" t="s">
        <v>2281</v>
      </c>
    </row>
    <row r="4843" spans="1:4" x14ac:dyDescent="0.3">
      <c r="A4843" t="s">
        <v>17</v>
      </c>
      <c r="B4843">
        <v>0</v>
      </c>
      <c r="C4843" t="s">
        <v>862</v>
      </c>
      <c r="D4843" t="s">
        <v>2281</v>
      </c>
    </row>
    <row r="4844" spans="1:4" x14ac:dyDescent="0.3">
      <c r="A4844" t="s">
        <v>209</v>
      </c>
      <c r="B4844">
        <v>16.95376849893119</v>
      </c>
      <c r="C4844" t="s">
        <v>862</v>
      </c>
      <c r="D4844" t="s">
        <v>2281</v>
      </c>
    </row>
    <row r="4845" spans="1:4" x14ac:dyDescent="0.3">
      <c r="A4845" t="s">
        <v>446</v>
      </c>
      <c r="B4845">
        <v>4.0598063786682376E-2</v>
      </c>
      <c r="C4845" t="s">
        <v>862</v>
      </c>
      <c r="D4845" t="s">
        <v>2281</v>
      </c>
    </row>
    <row r="4846" spans="1:4" x14ac:dyDescent="0.3">
      <c r="A4846" t="s">
        <v>1632</v>
      </c>
      <c r="B4846" t="s">
        <v>361</v>
      </c>
      <c r="C4846" t="s">
        <v>862</v>
      </c>
      <c r="D4846" t="s">
        <v>2281</v>
      </c>
    </row>
    <row r="4847" spans="1:4" x14ac:dyDescent="0.3">
      <c r="A4847" t="s">
        <v>1626</v>
      </c>
      <c r="B4847" t="s">
        <v>361</v>
      </c>
      <c r="C4847" t="s">
        <v>862</v>
      </c>
      <c r="D4847" t="s">
        <v>2281</v>
      </c>
    </row>
    <row r="4848" spans="1:4" x14ac:dyDescent="0.3">
      <c r="A4848" t="s">
        <v>1627</v>
      </c>
      <c r="B4848" t="s">
        <v>361</v>
      </c>
      <c r="C4848" t="s">
        <v>862</v>
      </c>
      <c r="D4848" t="s">
        <v>2281</v>
      </c>
    </row>
    <row r="4849" spans="1:4" x14ac:dyDescent="0.3">
      <c r="A4849" t="s">
        <v>1625</v>
      </c>
      <c r="B4849" t="s">
        <v>361</v>
      </c>
      <c r="C4849" t="s">
        <v>862</v>
      </c>
      <c r="D4849" t="s">
        <v>2281</v>
      </c>
    </row>
    <row r="4850" spans="1:4" x14ac:dyDescent="0.3">
      <c r="A4850" t="s">
        <v>1623</v>
      </c>
      <c r="B4850" t="s">
        <v>361</v>
      </c>
      <c r="C4850" t="s">
        <v>862</v>
      </c>
      <c r="D4850" t="s">
        <v>2281</v>
      </c>
    </row>
    <row r="4851" spans="1:4" x14ac:dyDescent="0.3">
      <c r="A4851" t="s">
        <v>1633</v>
      </c>
      <c r="B4851">
        <v>16.994366562717872</v>
      </c>
      <c r="C4851" t="s">
        <v>862</v>
      </c>
      <c r="D4851" t="s">
        <v>2281</v>
      </c>
    </row>
  </sheetData>
  <conditionalFormatting sqref="A28">
    <cfRule type="cellIs" dxfId="1471" priority="1" operator="equal">
      <formula>"(blank)"</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FD6D0-9CF3-4A62-9651-60FD5D399FFF}">
  <sheetPr codeName="GreetConnection"/>
  <dimension ref="A1:V515"/>
  <sheetViews>
    <sheetView topLeftCell="C145" zoomScale="70" zoomScaleNormal="70" workbookViewId="0">
      <selection activeCell="P185" sqref="P185"/>
    </sheetView>
  </sheetViews>
  <sheetFormatPr defaultRowHeight="14.4" x14ac:dyDescent="0.3"/>
  <cols>
    <col min="1" max="1" width="35.109375" customWidth="1"/>
    <col min="2" max="2" width="36" customWidth="1"/>
    <col min="3" max="3" width="14.33203125" customWidth="1"/>
    <col min="4" max="4" width="0.109375" customWidth="1"/>
    <col min="5" max="5" width="50" bestFit="1" customWidth="1"/>
    <col min="6" max="6" width="28.33203125" bestFit="1" customWidth="1"/>
    <col min="7" max="7" width="12.33203125" customWidth="1"/>
    <col min="8" max="8" width="13" customWidth="1"/>
    <col min="9" max="9" width="22" bestFit="1" customWidth="1"/>
    <col min="10" max="10" width="22.5546875" customWidth="1"/>
    <col min="11" max="11" width="16.44140625" customWidth="1"/>
    <col min="12" max="12" width="17.44140625" customWidth="1"/>
    <col min="13" max="14" width="13.6640625" customWidth="1"/>
    <col min="15" max="16" width="18.109375" customWidth="1"/>
    <col min="17" max="17" width="9.6640625" customWidth="1"/>
    <col min="18" max="18" width="52.5546875" bestFit="1" customWidth="1"/>
    <col min="19" max="19" width="14.5546875" customWidth="1"/>
    <col min="20" max="20" width="24.44140625" bestFit="1" customWidth="1"/>
  </cols>
  <sheetData>
    <row r="1" spans="1:20" x14ac:dyDescent="0.3">
      <c r="A1" s="12" t="s">
        <v>100</v>
      </c>
      <c r="F1" t="s">
        <v>1885</v>
      </c>
    </row>
    <row r="2" spans="1:20" x14ac:dyDescent="0.3">
      <c r="A2" s="12" t="s">
        <v>102</v>
      </c>
      <c r="B2" s="12" t="s">
        <v>197</v>
      </c>
      <c r="C2" s="12"/>
      <c r="E2" s="292" t="s">
        <v>198</v>
      </c>
      <c r="F2" s="19" t="s">
        <v>17</v>
      </c>
      <c r="G2" s="19" t="s">
        <v>18</v>
      </c>
      <c r="H2" s="19" t="s">
        <v>22</v>
      </c>
      <c r="I2" s="19" t="s">
        <v>442</v>
      </c>
      <c r="J2" s="19" t="s">
        <v>441</v>
      </c>
      <c r="K2" s="293" t="s">
        <v>19</v>
      </c>
      <c r="L2" s="293" t="s">
        <v>20</v>
      </c>
      <c r="M2" s="293" t="s">
        <v>24</v>
      </c>
      <c r="N2" s="293" t="s">
        <v>443</v>
      </c>
      <c r="O2" s="293" t="s">
        <v>1566</v>
      </c>
      <c r="P2" s="293" t="s">
        <v>1478</v>
      </c>
      <c r="Q2" s="293" t="s">
        <v>119</v>
      </c>
      <c r="R2" s="19" t="s">
        <v>72</v>
      </c>
      <c r="S2" s="20" t="s">
        <v>118</v>
      </c>
      <c r="T2" s="20" t="s">
        <v>91</v>
      </c>
    </row>
    <row r="3" spans="1:20" x14ac:dyDescent="0.3">
      <c r="A3" cm="1">
        <f t="array" aca="1" ref="A3:A67" ca="1">MergeArrays(IF(SendData_UD="",0,SendData_UD),IF(SendData_Always_Value="",0,SendData_Always_Value))</f>
        <v>0</v>
      </c>
      <c r="B3" t="str" cm="1">
        <f t="array" aca="1" ref="B3:B67" ca="1">MergeArrays(SendData_GREET1_ID,SendData_Always_NR)</f>
        <v>HEFA_feed_usage</v>
      </c>
      <c r="E3" s="300" t="str">
        <f>IF(Table_AlwaysSend[[#This Row],[GREET1 Name Range]]="", "dash_"&amp;Table_AlwaysSend[[#This Row],[Feedstock]]&amp;"_"&amp;Table_AlwaysSend[[#This Row],[Value to Send]], Table_AlwaysSend[[#This Row],[Feedstock]]&amp;"_"&amp;Table_AlwaysSend[[#This Row],[Value to Send]]&amp;"_"&amp;Table_AlwaysSend[[#This Row],[GREET1 Name Range]])</f>
        <v>All_AR5/GWP_GWP_of_GHG_Ref</v>
      </c>
      <c r="F3" s="297" t="s">
        <v>435</v>
      </c>
      <c r="G3" s="276" t="s">
        <v>435</v>
      </c>
      <c r="H3" s="282" t="s">
        <v>29</v>
      </c>
      <c r="I3" s="282" t="s">
        <v>435</v>
      </c>
      <c r="J3" s="282" t="s">
        <v>435</v>
      </c>
      <c r="K3" s="302" t="b" cm="1">
        <f t="array" ref="K3">OR(NOT(ISERROR(MATCH(TRIM(_xlfn.TEXTSPLIT(Table_AlwaysSend[[#This Row],[Feedstock]],",")),SelectedFeedstock,0))),AND(SelectedFeedstock&lt;&gt;"(Multiple Items)",SelectedFeedstock&lt;&gt;"(All)",Table_AlwaysSend[[#This Row],[Feedstock]]="All"))</f>
        <v>1</v>
      </c>
      <c r="L3" s="303" t="b" cm="1">
        <f t="array" ref="L3">OR(NOT(ISERROR(MATCH(TRIM(_xlfn.TEXTSPLIT(Table_AlwaysSend[[#This Row],[Conversion]],",")),SelectedConversion,0))),AND(SelectedConversion&lt;&gt;"(Multiple Items)",SelectedConversion&lt;&gt;"(All)",Table_AlwaysSend[[#This Row],[Conversion]]="All"))</f>
        <v>1</v>
      </c>
      <c r="M3" s="304" t="b" cm="1">
        <f t="array" ref="M3">OR(NOT(ISERROR(MATCH(TRIM(_xlfn.TEXTSPLIT(Table_AlwaysSend[[#This Row],[Data Source]],",")),SelectedDataSource,0))),AND(SelectedDataSource&lt;&gt;"(Multiple Items)",SelectedDataSource&lt;&gt;"(All)",Table_AlwaysSend[[#This Row],[Data Source]]="All"))</f>
        <v>1</v>
      </c>
      <c r="N3" s="303" t="b" cm="1">
        <f t="array" ref="N3">OR(NOT(ISERROR(MATCH(TRIM(_xlfn.TEXTSPLIT(Table_AlwaysSend[[#This Row],[Technology]],",")),SelectedTechnology,0))),AND(SelectedTechnology&lt;&gt;"(Multiple Items)",SelectedTechnology&lt;&gt;"(All)",Table_AlwaysSend[[#This Row],[Technology]]="All"))</f>
        <v>1</v>
      </c>
      <c r="O3" s="303" t="b" cm="1">
        <f t="array" ref="O3">OR(NOT(ISERROR(MATCH(TRIM(_xlfn.TEXTSPLIT(Table_AlwaysSend[[#This Row],[Data Set]],",")),SelectedDataSet,0))),AND(SelectedDataSet&lt;&gt;"(Multiple Items)",SelectedDataSet&lt;&gt;"(All)",Table_AlwaysSend[[#This Row],[Data Set]]="All"))</f>
        <v>1</v>
      </c>
      <c r="P3" s="305" t="b">
        <f>TRUE</f>
        <v>1</v>
      </c>
      <c r="Q3" s="306" t="b">
        <f>AND(Table_AlwaysSend[[#This Row],[Show Feedstock]:[Show Data Source2]],Table_AlwaysSend[[#This Row],[Conditional]]=TRUE)</f>
        <v>1</v>
      </c>
      <c r="R3" s="276" t="s">
        <v>673</v>
      </c>
      <c r="S3" s="286" t="s">
        <v>437</v>
      </c>
      <c r="T3" s="23" t="s">
        <v>436</v>
      </c>
    </row>
    <row r="4" spans="1:20" x14ac:dyDescent="0.3">
      <c r="A4">
        <f ca="1"/>
        <v>0</v>
      </c>
      <c r="B4" t="str">
        <f ca="1"/>
        <v>Canola_HEFA_Electricity</v>
      </c>
      <c r="E4" s="300" t="str">
        <f>IF(Table_AlwaysSend[[#This Row],[GREET1 Name Range]]="", "dash_"&amp;Table_AlwaysSend[[#This Row],[Feedstock]]&amp;"_"&amp;Table_AlwaysSend[[#This Row],[Value to Send]], Table_AlwaysSend[[#This Row],[Feedstock]]&amp;"_"&amp;Table_AlwaysSend[[#This Row],[Value to Send]]&amp;"_"&amp;Table_AlwaysSend[[#This Row],[GREET1 Name Range]])</f>
        <v>All_AR5/GWP_GWP_of_GHG_Ref</v>
      </c>
      <c r="F4" s="298" t="s">
        <v>435</v>
      </c>
      <c r="G4" s="294" t="s">
        <v>435</v>
      </c>
      <c r="H4" s="282" t="s">
        <v>29</v>
      </c>
      <c r="I4" s="282" t="s">
        <v>435</v>
      </c>
      <c r="J4" s="282" t="s">
        <v>435</v>
      </c>
      <c r="K4" s="302" t="b" cm="1">
        <f t="array" ref="K4">OR(NOT(ISERROR(MATCH(TRIM(_xlfn.TEXTSPLIT(Table_AlwaysSend[[#This Row],[Feedstock]],",")),SelectedFeedstock,0))),AND(SelectedFeedstock&lt;&gt;"(Multiple Items)",SelectedFeedstock&lt;&gt;"(All)",Table_AlwaysSend[[#This Row],[Feedstock]]="All"))</f>
        <v>1</v>
      </c>
      <c r="L4" s="303" t="b" cm="1">
        <f t="array" ref="L4">OR(NOT(ISERROR(MATCH(TRIM(_xlfn.TEXTSPLIT(Table_AlwaysSend[[#This Row],[Conversion]],",")),SelectedConversion,0))),AND(SelectedConversion&lt;&gt;"(Multiple Items)",SelectedConversion&lt;&gt;"(All)",Table_AlwaysSend[[#This Row],[Conversion]]="All"))</f>
        <v>1</v>
      </c>
      <c r="M4" s="303" t="b" cm="1">
        <f t="array" ref="M4">OR(NOT(ISERROR(MATCH(TRIM(_xlfn.TEXTSPLIT(Table_AlwaysSend[[#This Row],[Data Source]],",")),SelectedDataSource,0))),AND(SelectedDataSource&lt;&gt;"(Multiple Items)",SelectedDataSource&lt;&gt;"(All)",Table_AlwaysSend[[#This Row],[Data Source]]="All"))</f>
        <v>1</v>
      </c>
      <c r="N4" s="303" t="b" cm="1">
        <f t="array" ref="N4">OR(NOT(ISERROR(MATCH(TRIM(_xlfn.TEXTSPLIT(Table_AlwaysSend[[#This Row],[Technology]],",")),SelectedTechnology,0))),AND(SelectedTechnology&lt;&gt;"(Multiple Items)",SelectedTechnology&lt;&gt;"(All)",Table_AlwaysSend[[#This Row],[Technology]]="All"))</f>
        <v>1</v>
      </c>
      <c r="O4" s="303" t="b" cm="1">
        <f t="array" ref="O4">OR(NOT(ISERROR(MATCH(TRIM(_xlfn.TEXTSPLIT(Table_AlwaysSend[[#This Row],[Data Set]],",")),SelectedDataSet,0))),AND(SelectedDataSet&lt;&gt;"(Multiple Items)",SelectedDataSet&lt;&gt;"(All)",Table_AlwaysSend[[#This Row],[Data Set]]="All"))</f>
        <v>1</v>
      </c>
      <c r="P4" s="305" t="b">
        <v>0</v>
      </c>
      <c r="Q4" s="307" t="b">
        <f>AND(Table_AlwaysSend[[#This Row],[Show Feedstock]:[Show Data Source2]],Table_AlwaysSend[[#This Row],[Conditional]]=TRUE)</f>
        <v>0</v>
      </c>
      <c r="R4" s="294" t="s">
        <v>673</v>
      </c>
      <c r="S4" s="286" t="s">
        <v>437</v>
      </c>
      <c r="T4" s="23" t="s">
        <v>436</v>
      </c>
    </row>
    <row r="5" spans="1:20" x14ac:dyDescent="0.3">
      <c r="A5">
        <f ca="1"/>
        <v>0</v>
      </c>
      <c r="B5" t="str">
        <f ca="1"/>
        <v>SAF_45VModeled_H2_CI</v>
      </c>
      <c r="E5" s="300" t="str">
        <f>IF(Table_AlwaysSend[[#This Row],[GREET1 Name Range]]="", "dash_"&amp;Table_AlwaysSend[[#This Row],[Feedstock]]&amp;"_"&amp;Table_AlwaysSend[[#This Row],[Value to Send]], Table_AlwaysSend[[#This Row],[Feedstock]]&amp;"_"&amp;Table_AlwaysSend[[#This Row],[Value to Send]]&amp;"_"&amp;Table_AlwaysSend[[#This Row],[GREET1 Name Range]])</f>
        <v>All_1_GREET_ICAO_Selector</v>
      </c>
      <c r="F5" s="298" t="s">
        <v>435</v>
      </c>
      <c r="G5" s="294" t="s">
        <v>435</v>
      </c>
      <c r="H5" s="282" t="s">
        <v>29</v>
      </c>
      <c r="I5" s="282" t="s">
        <v>435</v>
      </c>
      <c r="J5" s="282" t="s">
        <v>435</v>
      </c>
      <c r="K5" s="305" t="b" cm="1">
        <f t="array" ref="K5">OR(NOT(ISERROR(MATCH(TRIM(_xlfn.TEXTSPLIT(Table_AlwaysSend[[#This Row],[Feedstock]],",")),SelectedFeedstock,0))),AND(SelectedFeedstock&lt;&gt;"(Multiple Items)",SelectedFeedstock&lt;&gt;"(All)",Table_AlwaysSend[[#This Row],[Feedstock]]="All"))</f>
        <v>1</v>
      </c>
      <c r="L5" s="305" t="b" cm="1">
        <f t="array" ref="L5">OR(NOT(ISERROR(MATCH(TRIM(_xlfn.TEXTSPLIT(Table_AlwaysSend[[#This Row],[Conversion]],",")),SelectedConversion,0))),AND(SelectedConversion&lt;&gt;"(Multiple Items)",SelectedConversion&lt;&gt;"(All)",Table_AlwaysSend[[#This Row],[Conversion]]="All"))</f>
        <v>1</v>
      </c>
      <c r="M5" s="305" t="b" cm="1">
        <f t="array" ref="M5">OR(NOT(ISERROR(MATCH(TRIM(_xlfn.TEXTSPLIT(Table_AlwaysSend[[#This Row],[Data Source]],",")),SelectedDataSource,0))),AND(SelectedDataSource&lt;&gt;"(Multiple Items)",SelectedDataSource&lt;&gt;"(All)",Table_AlwaysSend[[#This Row],[Data Source]]="All"))</f>
        <v>1</v>
      </c>
      <c r="N5" s="305" t="b" cm="1">
        <f t="array" ref="N5">OR(NOT(ISERROR(MATCH(TRIM(_xlfn.TEXTSPLIT(Table_AlwaysSend[[#This Row],[Technology]],",")),SelectedTechnology,0))),AND(SelectedTechnology&lt;&gt;"(Multiple Items)",SelectedTechnology&lt;&gt;"(All)",Table_AlwaysSend[[#This Row],[Technology]]="All"))</f>
        <v>1</v>
      </c>
      <c r="O5" s="305" t="b" cm="1">
        <f t="array" ref="O5">OR(NOT(ISERROR(MATCH(TRIM(_xlfn.TEXTSPLIT(Table_AlwaysSend[[#This Row],[Data Set]],",")),SelectedDataSet,0))),AND(SelectedDataSet&lt;&gt;"(Multiple Items)",SelectedDataSet&lt;&gt;"(All)",Table_AlwaysSend[[#This Row],[Data Set]]="All"))</f>
        <v>1</v>
      </c>
      <c r="P5" s="305" t="b">
        <f>TRUE</f>
        <v>1</v>
      </c>
      <c r="Q5" s="307" t="b">
        <f>AND(Table_AlwaysSend[[#This Row],[Show Feedstock]:[Show Data Source2]],Table_AlwaysSend[[#This Row],[Conditional]]=TRUE)</f>
        <v>1</v>
      </c>
      <c r="R5" s="294" t="s">
        <v>1334</v>
      </c>
      <c r="S5" s="287">
        <v>1</v>
      </c>
      <c r="T5" s="23" t="s">
        <v>880</v>
      </c>
    </row>
    <row r="6" spans="1:20" x14ac:dyDescent="0.3">
      <c r="A6">
        <f ca="1"/>
        <v>0</v>
      </c>
      <c r="B6" t="str">
        <f ca="1"/>
        <v>T_D_HEFA_SAF_Barge_Share</v>
      </c>
      <c r="E6" s="300" t="str">
        <f>IF(Table_AlwaysSend[[#This Row],[GREET1 Name Range]]="", "dash_"&amp;Table_AlwaysSend[[#This Row],[Feedstock]]&amp;"_"&amp;Table_AlwaysSend[[#This Row],[Value to Send]], Table_AlwaysSend[[#This Row],[Feedstock]]&amp;"_"&amp;Table_AlwaysSend[[#This Row],[Value to Send]]&amp;"_"&amp;Table_AlwaysSend[[#This Row],[GREET1 Name Range]])</f>
        <v>All_2_GREET_ICAO_Selector</v>
      </c>
      <c r="F6" s="298" t="s">
        <v>435</v>
      </c>
      <c r="G6" s="294" t="s">
        <v>435</v>
      </c>
      <c r="H6" s="282" t="s">
        <v>194</v>
      </c>
      <c r="I6" s="282" t="s">
        <v>435</v>
      </c>
      <c r="J6" s="282" t="s">
        <v>435</v>
      </c>
      <c r="K6" s="305" t="b" cm="1">
        <f t="array" ref="K6">OR(NOT(ISERROR(MATCH(TRIM(_xlfn.TEXTSPLIT(Table_AlwaysSend[[#This Row],[Feedstock]],",")),SelectedFeedstock,0))),AND(SelectedFeedstock&lt;&gt;"(Multiple Items)",SelectedFeedstock&lt;&gt;"(All)",Table_AlwaysSend[[#This Row],[Feedstock]]="All"))</f>
        <v>1</v>
      </c>
      <c r="L6" s="305" t="b" cm="1">
        <f t="array" ref="L6">OR(NOT(ISERROR(MATCH(TRIM(_xlfn.TEXTSPLIT(Table_AlwaysSend[[#This Row],[Conversion]],",")),SelectedConversion,0))),AND(SelectedConversion&lt;&gt;"(Multiple Items)",SelectedConversion&lt;&gt;"(All)",Table_AlwaysSend[[#This Row],[Conversion]]="All"))</f>
        <v>1</v>
      </c>
      <c r="M6" s="305" t="b" cm="1">
        <f t="array" ref="M6">OR(NOT(ISERROR(MATCH(TRIM(_xlfn.TEXTSPLIT(Table_AlwaysSend[[#This Row],[Data Source]],",")),SelectedDataSource,0))),AND(SelectedDataSource&lt;&gt;"(Multiple Items)",SelectedDataSource&lt;&gt;"(All)",Table_AlwaysSend[[#This Row],[Data Source]]="All"))</f>
        <v>0</v>
      </c>
      <c r="N6" s="305" t="b" cm="1">
        <f t="array" ref="N6">OR(NOT(ISERROR(MATCH(TRIM(_xlfn.TEXTSPLIT(Table_AlwaysSend[[#This Row],[Technology]],",")),SelectedTechnology,0))),AND(SelectedTechnology&lt;&gt;"(Multiple Items)",SelectedTechnology&lt;&gt;"(All)",Table_AlwaysSend[[#This Row],[Technology]]="All"))</f>
        <v>1</v>
      </c>
      <c r="O6" s="305" t="b" cm="1">
        <f t="array" ref="O6">OR(NOT(ISERROR(MATCH(TRIM(_xlfn.TEXTSPLIT(Table_AlwaysSend[[#This Row],[Data Set]],",")),SelectedDataSet,0))),AND(SelectedDataSet&lt;&gt;"(Multiple Items)",SelectedDataSet&lt;&gt;"(All)",Table_AlwaysSend[[#This Row],[Data Set]]="All"))</f>
        <v>1</v>
      </c>
      <c r="P6" s="305" t="b">
        <f>TRUE</f>
        <v>1</v>
      </c>
      <c r="Q6" s="307" t="b">
        <f>AND(Table_AlwaysSend[[#This Row],[Show Feedstock]:[Show Data Source2]],Table_AlwaysSend[[#This Row],[Conditional]]=TRUE)</f>
        <v>0</v>
      </c>
      <c r="R6" s="294" t="s">
        <v>1334</v>
      </c>
      <c r="S6" s="287">
        <v>2</v>
      </c>
      <c r="T6" s="23" t="s">
        <v>880</v>
      </c>
    </row>
    <row r="7" spans="1:20" x14ac:dyDescent="0.3">
      <c r="A7">
        <f ca="1"/>
        <v>0</v>
      </c>
      <c r="B7" t="str">
        <f ca="1"/>
        <v>T_D_HEFA_SAF_Pipeline_Share</v>
      </c>
      <c r="E7" s="300" t="str">
        <f>IF(Table_AlwaysSend[[#This Row],[GREET1 Name Range]]="", "dash_"&amp;Table_AlwaysSend[[#This Row],[Feedstock]]&amp;"_"&amp;Table_AlwaysSend[[#This Row],[Value to Send]], Table_AlwaysSend[[#This Row],[Feedstock]]&amp;"_"&amp;Table_AlwaysSend[[#This Row],[Value to Send]]&amp;"_"&amp;Table_AlwaysSend[[#This Row],[GREET1 Name Range]])</f>
        <v>Palm_2_Palm_CH4_Selector</v>
      </c>
      <c r="F7" s="297" t="s">
        <v>122</v>
      </c>
      <c r="G7" s="276" t="s">
        <v>30</v>
      </c>
      <c r="H7" s="299" t="s">
        <v>29</v>
      </c>
      <c r="I7" s="279" t="s">
        <v>29</v>
      </c>
      <c r="J7" s="282" t="s">
        <v>123</v>
      </c>
      <c r="K7" s="303" t="b" cm="1">
        <f t="array" ref="K7">OR(NOT(ISERROR(MATCH(TRIM(_xlfn.TEXTSPLIT(Table_AlwaysSend[[#This Row],[Feedstock]],",")),SelectedFeedstock,0))),AND(SelectedFeedstock&lt;&gt;"(Multiple Items)",SelectedFeedstock&lt;&gt;"(All)",Table_AlwaysSend[[#This Row],[Feedstock]]="All"))</f>
        <v>0</v>
      </c>
      <c r="L7" s="303" t="b" cm="1">
        <f t="array" ref="L7">OR(NOT(ISERROR(MATCH(TRIM(_xlfn.TEXTSPLIT(Table_AlwaysSend[[#This Row],[Conversion]],",")),SelectedConversion,0))),AND(SelectedConversion&lt;&gt;"(Multiple Items)",SelectedConversion&lt;&gt;"(All)",Table_AlwaysSend[[#This Row],[Conversion]]="All"))</f>
        <v>1</v>
      </c>
      <c r="M7" s="303" t="b" cm="1">
        <f t="array" ref="M7">OR(NOT(ISERROR(MATCH(TRIM(_xlfn.TEXTSPLIT(Table_AlwaysSend[[#This Row],[Data Source]],",")),SelectedDataSource,0))),AND(SelectedDataSource&lt;&gt;"(Multiple Items)",SelectedDataSource&lt;&gt;"(All)",Table_AlwaysSend[[#This Row],[Data Source]]="All"))</f>
        <v>1</v>
      </c>
      <c r="N7" s="305" t="b" cm="1">
        <f t="array" ref="N7">OR(NOT(ISERROR(MATCH(TRIM(_xlfn.TEXTSPLIT(Table_AlwaysSend[[#This Row],[Technology]],",")),SelectedTechnology,0))),AND(SelectedTechnology&lt;&gt;"(Multiple Items)",SelectedTechnology&lt;&gt;"(All)",Table_AlwaysSend[[#This Row],[Technology]]="All"))</f>
        <v>0</v>
      </c>
      <c r="O7" s="303" t="b" cm="1">
        <f t="array" ref="O7">OR(NOT(ISERROR(MATCH(TRIM(_xlfn.TEXTSPLIT(Table_AlwaysSend[[#This Row],[Data Set]],",")),SelectedDataSet,0))),AND(SelectedDataSet&lt;&gt;"(Multiple Items)",SelectedDataSet&lt;&gt;"(All)",Table_AlwaysSend[[#This Row],[Data Set]]="All"))</f>
        <v>1</v>
      </c>
      <c r="P7" s="305" t="b">
        <f>TRUE</f>
        <v>1</v>
      </c>
      <c r="Q7" s="306" t="b">
        <f>AND(Table_AlwaysSend[[#This Row],[Show Feedstock]:[Show Data Source2]],Table_AlwaysSend[[#This Row],[Conditional]]=TRUE)</f>
        <v>0</v>
      </c>
      <c r="R7" s="276" t="s">
        <v>737</v>
      </c>
      <c r="S7" s="285">
        <v>2</v>
      </c>
      <c r="T7" s="23" t="s">
        <v>1127</v>
      </c>
    </row>
    <row r="8" spans="1:20" x14ac:dyDescent="0.3">
      <c r="A8">
        <f ca="1"/>
        <v>0</v>
      </c>
      <c r="B8" t="str">
        <f ca="1"/>
        <v>T_D_HEFA_SAF_Rail_Share</v>
      </c>
      <c r="E8" s="300" t="str">
        <f>IF(Table_AlwaysSend[[#This Row],[GREET1 Name Range]]="", "dash_"&amp;Table_AlwaysSend[[#This Row],[Feedstock]]&amp;"_"&amp;Table_AlwaysSend[[#This Row],[Value to Send]], Table_AlwaysSend[[#This Row],[Feedstock]]&amp;"_"&amp;Table_AlwaysSend[[#This Row],[Value to Send]]&amp;"_"&amp;Table_AlwaysSend[[#This Row],[GREET1 Name Range]])</f>
        <v>Palm_2.02176794956458_Palm_Extraction_CH4_POME</v>
      </c>
      <c r="F8" s="298" t="s">
        <v>122</v>
      </c>
      <c r="G8" s="294" t="s">
        <v>30</v>
      </c>
      <c r="H8" s="282" t="s">
        <v>29</v>
      </c>
      <c r="I8" s="280" t="s">
        <v>29</v>
      </c>
      <c r="J8" s="281" t="s">
        <v>123</v>
      </c>
      <c r="K8" s="305" t="b" cm="1">
        <f t="array" ref="K8">OR(NOT(ISERROR(MATCH(TRIM(_xlfn.TEXTSPLIT(Table_AlwaysSend[[#This Row],[Feedstock]],",")),SelectedFeedstock,0))),AND(SelectedFeedstock&lt;&gt;"(Multiple Items)",SelectedFeedstock&lt;&gt;"(All)",Table_AlwaysSend[[#This Row],[Feedstock]]="All"))</f>
        <v>0</v>
      </c>
      <c r="L8" s="305" t="b" cm="1">
        <f t="array" ref="L8">OR(NOT(ISERROR(MATCH(TRIM(_xlfn.TEXTSPLIT(Table_AlwaysSend[[#This Row],[Conversion]],",")),SelectedConversion,0))),AND(SelectedConversion&lt;&gt;"(Multiple Items)",SelectedConversion&lt;&gt;"(All)",Table_AlwaysSend[[#This Row],[Conversion]]="All"))</f>
        <v>1</v>
      </c>
      <c r="M8" s="305" t="b" cm="1">
        <f t="array" ref="M8">OR(NOT(ISERROR(MATCH(TRIM(_xlfn.TEXTSPLIT(Table_AlwaysSend[[#This Row],[Data Source]],",")),SelectedDataSource,0))),AND(SelectedDataSource&lt;&gt;"(Multiple Items)",SelectedDataSource&lt;&gt;"(All)",Table_AlwaysSend[[#This Row],[Data Source]]="All"))</f>
        <v>1</v>
      </c>
      <c r="N8" s="308" t="b" cm="1">
        <f t="array" ref="N8">OR(NOT(ISERROR(MATCH(TRIM(_xlfn.TEXTSPLIT(Table_AlwaysSend[[#This Row],[Technology]],",")),SelectedTechnology,0))),AND(SelectedTechnology&lt;&gt;"(Multiple Items)",SelectedTechnology&lt;&gt;"(All)",Table_AlwaysSend[[#This Row],[Technology]]="All"))</f>
        <v>0</v>
      </c>
      <c r="O8" s="305" t="b" cm="1">
        <f t="array" ref="O8">OR(NOT(ISERROR(MATCH(TRIM(_xlfn.TEXTSPLIT(Table_AlwaysSend[[#This Row],[Data Set]],",")),SelectedDataSet,0))),AND(SelectedDataSet&lt;&gt;"(Multiple Items)",SelectedDataSet&lt;&gt;"(All)",Table_AlwaysSend[[#This Row],[Data Set]]="All"))</f>
        <v>1</v>
      </c>
      <c r="P8" s="305" t="b">
        <f>TRUE</f>
        <v>1</v>
      </c>
      <c r="Q8" s="307" t="b">
        <f>AND(Table_AlwaysSend[[#This Row],[Show Feedstock]:[Show Data Source2]],Table_AlwaysSend[[#This Row],[Conditional]]=TRUE)</f>
        <v>0</v>
      </c>
      <c r="R8" s="294" t="s">
        <v>738</v>
      </c>
      <c r="S8" s="284">
        <v>2.0217679495645817</v>
      </c>
      <c r="T8" s="23" t="s">
        <v>440</v>
      </c>
    </row>
    <row r="9" spans="1:20" x14ac:dyDescent="0.3">
      <c r="A9">
        <f ca="1"/>
        <v>0</v>
      </c>
      <c r="B9" t="str">
        <f ca="1"/>
        <v>T_D_HEFA_SAF_Truck_Distance</v>
      </c>
      <c r="E9" s="300" t="str">
        <f>IF(Table_AlwaysSend[[#This Row],[GREET1 Name Range]]="", "dash_"&amp;Table_AlwaysSend[[#This Row],[Feedstock]]&amp;"_"&amp;Table_AlwaysSend[[#This Row],[Value to Send]], Table_AlwaysSend[[#This Row],[Feedstock]]&amp;"_"&amp;Table_AlwaysSend[[#This Row],[Value to Send]]&amp;"_"&amp;Table_AlwaysSend[[#This Row],[GREET1 Name Range]])</f>
        <v>Palm_1_Palm_CH4_Selector</v>
      </c>
      <c r="F9" s="297" t="s">
        <v>122</v>
      </c>
      <c r="G9" s="276" t="s">
        <v>30</v>
      </c>
      <c r="H9" s="299" t="s">
        <v>29</v>
      </c>
      <c r="I9" s="279" t="s">
        <v>29</v>
      </c>
      <c r="J9" s="282" t="s">
        <v>124</v>
      </c>
      <c r="K9" s="303" t="b" cm="1">
        <f t="array" ref="K9">OR(NOT(ISERROR(MATCH(TRIM(_xlfn.TEXTSPLIT(Table_AlwaysSend[[#This Row],[Feedstock]],",")),SelectedFeedstock,0))),AND(SelectedFeedstock&lt;&gt;"(Multiple Items)",SelectedFeedstock&lt;&gt;"(All)",Table_AlwaysSend[[#This Row],[Feedstock]]="All"))</f>
        <v>0</v>
      </c>
      <c r="L9" s="303" t="b" cm="1">
        <f t="array" ref="L9">OR(NOT(ISERROR(MATCH(TRIM(_xlfn.TEXTSPLIT(Table_AlwaysSend[[#This Row],[Conversion]],",")),SelectedConversion,0))),AND(SelectedConversion&lt;&gt;"(Multiple Items)",SelectedConversion&lt;&gt;"(All)",Table_AlwaysSend[[#This Row],[Conversion]]="All"))</f>
        <v>1</v>
      </c>
      <c r="M9" s="303" t="b" cm="1">
        <f t="array" ref="M9">OR(NOT(ISERROR(MATCH(TRIM(_xlfn.TEXTSPLIT(Table_AlwaysSend[[#This Row],[Data Source]],",")),SelectedDataSource,0))),AND(SelectedDataSource&lt;&gt;"(Multiple Items)",SelectedDataSource&lt;&gt;"(All)",Table_AlwaysSend[[#This Row],[Data Source]]="All"))</f>
        <v>1</v>
      </c>
      <c r="N9" s="305" t="b" cm="1">
        <f t="array" ref="N9">OR(NOT(ISERROR(MATCH(TRIM(_xlfn.TEXTSPLIT(Table_AlwaysSend[[#This Row],[Technology]],",")),SelectedTechnology,0))),AND(SelectedTechnology&lt;&gt;"(Multiple Items)",SelectedTechnology&lt;&gt;"(All)",Table_AlwaysSend[[#This Row],[Technology]]="All"))</f>
        <v>0</v>
      </c>
      <c r="O9" s="303" t="b" cm="1">
        <f t="array" ref="O9">OR(NOT(ISERROR(MATCH(TRIM(_xlfn.TEXTSPLIT(Table_AlwaysSend[[#This Row],[Data Set]],",")),SelectedDataSet,0))),AND(SelectedDataSet&lt;&gt;"(Multiple Items)",SelectedDataSet&lt;&gt;"(All)",Table_AlwaysSend[[#This Row],[Data Set]]="All"))</f>
        <v>1</v>
      </c>
      <c r="P9" s="305" t="b">
        <f>TRUE</f>
        <v>1</v>
      </c>
      <c r="Q9" s="306" t="b">
        <f>AND(Table_AlwaysSend[[#This Row],[Show Feedstock]:[Show Data Source2]],Table_AlwaysSend[[#This Row],[Conditional]]=TRUE)</f>
        <v>0</v>
      </c>
      <c r="R9" s="276" t="s">
        <v>737</v>
      </c>
      <c r="S9" s="285">
        <v>1</v>
      </c>
      <c r="T9" s="23" t="s">
        <v>1127</v>
      </c>
    </row>
    <row r="10" spans="1:20" x14ac:dyDescent="0.3">
      <c r="A10">
        <f ca="1"/>
        <v>0</v>
      </c>
      <c r="B10" t="str">
        <f ca="1"/>
        <v>SAF_H2_Transportation_NG_SMR_Pipeline_Share</v>
      </c>
      <c r="E10" s="300" t="str">
        <f>IF(Table_AlwaysSend[[#This Row],[GREET1 Name Range]]="", "dash_"&amp;Table_AlwaysSend[[#This Row],[Feedstock]]&amp;"_"&amp;Table_AlwaysSend[[#This Row],[Value to Send]], Table_AlwaysSend[[#This Row],[Feedstock]]&amp;"_"&amp;Table_AlwaysSend[[#This Row],[Value to Send]]&amp;"_"&amp;Table_AlwaysSend[[#This Row],[GREET1 Name Range]])</f>
        <v>Palm_13.4784529970972_Palm_Extraction_CH4_POME</v>
      </c>
      <c r="F10" s="298" t="s">
        <v>122</v>
      </c>
      <c r="G10" s="294" t="s">
        <v>30</v>
      </c>
      <c r="H10" s="282" t="s">
        <v>29</v>
      </c>
      <c r="I10" s="280" t="s">
        <v>29</v>
      </c>
      <c r="J10" s="282" t="s">
        <v>124</v>
      </c>
      <c r="K10" s="305" t="b" cm="1">
        <f t="array" ref="K10">OR(NOT(ISERROR(MATCH(TRIM(_xlfn.TEXTSPLIT(Table_AlwaysSend[[#This Row],[Feedstock]],",")),SelectedFeedstock,0))),AND(SelectedFeedstock&lt;&gt;"(Multiple Items)",SelectedFeedstock&lt;&gt;"(All)",Table_AlwaysSend[[#This Row],[Feedstock]]="All"))</f>
        <v>0</v>
      </c>
      <c r="L10" s="305" t="b" cm="1">
        <f t="array" ref="L10">OR(NOT(ISERROR(MATCH(TRIM(_xlfn.TEXTSPLIT(Table_AlwaysSend[[#This Row],[Conversion]],",")),SelectedConversion,0))),AND(SelectedConversion&lt;&gt;"(Multiple Items)",SelectedConversion&lt;&gt;"(All)",Table_AlwaysSend[[#This Row],[Conversion]]="All"))</f>
        <v>1</v>
      </c>
      <c r="M10" s="305" t="b" cm="1">
        <f t="array" ref="M10">OR(NOT(ISERROR(MATCH(TRIM(_xlfn.TEXTSPLIT(Table_AlwaysSend[[#This Row],[Data Source]],",")),SelectedDataSource,0))),AND(SelectedDataSource&lt;&gt;"(Multiple Items)",SelectedDataSource&lt;&gt;"(All)",Table_AlwaysSend[[#This Row],[Data Source]]="All"))</f>
        <v>1</v>
      </c>
      <c r="N10" s="308" t="b" cm="1">
        <f t="array" ref="N10">OR(NOT(ISERROR(MATCH(TRIM(_xlfn.TEXTSPLIT(Table_AlwaysSend[[#This Row],[Technology]],",")),SelectedTechnology,0))),AND(SelectedTechnology&lt;&gt;"(Multiple Items)",SelectedTechnology&lt;&gt;"(All)",Table_AlwaysSend[[#This Row],[Technology]]="All"))</f>
        <v>0</v>
      </c>
      <c r="O10" s="305" t="b" cm="1">
        <f t="array" ref="O10">OR(NOT(ISERROR(MATCH(TRIM(_xlfn.TEXTSPLIT(Table_AlwaysSend[[#This Row],[Data Set]],",")),SelectedDataSet,0))),AND(SelectedDataSet&lt;&gt;"(Multiple Items)",SelectedDataSet&lt;&gt;"(All)",Table_AlwaysSend[[#This Row],[Data Set]]="All"))</f>
        <v>1</v>
      </c>
      <c r="P10" s="305" t="b">
        <f>TRUE</f>
        <v>1</v>
      </c>
      <c r="Q10" s="307" t="b">
        <f>AND(Table_AlwaysSend[[#This Row],[Show Feedstock]:[Show Data Source2]],Table_AlwaysSend[[#This Row],[Conditional]]=TRUE)</f>
        <v>0</v>
      </c>
      <c r="R10" s="294" t="s">
        <v>738</v>
      </c>
      <c r="S10" s="284">
        <v>13.478452997097214</v>
      </c>
      <c r="T10" s="23" t="s">
        <v>440</v>
      </c>
    </row>
    <row r="11" spans="1:20" x14ac:dyDescent="0.3">
      <c r="A11">
        <f ca="1"/>
        <v>0</v>
      </c>
      <c r="B11" t="str">
        <f ca="1"/>
        <v>SAF_H2_Transportation_NG_SMR_TubeTrailer_Share</v>
      </c>
      <c r="E11" s="300" t="str">
        <f>IF(Table_AlwaysSend[[#This Row],[GREET1 Name Range]]="", "dash_"&amp;Table_AlwaysSend[[#This Row],[Feedstock]]&amp;"_"&amp;Table_AlwaysSend[[#This Row],[Value to Send]], Table_AlwaysSend[[#This Row],[Feedstock]]&amp;"_"&amp;Table_AlwaysSend[[#This Row],[Value to Send]]&amp;"_"&amp;Table_AlwaysSend[[#This Row],[GREET1 Name Range]])</f>
        <v>Corn_1_JetFuel_ETJet_EthanolFeedstock</v>
      </c>
      <c r="F11" s="23" t="s">
        <v>136</v>
      </c>
      <c r="G11" s="294" t="s">
        <v>1964</v>
      </c>
      <c r="H11" s="282" t="s">
        <v>29</v>
      </c>
      <c r="I11" s="278" t="s">
        <v>29</v>
      </c>
      <c r="J11" s="23" t="s">
        <v>1592</v>
      </c>
      <c r="K11" s="305" t="b" cm="1">
        <f t="array" ref="K11">OR(NOT(ISERROR(MATCH(TRIM(_xlfn.TEXTSPLIT(Table_AlwaysSend[[#This Row],[Feedstock]],",")),SelectedFeedstock,0))),AND(SelectedFeedstock&lt;&gt;"(Multiple Items)",SelectedFeedstock&lt;&gt;"(All)",Table_AlwaysSend[[#This Row],[Feedstock]]="All"))</f>
        <v>0</v>
      </c>
      <c r="L11" s="305" t="b" cm="1">
        <f t="array" ref="L11">OR(NOT(ISERROR(MATCH(TRIM(_xlfn.TEXTSPLIT(Table_AlwaysSend[[#This Row],[Conversion]],",")),SelectedConversion,0))),AND(SelectedConversion&lt;&gt;"(Multiple Items)",SelectedConversion&lt;&gt;"(All)",Table_AlwaysSend[[#This Row],[Conversion]]="All"))</f>
        <v>0</v>
      </c>
      <c r="M11" s="305" t="b" cm="1">
        <f t="array" ref="M11">OR(NOT(ISERROR(MATCH(TRIM(_xlfn.TEXTSPLIT(Table_AlwaysSend[[#This Row],[Data Source]],",")),SelectedDataSource,0))),AND(SelectedDataSource&lt;&gt;"(Multiple Items)",SelectedDataSource&lt;&gt;"(All)",Table_AlwaysSend[[#This Row],[Data Source]]="All"))</f>
        <v>1</v>
      </c>
      <c r="N11" s="305" t="b" cm="1">
        <f t="array" ref="N11">OR(NOT(ISERROR(MATCH(TRIM(_xlfn.TEXTSPLIT(Table_AlwaysSend[[#This Row],[Technology]],",")),SelectedTechnology,0))),AND(SelectedTechnology&lt;&gt;"(Multiple Items)",SelectedTechnology&lt;&gt;"(All)",Table_AlwaysSend[[#This Row],[Technology]]="All"))</f>
        <v>0</v>
      </c>
      <c r="O11" s="305" t="b" cm="1">
        <f t="array" ref="O11">OR(NOT(ISERROR(MATCH(TRIM(_xlfn.TEXTSPLIT(Table_AlwaysSend[[#This Row],[Data Set]],",")),SelectedDataSet,0))),AND(SelectedDataSet&lt;&gt;"(Multiple Items)",SelectedDataSet&lt;&gt;"(All)",Table_AlwaysSend[[#This Row],[Data Set]]="All"))</f>
        <v>1</v>
      </c>
      <c r="P11" s="305" t="b">
        <f>TRUE</f>
        <v>1</v>
      </c>
      <c r="Q11" s="307" t="b">
        <f>AND(Table_AlwaysSend[[#This Row],[Show Feedstock]:[Show Data Source2]],Table_AlwaysSend[[#This Row],[Conditional]]=TRUE)</f>
        <v>0</v>
      </c>
      <c r="R11" s="294" t="s">
        <v>87</v>
      </c>
      <c r="S11" s="285">
        <v>1</v>
      </c>
      <c r="T11" s="23" t="s">
        <v>902</v>
      </c>
    </row>
    <row r="12" spans="1:20" x14ac:dyDescent="0.3">
      <c r="A12">
        <f ca="1"/>
        <v>0</v>
      </c>
      <c r="B12" t="str">
        <f ca="1"/>
        <v>SAF_H2_Transportation_NG_SMR_LiquidTruck_Share</v>
      </c>
      <c r="E12" s="300" t="str">
        <f>IF(Table_AlwaysSend[[#This Row],[GREET1 Name Range]]="", "dash_"&amp;Table_AlwaysSend[[#This Row],[Feedstock]]&amp;"_"&amp;Table_AlwaysSend[[#This Row],[Value to Send]], Table_AlwaysSend[[#This Row],[Feedstock]]&amp;"_"&amp;Table_AlwaysSend[[#This Row],[Value to Send]]&amp;"_"&amp;Table_AlwaysSend[[#This Row],[GREET1 Name Range]])</f>
        <v>Corn_2_JetFuel_ETJet_EthanolFeedstock</v>
      </c>
      <c r="F12" s="23" t="s">
        <v>136</v>
      </c>
      <c r="G12" s="294" t="s">
        <v>1964</v>
      </c>
      <c r="H12" s="282" t="s">
        <v>29</v>
      </c>
      <c r="I12" s="278" t="s">
        <v>29</v>
      </c>
      <c r="J12" s="23" t="s">
        <v>1590</v>
      </c>
      <c r="K12" s="305" t="b" cm="1">
        <f t="array" ref="K12">OR(NOT(ISERROR(MATCH(TRIM(_xlfn.TEXTSPLIT(Table_AlwaysSend[[#This Row],[Feedstock]],",")),SelectedFeedstock,0))),AND(SelectedFeedstock&lt;&gt;"(Multiple Items)",SelectedFeedstock&lt;&gt;"(All)",Table_AlwaysSend[[#This Row],[Feedstock]]="All"))</f>
        <v>0</v>
      </c>
      <c r="L12" s="305" t="b" cm="1">
        <f t="array" ref="L12">OR(NOT(ISERROR(MATCH(TRIM(_xlfn.TEXTSPLIT(Table_AlwaysSend[[#This Row],[Conversion]],",")),SelectedConversion,0))),AND(SelectedConversion&lt;&gt;"(Multiple Items)",SelectedConversion&lt;&gt;"(All)",Table_AlwaysSend[[#This Row],[Conversion]]="All"))</f>
        <v>0</v>
      </c>
      <c r="M12" s="305" t="b" cm="1">
        <f t="array" ref="M12">OR(NOT(ISERROR(MATCH(TRIM(_xlfn.TEXTSPLIT(Table_AlwaysSend[[#This Row],[Data Source]],",")),SelectedDataSource,0))),AND(SelectedDataSource&lt;&gt;"(Multiple Items)",SelectedDataSource&lt;&gt;"(All)",Table_AlwaysSend[[#This Row],[Data Source]]="All"))</f>
        <v>1</v>
      </c>
      <c r="N12" s="305" t="b" cm="1">
        <f t="array" ref="N12">OR(NOT(ISERROR(MATCH(TRIM(_xlfn.TEXTSPLIT(Table_AlwaysSend[[#This Row],[Technology]],",")),SelectedTechnology,0))),AND(SelectedTechnology&lt;&gt;"(Multiple Items)",SelectedTechnology&lt;&gt;"(All)",Table_AlwaysSend[[#This Row],[Technology]]="All"))</f>
        <v>0</v>
      </c>
      <c r="O12" s="305" t="b" cm="1">
        <f t="array" ref="O12">OR(NOT(ISERROR(MATCH(TRIM(_xlfn.TEXTSPLIT(Table_AlwaysSend[[#This Row],[Data Set]],",")),SelectedDataSet,0))),AND(SelectedDataSet&lt;&gt;"(Multiple Items)",SelectedDataSet&lt;&gt;"(All)",Table_AlwaysSend[[#This Row],[Data Set]]="All"))</f>
        <v>1</v>
      </c>
      <c r="P12" s="305" t="b">
        <f>TRUE</f>
        <v>1</v>
      </c>
      <c r="Q12" s="307" t="b">
        <f>AND(Table_AlwaysSend[[#This Row],[Show Feedstock]:[Show Data Source2]],Table_AlwaysSend[[#This Row],[Conditional]]=TRUE)</f>
        <v>0</v>
      </c>
      <c r="R12" s="294" t="s">
        <v>87</v>
      </c>
      <c r="S12" s="285">
        <v>2</v>
      </c>
      <c r="T12" s="23" t="s">
        <v>902</v>
      </c>
    </row>
    <row r="13" spans="1:20" x14ac:dyDescent="0.3">
      <c r="A13">
        <f ca="1"/>
        <v>0</v>
      </c>
      <c r="B13" t="str">
        <f ca="1"/>
        <v>SAF_H2_Transportation_45VModeled_Pipeline_Share</v>
      </c>
      <c r="E13" s="300" t="str">
        <f>IF(Table_AlwaysSend[[#This Row],[GREET1 Name Range]]="", "dash_"&amp;Table_AlwaysSend[[#This Row],[Feedstock]]&amp;"_"&amp;Table_AlwaysSend[[#This Row],[Value to Send]], Table_AlwaysSend[[#This Row],[Feedstock]]&amp;"_"&amp;Table_AlwaysSend[[#This Row],[Value to Send]]&amp;"_"&amp;Table_AlwaysSend[[#This Row],[GREET1 Name Range]])</f>
        <v>Corn_3_JetFuel_ETJet_EthanolFeedstock</v>
      </c>
      <c r="F13" s="23" t="s">
        <v>136</v>
      </c>
      <c r="G13" s="294" t="s">
        <v>1964</v>
      </c>
      <c r="H13" s="282" t="s">
        <v>29</v>
      </c>
      <c r="I13" s="278" t="s">
        <v>29</v>
      </c>
      <c r="J13" s="23" t="s">
        <v>1591</v>
      </c>
      <c r="K13" s="305" t="b" cm="1">
        <f t="array" ref="K13">OR(NOT(ISERROR(MATCH(TRIM(_xlfn.TEXTSPLIT(Table_AlwaysSend[[#This Row],[Feedstock]],",")),SelectedFeedstock,0))),AND(SelectedFeedstock&lt;&gt;"(Multiple Items)",SelectedFeedstock&lt;&gt;"(All)",Table_AlwaysSend[[#This Row],[Feedstock]]="All"))</f>
        <v>0</v>
      </c>
      <c r="L13" s="305" t="b" cm="1">
        <f t="array" ref="L13">OR(NOT(ISERROR(MATCH(TRIM(_xlfn.TEXTSPLIT(Table_AlwaysSend[[#This Row],[Conversion]],",")),SelectedConversion,0))),AND(SelectedConversion&lt;&gt;"(Multiple Items)",SelectedConversion&lt;&gt;"(All)",Table_AlwaysSend[[#This Row],[Conversion]]="All"))</f>
        <v>0</v>
      </c>
      <c r="M13" s="305" t="b" cm="1">
        <f t="array" ref="M13">OR(NOT(ISERROR(MATCH(TRIM(_xlfn.TEXTSPLIT(Table_AlwaysSend[[#This Row],[Data Source]],",")),SelectedDataSource,0))),AND(SelectedDataSource&lt;&gt;"(Multiple Items)",SelectedDataSource&lt;&gt;"(All)",Table_AlwaysSend[[#This Row],[Data Source]]="All"))</f>
        <v>1</v>
      </c>
      <c r="N13" s="305" t="b" cm="1">
        <f t="array" ref="N13">OR(NOT(ISERROR(MATCH(TRIM(_xlfn.TEXTSPLIT(Table_AlwaysSend[[#This Row],[Technology]],",")),SelectedTechnology,0))),AND(SelectedTechnology&lt;&gt;"(Multiple Items)",SelectedTechnology&lt;&gt;"(All)",Table_AlwaysSend[[#This Row],[Technology]]="All"))</f>
        <v>0</v>
      </c>
      <c r="O13" s="305" t="b" cm="1">
        <f t="array" ref="O13">OR(NOT(ISERROR(MATCH(TRIM(_xlfn.TEXTSPLIT(Table_AlwaysSend[[#This Row],[Data Set]],",")),SelectedDataSet,0))),AND(SelectedDataSet&lt;&gt;"(Multiple Items)",SelectedDataSet&lt;&gt;"(All)",Table_AlwaysSend[[#This Row],[Data Set]]="All"))</f>
        <v>1</v>
      </c>
      <c r="P13" s="305" t="b">
        <f>TRUE</f>
        <v>1</v>
      </c>
      <c r="Q13" s="307" t="b">
        <f>AND(Table_AlwaysSend[[#This Row],[Show Feedstock]:[Show Data Source2]],Table_AlwaysSend[[#This Row],[Conditional]]=TRUE)</f>
        <v>0</v>
      </c>
      <c r="R13" s="294" t="s">
        <v>87</v>
      </c>
      <c r="S13" s="285">
        <v>3</v>
      </c>
      <c r="T13" s="23" t="s">
        <v>902</v>
      </c>
    </row>
    <row r="14" spans="1:20" x14ac:dyDescent="0.3">
      <c r="A14">
        <f ca="1"/>
        <v>0</v>
      </c>
      <c r="B14" t="str">
        <f ca="1"/>
        <v>SAF_H2_Transportation_45VModeled_TubeTrailer_Share</v>
      </c>
      <c r="E14" s="300" t="str">
        <f>IF(Table_AlwaysSend[[#This Row],[GREET1 Name Range]]="", "dash_"&amp;Table_AlwaysSend[[#This Row],[Feedstock]]&amp;"_"&amp;Table_AlwaysSend[[#This Row],[Value to Send]], Table_AlwaysSend[[#This Row],[Feedstock]]&amp;"_"&amp;Table_AlwaysSend[[#This Row],[Value to Send]]&amp;"_"&amp;Table_AlwaysSend[[#This Row],[GREET1 Name Range]])</f>
        <v>Corn_4_JetFuel_ETJet_EthanolFeedstock</v>
      </c>
      <c r="F14" s="23" t="s">
        <v>136</v>
      </c>
      <c r="G14" s="294" t="s">
        <v>1964</v>
      </c>
      <c r="H14" s="282" t="s">
        <v>29</v>
      </c>
      <c r="I14" s="278" t="s">
        <v>29</v>
      </c>
      <c r="J14" s="23" t="s">
        <v>1593</v>
      </c>
      <c r="K14" s="305" t="b" cm="1">
        <f t="array" ref="K14">OR(NOT(ISERROR(MATCH(TRIM(_xlfn.TEXTSPLIT(Table_AlwaysSend[[#This Row],[Feedstock]],",")),SelectedFeedstock,0))),AND(SelectedFeedstock&lt;&gt;"(Multiple Items)",SelectedFeedstock&lt;&gt;"(All)",Table_AlwaysSend[[#This Row],[Feedstock]]="All"))</f>
        <v>0</v>
      </c>
      <c r="L14" s="305" t="b" cm="1">
        <f t="array" ref="L14">OR(NOT(ISERROR(MATCH(TRIM(_xlfn.TEXTSPLIT(Table_AlwaysSend[[#This Row],[Conversion]],",")),SelectedConversion,0))),AND(SelectedConversion&lt;&gt;"(Multiple Items)",SelectedConversion&lt;&gt;"(All)",Table_AlwaysSend[[#This Row],[Conversion]]="All"))</f>
        <v>0</v>
      </c>
      <c r="M14" s="305" t="b" cm="1">
        <f t="array" ref="M14">OR(NOT(ISERROR(MATCH(TRIM(_xlfn.TEXTSPLIT(Table_AlwaysSend[[#This Row],[Data Source]],",")),SelectedDataSource,0))),AND(SelectedDataSource&lt;&gt;"(Multiple Items)",SelectedDataSource&lt;&gt;"(All)",Table_AlwaysSend[[#This Row],[Data Source]]="All"))</f>
        <v>1</v>
      </c>
      <c r="N14" s="305" t="b" cm="1">
        <f t="array" ref="N14">OR(NOT(ISERROR(MATCH(TRIM(_xlfn.TEXTSPLIT(Table_AlwaysSend[[#This Row],[Technology]],",")),SelectedTechnology,0))),AND(SelectedTechnology&lt;&gt;"(Multiple Items)",SelectedTechnology&lt;&gt;"(All)",Table_AlwaysSend[[#This Row],[Technology]]="All"))</f>
        <v>0</v>
      </c>
      <c r="O14" s="305" t="b" cm="1">
        <f t="array" ref="O14">OR(NOT(ISERROR(MATCH(TRIM(_xlfn.TEXTSPLIT(Table_AlwaysSend[[#This Row],[Data Set]],",")),SelectedDataSet,0))),AND(SelectedDataSet&lt;&gt;"(Multiple Items)",SelectedDataSet&lt;&gt;"(All)",Table_AlwaysSend[[#This Row],[Data Set]]="All"))</f>
        <v>1</v>
      </c>
      <c r="P14" s="305" t="b">
        <f>TRUE</f>
        <v>1</v>
      </c>
      <c r="Q14" s="307" t="b">
        <f>AND(Table_AlwaysSend[[#This Row],[Show Feedstock]:[Show Data Source2]],Table_AlwaysSend[[#This Row],[Conditional]]=TRUE)</f>
        <v>0</v>
      </c>
      <c r="R14" s="294" t="s">
        <v>87</v>
      </c>
      <c r="S14" s="285">
        <v>4</v>
      </c>
      <c r="T14" s="23" t="s">
        <v>902</v>
      </c>
    </row>
    <row r="15" spans="1:20" x14ac:dyDescent="0.3">
      <c r="A15">
        <f ca="1"/>
        <v>0</v>
      </c>
      <c r="B15" t="str">
        <f ca="1"/>
        <v>SAF_H2_Transportation_45VModeled_LiquidTruck_Share</v>
      </c>
      <c r="E15" s="300" t="str">
        <f>IF(Table_AlwaysSend[[#This Row],[GREET1 Name Range]]="", "dash_"&amp;Table_AlwaysSend[[#This Row],[Feedstock]]&amp;"_"&amp;Table_AlwaysSend[[#This Row],[Value to Send]], Table_AlwaysSend[[#This Row],[Feedstock]]&amp;"_"&amp;Table_AlwaysSend[[#This Row],[Value to Send]]&amp;"_"&amp;Table_AlwaysSend[[#This Row],[GREET1 Name Range]])</f>
        <v>Willow_5_JetFuel_ETJet_EthanolFeedstock</v>
      </c>
      <c r="F15" s="23" t="s">
        <v>131</v>
      </c>
      <c r="G15" s="294" t="s">
        <v>1964</v>
      </c>
      <c r="H15" s="282" t="s">
        <v>29</v>
      </c>
      <c r="I15" s="278" t="s">
        <v>29</v>
      </c>
      <c r="J15" s="23" t="s">
        <v>1592</v>
      </c>
      <c r="K15" s="305" t="b" cm="1">
        <f t="array" ref="K15">OR(NOT(ISERROR(MATCH(TRIM(_xlfn.TEXTSPLIT(Table_AlwaysSend[[#This Row],[Feedstock]],",")),SelectedFeedstock,0))),AND(SelectedFeedstock&lt;&gt;"(Multiple Items)",SelectedFeedstock&lt;&gt;"(All)",Table_AlwaysSend[[#This Row],[Feedstock]]="All"))</f>
        <v>0</v>
      </c>
      <c r="L15" s="305" t="b" cm="1">
        <f t="array" ref="L15">OR(NOT(ISERROR(MATCH(TRIM(_xlfn.TEXTSPLIT(Table_AlwaysSend[[#This Row],[Conversion]],",")),SelectedConversion,0))),AND(SelectedConversion&lt;&gt;"(Multiple Items)",SelectedConversion&lt;&gt;"(All)",Table_AlwaysSend[[#This Row],[Conversion]]="All"))</f>
        <v>0</v>
      </c>
      <c r="M15" s="305" t="b" cm="1">
        <f t="array" ref="M15">OR(NOT(ISERROR(MATCH(TRIM(_xlfn.TEXTSPLIT(Table_AlwaysSend[[#This Row],[Data Source]],",")),SelectedDataSource,0))),AND(SelectedDataSource&lt;&gt;"(Multiple Items)",SelectedDataSource&lt;&gt;"(All)",Table_AlwaysSend[[#This Row],[Data Source]]="All"))</f>
        <v>1</v>
      </c>
      <c r="N15" s="305" t="b" cm="1">
        <f t="array" ref="N15">OR(NOT(ISERROR(MATCH(TRIM(_xlfn.TEXTSPLIT(Table_AlwaysSend[[#This Row],[Technology]],",")),SelectedTechnology,0))),AND(SelectedTechnology&lt;&gt;"(Multiple Items)",SelectedTechnology&lt;&gt;"(All)",Table_AlwaysSend[[#This Row],[Technology]]="All"))</f>
        <v>0</v>
      </c>
      <c r="O15" s="305" t="b" cm="1">
        <f t="array" ref="O15">OR(NOT(ISERROR(MATCH(TRIM(_xlfn.TEXTSPLIT(Table_AlwaysSend[[#This Row],[Data Set]],",")),SelectedDataSet,0))),AND(SelectedDataSet&lt;&gt;"(Multiple Items)",SelectedDataSet&lt;&gt;"(All)",Table_AlwaysSend[[#This Row],[Data Set]]="All"))</f>
        <v>1</v>
      </c>
      <c r="P15" s="305" t="b">
        <f>TRUE</f>
        <v>1</v>
      </c>
      <c r="Q15" s="307" t="b">
        <f>AND(Table_AlwaysSend[[#This Row],[Show Feedstock]:[Show Data Source2]],Table_AlwaysSend[[#This Row],[Conditional]]=TRUE)</f>
        <v>0</v>
      </c>
      <c r="R15" s="294" t="s">
        <v>87</v>
      </c>
      <c r="S15" s="285">
        <v>5</v>
      </c>
      <c r="T15" s="23" t="s">
        <v>902</v>
      </c>
    </row>
    <row r="16" spans="1:20" x14ac:dyDescent="0.3">
      <c r="A16">
        <f ca="1"/>
        <v>0</v>
      </c>
      <c r="B16" t="str">
        <f ca="1"/>
        <v>T_D_HEFA_SAF_Barge_Distance</v>
      </c>
      <c r="E16" s="300" t="str">
        <f>IF(Table_AlwaysSend[[#This Row],[GREET1 Name Range]]="", "dash_"&amp;Table_AlwaysSend[[#This Row],[Feedstock]]&amp;"_"&amp;Table_AlwaysSend[[#This Row],[Value to Send]], Table_AlwaysSend[[#This Row],[Feedstock]]&amp;"_"&amp;Table_AlwaysSend[[#This Row],[Value to Send]]&amp;"_"&amp;Table_AlwaysSend[[#This Row],[GREET1 Name Range]])</f>
        <v>Poplar_6_JetFuel_ETJet_EthanolFeedstock</v>
      </c>
      <c r="F16" s="23" t="s">
        <v>132</v>
      </c>
      <c r="G16" s="294" t="s">
        <v>1964</v>
      </c>
      <c r="H16" s="282" t="s">
        <v>29</v>
      </c>
      <c r="I16" s="278" t="s">
        <v>29</v>
      </c>
      <c r="J16" s="23" t="s">
        <v>1592</v>
      </c>
      <c r="K16" s="305" t="b" cm="1">
        <f t="array" ref="K16">OR(NOT(ISERROR(MATCH(TRIM(_xlfn.TEXTSPLIT(Table_AlwaysSend[[#This Row],[Feedstock]],",")),SelectedFeedstock,0))),AND(SelectedFeedstock&lt;&gt;"(Multiple Items)",SelectedFeedstock&lt;&gt;"(All)",Table_AlwaysSend[[#This Row],[Feedstock]]="All"))</f>
        <v>0</v>
      </c>
      <c r="L16" s="305" t="b" cm="1">
        <f t="array" ref="L16">OR(NOT(ISERROR(MATCH(TRIM(_xlfn.TEXTSPLIT(Table_AlwaysSend[[#This Row],[Conversion]],",")),SelectedConversion,0))),AND(SelectedConversion&lt;&gt;"(Multiple Items)",SelectedConversion&lt;&gt;"(All)",Table_AlwaysSend[[#This Row],[Conversion]]="All"))</f>
        <v>0</v>
      </c>
      <c r="M16" s="305" t="b" cm="1">
        <f t="array" ref="M16">OR(NOT(ISERROR(MATCH(TRIM(_xlfn.TEXTSPLIT(Table_AlwaysSend[[#This Row],[Data Source]],",")),SelectedDataSource,0))),AND(SelectedDataSource&lt;&gt;"(Multiple Items)",SelectedDataSource&lt;&gt;"(All)",Table_AlwaysSend[[#This Row],[Data Source]]="All"))</f>
        <v>1</v>
      </c>
      <c r="N16" s="305" t="b" cm="1">
        <f t="array" ref="N16">OR(NOT(ISERROR(MATCH(TRIM(_xlfn.TEXTSPLIT(Table_AlwaysSend[[#This Row],[Technology]],",")),SelectedTechnology,0))),AND(SelectedTechnology&lt;&gt;"(Multiple Items)",SelectedTechnology&lt;&gt;"(All)",Table_AlwaysSend[[#This Row],[Technology]]="All"))</f>
        <v>0</v>
      </c>
      <c r="O16" s="305" t="b" cm="1">
        <f t="array" ref="O16">OR(NOT(ISERROR(MATCH(TRIM(_xlfn.TEXTSPLIT(Table_AlwaysSend[[#This Row],[Data Set]],",")),SelectedDataSet,0))),AND(SelectedDataSet&lt;&gt;"(Multiple Items)",SelectedDataSet&lt;&gt;"(All)",Table_AlwaysSend[[#This Row],[Data Set]]="All"))</f>
        <v>1</v>
      </c>
      <c r="P16" s="305" t="b">
        <f>TRUE</f>
        <v>1</v>
      </c>
      <c r="Q16" s="307" t="b">
        <f>AND(Table_AlwaysSend[[#This Row],[Show Feedstock]:[Show Data Source2]],Table_AlwaysSend[[#This Row],[Conditional]]=TRUE)</f>
        <v>0</v>
      </c>
      <c r="R16" s="294" t="s">
        <v>87</v>
      </c>
      <c r="S16" s="285">
        <v>6</v>
      </c>
      <c r="T16" s="23" t="s">
        <v>902</v>
      </c>
    </row>
    <row r="17" spans="1:20" x14ac:dyDescent="0.3">
      <c r="A17">
        <f ca="1"/>
        <v>0</v>
      </c>
      <c r="B17" t="str">
        <f ca="1"/>
        <v>T_D_HEFA_SAF_Pipeline_Distance</v>
      </c>
      <c r="E17" s="300" t="str">
        <f>IF(Table_AlwaysSend[[#This Row],[GREET1 Name Range]]="", "dash_"&amp;Table_AlwaysSend[[#This Row],[Feedstock]]&amp;"_"&amp;Table_AlwaysSend[[#This Row],[Value to Send]], Table_AlwaysSend[[#This Row],[Feedstock]]&amp;"_"&amp;Table_AlwaysSend[[#This Row],[Value to Send]]&amp;"_"&amp;Table_AlwaysSend[[#This Row],[GREET1 Name Range]])</f>
        <v>Switchgrass_7_JetFuel_ETJet_EthanolFeedstock</v>
      </c>
      <c r="F17" s="23" t="s">
        <v>133</v>
      </c>
      <c r="G17" s="294" t="s">
        <v>1964</v>
      </c>
      <c r="H17" s="282" t="s">
        <v>29</v>
      </c>
      <c r="I17" s="278" t="s">
        <v>29</v>
      </c>
      <c r="J17" s="23" t="s">
        <v>1592</v>
      </c>
      <c r="K17" s="305" t="b" cm="1">
        <f t="array" ref="K17">OR(NOT(ISERROR(MATCH(TRIM(_xlfn.TEXTSPLIT(Table_AlwaysSend[[#This Row],[Feedstock]],",")),SelectedFeedstock,0))),AND(SelectedFeedstock&lt;&gt;"(Multiple Items)",SelectedFeedstock&lt;&gt;"(All)",Table_AlwaysSend[[#This Row],[Feedstock]]="All"))</f>
        <v>0</v>
      </c>
      <c r="L17" s="305" t="b" cm="1">
        <f t="array" ref="L17">OR(NOT(ISERROR(MATCH(TRIM(_xlfn.TEXTSPLIT(Table_AlwaysSend[[#This Row],[Conversion]],",")),SelectedConversion,0))),AND(SelectedConversion&lt;&gt;"(Multiple Items)",SelectedConversion&lt;&gt;"(All)",Table_AlwaysSend[[#This Row],[Conversion]]="All"))</f>
        <v>0</v>
      </c>
      <c r="M17" s="305" t="b" cm="1">
        <f t="array" ref="M17">OR(NOT(ISERROR(MATCH(TRIM(_xlfn.TEXTSPLIT(Table_AlwaysSend[[#This Row],[Data Source]],",")),SelectedDataSource,0))),AND(SelectedDataSource&lt;&gt;"(Multiple Items)",SelectedDataSource&lt;&gt;"(All)",Table_AlwaysSend[[#This Row],[Data Source]]="All"))</f>
        <v>1</v>
      </c>
      <c r="N17" s="305" t="b" cm="1">
        <f t="array" ref="N17">OR(NOT(ISERROR(MATCH(TRIM(_xlfn.TEXTSPLIT(Table_AlwaysSend[[#This Row],[Technology]],",")),SelectedTechnology,0))),AND(SelectedTechnology&lt;&gt;"(Multiple Items)",SelectedTechnology&lt;&gt;"(All)",Table_AlwaysSend[[#This Row],[Technology]]="All"))</f>
        <v>0</v>
      </c>
      <c r="O17" s="305" t="b" cm="1">
        <f t="array" ref="O17">OR(NOT(ISERROR(MATCH(TRIM(_xlfn.TEXTSPLIT(Table_AlwaysSend[[#This Row],[Data Set]],",")),SelectedDataSet,0))),AND(SelectedDataSet&lt;&gt;"(Multiple Items)",SelectedDataSet&lt;&gt;"(All)",Table_AlwaysSend[[#This Row],[Data Set]]="All"))</f>
        <v>1</v>
      </c>
      <c r="P17" s="305" t="b">
        <f>TRUE</f>
        <v>1</v>
      </c>
      <c r="Q17" s="307" t="b">
        <f>AND(Table_AlwaysSend[[#This Row],[Show Feedstock]:[Show Data Source2]],Table_AlwaysSend[[#This Row],[Conditional]]=TRUE)</f>
        <v>0</v>
      </c>
      <c r="R17" s="294" t="s">
        <v>87</v>
      </c>
      <c r="S17" s="285">
        <v>7</v>
      </c>
      <c r="T17" s="23" t="s">
        <v>902</v>
      </c>
    </row>
    <row r="18" spans="1:20" x14ac:dyDescent="0.3">
      <c r="A18">
        <f ca="1"/>
        <v>0</v>
      </c>
      <c r="B18" t="str">
        <f ca="1"/>
        <v>T_D_HEFA_SAF_Rail_Distance</v>
      </c>
      <c r="E18" s="300" t="str">
        <f>IF(Table_AlwaysSend[[#This Row],[GREET1 Name Range]]="", "dash_"&amp;Table_AlwaysSend[[#This Row],[Feedstock]]&amp;"_"&amp;Table_AlwaysSend[[#This Row],[Value to Send]], Table_AlwaysSend[[#This Row],[Feedstock]]&amp;"_"&amp;Table_AlwaysSend[[#This Row],[Value to Send]]&amp;"_"&amp;Table_AlwaysSend[[#This Row],[GREET1 Name Range]])</f>
        <v>Miscanthus_8_JetFuel_ETJet_EthanolFeedstock</v>
      </c>
      <c r="F18" s="23" t="s">
        <v>134</v>
      </c>
      <c r="G18" s="294" t="s">
        <v>1964</v>
      </c>
      <c r="H18" s="282" t="s">
        <v>29</v>
      </c>
      <c r="I18" s="278" t="s">
        <v>29</v>
      </c>
      <c r="J18" s="23" t="s">
        <v>1592</v>
      </c>
      <c r="K18" s="305" t="b" cm="1">
        <f t="array" ref="K18">OR(NOT(ISERROR(MATCH(TRIM(_xlfn.TEXTSPLIT(Table_AlwaysSend[[#This Row],[Feedstock]],",")),SelectedFeedstock,0))),AND(SelectedFeedstock&lt;&gt;"(Multiple Items)",SelectedFeedstock&lt;&gt;"(All)",Table_AlwaysSend[[#This Row],[Feedstock]]="All"))</f>
        <v>0</v>
      </c>
      <c r="L18" s="305" t="b" cm="1">
        <f t="array" ref="L18">OR(NOT(ISERROR(MATCH(TRIM(_xlfn.TEXTSPLIT(Table_AlwaysSend[[#This Row],[Conversion]],",")),SelectedConversion,0))),AND(SelectedConversion&lt;&gt;"(Multiple Items)",SelectedConversion&lt;&gt;"(All)",Table_AlwaysSend[[#This Row],[Conversion]]="All"))</f>
        <v>0</v>
      </c>
      <c r="M18" s="305" t="b" cm="1">
        <f t="array" ref="M18">OR(NOT(ISERROR(MATCH(TRIM(_xlfn.TEXTSPLIT(Table_AlwaysSend[[#This Row],[Data Source]],",")),SelectedDataSource,0))),AND(SelectedDataSource&lt;&gt;"(Multiple Items)",SelectedDataSource&lt;&gt;"(All)",Table_AlwaysSend[[#This Row],[Data Source]]="All"))</f>
        <v>1</v>
      </c>
      <c r="N18" s="305" t="b" cm="1">
        <f t="array" ref="N18">OR(NOT(ISERROR(MATCH(TRIM(_xlfn.TEXTSPLIT(Table_AlwaysSend[[#This Row],[Technology]],",")),SelectedTechnology,0))),AND(SelectedTechnology&lt;&gt;"(Multiple Items)",SelectedTechnology&lt;&gt;"(All)",Table_AlwaysSend[[#This Row],[Technology]]="All"))</f>
        <v>0</v>
      </c>
      <c r="O18" s="305" t="b" cm="1">
        <f t="array" ref="O18">OR(NOT(ISERROR(MATCH(TRIM(_xlfn.TEXTSPLIT(Table_AlwaysSend[[#This Row],[Data Set]],",")),SelectedDataSet,0))),AND(SelectedDataSet&lt;&gt;"(Multiple Items)",SelectedDataSet&lt;&gt;"(All)",Table_AlwaysSend[[#This Row],[Data Set]]="All"))</f>
        <v>1</v>
      </c>
      <c r="P18" s="305" t="b">
        <f>TRUE</f>
        <v>1</v>
      </c>
      <c r="Q18" s="307" t="b">
        <f>AND(Table_AlwaysSend[[#This Row],[Show Feedstock]:[Show Data Source2]],Table_AlwaysSend[[#This Row],[Conditional]]=TRUE)</f>
        <v>0</v>
      </c>
      <c r="R18" s="294" t="s">
        <v>87</v>
      </c>
      <c r="S18" s="285">
        <v>8</v>
      </c>
      <c r="T18" s="23" t="s">
        <v>902</v>
      </c>
    </row>
    <row r="19" spans="1:20" x14ac:dyDescent="0.3">
      <c r="A19">
        <f ca="1"/>
        <v>0</v>
      </c>
      <c r="B19" t="str">
        <f ca="1"/>
        <v>T_D_HEFA_SAF_Truck_Distance</v>
      </c>
      <c r="E19" s="300" t="str">
        <f>IF(Table_AlwaysSend[[#This Row],[GREET1 Name Range]]="", "dash_"&amp;Table_AlwaysSend[[#This Row],[Feedstock]]&amp;"_"&amp;Table_AlwaysSend[[#This Row],[Value to Send]], Table_AlwaysSend[[#This Row],[Feedstock]]&amp;"_"&amp;Table_AlwaysSend[[#This Row],[Value to Send]]&amp;"_"&amp;Table_AlwaysSend[[#This Row],[GREET1 Name Range]])</f>
        <v>Corn stover_9_JetFuel_ETJet_EthanolFeedstock</v>
      </c>
      <c r="F19" s="23" t="s">
        <v>135</v>
      </c>
      <c r="G19" s="294" t="s">
        <v>1964</v>
      </c>
      <c r="H19" s="282" t="s">
        <v>29</v>
      </c>
      <c r="I19" s="278" t="s">
        <v>29</v>
      </c>
      <c r="J19" s="23" t="s">
        <v>1592</v>
      </c>
      <c r="K19" s="305" t="b" cm="1">
        <f t="array" ref="K19">OR(NOT(ISERROR(MATCH(TRIM(_xlfn.TEXTSPLIT(Table_AlwaysSend[[#This Row],[Feedstock]],",")),SelectedFeedstock,0))),AND(SelectedFeedstock&lt;&gt;"(Multiple Items)",SelectedFeedstock&lt;&gt;"(All)",Table_AlwaysSend[[#This Row],[Feedstock]]="All"))</f>
        <v>0</v>
      </c>
      <c r="L19" s="305" t="b" cm="1">
        <f t="array" ref="L19">OR(NOT(ISERROR(MATCH(TRIM(_xlfn.TEXTSPLIT(Table_AlwaysSend[[#This Row],[Conversion]],",")),SelectedConversion,0))),AND(SelectedConversion&lt;&gt;"(Multiple Items)",SelectedConversion&lt;&gt;"(All)",Table_AlwaysSend[[#This Row],[Conversion]]="All"))</f>
        <v>0</v>
      </c>
      <c r="M19" s="305" t="b" cm="1">
        <f t="array" ref="M19">OR(NOT(ISERROR(MATCH(TRIM(_xlfn.TEXTSPLIT(Table_AlwaysSend[[#This Row],[Data Source]],",")),SelectedDataSource,0))),AND(SelectedDataSource&lt;&gt;"(Multiple Items)",SelectedDataSource&lt;&gt;"(All)",Table_AlwaysSend[[#This Row],[Data Source]]="All"))</f>
        <v>1</v>
      </c>
      <c r="N19" s="305" t="b" cm="1">
        <f t="array" ref="N19">OR(NOT(ISERROR(MATCH(TRIM(_xlfn.TEXTSPLIT(Table_AlwaysSend[[#This Row],[Technology]],",")),SelectedTechnology,0))),AND(SelectedTechnology&lt;&gt;"(Multiple Items)",SelectedTechnology&lt;&gt;"(All)",Table_AlwaysSend[[#This Row],[Technology]]="All"))</f>
        <v>0</v>
      </c>
      <c r="O19" s="305" t="b" cm="1">
        <f t="array" ref="O19">OR(NOT(ISERROR(MATCH(TRIM(_xlfn.TEXTSPLIT(Table_AlwaysSend[[#This Row],[Data Set]],",")),SelectedDataSet,0))),AND(SelectedDataSet&lt;&gt;"(Multiple Items)",SelectedDataSet&lt;&gt;"(All)",Table_AlwaysSend[[#This Row],[Data Set]]="All"))</f>
        <v>1</v>
      </c>
      <c r="P19" s="305" t="b">
        <f>TRUE</f>
        <v>1</v>
      </c>
      <c r="Q19" s="307" t="b">
        <f>AND(Table_AlwaysSend[[#This Row],[Show Feedstock]:[Show Data Source2]],Table_AlwaysSend[[#This Row],[Conditional]]=TRUE)</f>
        <v>0</v>
      </c>
      <c r="R19" s="294" t="s">
        <v>87</v>
      </c>
      <c r="S19" s="285">
        <v>9</v>
      </c>
      <c r="T19" s="23" t="s">
        <v>902</v>
      </c>
    </row>
    <row r="20" spans="1:20" x14ac:dyDescent="0.3">
      <c r="A20">
        <f ca="1"/>
        <v>0</v>
      </c>
      <c r="B20" t="str">
        <f ca="1"/>
        <v>SAF_H2_Transportation_NG_SMR_Pipeline_Distance</v>
      </c>
      <c r="E20" s="300" t="str">
        <f>IF(Table_AlwaysSend[[#This Row],[GREET1 Name Range]]="", "dash_"&amp;Table_AlwaysSend[[#This Row],[Feedstock]]&amp;"_"&amp;Table_AlwaysSend[[#This Row],[Value to Send]], Table_AlwaysSend[[#This Row],[Feedstock]]&amp;"_"&amp;Table_AlwaysSend[[#This Row],[Value to Send]]&amp;"_"&amp;Table_AlwaysSend[[#This Row],[GREET1 Name Range]])</f>
        <v>Forest residue_10_JetFuel_ETJet_EthanolFeedstock</v>
      </c>
      <c r="F20" s="23" t="s">
        <v>316</v>
      </c>
      <c r="G20" s="294" t="s">
        <v>1964</v>
      </c>
      <c r="H20" s="282" t="s">
        <v>29</v>
      </c>
      <c r="I20" s="278" t="s">
        <v>29</v>
      </c>
      <c r="J20" s="23" t="s">
        <v>1592</v>
      </c>
      <c r="K20" s="305" t="b" cm="1">
        <f t="array" ref="K20">OR(NOT(ISERROR(MATCH(TRIM(_xlfn.TEXTSPLIT(Table_AlwaysSend[[#This Row],[Feedstock]],",")),SelectedFeedstock,0))),AND(SelectedFeedstock&lt;&gt;"(Multiple Items)",SelectedFeedstock&lt;&gt;"(All)",Table_AlwaysSend[[#This Row],[Feedstock]]="All"))</f>
        <v>0</v>
      </c>
      <c r="L20" s="305" t="b" cm="1">
        <f t="array" ref="L20">OR(NOT(ISERROR(MATCH(TRIM(_xlfn.TEXTSPLIT(Table_AlwaysSend[[#This Row],[Conversion]],",")),SelectedConversion,0))),AND(SelectedConversion&lt;&gt;"(Multiple Items)",SelectedConversion&lt;&gt;"(All)",Table_AlwaysSend[[#This Row],[Conversion]]="All"))</f>
        <v>0</v>
      </c>
      <c r="M20" s="305" t="b" cm="1">
        <f t="array" ref="M20">OR(NOT(ISERROR(MATCH(TRIM(_xlfn.TEXTSPLIT(Table_AlwaysSend[[#This Row],[Data Source]],",")),SelectedDataSource,0))),AND(SelectedDataSource&lt;&gt;"(Multiple Items)",SelectedDataSource&lt;&gt;"(All)",Table_AlwaysSend[[#This Row],[Data Source]]="All"))</f>
        <v>1</v>
      </c>
      <c r="N20" s="305" t="b" cm="1">
        <f t="array" ref="N20">OR(NOT(ISERROR(MATCH(TRIM(_xlfn.TEXTSPLIT(Table_AlwaysSend[[#This Row],[Technology]],",")),SelectedTechnology,0))),AND(SelectedTechnology&lt;&gt;"(Multiple Items)",SelectedTechnology&lt;&gt;"(All)",Table_AlwaysSend[[#This Row],[Technology]]="All"))</f>
        <v>0</v>
      </c>
      <c r="O20" s="305" t="b" cm="1">
        <f t="array" ref="O20">OR(NOT(ISERROR(MATCH(TRIM(_xlfn.TEXTSPLIT(Table_AlwaysSend[[#This Row],[Data Set]],",")),SelectedDataSet,0))),AND(SelectedDataSet&lt;&gt;"(Multiple Items)",SelectedDataSet&lt;&gt;"(All)",Table_AlwaysSend[[#This Row],[Data Set]]="All"))</f>
        <v>1</v>
      </c>
      <c r="P20" s="305" t="b">
        <f>TRUE</f>
        <v>1</v>
      </c>
      <c r="Q20" s="307" t="b">
        <f>AND(Table_AlwaysSend[[#This Row],[Show Feedstock]:[Show Data Source2]],Table_AlwaysSend[[#This Row],[Conditional]]=TRUE)</f>
        <v>0</v>
      </c>
      <c r="R20" s="294" t="s">
        <v>87</v>
      </c>
      <c r="S20" s="285">
        <v>10</v>
      </c>
      <c r="T20" s="23" t="s">
        <v>902</v>
      </c>
    </row>
    <row r="21" spans="1:20" x14ac:dyDescent="0.3">
      <c r="A21">
        <f ca="1"/>
        <v>0</v>
      </c>
      <c r="B21" t="str">
        <f ca="1"/>
        <v>SAF_H2_Transportation_NG_SMR_TubeTrailer_Distance</v>
      </c>
      <c r="E21" s="300" t="str">
        <f>IF(Table_AlwaysSend[[#This Row],[GREET1 Name Range]]="", "dash_"&amp;Table_AlwaysSend[[#This Row],[Feedstock]]&amp;"_"&amp;Table_AlwaysSend[[#This Row],[Value to Send]], Table_AlwaysSend[[#This Row],[Feedstock]]&amp;"_"&amp;Table_AlwaysSend[[#This Row],[Value to Send]]&amp;"_"&amp;Table_AlwaysSend[[#This Row],[GREET1 Name Range]])</f>
        <v>Solid waste_11_JetFuel_ETJet_EthanolFeedstock</v>
      </c>
      <c r="F21" s="23" t="s">
        <v>366</v>
      </c>
      <c r="G21" s="294" t="s">
        <v>1964</v>
      </c>
      <c r="H21" s="282" t="s">
        <v>29</v>
      </c>
      <c r="I21" s="278" t="s">
        <v>29</v>
      </c>
      <c r="J21" s="23" t="s">
        <v>1592</v>
      </c>
      <c r="K21" s="305" t="b" cm="1">
        <f t="array" ref="K21">OR(NOT(ISERROR(MATCH(TRIM(_xlfn.TEXTSPLIT(Table_AlwaysSend[[#This Row],[Feedstock]],",")),SelectedFeedstock,0))),AND(SelectedFeedstock&lt;&gt;"(Multiple Items)",SelectedFeedstock&lt;&gt;"(All)",Table_AlwaysSend[[#This Row],[Feedstock]]="All"))</f>
        <v>0</v>
      </c>
      <c r="L21" s="305" t="b" cm="1">
        <f t="array" ref="L21">OR(NOT(ISERROR(MATCH(TRIM(_xlfn.TEXTSPLIT(Table_AlwaysSend[[#This Row],[Conversion]],",")),SelectedConversion,0))),AND(SelectedConversion&lt;&gt;"(Multiple Items)",SelectedConversion&lt;&gt;"(All)",Table_AlwaysSend[[#This Row],[Conversion]]="All"))</f>
        <v>0</v>
      </c>
      <c r="M21" s="305" t="b" cm="1">
        <f t="array" ref="M21">OR(NOT(ISERROR(MATCH(TRIM(_xlfn.TEXTSPLIT(Table_AlwaysSend[[#This Row],[Data Source]],",")),SelectedDataSource,0))),AND(SelectedDataSource&lt;&gt;"(Multiple Items)",SelectedDataSource&lt;&gt;"(All)",Table_AlwaysSend[[#This Row],[Data Source]]="All"))</f>
        <v>1</v>
      </c>
      <c r="N21" s="305" t="b" cm="1">
        <f t="array" ref="N21">OR(NOT(ISERROR(MATCH(TRIM(_xlfn.TEXTSPLIT(Table_AlwaysSend[[#This Row],[Technology]],",")),SelectedTechnology,0))),AND(SelectedTechnology&lt;&gt;"(Multiple Items)",SelectedTechnology&lt;&gt;"(All)",Table_AlwaysSend[[#This Row],[Technology]]="All"))</f>
        <v>0</v>
      </c>
      <c r="O21" s="305" t="b" cm="1">
        <f t="array" ref="O21">OR(NOT(ISERROR(MATCH(TRIM(_xlfn.TEXTSPLIT(Table_AlwaysSend[[#This Row],[Data Set]],",")),SelectedDataSet,0))),AND(SelectedDataSet&lt;&gt;"(Multiple Items)",SelectedDataSet&lt;&gt;"(All)",Table_AlwaysSend[[#This Row],[Data Set]]="All"))</f>
        <v>1</v>
      </c>
      <c r="P21" s="305" t="b">
        <f>TRUE</f>
        <v>1</v>
      </c>
      <c r="Q21" s="307" t="b">
        <f>AND(Table_AlwaysSend[[#This Row],[Show Feedstock]:[Show Data Source2]],Table_AlwaysSend[[#This Row],[Conditional]]=TRUE)</f>
        <v>0</v>
      </c>
      <c r="R21" s="294" t="s">
        <v>87</v>
      </c>
      <c r="S21" s="285">
        <v>11</v>
      </c>
      <c r="T21" s="23" t="s">
        <v>902</v>
      </c>
    </row>
    <row r="22" spans="1:20" x14ac:dyDescent="0.3">
      <c r="A22">
        <f ca="1"/>
        <v>0</v>
      </c>
      <c r="B22" t="str">
        <f ca="1"/>
        <v>SAF_H2_Transportation_NG_SMR_LiquidTruck_Distance</v>
      </c>
      <c r="E22" s="300" t="str">
        <f>IF(Table_AlwaysSend[[#This Row],[GREET1 Name Range]]="", "dash_"&amp;Table_AlwaysSend[[#This Row],[Feedstock]]&amp;"_"&amp;Table_AlwaysSend[[#This Row],[Value to Send]], Table_AlwaysSend[[#This Row],[Feedstock]]&amp;"_"&amp;Table_AlwaysSend[[#This Row],[Value to Send]]&amp;"_"&amp;Table_AlwaysSend[[#This Row],[GREET1 Name Range]])</f>
        <v>Corn stover_9_JetFuel_ETJet_EthanolFeedstock</v>
      </c>
      <c r="F22" s="298" t="s">
        <v>135</v>
      </c>
      <c r="G22" s="294" t="s">
        <v>1964</v>
      </c>
      <c r="H22" s="282" t="s">
        <v>194</v>
      </c>
      <c r="I22" s="282" t="s">
        <v>1399</v>
      </c>
      <c r="J22" s="282" t="s">
        <v>137</v>
      </c>
      <c r="K22" s="305" t="b" cm="1">
        <f t="array" ref="K22">OR(NOT(ISERROR(MATCH(TRIM(_xlfn.TEXTSPLIT(Table_AlwaysSend[[#This Row],[Feedstock]],",")),SelectedFeedstock,0))),AND(SelectedFeedstock&lt;&gt;"(Multiple Items)",SelectedFeedstock&lt;&gt;"(All)",Table_AlwaysSend[[#This Row],[Feedstock]]="All"))</f>
        <v>0</v>
      </c>
      <c r="L22" s="305" t="b" cm="1">
        <f t="array" ref="L22">OR(NOT(ISERROR(MATCH(TRIM(_xlfn.TEXTSPLIT(Table_AlwaysSend[[#This Row],[Conversion]],",")),SelectedConversion,0))),AND(SelectedConversion&lt;&gt;"(Multiple Items)",SelectedConversion&lt;&gt;"(All)",Table_AlwaysSend[[#This Row],[Conversion]]="All"))</f>
        <v>0</v>
      </c>
      <c r="M22" s="305" t="b" cm="1">
        <f t="array" ref="M22">OR(NOT(ISERROR(MATCH(TRIM(_xlfn.TEXTSPLIT(Table_AlwaysSend[[#This Row],[Data Source]],",")),SelectedDataSource,0))),AND(SelectedDataSource&lt;&gt;"(Multiple Items)",SelectedDataSource&lt;&gt;"(All)",Table_AlwaysSend[[#This Row],[Data Source]]="All"))</f>
        <v>0</v>
      </c>
      <c r="N22" s="305" t="b" cm="1">
        <f t="array" ref="N22">OR(NOT(ISERROR(MATCH(TRIM(_xlfn.TEXTSPLIT(Table_AlwaysSend[[#This Row],[Technology]],",")),SelectedTechnology,0))),AND(SelectedTechnology&lt;&gt;"(Multiple Items)",SelectedTechnology&lt;&gt;"(All)",Table_AlwaysSend[[#This Row],[Technology]]="All"))</f>
        <v>0</v>
      </c>
      <c r="O22" s="305" t="b" cm="1">
        <f t="array" ref="O22">OR(NOT(ISERROR(MATCH(TRIM(_xlfn.TEXTSPLIT(Table_AlwaysSend[[#This Row],[Data Set]],",")),SelectedDataSet,0))),AND(SelectedDataSet&lt;&gt;"(Multiple Items)",SelectedDataSet&lt;&gt;"(All)",Table_AlwaysSend[[#This Row],[Data Set]]="All"))</f>
        <v>0</v>
      </c>
      <c r="P22" s="305" t="b">
        <f>TRUE</f>
        <v>1</v>
      </c>
      <c r="Q22" s="307" t="b">
        <f>AND(Table_AlwaysSend[[#This Row],[Show Feedstock]:[Show Data Source2]],Table_AlwaysSend[[#This Row],[Conditional]]=TRUE)</f>
        <v>0</v>
      </c>
      <c r="R22" s="294" t="s">
        <v>87</v>
      </c>
      <c r="S22" s="285">
        <v>9</v>
      </c>
      <c r="T22" s="23" t="s">
        <v>902</v>
      </c>
    </row>
    <row r="23" spans="1:20" x14ac:dyDescent="0.3">
      <c r="A23">
        <f ca="1"/>
        <v>0</v>
      </c>
      <c r="B23" t="str">
        <f ca="1"/>
        <v>SAF_H2_Transportation_45VModeled_Pipeline_Distance</v>
      </c>
      <c r="E23" s="300" t="str">
        <f>IF(Table_AlwaysSend[[#This Row],[GREET1 Name Range]]="", "dash_"&amp;Table_AlwaysSend[[#This Row],[Feedstock]]&amp;"_"&amp;Table_AlwaysSend[[#This Row],[Value to Send]], Table_AlwaysSend[[#This Row],[Feedstock]]&amp;"_"&amp;Table_AlwaysSend[[#This Row],[Value to Send]]&amp;"_"&amp;Table_AlwaysSend[[#This Row],[GREET1 Name Range]])</f>
        <v>Forest residue_10_JetFuel_ETJet_EthanolFeedstock</v>
      </c>
      <c r="F23" s="298" t="s">
        <v>316</v>
      </c>
      <c r="G23" s="294" t="s">
        <v>1964</v>
      </c>
      <c r="H23" s="282" t="s">
        <v>194</v>
      </c>
      <c r="I23" s="282" t="s">
        <v>1399</v>
      </c>
      <c r="J23" s="282" t="s">
        <v>137</v>
      </c>
      <c r="K23" s="305" t="b" cm="1">
        <f t="array" ref="K23">OR(NOT(ISERROR(MATCH(TRIM(_xlfn.TEXTSPLIT(Table_AlwaysSend[[#This Row],[Feedstock]],",")),SelectedFeedstock,0))),AND(SelectedFeedstock&lt;&gt;"(Multiple Items)",SelectedFeedstock&lt;&gt;"(All)",Table_AlwaysSend[[#This Row],[Feedstock]]="All"))</f>
        <v>0</v>
      </c>
      <c r="L23" s="305" t="b" cm="1">
        <f t="array" ref="L23">OR(NOT(ISERROR(MATCH(TRIM(_xlfn.TEXTSPLIT(Table_AlwaysSend[[#This Row],[Conversion]],",")),SelectedConversion,0))),AND(SelectedConversion&lt;&gt;"(Multiple Items)",SelectedConversion&lt;&gt;"(All)",Table_AlwaysSend[[#This Row],[Conversion]]="All"))</f>
        <v>0</v>
      </c>
      <c r="M23" s="305" t="b" cm="1">
        <f t="array" ref="M23">OR(NOT(ISERROR(MATCH(TRIM(_xlfn.TEXTSPLIT(Table_AlwaysSend[[#This Row],[Data Source]],",")),SelectedDataSource,0))),AND(SelectedDataSource&lt;&gt;"(Multiple Items)",SelectedDataSource&lt;&gt;"(All)",Table_AlwaysSend[[#This Row],[Data Source]]="All"))</f>
        <v>0</v>
      </c>
      <c r="N23" s="305" t="b" cm="1">
        <f t="array" ref="N23">OR(NOT(ISERROR(MATCH(TRIM(_xlfn.TEXTSPLIT(Table_AlwaysSend[[#This Row],[Technology]],",")),SelectedTechnology,0))),AND(SelectedTechnology&lt;&gt;"(Multiple Items)",SelectedTechnology&lt;&gt;"(All)",Table_AlwaysSend[[#This Row],[Technology]]="All"))</f>
        <v>0</v>
      </c>
      <c r="O23" s="305" t="b" cm="1">
        <f t="array" ref="O23">OR(NOT(ISERROR(MATCH(TRIM(_xlfn.TEXTSPLIT(Table_AlwaysSend[[#This Row],[Data Set]],",")),SelectedDataSet,0))),AND(SelectedDataSet&lt;&gt;"(Multiple Items)",SelectedDataSet&lt;&gt;"(All)",Table_AlwaysSend[[#This Row],[Data Set]]="All"))</f>
        <v>0</v>
      </c>
      <c r="P23" s="305" t="b">
        <f>TRUE</f>
        <v>1</v>
      </c>
      <c r="Q23" s="307" t="b">
        <f>AND(Table_AlwaysSend[[#This Row],[Show Feedstock]:[Show Data Source2]],Table_AlwaysSend[[#This Row],[Conditional]]=TRUE)</f>
        <v>0</v>
      </c>
      <c r="R23" s="294" t="s">
        <v>87</v>
      </c>
      <c r="S23" s="285">
        <v>10</v>
      </c>
      <c r="T23" s="23" t="s">
        <v>902</v>
      </c>
    </row>
    <row r="24" spans="1:20" x14ac:dyDescent="0.3">
      <c r="A24">
        <f ca="1"/>
        <v>0</v>
      </c>
      <c r="B24" t="str">
        <f ca="1"/>
        <v>SAF_H2_Transportation_45VModeled_TubeTrailer_Distance</v>
      </c>
      <c r="E24" s="300" t="str">
        <f>IF(Table_AlwaysSend[[#This Row],[GREET1 Name Range]]="", "dash_"&amp;Table_AlwaysSend[[#This Row],[Feedstock]]&amp;"_"&amp;Table_AlwaysSend[[#This Row],[Value to Send]], Table_AlwaysSend[[#This Row],[Feedstock]]&amp;"_"&amp;Table_AlwaysSend[[#This Row],[Value to Send]]&amp;"_"&amp;Table_AlwaysSend[[#This Row],[GREET1 Name Range]])</f>
        <v>Miscanthus_8_JetFuel_ETJet_EthanolFeedstock</v>
      </c>
      <c r="F24" s="298" t="s">
        <v>134</v>
      </c>
      <c r="G24" s="294" t="s">
        <v>1964</v>
      </c>
      <c r="H24" s="282" t="s">
        <v>194</v>
      </c>
      <c r="I24" s="282" t="s">
        <v>1399</v>
      </c>
      <c r="J24" s="282" t="s">
        <v>137</v>
      </c>
      <c r="K24" s="305" t="b" cm="1">
        <f t="array" ref="K24">OR(NOT(ISERROR(MATCH(TRIM(_xlfn.TEXTSPLIT(Table_AlwaysSend[[#This Row],[Feedstock]],",")),SelectedFeedstock,0))),AND(SelectedFeedstock&lt;&gt;"(Multiple Items)",SelectedFeedstock&lt;&gt;"(All)",Table_AlwaysSend[[#This Row],[Feedstock]]="All"))</f>
        <v>0</v>
      </c>
      <c r="L24" s="305" t="b" cm="1">
        <f t="array" ref="L24">OR(NOT(ISERROR(MATCH(TRIM(_xlfn.TEXTSPLIT(Table_AlwaysSend[[#This Row],[Conversion]],",")),SelectedConversion,0))),AND(SelectedConversion&lt;&gt;"(Multiple Items)",SelectedConversion&lt;&gt;"(All)",Table_AlwaysSend[[#This Row],[Conversion]]="All"))</f>
        <v>0</v>
      </c>
      <c r="M24" s="305" t="b" cm="1">
        <f t="array" ref="M24">OR(NOT(ISERROR(MATCH(TRIM(_xlfn.TEXTSPLIT(Table_AlwaysSend[[#This Row],[Data Source]],",")),SelectedDataSource,0))),AND(SelectedDataSource&lt;&gt;"(Multiple Items)",SelectedDataSource&lt;&gt;"(All)",Table_AlwaysSend[[#This Row],[Data Source]]="All"))</f>
        <v>0</v>
      </c>
      <c r="N24" s="305" t="b" cm="1">
        <f t="array" ref="N24">OR(NOT(ISERROR(MATCH(TRIM(_xlfn.TEXTSPLIT(Table_AlwaysSend[[#This Row],[Technology]],",")),SelectedTechnology,0))),AND(SelectedTechnology&lt;&gt;"(Multiple Items)",SelectedTechnology&lt;&gt;"(All)",Table_AlwaysSend[[#This Row],[Technology]]="All"))</f>
        <v>0</v>
      </c>
      <c r="O24" s="305" t="b" cm="1">
        <f t="array" ref="O24">OR(NOT(ISERROR(MATCH(TRIM(_xlfn.TEXTSPLIT(Table_AlwaysSend[[#This Row],[Data Set]],",")),SelectedDataSet,0))),AND(SelectedDataSet&lt;&gt;"(Multiple Items)",SelectedDataSet&lt;&gt;"(All)",Table_AlwaysSend[[#This Row],[Data Set]]="All"))</f>
        <v>0</v>
      </c>
      <c r="P24" s="305" t="b">
        <f>TRUE</f>
        <v>1</v>
      </c>
      <c r="Q24" s="307" t="b">
        <f>AND(Table_AlwaysSend[[#This Row],[Show Feedstock]:[Show Data Source2]],Table_AlwaysSend[[#This Row],[Conditional]]=TRUE)</f>
        <v>0</v>
      </c>
      <c r="R24" s="294" t="s">
        <v>87</v>
      </c>
      <c r="S24" s="285">
        <v>8</v>
      </c>
      <c r="T24" s="23" t="s">
        <v>902</v>
      </c>
    </row>
    <row r="25" spans="1:20" x14ac:dyDescent="0.3">
      <c r="A25">
        <f ca="1"/>
        <v>0</v>
      </c>
      <c r="B25" t="str">
        <f ca="1"/>
        <v>SAF_H2_Transportation_45VModeled_LiquidTruck_Distance</v>
      </c>
      <c r="E25" s="300" t="str">
        <f>IF(Table_AlwaysSend[[#This Row],[GREET1 Name Range]]="", "dash_"&amp;Table_AlwaysSend[[#This Row],[Feedstock]]&amp;"_"&amp;Table_AlwaysSend[[#This Row],[Value to Send]], Table_AlwaysSend[[#This Row],[Feedstock]]&amp;"_"&amp;Table_AlwaysSend[[#This Row],[Value to Send]]&amp;"_"&amp;Table_AlwaysSend[[#This Row],[GREET1 Name Range]])</f>
        <v>Switchgrass_7_JetFuel_ETJet_EthanolFeedstock</v>
      </c>
      <c r="F25" s="298" t="s">
        <v>133</v>
      </c>
      <c r="G25" s="294" t="s">
        <v>1964</v>
      </c>
      <c r="H25" s="282" t="s">
        <v>194</v>
      </c>
      <c r="I25" s="282" t="s">
        <v>1399</v>
      </c>
      <c r="J25" s="282" t="s">
        <v>137</v>
      </c>
      <c r="K25" s="305" t="b" cm="1">
        <f t="array" ref="K25">OR(NOT(ISERROR(MATCH(TRIM(_xlfn.TEXTSPLIT(Table_AlwaysSend[[#This Row],[Feedstock]],",")),SelectedFeedstock,0))),AND(SelectedFeedstock&lt;&gt;"(Multiple Items)",SelectedFeedstock&lt;&gt;"(All)",Table_AlwaysSend[[#This Row],[Feedstock]]="All"))</f>
        <v>0</v>
      </c>
      <c r="L25" s="305" t="b" cm="1">
        <f t="array" ref="L25">OR(NOT(ISERROR(MATCH(TRIM(_xlfn.TEXTSPLIT(Table_AlwaysSend[[#This Row],[Conversion]],",")),SelectedConversion,0))),AND(SelectedConversion&lt;&gt;"(Multiple Items)",SelectedConversion&lt;&gt;"(All)",Table_AlwaysSend[[#This Row],[Conversion]]="All"))</f>
        <v>0</v>
      </c>
      <c r="M25" s="305" t="b" cm="1">
        <f t="array" ref="M25">OR(NOT(ISERROR(MATCH(TRIM(_xlfn.TEXTSPLIT(Table_AlwaysSend[[#This Row],[Data Source]],",")),SelectedDataSource,0))),AND(SelectedDataSource&lt;&gt;"(Multiple Items)",SelectedDataSource&lt;&gt;"(All)",Table_AlwaysSend[[#This Row],[Data Source]]="All"))</f>
        <v>0</v>
      </c>
      <c r="N25" s="305" t="b" cm="1">
        <f t="array" ref="N25">OR(NOT(ISERROR(MATCH(TRIM(_xlfn.TEXTSPLIT(Table_AlwaysSend[[#This Row],[Technology]],",")),SelectedTechnology,0))),AND(SelectedTechnology&lt;&gt;"(Multiple Items)",SelectedTechnology&lt;&gt;"(All)",Table_AlwaysSend[[#This Row],[Technology]]="All"))</f>
        <v>0</v>
      </c>
      <c r="O25" s="305" t="b" cm="1">
        <f t="array" ref="O25">OR(NOT(ISERROR(MATCH(TRIM(_xlfn.TEXTSPLIT(Table_AlwaysSend[[#This Row],[Data Set]],",")),SelectedDataSet,0))),AND(SelectedDataSet&lt;&gt;"(Multiple Items)",SelectedDataSet&lt;&gt;"(All)",Table_AlwaysSend[[#This Row],[Data Set]]="All"))</f>
        <v>0</v>
      </c>
      <c r="P25" s="305" t="b">
        <f>TRUE</f>
        <v>1</v>
      </c>
      <c r="Q25" s="307" t="b">
        <f>AND(Table_AlwaysSend[[#This Row],[Show Feedstock]:[Show Data Source2]],Table_AlwaysSend[[#This Row],[Conditional]]=TRUE)</f>
        <v>0</v>
      </c>
      <c r="R25" s="294" t="s">
        <v>87</v>
      </c>
      <c r="S25" s="285">
        <v>7</v>
      </c>
      <c r="T25" s="23" t="s">
        <v>902</v>
      </c>
    </row>
    <row r="26" spans="1:20" x14ac:dyDescent="0.3">
      <c r="A26">
        <f ca="1"/>
        <v>1</v>
      </c>
      <c r="B26" t="str">
        <f ca="1"/>
        <v>SAF_Electricity_Source_Option</v>
      </c>
      <c r="E26" s="300" t="str">
        <f>IF(Table_AlwaysSend[[#This Row],[GREET1 Name Range]]="", "dash_"&amp;Table_AlwaysSend[[#This Row],[Feedstock]]&amp;"_"&amp;Table_AlwaysSend[[#This Row],[Value to Send]], Table_AlwaysSend[[#This Row],[Feedstock]]&amp;"_"&amp;Table_AlwaysSend[[#This Row],[Value to Send]]&amp;"_"&amp;Table_AlwaysSend[[#This Row],[GREET1 Name Range]])</f>
        <v>Soybean_4_Soybean_Oil_Extraction_Allocation</v>
      </c>
      <c r="F26" s="297" t="s">
        <v>10</v>
      </c>
      <c r="G26" s="276" t="s">
        <v>30</v>
      </c>
      <c r="H26" s="299" t="s">
        <v>29</v>
      </c>
      <c r="I26" s="283" t="s">
        <v>29</v>
      </c>
      <c r="J26" s="278" t="s">
        <v>31</v>
      </c>
      <c r="K26" s="303" t="b" cm="1">
        <f t="array" ref="K26">OR(NOT(ISERROR(MATCH(TRIM(_xlfn.TEXTSPLIT(Table_AlwaysSend[[#This Row],[Feedstock]],",")),SelectedFeedstock,0))),AND(SelectedFeedstock&lt;&gt;"(Multiple Items)",SelectedFeedstock&lt;&gt;"(All)",Table_AlwaysSend[[#This Row],[Feedstock]]="All"))</f>
        <v>0</v>
      </c>
      <c r="L26" s="303" t="b" cm="1">
        <f t="array" ref="L26">OR(NOT(ISERROR(MATCH(TRIM(_xlfn.TEXTSPLIT(Table_AlwaysSend[[#This Row],[Conversion]],",")),SelectedConversion,0))),AND(SelectedConversion&lt;&gt;"(Multiple Items)",SelectedConversion&lt;&gt;"(All)",Table_AlwaysSend[[#This Row],[Conversion]]="All"))</f>
        <v>1</v>
      </c>
      <c r="M26" s="303" t="b" cm="1">
        <f t="array" ref="M26">OR(NOT(ISERROR(MATCH(TRIM(_xlfn.TEXTSPLIT(Table_AlwaysSend[[#This Row],[Data Source]],",")),SelectedDataSource,0))),AND(SelectedDataSource&lt;&gt;"(Multiple Items)",SelectedDataSource&lt;&gt;"(All)",Table_AlwaysSend[[#This Row],[Data Source]]="All"))</f>
        <v>1</v>
      </c>
      <c r="N26" s="305" t="b" cm="1">
        <f t="array" ref="N26">OR(NOT(ISERROR(MATCH(TRIM(_xlfn.TEXTSPLIT(Table_AlwaysSend[[#This Row],[Technology]],",")),SelectedTechnology,0))),AND(SelectedTechnology&lt;&gt;"(Multiple Items)",SelectedTechnology&lt;&gt;"(All)",Table_AlwaysSend[[#This Row],[Technology]]="All"))</f>
        <v>1</v>
      </c>
      <c r="O26" s="303" t="b" cm="1">
        <f t="array" ref="O26">OR(NOT(ISERROR(MATCH(TRIM(_xlfn.TEXTSPLIT(Table_AlwaysSend[[#This Row],[Data Set]],",")),SelectedDataSet,0))),AND(SelectedDataSet&lt;&gt;"(Multiple Items)",SelectedDataSet&lt;&gt;"(All)",Table_AlwaysSend[[#This Row],[Data Set]]="All"))</f>
        <v>1</v>
      </c>
      <c r="P26" s="305" t="b">
        <f>TRUE</f>
        <v>1</v>
      </c>
      <c r="Q26" s="306" t="b">
        <f>AND(Table_AlwaysSend[[#This Row],[Show Feedstock]:[Show Data Source2]],Table_AlwaysSend[[#This Row],[Conditional]]=TRUE)</f>
        <v>0</v>
      </c>
      <c r="R26" s="276" t="s">
        <v>806</v>
      </c>
      <c r="S26" s="288">
        <v>4</v>
      </c>
      <c r="T26" s="23" t="s">
        <v>1140</v>
      </c>
    </row>
    <row r="27" spans="1:20" x14ac:dyDescent="0.3">
      <c r="A27" t="str">
        <f ca="1"/>
        <v>AR5/GWP</v>
      </c>
      <c r="B27" t="str">
        <f ca="1"/>
        <v>GWP_of_GHG_Ref</v>
      </c>
      <c r="E27" s="300" t="str">
        <f>IF(Table_AlwaysSend[[#This Row],[GREET1 Name Range]]="", "dash_"&amp;Table_AlwaysSend[[#This Row],[Feedstock]]&amp;"_"&amp;Table_AlwaysSend[[#This Row],[Value to Send]], Table_AlwaysSend[[#This Row],[Feedstock]]&amp;"_"&amp;Table_AlwaysSend[[#This Row],[Value to Send]]&amp;"_"&amp;Table_AlwaysSend[[#This Row],[GREET1 Name Range]])</f>
        <v>Palm_4_Palm_Oil_Extraction_Allocation</v>
      </c>
      <c r="F27" s="297" t="s">
        <v>122</v>
      </c>
      <c r="G27" s="276" t="s">
        <v>30</v>
      </c>
      <c r="H27" s="299" t="s">
        <v>29</v>
      </c>
      <c r="I27" s="283" t="s">
        <v>29</v>
      </c>
      <c r="J27" s="281" t="s">
        <v>123</v>
      </c>
      <c r="K27" s="303" t="b" cm="1">
        <f t="array" ref="K27">OR(NOT(ISERROR(MATCH(TRIM(_xlfn.TEXTSPLIT(Table_AlwaysSend[[#This Row],[Feedstock]],",")),SelectedFeedstock,0))),AND(SelectedFeedstock&lt;&gt;"(Multiple Items)",SelectedFeedstock&lt;&gt;"(All)",Table_AlwaysSend[[#This Row],[Feedstock]]="All"))</f>
        <v>0</v>
      </c>
      <c r="L27" s="303" t="b" cm="1">
        <f t="array" ref="L27">OR(NOT(ISERROR(MATCH(TRIM(_xlfn.TEXTSPLIT(Table_AlwaysSend[[#This Row],[Conversion]],",")),SelectedConversion,0))),AND(SelectedConversion&lt;&gt;"(Multiple Items)",SelectedConversion&lt;&gt;"(All)",Table_AlwaysSend[[#This Row],[Conversion]]="All"))</f>
        <v>1</v>
      </c>
      <c r="M27" s="303" t="b" cm="1">
        <f t="array" ref="M27">OR(NOT(ISERROR(MATCH(TRIM(_xlfn.TEXTSPLIT(Table_AlwaysSend[[#This Row],[Data Source]],",")),SelectedDataSource,0))),AND(SelectedDataSource&lt;&gt;"(Multiple Items)",SelectedDataSource&lt;&gt;"(All)",Table_AlwaysSend[[#This Row],[Data Source]]="All"))</f>
        <v>1</v>
      </c>
      <c r="N27" s="308" t="b" cm="1">
        <f t="array" ref="N27">OR(NOT(ISERROR(MATCH(TRIM(_xlfn.TEXTSPLIT(Table_AlwaysSend[[#This Row],[Technology]],",")),SelectedTechnology,0))),AND(SelectedTechnology&lt;&gt;"(Multiple Items)",SelectedTechnology&lt;&gt;"(All)",Table_AlwaysSend[[#This Row],[Technology]]="All"))</f>
        <v>0</v>
      </c>
      <c r="O27" s="303" t="b" cm="1">
        <f t="array" ref="O27">OR(NOT(ISERROR(MATCH(TRIM(_xlfn.TEXTSPLIT(Table_AlwaysSend[[#This Row],[Data Set]],",")),SelectedDataSet,0))),AND(SelectedDataSet&lt;&gt;"(Multiple Items)",SelectedDataSet&lt;&gt;"(All)",Table_AlwaysSend[[#This Row],[Data Set]]="All"))</f>
        <v>1</v>
      </c>
      <c r="P27" s="305" t="b">
        <f>TRUE</f>
        <v>1</v>
      </c>
      <c r="Q27" s="306" t="b">
        <f>AND(Table_AlwaysSend[[#This Row],[Show Feedstock]:[Show Data Source2]],Table_AlwaysSend[[#This Row],[Conditional]]=TRUE)</f>
        <v>0</v>
      </c>
      <c r="R27" s="276" t="s">
        <v>765</v>
      </c>
      <c r="S27" s="288">
        <v>4</v>
      </c>
      <c r="T27" s="23" t="s">
        <v>1140</v>
      </c>
    </row>
    <row r="28" spans="1:20" x14ac:dyDescent="0.3">
      <c r="A28">
        <f ca="1"/>
        <v>1</v>
      </c>
      <c r="B28" t="str">
        <f ca="1"/>
        <v>GREET_ICAO_Selector</v>
      </c>
      <c r="E28" s="300" t="str">
        <f>IF(Table_AlwaysSend[[#This Row],[GREET1 Name Range]]="", "dash_"&amp;Table_AlwaysSend[[#This Row],[Feedstock]]&amp;"_"&amp;Table_AlwaysSend[[#This Row],[Value to Send]], Table_AlwaysSend[[#This Row],[Feedstock]]&amp;"_"&amp;Table_AlwaysSend[[#This Row],[Value to Send]]&amp;"_"&amp;Table_AlwaysSend[[#This Row],[GREET1 Name Range]])</f>
        <v>Palm_2_HEFA_Allocation</v>
      </c>
      <c r="F28" s="297" t="s">
        <v>122</v>
      </c>
      <c r="G28" s="276" t="s">
        <v>30</v>
      </c>
      <c r="H28" s="299" t="s">
        <v>29</v>
      </c>
      <c r="I28" s="283" t="s">
        <v>29</v>
      </c>
      <c r="J28" s="281" t="s">
        <v>123</v>
      </c>
      <c r="K28" s="303" t="b" cm="1">
        <f t="array" ref="K28">OR(NOT(ISERROR(MATCH(TRIM(_xlfn.TEXTSPLIT(Table_AlwaysSend[[#This Row],[Feedstock]],",")),SelectedFeedstock,0))),AND(SelectedFeedstock&lt;&gt;"(Multiple Items)",SelectedFeedstock&lt;&gt;"(All)",Table_AlwaysSend[[#This Row],[Feedstock]]="All"))</f>
        <v>0</v>
      </c>
      <c r="L28" s="303" t="b" cm="1">
        <f t="array" ref="L28">OR(NOT(ISERROR(MATCH(TRIM(_xlfn.TEXTSPLIT(Table_AlwaysSend[[#This Row],[Conversion]],",")),SelectedConversion,0))),AND(SelectedConversion&lt;&gt;"(Multiple Items)",SelectedConversion&lt;&gt;"(All)",Table_AlwaysSend[[#This Row],[Conversion]]="All"))</f>
        <v>1</v>
      </c>
      <c r="M28" s="303" t="b" cm="1">
        <f t="array" ref="M28">OR(NOT(ISERROR(MATCH(TRIM(_xlfn.TEXTSPLIT(Table_AlwaysSend[[#This Row],[Data Source]],",")),SelectedDataSource,0))),AND(SelectedDataSource&lt;&gt;"(Multiple Items)",SelectedDataSource&lt;&gt;"(All)",Table_AlwaysSend[[#This Row],[Data Source]]="All"))</f>
        <v>1</v>
      </c>
      <c r="N28" s="308" t="b" cm="1">
        <f t="array" ref="N28">OR(NOT(ISERROR(MATCH(TRIM(_xlfn.TEXTSPLIT(Table_AlwaysSend[[#This Row],[Technology]],",")),SelectedTechnology,0))),AND(SelectedTechnology&lt;&gt;"(Multiple Items)",SelectedTechnology&lt;&gt;"(All)",Table_AlwaysSend[[#This Row],[Technology]]="All"))</f>
        <v>0</v>
      </c>
      <c r="O28" s="303" t="b" cm="1">
        <f t="array" ref="O28">OR(NOT(ISERROR(MATCH(TRIM(_xlfn.TEXTSPLIT(Table_AlwaysSend[[#This Row],[Data Set]],",")),SelectedDataSet,0))),AND(SelectedDataSet&lt;&gt;"(Multiple Items)",SelectedDataSet&lt;&gt;"(All)",Table_AlwaysSend[[#This Row],[Data Set]]="All"))</f>
        <v>1</v>
      </c>
      <c r="P28" s="305" t="b">
        <f>TRUE</f>
        <v>1</v>
      </c>
      <c r="Q28" s="306" t="b">
        <f>AND(Table_AlwaysSend[[#This Row],[Show Feedstock]:[Show Data Source2]],Table_AlwaysSend[[#This Row],[Conditional]]=TRUE)</f>
        <v>0</v>
      </c>
      <c r="R28" s="276" t="s">
        <v>674</v>
      </c>
      <c r="S28" s="288">
        <v>2</v>
      </c>
      <c r="T28" s="23" t="s">
        <v>1140</v>
      </c>
    </row>
    <row r="29" spans="1:20" x14ac:dyDescent="0.3">
      <c r="A29">
        <f ca="1"/>
        <v>4</v>
      </c>
      <c r="B29" t="str">
        <f ca="1"/>
        <v>Canola_Oil_Extraction_Allocation</v>
      </c>
      <c r="E29" s="300" t="str">
        <f>IF(Table_AlwaysSend[[#This Row],[GREET1 Name Range]]="", "dash_"&amp;Table_AlwaysSend[[#This Row],[Feedstock]]&amp;"_"&amp;Table_AlwaysSend[[#This Row],[Value to Send]], Table_AlwaysSend[[#This Row],[Feedstock]]&amp;"_"&amp;Table_AlwaysSend[[#This Row],[Value to Send]]&amp;"_"&amp;Table_AlwaysSend[[#This Row],[GREET1 Name Range]])</f>
        <v>Palm_4_Palm_Oil_Extraction_Allocation</v>
      </c>
      <c r="F29" s="297" t="s">
        <v>122</v>
      </c>
      <c r="G29" s="276" t="s">
        <v>30</v>
      </c>
      <c r="H29" s="299" t="s">
        <v>29</v>
      </c>
      <c r="I29" s="283" t="s">
        <v>29</v>
      </c>
      <c r="J29" s="281" t="s">
        <v>124</v>
      </c>
      <c r="K29" s="303" t="b" cm="1">
        <f t="array" ref="K29">OR(NOT(ISERROR(MATCH(TRIM(_xlfn.TEXTSPLIT(Table_AlwaysSend[[#This Row],[Feedstock]],",")),SelectedFeedstock,0))),AND(SelectedFeedstock&lt;&gt;"(Multiple Items)",SelectedFeedstock&lt;&gt;"(All)",Table_AlwaysSend[[#This Row],[Feedstock]]="All"))</f>
        <v>0</v>
      </c>
      <c r="L29" s="303" t="b" cm="1">
        <f t="array" ref="L29">OR(NOT(ISERROR(MATCH(TRIM(_xlfn.TEXTSPLIT(Table_AlwaysSend[[#This Row],[Conversion]],",")),SelectedConversion,0))),AND(SelectedConversion&lt;&gt;"(Multiple Items)",SelectedConversion&lt;&gt;"(All)",Table_AlwaysSend[[#This Row],[Conversion]]="All"))</f>
        <v>1</v>
      </c>
      <c r="M29" s="303" t="b" cm="1">
        <f t="array" ref="M29">OR(NOT(ISERROR(MATCH(TRIM(_xlfn.TEXTSPLIT(Table_AlwaysSend[[#This Row],[Data Source]],",")),SelectedDataSource,0))),AND(SelectedDataSource&lt;&gt;"(Multiple Items)",SelectedDataSource&lt;&gt;"(All)",Table_AlwaysSend[[#This Row],[Data Source]]="All"))</f>
        <v>1</v>
      </c>
      <c r="N29" s="308" t="b" cm="1">
        <f t="array" ref="N29">OR(NOT(ISERROR(MATCH(TRIM(_xlfn.TEXTSPLIT(Table_AlwaysSend[[#This Row],[Technology]],",")),SelectedTechnology,0))),AND(SelectedTechnology&lt;&gt;"(Multiple Items)",SelectedTechnology&lt;&gt;"(All)",Table_AlwaysSend[[#This Row],[Technology]]="All"))</f>
        <v>0</v>
      </c>
      <c r="O29" s="303" t="b" cm="1">
        <f t="array" ref="O29">OR(NOT(ISERROR(MATCH(TRIM(_xlfn.TEXTSPLIT(Table_AlwaysSend[[#This Row],[Data Set]],",")),SelectedDataSet,0))),AND(SelectedDataSet&lt;&gt;"(Multiple Items)",SelectedDataSet&lt;&gt;"(All)",Table_AlwaysSend[[#This Row],[Data Set]]="All"))</f>
        <v>1</v>
      </c>
      <c r="P29" s="305" t="b">
        <f>TRUE</f>
        <v>1</v>
      </c>
      <c r="Q29" s="306" t="b">
        <f>AND(Table_AlwaysSend[[#This Row],[Show Feedstock]:[Show Data Source2]],Table_AlwaysSend[[#This Row],[Conditional]]=TRUE)</f>
        <v>0</v>
      </c>
      <c r="R29" s="276" t="s">
        <v>765</v>
      </c>
      <c r="S29" s="288">
        <v>4</v>
      </c>
      <c r="T29" s="23" t="s">
        <v>1140</v>
      </c>
    </row>
    <row r="30" spans="1:20" x14ac:dyDescent="0.3">
      <c r="A30">
        <f ca="1"/>
        <v>2</v>
      </c>
      <c r="B30" t="str">
        <f ca="1"/>
        <v>HEFA_Allocation</v>
      </c>
      <c r="E30" s="300" t="str">
        <f>IF(Table_AlwaysSend[[#This Row],[GREET1 Name Range]]="", "dash_"&amp;Table_AlwaysSend[[#This Row],[Feedstock]]&amp;"_"&amp;Table_AlwaysSend[[#This Row],[Value to Send]], Table_AlwaysSend[[#This Row],[Feedstock]]&amp;"_"&amp;Table_AlwaysSend[[#This Row],[Value to Send]]&amp;"_"&amp;Table_AlwaysSend[[#This Row],[GREET1 Name Range]])</f>
        <v>Palm_2_HEFA_Allocation</v>
      </c>
      <c r="F30" s="297" t="s">
        <v>122</v>
      </c>
      <c r="G30" s="276" t="s">
        <v>30</v>
      </c>
      <c r="H30" s="299" t="s">
        <v>29</v>
      </c>
      <c r="I30" s="283" t="s">
        <v>29</v>
      </c>
      <c r="J30" s="281" t="s">
        <v>124</v>
      </c>
      <c r="K30" s="303" t="b" cm="1">
        <f t="array" ref="K30">OR(NOT(ISERROR(MATCH(TRIM(_xlfn.TEXTSPLIT(Table_AlwaysSend[[#This Row],[Feedstock]],",")),SelectedFeedstock,0))),AND(SelectedFeedstock&lt;&gt;"(Multiple Items)",SelectedFeedstock&lt;&gt;"(All)",Table_AlwaysSend[[#This Row],[Feedstock]]="All"))</f>
        <v>0</v>
      </c>
      <c r="L30" s="303" t="b" cm="1">
        <f t="array" ref="L30">OR(NOT(ISERROR(MATCH(TRIM(_xlfn.TEXTSPLIT(Table_AlwaysSend[[#This Row],[Conversion]],",")),SelectedConversion,0))),AND(SelectedConversion&lt;&gt;"(Multiple Items)",SelectedConversion&lt;&gt;"(All)",Table_AlwaysSend[[#This Row],[Conversion]]="All"))</f>
        <v>1</v>
      </c>
      <c r="M30" s="303" t="b" cm="1">
        <f t="array" ref="M30">OR(NOT(ISERROR(MATCH(TRIM(_xlfn.TEXTSPLIT(Table_AlwaysSend[[#This Row],[Data Source]],",")),SelectedDataSource,0))),AND(SelectedDataSource&lt;&gt;"(Multiple Items)",SelectedDataSource&lt;&gt;"(All)",Table_AlwaysSend[[#This Row],[Data Source]]="All"))</f>
        <v>1</v>
      </c>
      <c r="N30" s="308" t="b" cm="1">
        <f t="array" ref="N30">OR(NOT(ISERROR(MATCH(TRIM(_xlfn.TEXTSPLIT(Table_AlwaysSend[[#This Row],[Technology]],",")),SelectedTechnology,0))),AND(SelectedTechnology&lt;&gt;"(Multiple Items)",SelectedTechnology&lt;&gt;"(All)",Table_AlwaysSend[[#This Row],[Technology]]="All"))</f>
        <v>0</v>
      </c>
      <c r="O30" s="303" t="b" cm="1">
        <f t="array" ref="O30">OR(NOT(ISERROR(MATCH(TRIM(_xlfn.TEXTSPLIT(Table_AlwaysSend[[#This Row],[Data Set]],",")),SelectedDataSet,0))),AND(SelectedDataSet&lt;&gt;"(Multiple Items)",SelectedDataSet&lt;&gt;"(All)",Table_AlwaysSend[[#This Row],[Data Set]]="All"))</f>
        <v>1</v>
      </c>
      <c r="P30" s="305" t="b">
        <f>TRUE</f>
        <v>1</v>
      </c>
      <c r="Q30" s="306" t="b">
        <f>AND(Table_AlwaysSend[[#This Row],[Show Feedstock]:[Show Data Source2]],Table_AlwaysSend[[#This Row],[Conditional]]=TRUE)</f>
        <v>0</v>
      </c>
      <c r="R30" s="276" t="s">
        <v>674</v>
      </c>
      <c r="S30" s="288">
        <v>2</v>
      </c>
      <c r="T30" s="23" t="s">
        <v>1140</v>
      </c>
    </row>
    <row r="31" spans="1:20" x14ac:dyDescent="0.3">
      <c r="A31">
        <f ca="1"/>
        <v>0</v>
      </c>
      <c r="B31" t="str">
        <f ca="1"/>
        <v>SAF_Miscanthus_FT_LandChange_Option</v>
      </c>
      <c r="E31" s="300" t="str">
        <f>IF(Table_AlwaysSend[[#This Row],[GREET1 Name Range]]="", "dash_"&amp;Table_AlwaysSend[[#This Row],[Feedstock]]&amp;"_"&amp;Table_AlwaysSend[[#This Row],[Value to Send]], Table_AlwaysSend[[#This Row],[Feedstock]]&amp;"_"&amp;Table_AlwaysSend[[#This Row],[Value to Send]]&amp;"_"&amp;Table_AlwaysSend[[#This Row],[GREET1 Name Range]])</f>
        <v>Canola/Rapeseed_4_Canola_Oil_Extraction_Allocation</v>
      </c>
      <c r="F31" s="297" t="s">
        <v>1347</v>
      </c>
      <c r="G31" s="276" t="s">
        <v>30</v>
      </c>
      <c r="H31" s="299" t="s">
        <v>29</v>
      </c>
      <c r="I31" s="283" t="s">
        <v>29</v>
      </c>
      <c r="J31" s="278" t="s">
        <v>31</v>
      </c>
      <c r="K31" s="303" t="b" cm="1">
        <f t="array" ref="K31">OR(NOT(ISERROR(MATCH(TRIM(_xlfn.TEXTSPLIT(Table_AlwaysSend[[#This Row],[Feedstock]],",")),SelectedFeedstock,0))),AND(SelectedFeedstock&lt;&gt;"(Multiple Items)",SelectedFeedstock&lt;&gt;"(All)",Table_AlwaysSend[[#This Row],[Feedstock]]="All"))</f>
        <v>1</v>
      </c>
      <c r="L31" s="303" t="b" cm="1">
        <f t="array" ref="L31">OR(NOT(ISERROR(MATCH(TRIM(_xlfn.TEXTSPLIT(Table_AlwaysSend[[#This Row],[Conversion]],",")),SelectedConversion,0))),AND(SelectedConversion&lt;&gt;"(Multiple Items)",SelectedConversion&lt;&gt;"(All)",Table_AlwaysSend[[#This Row],[Conversion]]="All"))</f>
        <v>1</v>
      </c>
      <c r="M31" s="303" t="b" cm="1">
        <f t="array" ref="M31">OR(NOT(ISERROR(MATCH(TRIM(_xlfn.TEXTSPLIT(Table_AlwaysSend[[#This Row],[Data Source]],",")),SelectedDataSource,0))),AND(SelectedDataSource&lt;&gt;"(Multiple Items)",SelectedDataSource&lt;&gt;"(All)",Table_AlwaysSend[[#This Row],[Data Source]]="All"))</f>
        <v>1</v>
      </c>
      <c r="N31" s="308" t="b" cm="1">
        <f t="array" ref="N31">OR(NOT(ISERROR(MATCH(TRIM(_xlfn.TEXTSPLIT(Table_AlwaysSend[[#This Row],[Technology]],",")),SelectedTechnology,0))),AND(SelectedTechnology&lt;&gt;"(Multiple Items)",SelectedTechnology&lt;&gt;"(All)",Table_AlwaysSend[[#This Row],[Technology]]="All"))</f>
        <v>1</v>
      </c>
      <c r="O31" s="303" t="b" cm="1">
        <f t="array" ref="O31">OR(NOT(ISERROR(MATCH(TRIM(_xlfn.TEXTSPLIT(Table_AlwaysSend[[#This Row],[Data Set]],",")),SelectedDataSet,0))),AND(SelectedDataSet&lt;&gt;"(Multiple Items)",SelectedDataSet&lt;&gt;"(All)",Table_AlwaysSend[[#This Row],[Data Set]]="All"))</f>
        <v>1</v>
      </c>
      <c r="P31" s="305" t="b">
        <f>TRUE</f>
        <v>1</v>
      </c>
      <c r="Q31" s="306" t="b">
        <f>AND(Table_AlwaysSend[[#This Row],[Show Feedstock]:[Show Data Source2]],Table_AlwaysSend[[#This Row],[Conditional]]=TRUE)</f>
        <v>1</v>
      </c>
      <c r="R31" s="276" t="s">
        <v>504</v>
      </c>
      <c r="S31" s="288">
        <v>4</v>
      </c>
      <c r="T31" s="23" t="s">
        <v>1140</v>
      </c>
    </row>
    <row r="32" spans="1:20" x14ac:dyDescent="0.3">
      <c r="A32">
        <f ca="1"/>
        <v>0</v>
      </c>
      <c r="B32" t="str">
        <f ca="1"/>
        <v>SAF_Switchgrass_FT_LandChange_Option</v>
      </c>
      <c r="E32" s="300" t="str">
        <f>IF(Table_AlwaysSend[[#This Row],[GREET1 Name Range]]="", "dash_"&amp;Table_AlwaysSend[[#This Row],[Feedstock]]&amp;"_"&amp;Table_AlwaysSend[[#This Row],[Value to Send]], Table_AlwaysSend[[#This Row],[Feedstock]]&amp;"_"&amp;Table_AlwaysSend[[#This Row],[Value to Send]]&amp;"_"&amp;Table_AlwaysSend[[#This Row],[GREET1 Name Range]])</f>
        <v>Canola/Rapeseed_2_HEFA_Allocation</v>
      </c>
      <c r="F32" s="297" t="s">
        <v>1347</v>
      </c>
      <c r="G32" s="276" t="s">
        <v>30</v>
      </c>
      <c r="H32" s="299" t="s">
        <v>29</v>
      </c>
      <c r="I32" s="283" t="s">
        <v>29</v>
      </c>
      <c r="J32" s="278" t="s">
        <v>31</v>
      </c>
      <c r="K32" s="303" t="b" cm="1">
        <f t="array" ref="K32">OR(NOT(ISERROR(MATCH(TRIM(_xlfn.TEXTSPLIT(Table_AlwaysSend[[#This Row],[Feedstock]],",")),SelectedFeedstock,0))),AND(SelectedFeedstock&lt;&gt;"(Multiple Items)",SelectedFeedstock&lt;&gt;"(All)",Table_AlwaysSend[[#This Row],[Feedstock]]="All"))</f>
        <v>1</v>
      </c>
      <c r="L32" s="303" t="b" cm="1">
        <f t="array" ref="L32">OR(NOT(ISERROR(MATCH(TRIM(_xlfn.TEXTSPLIT(Table_AlwaysSend[[#This Row],[Conversion]],",")),SelectedConversion,0))),AND(SelectedConversion&lt;&gt;"(Multiple Items)",SelectedConversion&lt;&gt;"(All)",Table_AlwaysSend[[#This Row],[Conversion]]="All"))</f>
        <v>1</v>
      </c>
      <c r="M32" s="303" t="b" cm="1">
        <f t="array" ref="M32">OR(NOT(ISERROR(MATCH(TRIM(_xlfn.TEXTSPLIT(Table_AlwaysSend[[#This Row],[Data Source]],",")),SelectedDataSource,0))),AND(SelectedDataSource&lt;&gt;"(Multiple Items)",SelectedDataSource&lt;&gt;"(All)",Table_AlwaysSend[[#This Row],[Data Source]]="All"))</f>
        <v>1</v>
      </c>
      <c r="N32" s="308" t="b" cm="1">
        <f t="array" ref="N32">OR(NOT(ISERROR(MATCH(TRIM(_xlfn.TEXTSPLIT(Table_AlwaysSend[[#This Row],[Technology]],",")),SelectedTechnology,0))),AND(SelectedTechnology&lt;&gt;"(Multiple Items)",SelectedTechnology&lt;&gt;"(All)",Table_AlwaysSend[[#This Row],[Technology]]="All"))</f>
        <v>1</v>
      </c>
      <c r="O32" s="303" t="b" cm="1">
        <f t="array" ref="O32">OR(NOT(ISERROR(MATCH(TRIM(_xlfn.TEXTSPLIT(Table_AlwaysSend[[#This Row],[Data Set]],",")),SelectedDataSet,0))),AND(SelectedDataSet&lt;&gt;"(Multiple Items)",SelectedDataSet&lt;&gt;"(All)",Table_AlwaysSend[[#This Row],[Data Set]]="All"))</f>
        <v>1</v>
      </c>
      <c r="P32" s="305" t="b">
        <f>TRUE</f>
        <v>1</v>
      </c>
      <c r="Q32" s="306" t="b">
        <f>AND(Table_AlwaysSend[[#This Row],[Show Feedstock]:[Show Data Source2]],Table_AlwaysSend[[#This Row],[Conditional]]=TRUE)</f>
        <v>1</v>
      </c>
      <c r="R32" s="276" t="s">
        <v>674</v>
      </c>
      <c r="S32" s="288">
        <v>2</v>
      </c>
      <c r="T32" s="23" t="s">
        <v>1140</v>
      </c>
    </row>
    <row r="33" spans="1:20" x14ac:dyDescent="0.3">
      <c r="A33">
        <f ca="1"/>
        <v>0</v>
      </c>
      <c r="B33" t="str">
        <f ca="1"/>
        <v>SAF_Poplar_FT_LandChange_Option</v>
      </c>
      <c r="E33" s="300" t="str">
        <f>IF(Table_AlwaysSend[[#This Row],[GREET1 Name Range]]="", "dash_"&amp;Table_AlwaysSend[[#This Row],[Feedstock]]&amp;"_"&amp;Table_AlwaysSend[[#This Row],[Value to Send]], Table_AlwaysSend[[#This Row],[Feedstock]]&amp;"_"&amp;Table_AlwaysSend[[#This Row],[Value to Send]]&amp;"_"&amp;Table_AlwaysSend[[#This Row],[GREET1 Name Range]])</f>
        <v>Jatropha_2_Jatropha_Oil_Extraction_Allocation</v>
      </c>
      <c r="F33" s="297" t="s">
        <v>126</v>
      </c>
      <c r="G33" s="276" t="s">
        <v>30</v>
      </c>
      <c r="H33" s="299" t="s">
        <v>29</v>
      </c>
      <c r="I33" s="283" t="s">
        <v>29</v>
      </c>
      <c r="J33" s="278" t="s">
        <v>31</v>
      </c>
      <c r="K33" s="303" t="b" cm="1">
        <f t="array" ref="K33">OR(NOT(ISERROR(MATCH(TRIM(_xlfn.TEXTSPLIT(Table_AlwaysSend[[#This Row],[Feedstock]],",")),SelectedFeedstock,0))),AND(SelectedFeedstock&lt;&gt;"(Multiple Items)",SelectedFeedstock&lt;&gt;"(All)",Table_AlwaysSend[[#This Row],[Feedstock]]="All"))</f>
        <v>0</v>
      </c>
      <c r="L33" s="303" t="b" cm="1">
        <f t="array" ref="L33">OR(NOT(ISERROR(MATCH(TRIM(_xlfn.TEXTSPLIT(Table_AlwaysSend[[#This Row],[Conversion]],",")),SelectedConversion,0))),AND(SelectedConversion&lt;&gt;"(Multiple Items)",SelectedConversion&lt;&gt;"(All)",Table_AlwaysSend[[#This Row],[Conversion]]="All"))</f>
        <v>1</v>
      </c>
      <c r="M33" s="303" t="b" cm="1">
        <f t="array" ref="M33">OR(NOT(ISERROR(MATCH(TRIM(_xlfn.TEXTSPLIT(Table_AlwaysSend[[#This Row],[Data Source]],",")),SelectedDataSource,0))),AND(SelectedDataSource&lt;&gt;"(Multiple Items)",SelectedDataSource&lt;&gt;"(All)",Table_AlwaysSend[[#This Row],[Data Source]]="All"))</f>
        <v>1</v>
      </c>
      <c r="N33" s="308" t="b" cm="1">
        <f t="array" ref="N33">OR(NOT(ISERROR(MATCH(TRIM(_xlfn.TEXTSPLIT(Table_AlwaysSend[[#This Row],[Technology]],",")),SelectedTechnology,0))),AND(SelectedTechnology&lt;&gt;"(Multiple Items)",SelectedTechnology&lt;&gt;"(All)",Table_AlwaysSend[[#This Row],[Technology]]="All"))</f>
        <v>1</v>
      </c>
      <c r="O33" s="303" t="b" cm="1">
        <f t="array" ref="O33">OR(NOT(ISERROR(MATCH(TRIM(_xlfn.TEXTSPLIT(Table_AlwaysSend[[#This Row],[Data Set]],",")),SelectedDataSet,0))),AND(SelectedDataSet&lt;&gt;"(Multiple Items)",SelectedDataSet&lt;&gt;"(All)",Table_AlwaysSend[[#This Row],[Data Set]]="All"))</f>
        <v>1</v>
      </c>
      <c r="P33" s="305" t="b">
        <f>TRUE</f>
        <v>1</v>
      </c>
      <c r="Q33" s="306" t="b">
        <f>AND(Table_AlwaysSend[[#This Row],[Show Feedstock]:[Show Data Source2]],Table_AlwaysSend[[#This Row],[Conditional]]=TRUE)</f>
        <v>0</v>
      </c>
      <c r="R33" s="276" t="s">
        <v>701</v>
      </c>
      <c r="S33" s="288">
        <v>2</v>
      </c>
      <c r="T33" s="23" t="s">
        <v>1140</v>
      </c>
    </row>
    <row r="34" spans="1:20" x14ac:dyDescent="0.3">
      <c r="A34">
        <f ca="1"/>
        <v>0</v>
      </c>
      <c r="B34" t="str">
        <f ca="1"/>
        <v>SAF_Corn_ETJ_LandChange_Option</v>
      </c>
      <c r="E34" s="300" t="str">
        <f>IF(Table_AlwaysSend[[#This Row],[GREET1 Name Range]]="", "dash_"&amp;Table_AlwaysSend[[#This Row],[Feedstock]]&amp;"_"&amp;Table_AlwaysSend[[#This Row],[Value to Send]], Table_AlwaysSend[[#This Row],[Feedstock]]&amp;"_"&amp;Table_AlwaysSend[[#This Row],[Value to Send]]&amp;"_"&amp;Table_AlwaysSend[[#This Row],[GREET1 Name Range]])</f>
        <v>Jatropha_2_HEFA_Allocation</v>
      </c>
      <c r="F34" s="297" t="s">
        <v>126</v>
      </c>
      <c r="G34" s="276" t="s">
        <v>30</v>
      </c>
      <c r="H34" s="299" t="s">
        <v>29</v>
      </c>
      <c r="I34" s="283" t="s">
        <v>29</v>
      </c>
      <c r="J34" s="278" t="s">
        <v>31</v>
      </c>
      <c r="K34" s="303" t="b" cm="1">
        <f t="array" ref="K34">OR(NOT(ISERROR(MATCH(TRIM(_xlfn.TEXTSPLIT(Table_AlwaysSend[[#This Row],[Feedstock]],",")),SelectedFeedstock,0))),AND(SelectedFeedstock&lt;&gt;"(Multiple Items)",SelectedFeedstock&lt;&gt;"(All)",Table_AlwaysSend[[#This Row],[Feedstock]]="All"))</f>
        <v>0</v>
      </c>
      <c r="L34" s="303" t="b" cm="1">
        <f t="array" ref="L34">OR(NOT(ISERROR(MATCH(TRIM(_xlfn.TEXTSPLIT(Table_AlwaysSend[[#This Row],[Conversion]],",")),SelectedConversion,0))),AND(SelectedConversion&lt;&gt;"(Multiple Items)",SelectedConversion&lt;&gt;"(All)",Table_AlwaysSend[[#This Row],[Conversion]]="All"))</f>
        <v>1</v>
      </c>
      <c r="M34" s="303" t="b" cm="1">
        <f t="array" ref="M34">OR(NOT(ISERROR(MATCH(TRIM(_xlfn.TEXTSPLIT(Table_AlwaysSend[[#This Row],[Data Source]],",")),SelectedDataSource,0))),AND(SelectedDataSource&lt;&gt;"(Multiple Items)",SelectedDataSource&lt;&gt;"(All)",Table_AlwaysSend[[#This Row],[Data Source]]="All"))</f>
        <v>1</v>
      </c>
      <c r="N34" s="308" t="b" cm="1">
        <f t="array" ref="N34">OR(NOT(ISERROR(MATCH(TRIM(_xlfn.TEXTSPLIT(Table_AlwaysSend[[#This Row],[Technology]],",")),SelectedTechnology,0))),AND(SelectedTechnology&lt;&gt;"(Multiple Items)",SelectedTechnology&lt;&gt;"(All)",Table_AlwaysSend[[#This Row],[Technology]]="All"))</f>
        <v>1</v>
      </c>
      <c r="O34" s="303" t="b" cm="1">
        <f t="array" ref="O34">OR(NOT(ISERROR(MATCH(TRIM(_xlfn.TEXTSPLIT(Table_AlwaysSend[[#This Row],[Data Set]],",")),SelectedDataSet,0))),AND(SelectedDataSet&lt;&gt;"(Multiple Items)",SelectedDataSet&lt;&gt;"(All)",Table_AlwaysSend[[#This Row],[Data Set]]="All"))</f>
        <v>1</v>
      </c>
      <c r="P34" s="305" t="b">
        <f>TRUE</f>
        <v>1</v>
      </c>
      <c r="Q34" s="306" t="b">
        <f>AND(Table_AlwaysSend[[#This Row],[Show Feedstock]:[Show Data Source2]],Table_AlwaysSend[[#This Row],[Conditional]]=TRUE)</f>
        <v>0</v>
      </c>
      <c r="R34" s="276" t="s">
        <v>674</v>
      </c>
      <c r="S34" s="288">
        <v>2</v>
      </c>
      <c r="T34" s="23" t="s">
        <v>1140</v>
      </c>
    </row>
    <row r="35" spans="1:20" x14ac:dyDescent="0.3">
      <c r="A35">
        <f ca="1"/>
        <v>0</v>
      </c>
      <c r="B35" t="str">
        <f ca="1"/>
        <v>SAF_Miscanthus_ETJ_LandChange_Option</v>
      </c>
      <c r="E35" s="300" t="str">
        <f>IF(Table_AlwaysSend[[#This Row],[GREET1 Name Range]]="", "dash_"&amp;Table_AlwaysSend[[#This Row],[Feedstock]]&amp;"_"&amp;Table_AlwaysSend[[#This Row],[Value to Send]], Table_AlwaysSend[[#This Row],[Feedstock]]&amp;"_"&amp;Table_AlwaysSend[[#This Row],[Value to Send]]&amp;"_"&amp;Table_AlwaysSend[[#This Row],[GREET1 Name Range]])</f>
        <v>Camelina_4_Camelina_Oil_Extraction_Allocation</v>
      </c>
      <c r="F35" s="297" t="s">
        <v>127</v>
      </c>
      <c r="G35" s="276" t="s">
        <v>30</v>
      </c>
      <c r="H35" s="299" t="s">
        <v>29</v>
      </c>
      <c r="I35" s="283" t="s">
        <v>29</v>
      </c>
      <c r="J35" s="278" t="s">
        <v>31</v>
      </c>
      <c r="K35" s="303" t="b" cm="1">
        <f t="array" ref="K35">OR(NOT(ISERROR(MATCH(TRIM(_xlfn.TEXTSPLIT(Table_AlwaysSend[[#This Row],[Feedstock]],",")),SelectedFeedstock,0))),AND(SelectedFeedstock&lt;&gt;"(Multiple Items)",SelectedFeedstock&lt;&gt;"(All)",Table_AlwaysSend[[#This Row],[Feedstock]]="All"))</f>
        <v>0</v>
      </c>
      <c r="L35" s="303" t="b" cm="1">
        <f t="array" ref="L35">OR(NOT(ISERROR(MATCH(TRIM(_xlfn.TEXTSPLIT(Table_AlwaysSend[[#This Row],[Conversion]],",")),SelectedConversion,0))),AND(SelectedConversion&lt;&gt;"(Multiple Items)",SelectedConversion&lt;&gt;"(All)",Table_AlwaysSend[[#This Row],[Conversion]]="All"))</f>
        <v>1</v>
      </c>
      <c r="M35" s="303" t="b" cm="1">
        <f t="array" ref="M35">OR(NOT(ISERROR(MATCH(TRIM(_xlfn.TEXTSPLIT(Table_AlwaysSend[[#This Row],[Data Source]],",")),SelectedDataSource,0))),AND(SelectedDataSource&lt;&gt;"(Multiple Items)",SelectedDataSource&lt;&gt;"(All)",Table_AlwaysSend[[#This Row],[Data Source]]="All"))</f>
        <v>1</v>
      </c>
      <c r="N35" s="308" t="b" cm="1">
        <f t="array" ref="N35">OR(NOT(ISERROR(MATCH(TRIM(_xlfn.TEXTSPLIT(Table_AlwaysSend[[#This Row],[Technology]],",")),SelectedTechnology,0))),AND(SelectedTechnology&lt;&gt;"(Multiple Items)",SelectedTechnology&lt;&gt;"(All)",Table_AlwaysSend[[#This Row],[Technology]]="All"))</f>
        <v>1</v>
      </c>
      <c r="O35" s="303" t="b" cm="1">
        <f t="array" ref="O35">OR(NOT(ISERROR(MATCH(TRIM(_xlfn.TEXTSPLIT(Table_AlwaysSend[[#This Row],[Data Set]],",")),SelectedDataSet,0))),AND(SelectedDataSet&lt;&gt;"(Multiple Items)",SelectedDataSet&lt;&gt;"(All)",Table_AlwaysSend[[#This Row],[Data Set]]="All"))</f>
        <v>1</v>
      </c>
      <c r="P35" s="305" t="b">
        <f>TRUE</f>
        <v>1</v>
      </c>
      <c r="Q35" s="306" t="b">
        <f>AND(Table_AlwaysSend[[#This Row],[Show Feedstock]:[Show Data Source2]],Table_AlwaysSend[[#This Row],[Conditional]]=TRUE)</f>
        <v>0</v>
      </c>
      <c r="R35" s="276" t="s">
        <v>477</v>
      </c>
      <c r="S35" s="288">
        <v>4</v>
      </c>
      <c r="T35" s="23" t="s">
        <v>1140</v>
      </c>
    </row>
    <row r="36" spans="1:20" x14ac:dyDescent="0.3">
      <c r="A36">
        <f ca="1"/>
        <v>0</v>
      </c>
      <c r="B36" t="str">
        <f ca="1"/>
        <v>SAF_Switchgrass_ETJ_LandChange_Option</v>
      </c>
      <c r="E36" s="300" t="str">
        <f>IF(Table_AlwaysSend[[#This Row],[GREET1 Name Range]]="", "dash_"&amp;Table_AlwaysSend[[#This Row],[Feedstock]]&amp;"_"&amp;Table_AlwaysSend[[#This Row],[Value to Send]], Table_AlwaysSend[[#This Row],[Feedstock]]&amp;"_"&amp;Table_AlwaysSend[[#This Row],[Value to Send]]&amp;"_"&amp;Table_AlwaysSend[[#This Row],[GREET1 Name Range]])</f>
        <v>Camelina_2_HEFA_Allocation</v>
      </c>
      <c r="F36" s="297" t="s">
        <v>127</v>
      </c>
      <c r="G36" s="276" t="s">
        <v>30</v>
      </c>
      <c r="H36" s="299" t="s">
        <v>29</v>
      </c>
      <c r="I36" s="283" t="s">
        <v>29</v>
      </c>
      <c r="J36" s="278" t="s">
        <v>31</v>
      </c>
      <c r="K36" s="303" t="b" cm="1">
        <f t="array" ref="K36">OR(NOT(ISERROR(MATCH(TRIM(_xlfn.TEXTSPLIT(Table_AlwaysSend[[#This Row],[Feedstock]],",")),SelectedFeedstock,0))),AND(SelectedFeedstock&lt;&gt;"(Multiple Items)",SelectedFeedstock&lt;&gt;"(All)",Table_AlwaysSend[[#This Row],[Feedstock]]="All"))</f>
        <v>0</v>
      </c>
      <c r="L36" s="303" t="b" cm="1">
        <f t="array" ref="L36">OR(NOT(ISERROR(MATCH(TRIM(_xlfn.TEXTSPLIT(Table_AlwaysSend[[#This Row],[Conversion]],",")),SelectedConversion,0))),AND(SelectedConversion&lt;&gt;"(Multiple Items)",SelectedConversion&lt;&gt;"(All)",Table_AlwaysSend[[#This Row],[Conversion]]="All"))</f>
        <v>1</v>
      </c>
      <c r="M36" s="303" t="b" cm="1">
        <f t="array" ref="M36">OR(NOT(ISERROR(MATCH(TRIM(_xlfn.TEXTSPLIT(Table_AlwaysSend[[#This Row],[Data Source]],",")),SelectedDataSource,0))),AND(SelectedDataSource&lt;&gt;"(Multiple Items)",SelectedDataSource&lt;&gt;"(All)",Table_AlwaysSend[[#This Row],[Data Source]]="All"))</f>
        <v>1</v>
      </c>
      <c r="N36" s="308" t="b" cm="1">
        <f t="array" ref="N36">OR(NOT(ISERROR(MATCH(TRIM(_xlfn.TEXTSPLIT(Table_AlwaysSend[[#This Row],[Technology]],",")),SelectedTechnology,0))),AND(SelectedTechnology&lt;&gt;"(Multiple Items)",SelectedTechnology&lt;&gt;"(All)",Table_AlwaysSend[[#This Row],[Technology]]="All"))</f>
        <v>1</v>
      </c>
      <c r="O36" s="303" t="b" cm="1">
        <f t="array" ref="O36">OR(NOT(ISERROR(MATCH(TRIM(_xlfn.TEXTSPLIT(Table_AlwaysSend[[#This Row],[Data Set]],",")),SelectedDataSet,0))),AND(SelectedDataSet&lt;&gt;"(Multiple Items)",SelectedDataSet&lt;&gt;"(All)",Table_AlwaysSend[[#This Row],[Data Set]]="All"))</f>
        <v>1</v>
      </c>
      <c r="P36" s="305" t="b">
        <f>TRUE</f>
        <v>1</v>
      </c>
      <c r="Q36" s="306" t="b">
        <f>AND(Table_AlwaysSend[[#This Row],[Show Feedstock]:[Show Data Source2]],Table_AlwaysSend[[#This Row],[Conditional]]=TRUE)</f>
        <v>0</v>
      </c>
      <c r="R36" s="276" t="s">
        <v>674</v>
      </c>
      <c r="S36" s="288">
        <v>2</v>
      </c>
      <c r="T36" s="23" t="s">
        <v>1140</v>
      </c>
    </row>
    <row r="37" spans="1:20" x14ac:dyDescent="0.3">
      <c r="A37">
        <f ca="1"/>
        <v>0</v>
      </c>
      <c r="B37" t="str">
        <f ca="1"/>
        <v>SAF_Corn_ATJ_LandChange_Option</v>
      </c>
      <c r="E37" s="300" t="str">
        <f>IF(Table_AlwaysSend[[#This Row],[GREET1 Name Range]]="", "dash_"&amp;Table_AlwaysSend[[#This Row],[Feedstock]]&amp;"_"&amp;Table_AlwaysSend[[#This Row],[Value to Send]], Table_AlwaysSend[[#This Row],[Feedstock]]&amp;"_"&amp;Table_AlwaysSend[[#This Row],[Value to Send]]&amp;"_"&amp;Table_AlwaysSend[[#This Row],[GREET1 Name Range]])</f>
        <v>Carinata_4_Carinata_Oil_Extraction_Allocation</v>
      </c>
      <c r="F37" s="297" t="s">
        <v>128</v>
      </c>
      <c r="G37" s="276" t="s">
        <v>30</v>
      </c>
      <c r="H37" s="299" t="s">
        <v>29</v>
      </c>
      <c r="I37" s="283" t="s">
        <v>29</v>
      </c>
      <c r="J37" s="278" t="s">
        <v>31</v>
      </c>
      <c r="K37" s="303" t="b" cm="1">
        <f t="array" ref="K37">OR(NOT(ISERROR(MATCH(TRIM(_xlfn.TEXTSPLIT(Table_AlwaysSend[[#This Row],[Feedstock]],",")),SelectedFeedstock,0))),AND(SelectedFeedstock&lt;&gt;"(Multiple Items)",SelectedFeedstock&lt;&gt;"(All)",Table_AlwaysSend[[#This Row],[Feedstock]]="All"))</f>
        <v>0</v>
      </c>
      <c r="L37" s="303" t="b" cm="1">
        <f t="array" ref="L37">OR(NOT(ISERROR(MATCH(TRIM(_xlfn.TEXTSPLIT(Table_AlwaysSend[[#This Row],[Conversion]],",")),SelectedConversion,0))),AND(SelectedConversion&lt;&gt;"(Multiple Items)",SelectedConversion&lt;&gt;"(All)",Table_AlwaysSend[[#This Row],[Conversion]]="All"))</f>
        <v>1</v>
      </c>
      <c r="M37" s="303" t="b" cm="1">
        <f t="array" ref="M37">OR(NOT(ISERROR(MATCH(TRIM(_xlfn.TEXTSPLIT(Table_AlwaysSend[[#This Row],[Data Source]],",")),SelectedDataSource,0))),AND(SelectedDataSource&lt;&gt;"(Multiple Items)",SelectedDataSource&lt;&gt;"(All)",Table_AlwaysSend[[#This Row],[Data Source]]="All"))</f>
        <v>1</v>
      </c>
      <c r="N37" s="308" t="b" cm="1">
        <f t="array" ref="N37">OR(NOT(ISERROR(MATCH(TRIM(_xlfn.TEXTSPLIT(Table_AlwaysSend[[#This Row],[Technology]],",")),SelectedTechnology,0))),AND(SelectedTechnology&lt;&gt;"(Multiple Items)",SelectedTechnology&lt;&gt;"(All)",Table_AlwaysSend[[#This Row],[Technology]]="All"))</f>
        <v>1</v>
      </c>
      <c r="O37" s="303" t="b" cm="1">
        <f t="array" ref="O37">OR(NOT(ISERROR(MATCH(TRIM(_xlfn.TEXTSPLIT(Table_AlwaysSend[[#This Row],[Data Set]],",")),SelectedDataSet,0))),AND(SelectedDataSet&lt;&gt;"(Multiple Items)",SelectedDataSet&lt;&gt;"(All)",Table_AlwaysSend[[#This Row],[Data Set]]="All"))</f>
        <v>1</v>
      </c>
      <c r="P37" s="305" t="b">
        <f>TRUE</f>
        <v>1</v>
      </c>
      <c r="Q37" s="306" t="b">
        <f>AND(Table_AlwaysSend[[#This Row],[Show Feedstock]:[Show Data Source2]],Table_AlwaysSend[[#This Row],[Conditional]]=TRUE)</f>
        <v>0</v>
      </c>
      <c r="R37" s="276" t="s">
        <v>531</v>
      </c>
      <c r="S37" s="288">
        <v>4</v>
      </c>
      <c r="T37" s="23" t="s">
        <v>1140</v>
      </c>
    </row>
    <row r="38" spans="1:20" x14ac:dyDescent="0.3">
      <c r="A38">
        <f ca="1"/>
        <v>0</v>
      </c>
      <c r="B38" t="str">
        <f ca="1"/>
        <v>SAF_Miscanthus_ATJ_LandChange_Option</v>
      </c>
      <c r="E38" s="300" t="str">
        <f>IF(Table_AlwaysSend[[#This Row],[GREET1 Name Range]]="", "dash_"&amp;Table_AlwaysSend[[#This Row],[Feedstock]]&amp;"_"&amp;Table_AlwaysSend[[#This Row],[Value to Send]], Table_AlwaysSend[[#This Row],[Feedstock]]&amp;"_"&amp;Table_AlwaysSend[[#This Row],[Value to Send]]&amp;"_"&amp;Table_AlwaysSend[[#This Row],[GREET1 Name Range]])</f>
        <v>Carinata_2_HEFA_Allocation</v>
      </c>
      <c r="F38" s="297" t="s">
        <v>128</v>
      </c>
      <c r="G38" s="276" t="s">
        <v>30</v>
      </c>
      <c r="H38" s="299" t="s">
        <v>29</v>
      </c>
      <c r="I38" s="283" t="s">
        <v>29</v>
      </c>
      <c r="J38" s="278" t="s">
        <v>31</v>
      </c>
      <c r="K38" s="303" t="b" cm="1">
        <f t="array" ref="K38">OR(NOT(ISERROR(MATCH(TRIM(_xlfn.TEXTSPLIT(Table_AlwaysSend[[#This Row],[Feedstock]],",")),SelectedFeedstock,0))),AND(SelectedFeedstock&lt;&gt;"(Multiple Items)",SelectedFeedstock&lt;&gt;"(All)",Table_AlwaysSend[[#This Row],[Feedstock]]="All"))</f>
        <v>0</v>
      </c>
      <c r="L38" s="303" t="b" cm="1">
        <f t="array" ref="L38">OR(NOT(ISERROR(MATCH(TRIM(_xlfn.TEXTSPLIT(Table_AlwaysSend[[#This Row],[Conversion]],",")),SelectedConversion,0))),AND(SelectedConversion&lt;&gt;"(Multiple Items)",SelectedConversion&lt;&gt;"(All)",Table_AlwaysSend[[#This Row],[Conversion]]="All"))</f>
        <v>1</v>
      </c>
      <c r="M38" s="303" t="b" cm="1">
        <f t="array" ref="M38">OR(NOT(ISERROR(MATCH(TRIM(_xlfn.TEXTSPLIT(Table_AlwaysSend[[#This Row],[Data Source]],",")),SelectedDataSource,0))),AND(SelectedDataSource&lt;&gt;"(Multiple Items)",SelectedDataSource&lt;&gt;"(All)",Table_AlwaysSend[[#This Row],[Data Source]]="All"))</f>
        <v>1</v>
      </c>
      <c r="N38" s="308" t="b" cm="1">
        <f t="array" ref="N38">OR(NOT(ISERROR(MATCH(TRIM(_xlfn.TEXTSPLIT(Table_AlwaysSend[[#This Row],[Technology]],",")),SelectedTechnology,0))),AND(SelectedTechnology&lt;&gt;"(Multiple Items)",SelectedTechnology&lt;&gt;"(All)",Table_AlwaysSend[[#This Row],[Technology]]="All"))</f>
        <v>1</v>
      </c>
      <c r="O38" s="303" t="b" cm="1">
        <f t="array" ref="O38">OR(NOT(ISERROR(MATCH(TRIM(_xlfn.TEXTSPLIT(Table_AlwaysSend[[#This Row],[Data Set]],",")),SelectedDataSet,0))),AND(SelectedDataSet&lt;&gt;"(Multiple Items)",SelectedDataSet&lt;&gt;"(All)",Table_AlwaysSend[[#This Row],[Data Set]]="All"))</f>
        <v>1</v>
      </c>
      <c r="P38" s="305" t="b">
        <f>TRUE</f>
        <v>1</v>
      </c>
      <c r="Q38" s="306" t="b">
        <f>AND(Table_AlwaysSend[[#This Row],[Show Feedstock]:[Show Data Source2]],Table_AlwaysSend[[#This Row],[Conditional]]=TRUE)</f>
        <v>0</v>
      </c>
      <c r="R38" s="276" t="s">
        <v>674</v>
      </c>
      <c r="S38" s="288">
        <v>2</v>
      </c>
      <c r="T38" s="23" t="s">
        <v>1140</v>
      </c>
    </row>
    <row r="39" spans="1:20" x14ac:dyDescent="0.3">
      <c r="A39">
        <f ca="1"/>
        <v>0</v>
      </c>
      <c r="B39" t="str">
        <f ca="1"/>
        <v>SAF_Switchgrass_ATJ_LandChange_Option</v>
      </c>
      <c r="E39" s="300" t="str">
        <f>IF(Table_AlwaysSend[[#This Row],[GREET1 Name Range]]="", "dash_"&amp;Table_AlwaysSend[[#This Row],[Feedstock]]&amp;"_"&amp;Table_AlwaysSend[[#This Row],[Value to Send]], Table_AlwaysSend[[#This Row],[Feedstock]]&amp;"_"&amp;Table_AlwaysSend[[#This Row],[Value to Send]]&amp;"_"&amp;Table_AlwaysSend[[#This Row],[GREET1 Name Range]])</f>
        <v>Corn oil_2_HEFA_Allocation</v>
      </c>
      <c r="F39" s="297" t="s">
        <v>374</v>
      </c>
      <c r="G39" s="276" t="s">
        <v>30</v>
      </c>
      <c r="H39" s="299" t="s">
        <v>29</v>
      </c>
      <c r="I39" s="283" t="s">
        <v>29</v>
      </c>
      <c r="J39" s="278" t="s">
        <v>31</v>
      </c>
      <c r="K39" s="303" t="b" cm="1">
        <f t="array" ref="K39">OR(NOT(ISERROR(MATCH(TRIM(_xlfn.TEXTSPLIT(Table_AlwaysSend[[#This Row],[Feedstock]],",")),SelectedFeedstock,0))),AND(SelectedFeedstock&lt;&gt;"(Multiple Items)",SelectedFeedstock&lt;&gt;"(All)",Table_AlwaysSend[[#This Row],[Feedstock]]="All"))</f>
        <v>0</v>
      </c>
      <c r="L39" s="303" t="b" cm="1">
        <f t="array" ref="L39">OR(NOT(ISERROR(MATCH(TRIM(_xlfn.TEXTSPLIT(Table_AlwaysSend[[#This Row],[Conversion]],",")),SelectedConversion,0))),AND(SelectedConversion&lt;&gt;"(Multiple Items)",SelectedConversion&lt;&gt;"(All)",Table_AlwaysSend[[#This Row],[Conversion]]="All"))</f>
        <v>1</v>
      </c>
      <c r="M39" s="303" t="b" cm="1">
        <f t="array" ref="M39">OR(NOT(ISERROR(MATCH(TRIM(_xlfn.TEXTSPLIT(Table_AlwaysSend[[#This Row],[Data Source]],",")),SelectedDataSource,0))),AND(SelectedDataSource&lt;&gt;"(Multiple Items)",SelectedDataSource&lt;&gt;"(All)",Table_AlwaysSend[[#This Row],[Data Source]]="All"))</f>
        <v>1</v>
      </c>
      <c r="N39" s="308" t="b" cm="1">
        <f t="array" ref="N39">OR(NOT(ISERROR(MATCH(TRIM(_xlfn.TEXTSPLIT(Table_AlwaysSend[[#This Row],[Technology]],",")),SelectedTechnology,0))),AND(SelectedTechnology&lt;&gt;"(Multiple Items)",SelectedTechnology&lt;&gt;"(All)",Table_AlwaysSend[[#This Row],[Technology]]="All"))</f>
        <v>1</v>
      </c>
      <c r="O39" s="303" t="b" cm="1">
        <f t="array" ref="O39">OR(NOT(ISERROR(MATCH(TRIM(_xlfn.TEXTSPLIT(Table_AlwaysSend[[#This Row],[Data Set]],",")),SelectedDataSet,0))),AND(SelectedDataSet&lt;&gt;"(Multiple Items)",SelectedDataSet&lt;&gt;"(All)",Table_AlwaysSend[[#This Row],[Data Set]]="All"))</f>
        <v>1</v>
      </c>
      <c r="P39" s="305" t="b">
        <f>TRUE</f>
        <v>1</v>
      </c>
      <c r="Q39" s="306" t="b">
        <f>AND(Table_AlwaysSend[[#This Row],[Show Feedstock]:[Show Data Source2]],Table_AlwaysSend[[#This Row],[Conditional]]=TRUE)</f>
        <v>0</v>
      </c>
      <c r="R39" s="276" t="s">
        <v>674</v>
      </c>
      <c r="S39" s="288">
        <v>2</v>
      </c>
      <c r="T39" s="23" t="s">
        <v>1140</v>
      </c>
    </row>
    <row r="40" spans="1:20" x14ac:dyDescent="0.3">
      <c r="A40">
        <f ca="1"/>
        <v>0</v>
      </c>
      <c r="B40" t="str">
        <f ca="1"/>
        <v>SAF_Switchgrass_ATJ_LandChange_Option</v>
      </c>
      <c r="E40" s="300" t="str">
        <f>IF(Table_AlwaysSend[[#This Row],[GREET1 Name Range]]="", "dash_"&amp;Table_AlwaysSend[[#This Row],[Feedstock]]&amp;"_"&amp;Table_AlwaysSend[[#This Row],[Value to Send]], Table_AlwaysSend[[#This Row],[Feedstock]]&amp;"_"&amp;Table_AlwaysSend[[#This Row],[Value to Send]]&amp;"_"&amp;Table_AlwaysSend[[#This Row],[GREET1 Name Range]])</f>
        <v>Corn_1_Corn_ETJ_Allocation</v>
      </c>
      <c r="F40" s="297" t="s">
        <v>136</v>
      </c>
      <c r="G40" s="276" t="s">
        <v>1964</v>
      </c>
      <c r="H40" s="299" t="s">
        <v>29</v>
      </c>
      <c r="I40" s="283" t="s">
        <v>29</v>
      </c>
      <c r="J40" s="23" t="s">
        <v>911</v>
      </c>
      <c r="K40" s="303" t="b" cm="1">
        <f t="array" ref="K40">OR(NOT(ISERROR(MATCH(TRIM(_xlfn.TEXTSPLIT(Table_AlwaysSend[[#This Row],[Feedstock]],",")),SelectedFeedstock,0))),AND(SelectedFeedstock&lt;&gt;"(Multiple Items)",SelectedFeedstock&lt;&gt;"(All)",Table_AlwaysSend[[#This Row],[Feedstock]]="All"))</f>
        <v>0</v>
      </c>
      <c r="L40" s="303" t="b" cm="1">
        <f t="array" ref="L40">OR(NOT(ISERROR(MATCH(TRIM(_xlfn.TEXTSPLIT(Table_AlwaysSend[[#This Row],[Conversion]],",")),SelectedConversion,0))),AND(SelectedConversion&lt;&gt;"(Multiple Items)",SelectedConversion&lt;&gt;"(All)",Table_AlwaysSend[[#This Row],[Conversion]]="All"))</f>
        <v>0</v>
      </c>
      <c r="M40" s="303" t="b" cm="1">
        <f t="array" ref="M40">OR(NOT(ISERROR(MATCH(TRIM(_xlfn.TEXTSPLIT(Table_AlwaysSend[[#This Row],[Data Source]],",")),SelectedDataSource,0))),AND(SelectedDataSource&lt;&gt;"(Multiple Items)",SelectedDataSource&lt;&gt;"(All)",Table_AlwaysSend[[#This Row],[Data Source]]="All"))</f>
        <v>1</v>
      </c>
      <c r="N40" s="308" t="b" cm="1">
        <f t="array" ref="N40">OR(NOT(ISERROR(MATCH(TRIM(_xlfn.TEXTSPLIT(Table_AlwaysSend[[#This Row],[Technology]],",")),SelectedTechnology,0))),AND(SelectedTechnology&lt;&gt;"(Multiple Items)",SelectedTechnology&lt;&gt;"(All)",Table_AlwaysSend[[#This Row],[Technology]]="All"))</f>
        <v>0</v>
      </c>
      <c r="O40" s="303" t="b" cm="1">
        <f t="array" ref="O40">OR(NOT(ISERROR(MATCH(TRIM(_xlfn.TEXTSPLIT(Table_AlwaysSend[[#This Row],[Data Set]],",")),SelectedDataSet,0))),AND(SelectedDataSet&lt;&gt;"(Multiple Items)",SelectedDataSet&lt;&gt;"(All)",Table_AlwaysSend[[#This Row],[Data Set]]="All"))</f>
        <v>1</v>
      </c>
      <c r="P40" s="305" t="b">
        <f>TRUE</f>
        <v>1</v>
      </c>
      <c r="Q40" s="306" t="b">
        <f>AND(Table_AlwaysSend[[#This Row],[Show Feedstock]:[Show Data Source2]],Table_AlwaysSend[[#This Row],[Conditional]]=TRUE)</f>
        <v>0</v>
      </c>
      <c r="R40" s="276" t="s">
        <v>570</v>
      </c>
      <c r="S40" s="288">
        <v>1</v>
      </c>
      <c r="T40" s="23" t="s">
        <v>1140</v>
      </c>
    </row>
    <row r="41" spans="1:20" x14ac:dyDescent="0.3">
      <c r="A41">
        <f ca="1"/>
        <v>0</v>
      </c>
      <c r="B41" t="str">
        <f ca="1"/>
        <v>EtOH_CornEtOH_LandChange_Option</v>
      </c>
      <c r="E41" s="300" t="str">
        <f>IF(Table_AlwaysSend[[#This Row],[GREET1 Name Range]]="", "dash_"&amp;Table_AlwaysSend[[#This Row],[Feedstock]]&amp;"_"&amp;Table_AlwaysSend[[#This Row],[Value to Send]], Table_AlwaysSend[[#This Row],[Feedstock]]&amp;"_"&amp;Table_AlwaysSend[[#This Row],[Value to Send]]&amp;"_"&amp;Table_AlwaysSend[[#This Row],[GREET1 Name Range]])</f>
        <v>Corn stover_1_Cellulosic_ETJ_Allocation</v>
      </c>
      <c r="F41" s="297" t="s">
        <v>135</v>
      </c>
      <c r="G41" s="276" t="s">
        <v>1964</v>
      </c>
      <c r="H41" s="299" t="s">
        <v>29</v>
      </c>
      <c r="I41" s="283" t="s">
        <v>29</v>
      </c>
      <c r="J41" s="23" t="s">
        <v>911</v>
      </c>
      <c r="K41" s="303" t="b" cm="1">
        <f t="array" ref="K41">OR(NOT(ISERROR(MATCH(TRIM(_xlfn.TEXTSPLIT(Table_AlwaysSend[[#This Row],[Feedstock]],",")),SelectedFeedstock,0))),AND(SelectedFeedstock&lt;&gt;"(Multiple Items)",SelectedFeedstock&lt;&gt;"(All)",Table_AlwaysSend[[#This Row],[Feedstock]]="All"))</f>
        <v>0</v>
      </c>
      <c r="L41" s="303" t="b" cm="1">
        <f t="array" ref="L41">OR(NOT(ISERROR(MATCH(TRIM(_xlfn.TEXTSPLIT(Table_AlwaysSend[[#This Row],[Conversion]],",")),SelectedConversion,0))),AND(SelectedConversion&lt;&gt;"(Multiple Items)",SelectedConversion&lt;&gt;"(All)",Table_AlwaysSend[[#This Row],[Conversion]]="All"))</f>
        <v>0</v>
      </c>
      <c r="M41" s="303" t="b" cm="1">
        <f t="array" ref="M41">OR(NOT(ISERROR(MATCH(TRIM(_xlfn.TEXTSPLIT(Table_AlwaysSend[[#This Row],[Data Source]],",")),SelectedDataSource,0))),AND(SelectedDataSource&lt;&gt;"(Multiple Items)",SelectedDataSource&lt;&gt;"(All)",Table_AlwaysSend[[#This Row],[Data Source]]="All"))</f>
        <v>1</v>
      </c>
      <c r="N41" s="308" t="b" cm="1">
        <f t="array" ref="N41">OR(NOT(ISERROR(MATCH(TRIM(_xlfn.TEXTSPLIT(Table_AlwaysSend[[#This Row],[Technology]],",")),SelectedTechnology,0))),AND(SelectedTechnology&lt;&gt;"(Multiple Items)",SelectedTechnology&lt;&gt;"(All)",Table_AlwaysSend[[#This Row],[Technology]]="All"))</f>
        <v>0</v>
      </c>
      <c r="O41" s="303" t="b" cm="1">
        <f t="array" ref="O41">OR(NOT(ISERROR(MATCH(TRIM(_xlfn.TEXTSPLIT(Table_AlwaysSend[[#This Row],[Data Set]],",")),SelectedDataSet,0))),AND(SelectedDataSet&lt;&gt;"(Multiple Items)",SelectedDataSet&lt;&gt;"(All)",Table_AlwaysSend[[#This Row],[Data Set]]="All"))</f>
        <v>1</v>
      </c>
      <c r="P41" s="305" t="b">
        <f>TRUE</f>
        <v>1</v>
      </c>
      <c r="Q41" s="306" t="b">
        <f>AND(Table_AlwaysSend[[#This Row],[Show Feedstock]:[Show Data Source2]],Table_AlwaysSend[[#This Row],[Conditional]]=TRUE)</f>
        <v>0</v>
      </c>
      <c r="R41" s="276" t="s">
        <v>556</v>
      </c>
      <c r="S41" s="288">
        <v>1</v>
      </c>
      <c r="T41" s="23" t="s">
        <v>1140</v>
      </c>
    </row>
    <row r="42" spans="1:20" x14ac:dyDescent="0.3">
      <c r="A42">
        <f ca="1"/>
        <v>0</v>
      </c>
      <c r="B42" t="str">
        <f ca="1"/>
        <v>EtOH_WBiomassEtOH_LandChange_Option</v>
      </c>
      <c r="E42" s="300" t="str">
        <f>IF(Table_AlwaysSend[[#This Row],[GREET1 Name Range]]="", "dash_"&amp;Table_AlwaysSend[[#This Row],[Feedstock]]&amp;"_"&amp;Table_AlwaysSend[[#This Row],[Value to Send]], Table_AlwaysSend[[#This Row],[Feedstock]]&amp;"_"&amp;Table_AlwaysSend[[#This Row],[Value to Send]]&amp;"_"&amp;Table_AlwaysSend[[#This Row],[GREET1 Name Range]])</f>
        <v>Willow_1_Cellulosic_ETJ_Allocation</v>
      </c>
      <c r="F42" s="297" t="s">
        <v>131</v>
      </c>
      <c r="G42" s="276" t="s">
        <v>1964</v>
      </c>
      <c r="H42" s="299" t="s">
        <v>29</v>
      </c>
      <c r="I42" s="283" t="s">
        <v>29</v>
      </c>
      <c r="J42" s="23" t="s">
        <v>911</v>
      </c>
      <c r="K42" s="303" t="b" cm="1">
        <f t="array" ref="K42">OR(NOT(ISERROR(MATCH(TRIM(_xlfn.TEXTSPLIT(Table_AlwaysSend[[#This Row],[Feedstock]],",")),SelectedFeedstock,0))),AND(SelectedFeedstock&lt;&gt;"(Multiple Items)",SelectedFeedstock&lt;&gt;"(All)",Table_AlwaysSend[[#This Row],[Feedstock]]="All"))</f>
        <v>0</v>
      </c>
      <c r="L42" s="303" t="b" cm="1">
        <f t="array" ref="L42">OR(NOT(ISERROR(MATCH(TRIM(_xlfn.TEXTSPLIT(Table_AlwaysSend[[#This Row],[Conversion]],",")),SelectedConversion,0))),AND(SelectedConversion&lt;&gt;"(Multiple Items)",SelectedConversion&lt;&gt;"(All)",Table_AlwaysSend[[#This Row],[Conversion]]="All"))</f>
        <v>0</v>
      </c>
      <c r="M42" s="303" t="b" cm="1">
        <f t="array" ref="M42">OR(NOT(ISERROR(MATCH(TRIM(_xlfn.TEXTSPLIT(Table_AlwaysSend[[#This Row],[Data Source]],",")),SelectedDataSource,0))),AND(SelectedDataSource&lt;&gt;"(Multiple Items)",SelectedDataSource&lt;&gt;"(All)",Table_AlwaysSend[[#This Row],[Data Source]]="All"))</f>
        <v>1</v>
      </c>
      <c r="N42" s="308" t="b" cm="1">
        <f t="array" ref="N42">OR(NOT(ISERROR(MATCH(TRIM(_xlfn.TEXTSPLIT(Table_AlwaysSend[[#This Row],[Technology]],",")),SelectedTechnology,0))),AND(SelectedTechnology&lt;&gt;"(Multiple Items)",SelectedTechnology&lt;&gt;"(All)",Table_AlwaysSend[[#This Row],[Technology]]="All"))</f>
        <v>0</v>
      </c>
      <c r="O42" s="303" t="b" cm="1">
        <f t="array" ref="O42">OR(NOT(ISERROR(MATCH(TRIM(_xlfn.TEXTSPLIT(Table_AlwaysSend[[#This Row],[Data Set]],",")),SelectedDataSet,0))),AND(SelectedDataSet&lt;&gt;"(Multiple Items)",SelectedDataSet&lt;&gt;"(All)",Table_AlwaysSend[[#This Row],[Data Set]]="All"))</f>
        <v>1</v>
      </c>
      <c r="P42" s="305" t="b">
        <f>TRUE</f>
        <v>1</v>
      </c>
      <c r="Q42" s="306" t="b">
        <f>AND(Table_AlwaysSend[[#This Row],[Show Feedstock]:[Show Data Source2]],Table_AlwaysSend[[#This Row],[Conditional]]=TRUE)</f>
        <v>0</v>
      </c>
      <c r="R42" s="276" t="s">
        <v>556</v>
      </c>
      <c r="S42" s="288">
        <v>1</v>
      </c>
      <c r="T42" s="23" t="s">
        <v>1140</v>
      </c>
    </row>
    <row r="43" spans="1:20" x14ac:dyDescent="0.3">
      <c r="A43">
        <f ca="1"/>
        <v>0</v>
      </c>
      <c r="B43" t="str">
        <f ca="1"/>
        <v>EtOH_PoplarEtOH_LandChange_Option</v>
      </c>
      <c r="E43" s="300" t="str">
        <f>IF(Table_AlwaysSend[[#This Row],[GREET1 Name Range]]="", "dash_"&amp;Table_AlwaysSend[[#This Row],[Feedstock]]&amp;"_"&amp;Table_AlwaysSend[[#This Row],[Value to Send]], Table_AlwaysSend[[#This Row],[Feedstock]]&amp;"_"&amp;Table_AlwaysSend[[#This Row],[Value to Send]]&amp;"_"&amp;Table_AlwaysSend[[#This Row],[GREET1 Name Range]])</f>
        <v>Poplar_1_Cellulosic_ETJ_Allocation</v>
      </c>
      <c r="F43" s="297" t="s">
        <v>132</v>
      </c>
      <c r="G43" s="276" t="s">
        <v>1964</v>
      </c>
      <c r="H43" s="299" t="s">
        <v>29</v>
      </c>
      <c r="I43" s="283" t="s">
        <v>29</v>
      </c>
      <c r="J43" s="23" t="s">
        <v>911</v>
      </c>
      <c r="K43" s="303" t="b" cm="1">
        <f t="array" ref="K43">OR(NOT(ISERROR(MATCH(TRIM(_xlfn.TEXTSPLIT(Table_AlwaysSend[[#This Row],[Feedstock]],",")),SelectedFeedstock,0))),AND(SelectedFeedstock&lt;&gt;"(Multiple Items)",SelectedFeedstock&lt;&gt;"(All)",Table_AlwaysSend[[#This Row],[Feedstock]]="All"))</f>
        <v>0</v>
      </c>
      <c r="L43" s="303" t="b" cm="1">
        <f t="array" ref="L43">OR(NOT(ISERROR(MATCH(TRIM(_xlfn.TEXTSPLIT(Table_AlwaysSend[[#This Row],[Conversion]],",")),SelectedConversion,0))),AND(SelectedConversion&lt;&gt;"(Multiple Items)",SelectedConversion&lt;&gt;"(All)",Table_AlwaysSend[[#This Row],[Conversion]]="All"))</f>
        <v>0</v>
      </c>
      <c r="M43" s="303" t="b" cm="1">
        <f t="array" ref="M43">OR(NOT(ISERROR(MATCH(TRIM(_xlfn.TEXTSPLIT(Table_AlwaysSend[[#This Row],[Data Source]],",")),SelectedDataSource,0))),AND(SelectedDataSource&lt;&gt;"(Multiple Items)",SelectedDataSource&lt;&gt;"(All)",Table_AlwaysSend[[#This Row],[Data Source]]="All"))</f>
        <v>1</v>
      </c>
      <c r="N43" s="308" t="b" cm="1">
        <f t="array" ref="N43">OR(NOT(ISERROR(MATCH(TRIM(_xlfn.TEXTSPLIT(Table_AlwaysSend[[#This Row],[Technology]],",")),SelectedTechnology,0))),AND(SelectedTechnology&lt;&gt;"(Multiple Items)",SelectedTechnology&lt;&gt;"(All)",Table_AlwaysSend[[#This Row],[Technology]]="All"))</f>
        <v>0</v>
      </c>
      <c r="O43" s="303" t="b" cm="1">
        <f t="array" ref="O43">OR(NOT(ISERROR(MATCH(TRIM(_xlfn.TEXTSPLIT(Table_AlwaysSend[[#This Row],[Data Set]],",")),SelectedDataSet,0))),AND(SelectedDataSet&lt;&gt;"(Multiple Items)",SelectedDataSet&lt;&gt;"(All)",Table_AlwaysSend[[#This Row],[Data Set]]="All"))</f>
        <v>1</v>
      </c>
      <c r="P43" s="305" t="b">
        <f>TRUE</f>
        <v>1</v>
      </c>
      <c r="Q43" s="306" t="b">
        <f>AND(Table_AlwaysSend[[#This Row],[Show Feedstock]:[Show Data Source2]],Table_AlwaysSend[[#This Row],[Conditional]]=TRUE)</f>
        <v>0</v>
      </c>
      <c r="R43" s="276" t="s">
        <v>556</v>
      </c>
      <c r="S43" s="288">
        <v>1</v>
      </c>
      <c r="T43" s="23" t="s">
        <v>1140</v>
      </c>
    </row>
    <row r="44" spans="1:20" x14ac:dyDescent="0.3">
      <c r="A44">
        <f ca="1"/>
        <v>0</v>
      </c>
      <c r="B44" t="str">
        <f ca="1"/>
        <v>EtOH_HBiomassEtOH_LandChange_Option</v>
      </c>
      <c r="E44" s="300" t="str">
        <f>IF(Table_AlwaysSend[[#This Row],[GREET1 Name Range]]="", "dash_"&amp;Table_AlwaysSend[[#This Row],[Feedstock]]&amp;"_"&amp;Table_AlwaysSend[[#This Row],[Value to Send]], Table_AlwaysSend[[#This Row],[Feedstock]]&amp;"_"&amp;Table_AlwaysSend[[#This Row],[Value to Send]]&amp;"_"&amp;Table_AlwaysSend[[#This Row],[GREET1 Name Range]])</f>
        <v>Switchgrass_1_Cellulosic_ETJ_Allocation</v>
      </c>
      <c r="F44" s="297" t="s">
        <v>133</v>
      </c>
      <c r="G44" s="276" t="s">
        <v>1964</v>
      </c>
      <c r="H44" s="299" t="s">
        <v>29</v>
      </c>
      <c r="I44" s="283" t="s">
        <v>29</v>
      </c>
      <c r="J44" s="23" t="s">
        <v>911</v>
      </c>
      <c r="K44" s="303" t="b" cm="1">
        <f t="array" ref="K44">OR(NOT(ISERROR(MATCH(TRIM(_xlfn.TEXTSPLIT(Table_AlwaysSend[[#This Row],[Feedstock]],",")),SelectedFeedstock,0))),AND(SelectedFeedstock&lt;&gt;"(Multiple Items)",SelectedFeedstock&lt;&gt;"(All)",Table_AlwaysSend[[#This Row],[Feedstock]]="All"))</f>
        <v>0</v>
      </c>
      <c r="L44" s="303" t="b" cm="1">
        <f t="array" ref="L44">OR(NOT(ISERROR(MATCH(TRIM(_xlfn.TEXTSPLIT(Table_AlwaysSend[[#This Row],[Conversion]],",")),SelectedConversion,0))),AND(SelectedConversion&lt;&gt;"(Multiple Items)",SelectedConversion&lt;&gt;"(All)",Table_AlwaysSend[[#This Row],[Conversion]]="All"))</f>
        <v>0</v>
      </c>
      <c r="M44" s="303" t="b" cm="1">
        <f t="array" ref="M44">OR(NOT(ISERROR(MATCH(TRIM(_xlfn.TEXTSPLIT(Table_AlwaysSend[[#This Row],[Data Source]],",")),SelectedDataSource,0))),AND(SelectedDataSource&lt;&gt;"(Multiple Items)",SelectedDataSource&lt;&gt;"(All)",Table_AlwaysSend[[#This Row],[Data Source]]="All"))</f>
        <v>1</v>
      </c>
      <c r="N44" s="308" t="b" cm="1">
        <f t="array" ref="N44">OR(NOT(ISERROR(MATCH(TRIM(_xlfn.TEXTSPLIT(Table_AlwaysSend[[#This Row],[Technology]],",")),SelectedTechnology,0))),AND(SelectedTechnology&lt;&gt;"(Multiple Items)",SelectedTechnology&lt;&gt;"(All)",Table_AlwaysSend[[#This Row],[Technology]]="All"))</f>
        <v>0</v>
      </c>
      <c r="O44" s="303" t="b" cm="1">
        <f t="array" ref="O44">OR(NOT(ISERROR(MATCH(TRIM(_xlfn.TEXTSPLIT(Table_AlwaysSend[[#This Row],[Data Set]],",")),SelectedDataSet,0))),AND(SelectedDataSet&lt;&gt;"(Multiple Items)",SelectedDataSet&lt;&gt;"(All)",Table_AlwaysSend[[#This Row],[Data Set]]="All"))</f>
        <v>1</v>
      </c>
      <c r="P44" s="305" t="b">
        <f>TRUE</f>
        <v>1</v>
      </c>
      <c r="Q44" s="306" t="b">
        <f>AND(Table_AlwaysSend[[#This Row],[Show Feedstock]:[Show Data Source2]],Table_AlwaysSend[[#This Row],[Conditional]]=TRUE)</f>
        <v>0</v>
      </c>
      <c r="R44" s="276" t="s">
        <v>556</v>
      </c>
      <c r="S44" s="288">
        <v>1</v>
      </c>
      <c r="T44" s="23" t="s">
        <v>1140</v>
      </c>
    </row>
    <row r="45" spans="1:20" x14ac:dyDescent="0.3">
      <c r="A45">
        <f ca="1"/>
        <v>0</v>
      </c>
      <c r="B45" t="str">
        <f ca="1"/>
        <v>EtOH_MiscanthusEtOH_LandChange_Option</v>
      </c>
      <c r="E45" s="300" t="str">
        <f>IF(Table_AlwaysSend[[#This Row],[GREET1 Name Range]]="", "dash_"&amp;Table_AlwaysSend[[#This Row],[Feedstock]]&amp;"_"&amp;Table_AlwaysSend[[#This Row],[Value to Send]], Table_AlwaysSend[[#This Row],[Feedstock]]&amp;"_"&amp;Table_AlwaysSend[[#This Row],[Value to Send]]&amp;"_"&amp;Table_AlwaysSend[[#This Row],[GREET1 Name Range]])</f>
        <v>Miscanthus_1_Cellulosic_ETJ_Allocation</v>
      </c>
      <c r="F45" s="297" t="s">
        <v>134</v>
      </c>
      <c r="G45" s="276" t="s">
        <v>1964</v>
      </c>
      <c r="H45" s="299" t="s">
        <v>29</v>
      </c>
      <c r="I45" s="283" t="s">
        <v>29</v>
      </c>
      <c r="J45" s="23" t="s">
        <v>911</v>
      </c>
      <c r="K45" s="303" t="b" cm="1">
        <f t="array" ref="K45">OR(NOT(ISERROR(MATCH(TRIM(_xlfn.TEXTSPLIT(Table_AlwaysSend[[#This Row],[Feedstock]],",")),SelectedFeedstock,0))),AND(SelectedFeedstock&lt;&gt;"(Multiple Items)",SelectedFeedstock&lt;&gt;"(All)",Table_AlwaysSend[[#This Row],[Feedstock]]="All"))</f>
        <v>0</v>
      </c>
      <c r="L45" s="303" t="b" cm="1">
        <f t="array" ref="L45">OR(NOT(ISERROR(MATCH(TRIM(_xlfn.TEXTSPLIT(Table_AlwaysSend[[#This Row],[Conversion]],",")),SelectedConversion,0))),AND(SelectedConversion&lt;&gt;"(Multiple Items)",SelectedConversion&lt;&gt;"(All)",Table_AlwaysSend[[#This Row],[Conversion]]="All"))</f>
        <v>0</v>
      </c>
      <c r="M45" s="303" t="b" cm="1">
        <f t="array" ref="M45">OR(NOT(ISERROR(MATCH(TRIM(_xlfn.TEXTSPLIT(Table_AlwaysSend[[#This Row],[Data Source]],",")),SelectedDataSource,0))),AND(SelectedDataSource&lt;&gt;"(Multiple Items)",SelectedDataSource&lt;&gt;"(All)",Table_AlwaysSend[[#This Row],[Data Source]]="All"))</f>
        <v>1</v>
      </c>
      <c r="N45" s="308" t="b" cm="1">
        <f t="array" ref="N45">OR(NOT(ISERROR(MATCH(TRIM(_xlfn.TEXTSPLIT(Table_AlwaysSend[[#This Row],[Technology]],",")),SelectedTechnology,0))),AND(SelectedTechnology&lt;&gt;"(Multiple Items)",SelectedTechnology&lt;&gt;"(All)",Table_AlwaysSend[[#This Row],[Technology]]="All"))</f>
        <v>0</v>
      </c>
      <c r="O45" s="303" t="b" cm="1">
        <f t="array" ref="O45">OR(NOT(ISERROR(MATCH(TRIM(_xlfn.TEXTSPLIT(Table_AlwaysSend[[#This Row],[Data Set]],",")),SelectedDataSet,0))),AND(SelectedDataSet&lt;&gt;"(Multiple Items)",SelectedDataSet&lt;&gt;"(All)",Table_AlwaysSend[[#This Row],[Data Set]]="All"))</f>
        <v>1</v>
      </c>
      <c r="P45" s="305" t="b">
        <f>TRUE</f>
        <v>1</v>
      </c>
      <c r="Q45" s="306" t="b">
        <f>AND(Table_AlwaysSend[[#This Row],[Show Feedstock]:[Show Data Source2]],Table_AlwaysSend[[#This Row],[Conditional]]=TRUE)</f>
        <v>0</v>
      </c>
      <c r="R45" s="276" t="s">
        <v>556</v>
      </c>
      <c r="S45" s="288">
        <v>1</v>
      </c>
      <c r="T45" s="23" t="s">
        <v>1140</v>
      </c>
    </row>
    <row r="46" spans="1:20" x14ac:dyDescent="0.3">
      <c r="A46">
        <f ca="1"/>
        <v>0</v>
      </c>
      <c r="B46" t="str">
        <f ca="1"/>
        <v>EtOH_CornStoverEtOH_LandChange_Option</v>
      </c>
      <c r="E46" s="300" t="str">
        <f>IF(Table_AlwaysSend[[#This Row],[GREET1 Name Range]]="", "dash_"&amp;Table_AlwaysSend[[#This Row],[Feedstock]]&amp;"_"&amp;Table_AlwaysSend[[#This Row],[Value to Send]], Table_AlwaysSend[[#This Row],[Feedstock]]&amp;"_"&amp;Table_AlwaysSend[[#This Row],[Value to Send]]&amp;"_"&amp;Table_AlwaysSend[[#This Row],[GREET1 Name Range]])</f>
        <v>Forest residue_1_Cellulosic_ETJ_Allocation</v>
      </c>
      <c r="F46" s="297" t="s">
        <v>316</v>
      </c>
      <c r="G46" s="276" t="s">
        <v>1964</v>
      </c>
      <c r="H46" s="299" t="s">
        <v>29</v>
      </c>
      <c r="I46" s="283" t="s">
        <v>29</v>
      </c>
      <c r="J46" s="23" t="s">
        <v>911</v>
      </c>
      <c r="K46" s="303" t="b" cm="1">
        <f t="array" ref="K46">OR(NOT(ISERROR(MATCH(TRIM(_xlfn.TEXTSPLIT(Table_AlwaysSend[[#This Row],[Feedstock]],",")),SelectedFeedstock,0))),AND(SelectedFeedstock&lt;&gt;"(Multiple Items)",SelectedFeedstock&lt;&gt;"(All)",Table_AlwaysSend[[#This Row],[Feedstock]]="All"))</f>
        <v>0</v>
      </c>
      <c r="L46" s="303" t="b" cm="1">
        <f t="array" ref="L46">OR(NOT(ISERROR(MATCH(TRIM(_xlfn.TEXTSPLIT(Table_AlwaysSend[[#This Row],[Conversion]],",")),SelectedConversion,0))),AND(SelectedConversion&lt;&gt;"(Multiple Items)",SelectedConversion&lt;&gt;"(All)",Table_AlwaysSend[[#This Row],[Conversion]]="All"))</f>
        <v>0</v>
      </c>
      <c r="M46" s="303" t="b" cm="1">
        <f t="array" ref="M46">OR(NOT(ISERROR(MATCH(TRIM(_xlfn.TEXTSPLIT(Table_AlwaysSend[[#This Row],[Data Source]],",")),SelectedDataSource,0))),AND(SelectedDataSource&lt;&gt;"(Multiple Items)",SelectedDataSource&lt;&gt;"(All)",Table_AlwaysSend[[#This Row],[Data Source]]="All"))</f>
        <v>1</v>
      </c>
      <c r="N46" s="308" t="b" cm="1">
        <f t="array" ref="N46">OR(NOT(ISERROR(MATCH(TRIM(_xlfn.TEXTSPLIT(Table_AlwaysSend[[#This Row],[Technology]],",")),SelectedTechnology,0))),AND(SelectedTechnology&lt;&gt;"(Multiple Items)",SelectedTechnology&lt;&gt;"(All)",Table_AlwaysSend[[#This Row],[Technology]]="All"))</f>
        <v>0</v>
      </c>
      <c r="O46" s="303" t="b" cm="1">
        <f t="array" ref="O46">OR(NOT(ISERROR(MATCH(TRIM(_xlfn.TEXTSPLIT(Table_AlwaysSend[[#This Row],[Data Set]],",")),SelectedDataSet,0))),AND(SelectedDataSet&lt;&gt;"(Multiple Items)",SelectedDataSet&lt;&gt;"(All)",Table_AlwaysSend[[#This Row],[Data Set]]="All"))</f>
        <v>1</v>
      </c>
      <c r="P46" s="305" t="b">
        <f>TRUE</f>
        <v>1</v>
      </c>
      <c r="Q46" s="306" t="b">
        <f>AND(Table_AlwaysSend[[#This Row],[Show Feedstock]:[Show Data Source2]],Table_AlwaysSend[[#This Row],[Conditional]]=TRUE)</f>
        <v>0</v>
      </c>
      <c r="R46" s="276" t="s">
        <v>556</v>
      </c>
      <c r="S46" s="288">
        <v>1</v>
      </c>
      <c r="T46" s="23" t="s">
        <v>1140</v>
      </c>
    </row>
    <row r="47" spans="1:20" x14ac:dyDescent="0.3">
      <c r="A47">
        <f ca="1"/>
        <v>0</v>
      </c>
      <c r="B47" t="str">
        <f ca="1"/>
        <v>EtOH_WoodResidueEtOH_LandChange_Option</v>
      </c>
      <c r="E47" s="300" t="str">
        <f>IF(Table_AlwaysSend[[#This Row],[GREET1 Name Range]]="", "dash_"&amp;Table_AlwaysSend[[#This Row],[Feedstock]]&amp;"_"&amp;Table_AlwaysSend[[#This Row],[Value to Send]], Table_AlwaysSend[[#This Row],[Feedstock]]&amp;"_"&amp;Table_AlwaysSend[[#This Row],[Value to Send]]&amp;"_"&amp;Table_AlwaysSend[[#This Row],[GREET1 Name Range]])</f>
        <v>Corn_1_Distributed_ETJ_Allocation</v>
      </c>
      <c r="F47" s="23" t="s">
        <v>136</v>
      </c>
      <c r="G47" s="276" t="s">
        <v>1964</v>
      </c>
      <c r="H47" s="299" t="s">
        <v>29</v>
      </c>
      <c r="I47" s="283" t="s">
        <v>29</v>
      </c>
      <c r="J47" s="23" t="s">
        <v>1592</v>
      </c>
      <c r="K47" s="303" t="b" cm="1">
        <f t="array" ref="K47">OR(NOT(ISERROR(MATCH(TRIM(_xlfn.TEXTSPLIT(Table_AlwaysSend[[#This Row],[Feedstock]],",")),SelectedFeedstock,0))),AND(SelectedFeedstock&lt;&gt;"(Multiple Items)",SelectedFeedstock&lt;&gt;"(All)",Table_AlwaysSend[[#This Row],[Feedstock]]="All"))</f>
        <v>0</v>
      </c>
      <c r="L47" s="303" t="b" cm="1">
        <f t="array" ref="L47">OR(NOT(ISERROR(MATCH(TRIM(_xlfn.TEXTSPLIT(Table_AlwaysSend[[#This Row],[Conversion]],",")),SelectedConversion,0))),AND(SelectedConversion&lt;&gt;"(Multiple Items)",SelectedConversion&lt;&gt;"(All)",Table_AlwaysSend[[#This Row],[Conversion]]="All"))</f>
        <v>0</v>
      </c>
      <c r="M47" s="303" t="b" cm="1">
        <f t="array" ref="M47">OR(NOT(ISERROR(MATCH(TRIM(_xlfn.TEXTSPLIT(Table_AlwaysSend[[#This Row],[Data Source]],",")),SelectedDataSource,0))),AND(SelectedDataSource&lt;&gt;"(Multiple Items)",SelectedDataSource&lt;&gt;"(All)",Table_AlwaysSend[[#This Row],[Data Source]]="All"))</f>
        <v>1</v>
      </c>
      <c r="N47" s="308" t="b" cm="1">
        <f t="array" ref="N47">OR(NOT(ISERROR(MATCH(TRIM(_xlfn.TEXTSPLIT(Table_AlwaysSend[[#This Row],[Technology]],",")),SelectedTechnology,0))),AND(SelectedTechnology&lt;&gt;"(Multiple Items)",SelectedTechnology&lt;&gt;"(All)",Table_AlwaysSend[[#This Row],[Technology]]="All"))</f>
        <v>0</v>
      </c>
      <c r="O47" s="303" t="b" cm="1">
        <f t="array" ref="O47">OR(NOT(ISERROR(MATCH(TRIM(_xlfn.TEXTSPLIT(Table_AlwaysSend[[#This Row],[Data Set]],",")),SelectedDataSet,0))),AND(SelectedDataSet&lt;&gt;"(Multiple Items)",SelectedDataSet&lt;&gt;"(All)",Table_AlwaysSend[[#This Row],[Data Set]]="All"))</f>
        <v>1</v>
      </c>
      <c r="P47" s="305" t="b">
        <f>TRUE</f>
        <v>1</v>
      </c>
      <c r="Q47" s="306" t="b">
        <f>AND(Table_AlwaysSend[[#This Row],[Show Feedstock]:[Show Data Source2]],Table_AlwaysSend[[#This Row],[Conditional]]=TRUE)</f>
        <v>0</v>
      </c>
      <c r="R47" s="276" t="s">
        <v>638</v>
      </c>
      <c r="S47" s="288">
        <v>1</v>
      </c>
      <c r="T47" s="23" t="s">
        <v>1140</v>
      </c>
    </row>
    <row r="48" spans="1:20" x14ac:dyDescent="0.3">
      <c r="A48">
        <f ca="1"/>
        <v>0</v>
      </c>
      <c r="B48" t="str">
        <f ca="1"/>
        <v>Sorghum_LUC_Selector</v>
      </c>
      <c r="E48" s="300" t="str">
        <f>IF(Table_AlwaysSend[[#This Row],[GREET1 Name Range]]="", "dash_"&amp;Table_AlwaysSend[[#This Row],[Feedstock]]&amp;"_"&amp;Table_AlwaysSend[[#This Row],[Value to Send]], Table_AlwaysSend[[#This Row],[Feedstock]]&amp;"_"&amp;Table_AlwaysSend[[#This Row],[Value to Send]]&amp;"_"&amp;Table_AlwaysSend[[#This Row],[GREET1 Name Range]])</f>
        <v>Corn_1_Distributed_ETJ_Allocation</v>
      </c>
      <c r="F48" s="23" t="s">
        <v>136</v>
      </c>
      <c r="G48" s="276" t="s">
        <v>1964</v>
      </c>
      <c r="H48" s="299" t="s">
        <v>29</v>
      </c>
      <c r="I48" s="283" t="s">
        <v>29</v>
      </c>
      <c r="J48" s="23" t="s">
        <v>1590</v>
      </c>
      <c r="K48" s="303" t="b" cm="1">
        <f t="array" ref="K48">OR(NOT(ISERROR(MATCH(TRIM(_xlfn.TEXTSPLIT(Table_AlwaysSend[[#This Row],[Feedstock]],",")),SelectedFeedstock,0))),AND(SelectedFeedstock&lt;&gt;"(Multiple Items)",SelectedFeedstock&lt;&gt;"(All)",Table_AlwaysSend[[#This Row],[Feedstock]]="All"))</f>
        <v>0</v>
      </c>
      <c r="L48" s="303" t="b" cm="1">
        <f t="array" ref="L48">OR(NOT(ISERROR(MATCH(TRIM(_xlfn.TEXTSPLIT(Table_AlwaysSend[[#This Row],[Conversion]],",")),SelectedConversion,0))),AND(SelectedConversion&lt;&gt;"(Multiple Items)",SelectedConversion&lt;&gt;"(All)",Table_AlwaysSend[[#This Row],[Conversion]]="All"))</f>
        <v>0</v>
      </c>
      <c r="M48" s="303" t="b" cm="1">
        <f t="array" ref="M48">OR(NOT(ISERROR(MATCH(TRIM(_xlfn.TEXTSPLIT(Table_AlwaysSend[[#This Row],[Data Source]],",")),SelectedDataSource,0))),AND(SelectedDataSource&lt;&gt;"(Multiple Items)",SelectedDataSource&lt;&gt;"(All)",Table_AlwaysSend[[#This Row],[Data Source]]="All"))</f>
        <v>1</v>
      </c>
      <c r="N48" s="308" t="b" cm="1">
        <f t="array" ref="N48">OR(NOT(ISERROR(MATCH(TRIM(_xlfn.TEXTSPLIT(Table_AlwaysSend[[#This Row],[Technology]],",")),SelectedTechnology,0))),AND(SelectedTechnology&lt;&gt;"(Multiple Items)",SelectedTechnology&lt;&gt;"(All)",Table_AlwaysSend[[#This Row],[Technology]]="All"))</f>
        <v>0</v>
      </c>
      <c r="O48" s="303" t="b" cm="1">
        <f t="array" ref="O48">OR(NOT(ISERROR(MATCH(TRIM(_xlfn.TEXTSPLIT(Table_AlwaysSend[[#This Row],[Data Set]],",")),SelectedDataSet,0))),AND(SelectedDataSet&lt;&gt;"(Multiple Items)",SelectedDataSet&lt;&gt;"(All)",Table_AlwaysSend[[#This Row],[Data Set]]="All"))</f>
        <v>1</v>
      </c>
      <c r="P48" s="305" t="b">
        <f>TRUE</f>
        <v>1</v>
      </c>
      <c r="Q48" s="306" t="b">
        <f>AND(Table_AlwaysSend[[#This Row],[Show Feedstock]:[Show Data Source2]],Table_AlwaysSend[[#This Row],[Conditional]]=TRUE)</f>
        <v>0</v>
      </c>
      <c r="R48" s="276" t="s">
        <v>638</v>
      </c>
      <c r="S48" s="288">
        <v>1</v>
      </c>
      <c r="T48" s="23" t="s">
        <v>1140</v>
      </c>
    </row>
    <row r="49" spans="1:20" x14ac:dyDescent="0.3">
      <c r="A49">
        <f ca="1"/>
        <v>0</v>
      </c>
      <c r="B49" t="str">
        <f ca="1"/>
        <v>EtOH_SugarCaneEtOH_LandChange_Option</v>
      </c>
      <c r="E49" s="300" t="str">
        <f>IF(Table_AlwaysSend[[#This Row],[GREET1 Name Range]]="", "dash_"&amp;Table_AlwaysSend[[#This Row],[Feedstock]]&amp;"_"&amp;Table_AlwaysSend[[#This Row],[Value to Send]], Table_AlwaysSend[[#This Row],[Feedstock]]&amp;"_"&amp;Table_AlwaysSend[[#This Row],[Value to Send]]&amp;"_"&amp;Table_AlwaysSend[[#This Row],[GREET1 Name Range]])</f>
        <v>Corn_1_Distributed_ETJ_Allocation</v>
      </c>
      <c r="F49" s="23" t="s">
        <v>136</v>
      </c>
      <c r="G49" s="276" t="s">
        <v>1964</v>
      </c>
      <c r="H49" s="299" t="s">
        <v>29</v>
      </c>
      <c r="I49" s="283" t="s">
        <v>29</v>
      </c>
      <c r="J49" s="23" t="s">
        <v>1591</v>
      </c>
      <c r="K49" s="303" t="b" cm="1">
        <f t="array" ref="K49">OR(NOT(ISERROR(MATCH(TRIM(_xlfn.TEXTSPLIT(Table_AlwaysSend[[#This Row],[Feedstock]],",")),SelectedFeedstock,0))),AND(SelectedFeedstock&lt;&gt;"(Multiple Items)",SelectedFeedstock&lt;&gt;"(All)",Table_AlwaysSend[[#This Row],[Feedstock]]="All"))</f>
        <v>0</v>
      </c>
      <c r="L49" s="303" t="b" cm="1">
        <f t="array" ref="L49">OR(NOT(ISERROR(MATCH(TRIM(_xlfn.TEXTSPLIT(Table_AlwaysSend[[#This Row],[Conversion]],",")),SelectedConversion,0))),AND(SelectedConversion&lt;&gt;"(Multiple Items)",SelectedConversion&lt;&gt;"(All)",Table_AlwaysSend[[#This Row],[Conversion]]="All"))</f>
        <v>0</v>
      </c>
      <c r="M49" s="303" t="b" cm="1">
        <f t="array" ref="M49">OR(NOT(ISERROR(MATCH(TRIM(_xlfn.TEXTSPLIT(Table_AlwaysSend[[#This Row],[Data Source]],",")),SelectedDataSource,0))),AND(SelectedDataSource&lt;&gt;"(Multiple Items)",SelectedDataSource&lt;&gt;"(All)",Table_AlwaysSend[[#This Row],[Data Source]]="All"))</f>
        <v>1</v>
      </c>
      <c r="N49" s="308" t="b" cm="1">
        <f t="array" ref="N49">OR(NOT(ISERROR(MATCH(TRIM(_xlfn.TEXTSPLIT(Table_AlwaysSend[[#This Row],[Technology]],",")),SelectedTechnology,0))),AND(SelectedTechnology&lt;&gt;"(Multiple Items)",SelectedTechnology&lt;&gt;"(All)",Table_AlwaysSend[[#This Row],[Technology]]="All"))</f>
        <v>0</v>
      </c>
      <c r="O49" s="303" t="b" cm="1">
        <f t="array" ref="O49">OR(NOT(ISERROR(MATCH(TRIM(_xlfn.TEXTSPLIT(Table_AlwaysSend[[#This Row],[Data Set]],",")),SelectedDataSet,0))),AND(SelectedDataSet&lt;&gt;"(Multiple Items)",SelectedDataSet&lt;&gt;"(All)",Table_AlwaysSend[[#This Row],[Data Set]]="All"))</f>
        <v>1</v>
      </c>
      <c r="P49" s="305" t="b">
        <f>TRUE</f>
        <v>1</v>
      </c>
      <c r="Q49" s="306" t="b">
        <f>AND(Table_AlwaysSend[[#This Row],[Show Feedstock]:[Show Data Source2]],Table_AlwaysSend[[#This Row],[Conditional]]=TRUE)</f>
        <v>0</v>
      </c>
      <c r="R49" s="276" t="s">
        <v>638</v>
      </c>
      <c r="S49" s="288">
        <v>1</v>
      </c>
      <c r="T49" s="23" t="s">
        <v>1140</v>
      </c>
    </row>
    <row r="50" spans="1:20" x14ac:dyDescent="0.3">
      <c r="A50">
        <f ca="1"/>
        <v>0</v>
      </c>
      <c r="B50" t="str">
        <f ca="1"/>
        <v>SAF_Canola_HEFA_LandChange_Option</v>
      </c>
      <c r="E50" s="300" t="str">
        <f>IF(Table_AlwaysSend[[#This Row],[GREET1 Name Range]]="", "dash_"&amp;Table_AlwaysSend[[#This Row],[Feedstock]]&amp;"_"&amp;Table_AlwaysSend[[#This Row],[Value to Send]], Table_AlwaysSend[[#This Row],[Feedstock]]&amp;"_"&amp;Table_AlwaysSend[[#This Row],[Value to Send]]&amp;"_"&amp;Table_AlwaysSend[[#This Row],[GREET1 Name Range]])</f>
        <v>Corn_1_Distributed_ETJ_Allocation</v>
      </c>
      <c r="F50" s="23" t="s">
        <v>136</v>
      </c>
      <c r="G50" s="276" t="s">
        <v>1964</v>
      </c>
      <c r="H50" s="299" t="s">
        <v>29</v>
      </c>
      <c r="I50" s="283" t="s">
        <v>29</v>
      </c>
      <c r="J50" s="23" t="s">
        <v>1593</v>
      </c>
      <c r="K50" s="303" t="b" cm="1">
        <f t="array" ref="K50">OR(NOT(ISERROR(MATCH(TRIM(_xlfn.TEXTSPLIT(Table_AlwaysSend[[#This Row],[Feedstock]],",")),SelectedFeedstock,0))),AND(SelectedFeedstock&lt;&gt;"(Multiple Items)",SelectedFeedstock&lt;&gt;"(All)",Table_AlwaysSend[[#This Row],[Feedstock]]="All"))</f>
        <v>0</v>
      </c>
      <c r="L50" s="303" t="b" cm="1">
        <f t="array" ref="L50">OR(NOT(ISERROR(MATCH(TRIM(_xlfn.TEXTSPLIT(Table_AlwaysSend[[#This Row],[Conversion]],",")),SelectedConversion,0))),AND(SelectedConversion&lt;&gt;"(Multiple Items)",SelectedConversion&lt;&gt;"(All)",Table_AlwaysSend[[#This Row],[Conversion]]="All"))</f>
        <v>0</v>
      </c>
      <c r="M50" s="303" t="b" cm="1">
        <f t="array" ref="M50">OR(NOT(ISERROR(MATCH(TRIM(_xlfn.TEXTSPLIT(Table_AlwaysSend[[#This Row],[Data Source]],",")),SelectedDataSource,0))),AND(SelectedDataSource&lt;&gt;"(Multiple Items)",SelectedDataSource&lt;&gt;"(All)",Table_AlwaysSend[[#This Row],[Data Source]]="All"))</f>
        <v>1</v>
      </c>
      <c r="N50" s="308" t="b" cm="1">
        <f t="array" ref="N50">OR(NOT(ISERROR(MATCH(TRIM(_xlfn.TEXTSPLIT(Table_AlwaysSend[[#This Row],[Technology]],",")),SelectedTechnology,0))),AND(SelectedTechnology&lt;&gt;"(Multiple Items)",SelectedTechnology&lt;&gt;"(All)",Table_AlwaysSend[[#This Row],[Technology]]="All"))</f>
        <v>0</v>
      </c>
      <c r="O50" s="303" t="b" cm="1">
        <f t="array" ref="O50">OR(NOT(ISERROR(MATCH(TRIM(_xlfn.TEXTSPLIT(Table_AlwaysSend[[#This Row],[Data Set]],",")),SelectedDataSet,0))),AND(SelectedDataSet&lt;&gt;"(Multiple Items)",SelectedDataSet&lt;&gt;"(All)",Table_AlwaysSend[[#This Row],[Data Set]]="All"))</f>
        <v>1</v>
      </c>
      <c r="P50" s="305" t="b">
        <f>TRUE</f>
        <v>1</v>
      </c>
      <c r="Q50" s="306" t="b">
        <f>AND(Table_AlwaysSend[[#This Row],[Show Feedstock]:[Show Data Source2]],Table_AlwaysSend[[#This Row],[Conditional]]=TRUE)</f>
        <v>0</v>
      </c>
      <c r="R50" s="276" t="s">
        <v>638</v>
      </c>
      <c r="S50" s="288">
        <v>1</v>
      </c>
      <c r="T50" s="23" t="s">
        <v>1140</v>
      </c>
    </row>
    <row r="51" spans="1:20" x14ac:dyDescent="0.3">
      <c r="A51">
        <f ca="1"/>
        <v>0</v>
      </c>
      <c r="B51" t="str">
        <f ca="1"/>
        <v>SAF_Sugarcane_ETJ_LandChange_Option</v>
      </c>
      <c r="E51" s="300" t="str">
        <f>IF(Table_AlwaysSend[[#This Row],[GREET1 Name Range]]="", "dash_"&amp;Table_AlwaysSend[[#This Row],[Feedstock]]&amp;"_"&amp;Table_AlwaysSend[[#This Row],[Value to Send]], Table_AlwaysSend[[#This Row],[Feedstock]]&amp;"_"&amp;Table_AlwaysSend[[#This Row],[Value to Send]]&amp;"_"&amp;Table_AlwaysSend[[#This Row],[GREET1 Name Range]])</f>
        <v>Willow_1_Distributed_ETJ_Allocation</v>
      </c>
      <c r="F51" s="23" t="s">
        <v>131</v>
      </c>
      <c r="G51" s="276" t="s">
        <v>1964</v>
      </c>
      <c r="H51" s="299" t="s">
        <v>29</v>
      </c>
      <c r="I51" s="283" t="s">
        <v>29</v>
      </c>
      <c r="J51" s="23" t="s">
        <v>1592</v>
      </c>
      <c r="K51" s="303" t="b" cm="1">
        <f t="array" ref="K51">OR(NOT(ISERROR(MATCH(TRIM(_xlfn.TEXTSPLIT(Table_AlwaysSend[[#This Row],[Feedstock]],",")),SelectedFeedstock,0))),AND(SelectedFeedstock&lt;&gt;"(Multiple Items)",SelectedFeedstock&lt;&gt;"(All)",Table_AlwaysSend[[#This Row],[Feedstock]]="All"))</f>
        <v>0</v>
      </c>
      <c r="L51" s="303" t="b" cm="1">
        <f t="array" ref="L51">OR(NOT(ISERROR(MATCH(TRIM(_xlfn.TEXTSPLIT(Table_AlwaysSend[[#This Row],[Conversion]],",")),SelectedConversion,0))),AND(SelectedConversion&lt;&gt;"(Multiple Items)",SelectedConversion&lt;&gt;"(All)",Table_AlwaysSend[[#This Row],[Conversion]]="All"))</f>
        <v>0</v>
      </c>
      <c r="M51" s="303" t="b" cm="1">
        <f t="array" ref="M51">OR(NOT(ISERROR(MATCH(TRIM(_xlfn.TEXTSPLIT(Table_AlwaysSend[[#This Row],[Data Source]],",")),SelectedDataSource,0))),AND(SelectedDataSource&lt;&gt;"(Multiple Items)",SelectedDataSource&lt;&gt;"(All)",Table_AlwaysSend[[#This Row],[Data Source]]="All"))</f>
        <v>1</v>
      </c>
      <c r="N51" s="308" t="b" cm="1">
        <f t="array" ref="N51">OR(NOT(ISERROR(MATCH(TRIM(_xlfn.TEXTSPLIT(Table_AlwaysSend[[#This Row],[Technology]],",")),SelectedTechnology,0))),AND(SelectedTechnology&lt;&gt;"(Multiple Items)",SelectedTechnology&lt;&gt;"(All)",Table_AlwaysSend[[#This Row],[Technology]]="All"))</f>
        <v>0</v>
      </c>
      <c r="O51" s="303" t="b" cm="1">
        <f t="array" ref="O51">OR(NOT(ISERROR(MATCH(TRIM(_xlfn.TEXTSPLIT(Table_AlwaysSend[[#This Row],[Data Set]],",")),SelectedDataSet,0))),AND(SelectedDataSet&lt;&gt;"(Multiple Items)",SelectedDataSet&lt;&gt;"(All)",Table_AlwaysSend[[#This Row],[Data Set]]="All"))</f>
        <v>1</v>
      </c>
      <c r="P51" s="305" t="b">
        <f>TRUE</f>
        <v>1</v>
      </c>
      <c r="Q51" s="306" t="b">
        <f>AND(Table_AlwaysSend[[#This Row],[Show Feedstock]:[Show Data Source2]],Table_AlwaysSend[[#This Row],[Conditional]]=TRUE)</f>
        <v>0</v>
      </c>
      <c r="R51" s="276" t="s">
        <v>638</v>
      </c>
      <c r="S51" s="288">
        <v>1</v>
      </c>
      <c r="T51" s="23" t="s">
        <v>1140</v>
      </c>
    </row>
    <row r="52" spans="1:20" x14ac:dyDescent="0.3">
      <c r="A52">
        <f ca="1"/>
        <v>1</v>
      </c>
      <c r="B52" t="str">
        <f ca="1"/>
        <v>AgTractor_ConvDieselShare_Canola</v>
      </c>
      <c r="E52" s="300" t="str">
        <f>IF(Table_AlwaysSend[[#This Row],[GREET1 Name Range]]="", "dash_"&amp;Table_AlwaysSend[[#This Row],[Feedstock]]&amp;"_"&amp;Table_AlwaysSend[[#This Row],[Value to Send]], Table_AlwaysSend[[#This Row],[Feedstock]]&amp;"_"&amp;Table_AlwaysSend[[#This Row],[Value to Send]]&amp;"_"&amp;Table_AlwaysSend[[#This Row],[GREET1 Name Range]])</f>
        <v>Poplar_1_Distributed_ETJ_Allocation</v>
      </c>
      <c r="F52" s="23" t="s">
        <v>132</v>
      </c>
      <c r="G52" s="276" t="s">
        <v>1964</v>
      </c>
      <c r="H52" s="299" t="s">
        <v>29</v>
      </c>
      <c r="I52" s="283" t="s">
        <v>29</v>
      </c>
      <c r="J52" s="23" t="s">
        <v>1592</v>
      </c>
      <c r="K52" s="303" t="b" cm="1">
        <f t="array" ref="K52">OR(NOT(ISERROR(MATCH(TRIM(_xlfn.TEXTSPLIT(Table_AlwaysSend[[#This Row],[Feedstock]],",")),SelectedFeedstock,0))),AND(SelectedFeedstock&lt;&gt;"(Multiple Items)",SelectedFeedstock&lt;&gt;"(All)",Table_AlwaysSend[[#This Row],[Feedstock]]="All"))</f>
        <v>0</v>
      </c>
      <c r="L52" s="303" t="b" cm="1">
        <f t="array" ref="L52">OR(NOT(ISERROR(MATCH(TRIM(_xlfn.TEXTSPLIT(Table_AlwaysSend[[#This Row],[Conversion]],",")),SelectedConversion,0))),AND(SelectedConversion&lt;&gt;"(Multiple Items)",SelectedConversion&lt;&gt;"(All)",Table_AlwaysSend[[#This Row],[Conversion]]="All"))</f>
        <v>0</v>
      </c>
      <c r="M52" s="303" t="b" cm="1">
        <f t="array" ref="M52">OR(NOT(ISERROR(MATCH(TRIM(_xlfn.TEXTSPLIT(Table_AlwaysSend[[#This Row],[Data Source]],",")),SelectedDataSource,0))),AND(SelectedDataSource&lt;&gt;"(Multiple Items)",SelectedDataSource&lt;&gt;"(All)",Table_AlwaysSend[[#This Row],[Data Source]]="All"))</f>
        <v>1</v>
      </c>
      <c r="N52" s="308" t="b" cm="1">
        <f t="array" ref="N52">OR(NOT(ISERROR(MATCH(TRIM(_xlfn.TEXTSPLIT(Table_AlwaysSend[[#This Row],[Technology]],",")),SelectedTechnology,0))),AND(SelectedTechnology&lt;&gt;"(Multiple Items)",SelectedTechnology&lt;&gt;"(All)",Table_AlwaysSend[[#This Row],[Technology]]="All"))</f>
        <v>0</v>
      </c>
      <c r="O52" s="303" t="b" cm="1">
        <f t="array" ref="O52">OR(NOT(ISERROR(MATCH(TRIM(_xlfn.TEXTSPLIT(Table_AlwaysSend[[#This Row],[Data Set]],",")),SelectedDataSet,0))),AND(SelectedDataSet&lt;&gt;"(Multiple Items)",SelectedDataSet&lt;&gt;"(All)",Table_AlwaysSend[[#This Row],[Data Set]]="All"))</f>
        <v>1</v>
      </c>
      <c r="P52" s="305" t="b">
        <f>TRUE</f>
        <v>1</v>
      </c>
      <c r="Q52" s="306" t="b">
        <f>AND(Table_AlwaysSend[[#This Row],[Show Feedstock]:[Show Data Source2]],Table_AlwaysSend[[#This Row],[Conditional]]=TRUE)</f>
        <v>0</v>
      </c>
      <c r="R52" s="276" t="s">
        <v>638</v>
      </c>
      <c r="S52" s="288">
        <v>1</v>
      </c>
      <c r="T52" s="23" t="s">
        <v>1140</v>
      </c>
    </row>
    <row r="53" spans="1:20" x14ac:dyDescent="0.3">
      <c r="A53">
        <f ca="1"/>
        <v>0</v>
      </c>
      <c r="B53" t="str">
        <f ca="1"/>
        <v>AgTractor_BDShare_Canola</v>
      </c>
      <c r="E53" s="300" t="str">
        <f>IF(Table_AlwaysSend[[#This Row],[GREET1 Name Range]]="", "dash_"&amp;Table_AlwaysSend[[#This Row],[Feedstock]]&amp;"_"&amp;Table_AlwaysSend[[#This Row],[Value to Send]], Table_AlwaysSend[[#This Row],[Feedstock]]&amp;"_"&amp;Table_AlwaysSend[[#This Row],[Value to Send]]&amp;"_"&amp;Table_AlwaysSend[[#This Row],[GREET1 Name Range]])</f>
        <v>Switchgrass_1_Distributed_ETJ_Allocation</v>
      </c>
      <c r="F53" s="23" t="s">
        <v>133</v>
      </c>
      <c r="G53" s="276" t="s">
        <v>1964</v>
      </c>
      <c r="H53" s="299" t="s">
        <v>29</v>
      </c>
      <c r="I53" s="283" t="s">
        <v>29</v>
      </c>
      <c r="J53" s="23" t="s">
        <v>1592</v>
      </c>
      <c r="K53" s="303" t="b" cm="1">
        <f t="array" ref="K53">OR(NOT(ISERROR(MATCH(TRIM(_xlfn.TEXTSPLIT(Table_AlwaysSend[[#This Row],[Feedstock]],",")),SelectedFeedstock,0))),AND(SelectedFeedstock&lt;&gt;"(Multiple Items)",SelectedFeedstock&lt;&gt;"(All)",Table_AlwaysSend[[#This Row],[Feedstock]]="All"))</f>
        <v>0</v>
      </c>
      <c r="L53" s="303" t="b" cm="1">
        <f t="array" ref="L53">OR(NOT(ISERROR(MATCH(TRIM(_xlfn.TEXTSPLIT(Table_AlwaysSend[[#This Row],[Conversion]],",")),SelectedConversion,0))),AND(SelectedConversion&lt;&gt;"(Multiple Items)",SelectedConversion&lt;&gt;"(All)",Table_AlwaysSend[[#This Row],[Conversion]]="All"))</f>
        <v>0</v>
      </c>
      <c r="M53" s="303" t="b" cm="1">
        <f t="array" ref="M53">OR(NOT(ISERROR(MATCH(TRIM(_xlfn.TEXTSPLIT(Table_AlwaysSend[[#This Row],[Data Source]],",")),SelectedDataSource,0))),AND(SelectedDataSource&lt;&gt;"(Multiple Items)",SelectedDataSource&lt;&gt;"(All)",Table_AlwaysSend[[#This Row],[Data Source]]="All"))</f>
        <v>1</v>
      </c>
      <c r="N53" s="308" t="b" cm="1">
        <f t="array" ref="N53">OR(NOT(ISERROR(MATCH(TRIM(_xlfn.TEXTSPLIT(Table_AlwaysSend[[#This Row],[Technology]],",")),SelectedTechnology,0))),AND(SelectedTechnology&lt;&gt;"(Multiple Items)",SelectedTechnology&lt;&gt;"(All)",Table_AlwaysSend[[#This Row],[Technology]]="All"))</f>
        <v>0</v>
      </c>
      <c r="O53" s="303" t="b" cm="1">
        <f t="array" ref="O53">OR(NOT(ISERROR(MATCH(TRIM(_xlfn.TEXTSPLIT(Table_AlwaysSend[[#This Row],[Data Set]],",")),SelectedDataSet,0))),AND(SelectedDataSet&lt;&gt;"(Multiple Items)",SelectedDataSet&lt;&gt;"(All)",Table_AlwaysSend[[#This Row],[Data Set]]="All"))</f>
        <v>1</v>
      </c>
      <c r="P53" s="305" t="b">
        <f>TRUE</f>
        <v>1</v>
      </c>
      <c r="Q53" s="306" t="b">
        <f>AND(Table_AlwaysSend[[#This Row],[Show Feedstock]:[Show Data Source2]],Table_AlwaysSend[[#This Row],[Conditional]]=TRUE)</f>
        <v>0</v>
      </c>
      <c r="R53" s="276" t="s">
        <v>638</v>
      </c>
      <c r="S53" s="288">
        <v>1</v>
      </c>
      <c r="T53" s="23" t="s">
        <v>1140</v>
      </c>
    </row>
    <row r="54" spans="1:20" x14ac:dyDescent="0.3">
      <c r="A54">
        <f ca="1"/>
        <v>0</v>
      </c>
      <c r="B54" t="str">
        <f ca="1"/>
        <v>AgTractor_RDShare_Canola</v>
      </c>
      <c r="E54" s="300" t="str">
        <f>IF(Table_AlwaysSend[[#This Row],[GREET1 Name Range]]="", "dash_"&amp;Table_AlwaysSend[[#This Row],[Feedstock]]&amp;"_"&amp;Table_AlwaysSend[[#This Row],[Value to Send]], Table_AlwaysSend[[#This Row],[Feedstock]]&amp;"_"&amp;Table_AlwaysSend[[#This Row],[Value to Send]]&amp;"_"&amp;Table_AlwaysSend[[#This Row],[GREET1 Name Range]])</f>
        <v>Miscanthus_1_Distributed_ETJ_Allocation</v>
      </c>
      <c r="F54" s="23" t="s">
        <v>134</v>
      </c>
      <c r="G54" s="276" t="s">
        <v>1964</v>
      </c>
      <c r="H54" s="299" t="s">
        <v>29</v>
      </c>
      <c r="I54" s="283" t="s">
        <v>29</v>
      </c>
      <c r="J54" s="23" t="s">
        <v>1592</v>
      </c>
      <c r="K54" s="303" t="b" cm="1">
        <f t="array" ref="K54">OR(NOT(ISERROR(MATCH(TRIM(_xlfn.TEXTSPLIT(Table_AlwaysSend[[#This Row],[Feedstock]],",")),SelectedFeedstock,0))),AND(SelectedFeedstock&lt;&gt;"(Multiple Items)",SelectedFeedstock&lt;&gt;"(All)",Table_AlwaysSend[[#This Row],[Feedstock]]="All"))</f>
        <v>0</v>
      </c>
      <c r="L54" s="303" t="b" cm="1">
        <f t="array" ref="L54">OR(NOT(ISERROR(MATCH(TRIM(_xlfn.TEXTSPLIT(Table_AlwaysSend[[#This Row],[Conversion]],",")),SelectedConversion,0))),AND(SelectedConversion&lt;&gt;"(Multiple Items)",SelectedConversion&lt;&gt;"(All)",Table_AlwaysSend[[#This Row],[Conversion]]="All"))</f>
        <v>0</v>
      </c>
      <c r="M54" s="303" t="b" cm="1">
        <f t="array" ref="M54">OR(NOT(ISERROR(MATCH(TRIM(_xlfn.TEXTSPLIT(Table_AlwaysSend[[#This Row],[Data Source]],",")),SelectedDataSource,0))),AND(SelectedDataSource&lt;&gt;"(Multiple Items)",SelectedDataSource&lt;&gt;"(All)",Table_AlwaysSend[[#This Row],[Data Source]]="All"))</f>
        <v>1</v>
      </c>
      <c r="N54" s="308" t="b" cm="1">
        <f t="array" ref="N54">OR(NOT(ISERROR(MATCH(TRIM(_xlfn.TEXTSPLIT(Table_AlwaysSend[[#This Row],[Technology]],",")),SelectedTechnology,0))),AND(SelectedTechnology&lt;&gt;"(Multiple Items)",SelectedTechnology&lt;&gt;"(All)",Table_AlwaysSend[[#This Row],[Technology]]="All"))</f>
        <v>0</v>
      </c>
      <c r="O54" s="303" t="b" cm="1">
        <f t="array" ref="O54">OR(NOT(ISERROR(MATCH(TRIM(_xlfn.TEXTSPLIT(Table_AlwaysSend[[#This Row],[Data Set]],",")),SelectedDataSet,0))),AND(SelectedDataSet&lt;&gt;"(Multiple Items)",SelectedDataSet&lt;&gt;"(All)",Table_AlwaysSend[[#This Row],[Data Set]]="All"))</f>
        <v>1</v>
      </c>
      <c r="P54" s="305" t="b">
        <f>TRUE</f>
        <v>1</v>
      </c>
      <c r="Q54" s="306" t="b">
        <f>AND(Table_AlwaysSend[[#This Row],[Show Feedstock]:[Show Data Source2]],Table_AlwaysSend[[#This Row],[Conditional]]=TRUE)</f>
        <v>0</v>
      </c>
      <c r="R54" s="276" t="s">
        <v>638</v>
      </c>
      <c r="S54" s="288">
        <v>1</v>
      </c>
      <c r="T54" s="23" t="s">
        <v>1140</v>
      </c>
    </row>
    <row r="55" spans="1:20" x14ac:dyDescent="0.3">
      <c r="A55">
        <f ca="1"/>
        <v>1</v>
      </c>
      <c r="B55" t="str">
        <f ca="1"/>
        <v>Motor_Type_Canola</v>
      </c>
      <c r="E55" s="300" t="str">
        <f>IF(Table_AlwaysSend[[#This Row],[GREET1 Name Range]]="", "dash_"&amp;Table_AlwaysSend[[#This Row],[Feedstock]]&amp;"_"&amp;Table_AlwaysSend[[#This Row],[Value to Send]], Table_AlwaysSend[[#This Row],[Feedstock]]&amp;"_"&amp;Table_AlwaysSend[[#This Row],[Value to Send]]&amp;"_"&amp;Table_AlwaysSend[[#This Row],[GREET1 Name Range]])</f>
        <v>Corn stover_1_Distributed_ETJ_Allocation</v>
      </c>
      <c r="F55" s="23" t="s">
        <v>135</v>
      </c>
      <c r="G55" s="276" t="s">
        <v>1964</v>
      </c>
      <c r="H55" s="299" t="s">
        <v>29</v>
      </c>
      <c r="I55" s="283" t="s">
        <v>29</v>
      </c>
      <c r="J55" s="23" t="s">
        <v>1592</v>
      </c>
      <c r="K55" s="303" t="b" cm="1">
        <f t="array" ref="K55">OR(NOT(ISERROR(MATCH(TRIM(_xlfn.TEXTSPLIT(Table_AlwaysSend[[#This Row],[Feedstock]],",")),SelectedFeedstock,0))),AND(SelectedFeedstock&lt;&gt;"(Multiple Items)",SelectedFeedstock&lt;&gt;"(All)",Table_AlwaysSend[[#This Row],[Feedstock]]="All"))</f>
        <v>0</v>
      </c>
      <c r="L55" s="303" t="b" cm="1">
        <f t="array" ref="L55">OR(NOT(ISERROR(MATCH(TRIM(_xlfn.TEXTSPLIT(Table_AlwaysSend[[#This Row],[Conversion]],",")),SelectedConversion,0))),AND(SelectedConversion&lt;&gt;"(Multiple Items)",SelectedConversion&lt;&gt;"(All)",Table_AlwaysSend[[#This Row],[Conversion]]="All"))</f>
        <v>0</v>
      </c>
      <c r="M55" s="303" t="b" cm="1">
        <f t="array" ref="M55">OR(NOT(ISERROR(MATCH(TRIM(_xlfn.TEXTSPLIT(Table_AlwaysSend[[#This Row],[Data Source]],",")),SelectedDataSource,0))),AND(SelectedDataSource&lt;&gt;"(Multiple Items)",SelectedDataSource&lt;&gt;"(All)",Table_AlwaysSend[[#This Row],[Data Source]]="All"))</f>
        <v>1</v>
      </c>
      <c r="N55" s="308" t="b" cm="1">
        <f t="array" ref="N55">OR(NOT(ISERROR(MATCH(TRIM(_xlfn.TEXTSPLIT(Table_AlwaysSend[[#This Row],[Technology]],",")),SelectedTechnology,0))),AND(SelectedTechnology&lt;&gt;"(Multiple Items)",SelectedTechnology&lt;&gt;"(All)",Table_AlwaysSend[[#This Row],[Technology]]="All"))</f>
        <v>0</v>
      </c>
      <c r="O55" s="303" t="b" cm="1">
        <f t="array" ref="O55">OR(NOT(ISERROR(MATCH(TRIM(_xlfn.TEXTSPLIT(Table_AlwaysSend[[#This Row],[Data Set]],",")),SelectedDataSet,0))),AND(SelectedDataSet&lt;&gt;"(Multiple Items)",SelectedDataSet&lt;&gt;"(All)",Table_AlwaysSend[[#This Row],[Data Set]]="All"))</f>
        <v>1</v>
      </c>
      <c r="P55" s="305" t="b">
        <f>TRUE</f>
        <v>1</v>
      </c>
      <c r="Q55" s="306" t="b">
        <f>AND(Table_AlwaysSend[[#This Row],[Show Feedstock]:[Show Data Source2]],Table_AlwaysSend[[#This Row],[Conditional]]=TRUE)</f>
        <v>0</v>
      </c>
      <c r="R55" s="276" t="s">
        <v>638</v>
      </c>
      <c r="S55" s="288">
        <v>1</v>
      </c>
      <c r="T55" s="23" t="s">
        <v>1140</v>
      </c>
    </row>
    <row r="56" spans="1:20" x14ac:dyDescent="0.3">
      <c r="A56">
        <f ca="1"/>
        <v>1</v>
      </c>
      <c r="B56" t="str">
        <f ca="1"/>
        <v>Blend_Type_Canola</v>
      </c>
      <c r="E56" s="300" t="str">
        <f>IF(Table_AlwaysSend[[#This Row],[GREET1 Name Range]]="", "dash_"&amp;Table_AlwaysSend[[#This Row],[Feedstock]]&amp;"_"&amp;Table_AlwaysSend[[#This Row],[Value to Send]], Table_AlwaysSend[[#This Row],[Feedstock]]&amp;"_"&amp;Table_AlwaysSend[[#This Row],[Value to Send]]&amp;"_"&amp;Table_AlwaysSend[[#This Row],[GREET1 Name Range]])</f>
        <v>Forest residue_1_Distributed_ETJ_Allocation</v>
      </c>
      <c r="F56" s="23" t="s">
        <v>316</v>
      </c>
      <c r="G56" s="276" t="s">
        <v>1964</v>
      </c>
      <c r="H56" s="299" t="s">
        <v>29</v>
      </c>
      <c r="I56" s="283" t="s">
        <v>29</v>
      </c>
      <c r="J56" s="23" t="s">
        <v>1592</v>
      </c>
      <c r="K56" s="303" t="b" cm="1">
        <f t="array" ref="K56">OR(NOT(ISERROR(MATCH(TRIM(_xlfn.TEXTSPLIT(Table_AlwaysSend[[#This Row],[Feedstock]],",")),SelectedFeedstock,0))),AND(SelectedFeedstock&lt;&gt;"(Multiple Items)",SelectedFeedstock&lt;&gt;"(All)",Table_AlwaysSend[[#This Row],[Feedstock]]="All"))</f>
        <v>0</v>
      </c>
      <c r="L56" s="303" t="b" cm="1">
        <f t="array" ref="L56">OR(NOT(ISERROR(MATCH(TRIM(_xlfn.TEXTSPLIT(Table_AlwaysSend[[#This Row],[Conversion]],",")),SelectedConversion,0))),AND(SelectedConversion&lt;&gt;"(Multiple Items)",SelectedConversion&lt;&gt;"(All)",Table_AlwaysSend[[#This Row],[Conversion]]="All"))</f>
        <v>0</v>
      </c>
      <c r="M56" s="303" t="b" cm="1">
        <f t="array" ref="M56">OR(NOT(ISERROR(MATCH(TRIM(_xlfn.TEXTSPLIT(Table_AlwaysSend[[#This Row],[Data Source]],",")),SelectedDataSource,0))),AND(SelectedDataSource&lt;&gt;"(Multiple Items)",SelectedDataSource&lt;&gt;"(All)",Table_AlwaysSend[[#This Row],[Data Source]]="All"))</f>
        <v>1</v>
      </c>
      <c r="N56" s="308" t="b" cm="1">
        <f t="array" ref="N56">OR(NOT(ISERROR(MATCH(TRIM(_xlfn.TEXTSPLIT(Table_AlwaysSend[[#This Row],[Technology]],",")),SelectedTechnology,0))),AND(SelectedTechnology&lt;&gt;"(Multiple Items)",SelectedTechnology&lt;&gt;"(All)",Table_AlwaysSend[[#This Row],[Technology]]="All"))</f>
        <v>0</v>
      </c>
      <c r="O56" s="303" t="b" cm="1">
        <f t="array" ref="O56">OR(NOT(ISERROR(MATCH(TRIM(_xlfn.TEXTSPLIT(Table_AlwaysSend[[#This Row],[Data Set]],",")),SelectedDataSet,0))),AND(SelectedDataSet&lt;&gt;"(Multiple Items)",SelectedDataSet&lt;&gt;"(All)",Table_AlwaysSend[[#This Row],[Data Set]]="All"))</f>
        <v>1</v>
      </c>
      <c r="P56" s="305" t="b">
        <f>TRUE</f>
        <v>1</v>
      </c>
      <c r="Q56" s="306" t="b">
        <f>AND(Table_AlwaysSend[[#This Row],[Show Feedstock]:[Show Data Source2]],Table_AlwaysSend[[#This Row],[Conditional]]=TRUE)</f>
        <v>0</v>
      </c>
      <c r="R56" s="276" t="s">
        <v>638</v>
      </c>
      <c r="S56" s="288">
        <v>1</v>
      </c>
      <c r="T56" s="23" t="s">
        <v>1140</v>
      </c>
    </row>
    <row r="57" spans="1:20" x14ac:dyDescent="0.3">
      <c r="A57">
        <f ca="1"/>
        <v>0</v>
      </c>
      <c r="B57" t="str">
        <f ca="1"/>
        <v>Green_Ammonia_Share</v>
      </c>
      <c r="E57" s="300" t="str">
        <f>IF(Table_AlwaysSend[[#This Row],[GREET1 Name Range]]="", "dash_"&amp;Table_AlwaysSend[[#This Row],[Feedstock]]&amp;"_"&amp;Table_AlwaysSend[[#This Row],[Value to Send]], Table_AlwaysSend[[#This Row],[Feedstock]]&amp;"_"&amp;Table_AlwaysSend[[#This Row],[Value to Send]]&amp;"_"&amp;Table_AlwaysSend[[#This Row],[GREET1 Name Range]])</f>
        <v>Solid waste_1_Distributed_ETJ_Allocation</v>
      </c>
      <c r="F57" s="23" t="s">
        <v>366</v>
      </c>
      <c r="G57" s="276" t="s">
        <v>1964</v>
      </c>
      <c r="H57" s="299" t="s">
        <v>29</v>
      </c>
      <c r="I57" s="283" t="s">
        <v>29</v>
      </c>
      <c r="J57" s="23" t="s">
        <v>1592</v>
      </c>
      <c r="K57" s="303" t="b" cm="1">
        <f t="array" ref="K57">OR(NOT(ISERROR(MATCH(TRIM(_xlfn.TEXTSPLIT(Table_AlwaysSend[[#This Row],[Feedstock]],",")),SelectedFeedstock,0))),AND(SelectedFeedstock&lt;&gt;"(Multiple Items)",SelectedFeedstock&lt;&gt;"(All)",Table_AlwaysSend[[#This Row],[Feedstock]]="All"))</f>
        <v>0</v>
      </c>
      <c r="L57" s="303" t="b" cm="1">
        <f t="array" ref="L57">OR(NOT(ISERROR(MATCH(TRIM(_xlfn.TEXTSPLIT(Table_AlwaysSend[[#This Row],[Conversion]],",")),SelectedConversion,0))),AND(SelectedConversion&lt;&gt;"(Multiple Items)",SelectedConversion&lt;&gt;"(All)",Table_AlwaysSend[[#This Row],[Conversion]]="All"))</f>
        <v>0</v>
      </c>
      <c r="M57" s="303" t="b" cm="1">
        <f t="array" ref="M57">OR(NOT(ISERROR(MATCH(TRIM(_xlfn.TEXTSPLIT(Table_AlwaysSend[[#This Row],[Data Source]],",")),SelectedDataSource,0))),AND(SelectedDataSource&lt;&gt;"(Multiple Items)",SelectedDataSource&lt;&gt;"(All)",Table_AlwaysSend[[#This Row],[Data Source]]="All"))</f>
        <v>1</v>
      </c>
      <c r="N57" s="308" t="b" cm="1">
        <f t="array" ref="N57">OR(NOT(ISERROR(MATCH(TRIM(_xlfn.TEXTSPLIT(Table_AlwaysSend[[#This Row],[Technology]],",")),SelectedTechnology,0))),AND(SelectedTechnology&lt;&gt;"(Multiple Items)",SelectedTechnology&lt;&gt;"(All)",Table_AlwaysSend[[#This Row],[Technology]]="All"))</f>
        <v>0</v>
      </c>
      <c r="O57" s="303" t="b" cm="1">
        <f t="array" ref="O57">OR(NOT(ISERROR(MATCH(TRIM(_xlfn.TEXTSPLIT(Table_AlwaysSend[[#This Row],[Data Set]],",")),SelectedDataSet,0))),AND(SelectedDataSet&lt;&gt;"(Multiple Items)",SelectedDataSet&lt;&gt;"(All)",Table_AlwaysSend[[#This Row],[Data Set]]="All"))</f>
        <v>1</v>
      </c>
      <c r="P57" s="305" t="b">
        <f>TRUE</f>
        <v>1</v>
      </c>
      <c r="Q57" s="306" t="b">
        <f>AND(Table_AlwaysSend[[#This Row],[Show Feedstock]:[Show Data Source2]],Table_AlwaysSend[[#This Row],[Conditional]]=TRUE)</f>
        <v>0</v>
      </c>
      <c r="R57" s="276" t="s">
        <v>638</v>
      </c>
      <c r="S57" s="288">
        <v>1</v>
      </c>
      <c r="T57" s="23" t="s">
        <v>1140</v>
      </c>
    </row>
    <row r="58" spans="1:20" x14ac:dyDescent="0.3">
      <c r="A58">
        <f ca="1"/>
        <v>0</v>
      </c>
      <c r="B58" t="str">
        <f ca="1"/>
        <v>SAF_Soy_HEFA_LandChange_Option</v>
      </c>
      <c r="E58" s="300" t="str">
        <f>IF(Table_AlwaysSend[[#This Row],[GREET1 Name Range]]="", "dash_"&amp;Table_AlwaysSend[[#This Row],[Feedstock]]&amp;"_"&amp;Table_AlwaysSend[[#This Row],[Value to Send]], Table_AlwaysSend[[#This Row],[Feedstock]]&amp;"_"&amp;Table_AlwaysSend[[#This Row],[Value to Send]]&amp;"_"&amp;Table_AlwaysSend[[#This Row],[GREET1 Name Range]])</f>
        <v>Soybean_2_Soybean_Oil_Extraction_Allocation</v>
      </c>
      <c r="F58" s="297" t="s">
        <v>10</v>
      </c>
      <c r="G58" s="276" t="s">
        <v>30</v>
      </c>
      <c r="H58" s="299" t="s">
        <v>194</v>
      </c>
      <c r="I58" s="23" t="s">
        <v>1349</v>
      </c>
      <c r="J58" s="278" t="s">
        <v>31</v>
      </c>
      <c r="K58" s="303" t="b" cm="1">
        <f t="array" ref="K58">OR(NOT(ISERROR(MATCH(TRIM(_xlfn.TEXTSPLIT(Table_AlwaysSend[[#This Row],[Feedstock]],",")),SelectedFeedstock,0))),AND(SelectedFeedstock&lt;&gt;"(Multiple Items)",SelectedFeedstock&lt;&gt;"(All)",Table_AlwaysSend[[#This Row],[Feedstock]]="All"))</f>
        <v>0</v>
      </c>
      <c r="L58" s="303" t="b" cm="1">
        <f t="array" ref="L58">OR(NOT(ISERROR(MATCH(TRIM(_xlfn.TEXTSPLIT(Table_AlwaysSend[[#This Row],[Conversion]],",")),SelectedConversion,0))),AND(SelectedConversion&lt;&gt;"(Multiple Items)",SelectedConversion&lt;&gt;"(All)",Table_AlwaysSend[[#This Row],[Conversion]]="All"))</f>
        <v>1</v>
      </c>
      <c r="M58" s="303" t="b" cm="1">
        <f t="array" ref="M58">OR(NOT(ISERROR(MATCH(TRIM(_xlfn.TEXTSPLIT(Table_AlwaysSend[[#This Row],[Data Source]],",")),SelectedDataSource,0))),AND(SelectedDataSource&lt;&gt;"(Multiple Items)",SelectedDataSource&lt;&gt;"(All)",Table_AlwaysSend[[#This Row],[Data Source]]="All"))</f>
        <v>0</v>
      </c>
      <c r="N58" s="308" t="b" cm="1">
        <f t="array" ref="N58">OR(NOT(ISERROR(MATCH(TRIM(_xlfn.TEXTSPLIT(Table_AlwaysSend[[#This Row],[Technology]],",")),SelectedTechnology,0))),AND(SelectedTechnology&lt;&gt;"(Multiple Items)",SelectedTechnology&lt;&gt;"(All)",Table_AlwaysSend[[#This Row],[Technology]]="All"))</f>
        <v>1</v>
      </c>
      <c r="O58" s="303" t="b" cm="1">
        <f t="array" ref="O58">OR(NOT(ISERROR(MATCH(TRIM(_xlfn.TEXTSPLIT(Table_AlwaysSend[[#This Row],[Data Set]],",")),SelectedDataSet,0))),AND(SelectedDataSet&lt;&gt;"(Multiple Items)",SelectedDataSet&lt;&gt;"(All)",Table_AlwaysSend[[#This Row],[Data Set]]="All"))</f>
        <v>0</v>
      </c>
      <c r="P58" s="305" t="b">
        <f>TRUE</f>
        <v>1</v>
      </c>
      <c r="Q58" s="306" t="b">
        <f>AND(Table_AlwaysSend[[#This Row],[Show Feedstock]:[Show Data Source2]],Table_AlwaysSend[[#This Row],[Conditional]]=TRUE)</f>
        <v>0</v>
      </c>
      <c r="R58" s="276" t="s">
        <v>806</v>
      </c>
      <c r="S58" s="288">
        <v>2</v>
      </c>
      <c r="T58" s="23" t="s">
        <v>1140</v>
      </c>
    </row>
    <row r="59" spans="1:20" x14ac:dyDescent="0.3">
      <c r="A59">
        <f ca="1"/>
        <v>0</v>
      </c>
      <c r="B59" t="str">
        <f ca="1"/>
        <v>Share_NG_Heat_SAF</v>
      </c>
      <c r="E59" s="300" t="str">
        <f>IF(Table_AlwaysSend[[#This Row],[GREET1 Name Range]]="", "dash_"&amp;Table_AlwaysSend[[#This Row],[Feedstock]]&amp;"_"&amp;Table_AlwaysSend[[#This Row],[Value to Send]], Table_AlwaysSend[[#This Row],[Feedstock]]&amp;"_"&amp;Table_AlwaysSend[[#This Row],[Value to Send]]&amp;"_"&amp;Table_AlwaysSend[[#This Row],[GREET1 Name Range]])</f>
        <v>Soybean_2_HEFA_Allocation</v>
      </c>
      <c r="F59" s="297" t="s">
        <v>10</v>
      </c>
      <c r="G59" s="276" t="s">
        <v>30</v>
      </c>
      <c r="H59" s="299" t="s">
        <v>194</v>
      </c>
      <c r="I59" s="23" t="s">
        <v>1349</v>
      </c>
      <c r="J59" s="278" t="s">
        <v>31</v>
      </c>
      <c r="K59" s="303" t="b" cm="1">
        <f t="array" ref="K59">OR(NOT(ISERROR(MATCH(TRIM(_xlfn.TEXTSPLIT(Table_AlwaysSend[[#This Row],[Feedstock]],",")),SelectedFeedstock,0))),AND(SelectedFeedstock&lt;&gt;"(Multiple Items)",SelectedFeedstock&lt;&gt;"(All)",Table_AlwaysSend[[#This Row],[Feedstock]]="All"))</f>
        <v>0</v>
      </c>
      <c r="L59" s="303" t="b" cm="1">
        <f t="array" ref="L59">OR(NOT(ISERROR(MATCH(TRIM(_xlfn.TEXTSPLIT(Table_AlwaysSend[[#This Row],[Conversion]],",")),SelectedConversion,0))),AND(SelectedConversion&lt;&gt;"(Multiple Items)",SelectedConversion&lt;&gt;"(All)",Table_AlwaysSend[[#This Row],[Conversion]]="All"))</f>
        <v>1</v>
      </c>
      <c r="M59" s="303" t="b" cm="1">
        <f t="array" ref="M59">OR(NOT(ISERROR(MATCH(TRIM(_xlfn.TEXTSPLIT(Table_AlwaysSend[[#This Row],[Data Source]],",")),SelectedDataSource,0))),AND(SelectedDataSource&lt;&gt;"(Multiple Items)",SelectedDataSource&lt;&gt;"(All)",Table_AlwaysSend[[#This Row],[Data Source]]="All"))</f>
        <v>0</v>
      </c>
      <c r="N59" s="308" t="b" cm="1">
        <f t="array" ref="N59">OR(NOT(ISERROR(MATCH(TRIM(_xlfn.TEXTSPLIT(Table_AlwaysSend[[#This Row],[Technology]],",")),SelectedTechnology,0))),AND(SelectedTechnology&lt;&gt;"(Multiple Items)",SelectedTechnology&lt;&gt;"(All)",Table_AlwaysSend[[#This Row],[Technology]]="All"))</f>
        <v>1</v>
      </c>
      <c r="O59" s="303" t="b" cm="1">
        <f t="array" ref="O59">OR(NOT(ISERROR(MATCH(TRIM(_xlfn.TEXTSPLIT(Table_AlwaysSend[[#This Row],[Data Set]],",")),SelectedDataSet,0))),AND(SelectedDataSet&lt;&gt;"(Multiple Items)",SelectedDataSet&lt;&gt;"(All)",Table_AlwaysSend[[#This Row],[Data Set]]="All"))</f>
        <v>0</v>
      </c>
      <c r="P59" s="305" t="b">
        <f>TRUE</f>
        <v>1</v>
      </c>
      <c r="Q59" s="306" t="b">
        <f>AND(Table_AlwaysSend[[#This Row],[Show Feedstock]:[Show Data Source2]],Table_AlwaysSend[[#This Row],[Conditional]]=TRUE)</f>
        <v>0</v>
      </c>
      <c r="R59" s="276" t="s">
        <v>674</v>
      </c>
      <c r="S59" s="288">
        <v>2</v>
      </c>
      <c r="T59" s="23" t="s">
        <v>1140</v>
      </c>
    </row>
    <row r="60" spans="1:20" x14ac:dyDescent="0.3">
      <c r="A60">
        <f ca="1"/>
        <v>0</v>
      </c>
      <c r="B60" t="str">
        <f ca="1"/>
        <v>Share_RNG_LFG_Heat_SAF</v>
      </c>
      <c r="E60" s="300" t="str">
        <f>IF(Table_AlwaysSend[[#This Row],[GREET1 Name Range]]="", "dash_"&amp;Table_AlwaysSend[[#This Row],[Feedstock]]&amp;"_"&amp;Table_AlwaysSend[[#This Row],[Value to Send]], Table_AlwaysSend[[#This Row],[Feedstock]]&amp;"_"&amp;Table_AlwaysSend[[#This Row],[Value to Send]]&amp;"_"&amp;Table_AlwaysSend[[#This Row],[GREET1 Name Range]])</f>
        <v>Soybean_2_Soybean_Oil_Extraction_Allocation</v>
      </c>
      <c r="F60" s="297" t="s">
        <v>10</v>
      </c>
      <c r="G60" s="276" t="s">
        <v>30</v>
      </c>
      <c r="H60" s="299" t="s">
        <v>194</v>
      </c>
      <c r="I60" s="23" t="s">
        <v>368</v>
      </c>
      <c r="J60" s="278" t="s">
        <v>31</v>
      </c>
      <c r="K60" s="303" t="b" cm="1">
        <f t="array" ref="K60">OR(NOT(ISERROR(MATCH(TRIM(_xlfn.TEXTSPLIT(Table_AlwaysSend[[#This Row],[Feedstock]],",")),SelectedFeedstock,0))),AND(SelectedFeedstock&lt;&gt;"(Multiple Items)",SelectedFeedstock&lt;&gt;"(All)",Table_AlwaysSend[[#This Row],[Feedstock]]="All"))</f>
        <v>0</v>
      </c>
      <c r="L60" s="303" t="b" cm="1">
        <f t="array" ref="L60">OR(NOT(ISERROR(MATCH(TRIM(_xlfn.TEXTSPLIT(Table_AlwaysSend[[#This Row],[Conversion]],",")),SelectedConversion,0))),AND(SelectedConversion&lt;&gt;"(Multiple Items)",SelectedConversion&lt;&gt;"(All)",Table_AlwaysSend[[#This Row],[Conversion]]="All"))</f>
        <v>1</v>
      </c>
      <c r="M60" s="303" t="b" cm="1">
        <f t="array" ref="M60">OR(NOT(ISERROR(MATCH(TRIM(_xlfn.TEXTSPLIT(Table_AlwaysSend[[#This Row],[Data Source]],",")),SelectedDataSource,0))),AND(SelectedDataSource&lt;&gt;"(Multiple Items)",SelectedDataSource&lt;&gt;"(All)",Table_AlwaysSend[[#This Row],[Data Source]]="All"))</f>
        <v>0</v>
      </c>
      <c r="N60" s="308" t="b" cm="1">
        <f t="array" ref="N60">OR(NOT(ISERROR(MATCH(TRIM(_xlfn.TEXTSPLIT(Table_AlwaysSend[[#This Row],[Technology]],",")),SelectedTechnology,0))),AND(SelectedTechnology&lt;&gt;"(Multiple Items)",SelectedTechnology&lt;&gt;"(All)",Table_AlwaysSend[[#This Row],[Technology]]="All"))</f>
        <v>1</v>
      </c>
      <c r="O60" s="303" t="b" cm="1">
        <f t="array" ref="O60">OR(NOT(ISERROR(MATCH(TRIM(_xlfn.TEXTSPLIT(Table_AlwaysSend[[#This Row],[Data Set]],",")),SelectedDataSet,0))),AND(SelectedDataSet&lt;&gt;"(Multiple Items)",SelectedDataSet&lt;&gt;"(All)",Table_AlwaysSend[[#This Row],[Data Set]]="All"))</f>
        <v>0</v>
      </c>
      <c r="P60" s="305" t="b">
        <f>TRUE</f>
        <v>1</v>
      </c>
      <c r="Q60" s="306" t="b">
        <f>AND(Table_AlwaysSend[[#This Row],[Show Feedstock]:[Show Data Source2]],Table_AlwaysSend[[#This Row],[Conditional]]=TRUE)</f>
        <v>0</v>
      </c>
      <c r="R60" s="276" t="s">
        <v>806</v>
      </c>
      <c r="S60" s="288">
        <v>2</v>
      </c>
      <c r="T60" s="23" t="s">
        <v>1140</v>
      </c>
    </row>
    <row r="61" spans="1:20" x14ac:dyDescent="0.3">
      <c r="A61">
        <f ca="1"/>
        <v>0</v>
      </c>
      <c r="B61" t="str">
        <f ca="1"/>
        <v>Canola_HEFA_Natural_gas</v>
      </c>
      <c r="E61" s="300" t="str">
        <f>IF(Table_AlwaysSend[[#This Row],[GREET1 Name Range]]="", "dash_"&amp;Table_AlwaysSend[[#This Row],[Feedstock]]&amp;"_"&amp;Table_AlwaysSend[[#This Row],[Value to Send]], Table_AlwaysSend[[#This Row],[Feedstock]]&amp;"_"&amp;Table_AlwaysSend[[#This Row],[Value to Send]]&amp;"_"&amp;Table_AlwaysSend[[#This Row],[GREET1 Name Range]])</f>
        <v>Soybean_2_HEFA_Allocation</v>
      </c>
      <c r="F61" s="297" t="s">
        <v>10</v>
      </c>
      <c r="G61" s="276" t="s">
        <v>30</v>
      </c>
      <c r="H61" s="299" t="s">
        <v>194</v>
      </c>
      <c r="I61" s="23" t="s">
        <v>368</v>
      </c>
      <c r="J61" s="278" t="s">
        <v>31</v>
      </c>
      <c r="K61" s="303" t="b" cm="1">
        <f t="array" ref="K61">OR(NOT(ISERROR(MATCH(TRIM(_xlfn.TEXTSPLIT(Table_AlwaysSend[[#This Row],[Feedstock]],",")),SelectedFeedstock,0))),AND(SelectedFeedstock&lt;&gt;"(Multiple Items)",SelectedFeedstock&lt;&gt;"(All)",Table_AlwaysSend[[#This Row],[Feedstock]]="All"))</f>
        <v>0</v>
      </c>
      <c r="L61" s="303" t="b" cm="1">
        <f t="array" ref="L61">OR(NOT(ISERROR(MATCH(TRIM(_xlfn.TEXTSPLIT(Table_AlwaysSend[[#This Row],[Conversion]],",")),SelectedConversion,0))),AND(SelectedConversion&lt;&gt;"(Multiple Items)",SelectedConversion&lt;&gt;"(All)",Table_AlwaysSend[[#This Row],[Conversion]]="All"))</f>
        <v>1</v>
      </c>
      <c r="M61" s="303" t="b" cm="1">
        <f t="array" ref="M61">OR(NOT(ISERROR(MATCH(TRIM(_xlfn.TEXTSPLIT(Table_AlwaysSend[[#This Row],[Data Source]],",")),SelectedDataSource,0))),AND(SelectedDataSource&lt;&gt;"(Multiple Items)",SelectedDataSource&lt;&gt;"(All)",Table_AlwaysSend[[#This Row],[Data Source]]="All"))</f>
        <v>0</v>
      </c>
      <c r="N61" s="308" t="b" cm="1">
        <f t="array" ref="N61">OR(NOT(ISERROR(MATCH(TRIM(_xlfn.TEXTSPLIT(Table_AlwaysSend[[#This Row],[Technology]],",")),SelectedTechnology,0))),AND(SelectedTechnology&lt;&gt;"(Multiple Items)",SelectedTechnology&lt;&gt;"(All)",Table_AlwaysSend[[#This Row],[Technology]]="All"))</f>
        <v>1</v>
      </c>
      <c r="O61" s="303" t="b" cm="1">
        <f t="array" ref="O61">OR(NOT(ISERROR(MATCH(TRIM(_xlfn.TEXTSPLIT(Table_AlwaysSend[[#This Row],[Data Set]],",")),SelectedDataSet,0))),AND(SelectedDataSet&lt;&gt;"(Multiple Items)",SelectedDataSet&lt;&gt;"(All)",Table_AlwaysSend[[#This Row],[Data Set]]="All"))</f>
        <v>0</v>
      </c>
      <c r="P61" s="305" t="b">
        <f>TRUE</f>
        <v>1</v>
      </c>
      <c r="Q61" s="306" t="b">
        <f>AND(Table_AlwaysSend[[#This Row],[Show Feedstock]:[Show Data Source2]],Table_AlwaysSend[[#This Row],[Conditional]]=TRUE)</f>
        <v>0</v>
      </c>
      <c r="R61" s="276" t="s">
        <v>674</v>
      </c>
      <c r="S61" s="288">
        <v>2</v>
      </c>
      <c r="T61" s="23" t="s">
        <v>1140</v>
      </c>
    </row>
    <row r="62" spans="1:20" x14ac:dyDescent="0.3">
      <c r="A62">
        <f ca="1"/>
        <v>0</v>
      </c>
      <c r="B62" t="str">
        <f ca="1"/>
        <v>Share_NG_H2_SAF</v>
      </c>
      <c r="E62" s="300" t="str">
        <f>IF(Table_AlwaysSend[[#This Row],[GREET1 Name Range]]="", "dash_"&amp;Table_AlwaysSend[[#This Row],[Feedstock]]&amp;"_"&amp;Table_AlwaysSend[[#This Row],[Value to Send]], Table_AlwaysSend[[#This Row],[Feedstock]]&amp;"_"&amp;Table_AlwaysSend[[#This Row],[Value to Send]]&amp;"_"&amp;Table_AlwaysSend[[#This Row],[GREET1 Name Range]])</f>
        <v>Soybean_2_Soybean_Oil_Extraction_Allocation</v>
      </c>
      <c r="F62" s="297" t="s">
        <v>10</v>
      </c>
      <c r="G62" s="276" t="s">
        <v>30</v>
      </c>
      <c r="H62" s="299" t="s">
        <v>194</v>
      </c>
      <c r="I62" s="23" t="s">
        <v>369</v>
      </c>
      <c r="J62" s="278" t="s">
        <v>31</v>
      </c>
      <c r="K62" s="303" t="b" cm="1">
        <f t="array" ref="K62">OR(NOT(ISERROR(MATCH(TRIM(_xlfn.TEXTSPLIT(Table_AlwaysSend[[#This Row],[Feedstock]],",")),SelectedFeedstock,0))),AND(SelectedFeedstock&lt;&gt;"(Multiple Items)",SelectedFeedstock&lt;&gt;"(All)",Table_AlwaysSend[[#This Row],[Feedstock]]="All"))</f>
        <v>0</v>
      </c>
      <c r="L62" s="303" t="b" cm="1">
        <f t="array" ref="L62">OR(NOT(ISERROR(MATCH(TRIM(_xlfn.TEXTSPLIT(Table_AlwaysSend[[#This Row],[Conversion]],",")),SelectedConversion,0))),AND(SelectedConversion&lt;&gt;"(Multiple Items)",SelectedConversion&lt;&gt;"(All)",Table_AlwaysSend[[#This Row],[Conversion]]="All"))</f>
        <v>1</v>
      </c>
      <c r="M62" s="303" t="b" cm="1">
        <f t="array" ref="M62">OR(NOT(ISERROR(MATCH(TRIM(_xlfn.TEXTSPLIT(Table_AlwaysSend[[#This Row],[Data Source]],",")),SelectedDataSource,0))),AND(SelectedDataSource&lt;&gt;"(Multiple Items)",SelectedDataSource&lt;&gt;"(All)",Table_AlwaysSend[[#This Row],[Data Source]]="All"))</f>
        <v>0</v>
      </c>
      <c r="N62" s="308" t="b" cm="1">
        <f t="array" ref="N62">OR(NOT(ISERROR(MATCH(TRIM(_xlfn.TEXTSPLIT(Table_AlwaysSend[[#This Row],[Technology]],",")),SelectedTechnology,0))),AND(SelectedTechnology&lt;&gt;"(Multiple Items)",SelectedTechnology&lt;&gt;"(All)",Table_AlwaysSend[[#This Row],[Technology]]="All"))</f>
        <v>1</v>
      </c>
      <c r="O62" s="303" t="b" cm="1">
        <f t="array" ref="O62">OR(NOT(ISERROR(MATCH(TRIM(_xlfn.TEXTSPLIT(Table_AlwaysSend[[#This Row],[Data Set]],",")),SelectedDataSet,0))),AND(SelectedDataSet&lt;&gt;"(Multiple Items)",SelectedDataSet&lt;&gt;"(All)",Table_AlwaysSend[[#This Row],[Data Set]]="All"))</f>
        <v>0</v>
      </c>
      <c r="P62" s="305" t="b">
        <f>TRUE</f>
        <v>1</v>
      </c>
      <c r="Q62" s="306" t="b">
        <f>AND(Table_AlwaysSend[[#This Row],[Show Feedstock]:[Show Data Source2]],Table_AlwaysSend[[#This Row],[Conditional]]=TRUE)</f>
        <v>0</v>
      </c>
      <c r="R62" s="276" t="s">
        <v>806</v>
      </c>
      <c r="S62" s="288">
        <v>2</v>
      </c>
      <c r="T62" s="23" t="s">
        <v>1140</v>
      </c>
    </row>
    <row r="63" spans="1:20" x14ac:dyDescent="0.3">
      <c r="A63">
        <f ca="1"/>
        <v>0</v>
      </c>
      <c r="B63" t="str">
        <f ca="1"/>
        <v>Share_45VModeled_H2_SAF</v>
      </c>
      <c r="E63" s="300" t="str">
        <f>IF(Table_AlwaysSend[[#This Row],[GREET1 Name Range]]="", "dash_"&amp;Table_AlwaysSend[[#This Row],[Feedstock]]&amp;"_"&amp;Table_AlwaysSend[[#This Row],[Value to Send]], Table_AlwaysSend[[#This Row],[Feedstock]]&amp;"_"&amp;Table_AlwaysSend[[#This Row],[Value to Send]]&amp;"_"&amp;Table_AlwaysSend[[#This Row],[GREET1 Name Range]])</f>
        <v>Soybean_2_HEFA_Allocation</v>
      </c>
      <c r="F63" s="297" t="s">
        <v>10</v>
      </c>
      <c r="G63" s="276" t="s">
        <v>30</v>
      </c>
      <c r="H63" s="299" t="s">
        <v>194</v>
      </c>
      <c r="I63" s="23" t="s">
        <v>369</v>
      </c>
      <c r="J63" s="278" t="s">
        <v>31</v>
      </c>
      <c r="K63" s="303" t="b" cm="1">
        <f t="array" ref="K63">OR(NOT(ISERROR(MATCH(TRIM(_xlfn.TEXTSPLIT(Table_AlwaysSend[[#This Row],[Feedstock]],",")),SelectedFeedstock,0))),AND(SelectedFeedstock&lt;&gt;"(Multiple Items)",SelectedFeedstock&lt;&gt;"(All)",Table_AlwaysSend[[#This Row],[Feedstock]]="All"))</f>
        <v>0</v>
      </c>
      <c r="L63" s="303" t="b" cm="1">
        <f t="array" ref="L63">OR(NOT(ISERROR(MATCH(TRIM(_xlfn.TEXTSPLIT(Table_AlwaysSend[[#This Row],[Conversion]],",")),SelectedConversion,0))),AND(SelectedConversion&lt;&gt;"(Multiple Items)",SelectedConversion&lt;&gt;"(All)",Table_AlwaysSend[[#This Row],[Conversion]]="All"))</f>
        <v>1</v>
      </c>
      <c r="M63" s="303" t="b" cm="1">
        <f t="array" ref="M63">OR(NOT(ISERROR(MATCH(TRIM(_xlfn.TEXTSPLIT(Table_AlwaysSend[[#This Row],[Data Source]],",")),SelectedDataSource,0))),AND(SelectedDataSource&lt;&gt;"(Multiple Items)",SelectedDataSource&lt;&gt;"(All)",Table_AlwaysSend[[#This Row],[Data Source]]="All"))</f>
        <v>0</v>
      </c>
      <c r="N63" s="308" t="b" cm="1">
        <f t="array" ref="N63">OR(NOT(ISERROR(MATCH(TRIM(_xlfn.TEXTSPLIT(Table_AlwaysSend[[#This Row],[Technology]],",")),SelectedTechnology,0))),AND(SelectedTechnology&lt;&gt;"(Multiple Items)",SelectedTechnology&lt;&gt;"(All)",Table_AlwaysSend[[#This Row],[Technology]]="All"))</f>
        <v>1</v>
      </c>
      <c r="O63" s="303" t="b" cm="1">
        <f t="array" ref="O63">OR(NOT(ISERROR(MATCH(TRIM(_xlfn.TEXTSPLIT(Table_AlwaysSend[[#This Row],[Data Set]],",")),SelectedDataSet,0))),AND(SelectedDataSet&lt;&gt;"(Multiple Items)",SelectedDataSet&lt;&gt;"(All)",Table_AlwaysSend[[#This Row],[Data Set]]="All"))</f>
        <v>0</v>
      </c>
      <c r="P63" s="305" t="b">
        <f>TRUE</f>
        <v>1</v>
      </c>
      <c r="Q63" s="306" t="b">
        <f>AND(Table_AlwaysSend[[#This Row],[Show Feedstock]:[Show Data Source2]],Table_AlwaysSend[[#This Row],[Conditional]]=TRUE)</f>
        <v>0</v>
      </c>
      <c r="R63" s="276" t="s">
        <v>674</v>
      </c>
      <c r="S63" s="288">
        <v>2</v>
      </c>
      <c r="T63" s="23" t="s">
        <v>1140</v>
      </c>
    </row>
    <row r="64" spans="1:20" x14ac:dyDescent="0.3">
      <c r="A64">
        <f ca="1"/>
        <v>0</v>
      </c>
      <c r="B64" t="str">
        <f ca="1"/>
        <v>Canola_HEFA_Hydrogen</v>
      </c>
      <c r="E64" s="300" t="str">
        <f>IF(Table_AlwaysSend[[#This Row],[GREET1 Name Range]]="", "dash_"&amp;Table_AlwaysSend[[#This Row],[Feedstock]]&amp;"_"&amp;Table_AlwaysSend[[#This Row],[Value to Send]], Table_AlwaysSend[[#This Row],[Feedstock]]&amp;"_"&amp;Table_AlwaysSend[[#This Row],[Value to Send]]&amp;"_"&amp;Table_AlwaysSend[[#This Row],[GREET1 Name Range]])</f>
        <v>Soybean_2_Soybean_Oil_Extraction_Allocation</v>
      </c>
      <c r="F64" s="297" t="s">
        <v>10</v>
      </c>
      <c r="G64" s="276" t="s">
        <v>30</v>
      </c>
      <c r="H64" s="299" t="s">
        <v>194</v>
      </c>
      <c r="I64" s="23" t="s">
        <v>355</v>
      </c>
      <c r="J64" s="278" t="s">
        <v>31</v>
      </c>
      <c r="K64" s="303" t="b" cm="1">
        <f t="array" ref="K64">OR(NOT(ISERROR(MATCH(TRIM(_xlfn.TEXTSPLIT(Table_AlwaysSend[[#This Row],[Feedstock]],",")),SelectedFeedstock,0))),AND(SelectedFeedstock&lt;&gt;"(Multiple Items)",SelectedFeedstock&lt;&gt;"(All)",Table_AlwaysSend[[#This Row],[Feedstock]]="All"))</f>
        <v>0</v>
      </c>
      <c r="L64" s="303" t="b" cm="1">
        <f t="array" ref="L64">OR(NOT(ISERROR(MATCH(TRIM(_xlfn.TEXTSPLIT(Table_AlwaysSend[[#This Row],[Conversion]],",")),SelectedConversion,0))),AND(SelectedConversion&lt;&gt;"(Multiple Items)",SelectedConversion&lt;&gt;"(All)",Table_AlwaysSend[[#This Row],[Conversion]]="All"))</f>
        <v>1</v>
      </c>
      <c r="M64" s="303" t="b" cm="1">
        <f t="array" ref="M64">OR(NOT(ISERROR(MATCH(TRIM(_xlfn.TEXTSPLIT(Table_AlwaysSend[[#This Row],[Data Source]],",")),SelectedDataSource,0))),AND(SelectedDataSource&lt;&gt;"(Multiple Items)",SelectedDataSource&lt;&gt;"(All)",Table_AlwaysSend[[#This Row],[Data Source]]="All"))</f>
        <v>0</v>
      </c>
      <c r="N64" s="308" t="b" cm="1">
        <f t="array" ref="N64">OR(NOT(ISERROR(MATCH(TRIM(_xlfn.TEXTSPLIT(Table_AlwaysSend[[#This Row],[Technology]],",")),SelectedTechnology,0))),AND(SelectedTechnology&lt;&gt;"(Multiple Items)",SelectedTechnology&lt;&gt;"(All)",Table_AlwaysSend[[#This Row],[Technology]]="All"))</f>
        <v>1</v>
      </c>
      <c r="O64" s="303" t="b" cm="1">
        <f t="array" ref="O64">OR(NOT(ISERROR(MATCH(TRIM(_xlfn.TEXTSPLIT(Table_AlwaysSend[[#This Row],[Data Set]],",")),SelectedDataSet,0))),AND(SelectedDataSet&lt;&gt;"(Multiple Items)",SelectedDataSet&lt;&gt;"(All)",Table_AlwaysSend[[#This Row],[Data Set]]="All"))</f>
        <v>0</v>
      </c>
      <c r="P64" s="305" t="b">
        <f>TRUE</f>
        <v>1</v>
      </c>
      <c r="Q64" s="306" t="b">
        <f>AND(Table_AlwaysSend[[#This Row],[Show Feedstock]:[Show Data Source2]],Table_AlwaysSend[[#This Row],[Conditional]]=TRUE)</f>
        <v>0</v>
      </c>
      <c r="R64" s="276" t="s">
        <v>806</v>
      </c>
      <c r="S64" s="288">
        <v>2</v>
      </c>
      <c r="T64" s="23" t="s">
        <v>1140</v>
      </c>
    </row>
    <row r="65" spans="1:20" x14ac:dyDescent="0.3">
      <c r="A65">
        <f ca="1"/>
        <v>4</v>
      </c>
      <c r="B65" t="str">
        <f ca="1"/>
        <v>Corn_EtOH_Heat_Source_Option</v>
      </c>
      <c r="E65" s="300" t="str">
        <f>IF(Table_AlwaysSend[[#This Row],[GREET1 Name Range]]="", "dash_"&amp;Table_AlwaysSend[[#This Row],[Feedstock]]&amp;"_"&amp;Table_AlwaysSend[[#This Row],[Value to Send]], Table_AlwaysSend[[#This Row],[Feedstock]]&amp;"_"&amp;Table_AlwaysSend[[#This Row],[Value to Send]]&amp;"_"&amp;Table_AlwaysSend[[#This Row],[GREET1 Name Range]])</f>
        <v>Soybean_2_HEFA_Allocation</v>
      </c>
      <c r="F65" s="297" t="s">
        <v>10</v>
      </c>
      <c r="G65" s="276" t="s">
        <v>30</v>
      </c>
      <c r="H65" s="299" t="s">
        <v>194</v>
      </c>
      <c r="I65" s="23" t="s">
        <v>355</v>
      </c>
      <c r="J65" s="278" t="s">
        <v>31</v>
      </c>
      <c r="K65" s="303" t="b" cm="1">
        <f t="array" ref="K65">OR(NOT(ISERROR(MATCH(TRIM(_xlfn.TEXTSPLIT(Table_AlwaysSend[[#This Row],[Feedstock]],",")),SelectedFeedstock,0))),AND(SelectedFeedstock&lt;&gt;"(Multiple Items)",SelectedFeedstock&lt;&gt;"(All)",Table_AlwaysSend[[#This Row],[Feedstock]]="All"))</f>
        <v>0</v>
      </c>
      <c r="L65" s="303" t="b" cm="1">
        <f t="array" ref="L65">OR(NOT(ISERROR(MATCH(TRIM(_xlfn.TEXTSPLIT(Table_AlwaysSend[[#This Row],[Conversion]],",")),SelectedConversion,0))),AND(SelectedConversion&lt;&gt;"(Multiple Items)",SelectedConversion&lt;&gt;"(All)",Table_AlwaysSend[[#This Row],[Conversion]]="All"))</f>
        <v>1</v>
      </c>
      <c r="M65" s="303" t="b" cm="1">
        <f t="array" ref="M65">OR(NOT(ISERROR(MATCH(TRIM(_xlfn.TEXTSPLIT(Table_AlwaysSend[[#This Row],[Data Source]],",")),SelectedDataSource,0))),AND(SelectedDataSource&lt;&gt;"(Multiple Items)",SelectedDataSource&lt;&gt;"(All)",Table_AlwaysSend[[#This Row],[Data Source]]="All"))</f>
        <v>0</v>
      </c>
      <c r="N65" s="308" t="b" cm="1">
        <f t="array" ref="N65">OR(NOT(ISERROR(MATCH(TRIM(_xlfn.TEXTSPLIT(Table_AlwaysSend[[#This Row],[Technology]],",")),SelectedTechnology,0))),AND(SelectedTechnology&lt;&gt;"(Multiple Items)",SelectedTechnology&lt;&gt;"(All)",Table_AlwaysSend[[#This Row],[Technology]]="All"))</f>
        <v>1</v>
      </c>
      <c r="O65" s="303" t="b" cm="1">
        <f t="array" ref="O65">OR(NOT(ISERROR(MATCH(TRIM(_xlfn.TEXTSPLIT(Table_AlwaysSend[[#This Row],[Data Set]],",")),SelectedDataSet,0))),AND(SelectedDataSet&lt;&gt;"(Multiple Items)",SelectedDataSet&lt;&gt;"(All)",Table_AlwaysSend[[#This Row],[Data Set]]="All"))</f>
        <v>0</v>
      </c>
      <c r="P65" s="305" t="b">
        <f>TRUE</f>
        <v>1</v>
      </c>
      <c r="Q65" s="306" t="b">
        <f>AND(Table_AlwaysSend[[#This Row],[Show Feedstock]:[Show Data Source2]],Table_AlwaysSend[[#This Row],[Conditional]]=TRUE)</f>
        <v>0</v>
      </c>
      <c r="R65" s="276" t="s">
        <v>674</v>
      </c>
      <c r="S65" s="288">
        <v>2</v>
      </c>
      <c r="T65" s="23" t="s">
        <v>1140</v>
      </c>
    </row>
    <row r="66" spans="1:20" x14ac:dyDescent="0.3">
      <c r="A66">
        <f ca="1"/>
        <v>4</v>
      </c>
      <c r="B66" t="str">
        <f ca="1"/>
        <v>SAF_Heat_Source_Option</v>
      </c>
      <c r="E66" s="300" t="str">
        <f>IF(Table_AlwaysSend[[#This Row],[GREET1 Name Range]]="", "dash_"&amp;Table_AlwaysSend[[#This Row],[Feedstock]]&amp;"_"&amp;Table_AlwaysSend[[#This Row],[Value to Send]], Table_AlwaysSend[[#This Row],[Feedstock]]&amp;"_"&amp;Table_AlwaysSend[[#This Row],[Value to Send]]&amp;"_"&amp;Table_AlwaysSend[[#This Row],[GREET1 Name Range]])</f>
        <v>Canola/Rapeseed_2_Canola_Oil_Extraction_Allocation</v>
      </c>
      <c r="F66" s="297" t="s">
        <v>1347</v>
      </c>
      <c r="G66" s="276" t="s">
        <v>30</v>
      </c>
      <c r="H66" s="299" t="s">
        <v>194</v>
      </c>
      <c r="I66" s="23" t="s">
        <v>1349</v>
      </c>
      <c r="J66" s="278" t="s">
        <v>31</v>
      </c>
      <c r="K66" s="303" t="b" cm="1">
        <f t="array" ref="K66">OR(NOT(ISERROR(MATCH(TRIM(_xlfn.TEXTSPLIT(Table_AlwaysSend[[#This Row],[Feedstock]],",")),SelectedFeedstock,0))),AND(SelectedFeedstock&lt;&gt;"(Multiple Items)",SelectedFeedstock&lt;&gt;"(All)",Table_AlwaysSend[[#This Row],[Feedstock]]="All"))</f>
        <v>1</v>
      </c>
      <c r="L66" s="303" t="b" cm="1">
        <f t="array" ref="L66">OR(NOT(ISERROR(MATCH(TRIM(_xlfn.TEXTSPLIT(Table_AlwaysSend[[#This Row],[Conversion]],",")),SelectedConversion,0))),AND(SelectedConversion&lt;&gt;"(Multiple Items)",SelectedConversion&lt;&gt;"(All)",Table_AlwaysSend[[#This Row],[Conversion]]="All"))</f>
        <v>1</v>
      </c>
      <c r="M66" s="303" t="b" cm="1">
        <f t="array" ref="M66">OR(NOT(ISERROR(MATCH(TRIM(_xlfn.TEXTSPLIT(Table_AlwaysSend[[#This Row],[Data Source]],",")),SelectedDataSource,0))),AND(SelectedDataSource&lt;&gt;"(Multiple Items)",SelectedDataSource&lt;&gt;"(All)",Table_AlwaysSend[[#This Row],[Data Source]]="All"))</f>
        <v>0</v>
      </c>
      <c r="N66" s="308" t="b" cm="1">
        <f t="array" ref="N66">OR(NOT(ISERROR(MATCH(TRIM(_xlfn.TEXTSPLIT(Table_AlwaysSend[[#This Row],[Technology]],",")),SelectedTechnology,0))),AND(SelectedTechnology&lt;&gt;"(Multiple Items)",SelectedTechnology&lt;&gt;"(All)",Table_AlwaysSend[[#This Row],[Technology]]="All"))</f>
        <v>1</v>
      </c>
      <c r="O66" s="303" t="b" cm="1">
        <f t="array" ref="O66">OR(NOT(ISERROR(MATCH(TRIM(_xlfn.TEXTSPLIT(Table_AlwaysSend[[#This Row],[Data Set]],",")),SelectedDataSet,0))),AND(SelectedDataSet&lt;&gt;"(Multiple Items)",SelectedDataSet&lt;&gt;"(All)",Table_AlwaysSend[[#This Row],[Data Set]]="All"))</f>
        <v>0</v>
      </c>
      <c r="P66" s="305" t="b">
        <f>TRUE</f>
        <v>1</v>
      </c>
      <c r="Q66" s="306" t="b">
        <f>AND(Table_AlwaysSend[[#This Row],[Show Feedstock]:[Show Data Source2]],Table_AlwaysSend[[#This Row],[Conditional]]=TRUE)</f>
        <v>0</v>
      </c>
      <c r="R66" s="276" t="s">
        <v>504</v>
      </c>
      <c r="S66" s="288">
        <v>2</v>
      </c>
      <c r="T66" s="23" t="s">
        <v>1140</v>
      </c>
    </row>
    <row r="67" spans="1:20" x14ac:dyDescent="0.3">
      <c r="A67">
        <f ca="1"/>
        <v>4</v>
      </c>
      <c r="B67" t="str">
        <f ca="1"/>
        <v>SAF_H2_Source_Option</v>
      </c>
      <c r="E67" s="300" t="str">
        <f>IF(Table_AlwaysSend[[#This Row],[GREET1 Name Range]]="", "dash_"&amp;Table_AlwaysSend[[#This Row],[Feedstock]]&amp;"_"&amp;Table_AlwaysSend[[#This Row],[Value to Send]], Table_AlwaysSend[[#This Row],[Feedstock]]&amp;"_"&amp;Table_AlwaysSend[[#This Row],[Value to Send]]&amp;"_"&amp;Table_AlwaysSend[[#This Row],[GREET1 Name Range]])</f>
        <v>Canola/Rapeseed_2_HEFA_Allocation</v>
      </c>
      <c r="F67" s="297" t="s">
        <v>1347</v>
      </c>
      <c r="G67" s="276" t="s">
        <v>30</v>
      </c>
      <c r="H67" s="299" t="s">
        <v>194</v>
      </c>
      <c r="I67" s="23" t="s">
        <v>1349</v>
      </c>
      <c r="J67" s="278" t="s">
        <v>31</v>
      </c>
      <c r="K67" s="303" t="b" cm="1">
        <f t="array" ref="K67">OR(NOT(ISERROR(MATCH(TRIM(_xlfn.TEXTSPLIT(Table_AlwaysSend[[#This Row],[Feedstock]],",")),SelectedFeedstock,0))),AND(SelectedFeedstock&lt;&gt;"(Multiple Items)",SelectedFeedstock&lt;&gt;"(All)",Table_AlwaysSend[[#This Row],[Feedstock]]="All"))</f>
        <v>1</v>
      </c>
      <c r="L67" s="303" t="b" cm="1">
        <f t="array" ref="L67">OR(NOT(ISERROR(MATCH(TRIM(_xlfn.TEXTSPLIT(Table_AlwaysSend[[#This Row],[Conversion]],",")),SelectedConversion,0))),AND(SelectedConversion&lt;&gt;"(Multiple Items)",SelectedConversion&lt;&gt;"(All)",Table_AlwaysSend[[#This Row],[Conversion]]="All"))</f>
        <v>1</v>
      </c>
      <c r="M67" s="303" t="b" cm="1">
        <f t="array" ref="M67">OR(NOT(ISERROR(MATCH(TRIM(_xlfn.TEXTSPLIT(Table_AlwaysSend[[#This Row],[Data Source]],",")),SelectedDataSource,0))),AND(SelectedDataSource&lt;&gt;"(Multiple Items)",SelectedDataSource&lt;&gt;"(All)",Table_AlwaysSend[[#This Row],[Data Source]]="All"))</f>
        <v>0</v>
      </c>
      <c r="N67" s="308" t="b" cm="1">
        <f t="array" ref="N67">OR(NOT(ISERROR(MATCH(TRIM(_xlfn.TEXTSPLIT(Table_AlwaysSend[[#This Row],[Technology]],",")),SelectedTechnology,0))),AND(SelectedTechnology&lt;&gt;"(Multiple Items)",SelectedTechnology&lt;&gt;"(All)",Table_AlwaysSend[[#This Row],[Technology]]="All"))</f>
        <v>1</v>
      </c>
      <c r="O67" s="303" t="b" cm="1">
        <f t="array" ref="O67">OR(NOT(ISERROR(MATCH(TRIM(_xlfn.TEXTSPLIT(Table_AlwaysSend[[#This Row],[Data Set]],",")),SelectedDataSet,0))),AND(SelectedDataSet&lt;&gt;"(Multiple Items)",SelectedDataSet&lt;&gt;"(All)",Table_AlwaysSend[[#This Row],[Data Set]]="All"))</f>
        <v>0</v>
      </c>
      <c r="P67" s="305" t="b">
        <f>TRUE</f>
        <v>1</v>
      </c>
      <c r="Q67" s="306" t="b">
        <f>AND(Table_AlwaysSend[[#This Row],[Show Feedstock]:[Show Data Source2]],Table_AlwaysSend[[#This Row],[Conditional]]=TRUE)</f>
        <v>0</v>
      </c>
      <c r="R67" s="276" t="s">
        <v>674</v>
      </c>
      <c r="S67" s="288">
        <v>2</v>
      </c>
      <c r="T67" s="23" t="s">
        <v>1140</v>
      </c>
    </row>
    <row r="68" spans="1:20" x14ac:dyDescent="0.3">
      <c r="E68" s="300" t="str">
        <f>IF(Table_AlwaysSend[[#This Row],[GREET1 Name Range]]="", "dash_"&amp;Table_AlwaysSend[[#This Row],[Feedstock]]&amp;"_"&amp;Table_AlwaysSend[[#This Row],[Value to Send]], Table_AlwaysSend[[#This Row],[Feedstock]]&amp;"_"&amp;Table_AlwaysSend[[#This Row],[Value to Send]]&amp;"_"&amp;Table_AlwaysSend[[#This Row],[GREET1 Name Range]])</f>
        <v>Canola/Rapeseed_2_Canola_Oil_Extraction_Allocation</v>
      </c>
      <c r="F68" s="297" t="s">
        <v>1347</v>
      </c>
      <c r="G68" s="276" t="s">
        <v>30</v>
      </c>
      <c r="H68" s="299" t="s">
        <v>194</v>
      </c>
      <c r="I68" s="23" t="s">
        <v>368</v>
      </c>
      <c r="J68" s="278" t="s">
        <v>31</v>
      </c>
      <c r="K68" s="303" t="b" cm="1">
        <f t="array" ref="K68">OR(NOT(ISERROR(MATCH(TRIM(_xlfn.TEXTSPLIT(Table_AlwaysSend[[#This Row],[Feedstock]],",")),SelectedFeedstock,0))),AND(SelectedFeedstock&lt;&gt;"(Multiple Items)",SelectedFeedstock&lt;&gt;"(All)",Table_AlwaysSend[[#This Row],[Feedstock]]="All"))</f>
        <v>1</v>
      </c>
      <c r="L68" s="303" t="b" cm="1">
        <f t="array" ref="L68">OR(NOT(ISERROR(MATCH(TRIM(_xlfn.TEXTSPLIT(Table_AlwaysSend[[#This Row],[Conversion]],",")),SelectedConversion,0))),AND(SelectedConversion&lt;&gt;"(Multiple Items)",SelectedConversion&lt;&gt;"(All)",Table_AlwaysSend[[#This Row],[Conversion]]="All"))</f>
        <v>1</v>
      </c>
      <c r="M68" s="303" t="b" cm="1">
        <f t="array" ref="M68">OR(NOT(ISERROR(MATCH(TRIM(_xlfn.TEXTSPLIT(Table_AlwaysSend[[#This Row],[Data Source]],",")),SelectedDataSource,0))),AND(SelectedDataSource&lt;&gt;"(Multiple Items)",SelectedDataSource&lt;&gt;"(All)",Table_AlwaysSend[[#This Row],[Data Source]]="All"))</f>
        <v>0</v>
      </c>
      <c r="N68" s="308" t="b" cm="1">
        <f t="array" ref="N68">OR(NOT(ISERROR(MATCH(TRIM(_xlfn.TEXTSPLIT(Table_AlwaysSend[[#This Row],[Technology]],",")),SelectedTechnology,0))),AND(SelectedTechnology&lt;&gt;"(Multiple Items)",SelectedTechnology&lt;&gt;"(All)",Table_AlwaysSend[[#This Row],[Technology]]="All"))</f>
        <v>1</v>
      </c>
      <c r="O68" s="303" t="b" cm="1">
        <f t="array" ref="O68">OR(NOT(ISERROR(MATCH(TRIM(_xlfn.TEXTSPLIT(Table_AlwaysSend[[#This Row],[Data Set]],",")),SelectedDataSet,0))),AND(SelectedDataSet&lt;&gt;"(Multiple Items)",SelectedDataSet&lt;&gt;"(All)",Table_AlwaysSend[[#This Row],[Data Set]]="All"))</f>
        <v>0</v>
      </c>
      <c r="P68" s="305" t="b">
        <f>TRUE</f>
        <v>1</v>
      </c>
      <c r="Q68" s="306" t="b">
        <f>AND(Table_AlwaysSend[[#This Row],[Show Feedstock]:[Show Data Source2]],Table_AlwaysSend[[#This Row],[Conditional]]=TRUE)</f>
        <v>0</v>
      </c>
      <c r="R68" s="276" t="s">
        <v>504</v>
      </c>
      <c r="S68" s="288">
        <v>2</v>
      </c>
      <c r="T68" s="23" t="s">
        <v>1140</v>
      </c>
    </row>
    <row r="69" spans="1:20" x14ac:dyDescent="0.3">
      <c r="E69" s="300" t="str">
        <f>IF(Table_AlwaysSend[[#This Row],[GREET1 Name Range]]="", "dash_"&amp;Table_AlwaysSend[[#This Row],[Feedstock]]&amp;"_"&amp;Table_AlwaysSend[[#This Row],[Value to Send]], Table_AlwaysSend[[#This Row],[Feedstock]]&amp;"_"&amp;Table_AlwaysSend[[#This Row],[Value to Send]]&amp;"_"&amp;Table_AlwaysSend[[#This Row],[GREET1 Name Range]])</f>
        <v>Canola/Rapeseed_2_HEFA_Allocation</v>
      </c>
      <c r="F69" s="297" t="s">
        <v>1347</v>
      </c>
      <c r="G69" s="276" t="s">
        <v>30</v>
      </c>
      <c r="H69" s="299" t="s">
        <v>194</v>
      </c>
      <c r="I69" s="23" t="s">
        <v>368</v>
      </c>
      <c r="J69" s="278" t="s">
        <v>31</v>
      </c>
      <c r="K69" s="303" t="b" cm="1">
        <f t="array" ref="K69">OR(NOT(ISERROR(MATCH(TRIM(_xlfn.TEXTSPLIT(Table_AlwaysSend[[#This Row],[Feedstock]],",")),SelectedFeedstock,0))),AND(SelectedFeedstock&lt;&gt;"(Multiple Items)",SelectedFeedstock&lt;&gt;"(All)",Table_AlwaysSend[[#This Row],[Feedstock]]="All"))</f>
        <v>1</v>
      </c>
      <c r="L69" s="303" t="b" cm="1">
        <f t="array" ref="L69">OR(NOT(ISERROR(MATCH(TRIM(_xlfn.TEXTSPLIT(Table_AlwaysSend[[#This Row],[Conversion]],",")),SelectedConversion,0))),AND(SelectedConversion&lt;&gt;"(Multiple Items)",SelectedConversion&lt;&gt;"(All)",Table_AlwaysSend[[#This Row],[Conversion]]="All"))</f>
        <v>1</v>
      </c>
      <c r="M69" s="303" t="b" cm="1">
        <f t="array" ref="M69">OR(NOT(ISERROR(MATCH(TRIM(_xlfn.TEXTSPLIT(Table_AlwaysSend[[#This Row],[Data Source]],",")),SelectedDataSource,0))),AND(SelectedDataSource&lt;&gt;"(Multiple Items)",SelectedDataSource&lt;&gt;"(All)",Table_AlwaysSend[[#This Row],[Data Source]]="All"))</f>
        <v>0</v>
      </c>
      <c r="N69" s="308" t="b" cm="1">
        <f t="array" ref="N69">OR(NOT(ISERROR(MATCH(TRIM(_xlfn.TEXTSPLIT(Table_AlwaysSend[[#This Row],[Technology]],",")),SelectedTechnology,0))),AND(SelectedTechnology&lt;&gt;"(Multiple Items)",SelectedTechnology&lt;&gt;"(All)",Table_AlwaysSend[[#This Row],[Technology]]="All"))</f>
        <v>1</v>
      </c>
      <c r="O69" s="303" t="b" cm="1">
        <f t="array" ref="O69">OR(NOT(ISERROR(MATCH(TRIM(_xlfn.TEXTSPLIT(Table_AlwaysSend[[#This Row],[Data Set]],",")),SelectedDataSet,0))),AND(SelectedDataSet&lt;&gt;"(Multiple Items)",SelectedDataSet&lt;&gt;"(All)",Table_AlwaysSend[[#This Row],[Data Set]]="All"))</f>
        <v>0</v>
      </c>
      <c r="P69" s="305" t="b">
        <f>TRUE</f>
        <v>1</v>
      </c>
      <c r="Q69" s="306" t="b">
        <f>AND(Table_AlwaysSend[[#This Row],[Show Feedstock]:[Show Data Source2]],Table_AlwaysSend[[#This Row],[Conditional]]=TRUE)</f>
        <v>0</v>
      </c>
      <c r="R69" s="276" t="s">
        <v>674</v>
      </c>
      <c r="S69" s="288">
        <v>2</v>
      </c>
      <c r="T69" s="23" t="s">
        <v>1140</v>
      </c>
    </row>
    <row r="70" spans="1:20" x14ac:dyDescent="0.3">
      <c r="E70" s="300" t="str">
        <f>IF(Table_AlwaysSend[[#This Row],[GREET1 Name Range]]="", "dash_"&amp;Table_AlwaysSend[[#This Row],[Feedstock]]&amp;"_"&amp;Table_AlwaysSend[[#This Row],[Value to Send]], Table_AlwaysSend[[#This Row],[Feedstock]]&amp;"_"&amp;Table_AlwaysSend[[#This Row],[Value to Send]]&amp;"_"&amp;Table_AlwaysSend[[#This Row],[GREET1 Name Range]])</f>
        <v>Canola/Rapeseed_2_Canola_Oil_Extraction_Allocation</v>
      </c>
      <c r="F70" s="297" t="s">
        <v>1347</v>
      </c>
      <c r="G70" s="276" t="s">
        <v>30</v>
      </c>
      <c r="H70" s="299" t="s">
        <v>194</v>
      </c>
      <c r="I70" s="23" t="s">
        <v>370</v>
      </c>
      <c r="J70" s="278" t="s">
        <v>31</v>
      </c>
      <c r="K70" s="303" t="b" cm="1">
        <f t="array" ref="K70">OR(NOT(ISERROR(MATCH(TRIM(_xlfn.TEXTSPLIT(Table_AlwaysSend[[#This Row],[Feedstock]],",")),SelectedFeedstock,0))),AND(SelectedFeedstock&lt;&gt;"(Multiple Items)",SelectedFeedstock&lt;&gt;"(All)",Table_AlwaysSend[[#This Row],[Feedstock]]="All"))</f>
        <v>1</v>
      </c>
      <c r="L70" s="303" t="b" cm="1">
        <f t="array" ref="L70">OR(NOT(ISERROR(MATCH(TRIM(_xlfn.TEXTSPLIT(Table_AlwaysSend[[#This Row],[Conversion]],",")),SelectedConversion,0))),AND(SelectedConversion&lt;&gt;"(Multiple Items)",SelectedConversion&lt;&gt;"(All)",Table_AlwaysSend[[#This Row],[Conversion]]="All"))</f>
        <v>1</v>
      </c>
      <c r="M70" s="303" t="b" cm="1">
        <f t="array" ref="M70">OR(NOT(ISERROR(MATCH(TRIM(_xlfn.TEXTSPLIT(Table_AlwaysSend[[#This Row],[Data Source]],",")),SelectedDataSource,0))),AND(SelectedDataSource&lt;&gt;"(Multiple Items)",SelectedDataSource&lt;&gt;"(All)",Table_AlwaysSend[[#This Row],[Data Source]]="All"))</f>
        <v>0</v>
      </c>
      <c r="N70" s="308" t="b" cm="1">
        <f t="array" ref="N70">OR(NOT(ISERROR(MATCH(TRIM(_xlfn.TEXTSPLIT(Table_AlwaysSend[[#This Row],[Technology]],",")),SelectedTechnology,0))),AND(SelectedTechnology&lt;&gt;"(Multiple Items)",SelectedTechnology&lt;&gt;"(All)",Table_AlwaysSend[[#This Row],[Technology]]="All"))</f>
        <v>1</v>
      </c>
      <c r="O70" s="303" t="b" cm="1">
        <f t="array" ref="O70">OR(NOT(ISERROR(MATCH(TRIM(_xlfn.TEXTSPLIT(Table_AlwaysSend[[#This Row],[Data Set]],",")),SelectedDataSet,0))),AND(SelectedDataSet&lt;&gt;"(Multiple Items)",SelectedDataSet&lt;&gt;"(All)",Table_AlwaysSend[[#This Row],[Data Set]]="All"))</f>
        <v>0</v>
      </c>
      <c r="P70" s="305" t="b">
        <f>TRUE</f>
        <v>1</v>
      </c>
      <c r="Q70" s="306" t="b">
        <f>AND(Table_AlwaysSend[[#This Row],[Show Feedstock]:[Show Data Source2]],Table_AlwaysSend[[#This Row],[Conditional]]=TRUE)</f>
        <v>0</v>
      </c>
      <c r="R70" s="276" t="s">
        <v>504</v>
      </c>
      <c r="S70" s="288">
        <v>2</v>
      </c>
      <c r="T70" s="23" t="s">
        <v>1140</v>
      </c>
    </row>
    <row r="71" spans="1:20" x14ac:dyDescent="0.3">
      <c r="E71" s="300" t="str">
        <f>IF(Table_AlwaysSend[[#This Row],[GREET1 Name Range]]="", "dash_"&amp;Table_AlwaysSend[[#This Row],[Feedstock]]&amp;"_"&amp;Table_AlwaysSend[[#This Row],[Value to Send]], Table_AlwaysSend[[#This Row],[Feedstock]]&amp;"_"&amp;Table_AlwaysSend[[#This Row],[Value to Send]]&amp;"_"&amp;Table_AlwaysSend[[#This Row],[GREET1 Name Range]])</f>
        <v>Canola/Rapeseed_2_HEFA_Allocation</v>
      </c>
      <c r="F71" s="297" t="s">
        <v>1347</v>
      </c>
      <c r="G71" s="276" t="s">
        <v>30</v>
      </c>
      <c r="H71" s="299" t="s">
        <v>194</v>
      </c>
      <c r="I71" s="23" t="s">
        <v>370</v>
      </c>
      <c r="J71" s="278" t="s">
        <v>31</v>
      </c>
      <c r="K71" s="303" t="b" cm="1">
        <f t="array" ref="K71">OR(NOT(ISERROR(MATCH(TRIM(_xlfn.TEXTSPLIT(Table_AlwaysSend[[#This Row],[Feedstock]],",")),SelectedFeedstock,0))),AND(SelectedFeedstock&lt;&gt;"(Multiple Items)",SelectedFeedstock&lt;&gt;"(All)",Table_AlwaysSend[[#This Row],[Feedstock]]="All"))</f>
        <v>1</v>
      </c>
      <c r="L71" s="303" t="b" cm="1">
        <f t="array" ref="L71">OR(NOT(ISERROR(MATCH(TRIM(_xlfn.TEXTSPLIT(Table_AlwaysSend[[#This Row],[Conversion]],",")),SelectedConversion,0))),AND(SelectedConversion&lt;&gt;"(Multiple Items)",SelectedConversion&lt;&gt;"(All)",Table_AlwaysSend[[#This Row],[Conversion]]="All"))</f>
        <v>1</v>
      </c>
      <c r="M71" s="303" t="b" cm="1">
        <f t="array" ref="M71">OR(NOT(ISERROR(MATCH(TRIM(_xlfn.TEXTSPLIT(Table_AlwaysSend[[#This Row],[Data Source]],",")),SelectedDataSource,0))),AND(SelectedDataSource&lt;&gt;"(Multiple Items)",SelectedDataSource&lt;&gt;"(All)",Table_AlwaysSend[[#This Row],[Data Source]]="All"))</f>
        <v>0</v>
      </c>
      <c r="N71" s="308" t="b" cm="1">
        <f t="array" ref="N71">OR(NOT(ISERROR(MATCH(TRIM(_xlfn.TEXTSPLIT(Table_AlwaysSend[[#This Row],[Technology]],",")),SelectedTechnology,0))),AND(SelectedTechnology&lt;&gt;"(Multiple Items)",SelectedTechnology&lt;&gt;"(All)",Table_AlwaysSend[[#This Row],[Technology]]="All"))</f>
        <v>1</v>
      </c>
      <c r="O71" s="303" t="b" cm="1">
        <f t="array" ref="O71">OR(NOT(ISERROR(MATCH(TRIM(_xlfn.TEXTSPLIT(Table_AlwaysSend[[#This Row],[Data Set]],",")),SelectedDataSet,0))),AND(SelectedDataSet&lt;&gt;"(Multiple Items)",SelectedDataSet&lt;&gt;"(All)",Table_AlwaysSend[[#This Row],[Data Set]]="All"))</f>
        <v>0</v>
      </c>
      <c r="P71" s="305" t="b">
        <f>TRUE</f>
        <v>1</v>
      </c>
      <c r="Q71" s="306" t="b">
        <f>AND(Table_AlwaysSend[[#This Row],[Show Feedstock]:[Show Data Source2]],Table_AlwaysSend[[#This Row],[Conditional]]=TRUE)</f>
        <v>0</v>
      </c>
      <c r="R71" s="276" t="s">
        <v>674</v>
      </c>
      <c r="S71" s="288">
        <v>2</v>
      </c>
      <c r="T71" s="23" t="s">
        <v>1140</v>
      </c>
    </row>
    <row r="72" spans="1:20" x14ac:dyDescent="0.3">
      <c r="E72" s="300" t="str">
        <f>IF(Table_AlwaysSend[[#This Row],[GREET1 Name Range]]="", "dash_"&amp;Table_AlwaysSend[[#This Row],[Feedstock]]&amp;"_"&amp;Table_AlwaysSend[[#This Row],[Value to Send]], Table_AlwaysSend[[#This Row],[Feedstock]]&amp;"_"&amp;Table_AlwaysSend[[#This Row],[Value to Send]]&amp;"_"&amp;Table_AlwaysSend[[#This Row],[GREET1 Name Range]])</f>
        <v>Canola/Rapeseed_2_Canola_Oil_Extraction_Allocation</v>
      </c>
      <c r="F72" s="297" t="s">
        <v>1347</v>
      </c>
      <c r="G72" s="276" t="s">
        <v>30</v>
      </c>
      <c r="H72" s="299" t="s">
        <v>194</v>
      </c>
      <c r="I72" s="23" t="s">
        <v>355</v>
      </c>
      <c r="J72" s="278" t="s">
        <v>31</v>
      </c>
      <c r="K72" s="303" t="b" cm="1">
        <f t="array" ref="K72">OR(NOT(ISERROR(MATCH(TRIM(_xlfn.TEXTSPLIT(Table_AlwaysSend[[#This Row],[Feedstock]],",")),SelectedFeedstock,0))),AND(SelectedFeedstock&lt;&gt;"(Multiple Items)",SelectedFeedstock&lt;&gt;"(All)",Table_AlwaysSend[[#This Row],[Feedstock]]="All"))</f>
        <v>1</v>
      </c>
      <c r="L72" s="303" t="b" cm="1">
        <f t="array" ref="L72">OR(NOT(ISERROR(MATCH(TRIM(_xlfn.TEXTSPLIT(Table_AlwaysSend[[#This Row],[Conversion]],",")),SelectedConversion,0))),AND(SelectedConversion&lt;&gt;"(Multiple Items)",SelectedConversion&lt;&gt;"(All)",Table_AlwaysSend[[#This Row],[Conversion]]="All"))</f>
        <v>1</v>
      </c>
      <c r="M72" s="303" t="b" cm="1">
        <f t="array" ref="M72">OR(NOT(ISERROR(MATCH(TRIM(_xlfn.TEXTSPLIT(Table_AlwaysSend[[#This Row],[Data Source]],",")),SelectedDataSource,0))),AND(SelectedDataSource&lt;&gt;"(Multiple Items)",SelectedDataSource&lt;&gt;"(All)",Table_AlwaysSend[[#This Row],[Data Source]]="All"))</f>
        <v>0</v>
      </c>
      <c r="N72" s="308" t="b" cm="1">
        <f t="array" ref="N72">OR(NOT(ISERROR(MATCH(TRIM(_xlfn.TEXTSPLIT(Table_AlwaysSend[[#This Row],[Technology]],",")),SelectedTechnology,0))),AND(SelectedTechnology&lt;&gt;"(Multiple Items)",SelectedTechnology&lt;&gt;"(All)",Table_AlwaysSend[[#This Row],[Technology]]="All"))</f>
        <v>1</v>
      </c>
      <c r="O72" s="303" t="b" cm="1">
        <f t="array" ref="O72">OR(NOT(ISERROR(MATCH(TRIM(_xlfn.TEXTSPLIT(Table_AlwaysSend[[#This Row],[Data Set]],",")),SelectedDataSet,0))),AND(SelectedDataSet&lt;&gt;"(Multiple Items)",SelectedDataSet&lt;&gt;"(All)",Table_AlwaysSend[[#This Row],[Data Set]]="All"))</f>
        <v>0</v>
      </c>
      <c r="P72" s="305" t="b">
        <f>TRUE</f>
        <v>1</v>
      </c>
      <c r="Q72" s="306" t="b">
        <f>AND(Table_AlwaysSend[[#This Row],[Show Feedstock]:[Show Data Source2]],Table_AlwaysSend[[#This Row],[Conditional]]=TRUE)</f>
        <v>0</v>
      </c>
      <c r="R72" s="276" t="s">
        <v>504</v>
      </c>
      <c r="S72" s="288">
        <v>2</v>
      </c>
      <c r="T72" s="23" t="s">
        <v>1140</v>
      </c>
    </row>
    <row r="73" spans="1:20" x14ac:dyDescent="0.3">
      <c r="E73" s="300" t="str">
        <f>IF(Table_AlwaysSend[[#This Row],[GREET1 Name Range]]="", "dash_"&amp;Table_AlwaysSend[[#This Row],[Feedstock]]&amp;"_"&amp;Table_AlwaysSend[[#This Row],[Value to Send]], Table_AlwaysSend[[#This Row],[Feedstock]]&amp;"_"&amp;Table_AlwaysSend[[#This Row],[Value to Send]]&amp;"_"&amp;Table_AlwaysSend[[#This Row],[GREET1 Name Range]])</f>
        <v>Canola/Rapeseed_2_HEFA_Allocation</v>
      </c>
      <c r="F73" s="297" t="s">
        <v>1347</v>
      </c>
      <c r="G73" s="276" t="s">
        <v>30</v>
      </c>
      <c r="H73" s="299" t="s">
        <v>194</v>
      </c>
      <c r="I73" s="23" t="s">
        <v>355</v>
      </c>
      <c r="J73" s="278" t="s">
        <v>31</v>
      </c>
      <c r="K73" s="303" t="b" cm="1">
        <f t="array" ref="K73">OR(NOT(ISERROR(MATCH(TRIM(_xlfn.TEXTSPLIT(Table_AlwaysSend[[#This Row],[Feedstock]],",")),SelectedFeedstock,0))),AND(SelectedFeedstock&lt;&gt;"(Multiple Items)",SelectedFeedstock&lt;&gt;"(All)",Table_AlwaysSend[[#This Row],[Feedstock]]="All"))</f>
        <v>1</v>
      </c>
      <c r="L73" s="303" t="b" cm="1">
        <f t="array" ref="L73">OR(NOT(ISERROR(MATCH(TRIM(_xlfn.TEXTSPLIT(Table_AlwaysSend[[#This Row],[Conversion]],",")),SelectedConversion,0))),AND(SelectedConversion&lt;&gt;"(Multiple Items)",SelectedConversion&lt;&gt;"(All)",Table_AlwaysSend[[#This Row],[Conversion]]="All"))</f>
        <v>1</v>
      </c>
      <c r="M73" s="303" t="b" cm="1">
        <f t="array" ref="M73">OR(NOT(ISERROR(MATCH(TRIM(_xlfn.TEXTSPLIT(Table_AlwaysSend[[#This Row],[Data Source]],",")),SelectedDataSource,0))),AND(SelectedDataSource&lt;&gt;"(Multiple Items)",SelectedDataSource&lt;&gt;"(All)",Table_AlwaysSend[[#This Row],[Data Source]]="All"))</f>
        <v>0</v>
      </c>
      <c r="N73" s="308" t="b" cm="1">
        <f t="array" ref="N73">OR(NOT(ISERROR(MATCH(TRIM(_xlfn.TEXTSPLIT(Table_AlwaysSend[[#This Row],[Technology]],",")),SelectedTechnology,0))),AND(SelectedTechnology&lt;&gt;"(Multiple Items)",SelectedTechnology&lt;&gt;"(All)",Table_AlwaysSend[[#This Row],[Technology]]="All"))</f>
        <v>1</v>
      </c>
      <c r="O73" s="303" t="b" cm="1">
        <f t="array" ref="O73">OR(NOT(ISERROR(MATCH(TRIM(_xlfn.TEXTSPLIT(Table_AlwaysSend[[#This Row],[Data Set]],",")),SelectedDataSet,0))),AND(SelectedDataSet&lt;&gt;"(Multiple Items)",SelectedDataSet&lt;&gt;"(All)",Table_AlwaysSend[[#This Row],[Data Set]]="All"))</f>
        <v>0</v>
      </c>
      <c r="P73" s="305" t="b">
        <f>TRUE</f>
        <v>1</v>
      </c>
      <c r="Q73" s="306" t="b">
        <f>AND(Table_AlwaysSend[[#This Row],[Show Feedstock]:[Show Data Source2]],Table_AlwaysSend[[#This Row],[Conditional]]=TRUE)</f>
        <v>0</v>
      </c>
      <c r="R73" s="276" t="s">
        <v>674</v>
      </c>
      <c r="S73" s="288">
        <v>2</v>
      </c>
      <c r="T73" s="23" t="s">
        <v>1140</v>
      </c>
    </row>
    <row r="74" spans="1:20" x14ac:dyDescent="0.3">
      <c r="E74" s="300" t="str">
        <f>IF(Table_AlwaysSend[[#This Row],[GREET1 Name Range]]="", "dash_"&amp;Table_AlwaysSend[[#This Row],[Feedstock]]&amp;"_"&amp;Table_AlwaysSend[[#This Row],[Value to Send]], Table_AlwaysSend[[#This Row],[Feedstock]]&amp;"_"&amp;Table_AlwaysSend[[#This Row],[Value to Send]]&amp;"_"&amp;Table_AlwaysSend[[#This Row],[GREET1 Name Range]])</f>
        <v>Camelina_2_Camelina_Oil_Extraction_Allocation</v>
      </c>
      <c r="F74" s="297" t="s">
        <v>127</v>
      </c>
      <c r="G74" s="276" t="s">
        <v>30</v>
      </c>
      <c r="H74" s="299" t="s">
        <v>194</v>
      </c>
      <c r="I74" s="23" t="s">
        <v>1349</v>
      </c>
      <c r="J74" s="278" t="s">
        <v>31</v>
      </c>
      <c r="K74" s="303" t="b" cm="1">
        <f t="array" ref="K74">OR(NOT(ISERROR(MATCH(TRIM(_xlfn.TEXTSPLIT(Table_AlwaysSend[[#This Row],[Feedstock]],",")),SelectedFeedstock,0))),AND(SelectedFeedstock&lt;&gt;"(Multiple Items)",SelectedFeedstock&lt;&gt;"(All)",Table_AlwaysSend[[#This Row],[Feedstock]]="All"))</f>
        <v>0</v>
      </c>
      <c r="L74" s="303" t="b" cm="1">
        <f t="array" ref="L74">OR(NOT(ISERROR(MATCH(TRIM(_xlfn.TEXTSPLIT(Table_AlwaysSend[[#This Row],[Conversion]],",")),SelectedConversion,0))),AND(SelectedConversion&lt;&gt;"(Multiple Items)",SelectedConversion&lt;&gt;"(All)",Table_AlwaysSend[[#This Row],[Conversion]]="All"))</f>
        <v>1</v>
      </c>
      <c r="M74" s="303" t="b" cm="1">
        <f t="array" ref="M74">OR(NOT(ISERROR(MATCH(TRIM(_xlfn.TEXTSPLIT(Table_AlwaysSend[[#This Row],[Data Source]],",")),SelectedDataSource,0))),AND(SelectedDataSource&lt;&gt;"(Multiple Items)",SelectedDataSource&lt;&gt;"(All)",Table_AlwaysSend[[#This Row],[Data Source]]="All"))</f>
        <v>0</v>
      </c>
      <c r="N74" s="308" t="b" cm="1">
        <f t="array" ref="N74">OR(NOT(ISERROR(MATCH(TRIM(_xlfn.TEXTSPLIT(Table_AlwaysSend[[#This Row],[Technology]],",")),SelectedTechnology,0))),AND(SelectedTechnology&lt;&gt;"(Multiple Items)",SelectedTechnology&lt;&gt;"(All)",Table_AlwaysSend[[#This Row],[Technology]]="All"))</f>
        <v>1</v>
      </c>
      <c r="O74" s="303" t="b" cm="1">
        <f t="array" ref="O74">OR(NOT(ISERROR(MATCH(TRIM(_xlfn.TEXTSPLIT(Table_AlwaysSend[[#This Row],[Data Set]],",")),SelectedDataSet,0))),AND(SelectedDataSet&lt;&gt;"(Multiple Items)",SelectedDataSet&lt;&gt;"(All)",Table_AlwaysSend[[#This Row],[Data Set]]="All"))</f>
        <v>0</v>
      </c>
      <c r="P74" s="305" t="b">
        <f>TRUE</f>
        <v>1</v>
      </c>
      <c r="Q74" s="306" t="b">
        <f>AND(Table_AlwaysSend[[#This Row],[Show Feedstock]:[Show Data Source2]],Table_AlwaysSend[[#This Row],[Conditional]]=TRUE)</f>
        <v>0</v>
      </c>
      <c r="R74" s="276" t="s">
        <v>477</v>
      </c>
      <c r="S74" s="288">
        <v>2</v>
      </c>
      <c r="T74" s="23" t="s">
        <v>1140</v>
      </c>
    </row>
    <row r="75" spans="1:20" x14ac:dyDescent="0.3">
      <c r="E75" s="300" t="str">
        <f>IF(Table_AlwaysSend[[#This Row],[GREET1 Name Range]]="", "dash_"&amp;Table_AlwaysSend[[#This Row],[Feedstock]]&amp;"_"&amp;Table_AlwaysSend[[#This Row],[Value to Send]], Table_AlwaysSend[[#This Row],[Feedstock]]&amp;"_"&amp;Table_AlwaysSend[[#This Row],[Value to Send]]&amp;"_"&amp;Table_AlwaysSend[[#This Row],[GREET1 Name Range]])</f>
        <v>Camelina_2_HEFA_Allocation</v>
      </c>
      <c r="F75" s="297" t="s">
        <v>127</v>
      </c>
      <c r="G75" s="276" t="s">
        <v>30</v>
      </c>
      <c r="H75" s="299" t="s">
        <v>194</v>
      </c>
      <c r="I75" s="23" t="s">
        <v>1349</v>
      </c>
      <c r="J75" s="278" t="s">
        <v>31</v>
      </c>
      <c r="K75" s="303" t="b" cm="1">
        <f t="array" ref="K75">OR(NOT(ISERROR(MATCH(TRIM(_xlfn.TEXTSPLIT(Table_AlwaysSend[[#This Row],[Feedstock]],",")),SelectedFeedstock,0))),AND(SelectedFeedstock&lt;&gt;"(Multiple Items)",SelectedFeedstock&lt;&gt;"(All)",Table_AlwaysSend[[#This Row],[Feedstock]]="All"))</f>
        <v>0</v>
      </c>
      <c r="L75" s="303" t="b" cm="1">
        <f t="array" ref="L75">OR(NOT(ISERROR(MATCH(TRIM(_xlfn.TEXTSPLIT(Table_AlwaysSend[[#This Row],[Conversion]],",")),SelectedConversion,0))),AND(SelectedConversion&lt;&gt;"(Multiple Items)",SelectedConversion&lt;&gt;"(All)",Table_AlwaysSend[[#This Row],[Conversion]]="All"))</f>
        <v>1</v>
      </c>
      <c r="M75" s="303" t="b" cm="1">
        <f t="array" ref="M75">OR(NOT(ISERROR(MATCH(TRIM(_xlfn.TEXTSPLIT(Table_AlwaysSend[[#This Row],[Data Source]],",")),SelectedDataSource,0))),AND(SelectedDataSource&lt;&gt;"(Multiple Items)",SelectedDataSource&lt;&gt;"(All)",Table_AlwaysSend[[#This Row],[Data Source]]="All"))</f>
        <v>0</v>
      </c>
      <c r="N75" s="308" t="b" cm="1">
        <f t="array" ref="N75">OR(NOT(ISERROR(MATCH(TRIM(_xlfn.TEXTSPLIT(Table_AlwaysSend[[#This Row],[Technology]],",")),SelectedTechnology,0))),AND(SelectedTechnology&lt;&gt;"(Multiple Items)",SelectedTechnology&lt;&gt;"(All)",Table_AlwaysSend[[#This Row],[Technology]]="All"))</f>
        <v>1</v>
      </c>
      <c r="O75" s="303" t="b" cm="1">
        <f t="array" ref="O75">OR(NOT(ISERROR(MATCH(TRIM(_xlfn.TEXTSPLIT(Table_AlwaysSend[[#This Row],[Data Set]],",")),SelectedDataSet,0))),AND(SelectedDataSet&lt;&gt;"(Multiple Items)",SelectedDataSet&lt;&gt;"(All)",Table_AlwaysSend[[#This Row],[Data Set]]="All"))</f>
        <v>0</v>
      </c>
      <c r="P75" s="305" t="b">
        <f>TRUE</f>
        <v>1</v>
      </c>
      <c r="Q75" s="306" t="b">
        <f>AND(Table_AlwaysSend[[#This Row],[Show Feedstock]:[Show Data Source2]],Table_AlwaysSend[[#This Row],[Conditional]]=TRUE)</f>
        <v>0</v>
      </c>
      <c r="R75" s="276" t="s">
        <v>674</v>
      </c>
      <c r="S75" s="288">
        <v>2</v>
      </c>
      <c r="T75" s="23" t="s">
        <v>1140</v>
      </c>
    </row>
    <row r="76" spans="1:20" x14ac:dyDescent="0.3">
      <c r="E76" s="300" t="str">
        <f>IF(Table_AlwaysSend[[#This Row],[GREET1 Name Range]]="", "dash_"&amp;Table_AlwaysSend[[#This Row],[Feedstock]]&amp;"_"&amp;Table_AlwaysSend[[#This Row],[Value to Send]], Table_AlwaysSend[[#This Row],[Feedstock]]&amp;"_"&amp;Table_AlwaysSend[[#This Row],[Value to Send]]&amp;"_"&amp;Table_AlwaysSend[[#This Row],[GREET1 Name Range]])</f>
        <v>Camelina_2_Camelina_Oil_Extraction_Allocation</v>
      </c>
      <c r="F76" s="297" t="s">
        <v>127</v>
      </c>
      <c r="G76" s="276" t="s">
        <v>30</v>
      </c>
      <c r="H76" s="299" t="s">
        <v>194</v>
      </c>
      <c r="I76" s="23" t="s">
        <v>370</v>
      </c>
      <c r="J76" s="278" t="s">
        <v>31</v>
      </c>
      <c r="K76" s="303" t="b" cm="1">
        <f t="array" ref="K76">OR(NOT(ISERROR(MATCH(TRIM(_xlfn.TEXTSPLIT(Table_AlwaysSend[[#This Row],[Feedstock]],",")),SelectedFeedstock,0))),AND(SelectedFeedstock&lt;&gt;"(Multiple Items)",SelectedFeedstock&lt;&gt;"(All)",Table_AlwaysSend[[#This Row],[Feedstock]]="All"))</f>
        <v>0</v>
      </c>
      <c r="L76" s="303" t="b" cm="1">
        <f t="array" ref="L76">OR(NOT(ISERROR(MATCH(TRIM(_xlfn.TEXTSPLIT(Table_AlwaysSend[[#This Row],[Conversion]],",")),SelectedConversion,0))),AND(SelectedConversion&lt;&gt;"(Multiple Items)",SelectedConversion&lt;&gt;"(All)",Table_AlwaysSend[[#This Row],[Conversion]]="All"))</f>
        <v>1</v>
      </c>
      <c r="M76" s="303" t="b" cm="1">
        <f t="array" ref="M76">OR(NOT(ISERROR(MATCH(TRIM(_xlfn.TEXTSPLIT(Table_AlwaysSend[[#This Row],[Data Source]],",")),SelectedDataSource,0))),AND(SelectedDataSource&lt;&gt;"(Multiple Items)",SelectedDataSource&lt;&gt;"(All)",Table_AlwaysSend[[#This Row],[Data Source]]="All"))</f>
        <v>0</v>
      </c>
      <c r="N76" s="308" t="b" cm="1">
        <f t="array" ref="N76">OR(NOT(ISERROR(MATCH(TRIM(_xlfn.TEXTSPLIT(Table_AlwaysSend[[#This Row],[Technology]],",")),SelectedTechnology,0))),AND(SelectedTechnology&lt;&gt;"(Multiple Items)",SelectedTechnology&lt;&gt;"(All)",Table_AlwaysSend[[#This Row],[Technology]]="All"))</f>
        <v>1</v>
      </c>
      <c r="O76" s="303" t="b" cm="1">
        <f t="array" ref="O76">OR(NOT(ISERROR(MATCH(TRIM(_xlfn.TEXTSPLIT(Table_AlwaysSend[[#This Row],[Data Set]],",")),SelectedDataSet,0))),AND(SelectedDataSet&lt;&gt;"(Multiple Items)",SelectedDataSet&lt;&gt;"(All)",Table_AlwaysSend[[#This Row],[Data Set]]="All"))</f>
        <v>0</v>
      </c>
      <c r="P76" s="305" t="b">
        <f>TRUE</f>
        <v>1</v>
      </c>
      <c r="Q76" s="306" t="b">
        <f>AND(Table_AlwaysSend[[#This Row],[Show Feedstock]:[Show Data Source2]],Table_AlwaysSend[[#This Row],[Conditional]]=TRUE)</f>
        <v>0</v>
      </c>
      <c r="R76" s="276" t="s">
        <v>477</v>
      </c>
      <c r="S76" s="288">
        <v>2</v>
      </c>
      <c r="T76" s="23" t="s">
        <v>1140</v>
      </c>
    </row>
    <row r="77" spans="1:20" x14ac:dyDescent="0.3">
      <c r="E77" s="300" t="str">
        <f>IF(Table_AlwaysSend[[#This Row],[GREET1 Name Range]]="", "dash_"&amp;Table_AlwaysSend[[#This Row],[Feedstock]]&amp;"_"&amp;Table_AlwaysSend[[#This Row],[Value to Send]], Table_AlwaysSend[[#This Row],[Feedstock]]&amp;"_"&amp;Table_AlwaysSend[[#This Row],[Value to Send]]&amp;"_"&amp;Table_AlwaysSend[[#This Row],[GREET1 Name Range]])</f>
        <v>Camelina_2_HEFA_Allocation</v>
      </c>
      <c r="F77" s="297" t="s">
        <v>127</v>
      </c>
      <c r="G77" s="276" t="s">
        <v>30</v>
      </c>
      <c r="H77" s="299" t="s">
        <v>194</v>
      </c>
      <c r="I77" s="23" t="s">
        <v>370</v>
      </c>
      <c r="J77" s="278" t="s">
        <v>31</v>
      </c>
      <c r="K77" s="303" t="b" cm="1">
        <f t="array" ref="K77">OR(NOT(ISERROR(MATCH(TRIM(_xlfn.TEXTSPLIT(Table_AlwaysSend[[#This Row],[Feedstock]],",")),SelectedFeedstock,0))),AND(SelectedFeedstock&lt;&gt;"(Multiple Items)",SelectedFeedstock&lt;&gt;"(All)",Table_AlwaysSend[[#This Row],[Feedstock]]="All"))</f>
        <v>0</v>
      </c>
      <c r="L77" s="303" t="b" cm="1">
        <f t="array" ref="L77">OR(NOT(ISERROR(MATCH(TRIM(_xlfn.TEXTSPLIT(Table_AlwaysSend[[#This Row],[Conversion]],",")),SelectedConversion,0))),AND(SelectedConversion&lt;&gt;"(Multiple Items)",SelectedConversion&lt;&gt;"(All)",Table_AlwaysSend[[#This Row],[Conversion]]="All"))</f>
        <v>1</v>
      </c>
      <c r="M77" s="303" t="b" cm="1">
        <f t="array" ref="M77">OR(NOT(ISERROR(MATCH(TRIM(_xlfn.TEXTSPLIT(Table_AlwaysSend[[#This Row],[Data Source]],",")),SelectedDataSource,0))),AND(SelectedDataSource&lt;&gt;"(Multiple Items)",SelectedDataSource&lt;&gt;"(All)",Table_AlwaysSend[[#This Row],[Data Source]]="All"))</f>
        <v>0</v>
      </c>
      <c r="N77" s="308" t="b" cm="1">
        <f t="array" ref="N77">OR(NOT(ISERROR(MATCH(TRIM(_xlfn.TEXTSPLIT(Table_AlwaysSend[[#This Row],[Technology]],",")),SelectedTechnology,0))),AND(SelectedTechnology&lt;&gt;"(Multiple Items)",SelectedTechnology&lt;&gt;"(All)",Table_AlwaysSend[[#This Row],[Technology]]="All"))</f>
        <v>1</v>
      </c>
      <c r="O77" s="303" t="b" cm="1">
        <f t="array" ref="O77">OR(NOT(ISERROR(MATCH(TRIM(_xlfn.TEXTSPLIT(Table_AlwaysSend[[#This Row],[Data Set]],",")),SelectedDataSet,0))),AND(SelectedDataSet&lt;&gt;"(Multiple Items)",SelectedDataSet&lt;&gt;"(All)",Table_AlwaysSend[[#This Row],[Data Set]]="All"))</f>
        <v>0</v>
      </c>
      <c r="P77" s="305" t="b">
        <f>TRUE</f>
        <v>1</v>
      </c>
      <c r="Q77" s="306" t="b">
        <f>AND(Table_AlwaysSend[[#This Row],[Show Feedstock]:[Show Data Source2]],Table_AlwaysSend[[#This Row],[Conditional]]=TRUE)</f>
        <v>0</v>
      </c>
      <c r="R77" s="276" t="s">
        <v>674</v>
      </c>
      <c r="S77" s="288">
        <v>2</v>
      </c>
      <c r="T77" s="23" t="s">
        <v>1140</v>
      </c>
    </row>
    <row r="78" spans="1:20" x14ac:dyDescent="0.3">
      <c r="E78" s="300" t="str">
        <f>IF(Table_AlwaysSend[[#This Row],[GREET1 Name Range]]="", "dash_"&amp;Table_AlwaysSend[[#This Row],[Feedstock]]&amp;"_"&amp;Table_AlwaysSend[[#This Row],[Value to Send]], Table_AlwaysSend[[#This Row],[Feedstock]]&amp;"_"&amp;Table_AlwaysSend[[#This Row],[Value to Send]]&amp;"_"&amp;Table_AlwaysSend[[#This Row],[GREET1 Name Range]])</f>
        <v>Camelina_2_Camelina_Oil_Extraction_Allocation</v>
      </c>
      <c r="F78" s="297" t="s">
        <v>127</v>
      </c>
      <c r="G78" s="276" t="s">
        <v>30</v>
      </c>
      <c r="H78" s="299" t="s">
        <v>194</v>
      </c>
      <c r="I78" s="23" t="s">
        <v>355</v>
      </c>
      <c r="J78" s="278" t="s">
        <v>31</v>
      </c>
      <c r="K78" s="303" t="b" cm="1">
        <f t="array" ref="K78">OR(NOT(ISERROR(MATCH(TRIM(_xlfn.TEXTSPLIT(Table_AlwaysSend[[#This Row],[Feedstock]],",")),SelectedFeedstock,0))),AND(SelectedFeedstock&lt;&gt;"(Multiple Items)",SelectedFeedstock&lt;&gt;"(All)",Table_AlwaysSend[[#This Row],[Feedstock]]="All"))</f>
        <v>0</v>
      </c>
      <c r="L78" s="303" t="b" cm="1">
        <f t="array" ref="L78">OR(NOT(ISERROR(MATCH(TRIM(_xlfn.TEXTSPLIT(Table_AlwaysSend[[#This Row],[Conversion]],",")),SelectedConversion,0))),AND(SelectedConversion&lt;&gt;"(Multiple Items)",SelectedConversion&lt;&gt;"(All)",Table_AlwaysSend[[#This Row],[Conversion]]="All"))</f>
        <v>1</v>
      </c>
      <c r="M78" s="303" t="b" cm="1">
        <f t="array" ref="M78">OR(NOT(ISERROR(MATCH(TRIM(_xlfn.TEXTSPLIT(Table_AlwaysSend[[#This Row],[Data Source]],",")),SelectedDataSource,0))),AND(SelectedDataSource&lt;&gt;"(Multiple Items)",SelectedDataSource&lt;&gt;"(All)",Table_AlwaysSend[[#This Row],[Data Source]]="All"))</f>
        <v>0</v>
      </c>
      <c r="N78" s="308" t="b" cm="1">
        <f t="array" ref="N78">OR(NOT(ISERROR(MATCH(TRIM(_xlfn.TEXTSPLIT(Table_AlwaysSend[[#This Row],[Technology]],",")),SelectedTechnology,0))),AND(SelectedTechnology&lt;&gt;"(Multiple Items)",SelectedTechnology&lt;&gt;"(All)",Table_AlwaysSend[[#This Row],[Technology]]="All"))</f>
        <v>1</v>
      </c>
      <c r="O78" s="303" t="b" cm="1">
        <f t="array" ref="O78">OR(NOT(ISERROR(MATCH(TRIM(_xlfn.TEXTSPLIT(Table_AlwaysSend[[#This Row],[Data Set]],",")),SelectedDataSet,0))),AND(SelectedDataSet&lt;&gt;"(Multiple Items)",SelectedDataSet&lt;&gt;"(All)",Table_AlwaysSend[[#This Row],[Data Set]]="All"))</f>
        <v>0</v>
      </c>
      <c r="P78" s="305" t="b">
        <f>TRUE</f>
        <v>1</v>
      </c>
      <c r="Q78" s="306" t="b">
        <f>AND(Table_AlwaysSend[[#This Row],[Show Feedstock]:[Show Data Source2]],Table_AlwaysSend[[#This Row],[Conditional]]=TRUE)</f>
        <v>0</v>
      </c>
      <c r="R78" s="276" t="s">
        <v>477</v>
      </c>
      <c r="S78" s="288">
        <v>2</v>
      </c>
      <c r="T78" s="23" t="s">
        <v>1140</v>
      </c>
    </row>
    <row r="79" spans="1:20" x14ac:dyDescent="0.3">
      <c r="E79" s="300" t="str">
        <f>IF(Table_AlwaysSend[[#This Row],[GREET1 Name Range]]="", "dash_"&amp;Table_AlwaysSend[[#This Row],[Feedstock]]&amp;"_"&amp;Table_AlwaysSend[[#This Row],[Value to Send]], Table_AlwaysSend[[#This Row],[Feedstock]]&amp;"_"&amp;Table_AlwaysSend[[#This Row],[Value to Send]]&amp;"_"&amp;Table_AlwaysSend[[#This Row],[GREET1 Name Range]])</f>
        <v>Camelina_2_HEFA_Allocation</v>
      </c>
      <c r="F79" s="297" t="s">
        <v>127</v>
      </c>
      <c r="G79" s="276" t="s">
        <v>30</v>
      </c>
      <c r="H79" s="299" t="s">
        <v>194</v>
      </c>
      <c r="I79" s="23" t="s">
        <v>355</v>
      </c>
      <c r="J79" s="278" t="s">
        <v>31</v>
      </c>
      <c r="K79" s="303" t="b" cm="1">
        <f t="array" ref="K79">OR(NOT(ISERROR(MATCH(TRIM(_xlfn.TEXTSPLIT(Table_AlwaysSend[[#This Row],[Feedstock]],",")),SelectedFeedstock,0))),AND(SelectedFeedstock&lt;&gt;"(Multiple Items)",SelectedFeedstock&lt;&gt;"(All)",Table_AlwaysSend[[#This Row],[Feedstock]]="All"))</f>
        <v>0</v>
      </c>
      <c r="L79" s="303" t="b" cm="1">
        <f t="array" ref="L79">OR(NOT(ISERROR(MATCH(TRIM(_xlfn.TEXTSPLIT(Table_AlwaysSend[[#This Row],[Conversion]],",")),SelectedConversion,0))),AND(SelectedConversion&lt;&gt;"(Multiple Items)",SelectedConversion&lt;&gt;"(All)",Table_AlwaysSend[[#This Row],[Conversion]]="All"))</f>
        <v>1</v>
      </c>
      <c r="M79" s="303" t="b" cm="1">
        <f t="array" ref="M79">OR(NOT(ISERROR(MATCH(TRIM(_xlfn.TEXTSPLIT(Table_AlwaysSend[[#This Row],[Data Source]],",")),SelectedDataSource,0))),AND(SelectedDataSource&lt;&gt;"(Multiple Items)",SelectedDataSource&lt;&gt;"(All)",Table_AlwaysSend[[#This Row],[Data Source]]="All"))</f>
        <v>0</v>
      </c>
      <c r="N79" s="308" t="b" cm="1">
        <f t="array" ref="N79">OR(NOT(ISERROR(MATCH(TRIM(_xlfn.TEXTSPLIT(Table_AlwaysSend[[#This Row],[Technology]],",")),SelectedTechnology,0))),AND(SelectedTechnology&lt;&gt;"(Multiple Items)",SelectedTechnology&lt;&gt;"(All)",Table_AlwaysSend[[#This Row],[Technology]]="All"))</f>
        <v>1</v>
      </c>
      <c r="O79" s="303" t="b" cm="1">
        <f t="array" ref="O79">OR(NOT(ISERROR(MATCH(TRIM(_xlfn.TEXTSPLIT(Table_AlwaysSend[[#This Row],[Data Set]],",")),SelectedDataSet,0))),AND(SelectedDataSet&lt;&gt;"(Multiple Items)",SelectedDataSet&lt;&gt;"(All)",Table_AlwaysSend[[#This Row],[Data Set]]="All"))</f>
        <v>0</v>
      </c>
      <c r="P79" s="305" t="b">
        <f>TRUE</f>
        <v>1</v>
      </c>
      <c r="Q79" s="306" t="b">
        <f>AND(Table_AlwaysSend[[#This Row],[Show Feedstock]:[Show Data Source2]],Table_AlwaysSend[[#This Row],[Conditional]]=TRUE)</f>
        <v>0</v>
      </c>
      <c r="R79" s="276" t="s">
        <v>674</v>
      </c>
      <c r="S79" s="288">
        <v>2</v>
      </c>
      <c r="T79" s="23" t="s">
        <v>1140</v>
      </c>
    </row>
    <row r="80" spans="1:20" x14ac:dyDescent="0.3">
      <c r="E80" s="300" t="str">
        <f>IF(Table_AlwaysSend[[#This Row],[GREET1 Name Range]]="", "dash_"&amp;Table_AlwaysSend[[#This Row],[Feedstock]]&amp;"_"&amp;Table_AlwaysSend[[#This Row],[Value to Send]], Table_AlwaysSend[[#This Row],[Feedstock]]&amp;"_"&amp;Table_AlwaysSend[[#This Row],[Value to Send]]&amp;"_"&amp;Table_AlwaysSend[[#This Row],[GREET1 Name Range]])</f>
        <v>Palm_2_Palm_Oil_Extraction_Allocation</v>
      </c>
      <c r="F80" s="297" t="s">
        <v>122</v>
      </c>
      <c r="G80" s="276" t="s">
        <v>30</v>
      </c>
      <c r="H80" s="299" t="s">
        <v>194</v>
      </c>
      <c r="I80" s="23" t="s">
        <v>371</v>
      </c>
      <c r="J80" s="278" t="s">
        <v>31</v>
      </c>
      <c r="K80" s="303" t="b" cm="1">
        <f t="array" ref="K80">OR(NOT(ISERROR(MATCH(TRIM(_xlfn.TEXTSPLIT(Table_AlwaysSend[[#This Row],[Feedstock]],",")),SelectedFeedstock,0))),AND(SelectedFeedstock&lt;&gt;"(Multiple Items)",SelectedFeedstock&lt;&gt;"(All)",Table_AlwaysSend[[#This Row],[Feedstock]]="All"))</f>
        <v>0</v>
      </c>
      <c r="L80" s="303" t="b" cm="1">
        <f t="array" ref="L80">OR(NOT(ISERROR(MATCH(TRIM(_xlfn.TEXTSPLIT(Table_AlwaysSend[[#This Row],[Conversion]],",")),SelectedConversion,0))),AND(SelectedConversion&lt;&gt;"(Multiple Items)",SelectedConversion&lt;&gt;"(All)",Table_AlwaysSend[[#This Row],[Conversion]]="All"))</f>
        <v>1</v>
      </c>
      <c r="M80" s="303" t="b" cm="1">
        <f t="array" ref="M80">OR(NOT(ISERROR(MATCH(TRIM(_xlfn.TEXTSPLIT(Table_AlwaysSend[[#This Row],[Data Source]],",")),SelectedDataSource,0))),AND(SelectedDataSource&lt;&gt;"(Multiple Items)",SelectedDataSource&lt;&gt;"(All)",Table_AlwaysSend[[#This Row],[Data Source]]="All"))</f>
        <v>0</v>
      </c>
      <c r="N80" s="308" t="b" cm="1">
        <f t="array" ref="N80">OR(NOT(ISERROR(MATCH(TRIM(_xlfn.TEXTSPLIT(Table_AlwaysSend[[#This Row],[Technology]],",")),SelectedTechnology,0))),AND(SelectedTechnology&lt;&gt;"(Multiple Items)",SelectedTechnology&lt;&gt;"(All)",Table_AlwaysSend[[#This Row],[Technology]]="All"))</f>
        <v>1</v>
      </c>
      <c r="O80" s="303" t="b" cm="1">
        <f t="array" ref="O80">OR(NOT(ISERROR(MATCH(TRIM(_xlfn.TEXTSPLIT(Table_AlwaysSend[[#This Row],[Data Set]],",")),SelectedDataSet,0))),AND(SelectedDataSet&lt;&gt;"(Multiple Items)",SelectedDataSet&lt;&gt;"(All)",Table_AlwaysSend[[#This Row],[Data Set]]="All"))</f>
        <v>0</v>
      </c>
      <c r="P80" s="305" t="b">
        <f>TRUE</f>
        <v>1</v>
      </c>
      <c r="Q80" s="306" t="b">
        <f>AND(Table_AlwaysSend[[#This Row],[Show Feedstock]:[Show Data Source2]],Table_AlwaysSend[[#This Row],[Conditional]]=TRUE)</f>
        <v>0</v>
      </c>
      <c r="R80" s="276" t="s">
        <v>765</v>
      </c>
      <c r="S80" s="288">
        <v>2</v>
      </c>
      <c r="T80" s="23" t="s">
        <v>1140</v>
      </c>
    </row>
    <row r="81" spans="5:20" x14ac:dyDescent="0.3">
      <c r="E81" s="300" t="str">
        <f>IF(Table_AlwaysSend[[#This Row],[GREET1 Name Range]]="", "dash_"&amp;Table_AlwaysSend[[#This Row],[Feedstock]]&amp;"_"&amp;Table_AlwaysSend[[#This Row],[Value to Send]], Table_AlwaysSend[[#This Row],[Feedstock]]&amp;"_"&amp;Table_AlwaysSend[[#This Row],[Value to Send]]&amp;"_"&amp;Table_AlwaysSend[[#This Row],[GREET1 Name Range]])</f>
        <v>Palm_2_HEFA_Allocation</v>
      </c>
      <c r="F81" s="297" t="s">
        <v>122</v>
      </c>
      <c r="G81" s="276" t="s">
        <v>30</v>
      </c>
      <c r="H81" s="299" t="s">
        <v>194</v>
      </c>
      <c r="I81" s="23" t="s">
        <v>371</v>
      </c>
      <c r="J81" s="278" t="s">
        <v>31</v>
      </c>
      <c r="K81" s="303" t="b" cm="1">
        <f t="array" ref="K81">OR(NOT(ISERROR(MATCH(TRIM(_xlfn.TEXTSPLIT(Table_AlwaysSend[[#This Row],[Feedstock]],",")),SelectedFeedstock,0))),AND(SelectedFeedstock&lt;&gt;"(Multiple Items)",SelectedFeedstock&lt;&gt;"(All)",Table_AlwaysSend[[#This Row],[Feedstock]]="All"))</f>
        <v>0</v>
      </c>
      <c r="L81" s="303" t="b" cm="1">
        <f t="array" ref="L81">OR(NOT(ISERROR(MATCH(TRIM(_xlfn.TEXTSPLIT(Table_AlwaysSend[[#This Row],[Conversion]],",")),SelectedConversion,0))),AND(SelectedConversion&lt;&gt;"(Multiple Items)",SelectedConversion&lt;&gt;"(All)",Table_AlwaysSend[[#This Row],[Conversion]]="All"))</f>
        <v>1</v>
      </c>
      <c r="M81" s="303" t="b" cm="1">
        <f t="array" ref="M81">OR(NOT(ISERROR(MATCH(TRIM(_xlfn.TEXTSPLIT(Table_AlwaysSend[[#This Row],[Data Source]],",")),SelectedDataSource,0))),AND(SelectedDataSource&lt;&gt;"(Multiple Items)",SelectedDataSource&lt;&gt;"(All)",Table_AlwaysSend[[#This Row],[Data Source]]="All"))</f>
        <v>0</v>
      </c>
      <c r="N81" s="308" t="b" cm="1">
        <f t="array" ref="N81">OR(NOT(ISERROR(MATCH(TRIM(_xlfn.TEXTSPLIT(Table_AlwaysSend[[#This Row],[Technology]],",")),SelectedTechnology,0))),AND(SelectedTechnology&lt;&gt;"(Multiple Items)",SelectedTechnology&lt;&gt;"(All)",Table_AlwaysSend[[#This Row],[Technology]]="All"))</f>
        <v>1</v>
      </c>
      <c r="O81" s="303" t="b" cm="1">
        <f t="array" ref="O81">OR(NOT(ISERROR(MATCH(TRIM(_xlfn.TEXTSPLIT(Table_AlwaysSend[[#This Row],[Data Set]],",")),SelectedDataSet,0))),AND(SelectedDataSet&lt;&gt;"(Multiple Items)",SelectedDataSet&lt;&gt;"(All)",Table_AlwaysSend[[#This Row],[Data Set]]="All"))</f>
        <v>0</v>
      </c>
      <c r="P81" s="305" t="b">
        <f>TRUE</f>
        <v>1</v>
      </c>
      <c r="Q81" s="306" t="b">
        <f>AND(Table_AlwaysSend[[#This Row],[Show Feedstock]:[Show Data Source2]],Table_AlwaysSend[[#This Row],[Conditional]]=TRUE)</f>
        <v>0</v>
      </c>
      <c r="R81" s="276" t="s">
        <v>674</v>
      </c>
      <c r="S81" s="288">
        <v>2</v>
      </c>
      <c r="T81" s="23" t="s">
        <v>1140</v>
      </c>
    </row>
    <row r="82" spans="5:20" x14ac:dyDescent="0.3">
      <c r="E82" s="300" t="str">
        <f>IF(Table_AlwaysSend[[#This Row],[GREET1 Name Range]]="", "dash_"&amp;Table_AlwaysSend[[#This Row],[Feedstock]]&amp;"_"&amp;Table_AlwaysSend[[#This Row],[Value to Send]], Table_AlwaysSend[[#This Row],[Feedstock]]&amp;"_"&amp;Table_AlwaysSend[[#This Row],[Value to Send]]&amp;"_"&amp;Table_AlwaysSend[[#This Row],[GREET1 Name Range]])</f>
        <v>Palm_2_Palm_Oil_Extraction_Allocation</v>
      </c>
      <c r="F82" s="297" t="s">
        <v>122</v>
      </c>
      <c r="G82" s="276" t="s">
        <v>30</v>
      </c>
      <c r="H82" s="299" t="s">
        <v>194</v>
      </c>
      <c r="I82" s="23" t="s">
        <v>372</v>
      </c>
      <c r="J82" s="278" t="s">
        <v>31</v>
      </c>
      <c r="K82" s="303" t="b" cm="1">
        <f t="array" ref="K82">OR(NOT(ISERROR(MATCH(TRIM(_xlfn.TEXTSPLIT(Table_AlwaysSend[[#This Row],[Feedstock]],",")),SelectedFeedstock,0))),AND(SelectedFeedstock&lt;&gt;"(Multiple Items)",SelectedFeedstock&lt;&gt;"(All)",Table_AlwaysSend[[#This Row],[Feedstock]]="All"))</f>
        <v>0</v>
      </c>
      <c r="L82" s="303" t="b" cm="1">
        <f t="array" ref="L82">OR(NOT(ISERROR(MATCH(TRIM(_xlfn.TEXTSPLIT(Table_AlwaysSend[[#This Row],[Conversion]],",")),SelectedConversion,0))),AND(SelectedConversion&lt;&gt;"(Multiple Items)",SelectedConversion&lt;&gt;"(All)",Table_AlwaysSend[[#This Row],[Conversion]]="All"))</f>
        <v>1</v>
      </c>
      <c r="M82" s="303" t="b" cm="1">
        <f t="array" ref="M82">OR(NOT(ISERROR(MATCH(TRIM(_xlfn.TEXTSPLIT(Table_AlwaysSend[[#This Row],[Data Source]],",")),SelectedDataSource,0))),AND(SelectedDataSource&lt;&gt;"(Multiple Items)",SelectedDataSource&lt;&gt;"(All)",Table_AlwaysSend[[#This Row],[Data Source]]="All"))</f>
        <v>0</v>
      </c>
      <c r="N82" s="308" t="b" cm="1">
        <f t="array" ref="N82">OR(NOT(ISERROR(MATCH(TRIM(_xlfn.TEXTSPLIT(Table_AlwaysSend[[#This Row],[Technology]],",")),SelectedTechnology,0))),AND(SelectedTechnology&lt;&gt;"(Multiple Items)",SelectedTechnology&lt;&gt;"(All)",Table_AlwaysSend[[#This Row],[Technology]]="All"))</f>
        <v>1</v>
      </c>
      <c r="O82" s="303" t="b" cm="1">
        <f t="array" ref="O82">OR(NOT(ISERROR(MATCH(TRIM(_xlfn.TEXTSPLIT(Table_AlwaysSend[[#This Row],[Data Set]],",")),SelectedDataSet,0))),AND(SelectedDataSet&lt;&gt;"(Multiple Items)",SelectedDataSet&lt;&gt;"(All)",Table_AlwaysSend[[#This Row],[Data Set]]="All"))</f>
        <v>0</v>
      </c>
      <c r="P82" s="305" t="b">
        <f>TRUE</f>
        <v>1</v>
      </c>
      <c r="Q82" s="306" t="b">
        <f>AND(Table_AlwaysSend[[#This Row],[Show Feedstock]:[Show Data Source2]],Table_AlwaysSend[[#This Row],[Conditional]]=TRUE)</f>
        <v>0</v>
      </c>
      <c r="R82" s="276" t="s">
        <v>765</v>
      </c>
      <c r="S82" s="288">
        <v>2</v>
      </c>
      <c r="T82" s="23" t="s">
        <v>1140</v>
      </c>
    </row>
    <row r="83" spans="5:20" x14ac:dyDescent="0.3">
      <c r="E83" s="300" t="str">
        <f>IF(Table_AlwaysSend[[#This Row],[GREET1 Name Range]]="", "dash_"&amp;Table_AlwaysSend[[#This Row],[Feedstock]]&amp;"_"&amp;Table_AlwaysSend[[#This Row],[Value to Send]], Table_AlwaysSend[[#This Row],[Feedstock]]&amp;"_"&amp;Table_AlwaysSend[[#This Row],[Value to Send]]&amp;"_"&amp;Table_AlwaysSend[[#This Row],[GREET1 Name Range]])</f>
        <v>Palm_2_HEFA_Allocation</v>
      </c>
      <c r="F83" s="297" t="s">
        <v>122</v>
      </c>
      <c r="G83" s="276" t="s">
        <v>30</v>
      </c>
      <c r="H83" s="299" t="s">
        <v>194</v>
      </c>
      <c r="I83" s="23" t="s">
        <v>372</v>
      </c>
      <c r="J83" s="278" t="s">
        <v>31</v>
      </c>
      <c r="K83" s="303" t="b" cm="1">
        <f t="array" ref="K83">OR(NOT(ISERROR(MATCH(TRIM(_xlfn.TEXTSPLIT(Table_AlwaysSend[[#This Row],[Feedstock]],",")),SelectedFeedstock,0))),AND(SelectedFeedstock&lt;&gt;"(Multiple Items)",SelectedFeedstock&lt;&gt;"(All)",Table_AlwaysSend[[#This Row],[Feedstock]]="All"))</f>
        <v>0</v>
      </c>
      <c r="L83" s="303" t="b" cm="1">
        <f t="array" ref="L83">OR(NOT(ISERROR(MATCH(TRIM(_xlfn.TEXTSPLIT(Table_AlwaysSend[[#This Row],[Conversion]],",")),SelectedConversion,0))),AND(SelectedConversion&lt;&gt;"(Multiple Items)",SelectedConversion&lt;&gt;"(All)",Table_AlwaysSend[[#This Row],[Conversion]]="All"))</f>
        <v>1</v>
      </c>
      <c r="M83" s="303" t="b" cm="1">
        <f t="array" ref="M83">OR(NOT(ISERROR(MATCH(TRIM(_xlfn.TEXTSPLIT(Table_AlwaysSend[[#This Row],[Data Source]],",")),SelectedDataSource,0))),AND(SelectedDataSource&lt;&gt;"(Multiple Items)",SelectedDataSource&lt;&gt;"(All)",Table_AlwaysSend[[#This Row],[Data Source]]="All"))</f>
        <v>0</v>
      </c>
      <c r="N83" s="308" t="b" cm="1">
        <f t="array" ref="N83">OR(NOT(ISERROR(MATCH(TRIM(_xlfn.TEXTSPLIT(Table_AlwaysSend[[#This Row],[Technology]],",")),SelectedTechnology,0))),AND(SelectedTechnology&lt;&gt;"(Multiple Items)",SelectedTechnology&lt;&gt;"(All)",Table_AlwaysSend[[#This Row],[Technology]]="All"))</f>
        <v>1</v>
      </c>
      <c r="O83" s="303" t="b" cm="1">
        <f t="array" ref="O83">OR(NOT(ISERROR(MATCH(TRIM(_xlfn.TEXTSPLIT(Table_AlwaysSend[[#This Row],[Data Set]],",")),SelectedDataSet,0))),AND(SelectedDataSet&lt;&gt;"(Multiple Items)",SelectedDataSet&lt;&gt;"(All)",Table_AlwaysSend[[#This Row],[Data Set]]="All"))</f>
        <v>0</v>
      </c>
      <c r="P83" s="305" t="b">
        <f>TRUE</f>
        <v>1</v>
      </c>
      <c r="Q83" s="306" t="b">
        <f>AND(Table_AlwaysSend[[#This Row],[Show Feedstock]:[Show Data Source2]],Table_AlwaysSend[[#This Row],[Conditional]]=TRUE)</f>
        <v>0</v>
      </c>
      <c r="R83" s="276" t="s">
        <v>674</v>
      </c>
      <c r="S83" s="288">
        <v>2</v>
      </c>
      <c r="T83" s="23" t="s">
        <v>1140</v>
      </c>
    </row>
    <row r="84" spans="5:20" x14ac:dyDescent="0.3">
      <c r="E84" s="300" t="str">
        <f>IF(Table_AlwaysSend[[#This Row],[GREET1 Name Range]]="", "dash_"&amp;Table_AlwaysSend[[#This Row],[Feedstock]]&amp;"_"&amp;Table_AlwaysSend[[#This Row],[Value to Send]], Table_AlwaysSend[[#This Row],[Feedstock]]&amp;"_"&amp;Table_AlwaysSend[[#This Row],[Value to Send]]&amp;"_"&amp;Table_AlwaysSend[[#This Row],[GREET1 Name Range]])</f>
        <v>Carinata_2_Carinata_Oil_Extraction_Allocation</v>
      </c>
      <c r="F84" s="297" t="s">
        <v>128</v>
      </c>
      <c r="G84" s="276" t="s">
        <v>30</v>
      </c>
      <c r="H84" s="299" t="s">
        <v>194</v>
      </c>
      <c r="I84" s="23" t="s">
        <v>1360</v>
      </c>
      <c r="J84" s="278" t="s">
        <v>31</v>
      </c>
      <c r="K84" s="303" t="b" cm="1">
        <f t="array" ref="K84">OR(NOT(ISERROR(MATCH(TRIM(_xlfn.TEXTSPLIT(Table_AlwaysSend[[#This Row],[Feedstock]],",")),SelectedFeedstock,0))),AND(SelectedFeedstock&lt;&gt;"(Multiple Items)",SelectedFeedstock&lt;&gt;"(All)",Table_AlwaysSend[[#This Row],[Feedstock]]="All"))</f>
        <v>0</v>
      </c>
      <c r="L84" s="303" t="b" cm="1">
        <f t="array" ref="L84">OR(NOT(ISERROR(MATCH(TRIM(_xlfn.TEXTSPLIT(Table_AlwaysSend[[#This Row],[Conversion]],",")),SelectedConversion,0))),AND(SelectedConversion&lt;&gt;"(Multiple Items)",SelectedConversion&lt;&gt;"(All)",Table_AlwaysSend[[#This Row],[Conversion]]="All"))</f>
        <v>1</v>
      </c>
      <c r="M84" s="303" t="b" cm="1">
        <f t="array" ref="M84">OR(NOT(ISERROR(MATCH(TRIM(_xlfn.TEXTSPLIT(Table_AlwaysSend[[#This Row],[Data Source]],",")),SelectedDataSource,0))),AND(SelectedDataSource&lt;&gt;"(Multiple Items)",SelectedDataSource&lt;&gt;"(All)",Table_AlwaysSend[[#This Row],[Data Source]]="All"))</f>
        <v>0</v>
      </c>
      <c r="N84" s="308" t="b" cm="1">
        <f t="array" ref="N84">OR(NOT(ISERROR(MATCH(TRIM(_xlfn.TEXTSPLIT(Table_AlwaysSend[[#This Row],[Technology]],",")),SelectedTechnology,0))),AND(SelectedTechnology&lt;&gt;"(Multiple Items)",SelectedTechnology&lt;&gt;"(All)",Table_AlwaysSend[[#This Row],[Technology]]="All"))</f>
        <v>1</v>
      </c>
      <c r="O84" s="303" t="b" cm="1">
        <f t="array" ref="O84">OR(NOT(ISERROR(MATCH(TRIM(_xlfn.TEXTSPLIT(Table_AlwaysSend[[#This Row],[Data Set]],",")),SelectedDataSet,0))),AND(SelectedDataSet&lt;&gt;"(Multiple Items)",SelectedDataSet&lt;&gt;"(All)",Table_AlwaysSend[[#This Row],[Data Set]]="All"))</f>
        <v>0</v>
      </c>
      <c r="P84" s="305" t="b">
        <f>TRUE</f>
        <v>1</v>
      </c>
      <c r="Q84" s="306" t="b">
        <f>AND(Table_AlwaysSend[[#This Row],[Show Feedstock]:[Show Data Source2]],Table_AlwaysSend[[#This Row],[Conditional]]=TRUE)</f>
        <v>0</v>
      </c>
      <c r="R84" s="276" t="s">
        <v>531</v>
      </c>
      <c r="S84" s="288">
        <v>2</v>
      </c>
      <c r="T84" s="23" t="s">
        <v>1140</v>
      </c>
    </row>
    <row r="85" spans="5:20" x14ac:dyDescent="0.3">
      <c r="E85" s="300" t="str">
        <f>IF(Table_AlwaysSend[[#This Row],[GREET1 Name Range]]="", "dash_"&amp;Table_AlwaysSend[[#This Row],[Feedstock]]&amp;"_"&amp;Table_AlwaysSend[[#This Row],[Value to Send]], Table_AlwaysSend[[#This Row],[Feedstock]]&amp;"_"&amp;Table_AlwaysSend[[#This Row],[Value to Send]]&amp;"_"&amp;Table_AlwaysSend[[#This Row],[GREET1 Name Range]])</f>
        <v>Carinata_2_HEFA_Allocation</v>
      </c>
      <c r="F85" s="297" t="s">
        <v>128</v>
      </c>
      <c r="G85" s="276" t="s">
        <v>30</v>
      </c>
      <c r="H85" s="299" t="s">
        <v>194</v>
      </c>
      <c r="I85" s="23" t="s">
        <v>1360</v>
      </c>
      <c r="J85" s="278" t="s">
        <v>31</v>
      </c>
      <c r="K85" s="303" t="b" cm="1">
        <f t="array" ref="K85">OR(NOT(ISERROR(MATCH(TRIM(_xlfn.TEXTSPLIT(Table_AlwaysSend[[#This Row],[Feedstock]],",")),SelectedFeedstock,0))),AND(SelectedFeedstock&lt;&gt;"(Multiple Items)",SelectedFeedstock&lt;&gt;"(All)",Table_AlwaysSend[[#This Row],[Feedstock]]="All"))</f>
        <v>0</v>
      </c>
      <c r="L85" s="303" t="b" cm="1">
        <f t="array" ref="L85">OR(NOT(ISERROR(MATCH(TRIM(_xlfn.TEXTSPLIT(Table_AlwaysSend[[#This Row],[Conversion]],",")),SelectedConversion,0))),AND(SelectedConversion&lt;&gt;"(Multiple Items)",SelectedConversion&lt;&gt;"(All)",Table_AlwaysSend[[#This Row],[Conversion]]="All"))</f>
        <v>1</v>
      </c>
      <c r="M85" s="303" t="b" cm="1">
        <f t="array" ref="M85">OR(NOT(ISERROR(MATCH(TRIM(_xlfn.TEXTSPLIT(Table_AlwaysSend[[#This Row],[Data Source]],",")),SelectedDataSource,0))),AND(SelectedDataSource&lt;&gt;"(Multiple Items)",SelectedDataSource&lt;&gt;"(All)",Table_AlwaysSend[[#This Row],[Data Source]]="All"))</f>
        <v>0</v>
      </c>
      <c r="N85" s="308" t="b" cm="1">
        <f t="array" ref="N85">OR(NOT(ISERROR(MATCH(TRIM(_xlfn.TEXTSPLIT(Table_AlwaysSend[[#This Row],[Technology]],",")),SelectedTechnology,0))),AND(SelectedTechnology&lt;&gt;"(Multiple Items)",SelectedTechnology&lt;&gt;"(All)",Table_AlwaysSend[[#This Row],[Technology]]="All"))</f>
        <v>1</v>
      </c>
      <c r="O85" s="303" t="b" cm="1">
        <f t="array" ref="O85">OR(NOT(ISERROR(MATCH(TRIM(_xlfn.TEXTSPLIT(Table_AlwaysSend[[#This Row],[Data Set]],",")),SelectedDataSet,0))),AND(SelectedDataSet&lt;&gt;"(Multiple Items)",SelectedDataSet&lt;&gt;"(All)",Table_AlwaysSend[[#This Row],[Data Set]]="All"))</f>
        <v>0</v>
      </c>
      <c r="P85" s="305" t="b">
        <f>TRUE</f>
        <v>1</v>
      </c>
      <c r="Q85" s="306" t="b">
        <f>AND(Table_AlwaysSend[[#This Row],[Show Feedstock]:[Show Data Source2]],Table_AlwaysSend[[#This Row],[Conditional]]=TRUE)</f>
        <v>0</v>
      </c>
      <c r="R85" s="276" t="s">
        <v>674</v>
      </c>
      <c r="S85" s="288">
        <v>2</v>
      </c>
      <c r="T85" s="23" t="s">
        <v>1140</v>
      </c>
    </row>
    <row r="86" spans="5:20" x14ac:dyDescent="0.3">
      <c r="E86" s="300" t="str">
        <f>IF(Table_AlwaysSend[[#This Row],[GREET1 Name Range]]="", "dash_"&amp;Table_AlwaysSend[[#This Row],[Feedstock]]&amp;"_"&amp;Table_AlwaysSend[[#This Row],[Value to Send]], Table_AlwaysSend[[#This Row],[Feedstock]]&amp;"_"&amp;Table_AlwaysSend[[#This Row],[Value to Send]]&amp;"_"&amp;Table_AlwaysSend[[#This Row],[GREET1 Name Range]])</f>
        <v>Corn oil_2_HEFA_Allocation</v>
      </c>
      <c r="F86" s="297" t="s">
        <v>374</v>
      </c>
      <c r="G86" s="276" t="s">
        <v>30</v>
      </c>
      <c r="H86" s="299" t="s">
        <v>194</v>
      </c>
      <c r="I86" s="23" t="s">
        <v>367</v>
      </c>
      <c r="J86" s="278" t="s">
        <v>31</v>
      </c>
      <c r="K86" s="303" t="b" cm="1">
        <f t="array" ref="K86">OR(NOT(ISERROR(MATCH(TRIM(_xlfn.TEXTSPLIT(Table_AlwaysSend[[#This Row],[Feedstock]],",")),SelectedFeedstock,0))),AND(SelectedFeedstock&lt;&gt;"(Multiple Items)",SelectedFeedstock&lt;&gt;"(All)",Table_AlwaysSend[[#This Row],[Feedstock]]="All"))</f>
        <v>0</v>
      </c>
      <c r="L86" s="303" t="b" cm="1">
        <f t="array" ref="L86">OR(NOT(ISERROR(MATCH(TRIM(_xlfn.TEXTSPLIT(Table_AlwaysSend[[#This Row],[Conversion]],",")),SelectedConversion,0))),AND(SelectedConversion&lt;&gt;"(Multiple Items)",SelectedConversion&lt;&gt;"(All)",Table_AlwaysSend[[#This Row],[Conversion]]="All"))</f>
        <v>1</v>
      </c>
      <c r="M86" s="303" t="b" cm="1">
        <f t="array" ref="M86">OR(NOT(ISERROR(MATCH(TRIM(_xlfn.TEXTSPLIT(Table_AlwaysSend[[#This Row],[Data Source]],",")),SelectedDataSource,0))),AND(SelectedDataSource&lt;&gt;"(Multiple Items)",SelectedDataSource&lt;&gt;"(All)",Table_AlwaysSend[[#This Row],[Data Source]]="All"))</f>
        <v>0</v>
      </c>
      <c r="N86" s="308" t="b" cm="1">
        <f t="array" ref="N86">OR(NOT(ISERROR(MATCH(TRIM(_xlfn.TEXTSPLIT(Table_AlwaysSend[[#This Row],[Technology]],",")),SelectedTechnology,0))),AND(SelectedTechnology&lt;&gt;"(Multiple Items)",SelectedTechnology&lt;&gt;"(All)",Table_AlwaysSend[[#This Row],[Technology]]="All"))</f>
        <v>1</v>
      </c>
      <c r="O86" s="303" t="b" cm="1">
        <f t="array" ref="O86">OR(NOT(ISERROR(MATCH(TRIM(_xlfn.TEXTSPLIT(Table_AlwaysSend[[#This Row],[Data Set]],",")),SelectedDataSet,0))),AND(SelectedDataSet&lt;&gt;"(Multiple Items)",SelectedDataSet&lt;&gt;"(All)",Table_AlwaysSend[[#This Row],[Data Set]]="All"))</f>
        <v>0</v>
      </c>
      <c r="P86" s="305" t="b">
        <f>TRUE</f>
        <v>1</v>
      </c>
      <c r="Q86" s="306" t="b">
        <f>AND(Table_AlwaysSend[[#This Row],[Show Feedstock]:[Show Data Source2]],Table_AlwaysSend[[#This Row],[Conditional]]=TRUE)</f>
        <v>0</v>
      </c>
      <c r="R86" s="276" t="s">
        <v>674</v>
      </c>
      <c r="S86" s="288">
        <v>2</v>
      </c>
      <c r="T86" s="23" t="s">
        <v>1140</v>
      </c>
    </row>
    <row r="87" spans="5:20" x14ac:dyDescent="0.3">
      <c r="E87" s="300" t="str">
        <f>IF(Table_AlwaysSend[[#This Row],[GREET1 Name Range]]="", "dash_"&amp;Table_AlwaysSend[[#This Row],[Feedstock]]&amp;"_"&amp;Table_AlwaysSend[[#This Row],[Value to Send]], Table_AlwaysSend[[#This Row],[Feedstock]]&amp;"_"&amp;Table_AlwaysSend[[#This Row],[Value to Send]]&amp;"_"&amp;Table_AlwaysSend[[#This Row],[GREET1 Name Range]])</f>
        <v>Corn_1_Corn_ETJ_Allocation</v>
      </c>
      <c r="F87" s="297" t="s">
        <v>136</v>
      </c>
      <c r="G87" s="276" t="s">
        <v>1964</v>
      </c>
      <c r="H87" s="299" t="s">
        <v>194</v>
      </c>
      <c r="I87" s="23" t="s">
        <v>377</v>
      </c>
      <c r="J87" s="278" t="s">
        <v>31</v>
      </c>
      <c r="K87" s="303" t="b" cm="1">
        <f t="array" ref="K87">OR(NOT(ISERROR(MATCH(TRIM(_xlfn.TEXTSPLIT(Table_AlwaysSend[[#This Row],[Feedstock]],",")),SelectedFeedstock,0))),AND(SelectedFeedstock&lt;&gt;"(Multiple Items)",SelectedFeedstock&lt;&gt;"(All)",Table_AlwaysSend[[#This Row],[Feedstock]]="All"))</f>
        <v>0</v>
      </c>
      <c r="L87" s="303" t="b" cm="1">
        <f t="array" ref="L87">OR(NOT(ISERROR(MATCH(TRIM(_xlfn.TEXTSPLIT(Table_AlwaysSend[[#This Row],[Conversion]],",")),SelectedConversion,0))),AND(SelectedConversion&lt;&gt;"(Multiple Items)",SelectedConversion&lt;&gt;"(All)",Table_AlwaysSend[[#This Row],[Conversion]]="All"))</f>
        <v>0</v>
      </c>
      <c r="M87" s="303" t="b" cm="1">
        <f t="array" ref="M87">OR(NOT(ISERROR(MATCH(TRIM(_xlfn.TEXTSPLIT(Table_AlwaysSend[[#This Row],[Data Source]],",")),SelectedDataSource,0))),AND(SelectedDataSource&lt;&gt;"(Multiple Items)",SelectedDataSource&lt;&gt;"(All)",Table_AlwaysSend[[#This Row],[Data Source]]="All"))</f>
        <v>0</v>
      </c>
      <c r="N87" s="308" t="b" cm="1">
        <f t="array" ref="N87">OR(NOT(ISERROR(MATCH(TRIM(_xlfn.TEXTSPLIT(Table_AlwaysSend[[#This Row],[Technology]],",")),SelectedTechnology,0))),AND(SelectedTechnology&lt;&gt;"(Multiple Items)",SelectedTechnology&lt;&gt;"(All)",Table_AlwaysSend[[#This Row],[Technology]]="All"))</f>
        <v>1</v>
      </c>
      <c r="O87" s="303" t="b" cm="1">
        <f t="array" ref="O87">OR(NOT(ISERROR(MATCH(TRIM(_xlfn.TEXTSPLIT(Table_AlwaysSend[[#This Row],[Data Set]],",")),SelectedDataSet,0))),AND(SelectedDataSet&lt;&gt;"(Multiple Items)",SelectedDataSet&lt;&gt;"(All)",Table_AlwaysSend[[#This Row],[Data Set]]="All"))</f>
        <v>0</v>
      </c>
      <c r="P87" s="305" t="b">
        <f>TRUE</f>
        <v>1</v>
      </c>
      <c r="Q87" s="306" t="b">
        <f>AND(Table_AlwaysSend[[#This Row],[Show Feedstock]:[Show Data Source2]],Table_AlwaysSend[[#This Row],[Conditional]]=TRUE)</f>
        <v>0</v>
      </c>
      <c r="R87" s="276" t="s">
        <v>570</v>
      </c>
      <c r="S87" s="288">
        <v>1</v>
      </c>
      <c r="T87" s="23" t="s">
        <v>1140</v>
      </c>
    </row>
    <row r="88" spans="5:20" x14ac:dyDescent="0.3">
      <c r="E88" s="300" t="str">
        <f>IF(Table_AlwaysSend[[#This Row],[GREET1 Name Range]]="", "dash_"&amp;Table_AlwaysSend[[#This Row],[Feedstock]]&amp;"_"&amp;Table_AlwaysSend[[#This Row],[Value to Send]], Table_AlwaysSend[[#This Row],[Feedstock]]&amp;"_"&amp;Table_AlwaysSend[[#This Row],[Value to Send]]&amp;"_"&amp;Table_AlwaysSend[[#This Row],[GREET1 Name Range]])</f>
        <v>Corn stover_2_Corn_stover_EtOH_Fermentation_Allocation_Selector</v>
      </c>
      <c r="F88" s="297" t="s">
        <v>135</v>
      </c>
      <c r="G88" s="276" t="s">
        <v>1964</v>
      </c>
      <c r="H88" s="299" t="s">
        <v>194</v>
      </c>
      <c r="I88" s="282" t="s">
        <v>1399</v>
      </c>
      <c r="J88" s="282" t="s">
        <v>137</v>
      </c>
      <c r="K88" s="303" t="b" cm="1">
        <f t="array" ref="K88">OR(NOT(ISERROR(MATCH(TRIM(_xlfn.TEXTSPLIT(Table_AlwaysSend[[#This Row],[Feedstock]],",")),SelectedFeedstock,0))),AND(SelectedFeedstock&lt;&gt;"(Multiple Items)",SelectedFeedstock&lt;&gt;"(All)",Table_AlwaysSend[[#This Row],[Feedstock]]="All"))</f>
        <v>0</v>
      </c>
      <c r="L88" s="303" t="b" cm="1">
        <f t="array" ref="L88">OR(NOT(ISERROR(MATCH(TRIM(_xlfn.TEXTSPLIT(Table_AlwaysSend[[#This Row],[Conversion]],",")),SelectedConversion,0))),AND(SelectedConversion&lt;&gt;"(Multiple Items)",SelectedConversion&lt;&gt;"(All)",Table_AlwaysSend[[#This Row],[Conversion]]="All"))</f>
        <v>0</v>
      </c>
      <c r="M88" s="303" t="b" cm="1">
        <f t="array" ref="M88">OR(NOT(ISERROR(MATCH(TRIM(_xlfn.TEXTSPLIT(Table_AlwaysSend[[#This Row],[Data Source]],",")),SelectedDataSource,0))),AND(SelectedDataSource&lt;&gt;"(Multiple Items)",SelectedDataSource&lt;&gt;"(All)",Table_AlwaysSend[[#This Row],[Data Source]]="All"))</f>
        <v>0</v>
      </c>
      <c r="N88" s="308" t="b" cm="1">
        <f t="array" ref="N88">OR(NOT(ISERROR(MATCH(TRIM(_xlfn.TEXTSPLIT(Table_AlwaysSend[[#This Row],[Technology]],",")),SelectedTechnology,0))),AND(SelectedTechnology&lt;&gt;"(Multiple Items)",SelectedTechnology&lt;&gt;"(All)",Table_AlwaysSend[[#This Row],[Technology]]="All"))</f>
        <v>0</v>
      </c>
      <c r="O88" s="303" t="b" cm="1">
        <f t="array" ref="O88">OR(NOT(ISERROR(MATCH(TRIM(_xlfn.TEXTSPLIT(Table_AlwaysSend[[#This Row],[Data Set]],",")),SelectedDataSet,0))),AND(SelectedDataSet&lt;&gt;"(Multiple Items)",SelectedDataSet&lt;&gt;"(All)",Table_AlwaysSend[[#This Row],[Data Set]]="All"))</f>
        <v>0</v>
      </c>
      <c r="P88" s="305" t="b">
        <f>TRUE</f>
        <v>1</v>
      </c>
      <c r="Q88" s="306" t="b">
        <f>AND(Table_AlwaysSend[[#This Row],[Show Feedstock]:[Show Data Source2]],Table_AlwaysSend[[#This Row],[Conditional]]=TRUE)</f>
        <v>0</v>
      </c>
      <c r="R88" s="276" t="s">
        <v>1095</v>
      </c>
      <c r="S88" s="288">
        <v>2</v>
      </c>
      <c r="T88" s="23" t="s">
        <v>1140</v>
      </c>
    </row>
    <row r="89" spans="5:20" x14ac:dyDescent="0.3">
      <c r="E89" s="300" t="str">
        <f>IF(Table_AlwaysSend[[#This Row],[GREET1 Name Range]]="", "dash_"&amp;Table_AlwaysSend[[#This Row],[Feedstock]]&amp;"_"&amp;Table_AlwaysSend[[#This Row],[Value to Send]], Table_AlwaysSend[[#This Row],[Feedstock]]&amp;"_"&amp;Table_AlwaysSend[[#This Row],[Value to Send]]&amp;"_"&amp;Table_AlwaysSend[[#This Row],[GREET1 Name Range]])</f>
        <v>Forest residue_2_Forest_residue_EtOH_Fermentation_Allocation_Selector</v>
      </c>
      <c r="F89" s="297" t="s">
        <v>316</v>
      </c>
      <c r="G89" s="276" t="s">
        <v>1964</v>
      </c>
      <c r="H89" s="299" t="s">
        <v>194</v>
      </c>
      <c r="I89" s="282" t="s">
        <v>1399</v>
      </c>
      <c r="J89" s="282" t="s">
        <v>137</v>
      </c>
      <c r="K89" s="303" t="b" cm="1">
        <f t="array" ref="K89">OR(NOT(ISERROR(MATCH(TRIM(_xlfn.TEXTSPLIT(Table_AlwaysSend[[#This Row],[Feedstock]],",")),SelectedFeedstock,0))),AND(SelectedFeedstock&lt;&gt;"(Multiple Items)",SelectedFeedstock&lt;&gt;"(All)",Table_AlwaysSend[[#This Row],[Feedstock]]="All"))</f>
        <v>0</v>
      </c>
      <c r="L89" s="303" t="b" cm="1">
        <f t="array" ref="L89">OR(NOT(ISERROR(MATCH(TRIM(_xlfn.TEXTSPLIT(Table_AlwaysSend[[#This Row],[Conversion]],",")),SelectedConversion,0))),AND(SelectedConversion&lt;&gt;"(Multiple Items)",SelectedConversion&lt;&gt;"(All)",Table_AlwaysSend[[#This Row],[Conversion]]="All"))</f>
        <v>0</v>
      </c>
      <c r="M89" s="303" t="b" cm="1">
        <f t="array" ref="M89">OR(NOT(ISERROR(MATCH(TRIM(_xlfn.TEXTSPLIT(Table_AlwaysSend[[#This Row],[Data Source]],",")),SelectedDataSource,0))),AND(SelectedDataSource&lt;&gt;"(Multiple Items)",SelectedDataSource&lt;&gt;"(All)",Table_AlwaysSend[[#This Row],[Data Source]]="All"))</f>
        <v>0</v>
      </c>
      <c r="N89" s="308" t="b" cm="1">
        <f t="array" ref="N89">OR(NOT(ISERROR(MATCH(TRIM(_xlfn.TEXTSPLIT(Table_AlwaysSend[[#This Row],[Technology]],",")),SelectedTechnology,0))),AND(SelectedTechnology&lt;&gt;"(Multiple Items)",SelectedTechnology&lt;&gt;"(All)",Table_AlwaysSend[[#This Row],[Technology]]="All"))</f>
        <v>0</v>
      </c>
      <c r="O89" s="303" t="b" cm="1">
        <f t="array" ref="O89">OR(NOT(ISERROR(MATCH(TRIM(_xlfn.TEXTSPLIT(Table_AlwaysSend[[#This Row],[Data Set]],",")),SelectedDataSet,0))),AND(SelectedDataSet&lt;&gt;"(Multiple Items)",SelectedDataSet&lt;&gt;"(All)",Table_AlwaysSend[[#This Row],[Data Set]]="All"))</f>
        <v>0</v>
      </c>
      <c r="P89" s="305" t="b">
        <f>TRUE</f>
        <v>1</v>
      </c>
      <c r="Q89" s="306" t="b">
        <f>AND(Table_AlwaysSend[[#This Row],[Show Feedstock]:[Show Data Source2]],Table_AlwaysSend[[#This Row],[Conditional]]=TRUE)</f>
        <v>0</v>
      </c>
      <c r="R89" s="276" t="s">
        <v>1096</v>
      </c>
      <c r="S89" s="288">
        <v>2</v>
      </c>
      <c r="T89" s="23" t="s">
        <v>1140</v>
      </c>
    </row>
    <row r="90" spans="5:20" x14ac:dyDescent="0.3">
      <c r="E90" s="300" t="str">
        <f>IF(Table_AlwaysSend[[#This Row],[GREET1 Name Range]]="", "dash_"&amp;Table_AlwaysSend[[#This Row],[Feedstock]]&amp;"_"&amp;Table_AlwaysSend[[#This Row],[Value to Send]], Table_AlwaysSend[[#This Row],[Feedstock]]&amp;"_"&amp;Table_AlwaysSend[[#This Row],[Value to Send]]&amp;"_"&amp;Table_AlwaysSend[[#This Row],[GREET1 Name Range]])</f>
        <v>Miscanthus_2_Miscanthus_EtOH_Fermentation_Allocation_Selector</v>
      </c>
      <c r="F90" s="297" t="s">
        <v>134</v>
      </c>
      <c r="G90" s="276" t="s">
        <v>1964</v>
      </c>
      <c r="H90" s="299" t="s">
        <v>194</v>
      </c>
      <c r="I90" s="282" t="s">
        <v>1399</v>
      </c>
      <c r="J90" s="282" t="s">
        <v>137</v>
      </c>
      <c r="K90" s="303" t="b" cm="1">
        <f t="array" ref="K90">OR(NOT(ISERROR(MATCH(TRIM(_xlfn.TEXTSPLIT(Table_AlwaysSend[[#This Row],[Feedstock]],",")),SelectedFeedstock,0))),AND(SelectedFeedstock&lt;&gt;"(Multiple Items)",SelectedFeedstock&lt;&gt;"(All)",Table_AlwaysSend[[#This Row],[Feedstock]]="All"))</f>
        <v>0</v>
      </c>
      <c r="L90" s="303" t="b" cm="1">
        <f t="array" ref="L90">OR(NOT(ISERROR(MATCH(TRIM(_xlfn.TEXTSPLIT(Table_AlwaysSend[[#This Row],[Conversion]],",")),SelectedConversion,0))),AND(SelectedConversion&lt;&gt;"(Multiple Items)",SelectedConversion&lt;&gt;"(All)",Table_AlwaysSend[[#This Row],[Conversion]]="All"))</f>
        <v>0</v>
      </c>
      <c r="M90" s="303" t="b" cm="1">
        <f t="array" ref="M90">OR(NOT(ISERROR(MATCH(TRIM(_xlfn.TEXTSPLIT(Table_AlwaysSend[[#This Row],[Data Source]],",")),SelectedDataSource,0))),AND(SelectedDataSource&lt;&gt;"(Multiple Items)",SelectedDataSource&lt;&gt;"(All)",Table_AlwaysSend[[#This Row],[Data Source]]="All"))</f>
        <v>0</v>
      </c>
      <c r="N90" s="308" t="b" cm="1">
        <f t="array" ref="N90">OR(NOT(ISERROR(MATCH(TRIM(_xlfn.TEXTSPLIT(Table_AlwaysSend[[#This Row],[Technology]],",")),SelectedTechnology,0))),AND(SelectedTechnology&lt;&gt;"(Multiple Items)",SelectedTechnology&lt;&gt;"(All)",Table_AlwaysSend[[#This Row],[Technology]]="All"))</f>
        <v>0</v>
      </c>
      <c r="O90" s="303" t="b" cm="1">
        <f t="array" ref="O90">OR(NOT(ISERROR(MATCH(TRIM(_xlfn.TEXTSPLIT(Table_AlwaysSend[[#This Row],[Data Set]],",")),SelectedDataSet,0))),AND(SelectedDataSet&lt;&gt;"(Multiple Items)",SelectedDataSet&lt;&gt;"(All)",Table_AlwaysSend[[#This Row],[Data Set]]="All"))</f>
        <v>0</v>
      </c>
      <c r="P90" s="305" t="b">
        <f>TRUE</f>
        <v>1</v>
      </c>
      <c r="Q90" s="306" t="b">
        <f>AND(Table_AlwaysSend[[#This Row],[Show Feedstock]:[Show Data Source2]],Table_AlwaysSend[[#This Row],[Conditional]]=TRUE)</f>
        <v>0</v>
      </c>
      <c r="R90" s="276" t="s">
        <v>1094</v>
      </c>
      <c r="S90" s="288">
        <v>2</v>
      </c>
      <c r="T90" s="23" t="s">
        <v>1140</v>
      </c>
    </row>
    <row r="91" spans="5:20" x14ac:dyDescent="0.3">
      <c r="E91" s="300" t="str">
        <f>IF(Table_AlwaysSend[[#This Row],[GREET1 Name Range]]="", "dash_"&amp;Table_AlwaysSend[[#This Row],[Feedstock]]&amp;"_"&amp;Table_AlwaysSend[[#This Row],[Value to Send]], Table_AlwaysSend[[#This Row],[Feedstock]]&amp;"_"&amp;Table_AlwaysSend[[#This Row],[Value to Send]]&amp;"_"&amp;Table_AlwaysSend[[#This Row],[GREET1 Name Range]])</f>
        <v>Switchgrass_2_Switchgrass_EtOH_Fermentation_Allocation_Selector</v>
      </c>
      <c r="F91" s="297" t="s">
        <v>133</v>
      </c>
      <c r="G91" s="276" t="s">
        <v>1964</v>
      </c>
      <c r="H91" s="299" t="s">
        <v>194</v>
      </c>
      <c r="I91" s="282" t="s">
        <v>1399</v>
      </c>
      <c r="J91" s="282" t="s">
        <v>137</v>
      </c>
      <c r="K91" s="303" t="b" cm="1">
        <f t="array" ref="K91">OR(NOT(ISERROR(MATCH(TRIM(_xlfn.TEXTSPLIT(Table_AlwaysSend[[#This Row],[Feedstock]],",")),SelectedFeedstock,0))),AND(SelectedFeedstock&lt;&gt;"(Multiple Items)",SelectedFeedstock&lt;&gt;"(All)",Table_AlwaysSend[[#This Row],[Feedstock]]="All"))</f>
        <v>0</v>
      </c>
      <c r="L91" s="303" t="b" cm="1">
        <f t="array" ref="L91">OR(NOT(ISERROR(MATCH(TRIM(_xlfn.TEXTSPLIT(Table_AlwaysSend[[#This Row],[Conversion]],",")),SelectedConversion,0))),AND(SelectedConversion&lt;&gt;"(Multiple Items)",SelectedConversion&lt;&gt;"(All)",Table_AlwaysSend[[#This Row],[Conversion]]="All"))</f>
        <v>0</v>
      </c>
      <c r="M91" s="303" t="b" cm="1">
        <f t="array" ref="M91">OR(NOT(ISERROR(MATCH(TRIM(_xlfn.TEXTSPLIT(Table_AlwaysSend[[#This Row],[Data Source]],",")),SelectedDataSource,0))),AND(SelectedDataSource&lt;&gt;"(Multiple Items)",SelectedDataSource&lt;&gt;"(All)",Table_AlwaysSend[[#This Row],[Data Source]]="All"))</f>
        <v>0</v>
      </c>
      <c r="N91" s="308" t="b" cm="1">
        <f t="array" ref="N91">OR(NOT(ISERROR(MATCH(TRIM(_xlfn.TEXTSPLIT(Table_AlwaysSend[[#This Row],[Technology]],",")),SelectedTechnology,0))),AND(SelectedTechnology&lt;&gt;"(Multiple Items)",SelectedTechnology&lt;&gt;"(All)",Table_AlwaysSend[[#This Row],[Technology]]="All"))</f>
        <v>0</v>
      </c>
      <c r="O91" s="303" t="b" cm="1">
        <f t="array" ref="O91">OR(NOT(ISERROR(MATCH(TRIM(_xlfn.TEXTSPLIT(Table_AlwaysSend[[#This Row],[Data Set]],",")),SelectedDataSet,0))),AND(SelectedDataSet&lt;&gt;"(Multiple Items)",SelectedDataSet&lt;&gt;"(All)",Table_AlwaysSend[[#This Row],[Data Set]]="All"))</f>
        <v>0</v>
      </c>
      <c r="P91" s="305" t="b">
        <f>TRUE</f>
        <v>1</v>
      </c>
      <c r="Q91" s="306" t="b">
        <f>AND(Table_AlwaysSend[[#This Row],[Show Feedstock]:[Show Data Source2]],Table_AlwaysSend[[#This Row],[Conditional]]=TRUE)</f>
        <v>0</v>
      </c>
      <c r="R91" s="276" t="s">
        <v>1093</v>
      </c>
      <c r="S91" s="288">
        <v>2</v>
      </c>
      <c r="T91" s="23" t="s">
        <v>1140</v>
      </c>
    </row>
    <row r="92" spans="5:20" x14ac:dyDescent="0.3">
      <c r="E92" s="300" t="str">
        <f>IF(Table_AlwaysSend[[#This Row],[GREET1 Name Range]]="", "dash_"&amp;Table_AlwaysSend[[#This Row],[Feedstock]]&amp;"_"&amp;Table_AlwaysSend[[#This Row],[Value to Send]], Table_AlwaysSend[[#This Row],[Feedstock]]&amp;"_"&amp;Table_AlwaysSend[[#This Row],[Value to Send]]&amp;"_"&amp;Table_AlwaysSend[[#This Row],[GREET1 Name Range]])</f>
        <v>Tallow_2_HEFA_Allocation</v>
      </c>
      <c r="F92" s="297" t="s">
        <v>874</v>
      </c>
      <c r="G92" s="276" t="s">
        <v>30</v>
      </c>
      <c r="H92" s="299" t="s">
        <v>194</v>
      </c>
      <c r="I92" s="23" t="s">
        <v>912</v>
      </c>
      <c r="J92" s="278" t="s">
        <v>31</v>
      </c>
      <c r="K92" s="303" t="b" cm="1">
        <f t="array" ref="K92">OR(NOT(ISERROR(MATCH(TRIM(_xlfn.TEXTSPLIT(Table_AlwaysSend[[#This Row],[Feedstock]],",")),SelectedFeedstock,0))),AND(SelectedFeedstock&lt;&gt;"(Multiple Items)",SelectedFeedstock&lt;&gt;"(All)",Table_AlwaysSend[[#This Row],[Feedstock]]="All"))</f>
        <v>0</v>
      </c>
      <c r="L92" s="303" t="b" cm="1">
        <f t="array" ref="L92">OR(NOT(ISERROR(MATCH(TRIM(_xlfn.TEXTSPLIT(Table_AlwaysSend[[#This Row],[Conversion]],",")),SelectedConversion,0))),AND(SelectedConversion&lt;&gt;"(Multiple Items)",SelectedConversion&lt;&gt;"(All)",Table_AlwaysSend[[#This Row],[Conversion]]="All"))</f>
        <v>1</v>
      </c>
      <c r="M92" s="303" t="b" cm="1">
        <f t="array" ref="M92">OR(NOT(ISERROR(MATCH(TRIM(_xlfn.TEXTSPLIT(Table_AlwaysSend[[#This Row],[Data Source]],",")),SelectedDataSource,0))),AND(SelectedDataSource&lt;&gt;"(Multiple Items)",SelectedDataSource&lt;&gt;"(All)",Table_AlwaysSend[[#This Row],[Data Source]]="All"))</f>
        <v>0</v>
      </c>
      <c r="N92" s="308" t="b" cm="1">
        <f t="array" ref="N92">OR(NOT(ISERROR(MATCH(TRIM(_xlfn.TEXTSPLIT(Table_AlwaysSend[[#This Row],[Technology]],",")),SelectedTechnology,0))),AND(SelectedTechnology&lt;&gt;"(Multiple Items)",SelectedTechnology&lt;&gt;"(All)",Table_AlwaysSend[[#This Row],[Technology]]="All"))</f>
        <v>1</v>
      </c>
      <c r="O92" s="303" t="b" cm="1">
        <f t="array" ref="O92">OR(NOT(ISERROR(MATCH(TRIM(_xlfn.TEXTSPLIT(Table_AlwaysSend[[#This Row],[Data Set]],",")),SelectedDataSet,0))),AND(SelectedDataSet&lt;&gt;"(Multiple Items)",SelectedDataSet&lt;&gt;"(All)",Table_AlwaysSend[[#This Row],[Data Set]]="All"))</f>
        <v>0</v>
      </c>
      <c r="P92" s="305" t="b">
        <f>TRUE</f>
        <v>1</v>
      </c>
      <c r="Q92" s="306" t="b">
        <f>AND(Table_AlwaysSend[[#This Row],[Show Feedstock]:[Show Data Source2]],Table_AlwaysSend[[#This Row],[Conditional]]=TRUE)</f>
        <v>0</v>
      </c>
      <c r="R92" s="276" t="s">
        <v>674</v>
      </c>
      <c r="S92" s="288">
        <v>2</v>
      </c>
      <c r="T92" s="23" t="s">
        <v>1140</v>
      </c>
    </row>
    <row r="93" spans="5:20" x14ac:dyDescent="0.3">
      <c r="E93" s="300" t="str">
        <f>IF(Table_AlwaysSend[[#This Row],[GREET1 Name Range]]="", "dash_"&amp;Table_AlwaysSend[[#This Row],[Feedstock]]&amp;"_"&amp;Table_AlwaysSend[[#This Row],[Value to Send]], Table_AlwaysSend[[#This Row],[Feedstock]]&amp;"_"&amp;Table_AlwaysSend[[#This Row],[Value to Send]]&amp;"_"&amp;Table_AlwaysSend[[#This Row],[GREET1 Name Range]])</f>
        <v>UCO_2_HEFA_Allocation</v>
      </c>
      <c r="F93" s="297" t="s">
        <v>875</v>
      </c>
      <c r="G93" s="276" t="s">
        <v>30</v>
      </c>
      <c r="H93" s="299" t="s">
        <v>194</v>
      </c>
      <c r="I93" s="23" t="s">
        <v>912</v>
      </c>
      <c r="J93" s="278" t="s">
        <v>31</v>
      </c>
      <c r="K93" s="303" t="b" cm="1">
        <f t="array" ref="K93">OR(NOT(ISERROR(MATCH(TRIM(_xlfn.TEXTSPLIT(Table_AlwaysSend[[#This Row],[Feedstock]],",")),SelectedFeedstock,0))),AND(SelectedFeedstock&lt;&gt;"(Multiple Items)",SelectedFeedstock&lt;&gt;"(All)",Table_AlwaysSend[[#This Row],[Feedstock]]="All"))</f>
        <v>0</v>
      </c>
      <c r="L93" s="303" t="b" cm="1">
        <f t="array" ref="L93">OR(NOT(ISERROR(MATCH(TRIM(_xlfn.TEXTSPLIT(Table_AlwaysSend[[#This Row],[Conversion]],",")),SelectedConversion,0))),AND(SelectedConversion&lt;&gt;"(Multiple Items)",SelectedConversion&lt;&gt;"(All)",Table_AlwaysSend[[#This Row],[Conversion]]="All"))</f>
        <v>1</v>
      </c>
      <c r="M93" s="303" t="b" cm="1">
        <f t="array" ref="M93">OR(NOT(ISERROR(MATCH(TRIM(_xlfn.TEXTSPLIT(Table_AlwaysSend[[#This Row],[Data Source]],",")),SelectedDataSource,0))),AND(SelectedDataSource&lt;&gt;"(Multiple Items)",SelectedDataSource&lt;&gt;"(All)",Table_AlwaysSend[[#This Row],[Data Source]]="All"))</f>
        <v>0</v>
      </c>
      <c r="N93" s="308" t="b" cm="1">
        <f t="array" ref="N93">OR(NOT(ISERROR(MATCH(TRIM(_xlfn.TEXTSPLIT(Table_AlwaysSend[[#This Row],[Technology]],",")),SelectedTechnology,0))),AND(SelectedTechnology&lt;&gt;"(Multiple Items)",SelectedTechnology&lt;&gt;"(All)",Table_AlwaysSend[[#This Row],[Technology]]="All"))</f>
        <v>1</v>
      </c>
      <c r="O93" s="303" t="b" cm="1">
        <f t="array" ref="O93">OR(NOT(ISERROR(MATCH(TRIM(_xlfn.TEXTSPLIT(Table_AlwaysSend[[#This Row],[Data Set]],",")),SelectedDataSet,0))),AND(SelectedDataSet&lt;&gt;"(Multiple Items)",SelectedDataSet&lt;&gt;"(All)",Table_AlwaysSend[[#This Row],[Data Set]]="All"))</f>
        <v>0</v>
      </c>
      <c r="P93" s="305" t="b">
        <f>TRUE</f>
        <v>1</v>
      </c>
      <c r="Q93" s="306" t="b">
        <f>AND(Table_AlwaysSend[[#This Row],[Show Feedstock]:[Show Data Source2]],Table_AlwaysSend[[#This Row],[Conditional]]=TRUE)</f>
        <v>0</v>
      </c>
      <c r="R93" s="276" t="s">
        <v>674</v>
      </c>
      <c r="S93" s="288">
        <v>2</v>
      </c>
      <c r="T93" s="23" t="s">
        <v>1140</v>
      </c>
    </row>
    <row r="94" spans="5:20" x14ac:dyDescent="0.3">
      <c r="E94" s="300" t="str">
        <f>IF(Table_AlwaysSend[[#This Row],[GREET1 Name Range]]="", "dash_"&amp;Table_AlwaysSend[[#This Row],[Feedstock]]&amp;"_"&amp;Table_AlwaysSend[[#This Row],[Value to Send]], Table_AlwaysSend[[#This Row],[Feedstock]]&amp;"_"&amp;Table_AlwaysSend[[#This Row],[Value to Send]]&amp;"_"&amp;Table_AlwaysSend[[#This Row],[GREET1 Name Range]])</f>
        <v>PFAD_2_HEFA_Allocation</v>
      </c>
      <c r="F94" s="298" t="s">
        <v>876</v>
      </c>
      <c r="G94" s="294" t="s">
        <v>30</v>
      </c>
      <c r="H94" s="282" t="s">
        <v>194</v>
      </c>
      <c r="I94" s="23" t="s">
        <v>367</v>
      </c>
      <c r="J94" s="278" t="s">
        <v>31</v>
      </c>
      <c r="K94" s="305" t="b" cm="1">
        <f t="array" ref="K94">OR(NOT(ISERROR(MATCH(TRIM(_xlfn.TEXTSPLIT(Table_AlwaysSend[[#This Row],[Feedstock]],",")),SelectedFeedstock,0))),AND(SelectedFeedstock&lt;&gt;"(Multiple Items)",SelectedFeedstock&lt;&gt;"(All)",Table_AlwaysSend[[#This Row],[Feedstock]]="All"))</f>
        <v>0</v>
      </c>
      <c r="L94" s="305" t="b" cm="1">
        <f t="array" ref="L94">OR(NOT(ISERROR(MATCH(TRIM(_xlfn.TEXTSPLIT(Table_AlwaysSend[[#This Row],[Conversion]],",")),SelectedConversion,0))),AND(SelectedConversion&lt;&gt;"(Multiple Items)",SelectedConversion&lt;&gt;"(All)",Table_AlwaysSend[[#This Row],[Conversion]]="All"))</f>
        <v>1</v>
      </c>
      <c r="M94" s="305" t="b" cm="1">
        <f t="array" ref="M94">OR(NOT(ISERROR(MATCH(TRIM(_xlfn.TEXTSPLIT(Table_AlwaysSend[[#This Row],[Data Source]],",")),SelectedDataSource,0))),AND(SelectedDataSource&lt;&gt;"(Multiple Items)",SelectedDataSource&lt;&gt;"(All)",Table_AlwaysSend[[#This Row],[Data Source]]="All"))</f>
        <v>0</v>
      </c>
      <c r="N94" s="308" t="b" cm="1">
        <f t="array" ref="N94">OR(NOT(ISERROR(MATCH(TRIM(_xlfn.TEXTSPLIT(Table_AlwaysSend[[#This Row],[Technology]],",")),SelectedTechnology,0))),AND(SelectedTechnology&lt;&gt;"(Multiple Items)",SelectedTechnology&lt;&gt;"(All)",Table_AlwaysSend[[#This Row],[Technology]]="All"))</f>
        <v>1</v>
      </c>
      <c r="O94" s="305" t="b" cm="1">
        <f t="array" ref="O94">OR(NOT(ISERROR(MATCH(TRIM(_xlfn.TEXTSPLIT(Table_AlwaysSend[[#This Row],[Data Set]],",")),SelectedDataSet,0))),AND(SelectedDataSet&lt;&gt;"(Multiple Items)",SelectedDataSet&lt;&gt;"(All)",Table_AlwaysSend[[#This Row],[Data Set]]="All"))</f>
        <v>0</v>
      </c>
      <c r="P94" s="305" t="b">
        <f>TRUE</f>
        <v>1</v>
      </c>
      <c r="Q94" s="307" t="b">
        <f>AND(Table_AlwaysSend[[#This Row],[Show Feedstock]:[Show Data Source2]],Table_AlwaysSend[[#This Row],[Conditional]]=TRUE)</f>
        <v>0</v>
      </c>
      <c r="R94" s="294" t="s">
        <v>674</v>
      </c>
      <c r="S94" s="288">
        <v>2</v>
      </c>
      <c r="T94" s="23" t="s">
        <v>1140</v>
      </c>
    </row>
    <row r="95" spans="5:20" x14ac:dyDescent="0.3">
      <c r="E95" s="300" t="str">
        <f>IF(Table_AlwaysSend[[#This Row],[GREET1 Name Range]]="", "dash_"&amp;Table_AlwaysSend[[#This Row],[Feedstock]]&amp;"_"&amp;Table_AlwaysSend[[#This Row],[Value to Send]], Table_AlwaysSend[[#This Row],[Feedstock]]&amp;"_"&amp;Table_AlwaysSend[[#This Row],[Value to Send]]&amp;"_"&amp;Table_AlwaysSend[[#This Row],[GREET1 Name Range]])</f>
        <v>Willow_0.753283443203483_Cellulosic_ETJ_Allocation_Factor</v>
      </c>
      <c r="F95" s="297" t="s">
        <v>131</v>
      </c>
      <c r="G95" s="276" t="s">
        <v>1964</v>
      </c>
      <c r="H95" s="299" t="s">
        <v>29</v>
      </c>
      <c r="I95" s="283" t="s">
        <v>29</v>
      </c>
      <c r="J95" s="23" t="s">
        <v>911</v>
      </c>
      <c r="K95" s="303" t="b" cm="1">
        <f t="array" ref="K95">OR(NOT(ISERROR(MATCH(TRIM(_xlfn.TEXTSPLIT(Table_AlwaysSend[[#This Row],[Feedstock]],",")),SelectedFeedstock,0))),AND(SelectedFeedstock&lt;&gt;"(Multiple Items)",SelectedFeedstock&lt;&gt;"(All)",Table_AlwaysSend[[#This Row],[Feedstock]]="All"))</f>
        <v>0</v>
      </c>
      <c r="L95" s="303" t="b" cm="1">
        <f t="array" ref="L95">OR(NOT(ISERROR(MATCH(TRIM(_xlfn.TEXTSPLIT(Table_AlwaysSend[[#This Row],[Conversion]],",")),SelectedConversion,0))),AND(SelectedConversion&lt;&gt;"(Multiple Items)",SelectedConversion&lt;&gt;"(All)",Table_AlwaysSend[[#This Row],[Conversion]]="All"))</f>
        <v>0</v>
      </c>
      <c r="M95" s="303" t="b" cm="1">
        <f t="array" ref="M95">OR(NOT(ISERROR(MATCH(TRIM(_xlfn.TEXTSPLIT(Table_AlwaysSend[[#This Row],[Data Source]],",")),SelectedDataSource,0))),AND(SelectedDataSource&lt;&gt;"(Multiple Items)",SelectedDataSource&lt;&gt;"(All)",Table_AlwaysSend[[#This Row],[Data Source]]="All"))</f>
        <v>1</v>
      </c>
      <c r="N95" s="308" t="b" cm="1">
        <f t="array" ref="N95">OR(NOT(ISERROR(MATCH(TRIM(_xlfn.TEXTSPLIT(Table_AlwaysSend[[#This Row],[Technology]],",")),SelectedTechnology,0))),AND(SelectedTechnology&lt;&gt;"(Multiple Items)",SelectedTechnology&lt;&gt;"(All)",Table_AlwaysSend[[#This Row],[Technology]]="All"))</f>
        <v>0</v>
      </c>
      <c r="O95" s="303" t="b" cm="1">
        <f t="array" ref="O95">OR(NOT(ISERROR(MATCH(TRIM(_xlfn.TEXTSPLIT(Table_AlwaysSend[[#This Row],[Data Set]],",")),SelectedDataSet,0))),AND(SelectedDataSet&lt;&gt;"(Multiple Items)",SelectedDataSet&lt;&gt;"(All)",Table_AlwaysSend[[#This Row],[Data Set]]="All"))</f>
        <v>1</v>
      </c>
      <c r="P95" s="305" t="b">
        <f>TRUE</f>
        <v>1</v>
      </c>
      <c r="Q95" s="306" t="b">
        <f>AND(Table_AlwaysSend[[#This Row],[Show Feedstock]:[Show Data Source2]],Table_AlwaysSend[[#This Row],[Conditional]]=TRUE)</f>
        <v>0</v>
      </c>
      <c r="R95" s="276" t="s">
        <v>1122</v>
      </c>
      <c r="S95" s="289">
        <v>0.75328344320348295</v>
      </c>
      <c r="T95" s="23" t="s">
        <v>1139</v>
      </c>
    </row>
    <row r="96" spans="5:20" x14ac:dyDescent="0.3">
      <c r="E96" s="300" t="str">
        <f>IF(Table_AlwaysSend[[#This Row],[GREET1 Name Range]]="", "dash_"&amp;Table_AlwaysSend[[#This Row],[Feedstock]]&amp;"_"&amp;Table_AlwaysSend[[#This Row],[Value to Send]], Table_AlwaysSend[[#This Row],[Feedstock]]&amp;"_"&amp;Table_AlwaysSend[[#This Row],[Value to Send]]&amp;"_"&amp;Table_AlwaysSend[[#This Row],[GREET1 Name Range]])</f>
        <v>Poplar_0.753283443203483_Cellulosic_ETJ_Allocation_Factor</v>
      </c>
      <c r="F96" s="297" t="s">
        <v>132</v>
      </c>
      <c r="G96" s="276" t="s">
        <v>1964</v>
      </c>
      <c r="H96" s="299" t="s">
        <v>29</v>
      </c>
      <c r="I96" s="283" t="s">
        <v>29</v>
      </c>
      <c r="J96" s="23" t="s">
        <v>911</v>
      </c>
      <c r="K96" s="303" t="b" cm="1">
        <f t="array" ref="K96">OR(NOT(ISERROR(MATCH(TRIM(_xlfn.TEXTSPLIT(Table_AlwaysSend[[#This Row],[Feedstock]],",")),SelectedFeedstock,0))),AND(SelectedFeedstock&lt;&gt;"(Multiple Items)",SelectedFeedstock&lt;&gt;"(All)",Table_AlwaysSend[[#This Row],[Feedstock]]="All"))</f>
        <v>0</v>
      </c>
      <c r="L96" s="303" t="b" cm="1">
        <f t="array" ref="L96">OR(NOT(ISERROR(MATCH(TRIM(_xlfn.TEXTSPLIT(Table_AlwaysSend[[#This Row],[Conversion]],",")),SelectedConversion,0))),AND(SelectedConversion&lt;&gt;"(Multiple Items)",SelectedConversion&lt;&gt;"(All)",Table_AlwaysSend[[#This Row],[Conversion]]="All"))</f>
        <v>0</v>
      </c>
      <c r="M96" s="303" t="b" cm="1">
        <f t="array" ref="M96">OR(NOT(ISERROR(MATCH(TRIM(_xlfn.TEXTSPLIT(Table_AlwaysSend[[#This Row],[Data Source]],",")),SelectedDataSource,0))),AND(SelectedDataSource&lt;&gt;"(Multiple Items)",SelectedDataSource&lt;&gt;"(All)",Table_AlwaysSend[[#This Row],[Data Source]]="All"))</f>
        <v>1</v>
      </c>
      <c r="N96" s="308" t="b" cm="1">
        <f t="array" ref="N96">OR(NOT(ISERROR(MATCH(TRIM(_xlfn.TEXTSPLIT(Table_AlwaysSend[[#This Row],[Technology]],",")),SelectedTechnology,0))),AND(SelectedTechnology&lt;&gt;"(Multiple Items)",SelectedTechnology&lt;&gt;"(All)",Table_AlwaysSend[[#This Row],[Technology]]="All"))</f>
        <v>0</v>
      </c>
      <c r="O96" s="303" t="b" cm="1">
        <f t="array" ref="O96">OR(NOT(ISERROR(MATCH(TRIM(_xlfn.TEXTSPLIT(Table_AlwaysSend[[#This Row],[Data Set]],",")),SelectedDataSet,0))),AND(SelectedDataSet&lt;&gt;"(Multiple Items)",SelectedDataSet&lt;&gt;"(All)",Table_AlwaysSend[[#This Row],[Data Set]]="All"))</f>
        <v>1</v>
      </c>
      <c r="P96" s="305" t="b">
        <f>TRUE</f>
        <v>1</v>
      </c>
      <c r="Q96" s="306" t="b">
        <f>AND(Table_AlwaysSend[[#This Row],[Show Feedstock]:[Show Data Source2]],Table_AlwaysSend[[#This Row],[Conditional]]=TRUE)</f>
        <v>0</v>
      </c>
      <c r="R96" s="276" t="s">
        <v>1122</v>
      </c>
      <c r="S96" s="289">
        <v>0.75328344320348295</v>
      </c>
      <c r="T96" s="23" t="s">
        <v>1139</v>
      </c>
    </row>
    <row r="97" spans="1:20" x14ac:dyDescent="0.3">
      <c r="E97" s="300" t="str">
        <f>IF(Table_AlwaysSend[[#This Row],[GREET1 Name Range]]="", "dash_"&amp;Table_AlwaysSend[[#This Row],[Feedstock]]&amp;"_"&amp;Table_AlwaysSend[[#This Row],[Value to Send]], Table_AlwaysSend[[#This Row],[Feedstock]]&amp;"_"&amp;Table_AlwaysSend[[#This Row],[Value to Send]]&amp;"_"&amp;Table_AlwaysSend[[#This Row],[GREET1 Name Range]])</f>
        <v>Switchgrass_0.753283443203483_Cellulosic_ETJ_Allocation_Factor</v>
      </c>
      <c r="F97" s="297" t="s">
        <v>133</v>
      </c>
      <c r="G97" s="276" t="s">
        <v>1964</v>
      </c>
      <c r="H97" s="299" t="s">
        <v>29</v>
      </c>
      <c r="I97" s="283" t="s">
        <v>29</v>
      </c>
      <c r="J97" s="23" t="s">
        <v>911</v>
      </c>
      <c r="K97" s="303" t="b" cm="1">
        <f t="array" ref="K97">OR(NOT(ISERROR(MATCH(TRIM(_xlfn.TEXTSPLIT(Table_AlwaysSend[[#This Row],[Feedstock]],",")),SelectedFeedstock,0))),AND(SelectedFeedstock&lt;&gt;"(Multiple Items)",SelectedFeedstock&lt;&gt;"(All)",Table_AlwaysSend[[#This Row],[Feedstock]]="All"))</f>
        <v>0</v>
      </c>
      <c r="L97" s="303" t="b" cm="1">
        <f t="array" ref="L97">OR(NOT(ISERROR(MATCH(TRIM(_xlfn.TEXTSPLIT(Table_AlwaysSend[[#This Row],[Conversion]],",")),SelectedConversion,0))),AND(SelectedConversion&lt;&gt;"(Multiple Items)",SelectedConversion&lt;&gt;"(All)",Table_AlwaysSend[[#This Row],[Conversion]]="All"))</f>
        <v>0</v>
      </c>
      <c r="M97" s="303" t="b" cm="1">
        <f t="array" ref="M97">OR(NOT(ISERROR(MATCH(TRIM(_xlfn.TEXTSPLIT(Table_AlwaysSend[[#This Row],[Data Source]],",")),SelectedDataSource,0))),AND(SelectedDataSource&lt;&gt;"(Multiple Items)",SelectedDataSource&lt;&gt;"(All)",Table_AlwaysSend[[#This Row],[Data Source]]="All"))</f>
        <v>1</v>
      </c>
      <c r="N97" s="308" t="b" cm="1">
        <f t="array" ref="N97">OR(NOT(ISERROR(MATCH(TRIM(_xlfn.TEXTSPLIT(Table_AlwaysSend[[#This Row],[Technology]],",")),SelectedTechnology,0))),AND(SelectedTechnology&lt;&gt;"(Multiple Items)",SelectedTechnology&lt;&gt;"(All)",Table_AlwaysSend[[#This Row],[Technology]]="All"))</f>
        <v>0</v>
      </c>
      <c r="O97" s="303" t="b" cm="1">
        <f t="array" ref="O97">OR(NOT(ISERROR(MATCH(TRIM(_xlfn.TEXTSPLIT(Table_AlwaysSend[[#This Row],[Data Set]],",")),SelectedDataSet,0))),AND(SelectedDataSet&lt;&gt;"(Multiple Items)",SelectedDataSet&lt;&gt;"(All)",Table_AlwaysSend[[#This Row],[Data Set]]="All"))</f>
        <v>1</v>
      </c>
      <c r="P97" s="305" t="b">
        <f>TRUE</f>
        <v>1</v>
      </c>
      <c r="Q97" s="306" t="b">
        <f>AND(Table_AlwaysSend[[#This Row],[Show Feedstock]:[Show Data Source2]],Table_AlwaysSend[[#This Row],[Conditional]]=TRUE)</f>
        <v>0</v>
      </c>
      <c r="R97" s="276" t="s">
        <v>1122</v>
      </c>
      <c r="S97" s="289">
        <v>0.75328344320348295</v>
      </c>
      <c r="T97" s="23" t="s">
        <v>1139</v>
      </c>
    </row>
    <row r="98" spans="1:20" x14ac:dyDescent="0.3">
      <c r="E98" s="300" t="str">
        <f>IF(Table_AlwaysSend[[#This Row],[GREET1 Name Range]]="", "dash_"&amp;Table_AlwaysSend[[#This Row],[Feedstock]]&amp;"_"&amp;Table_AlwaysSend[[#This Row],[Value to Send]], Table_AlwaysSend[[#This Row],[Feedstock]]&amp;"_"&amp;Table_AlwaysSend[[#This Row],[Value to Send]]&amp;"_"&amp;Table_AlwaysSend[[#This Row],[GREET1 Name Range]])</f>
        <v>Forest residue_0.753283443203483_Cellulosic_ETJ_Allocation_Factor</v>
      </c>
      <c r="F98" s="297" t="s">
        <v>316</v>
      </c>
      <c r="G98" s="276" t="s">
        <v>1964</v>
      </c>
      <c r="H98" s="299" t="s">
        <v>29</v>
      </c>
      <c r="I98" s="283" t="s">
        <v>29</v>
      </c>
      <c r="J98" s="23" t="s">
        <v>911</v>
      </c>
      <c r="K98" s="303" t="b" cm="1">
        <f t="array" ref="K98">OR(NOT(ISERROR(MATCH(TRIM(_xlfn.TEXTSPLIT(Table_AlwaysSend[[#This Row],[Feedstock]],",")),SelectedFeedstock,0))),AND(SelectedFeedstock&lt;&gt;"(Multiple Items)",SelectedFeedstock&lt;&gt;"(All)",Table_AlwaysSend[[#This Row],[Feedstock]]="All"))</f>
        <v>0</v>
      </c>
      <c r="L98" s="303" t="b" cm="1">
        <f t="array" ref="L98">OR(NOT(ISERROR(MATCH(TRIM(_xlfn.TEXTSPLIT(Table_AlwaysSend[[#This Row],[Conversion]],",")),SelectedConversion,0))),AND(SelectedConversion&lt;&gt;"(Multiple Items)",SelectedConversion&lt;&gt;"(All)",Table_AlwaysSend[[#This Row],[Conversion]]="All"))</f>
        <v>0</v>
      </c>
      <c r="M98" s="303" t="b" cm="1">
        <f t="array" ref="M98">OR(NOT(ISERROR(MATCH(TRIM(_xlfn.TEXTSPLIT(Table_AlwaysSend[[#This Row],[Data Source]],",")),SelectedDataSource,0))),AND(SelectedDataSource&lt;&gt;"(Multiple Items)",SelectedDataSource&lt;&gt;"(All)",Table_AlwaysSend[[#This Row],[Data Source]]="All"))</f>
        <v>1</v>
      </c>
      <c r="N98" s="308" t="b" cm="1">
        <f t="array" ref="N98">OR(NOT(ISERROR(MATCH(TRIM(_xlfn.TEXTSPLIT(Table_AlwaysSend[[#This Row],[Technology]],",")),SelectedTechnology,0))),AND(SelectedTechnology&lt;&gt;"(Multiple Items)",SelectedTechnology&lt;&gt;"(All)",Table_AlwaysSend[[#This Row],[Technology]]="All"))</f>
        <v>0</v>
      </c>
      <c r="O98" s="303" t="b" cm="1">
        <f t="array" ref="O98">OR(NOT(ISERROR(MATCH(TRIM(_xlfn.TEXTSPLIT(Table_AlwaysSend[[#This Row],[Data Set]],",")),SelectedDataSet,0))),AND(SelectedDataSet&lt;&gt;"(Multiple Items)",SelectedDataSet&lt;&gt;"(All)",Table_AlwaysSend[[#This Row],[Data Set]]="All"))</f>
        <v>1</v>
      </c>
      <c r="P98" s="305" t="b">
        <f>TRUE</f>
        <v>1</v>
      </c>
      <c r="Q98" s="306" t="b">
        <f>AND(Table_AlwaysSend[[#This Row],[Show Feedstock]:[Show Data Source2]],Table_AlwaysSend[[#This Row],[Conditional]]=TRUE)</f>
        <v>0</v>
      </c>
      <c r="R98" s="276" t="s">
        <v>1122</v>
      </c>
      <c r="S98" s="289">
        <v>0.75328344320348295</v>
      </c>
      <c r="T98" s="23" t="s">
        <v>1139</v>
      </c>
    </row>
    <row r="99" spans="1:20" x14ac:dyDescent="0.3">
      <c r="E99" s="300" t="str">
        <f ca="1">IF(Table_AlwaysSend[[#This Row],[GREET1 Name Range]]="", "dash_"&amp;Table_AlwaysSend[[#This Row],[Feedstock]]&amp;"_"&amp;Table_AlwaysSend[[#This Row],[Value to Send]], Table_AlwaysSend[[#This Row],[Feedstock]]&amp;"_"&amp;Table_AlwaysSend[[#This Row],[Value to Send]]&amp;"_"&amp;Table_AlwaysSend[[#This Row],[GREET1 Name Range]])</f>
        <v>Corn_2.86368843069874_Corn_Fermentation_Corn</v>
      </c>
      <c r="F99" s="23" t="s">
        <v>136</v>
      </c>
      <c r="G99" s="276" t="s">
        <v>1964</v>
      </c>
      <c r="H99" s="299" t="s">
        <v>29</v>
      </c>
      <c r="I99" s="283" t="s">
        <v>29</v>
      </c>
      <c r="J99" s="23" t="s">
        <v>1606</v>
      </c>
      <c r="K99" s="302" t="b" cm="1">
        <f t="array" ref="K99">OR(NOT(ISERROR(MATCH(TRIM(_xlfn.TEXTSPLIT(Table_AlwaysSend[[#This Row],[Feedstock]],",")),SelectedFeedstock,0))),AND(SelectedFeedstock&lt;&gt;"(Multiple Items)",SelectedFeedstock&lt;&gt;"(All)",Table_AlwaysSend[[#This Row],[Feedstock]]="All"))</f>
        <v>0</v>
      </c>
      <c r="L99" s="303" t="b" cm="1">
        <f t="array" ref="L99">OR(NOT(ISERROR(MATCH(TRIM(_xlfn.TEXTSPLIT(Table_AlwaysSend[[#This Row],[Conversion]],",")),SelectedConversion,0))),AND(SelectedConversion&lt;&gt;"(Multiple Items)",SelectedConversion&lt;&gt;"(All)",Table_AlwaysSend[[#This Row],[Conversion]]="All"))</f>
        <v>0</v>
      </c>
      <c r="M99" s="304" t="b" cm="1">
        <f t="array" ref="M99">OR(NOT(ISERROR(MATCH(TRIM(_xlfn.TEXTSPLIT(Table_AlwaysSend[[#This Row],[Data Source]],",")),SelectedDataSource,0))),AND(SelectedDataSource&lt;&gt;"(Multiple Items)",SelectedDataSource&lt;&gt;"(All)",Table_AlwaysSend[[#This Row],[Data Source]]="All"))</f>
        <v>1</v>
      </c>
      <c r="N99" s="303" t="b" cm="1">
        <f t="array" ref="N99">OR(NOT(ISERROR(MATCH(TRIM(_xlfn.TEXTSPLIT(Table_AlwaysSend[[#This Row],[Technology]],",")),SelectedTechnology,0))),AND(SelectedTechnology&lt;&gt;"(Multiple Items)",SelectedTechnology&lt;&gt;"(All)",Table_AlwaysSend[[#This Row],[Technology]]="All"))</f>
        <v>0</v>
      </c>
      <c r="O99" s="303" t="b" cm="1">
        <f t="array" ref="O99">OR(NOT(ISERROR(MATCH(TRIM(_xlfn.TEXTSPLIT(Table_AlwaysSend[[#This Row],[Data Set]],",")),SelectedDataSet,0))),AND(SelectedDataSet&lt;&gt;"(Multiple Items)",SelectedDataSet&lt;&gt;"(All)",Table_AlwaysSend[[#This Row],[Data Set]]="All"))</f>
        <v>1</v>
      </c>
      <c r="P99" s="305" t="b">
        <f>TRUE</f>
        <v>1</v>
      </c>
      <c r="Q99" s="306" t="b">
        <f>AND(Table_AlwaysSend[[#This Row],[Show Feedstock]:[Show Data Source2]],Table_AlwaysSend[[#This Row],[Conditional]]=TRUE)</f>
        <v>0</v>
      </c>
      <c r="R99" s="276" t="s">
        <v>1652</v>
      </c>
      <c r="S99" s="286">
        <f ca="1">LCI!S2676/LCI!S2677</f>
        <v>2.86368843069874</v>
      </c>
      <c r="T99" s="23" t="s">
        <v>1715</v>
      </c>
    </row>
    <row r="100" spans="1:20" x14ac:dyDescent="0.3">
      <c r="E100" s="300" t="str">
        <f>IF(Table_AlwaysSend[[#This Row],[GREET1 Name Range]]="", "dash_"&amp;Table_AlwaysSend[[#This Row],[Feedstock]]&amp;"_"&amp;Table_AlwaysSend[[#This Row],[Value to Send]], Table_AlwaysSend[[#This Row],[Feedstock]]&amp;"_"&amp;Table_AlwaysSend[[#This Row],[Value to Send]]&amp;"_"&amp;Table_AlwaysSend[[#This Row],[GREET1 Name Range]])</f>
        <v>Corn_1_Corn_Ethanol_CCS_CaptureRate</v>
      </c>
      <c r="F100" s="23" t="s">
        <v>136</v>
      </c>
      <c r="G100" s="276" t="s">
        <v>1964</v>
      </c>
      <c r="H100" s="299" t="s">
        <v>29</v>
      </c>
      <c r="I100" s="283" t="s">
        <v>29</v>
      </c>
      <c r="J100" s="23" t="s">
        <v>1606</v>
      </c>
      <c r="K100" s="302" t="b" cm="1">
        <f t="array" ref="K100">OR(NOT(ISERROR(MATCH(TRIM(_xlfn.TEXTSPLIT(Table_AlwaysSend[[#This Row],[Feedstock]],",")),SelectedFeedstock,0))),AND(SelectedFeedstock&lt;&gt;"(Multiple Items)",SelectedFeedstock&lt;&gt;"(All)",Table_AlwaysSend[[#This Row],[Feedstock]]="All"))</f>
        <v>0</v>
      </c>
      <c r="L100" s="303" t="b" cm="1">
        <f t="array" ref="L100">OR(NOT(ISERROR(MATCH(TRIM(_xlfn.TEXTSPLIT(Table_AlwaysSend[[#This Row],[Conversion]],",")),SelectedConversion,0))),AND(SelectedConversion&lt;&gt;"(Multiple Items)",SelectedConversion&lt;&gt;"(All)",Table_AlwaysSend[[#This Row],[Conversion]]="All"))</f>
        <v>0</v>
      </c>
      <c r="M100" s="304" t="b" cm="1">
        <f t="array" ref="M100">OR(NOT(ISERROR(MATCH(TRIM(_xlfn.TEXTSPLIT(Table_AlwaysSend[[#This Row],[Data Source]],",")),SelectedDataSource,0))),AND(SelectedDataSource&lt;&gt;"(Multiple Items)",SelectedDataSource&lt;&gt;"(All)",Table_AlwaysSend[[#This Row],[Data Source]]="All"))</f>
        <v>1</v>
      </c>
      <c r="N100" s="303" t="b" cm="1">
        <f t="array" ref="N100">OR(NOT(ISERROR(MATCH(TRIM(_xlfn.TEXTSPLIT(Table_AlwaysSend[[#This Row],[Technology]],",")),SelectedTechnology,0))),AND(SelectedTechnology&lt;&gt;"(Multiple Items)",SelectedTechnology&lt;&gt;"(All)",Table_AlwaysSend[[#This Row],[Technology]]="All"))</f>
        <v>0</v>
      </c>
      <c r="O100" s="303" t="b" cm="1">
        <f t="array" ref="O100">OR(NOT(ISERROR(MATCH(TRIM(_xlfn.TEXTSPLIT(Table_AlwaysSend[[#This Row],[Data Set]],",")),SelectedDataSet,0))),AND(SelectedDataSet&lt;&gt;"(Multiple Items)",SelectedDataSet&lt;&gt;"(All)",Table_AlwaysSend[[#This Row],[Data Set]]="All"))</f>
        <v>1</v>
      </c>
      <c r="P100" s="305" t="b">
        <f>TRUE</f>
        <v>1</v>
      </c>
      <c r="Q100" s="306" t="b">
        <f>AND(Table_AlwaysSend[[#This Row],[Show Feedstock]:[Show Data Source2]],Table_AlwaysSend[[#This Row],[Conditional]]=TRUE)</f>
        <v>0</v>
      </c>
      <c r="R100" s="276" t="s">
        <v>1497</v>
      </c>
      <c r="S100" s="286">
        <v>1</v>
      </c>
      <c r="T100" s="23" t="s">
        <v>1455</v>
      </c>
    </row>
    <row r="101" spans="1:20" x14ac:dyDescent="0.3">
      <c r="E101" s="300" t="str">
        <f>IF(Table_AlwaysSend[[#This Row],[GREET1 Name Range]]="", "dash_"&amp;Table_AlwaysSend[[#This Row],[Feedstock]]&amp;"_"&amp;Table_AlwaysSend[[#This Row],[Value to Send]], Table_AlwaysSend[[#This Row],[Feedstock]]&amp;"_"&amp;Table_AlwaysSend[[#This Row],[Value to Send]]&amp;"_"&amp;Table_AlwaysSend[[#This Row],[GREET1 Name Range]])</f>
        <v>Corn_0_Corn_Ethanol_CCS_Electricity</v>
      </c>
      <c r="F101" s="23" t="s">
        <v>136</v>
      </c>
      <c r="G101" s="276" t="s">
        <v>1964</v>
      </c>
      <c r="H101" s="299" t="s">
        <v>29</v>
      </c>
      <c r="I101" s="283" t="s">
        <v>29</v>
      </c>
      <c r="J101" s="23" t="s">
        <v>1606</v>
      </c>
      <c r="K101" s="302" t="b" cm="1">
        <f t="array" ref="K101">OR(NOT(ISERROR(MATCH(TRIM(_xlfn.TEXTSPLIT(Table_AlwaysSend[[#This Row],[Feedstock]],",")),SelectedFeedstock,0))),AND(SelectedFeedstock&lt;&gt;"(Multiple Items)",SelectedFeedstock&lt;&gt;"(All)",Table_AlwaysSend[[#This Row],[Feedstock]]="All"))</f>
        <v>0</v>
      </c>
      <c r="L101" s="303" t="b" cm="1">
        <f t="array" ref="L101">OR(NOT(ISERROR(MATCH(TRIM(_xlfn.TEXTSPLIT(Table_AlwaysSend[[#This Row],[Conversion]],",")),SelectedConversion,0))),AND(SelectedConversion&lt;&gt;"(Multiple Items)",SelectedConversion&lt;&gt;"(All)",Table_AlwaysSend[[#This Row],[Conversion]]="All"))</f>
        <v>0</v>
      </c>
      <c r="M101" s="304" t="b" cm="1">
        <f t="array" ref="M101">OR(NOT(ISERROR(MATCH(TRIM(_xlfn.TEXTSPLIT(Table_AlwaysSend[[#This Row],[Data Source]],",")),SelectedDataSource,0))),AND(SelectedDataSource&lt;&gt;"(Multiple Items)",SelectedDataSource&lt;&gt;"(All)",Table_AlwaysSend[[#This Row],[Data Source]]="All"))</f>
        <v>1</v>
      </c>
      <c r="N101" s="303" t="b" cm="1">
        <f t="array" ref="N101">OR(NOT(ISERROR(MATCH(TRIM(_xlfn.TEXTSPLIT(Table_AlwaysSend[[#This Row],[Technology]],",")),SelectedTechnology,0))),AND(SelectedTechnology&lt;&gt;"(Multiple Items)",SelectedTechnology&lt;&gt;"(All)",Table_AlwaysSend[[#This Row],[Technology]]="All"))</f>
        <v>0</v>
      </c>
      <c r="O101" s="303" t="b" cm="1">
        <f t="array" ref="O101">OR(NOT(ISERROR(MATCH(TRIM(_xlfn.TEXTSPLIT(Table_AlwaysSend[[#This Row],[Data Set]],",")),SelectedDataSet,0))),AND(SelectedDataSet&lt;&gt;"(Multiple Items)",SelectedDataSet&lt;&gt;"(All)",Table_AlwaysSend[[#This Row],[Data Set]]="All"))</f>
        <v>1</v>
      </c>
      <c r="P101" s="305" t="b">
        <f>TRUE</f>
        <v>1</v>
      </c>
      <c r="Q101" s="306" t="b">
        <f>AND(Table_AlwaysSend[[#This Row],[Show Feedstock]:[Show Data Source2]],Table_AlwaysSend[[#This Row],[Conditional]]=TRUE)</f>
        <v>0</v>
      </c>
      <c r="R101" s="276" t="s">
        <v>1496</v>
      </c>
      <c r="S101" s="286">
        <v>0</v>
      </c>
      <c r="T101" s="23" t="s">
        <v>1455</v>
      </c>
    </row>
    <row r="102" spans="1:20" x14ac:dyDescent="0.3">
      <c r="E102" s="300" t="str">
        <f ca="1">IF(Table_AlwaysSend[[#This Row],[GREET1 Name Range]]="", "dash_"&amp;Table_AlwaysSend[[#This Row],[Feedstock]]&amp;"_"&amp;Table_AlwaysSend[[#This Row],[Value to Send]], Table_AlwaysSend[[#This Row],[Feedstock]]&amp;"_"&amp;Table_AlwaysSend[[#This Row],[Value to Send]]&amp;"_"&amp;Table_AlwaysSend[[#This Row],[GREET1 Name Range]])</f>
        <v>Corn_1_Corn_Ethanol_CCS</v>
      </c>
      <c r="F102" s="23" t="s">
        <v>136</v>
      </c>
      <c r="G102" s="276" t="s">
        <v>1964</v>
      </c>
      <c r="H102" s="299" t="s">
        <v>29</v>
      </c>
      <c r="I102" s="283" t="s">
        <v>29</v>
      </c>
      <c r="J102" s="23" t="s">
        <v>1606</v>
      </c>
      <c r="K102" s="302" t="b" cm="1">
        <f t="array" ref="K102">OR(NOT(ISERROR(MATCH(TRIM(_xlfn.TEXTSPLIT(Table_AlwaysSend[[#This Row],[Feedstock]],",")),SelectedFeedstock,0))),AND(SelectedFeedstock&lt;&gt;"(Multiple Items)",SelectedFeedstock&lt;&gt;"(All)",Table_AlwaysSend[[#This Row],[Feedstock]]="All"))</f>
        <v>0</v>
      </c>
      <c r="L102" s="303" t="b" cm="1">
        <f t="array" ref="L102">OR(NOT(ISERROR(MATCH(TRIM(_xlfn.TEXTSPLIT(Table_AlwaysSend[[#This Row],[Conversion]],",")),SelectedConversion,0))),AND(SelectedConversion&lt;&gt;"(Multiple Items)",SelectedConversion&lt;&gt;"(All)",Table_AlwaysSend[[#This Row],[Conversion]]="All"))</f>
        <v>0</v>
      </c>
      <c r="M102" s="304" t="b" cm="1">
        <f t="array" ref="M102">OR(NOT(ISERROR(MATCH(TRIM(_xlfn.TEXTSPLIT(Table_AlwaysSend[[#This Row],[Data Source]],",")),SelectedDataSource,0))),AND(SelectedDataSource&lt;&gt;"(Multiple Items)",SelectedDataSource&lt;&gt;"(All)",Table_AlwaysSend[[#This Row],[Data Source]]="All"))</f>
        <v>1</v>
      </c>
      <c r="N102" s="303" t="b" cm="1">
        <f t="array" ref="N102">OR(NOT(ISERROR(MATCH(TRIM(_xlfn.TEXTSPLIT(Table_AlwaysSend[[#This Row],[Technology]],",")),SelectedTechnology,0))),AND(SelectedTechnology&lt;&gt;"(Multiple Items)",SelectedTechnology&lt;&gt;"(All)",Table_AlwaysSend[[#This Row],[Technology]]="All"))</f>
        <v>0</v>
      </c>
      <c r="O102" s="303" t="b" cm="1">
        <f t="array" ref="O102">OR(NOT(ISERROR(MATCH(TRIM(_xlfn.TEXTSPLIT(Table_AlwaysSend[[#This Row],[Data Set]],",")),SelectedDataSet,0))),AND(SelectedDataSet&lt;&gt;"(Multiple Items)",SelectedDataSet&lt;&gt;"(All)",Table_AlwaysSend[[#This Row],[Data Set]]="All"))</f>
        <v>1</v>
      </c>
      <c r="P102" s="305" t="b">
        <f>TRUE</f>
        <v>1</v>
      </c>
      <c r="Q102" s="306" t="b">
        <f>AND(Table_AlwaysSend[[#This Row],[Show Feedstock]:[Show Data Source2]],Table_AlwaysSend[[#This Row],[Conditional]]=TRUE)</f>
        <v>0</v>
      </c>
      <c r="R102" s="276" t="s">
        <v>1494</v>
      </c>
      <c r="S102" s="290">
        <f ca="1">IF(LCI!$S$2682&gt;0, 2, 1)</f>
        <v>1</v>
      </c>
      <c r="T102" s="23" t="s">
        <v>1455</v>
      </c>
    </row>
    <row r="103" spans="1:20" x14ac:dyDescent="0.3">
      <c r="E103" s="300" t="str">
        <f>IF(Table_AlwaysSend[[#This Row],[GREET1 Name Range]]="", "dash_"&amp;Table_AlwaysSend[[#This Row],[Feedstock]]&amp;"_"&amp;Table_AlwaysSend[[#This Row],[Value to Send]], Table_AlwaysSend[[#This Row],[Feedstock]]&amp;"_"&amp;Table_AlwaysSend[[#This Row],[Value to Send]]&amp;"_"&amp;Table_AlwaysSend[[#This Row],[GREET1 Name Range]])</f>
        <v>dash_Corn oil_0.93</v>
      </c>
      <c r="F103" s="297" t="s">
        <v>374</v>
      </c>
      <c r="G103" s="276" t="s">
        <v>30</v>
      </c>
      <c r="H103" s="299" t="s">
        <v>194</v>
      </c>
      <c r="I103" s="23" t="s">
        <v>367</v>
      </c>
      <c r="J103" s="278" t="s">
        <v>31</v>
      </c>
      <c r="K103" s="303" t="b" cm="1">
        <f t="array" ref="K103">OR(NOT(ISERROR(MATCH(TRIM(_xlfn.TEXTSPLIT(Table_AlwaysSend[[#This Row],[Feedstock]],",")),SelectedFeedstock,0))),AND(SelectedFeedstock&lt;&gt;"(Multiple Items)",SelectedFeedstock&lt;&gt;"(All)",Table_AlwaysSend[[#This Row],[Feedstock]]="All"))</f>
        <v>0</v>
      </c>
      <c r="L103" s="303" t="b" cm="1">
        <f t="array" ref="L103">OR(NOT(ISERROR(MATCH(TRIM(_xlfn.TEXTSPLIT(Table_AlwaysSend[[#This Row],[Conversion]],",")),SelectedConversion,0))),AND(SelectedConversion&lt;&gt;"(Multiple Items)",SelectedConversion&lt;&gt;"(All)",Table_AlwaysSend[[#This Row],[Conversion]]="All"))</f>
        <v>1</v>
      </c>
      <c r="M103" s="303" t="b" cm="1">
        <f t="array" ref="M103">OR(NOT(ISERROR(MATCH(TRIM(_xlfn.TEXTSPLIT(Table_AlwaysSend[[#This Row],[Data Source]],",")),SelectedDataSource,0))),AND(SelectedDataSource&lt;&gt;"(Multiple Items)",SelectedDataSource&lt;&gt;"(All)",Table_AlwaysSend[[#This Row],[Data Source]]="All"))</f>
        <v>0</v>
      </c>
      <c r="N103" s="308" t="b" cm="1">
        <f t="array" ref="N103">OR(NOT(ISERROR(MATCH(TRIM(_xlfn.TEXTSPLIT(Table_AlwaysSend[[#This Row],[Technology]],",")),SelectedTechnology,0))),AND(SelectedTechnology&lt;&gt;"(Multiple Items)",SelectedTechnology&lt;&gt;"(All)",Table_AlwaysSend[[#This Row],[Technology]]="All"))</f>
        <v>1</v>
      </c>
      <c r="O103" s="303" t="b" cm="1">
        <f t="array" ref="O103">OR(NOT(ISERROR(MATCH(TRIM(_xlfn.TEXTSPLIT(Table_AlwaysSend[[#This Row],[Data Set]],",")),SelectedDataSet,0))),AND(SelectedDataSet&lt;&gt;"(Multiple Items)",SelectedDataSet&lt;&gt;"(All)",Table_AlwaysSend[[#This Row],[Data Set]]="All"))</f>
        <v>0</v>
      </c>
      <c r="P103" s="305" t="b">
        <f>TRUE</f>
        <v>1</v>
      </c>
      <c r="Q103" s="306" t="b">
        <f>AND(Table_AlwaysSend[[#This Row],[Show Feedstock]:[Show Data Source2]],Table_AlwaysSend[[#This Row],[Conditional]]=TRUE)</f>
        <v>0</v>
      </c>
      <c r="R103" s="276" t="s">
        <v>361</v>
      </c>
      <c r="S103" s="289">
        <v>0.93</v>
      </c>
      <c r="T103" s="23" t="s">
        <v>1139</v>
      </c>
    </row>
    <row r="104" spans="1:20" x14ac:dyDescent="0.3">
      <c r="E104" s="300" t="str">
        <f>IF(Table_AlwaysSend[[#This Row],[GREET1 Name Range]]="", "dash_"&amp;Table_AlwaysSend[[#This Row],[Feedstock]]&amp;"_"&amp;Table_AlwaysSend[[#This Row],[Value to Send]], Table_AlwaysSend[[#This Row],[Feedstock]]&amp;"_"&amp;Table_AlwaysSend[[#This Row],[Value to Send]]&amp;"_"&amp;Table_AlwaysSend[[#This Row],[GREET1 Name Range]])</f>
        <v>Palm_2_Palm_CH4_Selector</v>
      </c>
      <c r="F104" s="297" t="s">
        <v>122</v>
      </c>
      <c r="G104" s="276" t="s">
        <v>30</v>
      </c>
      <c r="H104" s="299" t="s">
        <v>194</v>
      </c>
      <c r="I104" s="23" t="s">
        <v>367</v>
      </c>
      <c r="J104" s="23" t="s">
        <v>1357</v>
      </c>
      <c r="K104" s="303" t="b" cm="1">
        <f t="array" ref="K104">OR(NOT(ISERROR(MATCH(TRIM(_xlfn.TEXTSPLIT(Table_AlwaysSend[[#This Row],[Feedstock]],",")),SelectedFeedstock,0))),AND(SelectedFeedstock&lt;&gt;"(Multiple Items)",SelectedFeedstock&lt;&gt;"(All)",Table_AlwaysSend[[#This Row],[Feedstock]]="All"))</f>
        <v>0</v>
      </c>
      <c r="L104" s="303" t="b" cm="1">
        <f t="array" ref="L104">OR(NOT(ISERROR(MATCH(TRIM(_xlfn.TEXTSPLIT(Table_AlwaysSend[[#This Row],[Conversion]],",")),SelectedConversion,0))),AND(SelectedConversion&lt;&gt;"(Multiple Items)",SelectedConversion&lt;&gt;"(All)",Table_AlwaysSend[[#This Row],[Conversion]]="All"))</f>
        <v>1</v>
      </c>
      <c r="M104" s="303" t="b" cm="1">
        <f t="array" ref="M104">OR(NOT(ISERROR(MATCH(TRIM(_xlfn.TEXTSPLIT(Table_AlwaysSend[[#This Row],[Data Source]],",")),SelectedDataSource,0))),AND(SelectedDataSource&lt;&gt;"(Multiple Items)",SelectedDataSource&lt;&gt;"(All)",Table_AlwaysSend[[#This Row],[Data Source]]="All"))</f>
        <v>0</v>
      </c>
      <c r="N104" s="305" t="b" cm="1">
        <f t="array" ref="N104">OR(NOT(ISERROR(MATCH(TRIM(_xlfn.TEXTSPLIT(Table_AlwaysSend[[#This Row],[Technology]],",")),SelectedTechnology,0))),AND(SelectedTechnology&lt;&gt;"(Multiple Items)",SelectedTechnology&lt;&gt;"(All)",Table_AlwaysSend[[#This Row],[Technology]]="All"))</f>
        <v>0</v>
      </c>
      <c r="O104" s="303" t="b" cm="1">
        <f t="array" ref="O104">OR(NOT(ISERROR(MATCH(TRIM(_xlfn.TEXTSPLIT(Table_AlwaysSend[[#This Row],[Data Set]],",")),SelectedDataSet,0))),AND(SelectedDataSet&lt;&gt;"(Multiple Items)",SelectedDataSet&lt;&gt;"(All)",Table_AlwaysSend[[#This Row],[Data Set]]="All"))</f>
        <v>0</v>
      </c>
      <c r="P104" s="305" t="b">
        <f>TRUE</f>
        <v>1</v>
      </c>
      <c r="Q104" s="306" t="b">
        <f>AND(Table_AlwaysSend[[#This Row],[Show Feedstock]:[Show Data Source2]],Table_AlwaysSend[[#This Row],[Conditional]]=TRUE)</f>
        <v>0</v>
      </c>
      <c r="R104" s="276" t="s">
        <v>737</v>
      </c>
      <c r="S104" s="23">
        <v>2</v>
      </c>
      <c r="T104" s="23" t="s">
        <v>1127</v>
      </c>
    </row>
    <row r="105" spans="1:20" x14ac:dyDescent="0.3">
      <c r="E105" s="300" t="str">
        <f>IF(Table_AlwaysSend[[#This Row],[GREET1 Name Range]]="", "dash_"&amp;Table_AlwaysSend[[#This Row],[Feedstock]]&amp;"_"&amp;Table_AlwaysSend[[#This Row],[Value to Send]], Table_AlwaysSend[[#This Row],[Feedstock]]&amp;"_"&amp;Table_AlwaysSend[[#This Row],[Value to Send]]&amp;"_"&amp;Table_AlwaysSend[[#This Row],[GREET1 Name Range]])</f>
        <v>Palm_1.85609997804_Palm_Extraction_CH4_POME</v>
      </c>
      <c r="F105" s="298" t="s">
        <v>122</v>
      </c>
      <c r="G105" s="294" t="s">
        <v>30</v>
      </c>
      <c r="H105" s="282" t="s">
        <v>194</v>
      </c>
      <c r="I105" s="23" t="s">
        <v>367</v>
      </c>
      <c r="J105" s="23" t="s">
        <v>1357</v>
      </c>
      <c r="K105" s="305" t="b" cm="1">
        <f t="array" ref="K105">OR(NOT(ISERROR(MATCH(TRIM(_xlfn.TEXTSPLIT(Table_AlwaysSend[[#This Row],[Feedstock]],",")),SelectedFeedstock,0))),AND(SelectedFeedstock&lt;&gt;"(Multiple Items)",SelectedFeedstock&lt;&gt;"(All)",Table_AlwaysSend[[#This Row],[Feedstock]]="All"))</f>
        <v>0</v>
      </c>
      <c r="L105" s="305" t="b" cm="1">
        <f t="array" ref="L105">OR(NOT(ISERROR(MATCH(TRIM(_xlfn.TEXTSPLIT(Table_AlwaysSend[[#This Row],[Conversion]],",")),SelectedConversion,0))),AND(SelectedConversion&lt;&gt;"(Multiple Items)",SelectedConversion&lt;&gt;"(All)",Table_AlwaysSend[[#This Row],[Conversion]]="All"))</f>
        <v>1</v>
      </c>
      <c r="M105" s="305" t="b" cm="1">
        <f t="array" ref="M105">OR(NOT(ISERROR(MATCH(TRIM(_xlfn.TEXTSPLIT(Table_AlwaysSend[[#This Row],[Data Source]],",")),SelectedDataSource,0))),AND(SelectedDataSource&lt;&gt;"(Multiple Items)",SelectedDataSource&lt;&gt;"(All)",Table_AlwaysSend[[#This Row],[Data Source]]="All"))</f>
        <v>0</v>
      </c>
      <c r="N105" s="308" t="b" cm="1">
        <f t="array" ref="N105">OR(NOT(ISERROR(MATCH(TRIM(_xlfn.TEXTSPLIT(Table_AlwaysSend[[#This Row],[Technology]],",")),SelectedTechnology,0))),AND(SelectedTechnology&lt;&gt;"(Multiple Items)",SelectedTechnology&lt;&gt;"(All)",Table_AlwaysSend[[#This Row],[Technology]]="All"))</f>
        <v>0</v>
      </c>
      <c r="O105" s="305" t="b" cm="1">
        <f t="array" ref="O105">OR(NOT(ISERROR(MATCH(TRIM(_xlfn.TEXTSPLIT(Table_AlwaysSend[[#This Row],[Data Set]],",")),SelectedDataSet,0))),AND(SelectedDataSet&lt;&gt;"(Multiple Items)",SelectedDataSet&lt;&gt;"(All)",Table_AlwaysSend[[#This Row],[Data Set]]="All"))</f>
        <v>0</v>
      </c>
      <c r="P105" s="305" t="b">
        <f>TRUE</f>
        <v>1</v>
      </c>
      <c r="Q105" s="307" t="b">
        <f>AND(Table_AlwaysSend[[#This Row],[Show Feedstock]:[Show Data Source2]],Table_AlwaysSend[[#This Row],[Conditional]]=TRUE)</f>
        <v>0</v>
      </c>
      <c r="R105" s="294" t="s">
        <v>738</v>
      </c>
      <c r="S105" s="23">
        <v>1.85609997804</v>
      </c>
      <c r="T105" s="23" t="s">
        <v>440</v>
      </c>
    </row>
    <row r="106" spans="1:20" x14ac:dyDescent="0.3">
      <c r="A106" s="233"/>
      <c r="C106" s="168"/>
      <c r="D106" s="242"/>
      <c r="E106" s="300" t="str">
        <f>IF(Table_AlwaysSend[[#This Row],[GREET1 Name Range]]="", "dash_"&amp;Table_AlwaysSend[[#This Row],[Feedstock]]&amp;"_"&amp;Table_AlwaysSend[[#This Row],[Value to Send]], Table_AlwaysSend[[#This Row],[Feedstock]]&amp;"_"&amp;Table_AlwaysSend[[#This Row],[Value to Send]]&amp;"_"&amp;Table_AlwaysSend[[#This Row],[GREET1 Name Range]])</f>
        <v>Palm_12.418996216704_Palm_Extraction_CH4_POME</v>
      </c>
      <c r="F106" s="298" t="s">
        <v>122</v>
      </c>
      <c r="G106" s="294" t="s">
        <v>30</v>
      </c>
      <c r="H106" s="282" t="s">
        <v>194</v>
      </c>
      <c r="I106" s="23" t="s">
        <v>367</v>
      </c>
      <c r="J106" s="23" t="s">
        <v>1358</v>
      </c>
      <c r="K106" s="305" t="b" cm="1">
        <f t="array" ref="K106">OR(NOT(ISERROR(MATCH(TRIM(_xlfn.TEXTSPLIT(Table_AlwaysSend[[#This Row],[Feedstock]],",")),SelectedFeedstock,0))),AND(SelectedFeedstock&lt;&gt;"(Multiple Items)",SelectedFeedstock&lt;&gt;"(All)",Table_AlwaysSend[[#This Row],[Feedstock]]="All"))</f>
        <v>0</v>
      </c>
      <c r="L106" s="305" t="b" cm="1">
        <f t="array" ref="L106">OR(NOT(ISERROR(MATCH(TRIM(_xlfn.TEXTSPLIT(Table_AlwaysSend[[#This Row],[Conversion]],",")),SelectedConversion,0))),AND(SelectedConversion&lt;&gt;"(Multiple Items)",SelectedConversion&lt;&gt;"(All)",Table_AlwaysSend[[#This Row],[Conversion]]="All"))</f>
        <v>1</v>
      </c>
      <c r="M106" s="305" t="b" cm="1">
        <f t="array" ref="M106">OR(NOT(ISERROR(MATCH(TRIM(_xlfn.TEXTSPLIT(Table_AlwaysSend[[#This Row],[Data Source]],",")),SelectedDataSource,0))),AND(SelectedDataSource&lt;&gt;"(Multiple Items)",SelectedDataSource&lt;&gt;"(All)",Table_AlwaysSend[[#This Row],[Data Source]]="All"))</f>
        <v>0</v>
      </c>
      <c r="N106" s="305" t="b" cm="1">
        <f t="array" ref="N106">OR(NOT(ISERROR(MATCH(TRIM(_xlfn.TEXTSPLIT(Table_AlwaysSend[[#This Row],[Technology]],",")),SelectedTechnology,0))),AND(SelectedTechnology&lt;&gt;"(Multiple Items)",SelectedTechnology&lt;&gt;"(All)",Table_AlwaysSend[[#This Row],[Technology]]="All"))</f>
        <v>0</v>
      </c>
      <c r="O106" s="305" t="b" cm="1">
        <f t="array" ref="O106">OR(NOT(ISERROR(MATCH(TRIM(_xlfn.TEXTSPLIT(Table_AlwaysSend[[#This Row],[Data Set]],",")),SelectedDataSet,0))),AND(SelectedDataSet&lt;&gt;"(Multiple Items)",SelectedDataSet&lt;&gt;"(All)",Table_AlwaysSend[[#This Row],[Data Set]]="All"))</f>
        <v>0</v>
      </c>
      <c r="P106" s="305" t="b">
        <f>TRUE</f>
        <v>1</v>
      </c>
      <c r="Q106" s="307" t="b">
        <f>AND(Table_AlwaysSend[[#This Row],[Show Feedstock]:[Show Data Source2]],Table_AlwaysSend[[#This Row],[Conditional]]=TRUE)</f>
        <v>0</v>
      </c>
      <c r="R106" s="294" t="s">
        <v>738</v>
      </c>
      <c r="S106" s="23">
        <v>12.418996216703999</v>
      </c>
      <c r="T106" s="23" t="s">
        <v>440</v>
      </c>
    </row>
    <row r="107" spans="1:20" x14ac:dyDescent="0.3">
      <c r="A107" s="233"/>
      <c r="C107" s="168"/>
      <c r="D107" s="242"/>
      <c r="E107" s="300" t="str">
        <f>IF(Table_AlwaysSend[[#This Row],[GREET1 Name Range]]="", "dash_"&amp;Table_AlwaysSend[[#This Row],[Feedstock]]&amp;"_"&amp;Table_AlwaysSend[[#This Row],[Value to Send]], Table_AlwaysSend[[#This Row],[Feedstock]]&amp;"_"&amp;Table_AlwaysSend[[#This Row],[Value to Send]]&amp;"_"&amp;Table_AlwaysSend[[#This Row],[GREET1 Name Range]])</f>
        <v>Palm_1_JetFuel_ETJet_BiomassFeedstock</v>
      </c>
      <c r="F107" s="297" t="s">
        <v>122</v>
      </c>
      <c r="G107" s="276" t="s">
        <v>30</v>
      </c>
      <c r="H107" s="282" t="s">
        <v>194</v>
      </c>
      <c r="I107" s="23" t="s">
        <v>367</v>
      </c>
      <c r="J107" s="23" t="s">
        <v>1358</v>
      </c>
      <c r="K107" s="303" t="b" cm="1">
        <f t="array" ref="K107">OR(NOT(ISERROR(MATCH(TRIM(_xlfn.TEXTSPLIT(Table_AlwaysSend[[#This Row],[Feedstock]],",")),SelectedFeedstock,0))),AND(SelectedFeedstock&lt;&gt;"(Multiple Items)",SelectedFeedstock&lt;&gt;"(All)",Table_AlwaysSend[[#This Row],[Feedstock]]="All"))</f>
        <v>0</v>
      </c>
      <c r="L107" s="303" t="b" cm="1">
        <f t="array" ref="L107">OR(NOT(ISERROR(MATCH(TRIM(_xlfn.TEXTSPLIT(Table_AlwaysSend[[#This Row],[Conversion]],",")),SelectedConversion,0))),AND(SelectedConversion&lt;&gt;"(Multiple Items)",SelectedConversion&lt;&gt;"(All)",Table_AlwaysSend[[#This Row],[Conversion]]="All"))</f>
        <v>1</v>
      </c>
      <c r="M107" s="303" t="b" cm="1">
        <f t="array" ref="M107">OR(NOT(ISERROR(MATCH(TRIM(_xlfn.TEXTSPLIT(Table_AlwaysSend[[#This Row],[Data Source]],",")),SelectedDataSource,0))),AND(SelectedDataSource&lt;&gt;"(Multiple Items)",SelectedDataSource&lt;&gt;"(All)",Table_AlwaysSend[[#This Row],[Data Source]]="All"))</f>
        <v>0</v>
      </c>
      <c r="N107" s="305" t="b" cm="1">
        <f t="array" ref="N107">OR(NOT(ISERROR(MATCH(TRIM(_xlfn.TEXTSPLIT(Table_AlwaysSend[[#This Row],[Technology]],",")),SelectedTechnology,0))),AND(SelectedTechnology&lt;&gt;"(Multiple Items)",SelectedTechnology&lt;&gt;"(All)",Table_AlwaysSend[[#This Row],[Technology]]="All"))</f>
        <v>0</v>
      </c>
      <c r="O107" s="303" t="b" cm="1">
        <f t="array" ref="O107">OR(NOT(ISERROR(MATCH(TRIM(_xlfn.TEXTSPLIT(Table_AlwaysSend[[#This Row],[Data Set]],",")),SelectedDataSet,0))),AND(SelectedDataSet&lt;&gt;"(Multiple Items)",SelectedDataSet&lt;&gt;"(All)",Table_AlwaysSend[[#This Row],[Data Set]]="All"))</f>
        <v>0</v>
      </c>
      <c r="P107" s="305" t="b">
        <f>TRUE</f>
        <v>1</v>
      </c>
      <c r="Q107" s="306" t="b">
        <f>AND(Table_AlwaysSend[[#This Row],[Show Feedstock]:[Show Data Source2]],Table_AlwaysSend[[#This Row],[Conditional]]=TRUE)</f>
        <v>0</v>
      </c>
      <c r="R107" s="276" t="s">
        <v>86</v>
      </c>
      <c r="S107" s="285">
        <v>1</v>
      </c>
      <c r="T107" s="23" t="s">
        <v>1127</v>
      </c>
    </row>
    <row r="108" spans="1:20" x14ac:dyDescent="0.3">
      <c r="E108" s="300" t="str">
        <f>IF(Table_AlwaysSend[[#This Row],[GREET1 Name Range]]="", "dash_"&amp;Table_AlwaysSend[[#This Row],[Feedstock]]&amp;"_"&amp;Table_AlwaysSend[[#This Row],[Value to Send]], Table_AlwaysSend[[#This Row],[Feedstock]]&amp;"_"&amp;Table_AlwaysSend[[#This Row],[Value to Send]]&amp;"_"&amp;Table_AlwaysSend[[#This Row],[GREET1 Name Range]])</f>
        <v>Corn stover_5_JetFuel_ETJet_BiomassFeedstock</v>
      </c>
      <c r="F108" s="297" t="s">
        <v>135</v>
      </c>
      <c r="G108" s="276" t="s">
        <v>1964</v>
      </c>
      <c r="H108" s="299" t="s">
        <v>194</v>
      </c>
      <c r="I108" s="281" t="s">
        <v>1399</v>
      </c>
      <c r="J108" s="281" t="s">
        <v>1398</v>
      </c>
      <c r="K108" s="303" t="b" cm="1">
        <f t="array" ref="K108">OR(NOT(ISERROR(MATCH(TRIM(_xlfn.TEXTSPLIT(Table_AlwaysSend[[#This Row],[Feedstock]],",")),SelectedFeedstock,0))),AND(SelectedFeedstock&lt;&gt;"(Multiple Items)",SelectedFeedstock&lt;&gt;"(All)",Table_AlwaysSend[[#This Row],[Feedstock]]="All"))</f>
        <v>0</v>
      </c>
      <c r="L108" s="303" t="b" cm="1">
        <f t="array" ref="L108">OR(NOT(ISERROR(MATCH(TRIM(_xlfn.TEXTSPLIT(Table_AlwaysSend[[#This Row],[Conversion]],",")),SelectedConversion,0))),AND(SelectedConversion&lt;&gt;"(Multiple Items)",SelectedConversion&lt;&gt;"(All)",Table_AlwaysSend[[#This Row],[Conversion]]="All"))</f>
        <v>0</v>
      </c>
      <c r="M108" s="303" t="b" cm="1">
        <f t="array" ref="M108">OR(NOT(ISERROR(MATCH(TRIM(_xlfn.TEXTSPLIT(Table_AlwaysSend[[#This Row],[Data Source]],",")),SelectedDataSource,0))),AND(SelectedDataSource&lt;&gt;"(Multiple Items)",SelectedDataSource&lt;&gt;"(All)",Table_AlwaysSend[[#This Row],[Data Source]]="All"))</f>
        <v>0</v>
      </c>
      <c r="N108" s="305" t="b" cm="1">
        <f t="array" ref="N108">OR(NOT(ISERROR(MATCH(TRIM(_xlfn.TEXTSPLIT(Table_AlwaysSend[[#This Row],[Technology]],",")),SelectedTechnology,0))),AND(SelectedTechnology&lt;&gt;"(Multiple Items)",SelectedTechnology&lt;&gt;"(All)",Table_AlwaysSend[[#This Row],[Technology]]="All"))</f>
        <v>0</v>
      </c>
      <c r="O108" s="303" t="b" cm="1">
        <f t="array" ref="O108">OR(NOT(ISERROR(MATCH(TRIM(_xlfn.TEXTSPLIT(Table_AlwaysSend[[#This Row],[Data Set]],",")),SelectedDataSet,0))),AND(SelectedDataSet&lt;&gt;"(Multiple Items)",SelectedDataSet&lt;&gt;"(All)",Table_AlwaysSend[[#This Row],[Data Set]]="All"))</f>
        <v>0</v>
      </c>
      <c r="P108" s="305" t="b">
        <f>TRUE</f>
        <v>1</v>
      </c>
      <c r="Q108" s="306" t="b">
        <f>AND(Table_AlwaysSend[[#This Row],[Show Feedstock]:[Show Data Source2]],Table_AlwaysSend[[#This Row],[Conditional]]=TRUE)</f>
        <v>0</v>
      </c>
      <c r="R108" s="276" t="s">
        <v>86</v>
      </c>
      <c r="S108" s="286">
        <v>5</v>
      </c>
      <c r="T108" s="277" t="s">
        <v>902</v>
      </c>
    </row>
    <row r="109" spans="1:20" x14ac:dyDescent="0.3">
      <c r="E109" s="300" t="str">
        <f>IF(Table_AlwaysSend[[#This Row],[GREET1 Name Range]]="", "dash_"&amp;Table_AlwaysSend[[#This Row],[Feedstock]]&amp;"_"&amp;Table_AlwaysSend[[#This Row],[Value to Send]], Table_AlwaysSend[[#This Row],[Feedstock]]&amp;"_"&amp;Table_AlwaysSend[[#This Row],[Value to Send]]&amp;"_"&amp;Table_AlwaysSend[[#This Row],[GREET1 Name Range]])</f>
        <v>Forest residue_6_JetFuel_ETJet_BiomassFeedstock</v>
      </c>
      <c r="F109" s="297" t="s">
        <v>316</v>
      </c>
      <c r="G109" s="276" t="s">
        <v>1964</v>
      </c>
      <c r="H109" s="299" t="s">
        <v>194</v>
      </c>
      <c r="I109" s="281" t="s">
        <v>1399</v>
      </c>
      <c r="J109" s="281" t="s">
        <v>1398</v>
      </c>
      <c r="K109" s="303" t="b" cm="1">
        <f t="array" ref="K109">OR(NOT(ISERROR(MATCH(TRIM(_xlfn.TEXTSPLIT(Table_AlwaysSend[[#This Row],[Feedstock]],",")),SelectedFeedstock,0))),AND(SelectedFeedstock&lt;&gt;"(Multiple Items)",SelectedFeedstock&lt;&gt;"(All)",Table_AlwaysSend[[#This Row],[Feedstock]]="All"))</f>
        <v>0</v>
      </c>
      <c r="L109" s="303" t="b" cm="1">
        <f t="array" ref="L109">OR(NOT(ISERROR(MATCH(TRIM(_xlfn.TEXTSPLIT(Table_AlwaysSend[[#This Row],[Conversion]],",")),SelectedConversion,0))),AND(SelectedConversion&lt;&gt;"(Multiple Items)",SelectedConversion&lt;&gt;"(All)",Table_AlwaysSend[[#This Row],[Conversion]]="All"))</f>
        <v>0</v>
      </c>
      <c r="M109" s="303" t="b" cm="1">
        <f t="array" ref="M109">OR(NOT(ISERROR(MATCH(TRIM(_xlfn.TEXTSPLIT(Table_AlwaysSend[[#This Row],[Data Source]],",")),SelectedDataSource,0))),AND(SelectedDataSource&lt;&gt;"(Multiple Items)",SelectedDataSource&lt;&gt;"(All)",Table_AlwaysSend[[#This Row],[Data Source]]="All"))</f>
        <v>0</v>
      </c>
      <c r="N109" s="305" t="b" cm="1">
        <f t="array" ref="N109">OR(NOT(ISERROR(MATCH(TRIM(_xlfn.TEXTSPLIT(Table_AlwaysSend[[#This Row],[Technology]],",")),SelectedTechnology,0))),AND(SelectedTechnology&lt;&gt;"(Multiple Items)",SelectedTechnology&lt;&gt;"(All)",Table_AlwaysSend[[#This Row],[Technology]]="All"))</f>
        <v>0</v>
      </c>
      <c r="O109" s="303" t="b" cm="1">
        <f t="array" ref="O109">OR(NOT(ISERROR(MATCH(TRIM(_xlfn.TEXTSPLIT(Table_AlwaysSend[[#This Row],[Data Set]],",")),SelectedDataSet,0))),AND(SelectedDataSet&lt;&gt;"(Multiple Items)",SelectedDataSet&lt;&gt;"(All)",Table_AlwaysSend[[#This Row],[Data Set]]="All"))</f>
        <v>0</v>
      </c>
      <c r="P109" s="305" t="b">
        <f>TRUE</f>
        <v>1</v>
      </c>
      <c r="Q109" s="306" t="b">
        <f>AND(Table_AlwaysSend[[#This Row],[Show Feedstock]:[Show Data Source2]],Table_AlwaysSend[[#This Row],[Conditional]]=TRUE)</f>
        <v>0</v>
      </c>
      <c r="R109" s="276" t="s">
        <v>86</v>
      </c>
      <c r="S109" s="291">
        <v>6</v>
      </c>
      <c r="T109" s="277" t="s">
        <v>902</v>
      </c>
    </row>
    <row r="110" spans="1:20" x14ac:dyDescent="0.3">
      <c r="E110" s="300" t="str">
        <f>IF(Table_AlwaysSend[[#This Row],[GREET1 Name Range]]="", "dash_"&amp;Table_AlwaysSend[[#This Row],[Feedstock]]&amp;"_"&amp;Table_AlwaysSend[[#This Row],[Value to Send]], Table_AlwaysSend[[#This Row],[Feedstock]]&amp;"_"&amp;Table_AlwaysSend[[#This Row],[Value to Send]]&amp;"_"&amp;Table_AlwaysSend[[#This Row],[GREET1 Name Range]])</f>
        <v>Switchgrass_3_Sugarcane_ETJ_Allocation</v>
      </c>
      <c r="F110" s="297" t="s">
        <v>133</v>
      </c>
      <c r="G110" s="276" t="s">
        <v>1964</v>
      </c>
      <c r="H110" s="299" t="s">
        <v>194</v>
      </c>
      <c r="I110" s="281" t="s">
        <v>1399</v>
      </c>
      <c r="J110" s="281" t="s">
        <v>1398</v>
      </c>
      <c r="K110" s="303" t="b" cm="1">
        <f t="array" ref="K110">OR(NOT(ISERROR(MATCH(TRIM(_xlfn.TEXTSPLIT(Table_AlwaysSend[[#This Row],[Feedstock]],",")),SelectedFeedstock,0))),AND(SelectedFeedstock&lt;&gt;"(Multiple Items)",SelectedFeedstock&lt;&gt;"(All)",Table_AlwaysSend[[#This Row],[Feedstock]]="All"))</f>
        <v>0</v>
      </c>
      <c r="L110" s="303" t="b" cm="1">
        <f t="array" ref="L110">OR(NOT(ISERROR(MATCH(TRIM(_xlfn.TEXTSPLIT(Table_AlwaysSend[[#This Row],[Conversion]],",")),SelectedConversion,0))),AND(SelectedConversion&lt;&gt;"(Multiple Items)",SelectedConversion&lt;&gt;"(All)",Table_AlwaysSend[[#This Row],[Conversion]]="All"))</f>
        <v>0</v>
      </c>
      <c r="M110" s="303" t="b" cm="1">
        <f t="array" ref="M110">OR(NOT(ISERROR(MATCH(TRIM(_xlfn.TEXTSPLIT(Table_AlwaysSend[[#This Row],[Data Source]],",")),SelectedDataSource,0))),AND(SelectedDataSource&lt;&gt;"(Multiple Items)",SelectedDataSource&lt;&gt;"(All)",Table_AlwaysSend[[#This Row],[Data Source]]="All"))</f>
        <v>0</v>
      </c>
      <c r="N110" s="305" t="b" cm="1">
        <f t="array" ref="N110">OR(NOT(ISERROR(MATCH(TRIM(_xlfn.TEXTSPLIT(Table_AlwaysSend[[#This Row],[Technology]],",")),SelectedTechnology,0))),AND(SelectedTechnology&lt;&gt;"(Multiple Items)",SelectedTechnology&lt;&gt;"(All)",Table_AlwaysSend[[#This Row],[Technology]]="All"))</f>
        <v>0</v>
      </c>
      <c r="O110" s="303" t="b" cm="1">
        <f t="array" ref="O110">OR(NOT(ISERROR(MATCH(TRIM(_xlfn.TEXTSPLIT(Table_AlwaysSend[[#This Row],[Data Set]],",")),SelectedDataSet,0))),AND(SelectedDataSet&lt;&gt;"(Multiple Items)",SelectedDataSet&lt;&gt;"(All)",Table_AlwaysSend[[#This Row],[Data Set]]="All"))</f>
        <v>0</v>
      </c>
      <c r="P110" s="305" t="b">
        <f>TRUE</f>
        <v>1</v>
      </c>
      <c r="Q110" s="306" t="b">
        <f>AND(Table_AlwaysSend[[#This Row],[Show Feedstock]:[Show Data Source2]],Table_AlwaysSend[[#This Row],[Conditional]]=TRUE)</f>
        <v>0</v>
      </c>
      <c r="R110" s="276" t="s">
        <v>1144</v>
      </c>
      <c r="S110" s="291">
        <v>3</v>
      </c>
      <c r="T110" s="277" t="s">
        <v>902</v>
      </c>
    </row>
    <row r="111" spans="1:20" x14ac:dyDescent="0.3">
      <c r="E111" s="300" t="str">
        <f>IF(Table_AlwaysSend[[#This Row],[GREET1 Name Range]]="", "dash_"&amp;Table_AlwaysSend[[#This Row],[Feedstock]]&amp;"_"&amp;Table_AlwaysSend[[#This Row],[Value to Send]], Table_AlwaysSend[[#This Row],[Feedstock]]&amp;"_"&amp;Table_AlwaysSend[[#This Row],[Value to Send]]&amp;"_"&amp;Table_AlwaysSend[[#This Row],[GREET1 Name Range]])</f>
        <v>Sugarcane_1_Sugarcane_ETJ_Electricity_Allocation</v>
      </c>
      <c r="F111" s="297" t="s">
        <v>447</v>
      </c>
      <c r="G111" s="276" t="s">
        <v>1964</v>
      </c>
      <c r="H111" s="299" t="s">
        <v>194</v>
      </c>
      <c r="I111" s="282" t="s">
        <v>377</v>
      </c>
      <c r="J111" s="278" t="s">
        <v>31</v>
      </c>
      <c r="K111" s="303" t="b" cm="1">
        <f t="array" ref="K111">OR(NOT(ISERROR(MATCH(TRIM(_xlfn.TEXTSPLIT(Table_AlwaysSend[[#This Row],[Feedstock]],",")),SelectedFeedstock,0))),AND(SelectedFeedstock&lt;&gt;"(Multiple Items)",SelectedFeedstock&lt;&gt;"(All)",Table_AlwaysSend[[#This Row],[Feedstock]]="All"))</f>
        <v>0</v>
      </c>
      <c r="L111" s="303" t="b" cm="1">
        <f t="array" ref="L111">OR(NOT(ISERROR(MATCH(TRIM(_xlfn.TEXTSPLIT(Table_AlwaysSend[[#This Row],[Conversion]],",")),SelectedConversion,0))),AND(SelectedConversion&lt;&gt;"(Multiple Items)",SelectedConversion&lt;&gt;"(All)",Table_AlwaysSend[[#This Row],[Conversion]]="All"))</f>
        <v>0</v>
      </c>
      <c r="M111" s="303" t="b" cm="1">
        <f t="array" ref="M111">OR(NOT(ISERROR(MATCH(TRIM(_xlfn.TEXTSPLIT(Table_AlwaysSend[[#This Row],[Data Source]],",")),SelectedDataSource,0))),AND(SelectedDataSource&lt;&gt;"(Multiple Items)",SelectedDataSource&lt;&gt;"(All)",Table_AlwaysSend[[#This Row],[Data Source]]="All"))</f>
        <v>0</v>
      </c>
      <c r="N111" s="305" t="b" cm="1">
        <f t="array" ref="N111">OR(NOT(ISERROR(MATCH(TRIM(_xlfn.TEXTSPLIT(Table_AlwaysSend[[#This Row],[Technology]],",")),SelectedTechnology,0))),AND(SelectedTechnology&lt;&gt;"(Multiple Items)",SelectedTechnology&lt;&gt;"(All)",Table_AlwaysSend[[#This Row],[Technology]]="All"))</f>
        <v>1</v>
      </c>
      <c r="O111" s="303" t="b" cm="1">
        <f t="array" ref="O111">OR(NOT(ISERROR(MATCH(TRIM(_xlfn.TEXTSPLIT(Table_AlwaysSend[[#This Row],[Data Set]],",")),SelectedDataSet,0))),AND(SelectedDataSet&lt;&gt;"(Multiple Items)",SelectedDataSet&lt;&gt;"(All)",Table_AlwaysSend[[#This Row],[Data Set]]="All"))</f>
        <v>0</v>
      </c>
      <c r="P111" s="305" t="b">
        <f>TRUE</f>
        <v>1</v>
      </c>
      <c r="Q111" s="306" t="b">
        <f>AND(Table_AlwaysSend[[#This Row],[Show Feedstock]:[Show Data Source2]],Table_AlwaysSend[[#This Row],[Conditional]]=TRUE)</f>
        <v>0</v>
      </c>
      <c r="R111" s="276" t="s">
        <v>1145</v>
      </c>
      <c r="S111" s="286">
        <v>1</v>
      </c>
      <c r="T111" s="23" t="s">
        <v>902</v>
      </c>
    </row>
    <row r="112" spans="1:20" x14ac:dyDescent="0.3">
      <c r="E112" s="300" t="str">
        <f>IF(Table_AlwaysSend[[#This Row],[GREET1 Name Range]]="", "dash_"&amp;Table_AlwaysSend[[#This Row],[Feedstock]]&amp;"_"&amp;Table_AlwaysSend[[#This Row],[Value to Send]], Table_AlwaysSend[[#This Row],[Feedstock]]&amp;"_"&amp;Table_AlwaysSend[[#This Row],[Value to Send]]&amp;"_"&amp;Table_AlwaysSend[[#This Row],[GREET1 Name Range]])</f>
        <v>Sugarcane_1_Sugarcane_ETJ_Allocation</v>
      </c>
      <c r="F112" s="297" t="s">
        <v>447</v>
      </c>
      <c r="G112" s="276" t="s">
        <v>1964</v>
      </c>
      <c r="H112" s="299" t="s">
        <v>194</v>
      </c>
      <c r="I112" s="281" t="s">
        <v>377</v>
      </c>
      <c r="J112" s="278" t="s">
        <v>31</v>
      </c>
      <c r="K112" s="303" t="b" cm="1">
        <f t="array" ref="K112">OR(NOT(ISERROR(MATCH(TRIM(_xlfn.TEXTSPLIT(Table_AlwaysSend[[#This Row],[Feedstock]],",")),SelectedFeedstock,0))),AND(SelectedFeedstock&lt;&gt;"(Multiple Items)",SelectedFeedstock&lt;&gt;"(All)",Table_AlwaysSend[[#This Row],[Feedstock]]="All"))</f>
        <v>0</v>
      </c>
      <c r="L112" s="303" t="b" cm="1">
        <f t="array" ref="L112">OR(NOT(ISERROR(MATCH(TRIM(_xlfn.TEXTSPLIT(Table_AlwaysSend[[#This Row],[Conversion]],",")),SelectedConversion,0))),AND(SelectedConversion&lt;&gt;"(Multiple Items)",SelectedConversion&lt;&gt;"(All)",Table_AlwaysSend[[#This Row],[Conversion]]="All"))</f>
        <v>0</v>
      </c>
      <c r="M112" s="303" t="b" cm="1">
        <f t="array" ref="M112">OR(NOT(ISERROR(MATCH(TRIM(_xlfn.TEXTSPLIT(Table_AlwaysSend[[#This Row],[Data Source]],",")),SelectedDataSource,0))),AND(SelectedDataSource&lt;&gt;"(Multiple Items)",SelectedDataSource&lt;&gt;"(All)",Table_AlwaysSend[[#This Row],[Data Source]]="All"))</f>
        <v>0</v>
      </c>
      <c r="N112" s="308" t="b" cm="1">
        <f t="array" ref="N112">OR(NOT(ISERROR(MATCH(TRIM(_xlfn.TEXTSPLIT(Table_AlwaysSend[[#This Row],[Technology]],",")),SelectedTechnology,0))),AND(SelectedTechnology&lt;&gt;"(Multiple Items)",SelectedTechnology&lt;&gt;"(All)",Table_AlwaysSend[[#This Row],[Technology]]="All"))</f>
        <v>1</v>
      </c>
      <c r="O112" s="303" t="b" cm="1">
        <f t="array" ref="O112">OR(NOT(ISERROR(MATCH(TRIM(_xlfn.TEXTSPLIT(Table_AlwaysSend[[#This Row],[Data Set]],",")),SelectedDataSet,0))),AND(SelectedDataSet&lt;&gt;"(Multiple Items)",SelectedDataSet&lt;&gt;"(All)",Table_AlwaysSend[[#This Row],[Data Set]]="All"))</f>
        <v>0</v>
      </c>
      <c r="P112" s="305" t="b">
        <f>TRUE</f>
        <v>1</v>
      </c>
      <c r="Q112" s="306" t="b">
        <f>AND(Table_AlwaysSend[[#This Row],[Show Feedstock]:[Show Data Source2]],Table_AlwaysSend[[#This Row],[Conditional]]=TRUE)</f>
        <v>0</v>
      </c>
      <c r="R112" s="276" t="s">
        <v>1144</v>
      </c>
      <c r="S112" s="286">
        <v>1</v>
      </c>
      <c r="T112" s="23" t="s">
        <v>902</v>
      </c>
    </row>
    <row r="113" spans="5:20" x14ac:dyDescent="0.3">
      <c r="E113" s="300" t="str">
        <f>IF(Table_AlwaysSend[[#This Row],[GREET1 Name Range]]="", "dash_"&amp;Table_AlwaysSend[[#This Row],[Feedstock]]&amp;"_"&amp;Table_AlwaysSend[[#This Row],[Value to Send]], Table_AlwaysSend[[#This Row],[Feedstock]]&amp;"_"&amp;Table_AlwaysSend[[#This Row],[Value to Send]]&amp;"_"&amp;Table_AlwaysSend[[#This Row],[GREET1 Name Range]])</f>
        <v>Sugarcane_1_Sugarcane_ETJ_Electricity_Allocation</v>
      </c>
      <c r="F113" s="297" t="s">
        <v>447</v>
      </c>
      <c r="G113" s="276" t="s">
        <v>1964</v>
      </c>
      <c r="H113" s="299" t="s">
        <v>194</v>
      </c>
      <c r="I113" s="282" t="s">
        <v>355</v>
      </c>
      <c r="J113" s="278" t="s">
        <v>31</v>
      </c>
      <c r="K113" s="303" t="b" cm="1">
        <f t="array" ref="K113">OR(NOT(ISERROR(MATCH(TRIM(_xlfn.TEXTSPLIT(Table_AlwaysSend[[#This Row],[Feedstock]],",")),SelectedFeedstock,0))),AND(SelectedFeedstock&lt;&gt;"(Multiple Items)",SelectedFeedstock&lt;&gt;"(All)",Table_AlwaysSend[[#This Row],[Feedstock]]="All"))</f>
        <v>0</v>
      </c>
      <c r="L113" s="303" t="b" cm="1">
        <f t="array" ref="L113">OR(NOT(ISERROR(MATCH(TRIM(_xlfn.TEXTSPLIT(Table_AlwaysSend[[#This Row],[Conversion]],",")),SelectedConversion,0))),AND(SelectedConversion&lt;&gt;"(Multiple Items)",SelectedConversion&lt;&gt;"(All)",Table_AlwaysSend[[#This Row],[Conversion]]="All"))</f>
        <v>0</v>
      </c>
      <c r="M113" s="303" t="b" cm="1">
        <f t="array" ref="M113">OR(NOT(ISERROR(MATCH(TRIM(_xlfn.TEXTSPLIT(Table_AlwaysSend[[#This Row],[Data Source]],",")),SelectedDataSource,0))),AND(SelectedDataSource&lt;&gt;"(Multiple Items)",SelectedDataSource&lt;&gt;"(All)",Table_AlwaysSend[[#This Row],[Data Source]]="All"))</f>
        <v>0</v>
      </c>
      <c r="N113" s="308" t="b" cm="1">
        <f t="array" ref="N113">OR(NOT(ISERROR(MATCH(TRIM(_xlfn.TEXTSPLIT(Table_AlwaysSend[[#This Row],[Technology]],",")),SelectedTechnology,0))),AND(SelectedTechnology&lt;&gt;"(Multiple Items)",SelectedTechnology&lt;&gt;"(All)",Table_AlwaysSend[[#This Row],[Technology]]="All"))</f>
        <v>1</v>
      </c>
      <c r="O113" s="303" t="b" cm="1">
        <f t="array" ref="O113">OR(NOT(ISERROR(MATCH(TRIM(_xlfn.TEXTSPLIT(Table_AlwaysSend[[#This Row],[Data Set]],",")),SelectedDataSet,0))),AND(SelectedDataSet&lt;&gt;"(Multiple Items)",SelectedDataSet&lt;&gt;"(All)",Table_AlwaysSend[[#This Row],[Data Set]]="All"))</f>
        <v>0</v>
      </c>
      <c r="P113" s="305" t="b">
        <f>TRUE</f>
        <v>1</v>
      </c>
      <c r="Q113" s="306" t="b">
        <f>AND(Table_AlwaysSend[[#This Row],[Show Feedstock]:[Show Data Source2]],Table_AlwaysSend[[#This Row],[Conditional]]=TRUE)</f>
        <v>0</v>
      </c>
      <c r="R113" s="276" t="s">
        <v>1145</v>
      </c>
      <c r="S113" s="286">
        <v>1</v>
      </c>
      <c r="T113" s="23" t="s">
        <v>902</v>
      </c>
    </row>
    <row r="114" spans="5:20" x14ac:dyDescent="0.3">
      <c r="E114" s="300" t="str">
        <f>IF(Table_AlwaysSend[[#This Row],[GREET1 Name Range]]="", "dash_"&amp;Table_AlwaysSend[[#This Row],[Feedstock]]&amp;"_"&amp;Table_AlwaysSend[[#This Row],[Value to Send]], Table_AlwaysSend[[#This Row],[Feedstock]]&amp;"_"&amp;Table_AlwaysSend[[#This Row],[Value to Send]]&amp;"_"&amp;Table_AlwaysSend[[#This Row],[GREET1 Name Range]])</f>
        <v>Sugarcane_1_Sugarcane_ETJ_Allocation</v>
      </c>
      <c r="F114" s="297" t="s">
        <v>447</v>
      </c>
      <c r="G114" s="276" t="s">
        <v>1964</v>
      </c>
      <c r="H114" s="299" t="s">
        <v>194</v>
      </c>
      <c r="I114" s="281" t="s">
        <v>355</v>
      </c>
      <c r="J114" s="278" t="s">
        <v>31</v>
      </c>
      <c r="K114" s="303" t="b" cm="1">
        <f t="array" ref="K114">OR(NOT(ISERROR(MATCH(TRIM(_xlfn.TEXTSPLIT(Table_AlwaysSend[[#This Row],[Feedstock]],",")),SelectedFeedstock,0))),AND(SelectedFeedstock&lt;&gt;"(Multiple Items)",SelectedFeedstock&lt;&gt;"(All)",Table_AlwaysSend[[#This Row],[Feedstock]]="All"))</f>
        <v>0</v>
      </c>
      <c r="L114" s="303" t="b" cm="1">
        <f t="array" ref="L114">OR(NOT(ISERROR(MATCH(TRIM(_xlfn.TEXTSPLIT(Table_AlwaysSend[[#This Row],[Conversion]],",")),SelectedConversion,0))),AND(SelectedConversion&lt;&gt;"(Multiple Items)",SelectedConversion&lt;&gt;"(All)",Table_AlwaysSend[[#This Row],[Conversion]]="All"))</f>
        <v>0</v>
      </c>
      <c r="M114" s="303" t="b" cm="1">
        <f t="array" ref="M114">OR(NOT(ISERROR(MATCH(TRIM(_xlfn.TEXTSPLIT(Table_AlwaysSend[[#This Row],[Data Source]],",")),SelectedDataSource,0))),AND(SelectedDataSource&lt;&gt;"(Multiple Items)",SelectedDataSource&lt;&gt;"(All)",Table_AlwaysSend[[#This Row],[Data Source]]="All"))</f>
        <v>0</v>
      </c>
      <c r="N114" s="308" t="b" cm="1">
        <f t="array" ref="N114">OR(NOT(ISERROR(MATCH(TRIM(_xlfn.TEXTSPLIT(Table_AlwaysSend[[#This Row],[Technology]],",")),SelectedTechnology,0))),AND(SelectedTechnology&lt;&gt;"(Multiple Items)",SelectedTechnology&lt;&gt;"(All)",Table_AlwaysSend[[#This Row],[Technology]]="All"))</f>
        <v>1</v>
      </c>
      <c r="O114" s="303" t="b" cm="1">
        <f t="array" ref="O114">OR(NOT(ISERROR(MATCH(TRIM(_xlfn.TEXTSPLIT(Table_AlwaysSend[[#This Row],[Data Set]],",")),SelectedDataSet,0))),AND(SelectedDataSet&lt;&gt;"(Multiple Items)",SelectedDataSet&lt;&gt;"(All)",Table_AlwaysSend[[#This Row],[Data Set]]="All"))</f>
        <v>0</v>
      </c>
      <c r="P114" s="305" t="b">
        <f>TRUE</f>
        <v>1</v>
      </c>
      <c r="Q114" s="306" t="b">
        <f>AND(Table_AlwaysSend[[#This Row],[Show Feedstock]:[Show Data Source2]],Table_AlwaysSend[[#This Row],[Conditional]]=TRUE)</f>
        <v>0</v>
      </c>
      <c r="R114" s="276" t="s">
        <v>1144</v>
      </c>
      <c r="S114" s="286">
        <v>1</v>
      </c>
      <c r="T114" s="23" t="s">
        <v>902</v>
      </c>
    </row>
    <row r="115" spans="5:20" x14ac:dyDescent="0.3">
      <c r="E115" s="300" t="str">
        <f>IF(Table_AlwaysSend[[#This Row],[GREET1 Name Range]]="", "dash_"&amp;Table_AlwaysSend[[#This Row],[Feedstock]]&amp;"_"&amp;Table_AlwaysSend[[#This Row],[Value to Send]], Table_AlwaysSend[[#This Row],[Feedstock]]&amp;"_"&amp;Table_AlwaysSend[[#This Row],[Value to Send]]&amp;"_"&amp;Table_AlwaysSend[[#This Row],[GREET1 Name Range]])</f>
        <v>Sugarcane_1_Sugarcane_ETJ_Electricity_Allocation</v>
      </c>
      <c r="F115" s="297" t="s">
        <v>447</v>
      </c>
      <c r="G115" s="276" t="s">
        <v>1964</v>
      </c>
      <c r="H115" s="299" t="s">
        <v>194</v>
      </c>
      <c r="I115" s="281" t="s">
        <v>882</v>
      </c>
      <c r="J115" s="278" t="s">
        <v>31</v>
      </c>
      <c r="K115" s="303" t="b" cm="1">
        <f t="array" ref="K115">OR(NOT(ISERROR(MATCH(TRIM(_xlfn.TEXTSPLIT(Table_AlwaysSend[[#This Row],[Feedstock]],",")),SelectedFeedstock,0))),AND(SelectedFeedstock&lt;&gt;"(Multiple Items)",SelectedFeedstock&lt;&gt;"(All)",Table_AlwaysSend[[#This Row],[Feedstock]]="All"))</f>
        <v>0</v>
      </c>
      <c r="L115" s="303" t="b" cm="1">
        <f t="array" ref="L115">OR(NOT(ISERROR(MATCH(TRIM(_xlfn.TEXTSPLIT(Table_AlwaysSend[[#This Row],[Conversion]],",")),SelectedConversion,0))),AND(SelectedConversion&lt;&gt;"(Multiple Items)",SelectedConversion&lt;&gt;"(All)",Table_AlwaysSend[[#This Row],[Conversion]]="All"))</f>
        <v>0</v>
      </c>
      <c r="M115" s="303" t="b" cm="1">
        <f t="array" ref="M115">OR(NOT(ISERROR(MATCH(TRIM(_xlfn.TEXTSPLIT(Table_AlwaysSend[[#This Row],[Data Source]],",")),SelectedDataSource,0))),AND(SelectedDataSource&lt;&gt;"(Multiple Items)",SelectedDataSource&lt;&gt;"(All)",Table_AlwaysSend[[#This Row],[Data Source]]="All"))</f>
        <v>0</v>
      </c>
      <c r="N115" s="308" t="b" cm="1">
        <f t="array" ref="N115">OR(NOT(ISERROR(MATCH(TRIM(_xlfn.TEXTSPLIT(Table_AlwaysSend[[#This Row],[Technology]],",")),SelectedTechnology,0))),AND(SelectedTechnology&lt;&gt;"(Multiple Items)",SelectedTechnology&lt;&gt;"(All)",Table_AlwaysSend[[#This Row],[Technology]]="All"))</f>
        <v>1</v>
      </c>
      <c r="O115" s="303" t="b" cm="1">
        <f t="array" ref="O115">OR(NOT(ISERROR(MATCH(TRIM(_xlfn.TEXTSPLIT(Table_AlwaysSend[[#This Row],[Data Set]],",")),SelectedDataSet,0))),AND(SelectedDataSet&lt;&gt;"(Multiple Items)",SelectedDataSet&lt;&gt;"(All)",Table_AlwaysSend[[#This Row],[Data Set]]="All"))</f>
        <v>0</v>
      </c>
      <c r="P115" s="305" t="b">
        <f>TRUE</f>
        <v>1</v>
      </c>
      <c r="Q115" s="306" t="b">
        <f>AND(Table_AlwaysSend[[#This Row],[Show Feedstock]:[Show Data Source2]],Table_AlwaysSend[[#This Row],[Conditional]]=TRUE)</f>
        <v>0</v>
      </c>
      <c r="R115" s="276" t="s">
        <v>1145</v>
      </c>
      <c r="S115" s="286">
        <v>1</v>
      </c>
      <c r="T115" s="23" t="s">
        <v>902</v>
      </c>
    </row>
    <row r="116" spans="5:20" x14ac:dyDescent="0.3">
      <c r="E116" s="300" t="str">
        <f>IF(Table_AlwaysSend[[#This Row],[GREET1 Name Range]]="", "dash_"&amp;Table_AlwaysSend[[#This Row],[Feedstock]]&amp;"_"&amp;Table_AlwaysSend[[#This Row],[Value to Send]], Table_AlwaysSend[[#This Row],[Feedstock]]&amp;"_"&amp;Table_AlwaysSend[[#This Row],[Value to Send]]&amp;"_"&amp;Table_AlwaysSend[[#This Row],[GREET1 Name Range]])</f>
        <v>Sugarcane_1_Cellulosic_ETJ_Electricity_Allocation</v>
      </c>
      <c r="F116" s="297" t="s">
        <v>447</v>
      </c>
      <c r="G116" s="276" t="s">
        <v>1964</v>
      </c>
      <c r="H116" s="299" t="s">
        <v>194</v>
      </c>
      <c r="I116" s="281" t="s">
        <v>882</v>
      </c>
      <c r="J116" s="278" t="s">
        <v>31</v>
      </c>
      <c r="K116" s="303" t="b" cm="1">
        <f t="array" ref="K116">OR(NOT(ISERROR(MATCH(TRIM(_xlfn.TEXTSPLIT(Table_AlwaysSend[[#This Row],[Feedstock]],",")),SelectedFeedstock,0))),AND(SelectedFeedstock&lt;&gt;"(Multiple Items)",SelectedFeedstock&lt;&gt;"(All)",Table_AlwaysSend[[#This Row],[Feedstock]]="All"))</f>
        <v>0</v>
      </c>
      <c r="L116" s="303" t="b" cm="1">
        <f t="array" ref="L116">OR(NOT(ISERROR(MATCH(TRIM(_xlfn.TEXTSPLIT(Table_AlwaysSend[[#This Row],[Conversion]],",")),SelectedConversion,0))),AND(SelectedConversion&lt;&gt;"(Multiple Items)",SelectedConversion&lt;&gt;"(All)",Table_AlwaysSend[[#This Row],[Conversion]]="All"))</f>
        <v>0</v>
      </c>
      <c r="M116" s="303" t="b" cm="1">
        <f t="array" ref="M116">OR(NOT(ISERROR(MATCH(TRIM(_xlfn.TEXTSPLIT(Table_AlwaysSend[[#This Row],[Data Source]],",")),SelectedDataSource,0))),AND(SelectedDataSource&lt;&gt;"(Multiple Items)",SelectedDataSource&lt;&gt;"(All)",Table_AlwaysSend[[#This Row],[Data Source]]="All"))</f>
        <v>0</v>
      </c>
      <c r="N116" s="308" t="b" cm="1">
        <f t="array" ref="N116">OR(NOT(ISERROR(MATCH(TRIM(_xlfn.TEXTSPLIT(Table_AlwaysSend[[#This Row],[Technology]],",")),SelectedTechnology,0))),AND(SelectedTechnology&lt;&gt;"(Multiple Items)",SelectedTechnology&lt;&gt;"(All)",Table_AlwaysSend[[#This Row],[Technology]]="All"))</f>
        <v>1</v>
      </c>
      <c r="O116" s="303" t="b" cm="1">
        <f t="array" ref="O116">OR(NOT(ISERROR(MATCH(TRIM(_xlfn.TEXTSPLIT(Table_AlwaysSend[[#This Row],[Data Set]],",")),SelectedDataSet,0))),AND(SelectedDataSet&lt;&gt;"(Multiple Items)",SelectedDataSet&lt;&gt;"(All)",Table_AlwaysSend[[#This Row],[Data Set]]="All"))</f>
        <v>0</v>
      </c>
      <c r="P116" s="305" t="b">
        <f>TRUE</f>
        <v>1</v>
      </c>
      <c r="Q116" s="306" t="b">
        <f>AND(Table_AlwaysSend[[#This Row],[Show Feedstock]:[Show Data Source2]],Table_AlwaysSend[[#This Row],[Conditional]]=TRUE)</f>
        <v>0</v>
      </c>
      <c r="R116" s="276" t="s">
        <v>1146</v>
      </c>
      <c r="S116" s="286">
        <v>1</v>
      </c>
      <c r="T116" s="23" t="s">
        <v>902</v>
      </c>
    </row>
    <row r="117" spans="5:20" x14ac:dyDescent="0.3">
      <c r="E117" s="300" t="str">
        <f>IF(Table_AlwaysSend[[#This Row],[GREET1 Name Range]]="", "dash_"&amp;Table_AlwaysSend[[#This Row],[Feedstock]]&amp;"_"&amp;Table_AlwaysSend[[#This Row],[Value to Send]], Table_AlwaysSend[[#This Row],[Feedstock]]&amp;"_"&amp;Table_AlwaysSend[[#This Row],[Value to Send]]&amp;"_"&amp;Table_AlwaysSend[[#This Row],[GREET1 Name Range]])</f>
        <v>Corn stover_2_Cellulosic_ETJ_Electricity_Allocation</v>
      </c>
      <c r="F117" s="297" t="s">
        <v>135</v>
      </c>
      <c r="G117" s="276" t="s">
        <v>1964</v>
      </c>
      <c r="H117" s="299" t="s">
        <v>29</v>
      </c>
      <c r="I117" s="281" t="s">
        <v>29</v>
      </c>
      <c r="J117" s="278" t="s">
        <v>911</v>
      </c>
      <c r="K117" s="303" t="b" cm="1">
        <f t="array" ref="K117">OR(NOT(ISERROR(MATCH(TRIM(_xlfn.TEXTSPLIT(Table_AlwaysSend[[#This Row],[Feedstock]],",")),SelectedFeedstock,0))),AND(SelectedFeedstock&lt;&gt;"(Multiple Items)",SelectedFeedstock&lt;&gt;"(All)",Table_AlwaysSend[[#This Row],[Feedstock]]="All"))</f>
        <v>0</v>
      </c>
      <c r="L117" s="303" t="b" cm="1">
        <f t="array" ref="L117">OR(NOT(ISERROR(MATCH(TRIM(_xlfn.TEXTSPLIT(Table_AlwaysSend[[#This Row],[Conversion]],",")),SelectedConversion,0))),AND(SelectedConversion&lt;&gt;"(Multiple Items)",SelectedConversion&lt;&gt;"(All)",Table_AlwaysSend[[#This Row],[Conversion]]="All"))</f>
        <v>0</v>
      </c>
      <c r="M117" s="303" t="b" cm="1">
        <f t="array" ref="M117">OR(NOT(ISERROR(MATCH(TRIM(_xlfn.TEXTSPLIT(Table_AlwaysSend[[#This Row],[Data Source]],",")),SelectedDataSource,0))),AND(SelectedDataSource&lt;&gt;"(Multiple Items)",SelectedDataSource&lt;&gt;"(All)",Table_AlwaysSend[[#This Row],[Data Source]]="All"))</f>
        <v>1</v>
      </c>
      <c r="N117" s="308" t="b" cm="1">
        <f t="array" ref="N117">OR(NOT(ISERROR(MATCH(TRIM(_xlfn.TEXTSPLIT(Table_AlwaysSend[[#This Row],[Technology]],",")),SelectedTechnology,0))),AND(SelectedTechnology&lt;&gt;"(Multiple Items)",SelectedTechnology&lt;&gt;"(All)",Table_AlwaysSend[[#This Row],[Technology]]="All"))</f>
        <v>0</v>
      </c>
      <c r="O117" s="303" t="b" cm="1">
        <f t="array" ref="O117">OR(NOT(ISERROR(MATCH(TRIM(_xlfn.TEXTSPLIT(Table_AlwaysSend[[#This Row],[Data Set]],",")),SelectedDataSet,0))),AND(SelectedDataSet&lt;&gt;"(Multiple Items)",SelectedDataSet&lt;&gt;"(All)",Table_AlwaysSend[[#This Row],[Data Set]]="All"))</f>
        <v>1</v>
      </c>
      <c r="P117" s="305" t="b">
        <f>TRUE</f>
        <v>1</v>
      </c>
      <c r="Q117" s="306" t="b">
        <f>AND(Table_AlwaysSend[[#This Row],[Show Feedstock]:[Show Data Source2]],Table_AlwaysSend[[#This Row],[Conditional]]=TRUE)</f>
        <v>0</v>
      </c>
      <c r="R117" s="276" t="s">
        <v>1146</v>
      </c>
      <c r="S117" s="286">
        <v>2</v>
      </c>
      <c r="T117" s="23" t="s">
        <v>1140</v>
      </c>
    </row>
    <row r="118" spans="5:20" x14ac:dyDescent="0.3">
      <c r="E118" s="300" t="str">
        <f>IF(Table_AlwaysSend[[#This Row],[GREET1 Name Range]]="", "dash_"&amp;Table_AlwaysSend[[#This Row],[Feedstock]]&amp;"_"&amp;Table_AlwaysSend[[#This Row],[Value to Send]], Table_AlwaysSend[[#This Row],[Feedstock]]&amp;"_"&amp;Table_AlwaysSend[[#This Row],[Value to Send]]&amp;"_"&amp;Table_AlwaysSend[[#This Row],[GREET1 Name Range]])</f>
        <v>Willow_2_Cellulosic_ETJ_Electricity_Allocation</v>
      </c>
      <c r="F118" s="297" t="s">
        <v>131</v>
      </c>
      <c r="G118" s="276" t="s">
        <v>1964</v>
      </c>
      <c r="H118" s="299" t="s">
        <v>29</v>
      </c>
      <c r="I118" s="281" t="s">
        <v>29</v>
      </c>
      <c r="J118" s="278" t="s">
        <v>911</v>
      </c>
      <c r="K118" s="303" t="b" cm="1">
        <f t="array" ref="K118">OR(NOT(ISERROR(MATCH(TRIM(_xlfn.TEXTSPLIT(Table_AlwaysSend[[#This Row],[Feedstock]],",")),SelectedFeedstock,0))),AND(SelectedFeedstock&lt;&gt;"(Multiple Items)",SelectedFeedstock&lt;&gt;"(All)",Table_AlwaysSend[[#This Row],[Feedstock]]="All"))</f>
        <v>0</v>
      </c>
      <c r="L118" s="303" t="b" cm="1">
        <f t="array" ref="L118">OR(NOT(ISERROR(MATCH(TRIM(_xlfn.TEXTSPLIT(Table_AlwaysSend[[#This Row],[Conversion]],",")),SelectedConversion,0))),AND(SelectedConversion&lt;&gt;"(Multiple Items)",SelectedConversion&lt;&gt;"(All)",Table_AlwaysSend[[#This Row],[Conversion]]="All"))</f>
        <v>0</v>
      </c>
      <c r="M118" s="303" t="b" cm="1">
        <f t="array" ref="M118">OR(NOT(ISERROR(MATCH(TRIM(_xlfn.TEXTSPLIT(Table_AlwaysSend[[#This Row],[Data Source]],",")),SelectedDataSource,0))),AND(SelectedDataSource&lt;&gt;"(Multiple Items)",SelectedDataSource&lt;&gt;"(All)",Table_AlwaysSend[[#This Row],[Data Source]]="All"))</f>
        <v>1</v>
      </c>
      <c r="N118" s="305" t="b" cm="1">
        <f t="array" ref="N118">OR(NOT(ISERROR(MATCH(TRIM(_xlfn.TEXTSPLIT(Table_AlwaysSend[[#This Row],[Technology]],",")),SelectedTechnology,0))),AND(SelectedTechnology&lt;&gt;"(Multiple Items)",SelectedTechnology&lt;&gt;"(All)",Table_AlwaysSend[[#This Row],[Technology]]="All"))</f>
        <v>0</v>
      </c>
      <c r="O118" s="303" t="b" cm="1">
        <f t="array" ref="O118">OR(NOT(ISERROR(MATCH(TRIM(_xlfn.TEXTSPLIT(Table_AlwaysSend[[#This Row],[Data Set]],",")),SelectedDataSet,0))),AND(SelectedDataSet&lt;&gt;"(Multiple Items)",SelectedDataSet&lt;&gt;"(All)",Table_AlwaysSend[[#This Row],[Data Set]]="All"))</f>
        <v>1</v>
      </c>
      <c r="P118" s="305" t="b">
        <f>TRUE</f>
        <v>1</v>
      </c>
      <c r="Q118" s="306" t="b">
        <f>AND(Table_AlwaysSend[[#This Row],[Show Feedstock]:[Show Data Source2]],Table_AlwaysSend[[#This Row],[Conditional]]=TRUE)</f>
        <v>0</v>
      </c>
      <c r="R118" s="276" t="s">
        <v>1146</v>
      </c>
      <c r="S118" s="286">
        <v>2</v>
      </c>
      <c r="T118" s="23" t="s">
        <v>1140</v>
      </c>
    </row>
    <row r="119" spans="5:20" x14ac:dyDescent="0.3">
      <c r="E119" s="300" t="str">
        <f>IF(Table_AlwaysSend[[#This Row],[GREET1 Name Range]]="", "dash_"&amp;Table_AlwaysSend[[#This Row],[Feedstock]]&amp;"_"&amp;Table_AlwaysSend[[#This Row],[Value to Send]], Table_AlwaysSend[[#This Row],[Feedstock]]&amp;"_"&amp;Table_AlwaysSend[[#This Row],[Value to Send]]&amp;"_"&amp;Table_AlwaysSend[[#This Row],[GREET1 Name Range]])</f>
        <v>Poplar_2_Cellulosic_ETJ_Electricity_Allocation</v>
      </c>
      <c r="F119" s="297" t="s">
        <v>132</v>
      </c>
      <c r="G119" s="276" t="s">
        <v>1964</v>
      </c>
      <c r="H119" s="299" t="s">
        <v>29</v>
      </c>
      <c r="I119" s="281" t="s">
        <v>29</v>
      </c>
      <c r="J119" s="278" t="s">
        <v>911</v>
      </c>
      <c r="K119" s="303" t="b" cm="1">
        <f t="array" ref="K119">OR(NOT(ISERROR(MATCH(TRIM(_xlfn.TEXTSPLIT(Table_AlwaysSend[[#This Row],[Feedstock]],",")),SelectedFeedstock,0))),AND(SelectedFeedstock&lt;&gt;"(Multiple Items)",SelectedFeedstock&lt;&gt;"(All)",Table_AlwaysSend[[#This Row],[Feedstock]]="All"))</f>
        <v>0</v>
      </c>
      <c r="L119" s="303" t="b" cm="1">
        <f t="array" ref="L119">OR(NOT(ISERROR(MATCH(TRIM(_xlfn.TEXTSPLIT(Table_AlwaysSend[[#This Row],[Conversion]],",")),SelectedConversion,0))),AND(SelectedConversion&lt;&gt;"(Multiple Items)",SelectedConversion&lt;&gt;"(All)",Table_AlwaysSend[[#This Row],[Conversion]]="All"))</f>
        <v>0</v>
      </c>
      <c r="M119" s="303" t="b" cm="1">
        <f t="array" ref="M119">OR(NOT(ISERROR(MATCH(TRIM(_xlfn.TEXTSPLIT(Table_AlwaysSend[[#This Row],[Data Source]],",")),SelectedDataSource,0))),AND(SelectedDataSource&lt;&gt;"(Multiple Items)",SelectedDataSource&lt;&gt;"(All)",Table_AlwaysSend[[#This Row],[Data Source]]="All"))</f>
        <v>1</v>
      </c>
      <c r="N119" s="308" t="b" cm="1">
        <f t="array" ref="N119">OR(NOT(ISERROR(MATCH(TRIM(_xlfn.TEXTSPLIT(Table_AlwaysSend[[#This Row],[Technology]],",")),SelectedTechnology,0))),AND(SelectedTechnology&lt;&gt;"(Multiple Items)",SelectedTechnology&lt;&gt;"(All)",Table_AlwaysSend[[#This Row],[Technology]]="All"))</f>
        <v>0</v>
      </c>
      <c r="O119" s="303" t="b" cm="1">
        <f t="array" ref="O119">OR(NOT(ISERROR(MATCH(TRIM(_xlfn.TEXTSPLIT(Table_AlwaysSend[[#This Row],[Data Set]],",")),SelectedDataSet,0))),AND(SelectedDataSet&lt;&gt;"(Multiple Items)",SelectedDataSet&lt;&gt;"(All)",Table_AlwaysSend[[#This Row],[Data Set]]="All"))</f>
        <v>1</v>
      </c>
      <c r="P119" s="305" t="b">
        <f>TRUE</f>
        <v>1</v>
      </c>
      <c r="Q119" s="306" t="b">
        <f>AND(Table_AlwaysSend[[#This Row],[Show Feedstock]:[Show Data Source2]],Table_AlwaysSend[[#This Row],[Conditional]]=TRUE)</f>
        <v>0</v>
      </c>
      <c r="R119" s="276" t="s">
        <v>1146</v>
      </c>
      <c r="S119" s="286">
        <v>2</v>
      </c>
      <c r="T119" s="23" t="s">
        <v>1140</v>
      </c>
    </row>
    <row r="120" spans="5:20" x14ac:dyDescent="0.3">
      <c r="E120" s="300" t="str">
        <f>IF(Table_AlwaysSend[[#This Row],[GREET1 Name Range]]="", "dash_"&amp;Table_AlwaysSend[[#This Row],[Feedstock]]&amp;"_"&amp;Table_AlwaysSend[[#This Row],[Value to Send]], Table_AlwaysSend[[#This Row],[Feedstock]]&amp;"_"&amp;Table_AlwaysSend[[#This Row],[Value to Send]]&amp;"_"&amp;Table_AlwaysSend[[#This Row],[GREET1 Name Range]])</f>
        <v>Switchgrass_2_Cellulosic_ETJ_Electricity_Allocation</v>
      </c>
      <c r="F120" s="297" t="s">
        <v>133</v>
      </c>
      <c r="G120" s="276" t="s">
        <v>1964</v>
      </c>
      <c r="H120" s="299" t="s">
        <v>29</v>
      </c>
      <c r="I120" s="281" t="s">
        <v>29</v>
      </c>
      <c r="J120" s="278" t="s">
        <v>911</v>
      </c>
      <c r="K120" s="303" t="b" cm="1">
        <f t="array" ref="K120">OR(NOT(ISERROR(MATCH(TRIM(_xlfn.TEXTSPLIT(Table_AlwaysSend[[#This Row],[Feedstock]],",")),SelectedFeedstock,0))),AND(SelectedFeedstock&lt;&gt;"(Multiple Items)",SelectedFeedstock&lt;&gt;"(All)",Table_AlwaysSend[[#This Row],[Feedstock]]="All"))</f>
        <v>0</v>
      </c>
      <c r="L120" s="303" t="b" cm="1">
        <f t="array" ref="L120">OR(NOT(ISERROR(MATCH(TRIM(_xlfn.TEXTSPLIT(Table_AlwaysSend[[#This Row],[Conversion]],",")),SelectedConversion,0))),AND(SelectedConversion&lt;&gt;"(Multiple Items)",SelectedConversion&lt;&gt;"(All)",Table_AlwaysSend[[#This Row],[Conversion]]="All"))</f>
        <v>0</v>
      </c>
      <c r="M120" s="303" t="b" cm="1">
        <f t="array" ref="M120">OR(NOT(ISERROR(MATCH(TRIM(_xlfn.TEXTSPLIT(Table_AlwaysSend[[#This Row],[Data Source]],",")),SelectedDataSource,0))),AND(SelectedDataSource&lt;&gt;"(Multiple Items)",SelectedDataSource&lt;&gt;"(All)",Table_AlwaysSend[[#This Row],[Data Source]]="All"))</f>
        <v>1</v>
      </c>
      <c r="N120" s="308" t="b" cm="1">
        <f t="array" ref="N120">OR(NOT(ISERROR(MATCH(TRIM(_xlfn.TEXTSPLIT(Table_AlwaysSend[[#This Row],[Technology]],",")),SelectedTechnology,0))),AND(SelectedTechnology&lt;&gt;"(Multiple Items)",SelectedTechnology&lt;&gt;"(All)",Table_AlwaysSend[[#This Row],[Technology]]="All"))</f>
        <v>0</v>
      </c>
      <c r="O120" s="303" t="b" cm="1">
        <f t="array" ref="O120">OR(NOT(ISERROR(MATCH(TRIM(_xlfn.TEXTSPLIT(Table_AlwaysSend[[#This Row],[Data Set]],",")),SelectedDataSet,0))),AND(SelectedDataSet&lt;&gt;"(Multiple Items)",SelectedDataSet&lt;&gt;"(All)",Table_AlwaysSend[[#This Row],[Data Set]]="All"))</f>
        <v>1</v>
      </c>
      <c r="P120" s="305" t="b">
        <f>TRUE</f>
        <v>1</v>
      </c>
      <c r="Q120" s="306" t="b">
        <f>AND(Table_AlwaysSend[[#This Row],[Show Feedstock]:[Show Data Source2]],Table_AlwaysSend[[#This Row],[Conditional]]=TRUE)</f>
        <v>0</v>
      </c>
      <c r="R120" s="276" t="s">
        <v>1146</v>
      </c>
      <c r="S120" s="286">
        <v>2</v>
      </c>
      <c r="T120" s="23" t="s">
        <v>1140</v>
      </c>
    </row>
    <row r="121" spans="5:20" x14ac:dyDescent="0.3">
      <c r="E121" s="300" t="str">
        <f>IF(Table_AlwaysSend[[#This Row],[GREET1 Name Range]]="", "dash_"&amp;Table_AlwaysSend[[#This Row],[Feedstock]]&amp;"_"&amp;Table_AlwaysSend[[#This Row],[Value to Send]], Table_AlwaysSend[[#This Row],[Feedstock]]&amp;"_"&amp;Table_AlwaysSend[[#This Row],[Value to Send]]&amp;"_"&amp;Table_AlwaysSend[[#This Row],[GREET1 Name Range]])</f>
        <v>Miscanthus_2_Cellulosic_ETJ_Electricity_Allocation</v>
      </c>
      <c r="F121" s="297" t="s">
        <v>134</v>
      </c>
      <c r="G121" s="276" t="s">
        <v>1964</v>
      </c>
      <c r="H121" s="299" t="s">
        <v>29</v>
      </c>
      <c r="I121" s="281" t="s">
        <v>29</v>
      </c>
      <c r="J121" s="278" t="s">
        <v>911</v>
      </c>
      <c r="K121" s="303" t="b" cm="1">
        <f t="array" ref="K121">OR(NOT(ISERROR(MATCH(TRIM(_xlfn.TEXTSPLIT(Table_AlwaysSend[[#This Row],[Feedstock]],",")),SelectedFeedstock,0))),AND(SelectedFeedstock&lt;&gt;"(Multiple Items)",SelectedFeedstock&lt;&gt;"(All)",Table_AlwaysSend[[#This Row],[Feedstock]]="All"))</f>
        <v>0</v>
      </c>
      <c r="L121" s="303" t="b" cm="1">
        <f t="array" ref="L121">OR(NOT(ISERROR(MATCH(TRIM(_xlfn.TEXTSPLIT(Table_AlwaysSend[[#This Row],[Conversion]],",")),SelectedConversion,0))),AND(SelectedConversion&lt;&gt;"(Multiple Items)",SelectedConversion&lt;&gt;"(All)",Table_AlwaysSend[[#This Row],[Conversion]]="All"))</f>
        <v>0</v>
      </c>
      <c r="M121" s="303" t="b" cm="1">
        <f t="array" ref="M121">OR(NOT(ISERROR(MATCH(TRIM(_xlfn.TEXTSPLIT(Table_AlwaysSend[[#This Row],[Data Source]],",")),SelectedDataSource,0))),AND(SelectedDataSource&lt;&gt;"(Multiple Items)",SelectedDataSource&lt;&gt;"(All)",Table_AlwaysSend[[#This Row],[Data Source]]="All"))</f>
        <v>1</v>
      </c>
      <c r="N121" s="308" t="b" cm="1">
        <f t="array" ref="N121">OR(NOT(ISERROR(MATCH(TRIM(_xlfn.TEXTSPLIT(Table_AlwaysSend[[#This Row],[Technology]],",")),SelectedTechnology,0))),AND(SelectedTechnology&lt;&gt;"(Multiple Items)",SelectedTechnology&lt;&gt;"(All)",Table_AlwaysSend[[#This Row],[Technology]]="All"))</f>
        <v>0</v>
      </c>
      <c r="O121" s="303" t="b" cm="1">
        <f t="array" ref="O121">OR(NOT(ISERROR(MATCH(TRIM(_xlfn.TEXTSPLIT(Table_AlwaysSend[[#This Row],[Data Set]],",")),SelectedDataSet,0))),AND(SelectedDataSet&lt;&gt;"(Multiple Items)",SelectedDataSet&lt;&gt;"(All)",Table_AlwaysSend[[#This Row],[Data Set]]="All"))</f>
        <v>1</v>
      </c>
      <c r="P121" s="305" t="b">
        <f>TRUE</f>
        <v>1</v>
      </c>
      <c r="Q121" s="306" t="b">
        <f>AND(Table_AlwaysSend[[#This Row],[Show Feedstock]:[Show Data Source2]],Table_AlwaysSend[[#This Row],[Conditional]]=TRUE)</f>
        <v>0</v>
      </c>
      <c r="R121" s="276" t="s">
        <v>1146</v>
      </c>
      <c r="S121" s="286">
        <v>2</v>
      </c>
      <c r="T121" s="23" t="s">
        <v>1140</v>
      </c>
    </row>
    <row r="122" spans="5:20" x14ac:dyDescent="0.3">
      <c r="E122" s="300" t="str">
        <f>IF(Table_AlwaysSend[[#This Row],[GREET1 Name Range]]="", "dash_"&amp;Table_AlwaysSend[[#This Row],[Feedstock]]&amp;"_"&amp;Table_AlwaysSend[[#This Row],[Value to Send]], Table_AlwaysSend[[#This Row],[Feedstock]]&amp;"_"&amp;Table_AlwaysSend[[#This Row],[Value to Send]]&amp;"_"&amp;Table_AlwaysSend[[#This Row],[GREET1 Name Range]])</f>
        <v>Forest residue_2_Cellulosic_ETJ_Electricity_Allocation</v>
      </c>
      <c r="F122" s="297" t="s">
        <v>316</v>
      </c>
      <c r="G122" s="276" t="s">
        <v>1964</v>
      </c>
      <c r="H122" s="299" t="s">
        <v>29</v>
      </c>
      <c r="I122" s="281" t="s">
        <v>29</v>
      </c>
      <c r="J122" s="278" t="s">
        <v>911</v>
      </c>
      <c r="K122" s="303" t="b" cm="1">
        <f t="array" ref="K122">OR(NOT(ISERROR(MATCH(TRIM(_xlfn.TEXTSPLIT(Table_AlwaysSend[[#This Row],[Feedstock]],",")),SelectedFeedstock,0))),AND(SelectedFeedstock&lt;&gt;"(Multiple Items)",SelectedFeedstock&lt;&gt;"(All)",Table_AlwaysSend[[#This Row],[Feedstock]]="All"))</f>
        <v>0</v>
      </c>
      <c r="L122" s="303" t="b" cm="1">
        <f t="array" ref="L122">OR(NOT(ISERROR(MATCH(TRIM(_xlfn.TEXTSPLIT(Table_AlwaysSend[[#This Row],[Conversion]],",")),SelectedConversion,0))),AND(SelectedConversion&lt;&gt;"(Multiple Items)",SelectedConversion&lt;&gt;"(All)",Table_AlwaysSend[[#This Row],[Conversion]]="All"))</f>
        <v>0</v>
      </c>
      <c r="M122" s="303" t="b" cm="1">
        <f t="array" ref="M122">OR(NOT(ISERROR(MATCH(TRIM(_xlfn.TEXTSPLIT(Table_AlwaysSend[[#This Row],[Data Source]],",")),SelectedDataSource,0))),AND(SelectedDataSource&lt;&gt;"(Multiple Items)",SelectedDataSource&lt;&gt;"(All)",Table_AlwaysSend[[#This Row],[Data Source]]="All"))</f>
        <v>1</v>
      </c>
      <c r="N122" s="308" t="b" cm="1">
        <f t="array" ref="N122">OR(NOT(ISERROR(MATCH(TRIM(_xlfn.TEXTSPLIT(Table_AlwaysSend[[#This Row],[Technology]],",")),SelectedTechnology,0))),AND(SelectedTechnology&lt;&gt;"(Multiple Items)",SelectedTechnology&lt;&gt;"(All)",Table_AlwaysSend[[#This Row],[Technology]]="All"))</f>
        <v>0</v>
      </c>
      <c r="O122" s="303" t="b" cm="1">
        <f t="array" ref="O122">OR(NOT(ISERROR(MATCH(TRIM(_xlfn.TEXTSPLIT(Table_AlwaysSend[[#This Row],[Data Set]],",")),SelectedDataSet,0))),AND(SelectedDataSet&lt;&gt;"(Multiple Items)",SelectedDataSet&lt;&gt;"(All)",Table_AlwaysSend[[#This Row],[Data Set]]="All"))</f>
        <v>1</v>
      </c>
      <c r="P122" s="305" t="b">
        <f>TRUE</f>
        <v>1</v>
      </c>
      <c r="Q122" s="306" t="b">
        <f>AND(Table_AlwaysSend[[#This Row],[Show Feedstock]:[Show Data Source2]],Table_AlwaysSend[[#This Row],[Conditional]]=TRUE)</f>
        <v>0</v>
      </c>
      <c r="R122" s="276" t="s">
        <v>1146</v>
      </c>
      <c r="S122" s="286">
        <v>2</v>
      </c>
      <c r="T122" s="23" t="s">
        <v>1140</v>
      </c>
    </row>
    <row r="123" spans="5:20" x14ac:dyDescent="0.3">
      <c r="E123" s="300" t="str">
        <f>IF(Table_AlwaysSend[[#This Row],[GREET1 Name Range]]="", "dash_"&amp;Table_AlwaysSend[[#This Row],[Feedstock]]&amp;"_"&amp;Table_AlwaysSend[[#This Row],[Value to Send]], Table_AlwaysSend[[#This Row],[Feedstock]]&amp;"_"&amp;Table_AlwaysSend[[#This Row],[Value to Send]]&amp;"_"&amp;Table_AlwaysSend[[#This Row],[GREET1 Name Range]])</f>
        <v>Corn stover_1_Cellulosic_ETJ_Electricity_Allocation</v>
      </c>
      <c r="F123" s="297" t="s">
        <v>135</v>
      </c>
      <c r="G123" s="276" t="s">
        <v>1964</v>
      </c>
      <c r="H123" s="299" t="s">
        <v>194</v>
      </c>
      <c r="I123" s="281" t="s">
        <v>1399</v>
      </c>
      <c r="J123" s="281" t="s">
        <v>1398</v>
      </c>
      <c r="K123" s="303" t="b" cm="1">
        <f t="array" ref="K123">OR(NOT(ISERROR(MATCH(TRIM(_xlfn.TEXTSPLIT(Table_AlwaysSend[[#This Row],[Feedstock]],",")),SelectedFeedstock,0))),AND(SelectedFeedstock&lt;&gt;"(Multiple Items)",SelectedFeedstock&lt;&gt;"(All)",Table_AlwaysSend[[#This Row],[Feedstock]]="All"))</f>
        <v>0</v>
      </c>
      <c r="L123" s="303" t="b" cm="1">
        <f t="array" ref="L123">OR(NOT(ISERROR(MATCH(TRIM(_xlfn.TEXTSPLIT(Table_AlwaysSend[[#This Row],[Conversion]],",")),SelectedConversion,0))),AND(SelectedConversion&lt;&gt;"(Multiple Items)",SelectedConversion&lt;&gt;"(All)",Table_AlwaysSend[[#This Row],[Conversion]]="All"))</f>
        <v>0</v>
      </c>
      <c r="M123" s="303" t="b" cm="1">
        <f t="array" ref="M123">OR(NOT(ISERROR(MATCH(TRIM(_xlfn.TEXTSPLIT(Table_AlwaysSend[[#This Row],[Data Source]],",")),SelectedDataSource,0))),AND(SelectedDataSource&lt;&gt;"(Multiple Items)",SelectedDataSource&lt;&gt;"(All)",Table_AlwaysSend[[#This Row],[Data Source]]="All"))</f>
        <v>0</v>
      </c>
      <c r="N123" s="308" t="b" cm="1">
        <f t="array" ref="N123">OR(NOT(ISERROR(MATCH(TRIM(_xlfn.TEXTSPLIT(Table_AlwaysSend[[#This Row],[Technology]],",")),SelectedTechnology,0))),AND(SelectedTechnology&lt;&gt;"(Multiple Items)",SelectedTechnology&lt;&gt;"(All)",Table_AlwaysSend[[#This Row],[Technology]]="All"))</f>
        <v>0</v>
      </c>
      <c r="O123" s="303" t="b" cm="1">
        <f t="array" ref="O123">OR(NOT(ISERROR(MATCH(TRIM(_xlfn.TEXTSPLIT(Table_AlwaysSend[[#This Row],[Data Set]],",")),SelectedDataSet,0))),AND(SelectedDataSet&lt;&gt;"(Multiple Items)",SelectedDataSet&lt;&gt;"(All)",Table_AlwaysSend[[#This Row],[Data Set]]="All"))</f>
        <v>0</v>
      </c>
      <c r="P123" s="305" t="b">
        <f>TRUE</f>
        <v>1</v>
      </c>
      <c r="Q123" s="306" t="b">
        <f>AND(Table_AlwaysSend[[#This Row],[Show Feedstock]:[Show Data Source2]],Table_AlwaysSend[[#This Row],[Conditional]]=TRUE)</f>
        <v>0</v>
      </c>
      <c r="R123" s="276" t="s">
        <v>1146</v>
      </c>
      <c r="S123" s="286">
        <v>1</v>
      </c>
      <c r="T123" s="23" t="s">
        <v>1140</v>
      </c>
    </row>
    <row r="124" spans="5:20" x14ac:dyDescent="0.3">
      <c r="E124" s="300" t="str">
        <f>IF(Table_AlwaysSend[[#This Row],[GREET1 Name Range]]="", "dash_"&amp;Table_AlwaysSend[[#This Row],[Feedstock]]&amp;"_"&amp;Table_AlwaysSend[[#This Row],[Value to Send]], Table_AlwaysSend[[#This Row],[Feedstock]]&amp;"_"&amp;Table_AlwaysSend[[#This Row],[Value to Send]]&amp;"_"&amp;Table_AlwaysSend[[#This Row],[GREET1 Name Range]])</f>
        <v>Willow_1_Cellulosic_ETJ_Electricity_Allocation</v>
      </c>
      <c r="F124" s="297" t="s">
        <v>131</v>
      </c>
      <c r="G124" s="276" t="s">
        <v>1964</v>
      </c>
      <c r="H124" s="299" t="s">
        <v>194</v>
      </c>
      <c r="I124" s="281" t="s">
        <v>1399</v>
      </c>
      <c r="J124" s="281" t="s">
        <v>1398</v>
      </c>
      <c r="K124" s="303" t="b" cm="1">
        <f t="array" ref="K124">OR(NOT(ISERROR(MATCH(TRIM(_xlfn.TEXTSPLIT(Table_AlwaysSend[[#This Row],[Feedstock]],",")),SelectedFeedstock,0))),AND(SelectedFeedstock&lt;&gt;"(Multiple Items)",SelectedFeedstock&lt;&gt;"(All)",Table_AlwaysSend[[#This Row],[Feedstock]]="All"))</f>
        <v>0</v>
      </c>
      <c r="L124" s="303" t="b" cm="1">
        <f t="array" ref="L124">OR(NOT(ISERROR(MATCH(TRIM(_xlfn.TEXTSPLIT(Table_AlwaysSend[[#This Row],[Conversion]],",")),SelectedConversion,0))),AND(SelectedConversion&lt;&gt;"(Multiple Items)",SelectedConversion&lt;&gt;"(All)",Table_AlwaysSend[[#This Row],[Conversion]]="All"))</f>
        <v>0</v>
      </c>
      <c r="M124" s="303" t="b" cm="1">
        <f t="array" ref="M124">OR(NOT(ISERROR(MATCH(TRIM(_xlfn.TEXTSPLIT(Table_AlwaysSend[[#This Row],[Data Source]],",")),SelectedDataSource,0))),AND(SelectedDataSource&lt;&gt;"(Multiple Items)",SelectedDataSource&lt;&gt;"(All)",Table_AlwaysSend[[#This Row],[Data Source]]="All"))</f>
        <v>0</v>
      </c>
      <c r="N124" s="308" t="b" cm="1">
        <f t="array" ref="N124">OR(NOT(ISERROR(MATCH(TRIM(_xlfn.TEXTSPLIT(Table_AlwaysSend[[#This Row],[Technology]],",")),SelectedTechnology,0))),AND(SelectedTechnology&lt;&gt;"(Multiple Items)",SelectedTechnology&lt;&gt;"(All)",Table_AlwaysSend[[#This Row],[Technology]]="All"))</f>
        <v>0</v>
      </c>
      <c r="O124" s="303" t="b" cm="1">
        <f t="array" ref="O124">OR(NOT(ISERROR(MATCH(TRIM(_xlfn.TEXTSPLIT(Table_AlwaysSend[[#This Row],[Data Set]],",")),SelectedDataSet,0))),AND(SelectedDataSet&lt;&gt;"(Multiple Items)",SelectedDataSet&lt;&gt;"(All)",Table_AlwaysSend[[#This Row],[Data Set]]="All"))</f>
        <v>0</v>
      </c>
      <c r="P124" s="305" t="b">
        <f>TRUE</f>
        <v>1</v>
      </c>
      <c r="Q124" s="306" t="b">
        <f>AND(Table_AlwaysSend[[#This Row],[Show Feedstock]:[Show Data Source2]],Table_AlwaysSend[[#This Row],[Conditional]]=TRUE)</f>
        <v>0</v>
      </c>
      <c r="R124" s="276" t="s">
        <v>1146</v>
      </c>
      <c r="S124" s="286">
        <v>1</v>
      </c>
      <c r="T124" s="23" t="s">
        <v>1140</v>
      </c>
    </row>
    <row r="125" spans="5:20" x14ac:dyDescent="0.3">
      <c r="E125" s="300" t="str">
        <f>IF(Table_AlwaysSend[[#This Row],[GREET1 Name Range]]="", "dash_"&amp;Table_AlwaysSend[[#This Row],[Feedstock]]&amp;"_"&amp;Table_AlwaysSend[[#This Row],[Value to Send]], Table_AlwaysSend[[#This Row],[Feedstock]]&amp;"_"&amp;Table_AlwaysSend[[#This Row],[Value to Send]]&amp;"_"&amp;Table_AlwaysSend[[#This Row],[GREET1 Name Range]])</f>
        <v>Poplar_1_Cellulosic_ETJ_Electricity_Allocation</v>
      </c>
      <c r="F125" s="297" t="s">
        <v>132</v>
      </c>
      <c r="G125" s="276" t="s">
        <v>1964</v>
      </c>
      <c r="H125" s="299" t="s">
        <v>194</v>
      </c>
      <c r="I125" s="281" t="s">
        <v>1399</v>
      </c>
      <c r="J125" s="281" t="s">
        <v>1398</v>
      </c>
      <c r="K125" s="303" t="b" cm="1">
        <f t="array" ref="K125">OR(NOT(ISERROR(MATCH(TRIM(_xlfn.TEXTSPLIT(Table_AlwaysSend[[#This Row],[Feedstock]],",")),SelectedFeedstock,0))),AND(SelectedFeedstock&lt;&gt;"(Multiple Items)",SelectedFeedstock&lt;&gt;"(All)",Table_AlwaysSend[[#This Row],[Feedstock]]="All"))</f>
        <v>0</v>
      </c>
      <c r="L125" s="303" t="b" cm="1">
        <f t="array" ref="L125">OR(NOT(ISERROR(MATCH(TRIM(_xlfn.TEXTSPLIT(Table_AlwaysSend[[#This Row],[Conversion]],",")),SelectedConversion,0))),AND(SelectedConversion&lt;&gt;"(Multiple Items)",SelectedConversion&lt;&gt;"(All)",Table_AlwaysSend[[#This Row],[Conversion]]="All"))</f>
        <v>0</v>
      </c>
      <c r="M125" s="303" t="b" cm="1">
        <f t="array" ref="M125">OR(NOT(ISERROR(MATCH(TRIM(_xlfn.TEXTSPLIT(Table_AlwaysSend[[#This Row],[Data Source]],",")),SelectedDataSource,0))),AND(SelectedDataSource&lt;&gt;"(Multiple Items)",SelectedDataSource&lt;&gt;"(All)",Table_AlwaysSend[[#This Row],[Data Source]]="All"))</f>
        <v>0</v>
      </c>
      <c r="N125" s="308" t="b" cm="1">
        <f t="array" ref="N125">OR(NOT(ISERROR(MATCH(TRIM(_xlfn.TEXTSPLIT(Table_AlwaysSend[[#This Row],[Technology]],",")),SelectedTechnology,0))),AND(SelectedTechnology&lt;&gt;"(Multiple Items)",SelectedTechnology&lt;&gt;"(All)",Table_AlwaysSend[[#This Row],[Technology]]="All"))</f>
        <v>0</v>
      </c>
      <c r="O125" s="303" t="b" cm="1">
        <f t="array" ref="O125">OR(NOT(ISERROR(MATCH(TRIM(_xlfn.TEXTSPLIT(Table_AlwaysSend[[#This Row],[Data Set]],",")),SelectedDataSet,0))),AND(SelectedDataSet&lt;&gt;"(Multiple Items)",SelectedDataSet&lt;&gt;"(All)",Table_AlwaysSend[[#This Row],[Data Set]]="All"))</f>
        <v>0</v>
      </c>
      <c r="P125" s="305" t="b">
        <f>TRUE</f>
        <v>1</v>
      </c>
      <c r="Q125" s="306" t="b">
        <f>AND(Table_AlwaysSend[[#This Row],[Show Feedstock]:[Show Data Source2]],Table_AlwaysSend[[#This Row],[Conditional]]=TRUE)</f>
        <v>0</v>
      </c>
      <c r="R125" s="276" t="s">
        <v>1146</v>
      </c>
      <c r="S125" s="286">
        <v>1</v>
      </c>
      <c r="T125" s="23" t="s">
        <v>1140</v>
      </c>
    </row>
    <row r="126" spans="5:20" x14ac:dyDescent="0.3">
      <c r="E126" s="300" t="str">
        <f>IF(Table_AlwaysSend[[#This Row],[GREET1 Name Range]]="", "dash_"&amp;Table_AlwaysSend[[#This Row],[Feedstock]]&amp;"_"&amp;Table_AlwaysSend[[#This Row],[Value to Send]], Table_AlwaysSend[[#This Row],[Feedstock]]&amp;"_"&amp;Table_AlwaysSend[[#This Row],[Value to Send]]&amp;"_"&amp;Table_AlwaysSend[[#This Row],[GREET1 Name Range]])</f>
        <v>Switchgrass_1_Cellulosic_ETJ_Electricity_Allocation</v>
      </c>
      <c r="F126" s="297" t="s">
        <v>133</v>
      </c>
      <c r="G126" s="276" t="s">
        <v>1964</v>
      </c>
      <c r="H126" s="299" t="s">
        <v>194</v>
      </c>
      <c r="I126" s="281" t="s">
        <v>1399</v>
      </c>
      <c r="J126" s="281" t="s">
        <v>1398</v>
      </c>
      <c r="K126" s="303" t="b" cm="1">
        <f t="array" ref="K126">OR(NOT(ISERROR(MATCH(TRIM(_xlfn.TEXTSPLIT(Table_AlwaysSend[[#This Row],[Feedstock]],",")),SelectedFeedstock,0))),AND(SelectedFeedstock&lt;&gt;"(Multiple Items)",SelectedFeedstock&lt;&gt;"(All)",Table_AlwaysSend[[#This Row],[Feedstock]]="All"))</f>
        <v>0</v>
      </c>
      <c r="L126" s="303" t="b" cm="1">
        <f t="array" ref="L126">OR(NOT(ISERROR(MATCH(TRIM(_xlfn.TEXTSPLIT(Table_AlwaysSend[[#This Row],[Conversion]],",")),SelectedConversion,0))),AND(SelectedConversion&lt;&gt;"(Multiple Items)",SelectedConversion&lt;&gt;"(All)",Table_AlwaysSend[[#This Row],[Conversion]]="All"))</f>
        <v>0</v>
      </c>
      <c r="M126" s="303" t="b" cm="1">
        <f t="array" ref="M126">OR(NOT(ISERROR(MATCH(TRIM(_xlfn.TEXTSPLIT(Table_AlwaysSend[[#This Row],[Data Source]],",")),SelectedDataSource,0))),AND(SelectedDataSource&lt;&gt;"(Multiple Items)",SelectedDataSource&lt;&gt;"(All)",Table_AlwaysSend[[#This Row],[Data Source]]="All"))</f>
        <v>0</v>
      </c>
      <c r="N126" s="308" t="b" cm="1">
        <f t="array" ref="N126">OR(NOT(ISERROR(MATCH(TRIM(_xlfn.TEXTSPLIT(Table_AlwaysSend[[#This Row],[Technology]],",")),SelectedTechnology,0))),AND(SelectedTechnology&lt;&gt;"(Multiple Items)",SelectedTechnology&lt;&gt;"(All)",Table_AlwaysSend[[#This Row],[Technology]]="All"))</f>
        <v>0</v>
      </c>
      <c r="O126" s="303" t="b" cm="1">
        <f t="array" ref="O126">OR(NOT(ISERROR(MATCH(TRIM(_xlfn.TEXTSPLIT(Table_AlwaysSend[[#This Row],[Data Set]],",")),SelectedDataSet,0))),AND(SelectedDataSet&lt;&gt;"(Multiple Items)",SelectedDataSet&lt;&gt;"(All)",Table_AlwaysSend[[#This Row],[Data Set]]="All"))</f>
        <v>0</v>
      </c>
      <c r="P126" s="305" t="b">
        <f>TRUE</f>
        <v>1</v>
      </c>
      <c r="Q126" s="306" t="b">
        <f>AND(Table_AlwaysSend[[#This Row],[Show Feedstock]:[Show Data Source2]],Table_AlwaysSend[[#This Row],[Conditional]]=TRUE)</f>
        <v>0</v>
      </c>
      <c r="R126" s="276" t="s">
        <v>1146</v>
      </c>
      <c r="S126" s="286">
        <v>1</v>
      </c>
      <c r="T126" s="23" t="s">
        <v>1140</v>
      </c>
    </row>
    <row r="127" spans="5:20" x14ac:dyDescent="0.3">
      <c r="E127" s="300" t="str">
        <f>IF(Table_AlwaysSend[[#This Row],[GREET1 Name Range]]="", "dash_"&amp;Table_AlwaysSend[[#This Row],[Feedstock]]&amp;"_"&amp;Table_AlwaysSend[[#This Row],[Value to Send]], Table_AlwaysSend[[#This Row],[Feedstock]]&amp;"_"&amp;Table_AlwaysSend[[#This Row],[Value to Send]]&amp;"_"&amp;Table_AlwaysSend[[#This Row],[GREET1 Name Range]])</f>
        <v>Miscanthus_1_Cellulosic_ETJ_Electricity_Allocation</v>
      </c>
      <c r="F127" s="297" t="s">
        <v>134</v>
      </c>
      <c r="G127" s="276" t="s">
        <v>1964</v>
      </c>
      <c r="H127" s="299" t="s">
        <v>194</v>
      </c>
      <c r="I127" s="281" t="s">
        <v>1399</v>
      </c>
      <c r="J127" s="281" t="s">
        <v>1398</v>
      </c>
      <c r="K127" s="303" t="b" cm="1">
        <f t="array" ref="K127">OR(NOT(ISERROR(MATCH(TRIM(_xlfn.TEXTSPLIT(Table_AlwaysSend[[#This Row],[Feedstock]],",")),SelectedFeedstock,0))),AND(SelectedFeedstock&lt;&gt;"(Multiple Items)",SelectedFeedstock&lt;&gt;"(All)",Table_AlwaysSend[[#This Row],[Feedstock]]="All"))</f>
        <v>0</v>
      </c>
      <c r="L127" s="303" t="b" cm="1">
        <f t="array" ref="L127">OR(NOT(ISERROR(MATCH(TRIM(_xlfn.TEXTSPLIT(Table_AlwaysSend[[#This Row],[Conversion]],",")),SelectedConversion,0))),AND(SelectedConversion&lt;&gt;"(Multiple Items)",SelectedConversion&lt;&gt;"(All)",Table_AlwaysSend[[#This Row],[Conversion]]="All"))</f>
        <v>0</v>
      </c>
      <c r="M127" s="303" t="b" cm="1">
        <f t="array" ref="M127">OR(NOT(ISERROR(MATCH(TRIM(_xlfn.TEXTSPLIT(Table_AlwaysSend[[#This Row],[Data Source]],",")),SelectedDataSource,0))),AND(SelectedDataSource&lt;&gt;"(Multiple Items)",SelectedDataSource&lt;&gt;"(All)",Table_AlwaysSend[[#This Row],[Data Source]]="All"))</f>
        <v>0</v>
      </c>
      <c r="N127" s="308" t="b" cm="1">
        <f t="array" ref="N127">OR(NOT(ISERROR(MATCH(TRIM(_xlfn.TEXTSPLIT(Table_AlwaysSend[[#This Row],[Technology]],",")),SelectedTechnology,0))),AND(SelectedTechnology&lt;&gt;"(Multiple Items)",SelectedTechnology&lt;&gt;"(All)",Table_AlwaysSend[[#This Row],[Technology]]="All"))</f>
        <v>0</v>
      </c>
      <c r="O127" s="303" t="b" cm="1">
        <f t="array" ref="O127">OR(NOT(ISERROR(MATCH(TRIM(_xlfn.TEXTSPLIT(Table_AlwaysSend[[#This Row],[Data Set]],",")),SelectedDataSet,0))),AND(SelectedDataSet&lt;&gt;"(Multiple Items)",SelectedDataSet&lt;&gt;"(All)",Table_AlwaysSend[[#This Row],[Data Set]]="All"))</f>
        <v>0</v>
      </c>
      <c r="P127" s="305" t="b">
        <f>TRUE</f>
        <v>1</v>
      </c>
      <c r="Q127" s="306" t="b">
        <f>AND(Table_AlwaysSend[[#This Row],[Show Feedstock]:[Show Data Source2]],Table_AlwaysSend[[#This Row],[Conditional]]=TRUE)</f>
        <v>0</v>
      </c>
      <c r="R127" s="276" t="s">
        <v>1146</v>
      </c>
      <c r="S127" s="286">
        <v>1</v>
      </c>
      <c r="T127" s="23" t="s">
        <v>1140</v>
      </c>
    </row>
    <row r="128" spans="5:20" x14ac:dyDescent="0.3">
      <c r="E128" s="300" t="str">
        <f>IF(Table_AlwaysSend[[#This Row],[GREET1 Name Range]]="", "dash_"&amp;Table_AlwaysSend[[#This Row],[Feedstock]]&amp;"_"&amp;Table_AlwaysSend[[#This Row],[Value to Send]], Table_AlwaysSend[[#This Row],[Feedstock]]&amp;"_"&amp;Table_AlwaysSend[[#This Row],[Value to Send]]&amp;"_"&amp;Table_AlwaysSend[[#This Row],[GREET1 Name Range]])</f>
        <v>Forest residue_1_Corn_ETJ_DDGS_Allocation</v>
      </c>
      <c r="F128" s="297" t="s">
        <v>316</v>
      </c>
      <c r="G128" s="276" t="s">
        <v>1964</v>
      </c>
      <c r="H128" s="299" t="s">
        <v>194</v>
      </c>
      <c r="I128" s="281" t="s">
        <v>1399</v>
      </c>
      <c r="J128" s="281" t="s">
        <v>1398</v>
      </c>
      <c r="K128" s="303" t="b" cm="1">
        <f t="array" ref="K128">OR(NOT(ISERROR(MATCH(TRIM(_xlfn.TEXTSPLIT(Table_AlwaysSend[[#This Row],[Feedstock]],",")),SelectedFeedstock,0))),AND(SelectedFeedstock&lt;&gt;"(Multiple Items)",SelectedFeedstock&lt;&gt;"(All)",Table_AlwaysSend[[#This Row],[Feedstock]]="All"))</f>
        <v>0</v>
      </c>
      <c r="L128" s="303" t="b" cm="1">
        <f t="array" ref="L128">OR(NOT(ISERROR(MATCH(TRIM(_xlfn.TEXTSPLIT(Table_AlwaysSend[[#This Row],[Conversion]],",")),SelectedConversion,0))),AND(SelectedConversion&lt;&gt;"(Multiple Items)",SelectedConversion&lt;&gt;"(All)",Table_AlwaysSend[[#This Row],[Conversion]]="All"))</f>
        <v>0</v>
      </c>
      <c r="M128" s="303" t="b" cm="1">
        <f t="array" ref="M128">OR(NOT(ISERROR(MATCH(TRIM(_xlfn.TEXTSPLIT(Table_AlwaysSend[[#This Row],[Data Source]],",")),SelectedDataSource,0))),AND(SelectedDataSource&lt;&gt;"(Multiple Items)",SelectedDataSource&lt;&gt;"(All)",Table_AlwaysSend[[#This Row],[Data Source]]="All"))</f>
        <v>0</v>
      </c>
      <c r="N128" s="308" t="b" cm="1">
        <f t="array" ref="N128">OR(NOT(ISERROR(MATCH(TRIM(_xlfn.TEXTSPLIT(Table_AlwaysSend[[#This Row],[Technology]],",")),SelectedTechnology,0))),AND(SelectedTechnology&lt;&gt;"(Multiple Items)",SelectedTechnology&lt;&gt;"(All)",Table_AlwaysSend[[#This Row],[Technology]]="All"))</f>
        <v>0</v>
      </c>
      <c r="O128" s="303" t="b" cm="1">
        <f t="array" ref="O128">OR(NOT(ISERROR(MATCH(TRIM(_xlfn.TEXTSPLIT(Table_AlwaysSend[[#This Row],[Data Set]],",")),SelectedDataSet,0))),AND(SelectedDataSet&lt;&gt;"(Multiple Items)",SelectedDataSet&lt;&gt;"(All)",Table_AlwaysSend[[#This Row],[Data Set]]="All"))</f>
        <v>0</v>
      </c>
      <c r="P128" s="305" t="b">
        <f>TRUE</f>
        <v>1</v>
      </c>
      <c r="Q128" s="306" t="b">
        <f>AND(Table_AlwaysSend[[#This Row],[Show Feedstock]:[Show Data Source2]],Table_AlwaysSend[[#This Row],[Conditional]]=TRUE)</f>
        <v>0</v>
      </c>
      <c r="R128" s="276" t="s">
        <v>1147</v>
      </c>
      <c r="S128" s="286">
        <v>1</v>
      </c>
      <c r="T128" s="23" t="s">
        <v>1140</v>
      </c>
    </row>
    <row r="129" spans="5:20" x14ac:dyDescent="0.3">
      <c r="E129" s="300" t="str">
        <f>IF(Table_AlwaysSend[[#This Row],[GREET1 Name Range]]="", "dash_"&amp;Table_AlwaysSend[[#This Row],[Feedstock]]&amp;"_"&amp;Table_AlwaysSend[[#This Row],[Value to Send]], Table_AlwaysSend[[#This Row],[Feedstock]]&amp;"_"&amp;Table_AlwaysSend[[#This Row],[Value to Send]]&amp;"_"&amp;Table_AlwaysSend[[#This Row],[GREET1 Name Range]])</f>
        <v>Corn_2_Corn_ETJ_DDGS_Allocation</v>
      </c>
      <c r="F129" s="297" t="s">
        <v>136</v>
      </c>
      <c r="G129" s="276" t="s">
        <v>1964</v>
      </c>
      <c r="H129" s="299" t="s">
        <v>29</v>
      </c>
      <c r="I129" s="282" t="s">
        <v>29</v>
      </c>
      <c r="J129" s="282" t="s">
        <v>911</v>
      </c>
      <c r="K129" s="303" t="b" cm="1">
        <f t="array" ref="K129">OR(NOT(ISERROR(MATCH(TRIM(_xlfn.TEXTSPLIT(Table_AlwaysSend[[#This Row],[Feedstock]],",")),SelectedFeedstock,0))),AND(SelectedFeedstock&lt;&gt;"(Multiple Items)",SelectedFeedstock&lt;&gt;"(All)",Table_AlwaysSend[[#This Row],[Feedstock]]="All"))</f>
        <v>0</v>
      </c>
      <c r="L129" s="303" t="b" cm="1">
        <f t="array" ref="L129">OR(NOT(ISERROR(MATCH(TRIM(_xlfn.TEXTSPLIT(Table_AlwaysSend[[#This Row],[Conversion]],",")),SelectedConversion,0))),AND(SelectedConversion&lt;&gt;"(Multiple Items)",SelectedConversion&lt;&gt;"(All)",Table_AlwaysSend[[#This Row],[Conversion]]="All"))</f>
        <v>0</v>
      </c>
      <c r="M129" s="303" t="b" cm="1">
        <f t="array" ref="M129">OR(NOT(ISERROR(MATCH(TRIM(_xlfn.TEXTSPLIT(Table_AlwaysSend[[#This Row],[Data Source]],",")),SelectedDataSource,0))),AND(SelectedDataSource&lt;&gt;"(Multiple Items)",SelectedDataSource&lt;&gt;"(All)",Table_AlwaysSend[[#This Row],[Data Source]]="All"))</f>
        <v>1</v>
      </c>
      <c r="N129" s="305" t="b" cm="1">
        <f t="array" ref="N129">OR(NOT(ISERROR(MATCH(TRIM(_xlfn.TEXTSPLIT(Table_AlwaysSend[[#This Row],[Technology]],",")),SelectedTechnology,0))),AND(SelectedTechnology&lt;&gt;"(Multiple Items)",SelectedTechnology&lt;&gt;"(All)",Table_AlwaysSend[[#This Row],[Technology]]="All"))</f>
        <v>0</v>
      </c>
      <c r="O129" s="303" t="b" cm="1">
        <f t="array" ref="O129">OR(NOT(ISERROR(MATCH(TRIM(_xlfn.TEXTSPLIT(Table_AlwaysSend[[#This Row],[Data Set]],",")),SelectedDataSet,0))),AND(SelectedDataSet&lt;&gt;"(Multiple Items)",SelectedDataSet&lt;&gt;"(All)",Table_AlwaysSend[[#This Row],[Data Set]]="All"))</f>
        <v>1</v>
      </c>
      <c r="P129" s="305" t="b">
        <f>TRUE</f>
        <v>1</v>
      </c>
      <c r="Q129" s="306" t="b">
        <f>AND(Table_AlwaysSend[[#This Row],[Show Feedstock]:[Show Data Source2]],Table_AlwaysSend[[#This Row],[Conditional]]=TRUE)</f>
        <v>0</v>
      </c>
      <c r="R129" s="276" t="s">
        <v>1147</v>
      </c>
      <c r="S129" s="286">
        <v>2</v>
      </c>
      <c r="T129" s="23" t="s">
        <v>1140</v>
      </c>
    </row>
    <row r="130" spans="5:20" x14ac:dyDescent="0.3">
      <c r="E130" s="300" t="str">
        <f>IF(Table_AlwaysSend[[#This Row],[GREET1 Name Range]]="", "dash_"&amp;Table_AlwaysSend[[#This Row],[Feedstock]]&amp;"_"&amp;Table_AlwaysSend[[#This Row],[Value to Send]], Table_AlwaysSend[[#This Row],[Feedstock]]&amp;"_"&amp;Table_AlwaysSend[[#This Row],[Value to Send]]&amp;"_"&amp;Table_AlwaysSend[[#This Row],[GREET1 Name Range]])</f>
        <v>Corn_1_JetFuel_STJet_BiomassFeedstock</v>
      </c>
      <c r="F130" s="297" t="s">
        <v>136</v>
      </c>
      <c r="G130" s="276" t="s">
        <v>1964</v>
      </c>
      <c r="H130" s="299" t="s">
        <v>194</v>
      </c>
      <c r="I130" s="282" t="s">
        <v>377</v>
      </c>
      <c r="J130" s="282" t="s">
        <v>31</v>
      </c>
      <c r="K130" s="303" t="b" cm="1">
        <f t="array" ref="K130">OR(NOT(ISERROR(MATCH(TRIM(_xlfn.TEXTSPLIT(Table_AlwaysSend[[#This Row],[Feedstock]],",")),SelectedFeedstock,0))),AND(SelectedFeedstock&lt;&gt;"(Multiple Items)",SelectedFeedstock&lt;&gt;"(All)",Table_AlwaysSend[[#This Row],[Feedstock]]="All"))</f>
        <v>0</v>
      </c>
      <c r="L130" s="303" t="b" cm="1">
        <f t="array" ref="L130">OR(NOT(ISERROR(MATCH(TRIM(_xlfn.TEXTSPLIT(Table_AlwaysSend[[#This Row],[Conversion]],",")),SelectedConversion,0))),AND(SelectedConversion&lt;&gt;"(Multiple Items)",SelectedConversion&lt;&gt;"(All)",Table_AlwaysSend[[#This Row],[Conversion]]="All"))</f>
        <v>0</v>
      </c>
      <c r="M130" s="303" t="b" cm="1">
        <f t="array" ref="M130">OR(NOT(ISERROR(MATCH(TRIM(_xlfn.TEXTSPLIT(Table_AlwaysSend[[#This Row],[Data Source]],",")),SelectedDataSource,0))),AND(SelectedDataSource&lt;&gt;"(Multiple Items)",SelectedDataSource&lt;&gt;"(All)",Table_AlwaysSend[[#This Row],[Data Source]]="All"))</f>
        <v>0</v>
      </c>
      <c r="N130" s="305" t="b" cm="1">
        <f t="array" ref="N130">OR(NOT(ISERROR(MATCH(TRIM(_xlfn.TEXTSPLIT(Table_AlwaysSend[[#This Row],[Technology]],",")),SelectedTechnology,0))),AND(SelectedTechnology&lt;&gt;"(Multiple Items)",SelectedTechnology&lt;&gt;"(All)",Table_AlwaysSend[[#This Row],[Technology]]="All"))</f>
        <v>1</v>
      </c>
      <c r="O130" s="303" t="b" cm="1">
        <f t="array" ref="O130">OR(NOT(ISERROR(MATCH(TRIM(_xlfn.TEXTSPLIT(Table_AlwaysSend[[#This Row],[Data Set]],",")),SelectedDataSet,0))),AND(SelectedDataSet&lt;&gt;"(Multiple Items)",SelectedDataSet&lt;&gt;"(All)",Table_AlwaysSend[[#This Row],[Data Set]]="All"))</f>
        <v>0</v>
      </c>
      <c r="P130" s="305" t="b">
        <f>TRUE</f>
        <v>1</v>
      </c>
      <c r="Q130" s="306" t="b">
        <f>AND(Table_AlwaysSend[[#This Row],[Show Feedstock]:[Show Data Source2]],Table_AlwaysSend[[#This Row],[Conditional]]=TRUE)</f>
        <v>0</v>
      </c>
      <c r="R130" s="276" t="s">
        <v>88</v>
      </c>
      <c r="S130" s="286">
        <v>1</v>
      </c>
      <c r="T130" s="23" t="s">
        <v>1140</v>
      </c>
    </row>
    <row r="131" spans="5:20" x14ac:dyDescent="0.3">
      <c r="E131" s="300" t="str">
        <f>IF(Table_AlwaysSend[[#This Row],[GREET1 Name Range]]="", "dash_"&amp;Table_AlwaysSend[[#This Row],[Feedstock]]&amp;"_"&amp;Table_AlwaysSend[[#This Row],[Value to Send]], Table_AlwaysSend[[#This Row],[Feedstock]]&amp;"_"&amp;Table_AlwaysSend[[#This Row],[Value to Send]]&amp;"_"&amp;Table_AlwaysSend[[#This Row],[GREET1 Name Range]])</f>
        <v>Corn stover_1_JetFuel_STJet_BiomassFeedstock</v>
      </c>
      <c r="F131" s="297" t="s">
        <v>135</v>
      </c>
      <c r="G131" s="276" t="s">
        <v>139</v>
      </c>
      <c r="H131" s="299" t="s">
        <v>29</v>
      </c>
      <c r="I131" s="282" t="s">
        <v>29</v>
      </c>
      <c r="J131" s="282" t="s">
        <v>31</v>
      </c>
      <c r="K131" s="303" t="b" cm="1">
        <f t="array" ref="K131">OR(NOT(ISERROR(MATCH(TRIM(_xlfn.TEXTSPLIT(Table_AlwaysSend[[#This Row],[Feedstock]],",")),SelectedFeedstock,0))),AND(SelectedFeedstock&lt;&gt;"(Multiple Items)",SelectedFeedstock&lt;&gt;"(All)",Table_AlwaysSend[[#This Row],[Feedstock]]="All"))</f>
        <v>0</v>
      </c>
      <c r="L131" s="303" t="b" cm="1">
        <f t="array" ref="L131">OR(NOT(ISERROR(MATCH(TRIM(_xlfn.TEXTSPLIT(Table_AlwaysSend[[#This Row],[Conversion]],",")),SelectedConversion,0))),AND(SelectedConversion&lt;&gt;"(Multiple Items)",SelectedConversion&lt;&gt;"(All)",Table_AlwaysSend[[#This Row],[Conversion]]="All"))</f>
        <v>0</v>
      </c>
      <c r="M131" s="303" t="b" cm="1">
        <f t="array" ref="M131">OR(NOT(ISERROR(MATCH(TRIM(_xlfn.TEXTSPLIT(Table_AlwaysSend[[#This Row],[Data Source]],",")),SelectedDataSource,0))),AND(SelectedDataSource&lt;&gt;"(Multiple Items)",SelectedDataSource&lt;&gt;"(All)",Table_AlwaysSend[[#This Row],[Data Source]]="All"))</f>
        <v>1</v>
      </c>
      <c r="N131" s="305" t="b" cm="1">
        <f t="array" ref="N131">OR(NOT(ISERROR(MATCH(TRIM(_xlfn.TEXTSPLIT(Table_AlwaysSend[[#This Row],[Technology]],",")),SelectedTechnology,0))),AND(SelectedTechnology&lt;&gt;"(Multiple Items)",SelectedTechnology&lt;&gt;"(All)",Table_AlwaysSend[[#This Row],[Technology]]="All"))</f>
        <v>1</v>
      </c>
      <c r="O131" s="303" t="b" cm="1">
        <f t="array" ref="O131">OR(NOT(ISERROR(MATCH(TRIM(_xlfn.TEXTSPLIT(Table_AlwaysSend[[#This Row],[Data Set]],",")),SelectedDataSet,0))),AND(SelectedDataSet&lt;&gt;"(Multiple Items)",SelectedDataSet&lt;&gt;"(All)",Table_AlwaysSend[[#This Row],[Data Set]]="All"))</f>
        <v>1</v>
      </c>
      <c r="P131" s="305" t="b">
        <f>TRUE</f>
        <v>1</v>
      </c>
      <c r="Q131" s="306" t="b">
        <f>AND(Table_AlwaysSend[[#This Row],[Show Feedstock]:[Show Data Source2]],Table_AlwaysSend[[#This Row],[Conditional]]=TRUE)</f>
        <v>0</v>
      </c>
      <c r="R131" s="276" t="s">
        <v>88</v>
      </c>
      <c r="S131" s="286">
        <v>1</v>
      </c>
      <c r="T131" s="23" t="s">
        <v>1148</v>
      </c>
    </row>
    <row r="132" spans="5:20" x14ac:dyDescent="0.3">
      <c r="E132" s="300" t="str">
        <f>IF(Table_AlwaysSend[[#This Row],[GREET1 Name Range]]="", "dash_"&amp;Table_AlwaysSend[[#This Row],[Feedstock]]&amp;"_"&amp;Table_AlwaysSend[[#This Row],[Value to Send]], Table_AlwaysSend[[#This Row],[Feedstock]]&amp;"_"&amp;Table_AlwaysSend[[#This Row],[Value to Send]]&amp;"_"&amp;Table_AlwaysSend[[#This Row],[GREET1 Name Range]])</f>
        <v>Corn stover_2_JetFuel_STJet_BiomassFeedstock</v>
      </c>
      <c r="F132" s="297" t="s">
        <v>135</v>
      </c>
      <c r="G132" s="276" t="s">
        <v>140</v>
      </c>
      <c r="H132" s="299" t="s">
        <v>29</v>
      </c>
      <c r="I132" s="281" t="s">
        <v>29</v>
      </c>
      <c r="J132" s="281" t="s">
        <v>31</v>
      </c>
      <c r="K132" s="303" t="b" cm="1">
        <f t="array" ref="K132">OR(NOT(ISERROR(MATCH(TRIM(_xlfn.TEXTSPLIT(Table_AlwaysSend[[#This Row],[Feedstock]],",")),SelectedFeedstock,0))),AND(SelectedFeedstock&lt;&gt;"(Multiple Items)",SelectedFeedstock&lt;&gt;"(All)",Table_AlwaysSend[[#This Row],[Feedstock]]="All"))</f>
        <v>0</v>
      </c>
      <c r="L132" s="303" t="b" cm="1">
        <f t="array" ref="L132">OR(NOT(ISERROR(MATCH(TRIM(_xlfn.TEXTSPLIT(Table_AlwaysSend[[#This Row],[Conversion]],",")),SelectedConversion,0))),AND(SelectedConversion&lt;&gt;"(Multiple Items)",SelectedConversion&lt;&gt;"(All)",Table_AlwaysSend[[#This Row],[Conversion]]="All"))</f>
        <v>0</v>
      </c>
      <c r="M132" s="303" t="b" cm="1">
        <f t="array" ref="M132">OR(NOT(ISERROR(MATCH(TRIM(_xlfn.TEXTSPLIT(Table_AlwaysSend[[#This Row],[Data Source]],",")),SelectedDataSource,0))),AND(SelectedDataSource&lt;&gt;"(Multiple Items)",SelectedDataSource&lt;&gt;"(All)",Table_AlwaysSend[[#This Row],[Data Source]]="All"))</f>
        <v>1</v>
      </c>
      <c r="N132" s="305" t="b" cm="1">
        <f t="array" ref="N132">OR(NOT(ISERROR(MATCH(TRIM(_xlfn.TEXTSPLIT(Table_AlwaysSend[[#This Row],[Technology]],",")),SelectedTechnology,0))),AND(SelectedTechnology&lt;&gt;"(Multiple Items)",SelectedTechnology&lt;&gt;"(All)",Table_AlwaysSend[[#This Row],[Technology]]="All"))</f>
        <v>1</v>
      </c>
      <c r="O132" s="303" t="b" cm="1">
        <f t="array" ref="O132">OR(NOT(ISERROR(MATCH(TRIM(_xlfn.TEXTSPLIT(Table_AlwaysSend[[#This Row],[Data Set]],",")),SelectedDataSet,0))),AND(SelectedDataSet&lt;&gt;"(Multiple Items)",SelectedDataSet&lt;&gt;"(All)",Table_AlwaysSend[[#This Row],[Data Set]]="All"))</f>
        <v>1</v>
      </c>
      <c r="P132" s="305" t="b">
        <f>TRUE</f>
        <v>1</v>
      </c>
      <c r="Q132" s="306" t="b">
        <f>AND(Table_AlwaysSend[[#This Row],[Show Feedstock]:[Show Data Source2]],Table_AlwaysSend[[#This Row],[Conditional]]=TRUE)</f>
        <v>0</v>
      </c>
      <c r="R132" s="276" t="s">
        <v>88</v>
      </c>
      <c r="S132" s="286">
        <v>2</v>
      </c>
      <c r="T132" s="23" t="s">
        <v>1148</v>
      </c>
    </row>
    <row r="133" spans="5:20" x14ac:dyDescent="0.3">
      <c r="E133" s="300" t="str">
        <f>IF(Table_AlwaysSend[[#This Row],[GREET1 Name Range]]="", "dash_"&amp;Table_AlwaysSend[[#This Row],[Feedstock]]&amp;"_"&amp;Table_AlwaysSend[[#This Row],[Value to Send]], Table_AlwaysSend[[#This Row],[Feedstock]]&amp;"_"&amp;Table_AlwaysSend[[#This Row],[Value to Send]]&amp;"_"&amp;Table_AlwaysSend[[#This Row],[GREET1 Name Range]])</f>
        <v>Willow_1_JetFuel_STJet_BiomassFeedstock</v>
      </c>
      <c r="F133" s="297" t="s">
        <v>131</v>
      </c>
      <c r="G133" s="276" t="s">
        <v>139</v>
      </c>
      <c r="H133" s="299" t="s">
        <v>29</v>
      </c>
      <c r="I133" s="281" t="s">
        <v>29</v>
      </c>
      <c r="J133" s="281" t="s">
        <v>31</v>
      </c>
      <c r="K133" s="303" t="b" cm="1">
        <f t="array" ref="K133">OR(NOT(ISERROR(MATCH(TRIM(_xlfn.TEXTSPLIT(Table_AlwaysSend[[#This Row],[Feedstock]],",")),SelectedFeedstock,0))),AND(SelectedFeedstock&lt;&gt;"(Multiple Items)",SelectedFeedstock&lt;&gt;"(All)",Table_AlwaysSend[[#This Row],[Feedstock]]="All"))</f>
        <v>0</v>
      </c>
      <c r="L133" s="303" t="b" cm="1">
        <f t="array" ref="L133">OR(NOT(ISERROR(MATCH(TRIM(_xlfn.TEXTSPLIT(Table_AlwaysSend[[#This Row],[Conversion]],",")),SelectedConversion,0))),AND(SelectedConversion&lt;&gt;"(Multiple Items)",SelectedConversion&lt;&gt;"(All)",Table_AlwaysSend[[#This Row],[Conversion]]="All"))</f>
        <v>0</v>
      </c>
      <c r="M133" s="303" t="b" cm="1">
        <f t="array" ref="M133">OR(NOT(ISERROR(MATCH(TRIM(_xlfn.TEXTSPLIT(Table_AlwaysSend[[#This Row],[Data Source]],",")),SelectedDataSource,0))),AND(SelectedDataSource&lt;&gt;"(Multiple Items)",SelectedDataSource&lt;&gt;"(All)",Table_AlwaysSend[[#This Row],[Data Source]]="All"))</f>
        <v>1</v>
      </c>
      <c r="N133" s="308" t="b" cm="1">
        <f t="array" ref="N133">OR(NOT(ISERROR(MATCH(TRIM(_xlfn.TEXTSPLIT(Table_AlwaysSend[[#This Row],[Technology]],",")),SelectedTechnology,0))),AND(SelectedTechnology&lt;&gt;"(Multiple Items)",SelectedTechnology&lt;&gt;"(All)",Table_AlwaysSend[[#This Row],[Technology]]="All"))</f>
        <v>1</v>
      </c>
      <c r="O133" s="303" t="b" cm="1">
        <f t="array" ref="O133">OR(NOT(ISERROR(MATCH(TRIM(_xlfn.TEXTSPLIT(Table_AlwaysSend[[#This Row],[Data Set]],",")),SelectedDataSet,0))),AND(SelectedDataSet&lt;&gt;"(Multiple Items)",SelectedDataSet&lt;&gt;"(All)",Table_AlwaysSend[[#This Row],[Data Set]]="All"))</f>
        <v>1</v>
      </c>
      <c r="P133" s="305" t="b">
        <f>TRUE</f>
        <v>1</v>
      </c>
      <c r="Q133" s="306" t="b">
        <f>AND(Table_AlwaysSend[[#This Row],[Show Feedstock]:[Show Data Source2]],Table_AlwaysSend[[#This Row],[Conditional]]=TRUE)</f>
        <v>0</v>
      </c>
      <c r="R133" s="276" t="s">
        <v>88</v>
      </c>
      <c r="S133" s="286">
        <v>1</v>
      </c>
      <c r="T133" s="23" t="s">
        <v>1148</v>
      </c>
    </row>
    <row r="134" spans="5:20" x14ac:dyDescent="0.3">
      <c r="E134" s="300" t="str">
        <f>IF(Table_AlwaysSend[[#This Row],[GREET1 Name Range]]="", "dash_"&amp;Table_AlwaysSend[[#This Row],[Feedstock]]&amp;"_"&amp;Table_AlwaysSend[[#This Row],[Value to Send]], Table_AlwaysSend[[#This Row],[Feedstock]]&amp;"_"&amp;Table_AlwaysSend[[#This Row],[Value to Send]]&amp;"_"&amp;Table_AlwaysSend[[#This Row],[GREET1 Name Range]])</f>
        <v>Willow_2_JetFuel_STJet_BiomassFeedstock</v>
      </c>
      <c r="F134" s="297" t="s">
        <v>131</v>
      </c>
      <c r="G134" s="276" t="s">
        <v>140</v>
      </c>
      <c r="H134" s="299" t="s">
        <v>29</v>
      </c>
      <c r="I134" s="281" t="s">
        <v>29</v>
      </c>
      <c r="J134" s="281" t="s">
        <v>31</v>
      </c>
      <c r="K134" s="303" t="b" cm="1">
        <f t="array" ref="K134">OR(NOT(ISERROR(MATCH(TRIM(_xlfn.TEXTSPLIT(Table_AlwaysSend[[#This Row],[Feedstock]],",")),SelectedFeedstock,0))),AND(SelectedFeedstock&lt;&gt;"(Multiple Items)",SelectedFeedstock&lt;&gt;"(All)",Table_AlwaysSend[[#This Row],[Feedstock]]="All"))</f>
        <v>0</v>
      </c>
      <c r="L134" s="303" t="b" cm="1">
        <f t="array" ref="L134">OR(NOT(ISERROR(MATCH(TRIM(_xlfn.TEXTSPLIT(Table_AlwaysSend[[#This Row],[Conversion]],",")),SelectedConversion,0))),AND(SelectedConversion&lt;&gt;"(Multiple Items)",SelectedConversion&lt;&gt;"(All)",Table_AlwaysSend[[#This Row],[Conversion]]="All"))</f>
        <v>0</v>
      </c>
      <c r="M134" s="303" t="b" cm="1">
        <f t="array" ref="M134">OR(NOT(ISERROR(MATCH(TRIM(_xlfn.TEXTSPLIT(Table_AlwaysSend[[#This Row],[Data Source]],",")),SelectedDataSource,0))),AND(SelectedDataSource&lt;&gt;"(Multiple Items)",SelectedDataSource&lt;&gt;"(All)",Table_AlwaysSend[[#This Row],[Data Source]]="All"))</f>
        <v>1</v>
      </c>
      <c r="N134" s="308" t="b" cm="1">
        <f t="array" ref="N134">OR(NOT(ISERROR(MATCH(TRIM(_xlfn.TEXTSPLIT(Table_AlwaysSend[[#This Row],[Technology]],",")),SelectedTechnology,0))),AND(SelectedTechnology&lt;&gt;"(Multiple Items)",SelectedTechnology&lt;&gt;"(All)",Table_AlwaysSend[[#This Row],[Technology]]="All"))</f>
        <v>1</v>
      </c>
      <c r="O134" s="303" t="b" cm="1">
        <f t="array" ref="O134">OR(NOT(ISERROR(MATCH(TRIM(_xlfn.TEXTSPLIT(Table_AlwaysSend[[#This Row],[Data Set]],",")),SelectedDataSet,0))),AND(SelectedDataSet&lt;&gt;"(Multiple Items)",SelectedDataSet&lt;&gt;"(All)",Table_AlwaysSend[[#This Row],[Data Set]]="All"))</f>
        <v>1</v>
      </c>
      <c r="P134" s="305" t="b">
        <f>TRUE</f>
        <v>1</v>
      </c>
      <c r="Q134" s="306" t="b">
        <f>AND(Table_AlwaysSend[[#This Row],[Show Feedstock]:[Show Data Source2]],Table_AlwaysSend[[#This Row],[Conditional]]=TRUE)</f>
        <v>0</v>
      </c>
      <c r="R134" s="276" t="s">
        <v>88</v>
      </c>
      <c r="S134" s="286">
        <v>2</v>
      </c>
      <c r="T134" s="23" t="s">
        <v>1148</v>
      </c>
    </row>
    <row r="135" spans="5:20" x14ac:dyDescent="0.3">
      <c r="E135" s="300" t="str">
        <f>IF(Table_AlwaysSend[[#This Row],[GREET1 Name Range]]="", "dash_"&amp;Table_AlwaysSend[[#This Row],[Feedstock]]&amp;"_"&amp;Table_AlwaysSend[[#This Row],[Value to Send]], Table_AlwaysSend[[#This Row],[Feedstock]]&amp;"_"&amp;Table_AlwaysSend[[#This Row],[Value to Send]]&amp;"_"&amp;Table_AlwaysSend[[#This Row],[GREET1 Name Range]])</f>
        <v>Poplar_1_JetFuel_STJet_BiomassFeedstock</v>
      </c>
      <c r="F135" s="297" t="s">
        <v>132</v>
      </c>
      <c r="G135" s="276" t="s">
        <v>139</v>
      </c>
      <c r="H135" s="299" t="s">
        <v>29</v>
      </c>
      <c r="I135" s="281" t="s">
        <v>29</v>
      </c>
      <c r="J135" s="281" t="s">
        <v>31</v>
      </c>
      <c r="K135" s="303" t="b" cm="1">
        <f t="array" ref="K135">OR(NOT(ISERROR(MATCH(TRIM(_xlfn.TEXTSPLIT(Table_AlwaysSend[[#This Row],[Feedstock]],",")),SelectedFeedstock,0))),AND(SelectedFeedstock&lt;&gt;"(Multiple Items)",SelectedFeedstock&lt;&gt;"(All)",Table_AlwaysSend[[#This Row],[Feedstock]]="All"))</f>
        <v>0</v>
      </c>
      <c r="L135" s="303" t="b" cm="1">
        <f t="array" ref="L135">OR(NOT(ISERROR(MATCH(TRIM(_xlfn.TEXTSPLIT(Table_AlwaysSend[[#This Row],[Conversion]],",")),SelectedConversion,0))),AND(SelectedConversion&lt;&gt;"(Multiple Items)",SelectedConversion&lt;&gt;"(All)",Table_AlwaysSend[[#This Row],[Conversion]]="All"))</f>
        <v>0</v>
      </c>
      <c r="M135" s="303" t="b" cm="1">
        <f t="array" ref="M135">OR(NOT(ISERROR(MATCH(TRIM(_xlfn.TEXTSPLIT(Table_AlwaysSend[[#This Row],[Data Source]],",")),SelectedDataSource,0))),AND(SelectedDataSource&lt;&gt;"(Multiple Items)",SelectedDataSource&lt;&gt;"(All)",Table_AlwaysSend[[#This Row],[Data Source]]="All"))</f>
        <v>1</v>
      </c>
      <c r="N135" s="308" t="b" cm="1">
        <f t="array" ref="N135">OR(NOT(ISERROR(MATCH(TRIM(_xlfn.TEXTSPLIT(Table_AlwaysSend[[#This Row],[Technology]],",")),SelectedTechnology,0))),AND(SelectedTechnology&lt;&gt;"(Multiple Items)",SelectedTechnology&lt;&gt;"(All)",Table_AlwaysSend[[#This Row],[Technology]]="All"))</f>
        <v>1</v>
      </c>
      <c r="O135" s="303" t="b" cm="1">
        <f t="array" ref="O135">OR(NOT(ISERROR(MATCH(TRIM(_xlfn.TEXTSPLIT(Table_AlwaysSend[[#This Row],[Data Set]],",")),SelectedDataSet,0))),AND(SelectedDataSet&lt;&gt;"(Multiple Items)",SelectedDataSet&lt;&gt;"(All)",Table_AlwaysSend[[#This Row],[Data Set]]="All"))</f>
        <v>1</v>
      </c>
      <c r="P135" s="305" t="b">
        <f>TRUE</f>
        <v>1</v>
      </c>
      <c r="Q135" s="306" t="b">
        <f>AND(Table_AlwaysSend[[#This Row],[Show Feedstock]:[Show Data Source2]],Table_AlwaysSend[[#This Row],[Conditional]]=TRUE)</f>
        <v>0</v>
      </c>
      <c r="R135" s="276" t="s">
        <v>88</v>
      </c>
      <c r="S135" s="286">
        <v>1</v>
      </c>
      <c r="T135" s="23" t="s">
        <v>1148</v>
      </c>
    </row>
    <row r="136" spans="5:20" x14ac:dyDescent="0.3">
      <c r="E136" s="300" t="str">
        <f>IF(Table_AlwaysSend[[#This Row],[GREET1 Name Range]]="", "dash_"&amp;Table_AlwaysSend[[#This Row],[Feedstock]]&amp;"_"&amp;Table_AlwaysSend[[#This Row],[Value to Send]], Table_AlwaysSend[[#This Row],[Feedstock]]&amp;"_"&amp;Table_AlwaysSend[[#This Row],[Value to Send]]&amp;"_"&amp;Table_AlwaysSend[[#This Row],[GREET1 Name Range]])</f>
        <v>Poplar_2_JetFuel_STJet_BiomassFeedstock</v>
      </c>
      <c r="F136" s="297" t="s">
        <v>132</v>
      </c>
      <c r="G136" s="276" t="s">
        <v>140</v>
      </c>
      <c r="H136" s="299" t="s">
        <v>29</v>
      </c>
      <c r="I136" s="281" t="s">
        <v>29</v>
      </c>
      <c r="J136" s="281" t="s">
        <v>31</v>
      </c>
      <c r="K136" s="303" t="b" cm="1">
        <f t="array" ref="K136">OR(NOT(ISERROR(MATCH(TRIM(_xlfn.TEXTSPLIT(Table_AlwaysSend[[#This Row],[Feedstock]],",")),SelectedFeedstock,0))),AND(SelectedFeedstock&lt;&gt;"(Multiple Items)",SelectedFeedstock&lt;&gt;"(All)",Table_AlwaysSend[[#This Row],[Feedstock]]="All"))</f>
        <v>0</v>
      </c>
      <c r="L136" s="303" t="b" cm="1">
        <f t="array" ref="L136">OR(NOT(ISERROR(MATCH(TRIM(_xlfn.TEXTSPLIT(Table_AlwaysSend[[#This Row],[Conversion]],",")),SelectedConversion,0))),AND(SelectedConversion&lt;&gt;"(Multiple Items)",SelectedConversion&lt;&gt;"(All)",Table_AlwaysSend[[#This Row],[Conversion]]="All"))</f>
        <v>0</v>
      </c>
      <c r="M136" s="303" t="b" cm="1">
        <f t="array" ref="M136">OR(NOT(ISERROR(MATCH(TRIM(_xlfn.TEXTSPLIT(Table_AlwaysSend[[#This Row],[Data Source]],",")),SelectedDataSource,0))),AND(SelectedDataSource&lt;&gt;"(Multiple Items)",SelectedDataSource&lt;&gt;"(All)",Table_AlwaysSend[[#This Row],[Data Source]]="All"))</f>
        <v>1</v>
      </c>
      <c r="N136" s="308" t="b" cm="1">
        <f t="array" ref="N136">OR(NOT(ISERROR(MATCH(TRIM(_xlfn.TEXTSPLIT(Table_AlwaysSend[[#This Row],[Technology]],",")),SelectedTechnology,0))),AND(SelectedTechnology&lt;&gt;"(Multiple Items)",SelectedTechnology&lt;&gt;"(All)",Table_AlwaysSend[[#This Row],[Technology]]="All"))</f>
        <v>1</v>
      </c>
      <c r="O136" s="303" t="b" cm="1">
        <f t="array" ref="O136">OR(NOT(ISERROR(MATCH(TRIM(_xlfn.TEXTSPLIT(Table_AlwaysSend[[#This Row],[Data Set]],",")),SelectedDataSet,0))),AND(SelectedDataSet&lt;&gt;"(Multiple Items)",SelectedDataSet&lt;&gt;"(All)",Table_AlwaysSend[[#This Row],[Data Set]]="All"))</f>
        <v>1</v>
      </c>
      <c r="P136" s="305" t="b">
        <f>TRUE</f>
        <v>1</v>
      </c>
      <c r="Q136" s="306" t="b">
        <f>AND(Table_AlwaysSend[[#This Row],[Show Feedstock]:[Show Data Source2]],Table_AlwaysSend[[#This Row],[Conditional]]=TRUE)</f>
        <v>0</v>
      </c>
      <c r="R136" s="276" t="s">
        <v>88</v>
      </c>
      <c r="S136" s="286">
        <v>2</v>
      </c>
      <c r="T136" s="23" t="s">
        <v>1148</v>
      </c>
    </row>
    <row r="137" spans="5:20" x14ac:dyDescent="0.3">
      <c r="E137" s="300" t="str">
        <f>IF(Table_AlwaysSend[[#This Row],[GREET1 Name Range]]="", "dash_"&amp;Table_AlwaysSend[[#This Row],[Feedstock]]&amp;"_"&amp;Table_AlwaysSend[[#This Row],[Value to Send]], Table_AlwaysSend[[#This Row],[Feedstock]]&amp;"_"&amp;Table_AlwaysSend[[#This Row],[Value to Send]]&amp;"_"&amp;Table_AlwaysSend[[#This Row],[GREET1 Name Range]])</f>
        <v>Switchgrass_1_JetFuel_STJet_BiomassFeedstock</v>
      </c>
      <c r="F137" s="297" t="s">
        <v>133</v>
      </c>
      <c r="G137" s="276" t="s">
        <v>139</v>
      </c>
      <c r="H137" s="299" t="s">
        <v>29</v>
      </c>
      <c r="I137" s="281" t="s">
        <v>29</v>
      </c>
      <c r="J137" s="281" t="s">
        <v>31</v>
      </c>
      <c r="K137" s="303" t="b" cm="1">
        <f t="array" ref="K137">OR(NOT(ISERROR(MATCH(TRIM(_xlfn.TEXTSPLIT(Table_AlwaysSend[[#This Row],[Feedstock]],",")),SelectedFeedstock,0))),AND(SelectedFeedstock&lt;&gt;"(Multiple Items)",SelectedFeedstock&lt;&gt;"(All)",Table_AlwaysSend[[#This Row],[Feedstock]]="All"))</f>
        <v>0</v>
      </c>
      <c r="L137" s="303" t="b" cm="1">
        <f t="array" ref="L137">OR(NOT(ISERROR(MATCH(TRIM(_xlfn.TEXTSPLIT(Table_AlwaysSend[[#This Row],[Conversion]],",")),SelectedConversion,0))),AND(SelectedConversion&lt;&gt;"(Multiple Items)",SelectedConversion&lt;&gt;"(All)",Table_AlwaysSend[[#This Row],[Conversion]]="All"))</f>
        <v>0</v>
      </c>
      <c r="M137" s="303" t="b" cm="1">
        <f t="array" ref="M137">OR(NOT(ISERROR(MATCH(TRIM(_xlfn.TEXTSPLIT(Table_AlwaysSend[[#This Row],[Data Source]],",")),SelectedDataSource,0))),AND(SelectedDataSource&lt;&gt;"(Multiple Items)",SelectedDataSource&lt;&gt;"(All)",Table_AlwaysSend[[#This Row],[Data Source]]="All"))</f>
        <v>1</v>
      </c>
      <c r="N137" s="308" t="b" cm="1">
        <f t="array" ref="N137">OR(NOT(ISERROR(MATCH(TRIM(_xlfn.TEXTSPLIT(Table_AlwaysSend[[#This Row],[Technology]],",")),SelectedTechnology,0))),AND(SelectedTechnology&lt;&gt;"(Multiple Items)",SelectedTechnology&lt;&gt;"(All)",Table_AlwaysSend[[#This Row],[Technology]]="All"))</f>
        <v>1</v>
      </c>
      <c r="O137" s="303" t="b" cm="1">
        <f t="array" ref="O137">OR(NOT(ISERROR(MATCH(TRIM(_xlfn.TEXTSPLIT(Table_AlwaysSend[[#This Row],[Data Set]],",")),SelectedDataSet,0))),AND(SelectedDataSet&lt;&gt;"(Multiple Items)",SelectedDataSet&lt;&gt;"(All)",Table_AlwaysSend[[#This Row],[Data Set]]="All"))</f>
        <v>1</v>
      </c>
      <c r="P137" s="305" t="b">
        <f>TRUE</f>
        <v>1</v>
      </c>
      <c r="Q137" s="306" t="b">
        <f>AND(Table_AlwaysSend[[#This Row],[Show Feedstock]:[Show Data Source2]],Table_AlwaysSend[[#This Row],[Conditional]]=TRUE)</f>
        <v>0</v>
      </c>
      <c r="R137" s="276" t="s">
        <v>88</v>
      </c>
      <c r="S137" s="286">
        <v>1</v>
      </c>
      <c r="T137" s="23" t="s">
        <v>1148</v>
      </c>
    </row>
    <row r="138" spans="5:20" x14ac:dyDescent="0.3">
      <c r="E138" s="300" t="str">
        <f>IF(Table_AlwaysSend[[#This Row],[GREET1 Name Range]]="", "dash_"&amp;Table_AlwaysSend[[#This Row],[Feedstock]]&amp;"_"&amp;Table_AlwaysSend[[#This Row],[Value to Send]], Table_AlwaysSend[[#This Row],[Feedstock]]&amp;"_"&amp;Table_AlwaysSend[[#This Row],[Value to Send]]&amp;"_"&amp;Table_AlwaysSend[[#This Row],[GREET1 Name Range]])</f>
        <v>Switchgrass_2_JetFuel_STJet_BiomassFeedstock</v>
      </c>
      <c r="F138" s="297" t="s">
        <v>133</v>
      </c>
      <c r="G138" s="276" t="s">
        <v>140</v>
      </c>
      <c r="H138" s="299" t="s">
        <v>29</v>
      </c>
      <c r="I138" s="281" t="s">
        <v>29</v>
      </c>
      <c r="J138" s="281" t="s">
        <v>31</v>
      </c>
      <c r="K138" s="303" t="b" cm="1">
        <f t="array" ref="K138">OR(NOT(ISERROR(MATCH(TRIM(_xlfn.TEXTSPLIT(Table_AlwaysSend[[#This Row],[Feedstock]],",")),SelectedFeedstock,0))),AND(SelectedFeedstock&lt;&gt;"(Multiple Items)",SelectedFeedstock&lt;&gt;"(All)",Table_AlwaysSend[[#This Row],[Feedstock]]="All"))</f>
        <v>0</v>
      </c>
      <c r="L138" s="303" t="b" cm="1">
        <f t="array" ref="L138">OR(NOT(ISERROR(MATCH(TRIM(_xlfn.TEXTSPLIT(Table_AlwaysSend[[#This Row],[Conversion]],",")),SelectedConversion,0))),AND(SelectedConversion&lt;&gt;"(Multiple Items)",SelectedConversion&lt;&gt;"(All)",Table_AlwaysSend[[#This Row],[Conversion]]="All"))</f>
        <v>0</v>
      </c>
      <c r="M138" s="303" t="b" cm="1">
        <f t="array" ref="M138">OR(NOT(ISERROR(MATCH(TRIM(_xlfn.TEXTSPLIT(Table_AlwaysSend[[#This Row],[Data Source]],",")),SelectedDataSource,0))),AND(SelectedDataSource&lt;&gt;"(Multiple Items)",SelectedDataSource&lt;&gt;"(All)",Table_AlwaysSend[[#This Row],[Data Source]]="All"))</f>
        <v>1</v>
      </c>
      <c r="N138" s="308" t="b" cm="1">
        <f t="array" ref="N138">OR(NOT(ISERROR(MATCH(TRIM(_xlfn.TEXTSPLIT(Table_AlwaysSend[[#This Row],[Technology]],",")),SelectedTechnology,0))),AND(SelectedTechnology&lt;&gt;"(Multiple Items)",SelectedTechnology&lt;&gt;"(All)",Table_AlwaysSend[[#This Row],[Technology]]="All"))</f>
        <v>1</v>
      </c>
      <c r="O138" s="303" t="b" cm="1">
        <f t="array" ref="O138">OR(NOT(ISERROR(MATCH(TRIM(_xlfn.TEXTSPLIT(Table_AlwaysSend[[#This Row],[Data Set]],",")),SelectedDataSet,0))),AND(SelectedDataSet&lt;&gt;"(Multiple Items)",SelectedDataSet&lt;&gt;"(All)",Table_AlwaysSend[[#This Row],[Data Set]]="All"))</f>
        <v>1</v>
      </c>
      <c r="P138" s="305" t="b">
        <f>TRUE</f>
        <v>1</v>
      </c>
      <c r="Q138" s="306" t="b">
        <f>AND(Table_AlwaysSend[[#This Row],[Show Feedstock]:[Show Data Source2]],Table_AlwaysSend[[#This Row],[Conditional]]=TRUE)</f>
        <v>0</v>
      </c>
      <c r="R138" s="276" t="s">
        <v>88</v>
      </c>
      <c r="S138" s="286">
        <v>2</v>
      </c>
      <c r="T138" s="23" t="s">
        <v>1148</v>
      </c>
    </row>
    <row r="139" spans="5:20" x14ac:dyDescent="0.3">
      <c r="E139" s="300" t="str">
        <f>IF(Table_AlwaysSend[[#This Row],[GREET1 Name Range]]="", "dash_"&amp;Table_AlwaysSend[[#This Row],[Feedstock]]&amp;"_"&amp;Table_AlwaysSend[[#This Row],[Value to Send]], Table_AlwaysSend[[#This Row],[Feedstock]]&amp;"_"&amp;Table_AlwaysSend[[#This Row],[Value to Send]]&amp;"_"&amp;Table_AlwaysSend[[#This Row],[GREET1 Name Range]])</f>
        <v>Miscanthus_1_JetFuel_STJet_BiomassFeedstock</v>
      </c>
      <c r="F139" s="297" t="s">
        <v>134</v>
      </c>
      <c r="G139" s="276" t="s">
        <v>139</v>
      </c>
      <c r="H139" s="299" t="s">
        <v>29</v>
      </c>
      <c r="I139" s="281" t="s">
        <v>29</v>
      </c>
      <c r="J139" s="281" t="s">
        <v>31</v>
      </c>
      <c r="K139" s="303" t="b" cm="1">
        <f t="array" ref="K139">OR(NOT(ISERROR(MATCH(TRIM(_xlfn.TEXTSPLIT(Table_AlwaysSend[[#This Row],[Feedstock]],",")),SelectedFeedstock,0))),AND(SelectedFeedstock&lt;&gt;"(Multiple Items)",SelectedFeedstock&lt;&gt;"(All)",Table_AlwaysSend[[#This Row],[Feedstock]]="All"))</f>
        <v>0</v>
      </c>
      <c r="L139" s="303" t="b" cm="1">
        <f t="array" ref="L139">OR(NOT(ISERROR(MATCH(TRIM(_xlfn.TEXTSPLIT(Table_AlwaysSend[[#This Row],[Conversion]],",")),SelectedConversion,0))),AND(SelectedConversion&lt;&gt;"(Multiple Items)",SelectedConversion&lt;&gt;"(All)",Table_AlwaysSend[[#This Row],[Conversion]]="All"))</f>
        <v>0</v>
      </c>
      <c r="M139" s="303" t="b" cm="1">
        <f t="array" ref="M139">OR(NOT(ISERROR(MATCH(TRIM(_xlfn.TEXTSPLIT(Table_AlwaysSend[[#This Row],[Data Source]],",")),SelectedDataSource,0))),AND(SelectedDataSource&lt;&gt;"(Multiple Items)",SelectedDataSource&lt;&gt;"(All)",Table_AlwaysSend[[#This Row],[Data Source]]="All"))</f>
        <v>1</v>
      </c>
      <c r="N139" s="308" t="b" cm="1">
        <f t="array" ref="N139">OR(NOT(ISERROR(MATCH(TRIM(_xlfn.TEXTSPLIT(Table_AlwaysSend[[#This Row],[Technology]],",")),SelectedTechnology,0))),AND(SelectedTechnology&lt;&gt;"(Multiple Items)",SelectedTechnology&lt;&gt;"(All)",Table_AlwaysSend[[#This Row],[Technology]]="All"))</f>
        <v>1</v>
      </c>
      <c r="O139" s="303" t="b" cm="1">
        <f t="array" ref="O139">OR(NOT(ISERROR(MATCH(TRIM(_xlfn.TEXTSPLIT(Table_AlwaysSend[[#This Row],[Data Set]],",")),SelectedDataSet,0))),AND(SelectedDataSet&lt;&gt;"(Multiple Items)",SelectedDataSet&lt;&gt;"(All)",Table_AlwaysSend[[#This Row],[Data Set]]="All"))</f>
        <v>1</v>
      </c>
      <c r="P139" s="305" t="b">
        <f>TRUE</f>
        <v>1</v>
      </c>
      <c r="Q139" s="306" t="b">
        <f>AND(Table_AlwaysSend[[#This Row],[Show Feedstock]:[Show Data Source2]],Table_AlwaysSend[[#This Row],[Conditional]]=TRUE)</f>
        <v>0</v>
      </c>
      <c r="R139" s="276" t="s">
        <v>88</v>
      </c>
      <c r="S139" s="286">
        <v>1</v>
      </c>
      <c r="T139" s="23" t="s">
        <v>1148</v>
      </c>
    </row>
    <row r="140" spans="5:20" x14ac:dyDescent="0.3">
      <c r="E140" s="300" t="str">
        <f>IF(Table_AlwaysSend[[#This Row],[GREET1 Name Range]]="", "dash_"&amp;Table_AlwaysSend[[#This Row],[Feedstock]]&amp;"_"&amp;Table_AlwaysSend[[#This Row],[Value to Send]], Table_AlwaysSend[[#This Row],[Feedstock]]&amp;"_"&amp;Table_AlwaysSend[[#This Row],[Value to Send]]&amp;"_"&amp;Table_AlwaysSend[[#This Row],[GREET1 Name Range]])</f>
        <v>Miscanthus_2_JetFuel_STJet_BiomassFeedstock</v>
      </c>
      <c r="F140" s="297" t="s">
        <v>134</v>
      </c>
      <c r="G140" s="276" t="s">
        <v>140</v>
      </c>
      <c r="H140" s="299" t="s">
        <v>29</v>
      </c>
      <c r="I140" s="281" t="s">
        <v>29</v>
      </c>
      <c r="J140" s="281" t="s">
        <v>31</v>
      </c>
      <c r="K140" s="303" t="b" cm="1">
        <f t="array" ref="K140">OR(NOT(ISERROR(MATCH(TRIM(_xlfn.TEXTSPLIT(Table_AlwaysSend[[#This Row],[Feedstock]],",")),SelectedFeedstock,0))),AND(SelectedFeedstock&lt;&gt;"(Multiple Items)",SelectedFeedstock&lt;&gt;"(All)",Table_AlwaysSend[[#This Row],[Feedstock]]="All"))</f>
        <v>0</v>
      </c>
      <c r="L140" s="303" t="b" cm="1">
        <f t="array" ref="L140">OR(NOT(ISERROR(MATCH(TRIM(_xlfn.TEXTSPLIT(Table_AlwaysSend[[#This Row],[Conversion]],",")),SelectedConversion,0))),AND(SelectedConversion&lt;&gt;"(Multiple Items)",SelectedConversion&lt;&gt;"(All)",Table_AlwaysSend[[#This Row],[Conversion]]="All"))</f>
        <v>0</v>
      </c>
      <c r="M140" s="303" t="b" cm="1">
        <f t="array" ref="M140">OR(NOT(ISERROR(MATCH(TRIM(_xlfn.TEXTSPLIT(Table_AlwaysSend[[#This Row],[Data Source]],",")),SelectedDataSource,0))),AND(SelectedDataSource&lt;&gt;"(Multiple Items)",SelectedDataSource&lt;&gt;"(All)",Table_AlwaysSend[[#This Row],[Data Source]]="All"))</f>
        <v>1</v>
      </c>
      <c r="N140" s="308" t="b" cm="1">
        <f t="array" ref="N140">OR(NOT(ISERROR(MATCH(TRIM(_xlfn.TEXTSPLIT(Table_AlwaysSend[[#This Row],[Technology]],",")),SelectedTechnology,0))),AND(SelectedTechnology&lt;&gt;"(Multiple Items)",SelectedTechnology&lt;&gt;"(All)",Table_AlwaysSend[[#This Row],[Technology]]="All"))</f>
        <v>1</v>
      </c>
      <c r="O140" s="303" t="b" cm="1">
        <f t="array" ref="O140">OR(NOT(ISERROR(MATCH(TRIM(_xlfn.TEXTSPLIT(Table_AlwaysSend[[#This Row],[Data Set]],",")),SelectedDataSet,0))),AND(SelectedDataSet&lt;&gt;"(Multiple Items)",SelectedDataSet&lt;&gt;"(All)",Table_AlwaysSend[[#This Row],[Data Set]]="All"))</f>
        <v>1</v>
      </c>
      <c r="P140" s="305" t="b">
        <f>TRUE</f>
        <v>1</v>
      </c>
      <c r="Q140" s="306" t="b">
        <f>AND(Table_AlwaysSend[[#This Row],[Show Feedstock]:[Show Data Source2]],Table_AlwaysSend[[#This Row],[Conditional]]=TRUE)</f>
        <v>0</v>
      </c>
      <c r="R140" s="276" t="s">
        <v>88</v>
      </c>
      <c r="S140" s="286">
        <v>2</v>
      </c>
      <c r="T140" s="23" t="s">
        <v>1148</v>
      </c>
    </row>
    <row r="141" spans="5:20" x14ac:dyDescent="0.3">
      <c r="E141" s="300" t="str">
        <f>IF(Table_AlwaysSend[[#This Row],[GREET1 Name Range]]="", "dash_"&amp;Table_AlwaysSend[[#This Row],[Feedstock]]&amp;"_"&amp;Table_AlwaysSend[[#This Row],[Value to Send]], Table_AlwaysSend[[#This Row],[Feedstock]]&amp;"_"&amp;Table_AlwaysSend[[#This Row],[Value to Send]]&amp;"_"&amp;Table_AlwaysSend[[#This Row],[GREET1 Name Range]])</f>
        <v>Forest residue_1_JetFuel_STJet_BiomassFeedstock</v>
      </c>
      <c r="F141" s="297" t="s">
        <v>316</v>
      </c>
      <c r="G141" s="276" t="s">
        <v>139</v>
      </c>
      <c r="H141" s="299" t="s">
        <v>29</v>
      </c>
      <c r="I141" s="281" t="s">
        <v>29</v>
      </c>
      <c r="J141" s="281" t="s">
        <v>31</v>
      </c>
      <c r="K141" s="303" t="b" cm="1">
        <f t="array" ref="K141">OR(NOT(ISERROR(MATCH(TRIM(_xlfn.TEXTSPLIT(Table_AlwaysSend[[#This Row],[Feedstock]],",")),SelectedFeedstock,0))),AND(SelectedFeedstock&lt;&gt;"(Multiple Items)",SelectedFeedstock&lt;&gt;"(All)",Table_AlwaysSend[[#This Row],[Feedstock]]="All"))</f>
        <v>0</v>
      </c>
      <c r="L141" s="303" t="b" cm="1">
        <f t="array" ref="L141">OR(NOT(ISERROR(MATCH(TRIM(_xlfn.TEXTSPLIT(Table_AlwaysSend[[#This Row],[Conversion]],",")),SelectedConversion,0))),AND(SelectedConversion&lt;&gt;"(Multiple Items)",SelectedConversion&lt;&gt;"(All)",Table_AlwaysSend[[#This Row],[Conversion]]="All"))</f>
        <v>0</v>
      </c>
      <c r="M141" s="303" t="b" cm="1">
        <f t="array" ref="M141">OR(NOT(ISERROR(MATCH(TRIM(_xlfn.TEXTSPLIT(Table_AlwaysSend[[#This Row],[Data Source]],",")),SelectedDataSource,0))),AND(SelectedDataSource&lt;&gt;"(Multiple Items)",SelectedDataSource&lt;&gt;"(All)",Table_AlwaysSend[[#This Row],[Data Source]]="All"))</f>
        <v>1</v>
      </c>
      <c r="N141" s="308" t="b" cm="1">
        <f t="array" ref="N141">OR(NOT(ISERROR(MATCH(TRIM(_xlfn.TEXTSPLIT(Table_AlwaysSend[[#This Row],[Technology]],",")),SelectedTechnology,0))),AND(SelectedTechnology&lt;&gt;"(Multiple Items)",SelectedTechnology&lt;&gt;"(All)",Table_AlwaysSend[[#This Row],[Technology]]="All"))</f>
        <v>1</v>
      </c>
      <c r="O141" s="303" t="b" cm="1">
        <f t="array" ref="O141">OR(NOT(ISERROR(MATCH(TRIM(_xlfn.TEXTSPLIT(Table_AlwaysSend[[#This Row],[Data Set]],",")),SelectedDataSet,0))),AND(SelectedDataSet&lt;&gt;"(Multiple Items)",SelectedDataSet&lt;&gt;"(All)",Table_AlwaysSend[[#This Row],[Data Set]]="All"))</f>
        <v>1</v>
      </c>
      <c r="P141" s="305" t="b">
        <f>TRUE</f>
        <v>1</v>
      </c>
      <c r="Q141" s="306" t="b">
        <f>AND(Table_AlwaysSend[[#This Row],[Show Feedstock]:[Show Data Source2]],Table_AlwaysSend[[#This Row],[Conditional]]=TRUE)</f>
        <v>0</v>
      </c>
      <c r="R141" s="276" t="s">
        <v>88</v>
      </c>
      <c r="S141" s="286">
        <v>1</v>
      </c>
      <c r="T141" s="23" t="s">
        <v>1148</v>
      </c>
    </row>
    <row r="142" spans="5:20" x14ac:dyDescent="0.3">
      <c r="E142" s="300" t="str">
        <f>IF(Table_AlwaysSend[[#This Row],[GREET1 Name Range]]="", "dash_"&amp;Table_AlwaysSend[[#This Row],[Feedstock]]&amp;"_"&amp;Table_AlwaysSend[[#This Row],[Value to Send]], Table_AlwaysSend[[#This Row],[Feedstock]]&amp;"_"&amp;Table_AlwaysSend[[#This Row],[Value to Send]]&amp;"_"&amp;Table_AlwaysSend[[#This Row],[GREET1 Name Range]])</f>
        <v>Forest residue_2_JetFuel_STJet_BiomassFeedstock</v>
      </c>
      <c r="F142" s="297" t="s">
        <v>316</v>
      </c>
      <c r="G142" s="276" t="s">
        <v>140</v>
      </c>
      <c r="H142" s="299" t="s">
        <v>29</v>
      </c>
      <c r="I142" s="281" t="s">
        <v>29</v>
      </c>
      <c r="J142" s="281" t="s">
        <v>31</v>
      </c>
      <c r="K142" s="303" t="b" cm="1">
        <f t="array" ref="K142">OR(NOT(ISERROR(MATCH(TRIM(_xlfn.TEXTSPLIT(Table_AlwaysSend[[#This Row],[Feedstock]],",")),SelectedFeedstock,0))),AND(SelectedFeedstock&lt;&gt;"(Multiple Items)",SelectedFeedstock&lt;&gt;"(All)",Table_AlwaysSend[[#This Row],[Feedstock]]="All"))</f>
        <v>0</v>
      </c>
      <c r="L142" s="303" t="b" cm="1">
        <f t="array" ref="L142">OR(NOT(ISERROR(MATCH(TRIM(_xlfn.TEXTSPLIT(Table_AlwaysSend[[#This Row],[Conversion]],",")),SelectedConversion,0))),AND(SelectedConversion&lt;&gt;"(Multiple Items)",SelectedConversion&lt;&gt;"(All)",Table_AlwaysSend[[#This Row],[Conversion]]="All"))</f>
        <v>0</v>
      </c>
      <c r="M142" s="303" t="b" cm="1">
        <f t="array" ref="M142">OR(NOT(ISERROR(MATCH(TRIM(_xlfn.TEXTSPLIT(Table_AlwaysSend[[#This Row],[Data Source]],",")),SelectedDataSource,0))),AND(SelectedDataSource&lt;&gt;"(Multiple Items)",SelectedDataSource&lt;&gt;"(All)",Table_AlwaysSend[[#This Row],[Data Source]]="All"))</f>
        <v>1</v>
      </c>
      <c r="N142" s="308" t="b" cm="1">
        <f t="array" ref="N142">OR(NOT(ISERROR(MATCH(TRIM(_xlfn.TEXTSPLIT(Table_AlwaysSend[[#This Row],[Technology]],",")),SelectedTechnology,0))),AND(SelectedTechnology&lt;&gt;"(Multiple Items)",SelectedTechnology&lt;&gt;"(All)",Table_AlwaysSend[[#This Row],[Technology]]="All"))</f>
        <v>1</v>
      </c>
      <c r="O142" s="303" t="b" cm="1">
        <f t="array" ref="O142">OR(NOT(ISERROR(MATCH(TRIM(_xlfn.TEXTSPLIT(Table_AlwaysSend[[#This Row],[Data Set]],",")),SelectedDataSet,0))),AND(SelectedDataSet&lt;&gt;"(Multiple Items)",SelectedDataSet&lt;&gt;"(All)",Table_AlwaysSend[[#This Row],[Data Set]]="All"))</f>
        <v>1</v>
      </c>
      <c r="P142" s="305" t="b">
        <f>TRUE</f>
        <v>1</v>
      </c>
      <c r="Q142" s="306" t="b">
        <f>AND(Table_AlwaysSend[[#This Row],[Show Feedstock]:[Show Data Source2]],Table_AlwaysSend[[#This Row],[Conditional]]=TRUE)</f>
        <v>0</v>
      </c>
      <c r="R142" s="276" t="s">
        <v>88</v>
      </c>
      <c r="S142" s="286">
        <v>2</v>
      </c>
      <c r="T142" s="23" t="s">
        <v>1148</v>
      </c>
    </row>
    <row r="143" spans="5:20" x14ac:dyDescent="0.3">
      <c r="E143" s="300" t="str">
        <f>IF(Table_AlwaysSend[[#This Row],[GREET1 Name Range]]="", "dash_"&amp;Table_AlwaysSend[[#This Row],[Feedstock]]&amp;"_"&amp;Table_AlwaysSend[[#This Row],[Value to Send]], Table_AlwaysSend[[#This Row],[Feedstock]]&amp;"_"&amp;Table_AlwaysSend[[#This Row],[Value to Send]]&amp;"_"&amp;Table_AlwaysSend[[#This Row],[GREET1 Name Range]])</f>
        <v>All_0_SAF_Miscanthus_FT_LandChange_Option</v>
      </c>
      <c r="F143" s="297" t="s">
        <v>435</v>
      </c>
      <c r="G143" s="276" t="s">
        <v>435</v>
      </c>
      <c r="H143" s="299" t="s">
        <v>435</v>
      </c>
      <c r="I143" s="299" t="s">
        <v>435</v>
      </c>
      <c r="J143" s="299" t="s">
        <v>435</v>
      </c>
      <c r="K143" s="303" t="b" cm="1">
        <f t="array" ref="K143">OR(NOT(ISERROR(MATCH(TRIM(_xlfn.TEXTSPLIT(Table_AlwaysSend[[#This Row],[Feedstock]],",")),SelectedFeedstock,0))),AND(SelectedFeedstock&lt;&gt;"(Multiple Items)",SelectedFeedstock&lt;&gt;"(All)",Table_AlwaysSend[[#This Row],[Feedstock]]="All"))</f>
        <v>1</v>
      </c>
      <c r="L143" s="303" t="b" cm="1">
        <f t="array" ref="L143">OR(NOT(ISERROR(MATCH(TRIM(_xlfn.TEXTSPLIT(Table_AlwaysSend[[#This Row],[Conversion]],",")),SelectedConversion,0))),AND(SelectedConversion&lt;&gt;"(Multiple Items)",SelectedConversion&lt;&gt;"(All)",Table_AlwaysSend[[#This Row],[Conversion]]="All"))</f>
        <v>1</v>
      </c>
      <c r="M143" s="303" t="b" cm="1">
        <f t="array" ref="M143">OR(NOT(ISERROR(MATCH(TRIM(_xlfn.TEXTSPLIT(Table_AlwaysSend[[#This Row],[Data Source]],",")),SelectedDataSource,0))),AND(SelectedDataSource&lt;&gt;"(Multiple Items)",SelectedDataSource&lt;&gt;"(All)",Table_AlwaysSend[[#This Row],[Data Source]]="All"))</f>
        <v>1</v>
      </c>
      <c r="N143" s="305" t="b" cm="1">
        <f t="array" ref="N143">OR(NOT(ISERROR(MATCH(TRIM(_xlfn.TEXTSPLIT(Table_AlwaysSend[[#This Row],[Technology]],",")),SelectedTechnology,0))),AND(SelectedTechnology&lt;&gt;"(Multiple Items)",SelectedTechnology&lt;&gt;"(All)",Table_AlwaysSend[[#This Row],[Technology]]="All"))</f>
        <v>1</v>
      </c>
      <c r="O143" s="303" t="b" cm="1">
        <f t="array" ref="O143">OR(NOT(ISERROR(MATCH(TRIM(_xlfn.TEXTSPLIT(Table_AlwaysSend[[#This Row],[Data Set]],",")),SelectedDataSet,0))),AND(SelectedDataSet&lt;&gt;"(Multiple Items)",SelectedDataSet&lt;&gt;"(All)",Table_AlwaysSend[[#This Row],[Data Set]]="All"))</f>
        <v>1</v>
      </c>
      <c r="P143" s="305" t="b">
        <f>TRUE</f>
        <v>1</v>
      </c>
      <c r="Q143" s="306" t="b">
        <f>AND(Table_AlwaysSend[[#This Row],[Show Feedstock]:[Show Data Source2]],Table_AlwaysSend[[#This Row],[Conditional]]=TRUE)</f>
        <v>1</v>
      </c>
      <c r="R143" s="276" t="s">
        <v>1323</v>
      </c>
      <c r="S143" s="286">
        <v>0</v>
      </c>
      <c r="T143" s="23" t="s">
        <v>1332</v>
      </c>
    </row>
    <row r="144" spans="5:20" x14ac:dyDescent="0.3">
      <c r="E144" s="300" t="str">
        <f>IF(Table_AlwaysSend[[#This Row],[GREET1 Name Range]]="", "dash_"&amp;Table_AlwaysSend[[#This Row],[Feedstock]]&amp;"_"&amp;Table_AlwaysSend[[#This Row],[Value to Send]], Table_AlwaysSend[[#This Row],[Feedstock]]&amp;"_"&amp;Table_AlwaysSend[[#This Row],[Value to Send]]&amp;"_"&amp;Table_AlwaysSend[[#This Row],[GREET1 Name Range]])</f>
        <v>All_0_SAF_Switchgrass_FT_LandChange_Option</v>
      </c>
      <c r="F144" s="297" t="s">
        <v>435</v>
      </c>
      <c r="G144" s="276" t="s">
        <v>435</v>
      </c>
      <c r="H144" s="299" t="s">
        <v>435</v>
      </c>
      <c r="I144" s="299" t="s">
        <v>435</v>
      </c>
      <c r="J144" s="299" t="s">
        <v>435</v>
      </c>
      <c r="K144" s="303" t="b" cm="1">
        <f t="array" ref="K144">OR(NOT(ISERROR(MATCH(TRIM(_xlfn.TEXTSPLIT(Table_AlwaysSend[[#This Row],[Feedstock]],",")),SelectedFeedstock,0))),AND(SelectedFeedstock&lt;&gt;"(Multiple Items)",SelectedFeedstock&lt;&gt;"(All)",Table_AlwaysSend[[#This Row],[Feedstock]]="All"))</f>
        <v>1</v>
      </c>
      <c r="L144" s="303" t="b" cm="1">
        <f t="array" ref="L144">OR(NOT(ISERROR(MATCH(TRIM(_xlfn.TEXTSPLIT(Table_AlwaysSend[[#This Row],[Conversion]],",")),SelectedConversion,0))),AND(SelectedConversion&lt;&gt;"(Multiple Items)",SelectedConversion&lt;&gt;"(All)",Table_AlwaysSend[[#This Row],[Conversion]]="All"))</f>
        <v>1</v>
      </c>
      <c r="M144" s="303" t="b" cm="1">
        <f t="array" ref="M144">OR(NOT(ISERROR(MATCH(TRIM(_xlfn.TEXTSPLIT(Table_AlwaysSend[[#This Row],[Data Source]],",")),SelectedDataSource,0))),AND(SelectedDataSource&lt;&gt;"(Multiple Items)",SelectedDataSource&lt;&gt;"(All)",Table_AlwaysSend[[#This Row],[Data Source]]="All"))</f>
        <v>1</v>
      </c>
      <c r="N144" s="308" t="b" cm="1">
        <f t="array" ref="N144">OR(NOT(ISERROR(MATCH(TRIM(_xlfn.TEXTSPLIT(Table_AlwaysSend[[#This Row],[Technology]],",")),SelectedTechnology,0))),AND(SelectedTechnology&lt;&gt;"(Multiple Items)",SelectedTechnology&lt;&gt;"(All)",Table_AlwaysSend[[#This Row],[Technology]]="All"))</f>
        <v>1</v>
      </c>
      <c r="O144" s="303" t="b" cm="1">
        <f t="array" ref="O144">OR(NOT(ISERROR(MATCH(TRIM(_xlfn.TEXTSPLIT(Table_AlwaysSend[[#This Row],[Data Set]],",")),SelectedDataSet,0))),AND(SelectedDataSet&lt;&gt;"(Multiple Items)",SelectedDataSet&lt;&gt;"(All)",Table_AlwaysSend[[#This Row],[Data Set]]="All"))</f>
        <v>1</v>
      </c>
      <c r="P144" s="305" t="b">
        <f>TRUE</f>
        <v>1</v>
      </c>
      <c r="Q144" s="306" t="b">
        <f>AND(Table_AlwaysSend[[#This Row],[Show Feedstock]:[Show Data Source2]],Table_AlwaysSend[[#This Row],[Conditional]]=TRUE)</f>
        <v>1</v>
      </c>
      <c r="R144" s="276" t="s">
        <v>1324</v>
      </c>
      <c r="S144" s="286">
        <v>0</v>
      </c>
      <c r="T144" s="23" t="s">
        <v>1332</v>
      </c>
    </row>
    <row r="145" spans="5:20" x14ac:dyDescent="0.3">
      <c r="E145" s="300" t="str">
        <f>IF(Table_AlwaysSend[[#This Row],[GREET1 Name Range]]="", "dash_"&amp;Table_AlwaysSend[[#This Row],[Feedstock]]&amp;"_"&amp;Table_AlwaysSend[[#This Row],[Value to Send]], Table_AlwaysSend[[#This Row],[Feedstock]]&amp;"_"&amp;Table_AlwaysSend[[#This Row],[Value to Send]]&amp;"_"&amp;Table_AlwaysSend[[#This Row],[GREET1 Name Range]])</f>
        <v>All_0_SAF_Poplar_FT_LandChange_Option</v>
      </c>
      <c r="F145" s="297" t="s">
        <v>435</v>
      </c>
      <c r="G145" s="276" t="s">
        <v>435</v>
      </c>
      <c r="H145" s="299" t="s">
        <v>435</v>
      </c>
      <c r="I145" s="299" t="s">
        <v>435</v>
      </c>
      <c r="J145" s="299" t="s">
        <v>435</v>
      </c>
      <c r="K145" s="303" t="b" cm="1">
        <f t="array" ref="K145">OR(NOT(ISERROR(MATCH(TRIM(_xlfn.TEXTSPLIT(Table_AlwaysSend[[#This Row],[Feedstock]],",")),SelectedFeedstock,0))),AND(SelectedFeedstock&lt;&gt;"(Multiple Items)",SelectedFeedstock&lt;&gt;"(All)",Table_AlwaysSend[[#This Row],[Feedstock]]="All"))</f>
        <v>1</v>
      </c>
      <c r="L145" s="303" t="b" cm="1">
        <f t="array" ref="L145">OR(NOT(ISERROR(MATCH(TRIM(_xlfn.TEXTSPLIT(Table_AlwaysSend[[#This Row],[Conversion]],",")),SelectedConversion,0))),AND(SelectedConversion&lt;&gt;"(Multiple Items)",SelectedConversion&lt;&gt;"(All)",Table_AlwaysSend[[#This Row],[Conversion]]="All"))</f>
        <v>1</v>
      </c>
      <c r="M145" s="303" t="b" cm="1">
        <f t="array" ref="M145">OR(NOT(ISERROR(MATCH(TRIM(_xlfn.TEXTSPLIT(Table_AlwaysSend[[#This Row],[Data Source]],",")),SelectedDataSource,0))),AND(SelectedDataSource&lt;&gt;"(Multiple Items)",SelectedDataSource&lt;&gt;"(All)",Table_AlwaysSend[[#This Row],[Data Source]]="All"))</f>
        <v>1</v>
      </c>
      <c r="N145" s="308" t="b" cm="1">
        <f t="array" ref="N145">OR(NOT(ISERROR(MATCH(TRIM(_xlfn.TEXTSPLIT(Table_AlwaysSend[[#This Row],[Technology]],",")),SelectedTechnology,0))),AND(SelectedTechnology&lt;&gt;"(Multiple Items)",SelectedTechnology&lt;&gt;"(All)",Table_AlwaysSend[[#This Row],[Technology]]="All"))</f>
        <v>1</v>
      </c>
      <c r="O145" s="303" t="b" cm="1">
        <f t="array" ref="O145">OR(NOT(ISERROR(MATCH(TRIM(_xlfn.TEXTSPLIT(Table_AlwaysSend[[#This Row],[Data Set]],",")),SelectedDataSet,0))),AND(SelectedDataSet&lt;&gt;"(Multiple Items)",SelectedDataSet&lt;&gt;"(All)",Table_AlwaysSend[[#This Row],[Data Set]]="All"))</f>
        <v>1</v>
      </c>
      <c r="P145" s="305" t="b">
        <f>TRUE</f>
        <v>1</v>
      </c>
      <c r="Q145" s="306" t="b">
        <f>AND(Table_AlwaysSend[[#This Row],[Show Feedstock]:[Show Data Source2]],Table_AlwaysSend[[#This Row],[Conditional]]=TRUE)</f>
        <v>1</v>
      </c>
      <c r="R145" s="276" t="s">
        <v>1325</v>
      </c>
      <c r="S145" s="286">
        <v>0</v>
      </c>
      <c r="T145" s="23" t="s">
        <v>1332</v>
      </c>
    </row>
    <row r="146" spans="5:20" x14ac:dyDescent="0.3">
      <c r="E146" s="300" t="str">
        <f>IF(Table_AlwaysSend[[#This Row],[GREET1 Name Range]]="", "dash_"&amp;Table_AlwaysSend[[#This Row],[Feedstock]]&amp;"_"&amp;Table_AlwaysSend[[#This Row],[Value to Send]], Table_AlwaysSend[[#This Row],[Feedstock]]&amp;"_"&amp;Table_AlwaysSend[[#This Row],[Value to Send]]&amp;"_"&amp;Table_AlwaysSend[[#This Row],[GREET1 Name Range]])</f>
        <v>All_0_SAF_Corn_ETJ_LandChange_Option</v>
      </c>
      <c r="F146" s="297" t="s">
        <v>435</v>
      </c>
      <c r="G146" s="276" t="s">
        <v>435</v>
      </c>
      <c r="H146" s="299" t="s">
        <v>435</v>
      </c>
      <c r="I146" s="299" t="s">
        <v>435</v>
      </c>
      <c r="J146" s="299" t="s">
        <v>435</v>
      </c>
      <c r="K146" s="303" t="b" cm="1">
        <f t="array" ref="K146">OR(NOT(ISERROR(MATCH(TRIM(_xlfn.TEXTSPLIT(Table_AlwaysSend[[#This Row],[Feedstock]],",")),SelectedFeedstock,0))),AND(SelectedFeedstock&lt;&gt;"(Multiple Items)",SelectedFeedstock&lt;&gt;"(All)",Table_AlwaysSend[[#This Row],[Feedstock]]="All"))</f>
        <v>1</v>
      </c>
      <c r="L146" s="303" t="b" cm="1">
        <f t="array" ref="L146">OR(NOT(ISERROR(MATCH(TRIM(_xlfn.TEXTSPLIT(Table_AlwaysSend[[#This Row],[Conversion]],",")),SelectedConversion,0))),AND(SelectedConversion&lt;&gt;"(Multiple Items)",SelectedConversion&lt;&gt;"(All)",Table_AlwaysSend[[#This Row],[Conversion]]="All"))</f>
        <v>1</v>
      </c>
      <c r="M146" s="303" t="b" cm="1">
        <f t="array" ref="M146">OR(NOT(ISERROR(MATCH(TRIM(_xlfn.TEXTSPLIT(Table_AlwaysSend[[#This Row],[Data Source]],",")),SelectedDataSource,0))),AND(SelectedDataSource&lt;&gt;"(Multiple Items)",SelectedDataSource&lt;&gt;"(All)",Table_AlwaysSend[[#This Row],[Data Source]]="All"))</f>
        <v>1</v>
      </c>
      <c r="N146" s="308" t="b" cm="1">
        <f t="array" ref="N146">OR(NOT(ISERROR(MATCH(TRIM(_xlfn.TEXTSPLIT(Table_AlwaysSend[[#This Row],[Technology]],",")),SelectedTechnology,0))),AND(SelectedTechnology&lt;&gt;"(Multiple Items)",SelectedTechnology&lt;&gt;"(All)",Table_AlwaysSend[[#This Row],[Technology]]="All"))</f>
        <v>1</v>
      </c>
      <c r="O146" s="303" t="b" cm="1">
        <f t="array" ref="O146">OR(NOT(ISERROR(MATCH(TRIM(_xlfn.TEXTSPLIT(Table_AlwaysSend[[#This Row],[Data Set]],",")),SelectedDataSet,0))),AND(SelectedDataSet&lt;&gt;"(Multiple Items)",SelectedDataSet&lt;&gt;"(All)",Table_AlwaysSend[[#This Row],[Data Set]]="All"))</f>
        <v>1</v>
      </c>
      <c r="P146" s="305" t="b">
        <f>TRUE</f>
        <v>1</v>
      </c>
      <c r="Q146" s="306" t="b">
        <f>AND(Table_AlwaysSend[[#This Row],[Show Feedstock]:[Show Data Source2]],Table_AlwaysSend[[#This Row],[Conditional]]=TRUE)</f>
        <v>1</v>
      </c>
      <c r="R146" s="276" t="s">
        <v>1326</v>
      </c>
      <c r="S146" s="286">
        <v>0</v>
      </c>
      <c r="T146" s="23" t="s">
        <v>1332</v>
      </c>
    </row>
    <row r="147" spans="5:20" x14ac:dyDescent="0.3">
      <c r="E147" s="300" t="str">
        <f>IF(Table_AlwaysSend[[#This Row],[GREET1 Name Range]]="", "dash_"&amp;Table_AlwaysSend[[#This Row],[Feedstock]]&amp;"_"&amp;Table_AlwaysSend[[#This Row],[Value to Send]], Table_AlwaysSend[[#This Row],[Feedstock]]&amp;"_"&amp;Table_AlwaysSend[[#This Row],[Value to Send]]&amp;"_"&amp;Table_AlwaysSend[[#This Row],[GREET1 Name Range]])</f>
        <v>All_0_SAF_Miscanthus_ETJ_LandChange_Option</v>
      </c>
      <c r="F147" s="297" t="s">
        <v>435</v>
      </c>
      <c r="G147" s="276" t="s">
        <v>435</v>
      </c>
      <c r="H147" s="299" t="s">
        <v>435</v>
      </c>
      <c r="I147" s="299" t="s">
        <v>435</v>
      </c>
      <c r="J147" s="299" t="s">
        <v>435</v>
      </c>
      <c r="K147" s="303" t="b" cm="1">
        <f t="array" ref="K147">OR(NOT(ISERROR(MATCH(TRIM(_xlfn.TEXTSPLIT(Table_AlwaysSend[[#This Row],[Feedstock]],",")),SelectedFeedstock,0))),AND(SelectedFeedstock&lt;&gt;"(Multiple Items)",SelectedFeedstock&lt;&gt;"(All)",Table_AlwaysSend[[#This Row],[Feedstock]]="All"))</f>
        <v>1</v>
      </c>
      <c r="L147" s="303" t="b" cm="1">
        <f t="array" ref="L147">OR(NOT(ISERROR(MATCH(TRIM(_xlfn.TEXTSPLIT(Table_AlwaysSend[[#This Row],[Conversion]],",")),SelectedConversion,0))),AND(SelectedConversion&lt;&gt;"(Multiple Items)",SelectedConversion&lt;&gt;"(All)",Table_AlwaysSend[[#This Row],[Conversion]]="All"))</f>
        <v>1</v>
      </c>
      <c r="M147" s="303" t="b" cm="1">
        <f t="array" ref="M147">OR(NOT(ISERROR(MATCH(TRIM(_xlfn.TEXTSPLIT(Table_AlwaysSend[[#This Row],[Data Source]],",")),SelectedDataSource,0))),AND(SelectedDataSource&lt;&gt;"(Multiple Items)",SelectedDataSource&lt;&gt;"(All)",Table_AlwaysSend[[#This Row],[Data Source]]="All"))</f>
        <v>1</v>
      </c>
      <c r="N147" s="308" t="b" cm="1">
        <f t="array" ref="N147">OR(NOT(ISERROR(MATCH(TRIM(_xlfn.TEXTSPLIT(Table_AlwaysSend[[#This Row],[Technology]],",")),SelectedTechnology,0))),AND(SelectedTechnology&lt;&gt;"(Multiple Items)",SelectedTechnology&lt;&gt;"(All)",Table_AlwaysSend[[#This Row],[Technology]]="All"))</f>
        <v>1</v>
      </c>
      <c r="O147" s="303" t="b" cm="1">
        <f t="array" ref="O147">OR(NOT(ISERROR(MATCH(TRIM(_xlfn.TEXTSPLIT(Table_AlwaysSend[[#This Row],[Data Set]],",")),SelectedDataSet,0))),AND(SelectedDataSet&lt;&gt;"(Multiple Items)",SelectedDataSet&lt;&gt;"(All)",Table_AlwaysSend[[#This Row],[Data Set]]="All"))</f>
        <v>1</v>
      </c>
      <c r="P147" s="305" t="b">
        <f>TRUE</f>
        <v>1</v>
      </c>
      <c r="Q147" s="306" t="b">
        <f>AND(Table_AlwaysSend[[#This Row],[Show Feedstock]:[Show Data Source2]],Table_AlwaysSend[[#This Row],[Conditional]]=TRUE)</f>
        <v>1</v>
      </c>
      <c r="R147" s="276" t="s">
        <v>1327</v>
      </c>
      <c r="S147" s="286">
        <v>0</v>
      </c>
      <c r="T147" s="23" t="s">
        <v>1332</v>
      </c>
    </row>
    <row r="148" spans="5:20" x14ac:dyDescent="0.3">
      <c r="E148" s="300" t="str">
        <f>IF(Table_AlwaysSend[[#This Row],[GREET1 Name Range]]="", "dash_"&amp;Table_AlwaysSend[[#This Row],[Feedstock]]&amp;"_"&amp;Table_AlwaysSend[[#This Row],[Value to Send]], Table_AlwaysSend[[#This Row],[Feedstock]]&amp;"_"&amp;Table_AlwaysSend[[#This Row],[Value to Send]]&amp;"_"&amp;Table_AlwaysSend[[#This Row],[GREET1 Name Range]])</f>
        <v>All_0_SAF_Switchgrass_ETJ_LandChange_Option</v>
      </c>
      <c r="F148" s="297" t="s">
        <v>435</v>
      </c>
      <c r="G148" s="276" t="s">
        <v>435</v>
      </c>
      <c r="H148" s="299" t="s">
        <v>435</v>
      </c>
      <c r="I148" s="299" t="s">
        <v>435</v>
      </c>
      <c r="J148" s="299" t="s">
        <v>435</v>
      </c>
      <c r="K148" s="303" t="b" cm="1">
        <f t="array" ref="K148">OR(NOT(ISERROR(MATCH(TRIM(_xlfn.TEXTSPLIT(Table_AlwaysSend[[#This Row],[Feedstock]],",")),SelectedFeedstock,0))),AND(SelectedFeedstock&lt;&gt;"(Multiple Items)",SelectedFeedstock&lt;&gt;"(All)",Table_AlwaysSend[[#This Row],[Feedstock]]="All"))</f>
        <v>1</v>
      </c>
      <c r="L148" s="303" t="b" cm="1">
        <f t="array" ref="L148">OR(NOT(ISERROR(MATCH(TRIM(_xlfn.TEXTSPLIT(Table_AlwaysSend[[#This Row],[Conversion]],",")),SelectedConversion,0))),AND(SelectedConversion&lt;&gt;"(Multiple Items)",SelectedConversion&lt;&gt;"(All)",Table_AlwaysSend[[#This Row],[Conversion]]="All"))</f>
        <v>1</v>
      </c>
      <c r="M148" s="303" t="b" cm="1">
        <f t="array" ref="M148">OR(NOT(ISERROR(MATCH(TRIM(_xlfn.TEXTSPLIT(Table_AlwaysSend[[#This Row],[Data Source]],",")),SelectedDataSource,0))),AND(SelectedDataSource&lt;&gt;"(Multiple Items)",SelectedDataSource&lt;&gt;"(All)",Table_AlwaysSend[[#This Row],[Data Source]]="All"))</f>
        <v>1</v>
      </c>
      <c r="N148" s="308" t="b" cm="1">
        <f t="array" ref="N148">OR(NOT(ISERROR(MATCH(TRIM(_xlfn.TEXTSPLIT(Table_AlwaysSend[[#This Row],[Technology]],",")),SelectedTechnology,0))),AND(SelectedTechnology&lt;&gt;"(Multiple Items)",SelectedTechnology&lt;&gt;"(All)",Table_AlwaysSend[[#This Row],[Technology]]="All"))</f>
        <v>1</v>
      </c>
      <c r="O148" s="303" t="b" cm="1">
        <f t="array" ref="O148">OR(NOT(ISERROR(MATCH(TRIM(_xlfn.TEXTSPLIT(Table_AlwaysSend[[#This Row],[Data Set]],",")),SelectedDataSet,0))),AND(SelectedDataSet&lt;&gt;"(Multiple Items)",SelectedDataSet&lt;&gt;"(All)",Table_AlwaysSend[[#This Row],[Data Set]]="All"))</f>
        <v>1</v>
      </c>
      <c r="P148" s="305" t="b">
        <f>TRUE</f>
        <v>1</v>
      </c>
      <c r="Q148" s="306" t="b">
        <f>AND(Table_AlwaysSend[[#This Row],[Show Feedstock]:[Show Data Source2]],Table_AlwaysSend[[#This Row],[Conditional]]=TRUE)</f>
        <v>1</v>
      </c>
      <c r="R148" s="276" t="s">
        <v>1328</v>
      </c>
      <c r="S148" s="286">
        <v>0</v>
      </c>
      <c r="T148" s="23" t="s">
        <v>1332</v>
      </c>
    </row>
    <row r="149" spans="5:20" x14ac:dyDescent="0.3">
      <c r="E149" s="300" t="str">
        <f>IF(Table_AlwaysSend[[#This Row],[GREET1 Name Range]]="", "dash_"&amp;Table_AlwaysSend[[#This Row],[Feedstock]]&amp;"_"&amp;Table_AlwaysSend[[#This Row],[Value to Send]], Table_AlwaysSend[[#This Row],[Feedstock]]&amp;"_"&amp;Table_AlwaysSend[[#This Row],[Value to Send]]&amp;"_"&amp;Table_AlwaysSend[[#This Row],[GREET1 Name Range]])</f>
        <v>All_0_SAF_Corn_ATJ_LandChange_Option</v>
      </c>
      <c r="F149" s="297" t="s">
        <v>435</v>
      </c>
      <c r="G149" s="276" t="s">
        <v>435</v>
      </c>
      <c r="H149" s="299" t="s">
        <v>435</v>
      </c>
      <c r="I149" s="299" t="s">
        <v>435</v>
      </c>
      <c r="J149" s="299" t="s">
        <v>435</v>
      </c>
      <c r="K149" s="303" t="b" cm="1">
        <f t="array" ref="K149">OR(NOT(ISERROR(MATCH(TRIM(_xlfn.TEXTSPLIT(Table_AlwaysSend[[#This Row],[Feedstock]],",")),SelectedFeedstock,0))),AND(SelectedFeedstock&lt;&gt;"(Multiple Items)",SelectedFeedstock&lt;&gt;"(All)",Table_AlwaysSend[[#This Row],[Feedstock]]="All"))</f>
        <v>1</v>
      </c>
      <c r="L149" s="303" t="b" cm="1">
        <f t="array" ref="L149">OR(NOT(ISERROR(MATCH(TRIM(_xlfn.TEXTSPLIT(Table_AlwaysSend[[#This Row],[Conversion]],",")),SelectedConversion,0))),AND(SelectedConversion&lt;&gt;"(Multiple Items)",SelectedConversion&lt;&gt;"(All)",Table_AlwaysSend[[#This Row],[Conversion]]="All"))</f>
        <v>1</v>
      </c>
      <c r="M149" s="303" t="b" cm="1">
        <f t="array" ref="M149">OR(NOT(ISERROR(MATCH(TRIM(_xlfn.TEXTSPLIT(Table_AlwaysSend[[#This Row],[Data Source]],",")),SelectedDataSource,0))),AND(SelectedDataSource&lt;&gt;"(Multiple Items)",SelectedDataSource&lt;&gt;"(All)",Table_AlwaysSend[[#This Row],[Data Source]]="All"))</f>
        <v>1</v>
      </c>
      <c r="N149" s="308" t="b" cm="1">
        <f t="array" ref="N149">OR(NOT(ISERROR(MATCH(TRIM(_xlfn.TEXTSPLIT(Table_AlwaysSend[[#This Row],[Technology]],",")),SelectedTechnology,0))),AND(SelectedTechnology&lt;&gt;"(Multiple Items)",SelectedTechnology&lt;&gt;"(All)",Table_AlwaysSend[[#This Row],[Technology]]="All"))</f>
        <v>1</v>
      </c>
      <c r="O149" s="303" t="b" cm="1">
        <f t="array" ref="O149">OR(NOT(ISERROR(MATCH(TRIM(_xlfn.TEXTSPLIT(Table_AlwaysSend[[#This Row],[Data Set]],",")),SelectedDataSet,0))),AND(SelectedDataSet&lt;&gt;"(Multiple Items)",SelectedDataSet&lt;&gt;"(All)",Table_AlwaysSend[[#This Row],[Data Set]]="All"))</f>
        <v>1</v>
      </c>
      <c r="P149" s="305" t="b">
        <f>TRUE</f>
        <v>1</v>
      </c>
      <c r="Q149" s="306" t="b">
        <f>AND(Table_AlwaysSend[[#This Row],[Show Feedstock]:[Show Data Source2]],Table_AlwaysSend[[#This Row],[Conditional]]=TRUE)</f>
        <v>1</v>
      </c>
      <c r="R149" s="276" t="s">
        <v>1329</v>
      </c>
      <c r="S149" s="286">
        <v>0</v>
      </c>
      <c r="T149" s="23" t="s">
        <v>1332</v>
      </c>
    </row>
    <row r="150" spans="5:20" x14ac:dyDescent="0.3">
      <c r="E150" s="300" t="str">
        <f>IF(Table_AlwaysSend[[#This Row],[GREET1 Name Range]]="", "dash_"&amp;Table_AlwaysSend[[#This Row],[Feedstock]]&amp;"_"&amp;Table_AlwaysSend[[#This Row],[Value to Send]], Table_AlwaysSend[[#This Row],[Feedstock]]&amp;"_"&amp;Table_AlwaysSend[[#This Row],[Value to Send]]&amp;"_"&amp;Table_AlwaysSend[[#This Row],[GREET1 Name Range]])</f>
        <v>All_0_SAF_Miscanthus_ATJ_LandChange_Option</v>
      </c>
      <c r="F150" s="297" t="s">
        <v>435</v>
      </c>
      <c r="G150" s="276" t="s">
        <v>435</v>
      </c>
      <c r="H150" s="299" t="s">
        <v>435</v>
      </c>
      <c r="I150" s="299" t="s">
        <v>435</v>
      </c>
      <c r="J150" s="299" t="s">
        <v>435</v>
      </c>
      <c r="K150" s="303" t="b" cm="1">
        <f t="array" ref="K150">OR(NOT(ISERROR(MATCH(TRIM(_xlfn.TEXTSPLIT(Table_AlwaysSend[[#This Row],[Feedstock]],",")),SelectedFeedstock,0))),AND(SelectedFeedstock&lt;&gt;"(Multiple Items)",SelectedFeedstock&lt;&gt;"(All)",Table_AlwaysSend[[#This Row],[Feedstock]]="All"))</f>
        <v>1</v>
      </c>
      <c r="L150" s="303" t="b" cm="1">
        <f t="array" ref="L150">OR(NOT(ISERROR(MATCH(TRIM(_xlfn.TEXTSPLIT(Table_AlwaysSend[[#This Row],[Conversion]],",")),SelectedConversion,0))),AND(SelectedConversion&lt;&gt;"(Multiple Items)",SelectedConversion&lt;&gt;"(All)",Table_AlwaysSend[[#This Row],[Conversion]]="All"))</f>
        <v>1</v>
      </c>
      <c r="M150" s="303" t="b" cm="1">
        <f t="array" ref="M150">OR(NOT(ISERROR(MATCH(TRIM(_xlfn.TEXTSPLIT(Table_AlwaysSend[[#This Row],[Data Source]],",")),SelectedDataSource,0))),AND(SelectedDataSource&lt;&gt;"(Multiple Items)",SelectedDataSource&lt;&gt;"(All)",Table_AlwaysSend[[#This Row],[Data Source]]="All"))</f>
        <v>1</v>
      </c>
      <c r="N150" s="308" t="b" cm="1">
        <f t="array" ref="N150">OR(NOT(ISERROR(MATCH(TRIM(_xlfn.TEXTSPLIT(Table_AlwaysSend[[#This Row],[Technology]],",")),SelectedTechnology,0))),AND(SelectedTechnology&lt;&gt;"(Multiple Items)",SelectedTechnology&lt;&gt;"(All)",Table_AlwaysSend[[#This Row],[Technology]]="All"))</f>
        <v>1</v>
      </c>
      <c r="O150" s="303" t="b" cm="1">
        <f t="array" ref="O150">OR(NOT(ISERROR(MATCH(TRIM(_xlfn.TEXTSPLIT(Table_AlwaysSend[[#This Row],[Data Set]],",")),SelectedDataSet,0))),AND(SelectedDataSet&lt;&gt;"(Multiple Items)",SelectedDataSet&lt;&gt;"(All)",Table_AlwaysSend[[#This Row],[Data Set]]="All"))</f>
        <v>1</v>
      </c>
      <c r="P150" s="305" t="b">
        <f>TRUE</f>
        <v>1</v>
      </c>
      <c r="Q150" s="306" t="b">
        <f>AND(Table_AlwaysSend[[#This Row],[Show Feedstock]:[Show Data Source2]],Table_AlwaysSend[[#This Row],[Conditional]]=TRUE)</f>
        <v>1</v>
      </c>
      <c r="R150" s="276" t="s">
        <v>1330</v>
      </c>
      <c r="S150" s="286">
        <v>0</v>
      </c>
      <c r="T150" s="23" t="s">
        <v>1332</v>
      </c>
    </row>
    <row r="151" spans="5:20" x14ac:dyDescent="0.3">
      <c r="E151" s="300" t="str">
        <f>IF(Table_AlwaysSend[[#This Row],[GREET1 Name Range]]="", "dash_"&amp;Table_AlwaysSend[[#This Row],[Feedstock]]&amp;"_"&amp;Table_AlwaysSend[[#This Row],[Value to Send]], Table_AlwaysSend[[#This Row],[Feedstock]]&amp;"_"&amp;Table_AlwaysSend[[#This Row],[Value to Send]]&amp;"_"&amp;Table_AlwaysSend[[#This Row],[GREET1 Name Range]])</f>
        <v>All_0_SAF_Switchgrass_ATJ_LandChange_Option</v>
      </c>
      <c r="F151" s="298" t="s">
        <v>435</v>
      </c>
      <c r="G151" s="294" t="s">
        <v>435</v>
      </c>
      <c r="H151" s="282" t="s">
        <v>435</v>
      </c>
      <c r="I151" s="282" t="s">
        <v>435</v>
      </c>
      <c r="J151" s="282" t="s">
        <v>435</v>
      </c>
      <c r="K151" s="305" t="b" cm="1">
        <f t="array" ref="K151">OR(NOT(ISERROR(MATCH(TRIM(_xlfn.TEXTSPLIT(Table_AlwaysSend[[#This Row],[Feedstock]],",")),SelectedFeedstock,0))),AND(SelectedFeedstock&lt;&gt;"(Multiple Items)",SelectedFeedstock&lt;&gt;"(All)",Table_AlwaysSend[[#This Row],[Feedstock]]="All"))</f>
        <v>1</v>
      </c>
      <c r="L151" s="305" t="b" cm="1">
        <f t="array" ref="L151">OR(NOT(ISERROR(MATCH(TRIM(_xlfn.TEXTSPLIT(Table_AlwaysSend[[#This Row],[Conversion]],",")),SelectedConversion,0))),AND(SelectedConversion&lt;&gt;"(Multiple Items)",SelectedConversion&lt;&gt;"(All)",Table_AlwaysSend[[#This Row],[Conversion]]="All"))</f>
        <v>1</v>
      </c>
      <c r="M151" s="305" t="b" cm="1">
        <f t="array" ref="M151">OR(NOT(ISERROR(MATCH(TRIM(_xlfn.TEXTSPLIT(Table_AlwaysSend[[#This Row],[Data Source]],",")),SelectedDataSource,0))),AND(SelectedDataSource&lt;&gt;"(Multiple Items)",SelectedDataSource&lt;&gt;"(All)",Table_AlwaysSend[[#This Row],[Data Source]]="All"))</f>
        <v>1</v>
      </c>
      <c r="N151" s="308" t="b" cm="1">
        <f t="array" ref="N151">OR(NOT(ISERROR(MATCH(TRIM(_xlfn.TEXTSPLIT(Table_AlwaysSend[[#This Row],[Technology]],",")),SelectedTechnology,0))),AND(SelectedTechnology&lt;&gt;"(Multiple Items)",SelectedTechnology&lt;&gt;"(All)",Table_AlwaysSend[[#This Row],[Technology]]="All"))</f>
        <v>1</v>
      </c>
      <c r="O151" s="305" t="b" cm="1">
        <f t="array" ref="O151">OR(NOT(ISERROR(MATCH(TRIM(_xlfn.TEXTSPLIT(Table_AlwaysSend[[#This Row],[Data Set]],",")),SelectedDataSet,0))),AND(SelectedDataSet&lt;&gt;"(Multiple Items)",SelectedDataSet&lt;&gt;"(All)",Table_AlwaysSend[[#This Row],[Data Set]]="All"))</f>
        <v>1</v>
      </c>
      <c r="P151" s="305" t="b">
        <f>TRUE</f>
        <v>1</v>
      </c>
      <c r="Q151" s="307" t="b">
        <f>AND(Table_AlwaysSend[[#This Row],[Show Feedstock]:[Show Data Source2]],Table_AlwaysSend[[#This Row],[Conditional]]=TRUE)</f>
        <v>1</v>
      </c>
      <c r="R151" s="294" t="s">
        <v>1331</v>
      </c>
      <c r="S151" s="287">
        <v>0</v>
      </c>
      <c r="T151" s="23" t="s">
        <v>1332</v>
      </c>
    </row>
    <row r="152" spans="5:20" x14ac:dyDescent="0.3">
      <c r="E152" s="300" t="str">
        <f>IF(Table_AlwaysSend[[#This Row],[GREET1 Name Range]]="", "dash_"&amp;Table_AlwaysSend[[#This Row],[Feedstock]]&amp;"_"&amp;Table_AlwaysSend[[#This Row],[Value to Send]], Table_AlwaysSend[[#This Row],[Feedstock]]&amp;"_"&amp;Table_AlwaysSend[[#This Row],[Value to Send]]&amp;"_"&amp;Table_AlwaysSend[[#This Row],[GREET1 Name Range]])</f>
        <v>All_0_SAF_Switchgrass_ATJ_LandChange_Option</v>
      </c>
      <c r="F152" s="297" t="s">
        <v>435</v>
      </c>
      <c r="G152" s="297" t="s">
        <v>435</v>
      </c>
      <c r="H152" s="297" t="s">
        <v>435</v>
      </c>
      <c r="I152" s="297" t="s">
        <v>435</v>
      </c>
      <c r="J152" s="297" t="s">
        <v>435</v>
      </c>
      <c r="K152" s="305" t="b" cm="1">
        <f t="array" ref="K152">OR(NOT(ISERROR(MATCH(TRIM(_xlfn.TEXTSPLIT(Table_AlwaysSend[[#This Row],[Feedstock]],",")),SelectedFeedstock,0))),AND(SelectedFeedstock&lt;&gt;"(Multiple Items)",SelectedFeedstock&lt;&gt;"(All)",Table_AlwaysSend[[#This Row],[Feedstock]]="All"))</f>
        <v>1</v>
      </c>
      <c r="L152" s="305" t="b" cm="1">
        <f t="array" ref="L152">OR(NOT(ISERROR(MATCH(TRIM(_xlfn.TEXTSPLIT(Table_AlwaysSend[[#This Row],[Conversion]],",")),SelectedConversion,0))),AND(SelectedConversion&lt;&gt;"(Multiple Items)",SelectedConversion&lt;&gt;"(All)",Table_AlwaysSend[[#This Row],[Conversion]]="All"))</f>
        <v>1</v>
      </c>
      <c r="M152" s="305" t="b" cm="1">
        <f t="array" ref="M152">OR(NOT(ISERROR(MATCH(TRIM(_xlfn.TEXTSPLIT(Table_AlwaysSend[[#This Row],[Data Source]],",")),SelectedDataSource,0))),AND(SelectedDataSource&lt;&gt;"(Multiple Items)",SelectedDataSource&lt;&gt;"(All)",Table_AlwaysSend[[#This Row],[Data Source]]="All"))</f>
        <v>1</v>
      </c>
      <c r="N152" s="308" t="b" cm="1">
        <f t="array" ref="N152">OR(NOT(ISERROR(MATCH(TRIM(_xlfn.TEXTSPLIT(Table_AlwaysSend[[#This Row],[Technology]],",")),SelectedTechnology,0))),AND(SelectedTechnology&lt;&gt;"(Multiple Items)",SelectedTechnology&lt;&gt;"(All)",Table_AlwaysSend[[#This Row],[Technology]]="All"))</f>
        <v>1</v>
      </c>
      <c r="O152" s="305" t="b" cm="1">
        <f t="array" ref="O152">OR(NOT(ISERROR(MATCH(TRIM(_xlfn.TEXTSPLIT(Table_AlwaysSend[[#This Row],[Data Set]],",")),SelectedDataSet,0))),AND(SelectedDataSet&lt;&gt;"(Multiple Items)",SelectedDataSet&lt;&gt;"(All)",Table_AlwaysSend[[#This Row],[Data Set]]="All"))</f>
        <v>1</v>
      </c>
      <c r="P152" s="305" t="b">
        <f>TRUE</f>
        <v>1</v>
      </c>
      <c r="Q152" s="306" t="b">
        <f>AND(Table_AlwaysSend[[#This Row],[Show Feedstock]:[Show Data Source2]],Table_AlwaysSend[[#This Row],[Conditional]]=TRUE)</f>
        <v>1</v>
      </c>
      <c r="R152" s="294" t="s">
        <v>1331</v>
      </c>
      <c r="S152" s="286">
        <v>0</v>
      </c>
      <c r="T152" s="23" t="s">
        <v>1332</v>
      </c>
    </row>
    <row r="153" spans="5:20" x14ac:dyDescent="0.3">
      <c r="E153" s="300" t="str">
        <f>IF(Table_AlwaysSend[[#This Row],[GREET1 Name Range]]="", "dash_"&amp;Table_AlwaysSend[[#This Row],[Feedstock]]&amp;"_"&amp;Table_AlwaysSend[[#This Row],[Value to Send]], Table_AlwaysSend[[#This Row],[Feedstock]]&amp;"_"&amp;Table_AlwaysSend[[#This Row],[Value to Send]]&amp;"_"&amp;Table_AlwaysSend[[#This Row],[GREET1 Name Range]])</f>
        <v>Jatropha_2_Jatropha_Oil_Extraction_Allocation</v>
      </c>
      <c r="F153" s="297" t="s">
        <v>126</v>
      </c>
      <c r="G153" s="276" t="s">
        <v>30</v>
      </c>
      <c r="H153" s="299" t="s">
        <v>194</v>
      </c>
      <c r="I153" s="279" t="s">
        <v>1349</v>
      </c>
      <c r="J153" s="278" t="s">
        <v>1366</v>
      </c>
      <c r="K153" s="303" t="b" cm="1">
        <f t="array" ref="K153">OR(NOT(ISERROR(MATCH(TRIM(_xlfn.TEXTSPLIT(Table_AlwaysSend[[#This Row],[Feedstock]],",")),SelectedFeedstock,0))),AND(SelectedFeedstock&lt;&gt;"(Multiple Items)",SelectedFeedstock&lt;&gt;"(All)",Table_AlwaysSend[[#This Row],[Feedstock]]="All"))</f>
        <v>0</v>
      </c>
      <c r="L153" s="303" t="b" cm="1">
        <f t="array" ref="L153">OR(NOT(ISERROR(MATCH(TRIM(_xlfn.TEXTSPLIT(Table_AlwaysSend[[#This Row],[Conversion]],",")),SelectedConversion,0))),AND(SelectedConversion&lt;&gt;"(Multiple Items)",SelectedConversion&lt;&gt;"(All)",Table_AlwaysSend[[#This Row],[Conversion]]="All"))</f>
        <v>1</v>
      </c>
      <c r="M153" s="303" t="b" cm="1">
        <f t="array" ref="M153">OR(NOT(ISERROR(MATCH(TRIM(_xlfn.TEXTSPLIT(Table_AlwaysSend[[#This Row],[Data Source]],",")),SelectedDataSource,0))),AND(SelectedDataSource&lt;&gt;"(Multiple Items)",SelectedDataSource&lt;&gt;"(All)",Table_AlwaysSend[[#This Row],[Data Source]]="All"))</f>
        <v>0</v>
      </c>
      <c r="N153" s="305" t="b" cm="1">
        <f t="array" ref="N153">OR(NOT(ISERROR(MATCH(TRIM(_xlfn.TEXTSPLIT(Table_AlwaysSend[[#This Row],[Technology]],",")),SelectedTechnology,0))),AND(SelectedTechnology&lt;&gt;"(Multiple Items)",SelectedTechnology&lt;&gt;"(All)",Table_AlwaysSend[[#This Row],[Technology]]="All"))</f>
        <v>0</v>
      </c>
      <c r="O153" s="303" t="b" cm="1">
        <f t="array" ref="O153">OR(NOT(ISERROR(MATCH(TRIM(_xlfn.TEXTSPLIT(Table_AlwaysSend[[#This Row],[Data Set]],",")),SelectedDataSet,0))),AND(SelectedDataSet&lt;&gt;"(Multiple Items)",SelectedDataSet&lt;&gt;"(All)",Table_AlwaysSend[[#This Row],[Data Set]]="All"))</f>
        <v>0</v>
      </c>
      <c r="P153" s="305" t="b">
        <f>TRUE</f>
        <v>1</v>
      </c>
      <c r="Q153" s="306" t="b">
        <f>AND(Table_AlwaysSend[[#This Row],[Show Feedstock]:[Show Data Source2]],Table_AlwaysSend[[#This Row],[Conditional]]=TRUE)</f>
        <v>0</v>
      </c>
      <c r="R153" s="276" t="s">
        <v>701</v>
      </c>
      <c r="S153" s="286">
        <v>2</v>
      </c>
      <c r="T153" s="23" t="s">
        <v>1140</v>
      </c>
    </row>
    <row r="154" spans="5:20" x14ac:dyDescent="0.3">
      <c r="E154" s="300" t="str">
        <f>IF(Table_AlwaysSend[[#This Row],[GREET1 Name Range]]="", "dash_"&amp;Table_AlwaysSend[[#This Row],[Feedstock]]&amp;"_"&amp;Table_AlwaysSend[[#This Row],[Value to Send]], Table_AlwaysSend[[#This Row],[Feedstock]]&amp;"_"&amp;Table_AlwaysSend[[#This Row],[Value to Send]]&amp;"_"&amp;Table_AlwaysSend[[#This Row],[GREET1 Name Range]])</f>
        <v>Jatropha_2_HEFA_Allocation</v>
      </c>
      <c r="F154" s="298" t="s">
        <v>126</v>
      </c>
      <c r="G154" s="294" t="s">
        <v>30</v>
      </c>
      <c r="H154" s="299" t="s">
        <v>194</v>
      </c>
      <c r="I154" s="279" t="s">
        <v>1349</v>
      </c>
      <c r="J154" s="278" t="s">
        <v>1366</v>
      </c>
      <c r="K154" s="305" t="b" cm="1">
        <f t="array" ref="K154">OR(NOT(ISERROR(MATCH(TRIM(_xlfn.TEXTSPLIT(Table_AlwaysSend[[#This Row],[Feedstock]],",")),SelectedFeedstock,0))),AND(SelectedFeedstock&lt;&gt;"(Multiple Items)",SelectedFeedstock&lt;&gt;"(All)",Table_AlwaysSend[[#This Row],[Feedstock]]="All"))</f>
        <v>0</v>
      </c>
      <c r="L154" s="305" t="b" cm="1">
        <f t="array" ref="L154">OR(NOT(ISERROR(MATCH(TRIM(_xlfn.TEXTSPLIT(Table_AlwaysSend[[#This Row],[Conversion]],",")),SelectedConversion,0))),AND(SelectedConversion&lt;&gt;"(Multiple Items)",SelectedConversion&lt;&gt;"(All)",Table_AlwaysSend[[#This Row],[Conversion]]="All"))</f>
        <v>1</v>
      </c>
      <c r="M154" s="305" t="b" cm="1">
        <f t="array" ref="M154">OR(NOT(ISERROR(MATCH(TRIM(_xlfn.TEXTSPLIT(Table_AlwaysSend[[#This Row],[Data Source]],",")),SelectedDataSource,0))),AND(SelectedDataSource&lt;&gt;"(Multiple Items)",SelectedDataSource&lt;&gt;"(All)",Table_AlwaysSend[[#This Row],[Data Source]]="All"))</f>
        <v>0</v>
      </c>
      <c r="N154" s="308" t="b" cm="1">
        <f t="array" ref="N154">OR(NOT(ISERROR(MATCH(TRIM(_xlfn.TEXTSPLIT(Table_AlwaysSend[[#This Row],[Technology]],",")),SelectedTechnology,0))),AND(SelectedTechnology&lt;&gt;"(Multiple Items)",SelectedTechnology&lt;&gt;"(All)",Table_AlwaysSend[[#This Row],[Technology]]="All"))</f>
        <v>0</v>
      </c>
      <c r="O154" s="305" t="b" cm="1">
        <f t="array" ref="O154">OR(NOT(ISERROR(MATCH(TRIM(_xlfn.TEXTSPLIT(Table_AlwaysSend[[#This Row],[Data Set]],",")),SelectedDataSet,0))),AND(SelectedDataSet&lt;&gt;"(Multiple Items)",SelectedDataSet&lt;&gt;"(All)",Table_AlwaysSend[[#This Row],[Data Set]]="All"))</f>
        <v>0</v>
      </c>
      <c r="P154" s="305" t="b">
        <f>TRUE</f>
        <v>1</v>
      </c>
      <c r="Q154" s="307" t="b">
        <f>AND(Table_AlwaysSend[[#This Row],[Show Feedstock]:[Show Data Source2]],Table_AlwaysSend[[#This Row],[Conditional]]=TRUE)</f>
        <v>0</v>
      </c>
      <c r="R154" s="294" t="s">
        <v>674</v>
      </c>
      <c r="S154" s="287">
        <v>2</v>
      </c>
      <c r="T154" s="23" t="s">
        <v>1140</v>
      </c>
    </row>
    <row r="155" spans="5:20" x14ac:dyDescent="0.3">
      <c r="E155" s="300" t="str">
        <f>IF(Table_AlwaysSend[[#This Row],[GREET1 Name Range]]="", "dash_"&amp;Table_AlwaysSend[[#This Row],[Feedstock]]&amp;"_"&amp;Table_AlwaysSend[[#This Row],[Value to Send]], Table_AlwaysSend[[#This Row],[Feedstock]]&amp;"_"&amp;Table_AlwaysSend[[#This Row],[Value to Send]]&amp;"_"&amp;Table_AlwaysSend[[#This Row],[GREET1 Name Range]])</f>
        <v>Jatropha_2_Jatropha_Oil_Extraction_Allocation</v>
      </c>
      <c r="F155" s="297" t="s">
        <v>126</v>
      </c>
      <c r="G155" s="276" t="s">
        <v>30</v>
      </c>
      <c r="H155" s="299" t="s">
        <v>194</v>
      </c>
      <c r="I155" s="279" t="s">
        <v>1349</v>
      </c>
      <c r="J155" s="278" t="s">
        <v>1367</v>
      </c>
      <c r="K155" s="303" t="b" cm="1">
        <f t="array" ref="K155">OR(NOT(ISERROR(MATCH(TRIM(_xlfn.TEXTSPLIT(Table_AlwaysSend[[#This Row],[Feedstock]],",")),SelectedFeedstock,0))),AND(SelectedFeedstock&lt;&gt;"(Multiple Items)",SelectedFeedstock&lt;&gt;"(All)",Table_AlwaysSend[[#This Row],[Feedstock]]="All"))</f>
        <v>0</v>
      </c>
      <c r="L155" s="303" t="b" cm="1">
        <f t="array" ref="L155">OR(NOT(ISERROR(MATCH(TRIM(_xlfn.TEXTSPLIT(Table_AlwaysSend[[#This Row],[Conversion]],",")),SelectedConversion,0))),AND(SelectedConversion&lt;&gt;"(Multiple Items)",SelectedConversion&lt;&gt;"(All)",Table_AlwaysSend[[#This Row],[Conversion]]="All"))</f>
        <v>1</v>
      </c>
      <c r="M155" s="303" t="b" cm="1">
        <f t="array" ref="M155">OR(NOT(ISERROR(MATCH(TRIM(_xlfn.TEXTSPLIT(Table_AlwaysSend[[#This Row],[Data Source]],",")),SelectedDataSource,0))),AND(SelectedDataSource&lt;&gt;"(Multiple Items)",SelectedDataSource&lt;&gt;"(All)",Table_AlwaysSend[[#This Row],[Data Source]]="All"))</f>
        <v>0</v>
      </c>
      <c r="N155" s="305" t="b" cm="1">
        <f t="array" ref="N155">OR(NOT(ISERROR(MATCH(TRIM(_xlfn.TEXTSPLIT(Table_AlwaysSend[[#This Row],[Technology]],",")),SelectedTechnology,0))),AND(SelectedTechnology&lt;&gt;"(Multiple Items)",SelectedTechnology&lt;&gt;"(All)",Table_AlwaysSend[[#This Row],[Technology]]="All"))</f>
        <v>0</v>
      </c>
      <c r="O155" s="303" t="b" cm="1">
        <f t="array" ref="O155">OR(NOT(ISERROR(MATCH(TRIM(_xlfn.TEXTSPLIT(Table_AlwaysSend[[#This Row],[Data Set]],",")),SelectedDataSet,0))),AND(SelectedDataSet&lt;&gt;"(Multiple Items)",SelectedDataSet&lt;&gt;"(All)",Table_AlwaysSend[[#This Row],[Data Set]]="All"))</f>
        <v>0</v>
      </c>
      <c r="P155" s="305" t="b">
        <f>TRUE</f>
        <v>1</v>
      </c>
      <c r="Q155" s="306" t="b">
        <f>AND(Table_AlwaysSend[[#This Row],[Show Feedstock]:[Show Data Source2]],Table_AlwaysSend[[#This Row],[Conditional]]=TRUE)</f>
        <v>0</v>
      </c>
      <c r="R155" s="276" t="s">
        <v>701</v>
      </c>
      <c r="S155" s="286">
        <v>2</v>
      </c>
      <c r="T155" s="23" t="s">
        <v>1140</v>
      </c>
    </row>
    <row r="156" spans="5:20" x14ac:dyDescent="0.3">
      <c r="E156" s="300" t="str">
        <f>IF(Table_AlwaysSend[[#This Row],[GREET1 Name Range]]="", "dash_"&amp;Table_AlwaysSend[[#This Row],[Feedstock]]&amp;"_"&amp;Table_AlwaysSend[[#This Row],[Value to Send]], Table_AlwaysSend[[#This Row],[Feedstock]]&amp;"_"&amp;Table_AlwaysSend[[#This Row],[Value to Send]]&amp;"_"&amp;Table_AlwaysSend[[#This Row],[GREET1 Name Range]])</f>
        <v>Jatropha_2_HEFA_Allocation</v>
      </c>
      <c r="F156" s="298" t="s">
        <v>126</v>
      </c>
      <c r="G156" s="294" t="s">
        <v>30</v>
      </c>
      <c r="H156" s="282" t="s">
        <v>194</v>
      </c>
      <c r="I156" s="278" t="s">
        <v>1349</v>
      </c>
      <c r="J156" s="278" t="s">
        <v>1367</v>
      </c>
      <c r="K156" s="305" t="b" cm="1">
        <f t="array" ref="K156">OR(NOT(ISERROR(MATCH(TRIM(_xlfn.TEXTSPLIT(Table_AlwaysSend[[#This Row],[Feedstock]],",")),SelectedFeedstock,0))),AND(SelectedFeedstock&lt;&gt;"(Multiple Items)",SelectedFeedstock&lt;&gt;"(All)",Table_AlwaysSend[[#This Row],[Feedstock]]="All"))</f>
        <v>0</v>
      </c>
      <c r="L156" s="305" t="b" cm="1">
        <f t="array" ref="L156">OR(NOT(ISERROR(MATCH(TRIM(_xlfn.TEXTSPLIT(Table_AlwaysSend[[#This Row],[Conversion]],",")),SelectedConversion,0))),AND(SelectedConversion&lt;&gt;"(Multiple Items)",SelectedConversion&lt;&gt;"(All)",Table_AlwaysSend[[#This Row],[Conversion]]="All"))</f>
        <v>1</v>
      </c>
      <c r="M156" s="305" t="b" cm="1">
        <f t="array" ref="M156">OR(NOT(ISERROR(MATCH(TRIM(_xlfn.TEXTSPLIT(Table_AlwaysSend[[#This Row],[Data Source]],",")),SelectedDataSource,0))),AND(SelectedDataSource&lt;&gt;"(Multiple Items)",SelectedDataSource&lt;&gt;"(All)",Table_AlwaysSend[[#This Row],[Data Source]]="All"))</f>
        <v>0</v>
      </c>
      <c r="N156" s="308" t="b" cm="1">
        <f t="array" ref="N156">OR(NOT(ISERROR(MATCH(TRIM(_xlfn.TEXTSPLIT(Table_AlwaysSend[[#This Row],[Technology]],",")),SelectedTechnology,0))),AND(SelectedTechnology&lt;&gt;"(Multiple Items)",SelectedTechnology&lt;&gt;"(All)",Table_AlwaysSend[[#This Row],[Technology]]="All"))</f>
        <v>0</v>
      </c>
      <c r="O156" s="305" t="b" cm="1">
        <f t="array" ref="O156">OR(NOT(ISERROR(MATCH(TRIM(_xlfn.TEXTSPLIT(Table_AlwaysSend[[#This Row],[Data Set]],",")),SelectedDataSet,0))),AND(SelectedDataSet&lt;&gt;"(Multiple Items)",SelectedDataSet&lt;&gt;"(All)",Table_AlwaysSend[[#This Row],[Data Set]]="All"))</f>
        <v>0</v>
      </c>
      <c r="P156" s="305" t="b">
        <f>TRUE</f>
        <v>1</v>
      </c>
      <c r="Q156" s="307" t="b">
        <f>AND(Table_AlwaysSend[[#This Row],[Show Feedstock]:[Show Data Source2]],Table_AlwaysSend[[#This Row],[Conditional]]=TRUE)</f>
        <v>0</v>
      </c>
      <c r="R156" s="294" t="s">
        <v>674</v>
      </c>
      <c r="S156" s="287">
        <v>2</v>
      </c>
      <c r="T156" s="23" t="s">
        <v>1140</v>
      </c>
    </row>
    <row r="157" spans="5:20" x14ac:dyDescent="0.3">
      <c r="E157" s="300" t="str">
        <f>IF(Table_AlwaysSend[[#This Row],[GREET1 Name Range]]="", "dash_"&amp;Table_AlwaysSend[[#This Row],[Feedstock]]&amp;"_"&amp;Table_AlwaysSend[[#This Row],[Value to Send]], Table_AlwaysSend[[#This Row],[Feedstock]]&amp;"_"&amp;Table_AlwaysSend[[#This Row],[Value to Send]]&amp;"_"&amp;Table_AlwaysSend[[#This Row],[GREET1 Name Range]])</f>
        <v>Jatropha_2_Jatropha_Oil_Extraction_Allocation</v>
      </c>
      <c r="F157" s="297" t="s">
        <v>126</v>
      </c>
      <c r="G157" s="276" t="s">
        <v>30</v>
      </c>
      <c r="H157" s="299" t="s">
        <v>194</v>
      </c>
      <c r="I157" s="279" t="s">
        <v>1349</v>
      </c>
      <c r="J157" s="278" t="s">
        <v>1368</v>
      </c>
      <c r="K157" s="303" t="b" cm="1">
        <f t="array" ref="K157">OR(NOT(ISERROR(MATCH(TRIM(_xlfn.TEXTSPLIT(Table_AlwaysSend[[#This Row],[Feedstock]],",")),SelectedFeedstock,0))),AND(SelectedFeedstock&lt;&gt;"(Multiple Items)",SelectedFeedstock&lt;&gt;"(All)",Table_AlwaysSend[[#This Row],[Feedstock]]="All"))</f>
        <v>0</v>
      </c>
      <c r="L157" s="303" t="b" cm="1">
        <f t="array" ref="L157">OR(NOT(ISERROR(MATCH(TRIM(_xlfn.TEXTSPLIT(Table_AlwaysSend[[#This Row],[Conversion]],",")),SelectedConversion,0))),AND(SelectedConversion&lt;&gt;"(Multiple Items)",SelectedConversion&lt;&gt;"(All)",Table_AlwaysSend[[#This Row],[Conversion]]="All"))</f>
        <v>1</v>
      </c>
      <c r="M157" s="303" t="b" cm="1">
        <f t="array" ref="M157">OR(NOT(ISERROR(MATCH(TRIM(_xlfn.TEXTSPLIT(Table_AlwaysSend[[#This Row],[Data Source]],",")),SelectedDataSource,0))),AND(SelectedDataSource&lt;&gt;"(Multiple Items)",SelectedDataSource&lt;&gt;"(All)",Table_AlwaysSend[[#This Row],[Data Source]]="All"))</f>
        <v>0</v>
      </c>
      <c r="N157" s="305" t="b" cm="1">
        <f t="array" ref="N157">OR(NOT(ISERROR(MATCH(TRIM(_xlfn.TEXTSPLIT(Table_AlwaysSend[[#This Row],[Technology]],",")),SelectedTechnology,0))),AND(SelectedTechnology&lt;&gt;"(Multiple Items)",SelectedTechnology&lt;&gt;"(All)",Table_AlwaysSend[[#This Row],[Technology]]="All"))</f>
        <v>0</v>
      </c>
      <c r="O157" s="303" t="b" cm="1">
        <f t="array" ref="O157">OR(NOT(ISERROR(MATCH(TRIM(_xlfn.TEXTSPLIT(Table_AlwaysSend[[#This Row],[Data Set]],",")),SelectedDataSet,0))),AND(SelectedDataSet&lt;&gt;"(Multiple Items)",SelectedDataSet&lt;&gt;"(All)",Table_AlwaysSend[[#This Row],[Data Set]]="All"))</f>
        <v>0</v>
      </c>
      <c r="P157" s="305" t="b">
        <f>TRUE</f>
        <v>1</v>
      </c>
      <c r="Q157" s="306" t="b">
        <f>AND(Table_AlwaysSend[[#This Row],[Show Feedstock]:[Show Data Source2]],Table_AlwaysSend[[#This Row],[Conditional]]=TRUE)</f>
        <v>0</v>
      </c>
      <c r="R157" s="276" t="s">
        <v>701</v>
      </c>
      <c r="S157" s="286">
        <v>2</v>
      </c>
      <c r="T157" s="23" t="s">
        <v>1140</v>
      </c>
    </row>
    <row r="158" spans="5:20" x14ac:dyDescent="0.3">
      <c r="E158" s="300" t="str">
        <f>IF(Table_AlwaysSend[[#This Row],[GREET1 Name Range]]="", "dash_"&amp;Table_AlwaysSend[[#This Row],[Feedstock]]&amp;"_"&amp;Table_AlwaysSend[[#This Row],[Value to Send]], Table_AlwaysSend[[#This Row],[Feedstock]]&amp;"_"&amp;Table_AlwaysSend[[#This Row],[Value to Send]]&amp;"_"&amp;Table_AlwaysSend[[#This Row],[GREET1 Name Range]])</f>
        <v>Jatropha_2_HEFA_Allocation</v>
      </c>
      <c r="F158" s="298" t="s">
        <v>126</v>
      </c>
      <c r="G158" s="294" t="s">
        <v>30</v>
      </c>
      <c r="H158" s="282" t="s">
        <v>194</v>
      </c>
      <c r="I158" s="278" t="s">
        <v>1349</v>
      </c>
      <c r="J158" s="278" t="s">
        <v>1368</v>
      </c>
      <c r="K158" s="305" t="b" cm="1">
        <f t="array" ref="K158">OR(NOT(ISERROR(MATCH(TRIM(_xlfn.TEXTSPLIT(Table_AlwaysSend[[#This Row],[Feedstock]],",")),SelectedFeedstock,0))),AND(SelectedFeedstock&lt;&gt;"(Multiple Items)",SelectedFeedstock&lt;&gt;"(All)",Table_AlwaysSend[[#This Row],[Feedstock]]="All"))</f>
        <v>0</v>
      </c>
      <c r="L158" s="305" t="b" cm="1">
        <f t="array" ref="L158">OR(NOT(ISERROR(MATCH(TRIM(_xlfn.TEXTSPLIT(Table_AlwaysSend[[#This Row],[Conversion]],",")),SelectedConversion,0))),AND(SelectedConversion&lt;&gt;"(Multiple Items)",SelectedConversion&lt;&gt;"(All)",Table_AlwaysSend[[#This Row],[Conversion]]="All"))</f>
        <v>1</v>
      </c>
      <c r="M158" s="305" t="b" cm="1">
        <f t="array" ref="M158">OR(NOT(ISERROR(MATCH(TRIM(_xlfn.TEXTSPLIT(Table_AlwaysSend[[#This Row],[Data Source]],",")),SelectedDataSource,0))),AND(SelectedDataSource&lt;&gt;"(Multiple Items)",SelectedDataSource&lt;&gt;"(All)",Table_AlwaysSend[[#This Row],[Data Source]]="All"))</f>
        <v>0</v>
      </c>
      <c r="N158" s="308" t="b" cm="1">
        <f t="array" ref="N158">OR(NOT(ISERROR(MATCH(TRIM(_xlfn.TEXTSPLIT(Table_AlwaysSend[[#This Row],[Technology]],",")),SelectedTechnology,0))),AND(SelectedTechnology&lt;&gt;"(Multiple Items)",SelectedTechnology&lt;&gt;"(All)",Table_AlwaysSend[[#This Row],[Technology]]="All"))</f>
        <v>0</v>
      </c>
      <c r="O158" s="305" t="b" cm="1">
        <f t="array" ref="O158">OR(NOT(ISERROR(MATCH(TRIM(_xlfn.TEXTSPLIT(Table_AlwaysSend[[#This Row],[Data Set]],",")),SelectedDataSet,0))),AND(SelectedDataSet&lt;&gt;"(Multiple Items)",SelectedDataSet&lt;&gt;"(All)",Table_AlwaysSend[[#This Row],[Data Set]]="All"))</f>
        <v>0</v>
      </c>
      <c r="P158" s="305" t="b">
        <f>TRUE</f>
        <v>1</v>
      </c>
      <c r="Q158" s="307" t="b">
        <f>AND(Table_AlwaysSend[[#This Row],[Show Feedstock]:[Show Data Source2]],Table_AlwaysSend[[#This Row],[Conditional]]=TRUE)</f>
        <v>0</v>
      </c>
      <c r="R158" s="294" t="s">
        <v>674</v>
      </c>
      <c r="S158" s="287">
        <v>2</v>
      </c>
      <c r="T158" s="23" t="s">
        <v>1140</v>
      </c>
    </row>
    <row r="159" spans="5:20" x14ac:dyDescent="0.3">
      <c r="E159" s="300" t="str">
        <f>IF(Table_AlwaysSend[[#This Row],[GREET1 Name Range]]="", "dash_"&amp;Table_AlwaysSend[[#This Row],[Feedstock]]&amp;"_"&amp;Table_AlwaysSend[[#This Row],[Value to Send]], Table_AlwaysSend[[#This Row],[Feedstock]]&amp;"_"&amp;Table_AlwaysSend[[#This Row],[Value to Send]]&amp;"_"&amp;Table_AlwaysSend[[#This Row],[GREET1 Name Range]])</f>
        <v>Miscanthus_4_JetFuel_ETJet_BiomassFeedstock</v>
      </c>
      <c r="F159" s="298" t="s">
        <v>134</v>
      </c>
      <c r="G159" s="294" t="s">
        <v>1964</v>
      </c>
      <c r="H159" s="282" t="s">
        <v>194</v>
      </c>
      <c r="I159" s="278" t="s">
        <v>1399</v>
      </c>
      <c r="J159" s="278" t="s">
        <v>1398</v>
      </c>
      <c r="K159" s="305" t="b" cm="1">
        <f t="array" ref="K159">OR(NOT(ISERROR(MATCH(TRIM(_xlfn.TEXTSPLIT(Table_AlwaysSend[[#This Row],[Feedstock]],",")),SelectedFeedstock,0))),AND(SelectedFeedstock&lt;&gt;"(Multiple Items)",SelectedFeedstock&lt;&gt;"(All)",Table_AlwaysSend[[#This Row],[Feedstock]]="All"))</f>
        <v>0</v>
      </c>
      <c r="L159" s="305" t="b" cm="1">
        <f t="array" ref="L159">OR(NOT(ISERROR(MATCH(TRIM(_xlfn.TEXTSPLIT(Table_AlwaysSend[[#This Row],[Conversion]],",")),SelectedConversion,0))),AND(SelectedConversion&lt;&gt;"(Multiple Items)",SelectedConversion&lt;&gt;"(All)",Table_AlwaysSend[[#This Row],[Conversion]]="All"))</f>
        <v>0</v>
      </c>
      <c r="M159" s="305" t="b" cm="1">
        <f t="array" ref="M159">OR(NOT(ISERROR(MATCH(TRIM(_xlfn.TEXTSPLIT(Table_AlwaysSend[[#This Row],[Data Source]],",")),SelectedDataSource,0))),AND(SelectedDataSource&lt;&gt;"(Multiple Items)",SelectedDataSource&lt;&gt;"(All)",Table_AlwaysSend[[#This Row],[Data Source]]="All"))</f>
        <v>0</v>
      </c>
      <c r="N159" s="308" t="b" cm="1">
        <f t="array" ref="N159">OR(NOT(ISERROR(MATCH(TRIM(_xlfn.TEXTSPLIT(Table_AlwaysSend[[#This Row],[Technology]],",")),SelectedTechnology,0))),AND(SelectedTechnology&lt;&gt;"(Multiple Items)",SelectedTechnology&lt;&gt;"(All)",Table_AlwaysSend[[#This Row],[Technology]]="All"))</f>
        <v>0</v>
      </c>
      <c r="O159" s="305" t="b" cm="1">
        <f t="array" ref="O159">OR(NOT(ISERROR(MATCH(TRIM(_xlfn.TEXTSPLIT(Table_AlwaysSend[[#This Row],[Data Set]],",")),SelectedDataSet,0))),AND(SelectedDataSet&lt;&gt;"(Multiple Items)",SelectedDataSet&lt;&gt;"(All)",Table_AlwaysSend[[#This Row],[Data Set]]="All"))</f>
        <v>0</v>
      </c>
      <c r="P159" s="305" t="b">
        <f>TRUE</f>
        <v>1</v>
      </c>
      <c r="Q159" s="307" t="b">
        <f>AND(Table_AlwaysSend[[#This Row],[Show Feedstock]:[Show Data Source2]],Table_AlwaysSend[[#This Row],[Conditional]]=TRUE)</f>
        <v>0</v>
      </c>
      <c r="R159" s="294" t="s">
        <v>86</v>
      </c>
      <c r="S159" s="287">
        <v>4</v>
      </c>
      <c r="T159" s="23" t="s">
        <v>1402</v>
      </c>
    </row>
    <row r="160" spans="5:20" x14ac:dyDescent="0.3">
      <c r="E160" s="300" t="str">
        <f>IF(Table_AlwaysSend[[#This Row],[GREET1 Name Range]]="", "dash_"&amp;Table_AlwaysSend[[#This Row],[Feedstock]]&amp;"_"&amp;Table_AlwaysSend[[#This Row],[Value to Send]], Table_AlwaysSend[[#This Row],[Feedstock]]&amp;"_"&amp;Table_AlwaysSend[[#This Row],[Value to Send]]&amp;"_"&amp;Table_AlwaysSend[[#This Row],[GREET1 Name Range]])</f>
        <v>All_0_EtOH_CornEtOH_LandChange_Option</v>
      </c>
      <c r="F160" s="297" t="s">
        <v>435</v>
      </c>
      <c r="G160" s="297" t="s">
        <v>435</v>
      </c>
      <c r="H160" s="297" t="s">
        <v>435</v>
      </c>
      <c r="I160" s="297" t="s">
        <v>435</v>
      </c>
      <c r="J160" s="297" t="s">
        <v>435</v>
      </c>
      <c r="K160" s="305" t="b" cm="1">
        <f t="array" ref="K160">OR(NOT(ISERROR(MATCH(TRIM(_xlfn.TEXTSPLIT(Table_AlwaysSend[[#This Row],[Feedstock]],",")),SelectedFeedstock,0))),AND(SelectedFeedstock&lt;&gt;"(Multiple Items)",SelectedFeedstock&lt;&gt;"(All)",Table_AlwaysSend[[#This Row],[Feedstock]]="All"))</f>
        <v>1</v>
      </c>
      <c r="L160" s="305" t="b" cm="1">
        <f t="array" ref="L160">OR(NOT(ISERROR(MATCH(TRIM(_xlfn.TEXTSPLIT(Table_AlwaysSend[[#This Row],[Conversion]],",")),SelectedConversion,0))),AND(SelectedConversion&lt;&gt;"(Multiple Items)",SelectedConversion&lt;&gt;"(All)",Table_AlwaysSend[[#This Row],[Conversion]]="All"))</f>
        <v>1</v>
      </c>
      <c r="M160" s="305" t="b" cm="1">
        <f t="array" ref="M160">OR(NOT(ISERROR(MATCH(TRIM(_xlfn.TEXTSPLIT(Table_AlwaysSend[[#This Row],[Data Source]],",")),SelectedDataSource,0))),AND(SelectedDataSource&lt;&gt;"(Multiple Items)",SelectedDataSource&lt;&gt;"(All)",Table_AlwaysSend[[#This Row],[Data Source]]="All"))</f>
        <v>1</v>
      </c>
      <c r="N160" s="308" t="b" cm="1">
        <f t="array" ref="N160">OR(NOT(ISERROR(MATCH(TRIM(_xlfn.TEXTSPLIT(Table_AlwaysSend[[#This Row],[Technology]],",")),SelectedTechnology,0))),AND(SelectedTechnology&lt;&gt;"(Multiple Items)",SelectedTechnology&lt;&gt;"(All)",Table_AlwaysSend[[#This Row],[Technology]]="All"))</f>
        <v>1</v>
      </c>
      <c r="O160" s="305" t="b" cm="1">
        <f t="array" ref="O160">OR(NOT(ISERROR(MATCH(TRIM(_xlfn.TEXTSPLIT(Table_AlwaysSend[[#This Row],[Data Set]],",")),SelectedDataSet,0))),AND(SelectedDataSet&lt;&gt;"(Multiple Items)",SelectedDataSet&lt;&gt;"(All)",Table_AlwaysSend[[#This Row],[Data Set]]="All"))</f>
        <v>1</v>
      </c>
      <c r="P160" s="305" t="b">
        <f>TRUE</f>
        <v>1</v>
      </c>
      <c r="Q160" s="306" t="b">
        <f>AND(Table_AlwaysSend[[#This Row],[Show Feedstock]:[Show Data Source2]],Table_AlwaysSend[[#This Row],[Conditional]]=TRUE)</f>
        <v>1</v>
      </c>
      <c r="R160" s="294" t="s">
        <v>77</v>
      </c>
      <c r="S160" s="287">
        <v>0</v>
      </c>
      <c r="T160" s="23" t="s">
        <v>873</v>
      </c>
    </row>
    <row r="161" spans="5:20" x14ac:dyDescent="0.3">
      <c r="E161" s="300" t="str">
        <f>IF(Table_AlwaysSend[[#This Row],[GREET1 Name Range]]="", "dash_"&amp;Table_AlwaysSend[[#This Row],[Feedstock]]&amp;"_"&amp;Table_AlwaysSend[[#This Row],[Value to Send]], Table_AlwaysSend[[#This Row],[Feedstock]]&amp;"_"&amp;Table_AlwaysSend[[#This Row],[Value to Send]]&amp;"_"&amp;Table_AlwaysSend[[#This Row],[GREET1 Name Range]])</f>
        <v>All_0_EtOH_WBiomassEtOH_LandChange_Option</v>
      </c>
      <c r="F161" s="297" t="s">
        <v>435</v>
      </c>
      <c r="G161" s="297" t="s">
        <v>435</v>
      </c>
      <c r="H161" s="297" t="s">
        <v>435</v>
      </c>
      <c r="I161" s="297" t="s">
        <v>435</v>
      </c>
      <c r="J161" s="297" t="s">
        <v>435</v>
      </c>
      <c r="K161" s="305" t="b" cm="1">
        <f t="array" ref="K161">OR(NOT(ISERROR(MATCH(TRIM(_xlfn.TEXTSPLIT(Table_AlwaysSend[[#This Row],[Feedstock]],",")),SelectedFeedstock,0))),AND(SelectedFeedstock&lt;&gt;"(Multiple Items)",SelectedFeedstock&lt;&gt;"(All)",Table_AlwaysSend[[#This Row],[Feedstock]]="All"))</f>
        <v>1</v>
      </c>
      <c r="L161" s="305" t="b" cm="1">
        <f t="array" ref="L161">OR(NOT(ISERROR(MATCH(TRIM(_xlfn.TEXTSPLIT(Table_AlwaysSend[[#This Row],[Conversion]],",")),SelectedConversion,0))),AND(SelectedConversion&lt;&gt;"(Multiple Items)",SelectedConversion&lt;&gt;"(All)",Table_AlwaysSend[[#This Row],[Conversion]]="All"))</f>
        <v>1</v>
      </c>
      <c r="M161" s="305" t="b" cm="1">
        <f t="array" ref="M161">OR(NOT(ISERROR(MATCH(TRIM(_xlfn.TEXTSPLIT(Table_AlwaysSend[[#This Row],[Data Source]],",")),SelectedDataSource,0))),AND(SelectedDataSource&lt;&gt;"(Multiple Items)",SelectedDataSource&lt;&gt;"(All)",Table_AlwaysSend[[#This Row],[Data Source]]="All"))</f>
        <v>1</v>
      </c>
      <c r="N161" s="308" t="b" cm="1">
        <f t="array" ref="N161">OR(NOT(ISERROR(MATCH(TRIM(_xlfn.TEXTSPLIT(Table_AlwaysSend[[#This Row],[Technology]],",")),SelectedTechnology,0))),AND(SelectedTechnology&lt;&gt;"(Multiple Items)",SelectedTechnology&lt;&gt;"(All)",Table_AlwaysSend[[#This Row],[Technology]]="All"))</f>
        <v>1</v>
      </c>
      <c r="O161" s="305" t="b" cm="1">
        <f t="array" ref="O161">OR(NOT(ISERROR(MATCH(TRIM(_xlfn.TEXTSPLIT(Table_AlwaysSend[[#This Row],[Data Set]],",")),SelectedDataSet,0))),AND(SelectedDataSet&lt;&gt;"(Multiple Items)",SelectedDataSet&lt;&gt;"(All)",Table_AlwaysSend[[#This Row],[Data Set]]="All"))</f>
        <v>1</v>
      </c>
      <c r="P161" s="305" t="b">
        <f>TRUE</f>
        <v>1</v>
      </c>
      <c r="Q161" s="306" t="b">
        <f>AND(Table_AlwaysSend[[#This Row],[Show Feedstock]:[Show Data Source2]],Table_AlwaysSend[[#This Row],[Conditional]]=TRUE)</f>
        <v>1</v>
      </c>
      <c r="R161" s="294" t="s">
        <v>83</v>
      </c>
      <c r="S161" s="287">
        <v>0</v>
      </c>
      <c r="T161" s="23" t="s">
        <v>873</v>
      </c>
    </row>
    <row r="162" spans="5:20" x14ac:dyDescent="0.3">
      <c r="E162" s="300" t="str">
        <f>IF(Table_AlwaysSend[[#This Row],[GREET1 Name Range]]="", "dash_"&amp;Table_AlwaysSend[[#This Row],[Feedstock]]&amp;"_"&amp;Table_AlwaysSend[[#This Row],[Value to Send]], Table_AlwaysSend[[#This Row],[Feedstock]]&amp;"_"&amp;Table_AlwaysSend[[#This Row],[Value to Send]]&amp;"_"&amp;Table_AlwaysSend[[#This Row],[GREET1 Name Range]])</f>
        <v>All_0_EtOH_PoplarEtOH_LandChange_Option</v>
      </c>
      <c r="F162" s="297" t="s">
        <v>435</v>
      </c>
      <c r="G162" s="297" t="s">
        <v>435</v>
      </c>
      <c r="H162" s="297" t="s">
        <v>435</v>
      </c>
      <c r="I162" s="297" t="s">
        <v>435</v>
      </c>
      <c r="J162" s="297" t="s">
        <v>435</v>
      </c>
      <c r="K162" s="305" t="b" cm="1">
        <f t="array" ref="K162">OR(NOT(ISERROR(MATCH(TRIM(_xlfn.TEXTSPLIT(Table_AlwaysSend[[#This Row],[Feedstock]],",")),SelectedFeedstock,0))),AND(SelectedFeedstock&lt;&gt;"(Multiple Items)",SelectedFeedstock&lt;&gt;"(All)",Table_AlwaysSend[[#This Row],[Feedstock]]="All"))</f>
        <v>1</v>
      </c>
      <c r="L162" s="305" t="b" cm="1">
        <f t="array" ref="L162">OR(NOT(ISERROR(MATCH(TRIM(_xlfn.TEXTSPLIT(Table_AlwaysSend[[#This Row],[Conversion]],",")),SelectedConversion,0))),AND(SelectedConversion&lt;&gt;"(Multiple Items)",SelectedConversion&lt;&gt;"(All)",Table_AlwaysSend[[#This Row],[Conversion]]="All"))</f>
        <v>1</v>
      </c>
      <c r="M162" s="305" t="b" cm="1">
        <f t="array" ref="M162">OR(NOT(ISERROR(MATCH(TRIM(_xlfn.TEXTSPLIT(Table_AlwaysSend[[#This Row],[Data Source]],",")),SelectedDataSource,0))),AND(SelectedDataSource&lt;&gt;"(Multiple Items)",SelectedDataSource&lt;&gt;"(All)",Table_AlwaysSend[[#This Row],[Data Source]]="All"))</f>
        <v>1</v>
      </c>
      <c r="N162" s="308" t="b" cm="1">
        <f t="array" ref="N162">OR(NOT(ISERROR(MATCH(TRIM(_xlfn.TEXTSPLIT(Table_AlwaysSend[[#This Row],[Technology]],",")),SelectedTechnology,0))),AND(SelectedTechnology&lt;&gt;"(Multiple Items)",SelectedTechnology&lt;&gt;"(All)",Table_AlwaysSend[[#This Row],[Technology]]="All"))</f>
        <v>1</v>
      </c>
      <c r="O162" s="305" t="b" cm="1">
        <f t="array" ref="O162">OR(NOT(ISERROR(MATCH(TRIM(_xlfn.TEXTSPLIT(Table_AlwaysSend[[#This Row],[Data Set]],",")),SelectedDataSet,0))),AND(SelectedDataSet&lt;&gt;"(Multiple Items)",SelectedDataSet&lt;&gt;"(All)",Table_AlwaysSend[[#This Row],[Data Set]]="All"))</f>
        <v>1</v>
      </c>
      <c r="P162" s="305" t="b">
        <f>TRUE</f>
        <v>1</v>
      </c>
      <c r="Q162" s="306" t="b">
        <f>AND(Table_AlwaysSend[[#This Row],[Show Feedstock]:[Show Data Source2]],Table_AlwaysSend[[#This Row],[Conditional]]=TRUE)</f>
        <v>1</v>
      </c>
      <c r="R162" s="294" t="s">
        <v>81</v>
      </c>
      <c r="S162" s="287">
        <v>0</v>
      </c>
      <c r="T162" s="23" t="s">
        <v>873</v>
      </c>
    </row>
    <row r="163" spans="5:20" x14ac:dyDescent="0.3">
      <c r="E163" s="300" t="str">
        <f>IF(Table_AlwaysSend[[#This Row],[GREET1 Name Range]]="", "dash_"&amp;Table_AlwaysSend[[#This Row],[Feedstock]]&amp;"_"&amp;Table_AlwaysSend[[#This Row],[Value to Send]], Table_AlwaysSend[[#This Row],[Feedstock]]&amp;"_"&amp;Table_AlwaysSend[[#This Row],[Value to Send]]&amp;"_"&amp;Table_AlwaysSend[[#This Row],[GREET1 Name Range]])</f>
        <v>All_0_EtOH_HBiomassEtOH_LandChange_Option</v>
      </c>
      <c r="F163" s="297" t="s">
        <v>435</v>
      </c>
      <c r="G163" s="297" t="s">
        <v>435</v>
      </c>
      <c r="H163" s="297" t="s">
        <v>435</v>
      </c>
      <c r="I163" s="297" t="s">
        <v>435</v>
      </c>
      <c r="J163" s="297" t="s">
        <v>435</v>
      </c>
      <c r="K163" s="305" t="b" cm="1">
        <f t="array" ref="K163">OR(NOT(ISERROR(MATCH(TRIM(_xlfn.TEXTSPLIT(Table_AlwaysSend[[#This Row],[Feedstock]],",")),SelectedFeedstock,0))),AND(SelectedFeedstock&lt;&gt;"(Multiple Items)",SelectedFeedstock&lt;&gt;"(All)",Table_AlwaysSend[[#This Row],[Feedstock]]="All"))</f>
        <v>1</v>
      </c>
      <c r="L163" s="305" t="b" cm="1">
        <f t="array" ref="L163">OR(NOT(ISERROR(MATCH(TRIM(_xlfn.TEXTSPLIT(Table_AlwaysSend[[#This Row],[Conversion]],",")),SelectedConversion,0))),AND(SelectedConversion&lt;&gt;"(Multiple Items)",SelectedConversion&lt;&gt;"(All)",Table_AlwaysSend[[#This Row],[Conversion]]="All"))</f>
        <v>1</v>
      </c>
      <c r="M163" s="305" t="b" cm="1">
        <f t="array" ref="M163">OR(NOT(ISERROR(MATCH(TRIM(_xlfn.TEXTSPLIT(Table_AlwaysSend[[#This Row],[Data Source]],",")),SelectedDataSource,0))),AND(SelectedDataSource&lt;&gt;"(Multiple Items)",SelectedDataSource&lt;&gt;"(All)",Table_AlwaysSend[[#This Row],[Data Source]]="All"))</f>
        <v>1</v>
      </c>
      <c r="N163" s="308" t="b" cm="1">
        <f t="array" ref="N163">OR(NOT(ISERROR(MATCH(TRIM(_xlfn.TEXTSPLIT(Table_AlwaysSend[[#This Row],[Technology]],",")),SelectedTechnology,0))),AND(SelectedTechnology&lt;&gt;"(Multiple Items)",SelectedTechnology&lt;&gt;"(All)",Table_AlwaysSend[[#This Row],[Technology]]="All"))</f>
        <v>1</v>
      </c>
      <c r="O163" s="305" t="b" cm="1">
        <f t="array" ref="O163">OR(NOT(ISERROR(MATCH(TRIM(_xlfn.TEXTSPLIT(Table_AlwaysSend[[#This Row],[Data Set]],",")),SelectedDataSet,0))),AND(SelectedDataSet&lt;&gt;"(Multiple Items)",SelectedDataSet&lt;&gt;"(All)",Table_AlwaysSend[[#This Row],[Data Set]]="All"))</f>
        <v>1</v>
      </c>
      <c r="P163" s="305" t="b">
        <f>TRUE</f>
        <v>1</v>
      </c>
      <c r="Q163" s="306" t="b">
        <f>AND(Table_AlwaysSend[[#This Row],[Show Feedstock]:[Show Data Source2]],Table_AlwaysSend[[#This Row],[Conditional]]=TRUE)</f>
        <v>1</v>
      </c>
      <c r="R163" s="294" t="s">
        <v>79</v>
      </c>
      <c r="S163" s="287">
        <v>0</v>
      </c>
      <c r="T163" s="23" t="s">
        <v>873</v>
      </c>
    </row>
    <row r="164" spans="5:20" x14ac:dyDescent="0.3">
      <c r="E164" s="300" t="str">
        <f>IF(Table_AlwaysSend[[#This Row],[GREET1 Name Range]]="", "dash_"&amp;Table_AlwaysSend[[#This Row],[Feedstock]]&amp;"_"&amp;Table_AlwaysSend[[#This Row],[Value to Send]], Table_AlwaysSend[[#This Row],[Feedstock]]&amp;"_"&amp;Table_AlwaysSend[[#This Row],[Value to Send]]&amp;"_"&amp;Table_AlwaysSend[[#This Row],[GREET1 Name Range]])</f>
        <v>All_0_EtOH_MiscanthusEtOH_LandChange_Option</v>
      </c>
      <c r="F164" s="297" t="s">
        <v>435</v>
      </c>
      <c r="G164" s="297" t="s">
        <v>435</v>
      </c>
      <c r="H164" s="297" t="s">
        <v>435</v>
      </c>
      <c r="I164" s="297" t="s">
        <v>435</v>
      </c>
      <c r="J164" s="297" t="s">
        <v>435</v>
      </c>
      <c r="K164" s="305" t="b" cm="1">
        <f t="array" ref="K164">OR(NOT(ISERROR(MATCH(TRIM(_xlfn.TEXTSPLIT(Table_AlwaysSend[[#This Row],[Feedstock]],",")),SelectedFeedstock,0))),AND(SelectedFeedstock&lt;&gt;"(Multiple Items)",SelectedFeedstock&lt;&gt;"(All)",Table_AlwaysSend[[#This Row],[Feedstock]]="All"))</f>
        <v>1</v>
      </c>
      <c r="L164" s="305" t="b" cm="1">
        <f t="array" ref="L164">OR(NOT(ISERROR(MATCH(TRIM(_xlfn.TEXTSPLIT(Table_AlwaysSend[[#This Row],[Conversion]],",")),SelectedConversion,0))),AND(SelectedConversion&lt;&gt;"(Multiple Items)",SelectedConversion&lt;&gt;"(All)",Table_AlwaysSend[[#This Row],[Conversion]]="All"))</f>
        <v>1</v>
      </c>
      <c r="M164" s="305" t="b" cm="1">
        <f t="array" ref="M164">OR(NOT(ISERROR(MATCH(TRIM(_xlfn.TEXTSPLIT(Table_AlwaysSend[[#This Row],[Data Source]],",")),SelectedDataSource,0))),AND(SelectedDataSource&lt;&gt;"(Multiple Items)",SelectedDataSource&lt;&gt;"(All)",Table_AlwaysSend[[#This Row],[Data Source]]="All"))</f>
        <v>1</v>
      </c>
      <c r="N164" s="308" t="b" cm="1">
        <f t="array" ref="N164">OR(NOT(ISERROR(MATCH(TRIM(_xlfn.TEXTSPLIT(Table_AlwaysSend[[#This Row],[Technology]],",")),SelectedTechnology,0))),AND(SelectedTechnology&lt;&gt;"(Multiple Items)",SelectedTechnology&lt;&gt;"(All)",Table_AlwaysSend[[#This Row],[Technology]]="All"))</f>
        <v>1</v>
      </c>
      <c r="O164" s="305" t="b" cm="1">
        <f t="array" ref="O164">OR(NOT(ISERROR(MATCH(TRIM(_xlfn.TEXTSPLIT(Table_AlwaysSend[[#This Row],[Data Set]],",")),SelectedDataSet,0))),AND(SelectedDataSet&lt;&gt;"(Multiple Items)",SelectedDataSet&lt;&gt;"(All)",Table_AlwaysSend[[#This Row],[Data Set]]="All"))</f>
        <v>1</v>
      </c>
      <c r="P164" s="305" t="b">
        <f>TRUE</f>
        <v>1</v>
      </c>
      <c r="Q164" s="306" t="b">
        <f>AND(Table_AlwaysSend[[#This Row],[Show Feedstock]:[Show Data Source2]],Table_AlwaysSend[[#This Row],[Conditional]]=TRUE)</f>
        <v>1</v>
      </c>
      <c r="R164" s="294" t="s">
        <v>80</v>
      </c>
      <c r="S164" s="287">
        <v>0</v>
      </c>
      <c r="T164" s="23" t="s">
        <v>873</v>
      </c>
    </row>
    <row r="165" spans="5:20" x14ac:dyDescent="0.3">
      <c r="E165" s="300" t="str">
        <f>IF(Table_AlwaysSend[[#This Row],[GREET1 Name Range]]="", "dash_"&amp;Table_AlwaysSend[[#This Row],[Feedstock]]&amp;"_"&amp;Table_AlwaysSend[[#This Row],[Value to Send]], Table_AlwaysSend[[#This Row],[Feedstock]]&amp;"_"&amp;Table_AlwaysSend[[#This Row],[Value to Send]]&amp;"_"&amp;Table_AlwaysSend[[#This Row],[GREET1 Name Range]])</f>
        <v>All_0_EtOH_CornStoverEtOH_LandChange_Option</v>
      </c>
      <c r="F165" s="297" t="s">
        <v>435</v>
      </c>
      <c r="G165" s="297" t="s">
        <v>435</v>
      </c>
      <c r="H165" s="297" t="s">
        <v>435</v>
      </c>
      <c r="I165" s="297" t="s">
        <v>435</v>
      </c>
      <c r="J165" s="297" t="s">
        <v>435</v>
      </c>
      <c r="K165" s="305" t="b" cm="1">
        <f t="array" ref="K165">OR(NOT(ISERROR(MATCH(TRIM(_xlfn.TEXTSPLIT(Table_AlwaysSend[[#This Row],[Feedstock]],",")),SelectedFeedstock,0))),AND(SelectedFeedstock&lt;&gt;"(Multiple Items)",SelectedFeedstock&lt;&gt;"(All)",Table_AlwaysSend[[#This Row],[Feedstock]]="All"))</f>
        <v>1</v>
      </c>
      <c r="L165" s="305" t="b" cm="1">
        <f t="array" ref="L165">OR(NOT(ISERROR(MATCH(TRIM(_xlfn.TEXTSPLIT(Table_AlwaysSend[[#This Row],[Conversion]],",")),SelectedConversion,0))),AND(SelectedConversion&lt;&gt;"(Multiple Items)",SelectedConversion&lt;&gt;"(All)",Table_AlwaysSend[[#This Row],[Conversion]]="All"))</f>
        <v>1</v>
      </c>
      <c r="M165" s="305" t="b" cm="1">
        <f t="array" ref="M165">OR(NOT(ISERROR(MATCH(TRIM(_xlfn.TEXTSPLIT(Table_AlwaysSend[[#This Row],[Data Source]],",")),SelectedDataSource,0))),AND(SelectedDataSource&lt;&gt;"(Multiple Items)",SelectedDataSource&lt;&gt;"(All)",Table_AlwaysSend[[#This Row],[Data Source]]="All"))</f>
        <v>1</v>
      </c>
      <c r="N165" s="308" t="b" cm="1">
        <f t="array" ref="N165">OR(NOT(ISERROR(MATCH(TRIM(_xlfn.TEXTSPLIT(Table_AlwaysSend[[#This Row],[Technology]],",")),SelectedTechnology,0))),AND(SelectedTechnology&lt;&gt;"(Multiple Items)",SelectedTechnology&lt;&gt;"(All)",Table_AlwaysSend[[#This Row],[Technology]]="All"))</f>
        <v>1</v>
      </c>
      <c r="O165" s="305" t="b" cm="1">
        <f t="array" ref="O165">OR(NOT(ISERROR(MATCH(TRIM(_xlfn.TEXTSPLIT(Table_AlwaysSend[[#This Row],[Data Set]],",")),SelectedDataSet,0))),AND(SelectedDataSet&lt;&gt;"(Multiple Items)",SelectedDataSet&lt;&gt;"(All)",Table_AlwaysSend[[#This Row],[Data Set]]="All"))</f>
        <v>1</v>
      </c>
      <c r="P165" s="305" t="b">
        <f>TRUE</f>
        <v>1</v>
      </c>
      <c r="Q165" s="306" t="b">
        <f>AND(Table_AlwaysSend[[#This Row],[Show Feedstock]:[Show Data Source2]],Table_AlwaysSend[[#This Row],[Conditional]]=TRUE)</f>
        <v>1</v>
      </c>
      <c r="R165" s="294" t="s">
        <v>78</v>
      </c>
      <c r="S165" s="287">
        <v>0</v>
      </c>
      <c r="T165" s="23" t="s">
        <v>873</v>
      </c>
    </row>
    <row r="166" spans="5:20" x14ac:dyDescent="0.3">
      <c r="E166" s="300" t="str">
        <f>IF(Table_AlwaysSend[[#This Row],[GREET1 Name Range]]="", "dash_"&amp;Table_AlwaysSend[[#This Row],[Feedstock]]&amp;"_"&amp;Table_AlwaysSend[[#This Row],[Value to Send]], Table_AlwaysSend[[#This Row],[Feedstock]]&amp;"_"&amp;Table_AlwaysSend[[#This Row],[Value to Send]]&amp;"_"&amp;Table_AlwaysSend[[#This Row],[GREET1 Name Range]])</f>
        <v>All_0_EtOH_WoodResidueEtOH_LandChange_Option</v>
      </c>
      <c r="F166" s="297" t="s">
        <v>435</v>
      </c>
      <c r="G166" s="297" t="s">
        <v>435</v>
      </c>
      <c r="H166" s="297" t="s">
        <v>435</v>
      </c>
      <c r="I166" s="297" t="s">
        <v>435</v>
      </c>
      <c r="J166" s="297" t="s">
        <v>435</v>
      </c>
      <c r="K166" s="305" t="b" cm="1">
        <f t="array" ref="K166">OR(NOT(ISERROR(MATCH(TRIM(_xlfn.TEXTSPLIT(Table_AlwaysSend[[#This Row],[Feedstock]],",")),SelectedFeedstock,0))),AND(SelectedFeedstock&lt;&gt;"(Multiple Items)",SelectedFeedstock&lt;&gt;"(All)",Table_AlwaysSend[[#This Row],[Feedstock]]="All"))</f>
        <v>1</v>
      </c>
      <c r="L166" s="305" t="b" cm="1">
        <f t="array" ref="L166">OR(NOT(ISERROR(MATCH(TRIM(_xlfn.TEXTSPLIT(Table_AlwaysSend[[#This Row],[Conversion]],",")),SelectedConversion,0))),AND(SelectedConversion&lt;&gt;"(Multiple Items)",SelectedConversion&lt;&gt;"(All)",Table_AlwaysSend[[#This Row],[Conversion]]="All"))</f>
        <v>1</v>
      </c>
      <c r="M166" s="305" t="b" cm="1">
        <f t="array" ref="M166">OR(NOT(ISERROR(MATCH(TRIM(_xlfn.TEXTSPLIT(Table_AlwaysSend[[#This Row],[Data Source]],",")),SelectedDataSource,0))),AND(SelectedDataSource&lt;&gt;"(Multiple Items)",SelectedDataSource&lt;&gt;"(All)",Table_AlwaysSend[[#This Row],[Data Source]]="All"))</f>
        <v>1</v>
      </c>
      <c r="N166" s="308" t="b" cm="1">
        <f t="array" ref="N166">OR(NOT(ISERROR(MATCH(TRIM(_xlfn.TEXTSPLIT(Table_AlwaysSend[[#This Row],[Technology]],",")),SelectedTechnology,0))),AND(SelectedTechnology&lt;&gt;"(Multiple Items)",SelectedTechnology&lt;&gt;"(All)",Table_AlwaysSend[[#This Row],[Technology]]="All"))</f>
        <v>1</v>
      </c>
      <c r="O166" s="305" t="b" cm="1">
        <f t="array" ref="O166">OR(NOT(ISERROR(MATCH(TRIM(_xlfn.TEXTSPLIT(Table_AlwaysSend[[#This Row],[Data Set]],",")),SelectedDataSet,0))),AND(SelectedDataSet&lt;&gt;"(Multiple Items)",SelectedDataSet&lt;&gt;"(All)",Table_AlwaysSend[[#This Row],[Data Set]]="All"))</f>
        <v>1</v>
      </c>
      <c r="P166" s="305" t="b">
        <f>TRUE</f>
        <v>1</v>
      </c>
      <c r="Q166" s="306" t="b">
        <f>AND(Table_AlwaysSend[[#This Row],[Show Feedstock]:[Show Data Source2]],Table_AlwaysSend[[#This Row],[Conditional]]=TRUE)</f>
        <v>1</v>
      </c>
      <c r="R166" s="294" t="s">
        <v>84</v>
      </c>
      <c r="S166" s="287">
        <v>0</v>
      </c>
      <c r="T166" s="23" t="s">
        <v>873</v>
      </c>
    </row>
    <row r="167" spans="5:20" x14ac:dyDescent="0.3">
      <c r="E167" s="300" t="str">
        <f>IF(Table_AlwaysSend[[#This Row],[GREET1 Name Range]]="", "dash_"&amp;Table_AlwaysSend[[#This Row],[Feedstock]]&amp;"_"&amp;Table_AlwaysSend[[#This Row],[Value to Send]], Table_AlwaysSend[[#This Row],[Feedstock]]&amp;"_"&amp;Table_AlwaysSend[[#This Row],[Value to Send]]&amp;"_"&amp;Table_AlwaysSend[[#This Row],[GREET1 Name Range]])</f>
        <v>All_0_Sorghum_LUC_Selector</v>
      </c>
      <c r="F167" s="297" t="s">
        <v>435</v>
      </c>
      <c r="G167" s="297" t="s">
        <v>435</v>
      </c>
      <c r="H167" s="297" t="s">
        <v>435</v>
      </c>
      <c r="I167" s="297" t="s">
        <v>435</v>
      </c>
      <c r="J167" s="297" t="s">
        <v>435</v>
      </c>
      <c r="K167" s="305" t="b" cm="1">
        <f t="array" ref="K167">OR(NOT(ISERROR(MATCH(TRIM(_xlfn.TEXTSPLIT(Table_AlwaysSend[[#This Row],[Feedstock]],",")),SelectedFeedstock,0))),AND(SelectedFeedstock&lt;&gt;"(Multiple Items)",SelectedFeedstock&lt;&gt;"(All)",Table_AlwaysSend[[#This Row],[Feedstock]]="All"))</f>
        <v>1</v>
      </c>
      <c r="L167" s="305" t="b" cm="1">
        <f t="array" ref="L167">OR(NOT(ISERROR(MATCH(TRIM(_xlfn.TEXTSPLIT(Table_AlwaysSend[[#This Row],[Conversion]],",")),SelectedConversion,0))),AND(SelectedConversion&lt;&gt;"(Multiple Items)",SelectedConversion&lt;&gt;"(All)",Table_AlwaysSend[[#This Row],[Conversion]]="All"))</f>
        <v>1</v>
      </c>
      <c r="M167" s="305" t="b" cm="1">
        <f t="array" ref="M167">OR(NOT(ISERROR(MATCH(TRIM(_xlfn.TEXTSPLIT(Table_AlwaysSend[[#This Row],[Data Source]],",")),SelectedDataSource,0))),AND(SelectedDataSource&lt;&gt;"(Multiple Items)",SelectedDataSource&lt;&gt;"(All)",Table_AlwaysSend[[#This Row],[Data Source]]="All"))</f>
        <v>1</v>
      </c>
      <c r="N167" s="308" t="b" cm="1">
        <f t="array" ref="N167">OR(NOT(ISERROR(MATCH(TRIM(_xlfn.TEXTSPLIT(Table_AlwaysSend[[#This Row],[Technology]],",")),SelectedTechnology,0))),AND(SelectedTechnology&lt;&gt;"(Multiple Items)",SelectedTechnology&lt;&gt;"(All)",Table_AlwaysSend[[#This Row],[Technology]]="All"))</f>
        <v>1</v>
      </c>
      <c r="O167" s="305" t="b" cm="1">
        <f t="array" ref="O167">OR(NOT(ISERROR(MATCH(TRIM(_xlfn.TEXTSPLIT(Table_AlwaysSend[[#This Row],[Data Set]],",")),SelectedDataSet,0))),AND(SelectedDataSet&lt;&gt;"(Multiple Items)",SelectedDataSet&lt;&gt;"(All)",Table_AlwaysSend[[#This Row],[Data Set]]="All"))</f>
        <v>1</v>
      </c>
      <c r="P167" s="305" t="b">
        <f>TRUE</f>
        <v>1</v>
      </c>
      <c r="Q167" s="306" t="b">
        <f>AND(Table_AlwaysSend[[#This Row],[Show Feedstock]:[Show Data Source2]],Table_AlwaysSend[[#This Row],[Conditional]]=TRUE)</f>
        <v>1</v>
      </c>
      <c r="R167" s="294" t="s">
        <v>779</v>
      </c>
      <c r="S167" s="287">
        <v>0</v>
      </c>
      <c r="T167" s="23" t="s">
        <v>873</v>
      </c>
    </row>
    <row r="168" spans="5:20" x14ac:dyDescent="0.3">
      <c r="E168" s="300" t="str">
        <f>IF(Table_AlwaysSend[[#This Row],[GREET1 Name Range]]="", "dash_"&amp;Table_AlwaysSend[[#This Row],[Feedstock]]&amp;"_"&amp;Table_AlwaysSend[[#This Row],[Value to Send]], Table_AlwaysSend[[#This Row],[Feedstock]]&amp;"_"&amp;Table_AlwaysSend[[#This Row],[Value to Send]]&amp;"_"&amp;Table_AlwaysSend[[#This Row],[GREET1 Name Range]])</f>
        <v>All_0_EtOH_SugarCaneEtOH_LandChange_Option</v>
      </c>
      <c r="F168" s="297" t="s">
        <v>435</v>
      </c>
      <c r="G168" s="297" t="s">
        <v>435</v>
      </c>
      <c r="H168" s="297" t="s">
        <v>435</v>
      </c>
      <c r="I168" s="297" t="s">
        <v>435</v>
      </c>
      <c r="J168" s="297" t="s">
        <v>435</v>
      </c>
      <c r="K168" s="305" t="b" cm="1">
        <f t="array" ref="K168">OR(NOT(ISERROR(MATCH(TRIM(_xlfn.TEXTSPLIT(Table_AlwaysSend[[#This Row],[Feedstock]],",")),SelectedFeedstock,0))),AND(SelectedFeedstock&lt;&gt;"(Multiple Items)",SelectedFeedstock&lt;&gt;"(All)",Table_AlwaysSend[[#This Row],[Feedstock]]="All"))</f>
        <v>1</v>
      </c>
      <c r="L168" s="305" t="b" cm="1">
        <f t="array" ref="L168">OR(NOT(ISERROR(MATCH(TRIM(_xlfn.TEXTSPLIT(Table_AlwaysSend[[#This Row],[Conversion]],",")),SelectedConversion,0))),AND(SelectedConversion&lt;&gt;"(Multiple Items)",SelectedConversion&lt;&gt;"(All)",Table_AlwaysSend[[#This Row],[Conversion]]="All"))</f>
        <v>1</v>
      </c>
      <c r="M168" s="305" t="b" cm="1">
        <f t="array" ref="M168">OR(NOT(ISERROR(MATCH(TRIM(_xlfn.TEXTSPLIT(Table_AlwaysSend[[#This Row],[Data Source]],",")),SelectedDataSource,0))),AND(SelectedDataSource&lt;&gt;"(Multiple Items)",SelectedDataSource&lt;&gt;"(All)",Table_AlwaysSend[[#This Row],[Data Source]]="All"))</f>
        <v>1</v>
      </c>
      <c r="N168" s="308" t="b" cm="1">
        <f t="array" ref="N168">OR(NOT(ISERROR(MATCH(TRIM(_xlfn.TEXTSPLIT(Table_AlwaysSend[[#This Row],[Technology]],",")),SelectedTechnology,0))),AND(SelectedTechnology&lt;&gt;"(Multiple Items)",SelectedTechnology&lt;&gt;"(All)",Table_AlwaysSend[[#This Row],[Technology]]="All"))</f>
        <v>1</v>
      </c>
      <c r="O168" s="305" t="b" cm="1">
        <f t="array" ref="O168">OR(NOT(ISERROR(MATCH(TRIM(_xlfn.TEXTSPLIT(Table_AlwaysSend[[#This Row],[Data Set]],",")),SelectedDataSet,0))),AND(SelectedDataSet&lt;&gt;"(Multiple Items)",SelectedDataSet&lt;&gt;"(All)",Table_AlwaysSend[[#This Row],[Data Set]]="All"))</f>
        <v>1</v>
      </c>
      <c r="P168" s="305" t="b">
        <f>TRUE</f>
        <v>1</v>
      </c>
      <c r="Q168" s="306" t="b">
        <f>AND(Table_AlwaysSend[[#This Row],[Show Feedstock]:[Show Data Source2]],Table_AlwaysSend[[#This Row],[Conditional]]=TRUE)</f>
        <v>1</v>
      </c>
      <c r="R168" s="294" t="s">
        <v>82</v>
      </c>
      <c r="S168" s="287">
        <v>0</v>
      </c>
      <c r="T168" s="23" t="s">
        <v>873</v>
      </c>
    </row>
    <row r="169" spans="5:20" x14ac:dyDescent="0.3">
      <c r="E169" s="317" t="str">
        <f>IF(Table_AlwaysSend[[#This Row],[GREET1 Name Range]]="", "dash_"&amp;Table_AlwaysSend[[#This Row],[Feedstock]]&amp;"_"&amp;Table_AlwaysSend[[#This Row],[Value to Send]], Table_AlwaysSend[[#This Row],[Feedstock]]&amp;"_"&amp;Table_AlwaysSend[[#This Row],[Value to Send]]&amp;"_"&amp;Table_AlwaysSend[[#This Row],[GREET1 Name Range]])</f>
        <v>All_0_SAF_Canola_HEFA_LandChange_Option</v>
      </c>
      <c r="F169" s="317" t="s">
        <v>435</v>
      </c>
      <c r="G169" s="317" t="s">
        <v>435</v>
      </c>
      <c r="H169" s="317" t="s">
        <v>435</v>
      </c>
      <c r="I169" s="317" t="s">
        <v>435</v>
      </c>
      <c r="J169" s="317" t="s">
        <v>435</v>
      </c>
      <c r="K169" s="314" t="b" cm="1">
        <f t="array" ref="K169">OR(NOT(ISERROR(MATCH(TRIM(_xlfn.TEXTSPLIT(Table_AlwaysSend[[#This Row],[Feedstock]],",")),SelectedFeedstock,0))),AND(SelectedFeedstock&lt;&gt;"(Multiple Items)",SelectedFeedstock&lt;&gt;"(All)",Table_AlwaysSend[[#This Row],[Feedstock]]="All"))</f>
        <v>1</v>
      </c>
      <c r="L169" s="314" t="b" cm="1">
        <f t="array" ref="L169">OR(NOT(ISERROR(MATCH(TRIM(_xlfn.TEXTSPLIT(Table_AlwaysSend[[#This Row],[Conversion]],",")),SelectedConversion,0))),AND(SelectedConversion&lt;&gt;"(Multiple Items)",SelectedConversion&lt;&gt;"(All)",Table_AlwaysSend[[#This Row],[Conversion]]="All"))</f>
        <v>1</v>
      </c>
      <c r="M169" s="314" t="b" cm="1">
        <f t="array" ref="M169">OR(NOT(ISERROR(MATCH(TRIM(_xlfn.TEXTSPLIT(Table_AlwaysSend[[#This Row],[Data Source]],",")),SelectedDataSource,0))),AND(SelectedDataSource&lt;&gt;"(Multiple Items)",SelectedDataSource&lt;&gt;"(All)",Table_AlwaysSend[[#This Row],[Data Source]]="All"))</f>
        <v>1</v>
      </c>
      <c r="N169" s="318" t="b" cm="1">
        <f t="array" ref="N169">OR(NOT(ISERROR(MATCH(TRIM(_xlfn.TEXTSPLIT(Table_AlwaysSend[[#This Row],[Technology]],",")),SelectedTechnology,0))),AND(SelectedTechnology&lt;&gt;"(Multiple Items)",SelectedTechnology&lt;&gt;"(All)",Table_AlwaysSend[[#This Row],[Technology]]="All"))</f>
        <v>1</v>
      </c>
      <c r="O169" s="314" t="b" cm="1">
        <f t="array" ref="O169">OR(NOT(ISERROR(MATCH(TRIM(_xlfn.TEXTSPLIT(Table_AlwaysSend[[#This Row],[Data Set]],",")),SelectedDataSet,0))),AND(SelectedDataSet&lt;&gt;"(Multiple Items)",SelectedDataSet&lt;&gt;"(All)",Table_AlwaysSend[[#This Row],[Data Set]]="All"))</f>
        <v>1</v>
      </c>
      <c r="P169" s="314" t="b">
        <f>TRUE</f>
        <v>1</v>
      </c>
      <c r="Q169" s="319" t="b">
        <f>AND(Table_AlwaysSend[[#This Row],[Show Feedstock]:[Show Data Source2]],Table_AlwaysSend[[#This Row],[Conditional]]=TRUE)</f>
        <v>1</v>
      </c>
      <c r="R169" s="313" t="s">
        <v>1892</v>
      </c>
      <c r="S169" s="315">
        <v>0</v>
      </c>
      <c r="T169" s="316" t="s">
        <v>873</v>
      </c>
    </row>
    <row r="170" spans="5:20" x14ac:dyDescent="0.3">
      <c r="E170" s="317" t="str">
        <f>IF(Table_AlwaysSend[[#This Row],[GREET1 Name Range]]="", "dash_"&amp;Table_AlwaysSend[[#This Row],[Feedstock]]&amp;"_"&amp;Table_AlwaysSend[[#This Row],[Value to Send]], Table_AlwaysSend[[#This Row],[Feedstock]]&amp;"_"&amp;Table_AlwaysSend[[#This Row],[Value to Send]]&amp;"_"&amp;Table_AlwaysSend[[#This Row],[GREET1 Name Range]])</f>
        <v>All_0_SAF_Sugarcane_ETJ_LandChange_Option</v>
      </c>
      <c r="F170" s="317" t="s">
        <v>435</v>
      </c>
      <c r="G170" s="317" t="s">
        <v>435</v>
      </c>
      <c r="H170" s="317" t="s">
        <v>435</v>
      </c>
      <c r="I170" s="317" t="s">
        <v>435</v>
      </c>
      <c r="J170" s="317" t="s">
        <v>435</v>
      </c>
      <c r="K170" s="314" t="b" cm="1">
        <f t="array" ref="K170">OR(NOT(ISERROR(MATCH(TRIM(_xlfn.TEXTSPLIT(Table_AlwaysSend[[#This Row],[Feedstock]],",")),SelectedFeedstock,0))),AND(SelectedFeedstock&lt;&gt;"(Multiple Items)",SelectedFeedstock&lt;&gt;"(All)",Table_AlwaysSend[[#This Row],[Feedstock]]="All"))</f>
        <v>1</v>
      </c>
      <c r="L170" s="314" t="b" cm="1">
        <f t="array" ref="L170">OR(NOT(ISERROR(MATCH(TRIM(_xlfn.TEXTSPLIT(Table_AlwaysSend[[#This Row],[Conversion]],",")),SelectedConversion,0))),AND(SelectedConversion&lt;&gt;"(Multiple Items)",SelectedConversion&lt;&gt;"(All)",Table_AlwaysSend[[#This Row],[Conversion]]="All"))</f>
        <v>1</v>
      </c>
      <c r="M170" s="314" t="b" cm="1">
        <f t="array" ref="M170">OR(NOT(ISERROR(MATCH(TRIM(_xlfn.TEXTSPLIT(Table_AlwaysSend[[#This Row],[Data Source]],",")),SelectedDataSource,0))),AND(SelectedDataSource&lt;&gt;"(Multiple Items)",SelectedDataSource&lt;&gt;"(All)",Table_AlwaysSend[[#This Row],[Data Source]]="All"))</f>
        <v>1</v>
      </c>
      <c r="N170" s="318" t="b" cm="1">
        <f t="array" ref="N170">OR(NOT(ISERROR(MATCH(TRIM(_xlfn.TEXTSPLIT(Table_AlwaysSend[[#This Row],[Technology]],",")),SelectedTechnology,0))),AND(SelectedTechnology&lt;&gt;"(Multiple Items)",SelectedTechnology&lt;&gt;"(All)",Table_AlwaysSend[[#This Row],[Technology]]="All"))</f>
        <v>1</v>
      </c>
      <c r="O170" s="314" t="b" cm="1">
        <f t="array" ref="O170">OR(NOT(ISERROR(MATCH(TRIM(_xlfn.TEXTSPLIT(Table_AlwaysSend[[#This Row],[Data Set]],",")),SelectedDataSet,0))),AND(SelectedDataSet&lt;&gt;"(Multiple Items)",SelectedDataSet&lt;&gt;"(All)",Table_AlwaysSend[[#This Row],[Data Set]]="All"))</f>
        <v>1</v>
      </c>
      <c r="P170" s="314" t="b">
        <f>TRUE</f>
        <v>1</v>
      </c>
      <c r="Q170" s="319" t="b">
        <f>AND(Table_AlwaysSend[[#This Row],[Show Feedstock]:[Show Data Source2]],Table_AlwaysSend[[#This Row],[Conditional]]=TRUE)</f>
        <v>1</v>
      </c>
      <c r="R170" s="313" t="s">
        <v>1893</v>
      </c>
      <c r="S170" s="315">
        <v>0</v>
      </c>
      <c r="T170" s="316" t="s">
        <v>873</v>
      </c>
    </row>
    <row r="171" spans="5:20" x14ac:dyDescent="0.3">
      <c r="E171" s="300" t="str">
        <f>IF(Table_AlwaysSend[[#This Row],[GREET1 Name Range]]="", "dash_"&amp;Table_AlwaysSend[[#This Row],[Feedstock]]&amp;"_"&amp;Table_AlwaysSend[[#This Row],[Value to Send]], Table_AlwaysSend[[#This Row],[Feedstock]]&amp;"_"&amp;Table_AlwaysSend[[#This Row],[Value to Send]]&amp;"_"&amp;Table_AlwaysSend[[#This Row],[GREET1 Name Range]])</f>
        <v>Forest residue_1_Cellulosic_ETJ_Electricity_Allocation</v>
      </c>
      <c r="F171" s="298" t="s">
        <v>316</v>
      </c>
      <c r="G171" s="294" t="s">
        <v>1964</v>
      </c>
      <c r="H171" s="282" t="s">
        <v>194</v>
      </c>
      <c r="I171" s="282" t="s">
        <v>1399</v>
      </c>
      <c r="J171" s="282" t="s">
        <v>1398</v>
      </c>
      <c r="K171" s="305" t="b" cm="1">
        <f t="array" ref="K171">OR(NOT(ISERROR(MATCH(TRIM(_xlfn.TEXTSPLIT(Table_AlwaysSend[[#This Row],[Feedstock]],",")),SelectedFeedstock,0))),AND(SelectedFeedstock&lt;&gt;"(Multiple Items)",SelectedFeedstock&lt;&gt;"(All)",Table_AlwaysSend[[#This Row],[Feedstock]]="All"))</f>
        <v>0</v>
      </c>
      <c r="L171" s="305" t="b" cm="1">
        <f t="array" ref="L171">OR(NOT(ISERROR(MATCH(TRIM(_xlfn.TEXTSPLIT(Table_AlwaysSend[[#This Row],[Conversion]],",")),SelectedConversion,0))),AND(SelectedConversion&lt;&gt;"(Multiple Items)",SelectedConversion&lt;&gt;"(All)",Table_AlwaysSend[[#This Row],[Conversion]]="All"))</f>
        <v>0</v>
      </c>
      <c r="M171" s="305" t="b" cm="1">
        <f t="array" ref="M171">OR(NOT(ISERROR(MATCH(TRIM(_xlfn.TEXTSPLIT(Table_AlwaysSend[[#This Row],[Data Source]],",")),SelectedDataSource,0))),AND(SelectedDataSource&lt;&gt;"(Multiple Items)",SelectedDataSource&lt;&gt;"(All)",Table_AlwaysSend[[#This Row],[Data Source]]="All"))</f>
        <v>0</v>
      </c>
      <c r="N171" s="305" t="b" cm="1">
        <f t="array" ref="N171">OR(NOT(ISERROR(MATCH(TRIM(_xlfn.TEXTSPLIT(Table_AlwaysSend[[#This Row],[Technology]],",")),SelectedTechnology,0))),AND(SelectedTechnology&lt;&gt;"(Multiple Items)",SelectedTechnology&lt;&gt;"(All)",Table_AlwaysSend[[#This Row],[Technology]]="All"))</f>
        <v>0</v>
      </c>
      <c r="O171" s="305" t="b" cm="1">
        <f t="array" ref="O171">OR(NOT(ISERROR(MATCH(TRIM(_xlfn.TEXTSPLIT(Table_AlwaysSend[[#This Row],[Data Set]],",")),SelectedDataSet,0))),AND(SelectedDataSet&lt;&gt;"(Multiple Items)",SelectedDataSet&lt;&gt;"(All)",Table_AlwaysSend[[#This Row],[Data Set]]="All"))</f>
        <v>0</v>
      </c>
      <c r="P171" s="305" t="b">
        <f>TRUE</f>
        <v>1</v>
      </c>
      <c r="Q171" s="307" t="b">
        <f>AND(Table_AlwaysSend[[#This Row],[Show Feedstock]:[Show Data Source2]],Table_AlwaysSend[[#This Row],[Conditional]]=TRUE)</f>
        <v>0</v>
      </c>
      <c r="R171" s="294" t="s">
        <v>1146</v>
      </c>
      <c r="S171" s="287">
        <v>1</v>
      </c>
      <c r="T171" s="23" t="s">
        <v>1140</v>
      </c>
    </row>
    <row r="172" spans="5:20" x14ac:dyDescent="0.3">
      <c r="E172" s="300" t="str">
        <f ca="1">IF(Table_AlwaysSend[[#This Row],[GREET1 Name Range]]="", "dash_"&amp;Table_AlwaysSend[[#This Row],[Feedstock]]&amp;"_"&amp;Table_AlwaysSend[[#This Row],[Value to Send]], Table_AlwaysSend[[#This Row],[Feedstock]]&amp;"_"&amp;Table_AlwaysSend[[#This Row],[Value to Send]]&amp;"_"&amp;Table_AlwaysSend[[#This Row],[GREET1 Name Range]])</f>
        <v>Corn, Sugarcane, Soybean, Canola/Rapeseed_1_AgTractor_ConvDieselShare_Canola</v>
      </c>
      <c r="F172" s="297" t="s">
        <v>1567</v>
      </c>
      <c r="G172" s="276" t="s">
        <v>435</v>
      </c>
      <c r="H172" s="299" t="s">
        <v>435</v>
      </c>
      <c r="I172" s="299" t="s">
        <v>435</v>
      </c>
      <c r="J172" s="299" t="s">
        <v>435</v>
      </c>
      <c r="K172" s="303" t="b" cm="1">
        <f t="array" ref="K172">OR(NOT(ISERROR(MATCH(TRIM(_xlfn.TEXTSPLIT(Table_AlwaysSend[[#This Row],[Feedstock]],",")),SelectedFeedstock,0))),AND(SelectedFeedstock&lt;&gt;"(Multiple Items)",SelectedFeedstock&lt;&gt;"(All)",Table_AlwaysSend[[#This Row],[Feedstock]]="All"))</f>
        <v>1</v>
      </c>
      <c r="L172" s="303" t="b" cm="1">
        <f t="array" ref="L172">OR(NOT(ISERROR(MATCH(TRIM(_xlfn.TEXTSPLIT(Table_AlwaysSend[[#This Row],[Conversion]],",")),SelectedConversion,0))),AND(SelectedConversion&lt;&gt;"(Multiple Items)",SelectedConversion&lt;&gt;"(All)",Table_AlwaysSend[[#This Row],[Conversion]]="All"))</f>
        <v>1</v>
      </c>
      <c r="M172" s="303" t="b" cm="1">
        <f t="array" ref="M172">OR(NOT(ISERROR(MATCH(TRIM(_xlfn.TEXTSPLIT(Table_AlwaysSend[[#This Row],[Data Source]],",")),SelectedDataSource,0))),AND(SelectedDataSource&lt;&gt;"(Multiple Items)",SelectedDataSource&lt;&gt;"(All)",Table_AlwaysSend[[#This Row],[Data Source]]="All"))</f>
        <v>1</v>
      </c>
      <c r="N172" s="305" t="b" cm="1">
        <f t="array" ref="N172">OR(NOT(ISERROR(MATCH(TRIM(_xlfn.TEXTSPLIT(Table_AlwaysSend[[#This Row],[Technology]],",")),SelectedTechnology,0))),AND(SelectedTechnology&lt;&gt;"(Multiple Items)",SelectedTechnology&lt;&gt;"(All)",Table_AlwaysSend[[#This Row],[Technology]]="All"))</f>
        <v>1</v>
      </c>
      <c r="O172" s="303" t="b" cm="1">
        <f t="array" ref="O172">OR(NOT(ISERROR(MATCH(TRIM(_xlfn.TEXTSPLIT(Table_AlwaysSend[[#This Row],[Data Set]],",")),SelectedDataSet,0))),AND(SelectedDataSet&lt;&gt;"(Multiple Items)",SelectedDataSet&lt;&gt;"(All)",Table_AlwaysSend[[#This Row],[Data Set]]="All"))</f>
        <v>1</v>
      </c>
      <c r="P172" s="305" t="b">
        <f>TRUE</f>
        <v>1</v>
      </c>
      <c r="Q172" s="306" t="b">
        <f>AND(Table_AlwaysSend[[#This Row],[Show Feedstock]:[Show Data Source2]],Table_AlwaysSend[[#This Row],[Conditional]]=TRUE)</f>
        <v>1</v>
      </c>
      <c r="R172" s="295" t="str" cm="1">
        <f t="array" ref="R172">"AgTractor_ConvDieselShare_"&amp;_xlfn.IFS(SelectedFeedstock="Corn","Corn",SelectedFeedstock="Canola/Rapeseed","Canola",SelectedFeedstock="Sugarcane","Sugarcane",SelectedFeedstock="Soybean","Soybean")</f>
        <v>AgTractor_ConvDieselShare_Canola</v>
      </c>
      <c r="S172" s="286">
        <f ca="1">Selections!R66</f>
        <v>1</v>
      </c>
      <c r="T172" s="296" t="s">
        <v>1482</v>
      </c>
    </row>
    <row r="173" spans="5:20" x14ac:dyDescent="0.3">
      <c r="E173" s="300" t="str">
        <f ca="1">IF(Table_AlwaysSend[[#This Row],[GREET1 Name Range]]="", "dash_"&amp;Table_AlwaysSend[[#This Row],[Feedstock]]&amp;"_"&amp;Table_AlwaysSend[[#This Row],[Value to Send]], Table_AlwaysSend[[#This Row],[Feedstock]]&amp;"_"&amp;Table_AlwaysSend[[#This Row],[Value to Send]]&amp;"_"&amp;Table_AlwaysSend[[#This Row],[GREET1 Name Range]])</f>
        <v>Corn, Sugarcane, Soybean, Canola/Rapeseed_0_AgTractor_BDShare_Canola</v>
      </c>
      <c r="F173" s="297" t="s">
        <v>1567</v>
      </c>
      <c r="G173" s="276" t="s">
        <v>435</v>
      </c>
      <c r="H173" s="299" t="s">
        <v>435</v>
      </c>
      <c r="I173" s="299" t="s">
        <v>435</v>
      </c>
      <c r="J173" s="299" t="s">
        <v>435</v>
      </c>
      <c r="K173" s="303" t="b" cm="1">
        <f t="array" ref="K173">OR(NOT(ISERROR(MATCH(TRIM(_xlfn.TEXTSPLIT(Table_AlwaysSend[[#This Row],[Feedstock]],",")),SelectedFeedstock,0))),AND(SelectedFeedstock&lt;&gt;"(Multiple Items)",SelectedFeedstock&lt;&gt;"(All)",Table_AlwaysSend[[#This Row],[Feedstock]]="All"))</f>
        <v>1</v>
      </c>
      <c r="L173" s="303" t="b" cm="1">
        <f t="array" ref="L173">OR(NOT(ISERROR(MATCH(TRIM(_xlfn.TEXTSPLIT(Table_AlwaysSend[[#This Row],[Conversion]],",")),SelectedConversion,0))),AND(SelectedConversion&lt;&gt;"(Multiple Items)",SelectedConversion&lt;&gt;"(All)",Table_AlwaysSend[[#This Row],[Conversion]]="All"))</f>
        <v>1</v>
      </c>
      <c r="M173" s="303" t="b" cm="1">
        <f t="array" ref="M173">OR(NOT(ISERROR(MATCH(TRIM(_xlfn.TEXTSPLIT(Table_AlwaysSend[[#This Row],[Data Source]],",")),SelectedDataSource,0))),AND(SelectedDataSource&lt;&gt;"(Multiple Items)",SelectedDataSource&lt;&gt;"(All)",Table_AlwaysSend[[#This Row],[Data Source]]="All"))</f>
        <v>1</v>
      </c>
      <c r="N173" s="308" t="b" cm="1">
        <f t="array" ref="N173">OR(NOT(ISERROR(MATCH(TRIM(_xlfn.TEXTSPLIT(Table_AlwaysSend[[#This Row],[Technology]],",")),SelectedTechnology,0))),AND(SelectedTechnology&lt;&gt;"(Multiple Items)",SelectedTechnology&lt;&gt;"(All)",Table_AlwaysSend[[#This Row],[Technology]]="All"))</f>
        <v>1</v>
      </c>
      <c r="O173" s="303" t="b" cm="1">
        <f t="array" ref="O173">OR(NOT(ISERROR(MATCH(TRIM(_xlfn.TEXTSPLIT(Table_AlwaysSend[[#This Row],[Data Set]],",")),SelectedDataSet,0))),AND(SelectedDataSet&lt;&gt;"(Multiple Items)",SelectedDataSet&lt;&gt;"(All)",Table_AlwaysSend[[#This Row],[Data Set]]="All"))</f>
        <v>1</v>
      </c>
      <c r="P173" s="305" t="b">
        <f>TRUE</f>
        <v>1</v>
      </c>
      <c r="Q173" s="306" t="b">
        <f>AND(Table_AlwaysSend[[#This Row],[Show Feedstock]:[Show Data Source2]],Table_AlwaysSend[[#This Row],[Conditional]]=TRUE)</f>
        <v>1</v>
      </c>
      <c r="R173" s="295" t="str" cm="1">
        <f t="array" ref="R173">"AgTractor_BDShare_"&amp;_xlfn.IFS(SelectedFeedstock="Corn","Corn",SelectedFeedstock="Canola/Rapeseed","Canola",SelectedFeedstock="Sugarcane","Sugarcane",SelectedFeedstock="Soybean","Soybean")</f>
        <v>AgTractor_BDShare_Canola</v>
      </c>
      <c r="S173" s="286">
        <f ca="1">IF(Selections!R65=1,Selections!R67,0)</f>
        <v>0</v>
      </c>
      <c r="T173" s="296" t="s">
        <v>1482</v>
      </c>
    </row>
    <row r="174" spans="5:20" x14ac:dyDescent="0.3">
      <c r="E174" s="300" t="str">
        <f ca="1">IF(Table_AlwaysSend[[#This Row],[GREET1 Name Range]]="", "dash_"&amp;Table_AlwaysSend[[#This Row],[Feedstock]]&amp;"_"&amp;Table_AlwaysSend[[#This Row],[Value to Send]], Table_AlwaysSend[[#This Row],[Feedstock]]&amp;"_"&amp;Table_AlwaysSend[[#This Row],[Value to Send]]&amp;"_"&amp;Table_AlwaysSend[[#This Row],[GREET1 Name Range]])</f>
        <v>Corn, Sugarcane, Soybean, Canola/Rapeseed_0_AgTractor_RDShare_Canola</v>
      </c>
      <c r="F174" s="297" t="s">
        <v>1567</v>
      </c>
      <c r="G174" s="294" t="s">
        <v>435</v>
      </c>
      <c r="H174" s="282" t="s">
        <v>435</v>
      </c>
      <c r="I174" s="282" t="s">
        <v>435</v>
      </c>
      <c r="J174" s="282" t="s">
        <v>435</v>
      </c>
      <c r="K174" s="305" t="b" cm="1">
        <f t="array" ref="K174">OR(NOT(ISERROR(MATCH(TRIM(_xlfn.TEXTSPLIT(Table_AlwaysSend[[#This Row],[Feedstock]],",")),SelectedFeedstock,0))),AND(SelectedFeedstock&lt;&gt;"(Multiple Items)",SelectedFeedstock&lt;&gt;"(All)",Table_AlwaysSend[[#This Row],[Feedstock]]="All"))</f>
        <v>1</v>
      </c>
      <c r="L174" s="305" t="b" cm="1">
        <f t="array" ref="L174">OR(NOT(ISERROR(MATCH(TRIM(_xlfn.TEXTSPLIT(Table_AlwaysSend[[#This Row],[Conversion]],",")),SelectedConversion,0))),AND(SelectedConversion&lt;&gt;"(Multiple Items)",SelectedConversion&lt;&gt;"(All)",Table_AlwaysSend[[#This Row],[Conversion]]="All"))</f>
        <v>1</v>
      </c>
      <c r="M174" s="305" t="b" cm="1">
        <f t="array" ref="M174">OR(NOT(ISERROR(MATCH(TRIM(_xlfn.TEXTSPLIT(Table_AlwaysSend[[#This Row],[Data Source]],",")),SelectedDataSource,0))),AND(SelectedDataSource&lt;&gt;"(Multiple Items)",SelectedDataSource&lt;&gt;"(All)",Table_AlwaysSend[[#This Row],[Data Source]]="All"))</f>
        <v>1</v>
      </c>
      <c r="N174" s="308" t="b" cm="1">
        <f t="array" ref="N174">OR(NOT(ISERROR(MATCH(TRIM(_xlfn.TEXTSPLIT(Table_AlwaysSend[[#This Row],[Technology]],",")),SelectedTechnology,0))),AND(SelectedTechnology&lt;&gt;"(Multiple Items)",SelectedTechnology&lt;&gt;"(All)",Table_AlwaysSend[[#This Row],[Technology]]="All"))</f>
        <v>1</v>
      </c>
      <c r="O174" s="305" t="b" cm="1">
        <f t="array" ref="O174">OR(NOT(ISERROR(MATCH(TRIM(_xlfn.TEXTSPLIT(Table_AlwaysSend[[#This Row],[Data Set]],",")),SelectedDataSet,0))),AND(SelectedDataSet&lt;&gt;"(Multiple Items)",SelectedDataSet&lt;&gt;"(All)",Table_AlwaysSend[[#This Row],[Data Set]]="All"))</f>
        <v>1</v>
      </c>
      <c r="P174" s="305" t="b">
        <f>TRUE</f>
        <v>1</v>
      </c>
      <c r="Q174" s="307" t="b">
        <f>AND(Table_AlwaysSend[[#This Row],[Show Feedstock]:[Show Data Source2]],Table_AlwaysSend[[#This Row],[Conditional]]=TRUE)</f>
        <v>1</v>
      </c>
      <c r="R174" s="296" t="str" cm="1">
        <f t="array" ref="R174">"AgTractor_RDShare_"&amp;_xlfn.IFS(SelectedFeedstock="Corn","Corn",SelectedFeedstock="Canola/Rapeseed","Canola",SelectedFeedstock="Sugarcane","Sugarcane",SelectedFeedstock="Soybean","Soybean")</f>
        <v>AgTractor_RDShare_Canola</v>
      </c>
      <c r="S174" s="287">
        <f ca="1">IF(Selections!R65=2,Selections!R68,0)</f>
        <v>0</v>
      </c>
      <c r="T174" s="296" t="s">
        <v>1482</v>
      </c>
    </row>
    <row r="175" spans="5:20" x14ac:dyDescent="0.3">
      <c r="E175" s="300" t="str">
        <f ca="1">IF(Table_AlwaysSend[[#This Row],[GREET1 Name Range]]="", "dash_"&amp;Table_AlwaysSend[[#This Row],[Feedstock]]&amp;"_"&amp;Table_AlwaysSend[[#This Row],[Value to Send]], Table_AlwaysSend[[#This Row],[Feedstock]]&amp;"_"&amp;Table_AlwaysSend[[#This Row],[Value to Send]]&amp;"_"&amp;Table_AlwaysSend[[#This Row],[GREET1 Name Range]])</f>
        <v>Corn, Sugarcane, Soybean, Canola/Rapeseed_1_Motor_Type_Canola</v>
      </c>
      <c r="F175" s="297" t="s">
        <v>1567</v>
      </c>
      <c r="G175" s="276" t="s">
        <v>435</v>
      </c>
      <c r="H175" s="299" t="s">
        <v>435</v>
      </c>
      <c r="I175" s="299" t="s">
        <v>435</v>
      </c>
      <c r="J175" s="299" t="s">
        <v>435</v>
      </c>
      <c r="K175" s="303" t="b" cm="1">
        <f t="array" ref="K175">OR(NOT(ISERROR(MATCH(TRIM(_xlfn.TEXTSPLIT(Table_AlwaysSend[[#This Row],[Feedstock]],",")),SelectedFeedstock,0))),AND(SelectedFeedstock&lt;&gt;"(Multiple Items)",SelectedFeedstock&lt;&gt;"(All)",Table_AlwaysSend[[#This Row],[Feedstock]]="All"))</f>
        <v>1</v>
      </c>
      <c r="L175" s="303" t="b" cm="1">
        <f t="array" ref="L175">OR(NOT(ISERROR(MATCH(TRIM(_xlfn.TEXTSPLIT(Table_AlwaysSend[[#This Row],[Conversion]],",")),SelectedConversion,0))),AND(SelectedConversion&lt;&gt;"(Multiple Items)",SelectedConversion&lt;&gt;"(All)",Table_AlwaysSend[[#This Row],[Conversion]]="All"))</f>
        <v>1</v>
      </c>
      <c r="M175" s="303" t="b" cm="1">
        <f t="array" ref="M175">OR(NOT(ISERROR(MATCH(TRIM(_xlfn.TEXTSPLIT(Table_AlwaysSend[[#This Row],[Data Source]],",")),SelectedDataSource,0))),AND(SelectedDataSource&lt;&gt;"(Multiple Items)",SelectedDataSource&lt;&gt;"(All)",Table_AlwaysSend[[#This Row],[Data Source]]="All"))</f>
        <v>1</v>
      </c>
      <c r="N175" s="305" t="b" cm="1">
        <f t="array" ref="N175">OR(NOT(ISERROR(MATCH(TRIM(_xlfn.TEXTSPLIT(Table_AlwaysSend[[#This Row],[Technology]],",")),SelectedTechnology,0))),AND(SelectedTechnology&lt;&gt;"(Multiple Items)",SelectedTechnology&lt;&gt;"(All)",Table_AlwaysSend[[#This Row],[Technology]]="All"))</f>
        <v>1</v>
      </c>
      <c r="O175" s="303" t="b" cm="1">
        <f t="array" ref="O175">OR(NOT(ISERROR(MATCH(TRIM(_xlfn.TEXTSPLIT(Table_AlwaysSend[[#This Row],[Data Set]],",")),SelectedDataSet,0))),AND(SelectedDataSet&lt;&gt;"(Multiple Items)",SelectedDataSet&lt;&gt;"(All)",Table_AlwaysSend[[#This Row],[Data Set]]="All"))</f>
        <v>1</v>
      </c>
      <c r="P175" s="305" t="b">
        <f>TRUE</f>
        <v>1</v>
      </c>
      <c r="Q175" s="306" t="b">
        <f>AND(Table_AlwaysSend[[#This Row],[Show Feedstock]:[Show Data Source2]],Table_AlwaysSend[[#This Row],[Conditional]]=TRUE)</f>
        <v>1</v>
      </c>
      <c r="R175" s="295" t="str" cm="1">
        <f t="array" ref="R175">"Motor_Type_"&amp;_xlfn.IFS(SelectedFeedstock="Corn","Corn",SelectedFeedstock="Canola/Rapeseed","Canola",SelectedFeedstock="Sugarcane","Sugarcane",SelectedFeedstock="Soybean","Soybean")</f>
        <v>Motor_Type_Canola</v>
      </c>
      <c r="S175" s="286">
        <f ca="1">Selections!R64</f>
        <v>1</v>
      </c>
      <c r="T175" s="23" t="s">
        <v>1576</v>
      </c>
    </row>
    <row r="176" spans="5:20" x14ac:dyDescent="0.3">
      <c r="E176" s="301" t="str">
        <f ca="1">IF(Table_AlwaysSend[[#This Row],[GREET1 Name Range]]="", "dash_"&amp;Table_AlwaysSend[[#This Row],[Feedstock]]&amp;"_"&amp;Table_AlwaysSend[[#This Row],[Value to Send]], Table_AlwaysSend[[#This Row],[Feedstock]]&amp;"_"&amp;Table_AlwaysSend[[#This Row],[Value to Send]]&amp;"_"&amp;Table_AlwaysSend[[#This Row],[GREET1 Name Range]])</f>
        <v>Corn, Sugarcane, Soybean, Canola/Rapeseed_1_Blend_Type_Canola</v>
      </c>
      <c r="F176" s="298" t="s">
        <v>1567</v>
      </c>
      <c r="G176" s="294" t="s">
        <v>435</v>
      </c>
      <c r="H176" s="282" t="s">
        <v>435</v>
      </c>
      <c r="I176" s="282" t="s">
        <v>435</v>
      </c>
      <c r="J176" s="282" t="s">
        <v>435</v>
      </c>
      <c r="K176" s="305" t="b" cm="1">
        <f t="array" ref="K176">OR(NOT(ISERROR(MATCH(TRIM(_xlfn.TEXTSPLIT(Table_AlwaysSend[[#This Row],[Feedstock]],",")),SelectedFeedstock,0))),AND(SelectedFeedstock&lt;&gt;"(Multiple Items)",SelectedFeedstock&lt;&gt;"(All)",Table_AlwaysSend[[#This Row],[Feedstock]]="All"))</f>
        <v>1</v>
      </c>
      <c r="L176" s="305" t="b" cm="1">
        <f t="array" ref="L176">OR(NOT(ISERROR(MATCH(TRIM(_xlfn.TEXTSPLIT(Table_AlwaysSend[[#This Row],[Conversion]],",")),SelectedConversion,0))),AND(SelectedConversion&lt;&gt;"(Multiple Items)",SelectedConversion&lt;&gt;"(All)",Table_AlwaysSend[[#This Row],[Conversion]]="All"))</f>
        <v>1</v>
      </c>
      <c r="M176" s="305" t="b" cm="1">
        <f t="array" ref="M176">OR(NOT(ISERROR(MATCH(TRIM(_xlfn.TEXTSPLIT(Table_AlwaysSend[[#This Row],[Data Source]],",")),SelectedDataSource,0))),AND(SelectedDataSource&lt;&gt;"(Multiple Items)",SelectedDataSource&lt;&gt;"(All)",Table_AlwaysSend[[#This Row],[Data Source]]="All"))</f>
        <v>1</v>
      </c>
      <c r="N176" s="305" t="b" cm="1">
        <f t="array" ref="N176">OR(NOT(ISERROR(MATCH(TRIM(_xlfn.TEXTSPLIT(Table_AlwaysSend[[#This Row],[Technology]],",")),SelectedTechnology,0))),AND(SelectedTechnology&lt;&gt;"(Multiple Items)",SelectedTechnology&lt;&gt;"(All)",Table_AlwaysSend[[#This Row],[Technology]]="All"))</f>
        <v>1</v>
      </c>
      <c r="O176" s="305" t="b" cm="1">
        <f t="array" ref="O176">OR(NOT(ISERROR(MATCH(TRIM(_xlfn.TEXTSPLIT(Table_AlwaysSend[[#This Row],[Data Set]],",")),SelectedDataSet,0))),AND(SelectedDataSet&lt;&gt;"(Multiple Items)",SelectedDataSet&lt;&gt;"(All)",Table_AlwaysSend[[#This Row],[Data Set]]="All"))</f>
        <v>1</v>
      </c>
      <c r="P176" s="305" t="b">
        <f>TRUE</f>
        <v>1</v>
      </c>
      <c r="Q176" s="307" t="b">
        <f>AND(Table_AlwaysSend[[#This Row],[Show Feedstock]:[Show Data Source2]],Table_AlwaysSend[[#This Row],[Conditional]]=TRUE)</f>
        <v>1</v>
      </c>
      <c r="R176" s="296" t="str" cm="1">
        <f t="array" ref="R176">"Blend_Type_"&amp;_xlfn.IFS(SelectedFeedstock="Corn","Corn",SelectedFeedstock="Canola/Rapeseed","Canola",SelectedFeedstock="Sugarcane","Sugarcane",SelectedFeedstock="Soybean","Soybean")</f>
        <v>Blend_Type_Canola</v>
      </c>
      <c r="S176" s="287">
        <f ca="1">Selections!R65</f>
        <v>1</v>
      </c>
      <c r="T176" s="23" t="s">
        <v>1577</v>
      </c>
    </row>
    <row r="177" spans="5:20" x14ac:dyDescent="0.3">
      <c r="E177" s="301" t="str">
        <f ca="1">IF(Table_AlwaysSend[[#This Row],[GREET1 Name Range]]="", "dash_"&amp;Table_AlwaysSend[[#This Row],[Feedstock]]&amp;"_"&amp;Table_AlwaysSend[[#This Row],[Value to Send]], Table_AlwaysSend[[#This Row],[Feedstock]]&amp;"_"&amp;Table_AlwaysSend[[#This Row],[Value to Send]]&amp;"_"&amp;Table_AlwaysSend[[#This Row],[GREET1 Name Range]])</f>
        <v>Corn, Sugarcane, Soybean, Canola/Rapeseed_0_Green_Ammonia_Share</v>
      </c>
      <c r="F177" s="298" t="s">
        <v>1567</v>
      </c>
      <c r="G177" s="294" t="s">
        <v>435</v>
      </c>
      <c r="H177" s="282" t="s">
        <v>435</v>
      </c>
      <c r="I177" s="282" t="s">
        <v>435</v>
      </c>
      <c r="J177" s="282" t="s">
        <v>435</v>
      </c>
      <c r="K177" s="305" t="b" cm="1">
        <f t="array" ref="K177">OR(NOT(ISERROR(MATCH(TRIM(_xlfn.TEXTSPLIT(Table_AlwaysSend[[#This Row],[Feedstock]],",")),SelectedFeedstock,0))),AND(SelectedFeedstock&lt;&gt;"(Multiple Items)",SelectedFeedstock&lt;&gt;"(All)",Table_AlwaysSend[[#This Row],[Feedstock]]="All"))</f>
        <v>1</v>
      </c>
      <c r="L177" s="305" t="b" cm="1">
        <f t="array" ref="L177">OR(NOT(ISERROR(MATCH(TRIM(_xlfn.TEXTSPLIT(Table_AlwaysSend[[#This Row],[Conversion]],",")),SelectedConversion,0))),AND(SelectedConversion&lt;&gt;"(Multiple Items)",SelectedConversion&lt;&gt;"(All)",Table_AlwaysSend[[#This Row],[Conversion]]="All"))</f>
        <v>1</v>
      </c>
      <c r="M177" s="305" t="b" cm="1">
        <f t="array" ref="M177">OR(NOT(ISERROR(MATCH(TRIM(_xlfn.TEXTSPLIT(Table_AlwaysSend[[#This Row],[Data Source]],",")),SelectedDataSource,0))),AND(SelectedDataSource&lt;&gt;"(Multiple Items)",SelectedDataSource&lt;&gt;"(All)",Table_AlwaysSend[[#This Row],[Data Source]]="All"))</f>
        <v>1</v>
      </c>
      <c r="N177" s="305" t="b" cm="1">
        <f t="array" ref="N177">OR(NOT(ISERROR(MATCH(TRIM(_xlfn.TEXTSPLIT(Table_AlwaysSend[[#This Row],[Technology]],",")),SelectedTechnology,0))),AND(SelectedTechnology&lt;&gt;"(Multiple Items)",SelectedTechnology&lt;&gt;"(All)",Table_AlwaysSend[[#This Row],[Technology]]="All"))</f>
        <v>1</v>
      </c>
      <c r="O177" s="305" t="b" cm="1">
        <f t="array" ref="O177">OR(NOT(ISERROR(MATCH(TRIM(_xlfn.TEXTSPLIT(Table_AlwaysSend[[#This Row],[Data Set]],",")),SelectedDataSet,0))),AND(SelectedDataSet&lt;&gt;"(Multiple Items)",SelectedDataSet&lt;&gt;"(All)",Table_AlwaysSend[[#This Row],[Data Set]]="All"))</f>
        <v>1</v>
      </c>
      <c r="P177" s="305" t="b">
        <f>TRUE</f>
        <v>1</v>
      </c>
      <c r="Q177" s="307" t="b">
        <f>AND(Table_AlwaysSend[[#This Row],[Show Feedstock]:[Show Data Source2]],Table_AlwaysSend[[#This Row],[Conditional]]=TRUE)</f>
        <v>1</v>
      </c>
      <c r="R177" s="296" t="s">
        <v>1582</v>
      </c>
      <c r="S177" s="287">
        <f ca="1">IF(Selections!R63=1,0,1)</f>
        <v>0</v>
      </c>
      <c r="T177" s="296" t="s">
        <v>1583</v>
      </c>
    </row>
    <row r="178" spans="5:20" x14ac:dyDescent="0.3">
      <c r="E178" s="301" t="str">
        <f>IF(Table_AlwaysSend[[#This Row],[GREET1 Name Range]]="", "dash_"&amp;Table_AlwaysSend[[#This Row],[Feedstock]]&amp;"_"&amp;Table_AlwaysSend[[#This Row],[Value to Send]], Table_AlwaysSend[[#This Row],[Feedstock]]&amp;"_"&amp;Table_AlwaysSend[[#This Row],[Value to Send]]&amp;"_"&amp;Table_AlwaysSend[[#This Row],[GREET1 Name Range]])</f>
        <v>Corn_0_Diesel_CornFarming</v>
      </c>
      <c r="F178" s="298" t="s">
        <v>136</v>
      </c>
      <c r="G178" s="294" t="s">
        <v>435</v>
      </c>
      <c r="H178" s="282" t="s">
        <v>435</v>
      </c>
      <c r="I178" s="282" t="s">
        <v>435</v>
      </c>
      <c r="J178" s="282" t="s">
        <v>435</v>
      </c>
      <c r="K178" s="305" t="b" cm="1">
        <f t="array" ref="K178">OR(NOT(ISERROR(MATCH(TRIM(_xlfn.TEXTSPLIT(Table_AlwaysSend[[#This Row],[Feedstock]],",")),SelectedFeedstock,0))),AND(SelectedFeedstock&lt;&gt;"(Multiple Items)",SelectedFeedstock&lt;&gt;"(All)",Table_AlwaysSend[[#This Row],[Feedstock]]="All"))</f>
        <v>0</v>
      </c>
      <c r="L178" s="305" t="b" cm="1">
        <f t="array" ref="L178">OR(NOT(ISERROR(MATCH(TRIM(_xlfn.TEXTSPLIT(Table_AlwaysSend[[#This Row],[Conversion]],",")),SelectedConversion,0))),AND(SelectedConversion&lt;&gt;"(Multiple Items)",SelectedConversion&lt;&gt;"(All)",Table_AlwaysSend[[#This Row],[Conversion]]="All"))</f>
        <v>1</v>
      </c>
      <c r="M178" s="305" t="b" cm="1">
        <f t="array" ref="M178">OR(NOT(ISERROR(MATCH(TRIM(_xlfn.TEXTSPLIT(Table_AlwaysSend[[#This Row],[Data Source]],",")),SelectedDataSource,0))),AND(SelectedDataSource&lt;&gt;"(Multiple Items)",SelectedDataSource&lt;&gt;"(All)",Table_AlwaysSend[[#This Row],[Data Source]]="All"))</f>
        <v>1</v>
      </c>
      <c r="N178" s="305" t="b" cm="1">
        <f t="array" ref="N178">OR(NOT(ISERROR(MATCH(TRIM(_xlfn.TEXTSPLIT(Table_AlwaysSend[[#This Row],[Technology]],",")),SelectedTechnology,0))),AND(SelectedTechnology&lt;&gt;"(Multiple Items)",SelectedTechnology&lt;&gt;"(All)",Table_AlwaysSend[[#This Row],[Technology]]="All"))</f>
        <v>1</v>
      </c>
      <c r="O178" s="305" t="b" cm="1">
        <f t="array" ref="O178">OR(NOT(ISERROR(MATCH(TRIM(_xlfn.TEXTSPLIT(Table_AlwaysSend[[#This Row],[Data Set]],",")),SelectedDataSet,0))),AND(SelectedDataSet&lt;&gt;"(Multiple Items)",SelectedDataSet&lt;&gt;"(All)",Table_AlwaysSend[[#This Row],[Data Set]]="All"))</f>
        <v>1</v>
      </c>
      <c r="P178" s="305" t="b">
        <f ca="1">VALUE(Selections!$R$45)=2</f>
        <v>0</v>
      </c>
      <c r="Q178" s="307" t="b">
        <f ca="1">AND(Table_AlwaysSend[[#This Row],[Show Feedstock]:[Show Data Source2]],Table_AlwaysSend[[#This Row],[Conditional]]=TRUE)</f>
        <v>0</v>
      </c>
      <c r="R178" s="294" t="s">
        <v>75</v>
      </c>
      <c r="S178" s="287">
        <v>0</v>
      </c>
      <c r="T178" s="23" t="s">
        <v>1589</v>
      </c>
    </row>
    <row r="179" spans="5:20" x14ac:dyDescent="0.3">
      <c r="E179" s="301" t="str">
        <f>IF(Table_AlwaysSend[[#This Row],[GREET1 Name Range]]="", "dash_"&amp;Table_AlwaysSend[[#This Row],[Feedstock]]&amp;"_"&amp;Table_AlwaysSend[[#This Row],[Value to Send]], Table_AlwaysSend[[#This Row],[Feedstock]]&amp;"_"&amp;Table_AlwaysSend[[#This Row],[Value to Send]]&amp;"_"&amp;Table_AlwaysSend[[#This Row],[GREET1 Name Range]])</f>
        <v>Soybean_0_Soybean_Farming_Diesel</v>
      </c>
      <c r="F179" s="298" t="s">
        <v>10</v>
      </c>
      <c r="G179" s="294" t="s">
        <v>435</v>
      </c>
      <c r="H179" s="282" t="s">
        <v>435</v>
      </c>
      <c r="I179" s="282" t="s">
        <v>435</v>
      </c>
      <c r="J179" s="282" t="s">
        <v>435</v>
      </c>
      <c r="K179" s="305" t="b" cm="1">
        <f t="array" ref="K179">OR(NOT(ISERROR(MATCH(TRIM(_xlfn.TEXTSPLIT(Table_AlwaysSend[[#This Row],[Feedstock]],",")),SelectedFeedstock,0))),AND(SelectedFeedstock&lt;&gt;"(Multiple Items)",SelectedFeedstock&lt;&gt;"(All)",Table_AlwaysSend[[#This Row],[Feedstock]]="All"))</f>
        <v>0</v>
      </c>
      <c r="L179" s="305" t="b" cm="1">
        <f t="array" ref="L179">OR(NOT(ISERROR(MATCH(TRIM(_xlfn.TEXTSPLIT(Table_AlwaysSend[[#This Row],[Conversion]],",")),SelectedConversion,0))),AND(SelectedConversion&lt;&gt;"(Multiple Items)",SelectedConversion&lt;&gt;"(All)",Table_AlwaysSend[[#This Row],[Conversion]]="All"))</f>
        <v>1</v>
      </c>
      <c r="M179" s="305" t="b" cm="1">
        <f t="array" ref="M179">OR(NOT(ISERROR(MATCH(TRIM(_xlfn.TEXTSPLIT(Table_AlwaysSend[[#This Row],[Data Source]],",")),SelectedDataSource,0))),AND(SelectedDataSource&lt;&gt;"(Multiple Items)",SelectedDataSource&lt;&gt;"(All)",Table_AlwaysSend[[#This Row],[Data Source]]="All"))</f>
        <v>1</v>
      </c>
      <c r="N179" s="305" t="b" cm="1">
        <f t="array" ref="N179">OR(NOT(ISERROR(MATCH(TRIM(_xlfn.TEXTSPLIT(Table_AlwaysSend[[#This Row],[Technology]],",")),SelectedTechnology,0))),AND(SelectedTechnology&lt;&gt;"(Multiple Items)",SelectedTechnology&lt;&gt;"(All)",Table_AlwaysSend[[#This Row],[Technology]]="All"))</f>
        <v>1</v>
      </c>
      <c r="O179" s="305" t="b" cm="1">
        <f t="array" ref="O179">OR(NOT(ISERROR(MATCH(TRIM(_xlfn.TEXTSPLIT(Table_AlwaysSend[[#This Row],[Data Set]],",")),SelectedDataSet,0))),AND(SelectedDataSet&lt;&gt;"(Multiple Items)",SelectedDataSet&lt;&gt;"(All)",Table_AlwaysSend[[#This Row],[Data Set]]="All"))</f>
        <v>1</v>
      </c>
      <c r="P179" s="305" t="b">
        <f ca="1">VALUE(Selections!$R$45)=2</f>
        <v>0</v>
      </c>
      <c r="Q179" s="307" t="b">
        <f ca="1">AND(Table_AlwaysSend[[#This Row],[Show Feedstock]:[Show Data Source2]],Table_AlwaysSend[[#This Row],[Conditional]]=TRUE)</f>
        <v>0</v>
      </c>
      <c r="R179" s="294" t="s">
        <v>792</v>
      </c>
      <c r="S179" s="287">
        <v>0</v>
      </c>
      <c r="T179" s="23" t="s">
        <v>1589</v>
      </c>
    </row>
    <row r="180" spans="5:20" x14ac:dyDescent="0.3">
      <c r="E180" s="301" t="str">
        <f>IF(Table_AlwaysSend[[#This Row],[GREET1 Name Range]]="", "dash_"&amp;Table_AlwaysSend[[#This Row],[Feedstock]]&amp;"_"&amp;Table_AlwaysSend[[#This Row],[Value to Send]], Table_AlwaysSend[[#This Row],[Feedstock]]&amp;"_"&amp;Table_AlwaysSend[[#This Row],[Value to Send]]&amp;"_"&amp;Table_AlwaysSend[[#This Row],[GREET1 Name Range]])</f>
        <v>Canola/Rapeseed_0_Canola_Farming_Diesel</v>
      </c>
      <c r="F180" s="298" t="s">
        <v>1347</v>
      </c>
      <c r="G180" s="294" t="s">
        <v>435</v>
      </c>
      <c r="H180" s="282" t="s">
        <v>435</v>
      </c>
      <c r="I180" s="282" t="s">
        <v>435</v>
      </c>
      <c r="J180" s="282" t="s">
        <v>435</v>
      </c>
      <c r="K180" s="305" t="b" cm="1">
        <f t="array" ref="K180">OR(NOT(ISERROR(MATCH(TRIM(_xlfn.TEXTSPLIT(Table_AlwaysSend[[#This Row],[Feedstock]],",")),SelectedFeedstock,0))),AND(SelectedFeedstock&lt;&gt;"(Multiple Items)",SelectedFeedstock&lt;&gt;"(All)",Table_AlwaysSend[[#This Row],[Feedstock]]="All"))</f>
        <v>1</v>
      </c>
      <c r="L180" s="305" t="b" cm="1">
        <f t="array" ref="L180">OR(NOT(ISERROR(MATCH(TRIM(_xlfn.TEXTSPLIT(Table_AlwaysSend[[#This Row],[Conversion]],",")),SelectedConversion,0))),AND(SelectedConversion&lt;&gt;"(Multiple Items)",SelectedConversion&lt;&gt;"(All)",Table_AlwaysSend[[#This Row],[Conversion]]="All"))</f>
        <v>1</v>
      </c>
      <c r="M180" s="305" t="b" cm="1">
        <f t="array" ref="M180">OR(NOT(ISERROR(MATCH(TRIM(_xlfn.TEXTSPLIT(Table_AlwaysSend[[#This Row],[Data Source]],",")),SelectedDataSource,0))),AND(SelectedDataSource&lt;&gt;"(Multiple Items)",SelectedDataSource&lt;&gt;"(All)",Table_AlwaysSend[[#This Row],[Data Source]]="All"))</f>
        <v>1</v>
      </c>
      <c r="N180" s="305" t="b" cm="1">
        <f t="array" ref="N180">OR(NOT(ISERROR(MATCH(TRIM(_xlfn.TEXTSPLIT(Table_AlwaysSend[[#This Row],[Technology]],",")),SelectedTechnology,0))),AND(SelectedTechnology&lt;&gt;"(Multiple Items)",SelectedTechnology&lt;&gt;"(All)",Table_AlwaysSend[[#This Row],[Technology]]="All"))</f>
        <v>1</v>
      </c>
      <c r="O180" s="305" t="b" cm="1">
        <f t="array" ref="O180">OR(NOT(ISERROR(MATCH(TRIM(_xlfn.TEXTSPLIT(Table_AlwaysSend[[#This Row],[Data Set]],",")),SelectedDataSet,0))),AND(SelectedDataSet&lt;&gt;"(Multiple Items)",SelectedDataSet&lt;&gt;"(All)",Table_AlwaysSend[[#This Row],[Data Set]]="All"))</f>
        <v>1</v>
      </c>
      <c r="P180" s="305" t="b">
        <f ca="1">VALUE(Selections!$R$45)=2</f>
        <v>0</v>
      </c>
      <c r="Q180" s="307" t="b">
        <f ca="1">AND(Table_AlwaysSend[[#This Row],[Show Feedstock]:[Show Data Source2]],Table_AlwaysSend[[#This Row],[Conditional]]=TRUE)</f>
        <v>0</v>
      </c>
      <c r="R180" s="23" t="s">
        <v>490</v>
      </c>
      <c r="S180" s="287">
        <v>0</v>
      </c>
      <c r="T180" s="23" t="s">
        <v>1589</v>
      </c>
    </row>
    <row r="181" spans="5:20" x14ac:dyDescent="0.3">
      <c r="E181" s="301" t="str">
        <f>IF(Table_AlwaysSend[[#This Row],[GREET1 Name Range]]="", "dash_"&amp;Table_AlwaysSend[[#This Row],[Feedstock]]&amp;"_"&amp;Table_AlwaysSend[[#This Row],[Value to Send]], Table_AlwaysSend[[#This Row],[Feedstock]]&amp;"_"&amp;Table_AlwaysSend[[#This Row],[Value to Send]]&amp;"_"&amp;Table_AlwaysSend[[#This Row],[GREET1 Name Range]])</f>
        <v>Sugarcane_0_Sugarcane_Diesel</v>
      </c>
      <c r="F181" s="298" t="s">
        <v>447</v>
      </c>
      <c r="G181" s="294" t="s">
        <v>435</v>
      </c>
      <c r="H181" s="282" t="s">
        <v>435</v>
      </c>
      <c r="I181" s="282" t="s">
        <v>435</v>
      </c>
      <c r="J181" s="282" t="s">
        <v>435</v>
      </c>
      <c r="K181" s="305" t="b" cm="1">
        <f t="array" ref="K181">OR(NOT(ISERROR(MATCH(TRIM(_xlfn.TEXTSPLIT(Table_AlwaysSend[[#This Row],[Feedstock]],",")),SelectedFeedstock,0))),AND(SelectedFeedstock&lt;&gt;"(Multiple Items)",SelectedFeedstock&lt;&gt;"(All)",Table_AlwaysSend[[#This Row],[Feedstock]]="All"))</f>
        <v>0</v>
      </c>
      <c r="L181" s="305" t="b" cm="1">
        <f t="array" ref="L181">OR(NOT(ISERROR(MATCH(TRIM(_xlfn.TEXTSPLIT(Table_AlwaysSend[[#This Row],[Conversion]],",")),SelectedConversion,0))),AND(SelectedConversion&lt;&gt;"(Multiple Items)",SelectedConversion&lt;&gt;"(All)",Table_AlwaysSend[[#This Row],[Conversion]]="All"))</f>
        <v>1</v>
      </c>
      <c r="M181" s="305" t="b" cm="1">
        <f t="array" ref="M181">OR(NOT(ISERROR(MATCH(TRIM(_xlfn.TEXTSPLIT(Table_AlwaysSend[[#This Row],[Data Source]],",")),SelectedDataSource,0))),AND(SelectedDataSource&lt;&gt;"(Multiple Items)",SelectedDataSource&lt;&gt;"(All)",Table_AlwaysSend[[#This Row],[Data Source]]="All"))</f>
        <v>1</v>
      </c>
      <c r="N181" s="305" t="b" cm="1">
        <f t="array" ref="N181">OR(NOT(ISERROR(MATCH(TRIM(_xlfn.TEXTSPLIT(Table_AlwaysSend[[#This Row],[Technology]],",")),SelectedTechnology,0))),AND(SelectedTechnology&lt;&gt;"(Multiple Items)",SelectedTechnology&lt;&gt;"(All)",Table_AlwaysSend[[#This Row],[Technology]]="All"))</f>
        <v>1</v>
      </c>
      <c r="O181" s="305" t="b" cm="1">
        <f t="array" ref="O181">OR(NOT(ISERROR(MATCH(TRIM(_xlfn.TEXTSPLIT(Table_AlwaysSend[[#This Row],[Data Set]],",")),SelectedDataSet,0))),AND(SelectedDataSet&lt;&gt;"(Multiple Items)",SelectedDataSet&lt;&gt;"(All)",Table_AlwaysSend[[#This Row],[Data Set]]="All"))</f>
        <v>1</v>
      </c>
      <c r="P181" s="305" t="b">
        <f ca="1">VALUE(Selections!$R$45)=2</f>
        <v>0</v>
      </c>
      <c r="Q181" s="307" t="b">
        <f ca="1">AND(Table_AlwaysSend[[#This Row],[Show Feedstock]:[Show Data Source2]],Table_AlwaysSend[[#This Row],[Conditional]]=TRUE)</f>
        <v>0</v>
      </c>
      <c r="R181" s="23" t="s">
        <v>975</v>
      </c>
      <c r="S181" s="287">
        <v>0</v>
      </c>
      <c r="T181" s="23" t="s">
        <v>1589</v>
      </c>
    </row>
    <row r="182" spans="5:20" x14ac:dyDescent="0.3">
      <c r="E182" s="301" t="str">
        <f>IF(Table_AlwaysSend[[#This Row],[GREET1 Name Range]]="", "dash_"&amp;Table_AlwaysSend[[#This Row],[Feedstock]]&amp;"_"&amp;Table_AlwaysSend[[#This Row],[Value to Send]], Table_AlwaysSend[[#This Row],[Feedstock]]&amp;"_"&amp;Table_AlwaysSend[[#This Row],[Value to Send]]&amp;"_"&amp;Table_AlwaysSend[[#This Row],[GREET1 Name Range]])</f>
        <v>All_0_SAF_Soy_HEFA_LandChange_Option</v>
      </c>
      <c r="F182" s="298" t="s">
        <v>435</v>
      </c>
      <c r="G182" s="294" t="s">
        <v>435</v>
      </c>
      <c r="H182" s="282" t="s">
        <v>435</v>
      </c>
      <c r="I182" s="282" t="s">
        <v>435</v>
      </c>
      <c r="J182" s="282" t="s">
        <v>435</v>
      </c>
      <c r="K182" s="305" t="b" cm="1">
        <f t="array" ref="K182">OR(NOT(ISERROR(MATCH(TRIM(_xlfn.TEXTSPLIT(Table_AlwaysSend[[#This Row],[Feedstock]],",")),SelectedFeedstock,0))),AND(SelectedFeedstock&lt;&gt;"(Multiple Items)",SelectedFeedstock&lt;&gt;"(All)",Table_AlwaysSend[[#This Row],[Feedstock]]="All"))</f>
        <v>1</v>
      </c>
      <c r="L182" s="305" t="b" cm="1">
        <f t="array" ref="L182">OR(NOT(ISERROR(MATCH(TRIM(_xlfn.TEXTSPLIT(Table_AlwaysSend[[#This Row],[Conversion]],",")),SelectedConversion,0))),AND(SelectedConversion&lt;&gt;"(Multiple Items)",SelectedConversion&lt;&gt;"(All)",Table_AlwaysSend[[#This Row],[Conversion]]="All"))</f>
        <v>1</v>
      </c>
      <c r="M182" s="305" t="b" cm="1">
        <f t="array" ref="M182">OR(NOT(ISERROR(MATCH(TRIM(_xlfn.TEXTSPLIT(Table_AlwaysSend[[#This Row],[Data Source]],",")),SelectedDataSource,0))),AND(SelectedDataSource&lt;&gt;"(Multiple Items)",SelectedDataSource&lt;&gt;"(All)",Table_AlwaysSend[[#This Row],[Data Source]]="All"))</f>
        <v>1</v>
      </c>
      <c r="N182" s="305" t="b" cm="1">
        <f t="array" ref="N182">OR(NOT(ISERROR(MATCH(TRIM(_xlfn.TEXTSPLIT(Table_AlwaysSend[[#This Row],[Technology]],",")),SelectedTechnology,0))),AND(SelectedTechnology&lt;&gt;"(Multiple Items)",SelectedTechnology&lt;&gt;"(All)",Table_AlwaysSend[[#This Row],[Technology]]="All"))</f>
        <v>1</v>
      </c>
      <c r="O182" s="305" t="b" cm="1">
        <f t="array" ref="O182">OR(NOT(ISERROR(MATCH(TRIM(_xlfn.TEXTSPLIT(Table_AlwaysSend[[#This Row],[Data Set]],",")),SelectedDataSet,0))),AND(SelectedDataSet&lt;&gt;"(Multiple Items)",SelectedDataSet&lt;&gt;"(All)",Table_AlwaysSend[[#This Row],[Data Set]]="All"))</f>
        <v>1</v>
      </c>
      <c r="P182" s="305" t="b">
        <f>TRUE</f>
        <v>1</v>
      </c>
      <c r="Q182" s="307" t="b">
        <f>AND(Table_AlwaysSend[[#This Row],[Show Feedstock]:[Show Data Source2]],Table_AlwaysSend[[#This Row],[Conditional]]=TRUE)</f>
        <v>1</v>
      </c>
      <c r="R182" s="276" t="s">
        <v>1322</v>
      </c>
      <c r="S182" s="287">
        <v>0</v>
      </c>
      <c r="T182" s="23" t="s">
        <v>1332</v>
      </c>
    </row>
    <row r="183" spans="5:20" x14ac:dyDescent="0.3">
      <c r="E183" s="317" t="str">
        <f ca="1">IF(Table_AlwaysSend[[#This Row],[GREET1 Name Range]]="", "dash_"&amp;Table_AlwaysSend[[#This Row],[Feedstock]]&amp;"_"&amp;Table_AlwaysSend[[#This Row],[Value to Send]], Table_AlwaysSend[[#This Row],[Feedstock]]&amp;"_"&amp;Table_AlwaysSend[[#This Row],[Value to Send]]&amp;"_"&amp;Table_AlwaysSend[[#This Row],[GREET1 Name Range]])</f>
        <v>Corn_0.000101871559556744_Ethanol_ETJ_distributed_Catalysts</v>
      </c>
      <c r="F183" s="316" t="s">
        <v>136</v>
      </c>
      <c r="G183" s="319" t="s">
        <v>1964</v>
      </c>
      <c r="H183" s="320" t="s">
        <v>29</v>
      </c>
      <c r="I183" s="321" t="s">
        <v>29</v>
      </c>
      <c r="J183" s="316" t="s">
        <v>1606</v>
      </c>
      <c r="K183" s="322" t="b" cm="1">
        <f t="array" ref="K183">OR(NOT(ISERROR(MATCH(TRIM(_xlfn.TEXTSPLIT(Table_AlwaysSend[[#This Row],[Feedstock]],",")),SelectedFeedstock,0))),AND(SelectedFeedstock&lt;&gt;"(Multiple Items)",SelectedFeedstock&lt;&gt;"(All)",Table_AlwaysSend[[#This Row],[Feedstock]]="All"))</f>
        <v>0</v>
      </c>
      <c r="L183" s="320" t="b" cm="1">
        <f t="array" ref="L183">OR(NOT(ISERROR(MATCH(TRIM(_xlfn.TEXTSPLIT(Table_AlwaysSend[[#This Row],[Conversion]],",")),SelectedConversion,0))),AND(SelectedConversion&lt;&gt;"(Multiple Items)",SelectedConversion&lt;&gt;"(All)",Table_AlwaysSend[[#This Row],[Conversion]]="All"))</f>
        <v>0</v>
      </c>
      <c r="M183" s="323" t="b" cm="1">
        <f t="array" ref="M183">OR(NOT(ISERROR(MATCH(TRIM(_xlfn.TEXTSPLIT(Table_AlwaysSend[[#This Row],[Data Source]],",")),SelectedDataSource,0))),AND(SelectedDataSource&lt;&gt;"(Multiple Items)",SelectedDataSource&lt;&gt;"(All)",Table_AlwaysSend[[#This Row],[Data Source]]="All"))</f>
        <v>1</v>
      </c>
      <c r="N183" s="320" t="b" cm="1">
        <f t="array" ref="N183">OR(NOT(ISERROR(MATCH(TRIM(_xlfn.TEXTSPLIT(Table_AlwaysSend[[#This Row],[Technology]],",")),SelectedTechnology,0))),AND(SelectedTechnology&lt;&gt;"(Multiple Items)",SelectedTechnology&lt;&gt;"(All)",Table_AlwaysSend[[#This Row],[Technology]]="All"))</f>
        <v>0</v>
      </c>
      <c r="O183" s="320" t="b" cm="1">
        <f t="array" ref="O183">OR(NOT(ISERROR(MATCH(TRIM(_xlfn.TEXTSPLIT(Table_AlwaysSend[[#This Row],[Data Set]],",")),SelectedDataSet,0))),AND(SelectedDataSet&lt;&gt;"(Multiple Items)",SelectedDataSet&lt;&gt;"(All)",Table_AlwaysSend[[#This Row],[Data Set]]="All"))</f>
        <v>1</v>
      </c>
      <c r="P183" s="314" t="b">
        <v>0</v>
      </c>
      <c r="Q183" s="319" t="b">
        <f>AND(Table_AlwaysSend[[#This Row],[Show Feedstock]:[Show Data Source2]],Table_AlwaysSend[[#This Row],[Conditional]]=TRUE)</f>
        <v>0</v>
      </c>
      <c r="R183" s="313" t="s">
        <v>639</v>
      </c>
      <c r="S183" s="324">
        <f ca="1">812273.515869791/LCI!$U$2691/mmBTU2MJ</f>
        <v>1.0187155955674405E-4</v>
      </c>
      <c r="T183" s="316" t="s">
        <v>1894</v>
      </c>
    </row>
    <row r="184" spans="5:20" x14ac:dyDescent="0.3">
      <c r="E184" s="312" t="str">
        <f ca="1">IF(Table_AlwaysSend[[#This Row],[GREET1 Name Range]]="", "dash_"&amp;Table_AlwaysSend[[#This Row],[Feedstock]]&amp;"_"&amp;Table_AlwaysSend[[#This Row],[Value to Send]], Table_AlwaysSend[[#This Row],[Feedstock]]&amp;"_"&amp;Table_AlwaysSend[[#This Row],[Value to Send]]&amp;"_"&amp;Table_AlwaysSend[[#This Row],[GREET1 Name Range]])</f>
        <v>Sugarcane_0.000101871559556744_Ethanol_ETJ_distributed_Catalysts</v>
      </c>
      <c r="F184" s="313" t="s">
        <v>447</v>
      </c>
      <c r="G184" s="313" t="s">
        <v>1964</v>
      </c>
      <c r="H184" s="314" t="s">
        <v>29</v>
      </c>
      <c r="I184" s="325" t="s">
        <v>29</v>
      </c>
      <c r="J184" s="314" t="s">
        <v>435</v>
      </c>
      <c r="K184" s="314" t="b" cm="1">
        <f t="array" ref="K184">OR(NOT(ISERROR(MATCH(TRIM(_xlfn.TEXTSPLIT(Table_AlwaysSend[[#This Row],[Feedstock]],",")),SelectedFeedstock,0))),AND(SelectedFeedstock&lt;&gt;"(Multiple Items)",SelectedFeedstock&lt;&gt;"(All)",Table_AlwaysSend[[#This Row],[Feedstock]]="All"))</f>
        <v>0</v>
      </c>
      <c r="L184" s="314" t="b" cm="1">
        <f t="array" ref="L184">OR(NOT(ISERROR(MATCH(TRIM(_xlfn.TEXTSPLIT(Table_AlwaysSend[[#This Row],[Conversion]],",")),SelectedConversion,0))),AND(SelectedConversion&lt;&gt;"(Multiple Items)",SelectedConversion&lt;&gt;"(All)",Table_AlwaysSend[[#This Row],[Conversion]]="All"))</f>
        <v>0</v>
      </c>
      <c r="M184" s="314" t="b" cm="1">
        <f t="array" ref="M184">OR(NOT(ISERROR(MATCH(TRIM(_xlfn.TEXTSPLIT(Table_AlwaysSend[[#This Row],[Data Source]],",")),SelectedDataSource,0))),AND(SelectedDataSource&lt;&gt;"(Multiple Items)",SelectedDataSource&lt;&gt;"(All)",Table_AlwaysSend[[#This Row],[Data Source]]="All"))</f>
        <v>1</v>
      </c>
      <c r="N184" s="314" t="b" cm="1">
        <f t="array" ref="N184">OR(NOT(ISERROR(MATCH(TRIM(_xlfn.TEXTSPLIT(Table_AlwaysSend[[#This Row],[Technology]],",")),SelectedTechnology,0))),AND(SelectedTechnology&lt;&gt;"(Multiple Items)",SelectedTechnology&lt;&gt;"(All)",Table_AlwaysSend[[#This Row],[Technology]]="All"))</f>
        <v>1</v>
      </c>
      <c r="O184" s="314" t="b" cm="1">
        <f t="array" ref="O184">OR(NOT(ISERROR(MATCH(TRIM(_xlfn.TEXTSPLIT(Table_AlwaysSend[[#This Row],[Data Set]],",")),SelectedDataSet,0))),AND(SelectedDataSet&lt;&gt;"(Multiple Items)",SelectedDataSet&lt;&gt;"(All)",Table_AlwaysSend[[#This Row],[Data Set]]="All"))</f>
        <v>1</v>
      </c>
      <c r="P184" s="314" t="b">
        <v>0</v>
      </c>
      <c r="Q184" s="313" t="b">
        <f>AND(Table_AlwaysSend[[#This Row],[Show Feedstock]:[Show Data Source2]],Table_AlwaysSend[[#This Row],[Conditional]]=TRUE)</f>
        <v>0</v>
      </c>
      <c r="R184" s="313" t="s">
        <v>639</v>
      </c>
      <c r="S184" s="324">
        <f ca="1">812273.515869791/LCI!$U$2721/mmBTU2MJ</f>
        <v>1.0187155955674405E-4</v>
      </c>
      <c r="T184" s="316" t="s">
        <v>1894</v>
      </c>
    </row>
    <row r="185" spans="5:20" x14ac:dyDescent="0.3">
      <c r="E185" s="312" t="s">
        <v>1895</v>
      </c>
      <c r="F185" s="313" t="s">
        <v>136</v>
      </c>
      <c r="G185" s="313" t="s">
        <v>1964</v>
      </c>
      <c r="H185" s="314" t="s">
        <v>29</v>
      </c>
      <c r="I185" s="314" t="s">
        <v>29</v>
      </c>
      <c r="J185" s="314" t="s">
        <v>1606</v>
      </c>
      <c r="K185" s="314" t="b">
        <v>1</v>
      </c>
      <c r="L185" s="314" t="b">
        <v>1</v>
      </c>
      <c r="M185" s="314" t="b">
        <v>1</v>
      </c>
      <c r="N185" s="314" t="b">
        <v>1</v>
      </c>
      <c r="O185" s="314" t="b">
        <v>1</v>
      </c>
      <c r="P185" s="314" t="b">
        <v>0</v>
      </c>
      <c r="Q185" s="313" t="b">
        <v>0</v>
      </c>
      <c r="R185" s="313" t="s">
        <v>1656</v>
      </c>
      <c r="S185" s="315">
        <f ca="1">94.1982029745242*100/LCI!$U$2676</f>
        <v>94.198202974524193</v>
      </c>
      <c r="T185" s="316" t="s">
        <v>1894</v>
      </c>
    </row>
    <row r="186" spans="5:20" x14ac:dyDescent="0.3">
      <c r="E186" s="301" t="str">
        <f ca="1">IF(Table_AlwaysSend[[#This Row],[GREET1 Name Range]]="", "dash_"&amp;Table_AlwaysSend[[#This Row],[Feedstock]]&amp;"_"&amp;Table_AlwaysSend[[#This Row],[Value to Send]], Table_AlwaysSend[[#This Row],[Feedstock]]&amp;"_"&amp;Table_AlwaysSend[[#This Row],[Value to Send]]&amp;"_"&amp;Table_AlwaysSend[[#This Row],[GREET1 Name Range]])</f>
        <v>Corn oil_1_Share_NG_Heat_SAF</v>
      </c>
      <c r="F186" s="294" t="s">
        <v>374</v>
      </c>
      <c r="G186" s="294" t="s">
        <v>30</v>
      </c>
      <c r="H186" s="282" t="s">
        <v>29</v>
      </c>
      <c r="I186" s="282" t="s">
        <v>29</v>
      </c>
      <c r="J186" s="282" t="s">
        <v>31</v>
      </c>
      <c r="K186" s="305" t="b" cm="1">
        <f t="array" ref="K186">OR(NOT(ISERROR(MATCH(TRIM(_xlfn.TEXTSPLIT(Table_AlwaysSend[[#This Row],[Feedstock]],",")),SelectedFeedstock,0))),AND(SelectedFeedstock&lt;&gt;"(Multiple Items)",SelectedFeedstock&lt;&gt;"(All)",Table_AlwaysSend[[#This Row],[Feedstock]]="All"))</f>
        <v>0</v>
      </c>
      <c r="L186" s="305" t="b" cm="1">
        <f t="array" ref="L186">OR(NOT(ISERROR(MATCH(TRIM(_xlfn.TEXTSPLIT(Table_AlwaysSend[[#This Row],[Conversion]],",")),SelectedConversion,0))),AND(SelectedConversion&lt;&gt;"(Multiple Items)",SelectedConversion&lt;&gt;"(All)",Table_AlwaysSend[[#This Row],[Conversion]]="All"))</f>
        <v>1</v>
      </c>
      <c r="M186" s="305" t="b" cm="1">
        <f t="array" ref="M186">OR(NOT(ISERROR(MATCH(TRIM(_xlfn.TEXTSPLIT(Table_AlwaysSend[[#This Row],[Data Source]],",")),SelectedDataSource,0))),AND(SelectedDataSource&lt;&gt;"(Multiple Items)",SelectedDataSource&lt;&gt;"(All)",Table_AlwaysSend[[#This Row],[Data Source]]="All"))</f>
        <v>1</v>
      </c>
      <c r="N186" s="305" t="b" cm="1">
        <f t="array" ref="N186">OR(NOT(ISERROR(MATCH(TRIM(_xlfn.TEXTSPLIT(Table_AlwaysSend[[#This Row],[Technology]],",")),SelectedTechnology,0))),AND(SelectedTechnology&lt;&gt;"(Multiple Items)",SelectedTechnology&lt;&gt;"(All)",Table_AlwaysSend[[#This Row],[Technology]]="All"))</f>
        <v>1</v>
      </c>
      <c r="O186" s="305" t="b" cm="1">
        <f t="array" ref="O186">OR(NOT(ISERROR(MATCH(TRIM(_xlfn.TEXTSPLIT(Table_AlwaysSend[[#This Row],[Data Set]],",")),SelectedDataSet,0))),AND(SelectedDataSet&lt;&gt;"(Multiple Items)",SelectedDataSet&lt;&gt;"(All)",Table_AlwaysSend[[#This Row],[Data Set]]="All"))</f>
        <v>1</v>
      </c>
      <c r="P186" s="305" t="b">
        <v>1</v>
      </c>
      <c r="Q186" s="307" t="b">
        <f>AND(Table_AlwaysSend[[#This Row],[Show Feedstock]:[Show Data Source2]],Table_AlwaysSend[[#This Row],[Conditional]]=TRUE)</f>
        <v>0</v>
      </c>
      <c r="R186" s="261" t="s">
        <v>1690</v>
      </c>
      <c r="S186" s="287">
        <f ca="1">LCI!$S$2788/(LCI!$S$2788+LCI!$S$2789)</f>
        <v>1</v>
      </c>
      <c r="T186" s="55" t="s">
        <v>1926</v>
      </c>
    </row>
    <row r="187" spans="5:20" x14ac:dyDescent="0.3">
      <c r="E187" s="301" t="str">
        <f ca="1">IF(Table_AlwaysSend[[#This Row],[GREET1 Name Range]]="", "dash_"&amp;Table_AlwaysSend[[#This Row],[Feedstock]]&amp;"_"&amp;Table_AlwaysSend[[#This Row],[Value to Send]], Table_AlwaysSend[[#This Row],[Feedstock]]&amp;"_"&amp;Table_AlwaysSend[[#This Row],[Value to Send]]&amp;"_"&amp;Table_AlwaysSend[[#This Row],[GREET1 Name Range]])</f>
        <v>UCO_1_Share_NG_Heat_SAF</v>
      </c>
      <c r="F187" s="294" t="s">
        <v>875</v>
      </c>
      <c r="G187" s="294" t="s">
        <v>30</v>
      </c>
      <c r="H187" s="282" t="s">
        <v>29</v>
      </c>
      <c r="I187" s="282" t="s">
        <v>29</v>
      </c>
      <c r="J187" s="282" t="s">
        <v>31</v>
      </c>
      <c r="K187" s="305" t="b" cm="1">
        <f t="array" ref="K187">OR(NOT(ISERROR(MATCH(TRIM(_xlfn.TEXTSPLIT(Table_AlwaysSend[[#This Row],[Feedstock]],",")),SelectedFeedstock,0))),AND(SelectedFeedstock&lt;&gt;"(Multiple Items)",SelectedFeedstock&lt;&gt;"(All)",Table_AlwaysSend[[#This Row],[Feedstock]]="All"))</f>
        <v>0</v>
      </c>
      <c r="L187" s="305" t="b" cm="1">
        <f t="array" ref="L187">OR(NOT(ISERROR(MATCH(TRIM(_xlfn.TEXTSPLIT(Table_AlwaysSend[[#This Row],[Conversion]],",")),SelectedConversion,0))),AND(SelectedConversion&lt;&gt;"(Multiple Items)",SelectedConversion&lt;&gt;"(All)",Table_AlwaysSend[[#This Row],[Conversion]]="All"))</f>
        <v>1</v>
      </c>
      <c r="M187" s="305" t="b" cm="1">
        <f t="array" ref="M187">OR(NOT(ISERROR(MATCH(TRIM(_xlfn.TEXTSPLIT(Table_AlwaysSend[[#This Row],[Data Source]],",")),SelectedDataSource,0))),AND(SelectedDataSource&lt;&gt;"(Multiple Items)",SelectedDataSource&lt;&gt;"(All)",Table_AlwaysSend[[#This Row],[Data Source]]="All"))</f>
        <v>1</v>
      </c>
      <c r="N187" s="305" t="b" cm="1">
        <f t="array" ref="N187">OR(NOT(ISERROR(MATCH(TRIM(_xlfn.TEXTSPLIT(Table_AlwaysSend[[#This Row],[Technology]],",")),SelectedTechnology,0))),AND(SelectedTechnology&lt;&gt;"(Multiple Items)",SelectedTechnology&lt;&gt;"(All)",Table_AlwaysSend[[#This Row],[Technology]]="All"))</f>
        <v>1</v>
      </c>
      <c r="O187" s="305" t="b" cm="1">
        <f t="array" ref="O187">OR(NOT(ISERROR(MATCH(TRIM(_xlfn.TEXTSPLIT(Table_AlwaysSend[[#This Row],[Data Set]],",")),SelectedDataSet,0))),AND(SelectedDataSet&lt;&gt;"(Multiple Items)",SelectedDataSet&lt;&gt;"(All)",Table_AlwaysSend[[#This Row],[Data Set]]="All"))</f>
        <v>1</v>
      </c>
      <c r="P187" s="305" t="b">
        <v>1</v>
      </c>
      <c r="Q187" s="307" t="b">
        <f>AND(Table_AlwaysSend[[#This Row],[Show Feedstock]:[Show Data Source2]],Table_AlwaysSend[[#This Row],[Conditional]]=TRUE)</f>
        <v>0</v>
      </c>
      <c r="R187" s="261" t="s">
        <v>1690</v>
      </c>
      <c r="S187" s="287">
        <f ca="1">LCI!$S$2793/(LCI!$S$2793+LCI!$S$2794)</f>
        <v>1</v>
      </c>
      <c r="T187" s="55" t="s">
        <v>1926</v>
      </c>
    </row>
    <row r="188" spans="5:20" x14ac:dyDescent="0.3">
      <c r="E188" s="301" t="str">
        <f ca="1">IF(Table_AlwaysSend[[#This Row],[GREET1 Name Range]]="", "dash_"&amp;Table_AlwaysSend[[#This Row],[Feedstock]]&amp;"_"&amp;Table_AlwaysSend[[#This Row],[Value to Send]], Table_AlwaysSend[[#This Row],[Feedstock]]&amp;"_"&amp;Table_AlwaysSend[[#This Row],[Value to Send]]&amp;"_"&amp;Table_AlwaysSend[[#This Row],[GREET1 Name Range]])</f>
        <v>Tallow_1_Share_NG_Heat_SAF</v>
      </c>
      <c r="F188" s="294" t="s">
        <v>874</v>
      </c>
      <c r="G188" s="294" t="s">
        <v>30</v>
      </c>
      <c r="H188" s="282" t="s">
        <v>29</v>
      </c>
      <c r="I188" s="282" t="s">
        <v>29</v>
      </c>
      <c r="J188" s="282" t="s">
        <v>31</v>
      </c>
      <c r="K188" s="305" t="b" cm="1">
        <f t="array" ref="K188">OR(NOT(ISERROR(MATCH(TRIM(_xlfn.TEXTSPLIT(Table_AlwaysSend[[#This Row],[Feedstock]],",")),SelectedFeedstock,0))),AND(SelectedFeedstock&lt;&gt;"(Multiple Items)",SelectedFeedstock&lt;&gt;"(All)",Table_AlwaysSend[[#This Row],[Feedstock]]="All"))</f>
        <v>0</v>
      </c>
      <c r="L188" s="305" t="b" cm="1">
        <f t="array" ref="L188">OR(NOT(ISERROR(MATCH(TRIM(_xlfn.TEXTSPLIT(Table_AlwaysSend[[#This Row],[Conversion]],",")),SelectedConversion,0))),AND(SelectedConversion&lt;&gt;"(Multiple Items)",SelectedConversion&lt;&gt;"(All)",Table_AlwaysSend[[#This Row],[Conversion]]="All"))</f>
        <v>1</v>
      </c>
      <c r="M188" s="305" t="b" cm="1">
        <f t="array" ref="M188">OR(NOT(ISERROR(MATCH(TRIM(_xlfn.TEXTSPLIT(Table_AlwaysSend[[#This Row],[Data Source]],",")),SelectedDataSource,0))),AND(SelectedDataSource&lt;&gt;"(Multiple Items)",SelectedDataSource&lt;&gt;"(All)",Table_AlwaysSend[[#This Row],[Data Source]]="All"))</f>
        <v>1</v>
      </c>
      <c r="N188" s="305" t="b" cm="1">
        <f t="array" ref="N188">OR(NOT(ISERROR(MATCH(TRIM(_xlfn.TEXTSPLIT(Table_AlwaysSend[[#This Row],[Technology]],",")),SelectedTechnology,0))),AND(SelectedTechnology&lt;&gt;"(Multiple Items)",SelectedTechnology&lt;&gt;"(All)",Table_AlwaysSend[[#This Row],[Technology]]="All"))</f>
        <v>1</v>
      </c>
      <c r="O188" s="305" t="b" cm="1">
        <f t="array" ref="O188">OR(NOT(ISERROR(MATCH(TRIM(_xlfn.TEXTSPLIT(Table_AlwaysSend[[#This Row],[Data Set]],",")),SelectedDataSet,0))),AND(SelectedDataSet&lt;&gt;"(Multiple Items)",SelectedDataSet&lt;&gt;"(All)",Table_AlwaysSend[[#This Row],[Data Set]]="All"))</f>
        <v>1</v>
      </c>
      <c r="P188" s="305" t="b">
        <v>1</v>
      </c>
      <c r="Q188" s="307" t="b">
        <f>AND(Table_AlwaysSend[[#This Row],[Show Feedstock]:[Show Data Source2]],Table_AlwaysSend[[#This Row],[Conditional]]=TRUE)</f>
        <v>0</v>
      </c>
      <c r="R188" s="261" t="s">
        <v>1690</v>
      </c>
      <c r="S188" s="287">
        <f ca="1">LCI!$S$2798/(LCI!$S$2798+LCI!$S$2799)</f>
        <v>1</v>
      </c>
      <c r="T188" s="55" t="s">
        <v>1926</v>
      </c>
    </row>
    <row r="189" spans="5:20" x14ac:dyDescent="0.3">
      <c r="E189" s="301" t="e">
        <f ca="1">IF(Table_AlwaysSend[[#This Row],[GREET1 Name Range]]="", "dash_"&amp;Table_AlwaysSend[[#This Row],[Feedstock]]&amp;"_"&amp;Table_AlwaysSend[[#This Row],[Value to Send]], Table_AlwaysSend[[#This Row],[Feedstock]]&amp;"_"&amp;Table_AlwaysSend[[#This Row],[Value to Send]]&amp;"_"&amp;Table_AlwaysSend[[#This Row],[GREET1 Name Range]])</f>
        <v>#DIV/0!</v>
      </c>
      <c r="F189" s="294" t="s">
        <v>1347</v>
      </c>
      <c r="G189" s="294" t="s">
        <v>30</v>
      </c>
      <c r="H189" s="282" t="s">
        <v>29</v>
      </c>
      <c r="I189" s="282" t="s">
        <v>29</v>
      </c>
      <c r="J189" s="282" t="s">
        <v>31</v>
      </c>
      <c r="K189" s="305" t="b" cm="1">
        <f t="array" ref="K189">OR(NOT(ISERROR(MATCH(TRIM(_xlfn.TEXTSPLIT(Table_AlwaysSend[[#This Row],[Feedstock]],",")),SelectedFeedstock,0))),AND(SelectedFeedstock&lt;&gt;"(Multiple Items)",SelectedFeedstock&lt;&gt;"(All)",Table_AlwaysSend[[#This Row],[Feedstock]]="All"))</f>
        <v>1</v>
      </c>
      <c r="L189" s="305" t="b" cm="1">
        <f t="array" ref="L189">OR(NOT(ISERROR(MATCH(TRIM(_xlfn.TEXTSPLIT(Table_AlwaysSend[[#This Row],[Conversion]],",")),SelectedConversion,0))),AND(SelectedConversion&lt;&gt;"(Multiple Items)",SelectedConversion&lt;&gt;"(All)",Table_AlwaysSend[[#This Row],[Conversion]]="All"))</f>
        <v>1</v>
      </c>
      <c r="M189" s="305" t="b" cm="1">
        <f t="array" ref="M189">OR(NOT(ISERROR(MATCH(TRIM(_xlfn.TEXTSPLIT(Table_AlwaysSend[[#This Row],[Data Source]],",")),SelectedDataSource,0))),AND(SelectedDataSource&lt;&gt;"(Multiple Items)",SelectedDataSource&lt;&gt;"(All)",Table_AlwaysSend[[#This Row],[Data Source]]="All"))</f>
        <v>1</v>
      </c>
      <c r="N189" s="305" t="b" cm="1">
        <f t="array" ref="N189">OR(NOT(ISERROR(MATCH(TRIM(_xlfn.TEXTSPLIT(Table_AlwaysSend[[#This Row],[Technology]],",")),SelectedTechnology,0))),AND(SelectedTechnology&lt;&gt;"(Multiple Items)",SelectedTechnology&lt;&gt;"(All)",Table_AlwaysSend[[#This Row],[Technology]]="All"))</f>
        <v>1</v>
      </c>
      <c r="O189" s="305" t="b" cm="1">
        <f t="array" ref="O189">OR(NOT(ISERROR(MATCH(TRIM(_xlfn.TEXTSPLIT(Table_AlwaysSend[[#This Row],[Data Set]],",")),SelectedDataSet,0))),AND(SelectedDataSet&lt;&gt;"(Multiple Items)",SelectedDataSet&lt;&gt;"(All)",Table_AlwaysSend[[#This Row],[Data Set]]="All"))</f>
        <v>1</v>
      </c>
      <c r="P189" s="305" t="b">
        <v>1</v>
      </c>
      <c r="Q189" s="307" t="b">
        <f>AND(Table_AlwaysSend[[#This Row],[Show Feedstock]:[Show Data Source2]],Table_AlwaysSend[[#This Row],[Conditional]]=TRUE)</f>
        <v>1</v>
      </c>
      <c r="R189" s="261" t="s">
        <v>1690</v>
      </c>
      <c r="S189" s="287" t="e">
        <f ca="1">LCI!$S$2803/(LCI!$S$2803+LCI!$S$2804)</f>
        <v>#DIV/0!</v>
      </c>
      <c r="T189" s="55" t="s">
        <v>1926</v>
      </c>
    </row>
    <row r="190" spans="5:20" x14ac:dyDescent="0.3">
      <c r="E190" s="301" t="str">
        <f ca="1">IF(Table_AlwaysSend[[#This Row],[GREET1 Name Range]]="", "dash_"&amp;Table_AlwaysSend[[#This Row],[Feedstock]]&amp;"_"&amp;Table_AlwaysSend[[#This Row],[Value to Send]], Table_AlwaysSend[[#This Row],[Feedstock]]&amp;"_"&amp;Table_AlwaysSend[[#This Row],[Value to Send]]&amp;"_"&amp;Table_AlwaysSend[[#This Row],[GREET1 Name Range]])</f>
        <v>Sugarcane_1_Share_NG_Heat_SAF</v>
      </c>
      <c r="F190" s="294" t="s">
        <v>447</v>
      </c>
      <c r="G190" s="294" t="s">
        <v>1964</v>
      </c>
      <c r="H190" s="282" t="s">
        <v>29</v>
      </c>
      <c r="I190" s="282" t="s">
        <v>29</v>
      </c>
      <c r="J190" s="282" t="s">
        <v>31</v>
      </c>
      <c r="K190" s="305" t="b" cm="1">
        <f t="array" ref="K190">OR(NOT(ISERROR(MATCH(TRIM(_xlfn.TEXTSPLIT(Table_AlwaysSend[[#This Row],[Feedstock]],",")),SelectedFeedstock,0))),AND(SelectedFeedstock&lt;&gt;"(Multiple Items)",SelectedFeedstock&lt;&gt;"(All)",Table_AlwaysSend[[#This Row],[Feedstock]]="All"))</f>
        <v>0</v>
      </c>
      <c r="L190" s="305" t="b" cm="1">
        <f t="array" ref="L190">OR(NOT(ISERROR(MATCH(TRIM(_xlfn.TEXTSPLIT(Table_AlwaysSend[[#This Row],[Conversion]],",")),SelectedConversion,0))),AND(SelectedConversion&lt;&gt;"(Multiple Items)",SelectedConversion&lt;&gt;"(All)",Table_AlwaysSend[[#This Row],[Conversion]]="All"))</f>
        <v>0</v>
      </c>
      <c r="M190" s="305" t="b" cm="1">
        <f t="array" ref="M190">OR(NOT(ISERROR(MATCH(TRIM(_xlfn.TEXTSPLIT(Table_AlwaysSend[[#This Row],[Data Source]],",")),SelectedDataSource,0))),AND(SelectedDataSource&lt;&gt;"(Multiple Items)",SelectedDataSource&lt;&gt;"(All)",Table_AlwaysSend[[#This Row],[Data Source]]="All"))</f>
        <v>1</v>
      </c>
      <c r="N190" s="305" t="b" cm="1">
        <f t="array" ref="N190">OR(NOT(ISERROR(MATCH(TRIM(_xlfn.TEXTSPLIT(Table_AlwaysSend[[#This Row],[Technology]],",")),SelectedTechnology,0))),AND(SelectedTechnology&lt;&gt;"(Multiple Items)",SelectedTechnology&lt;&gt;"(All)",Table_AlwaysSend[[#This Row],[Technology]]="All"))</f>
        <v>1</v>
      </c>
      <c r="O190" s="305" t="b" cm="1">
        <f t="array" ref="O190">OR(NOT(ISERROR(MATCH(TRIM(_xlfn.TEXTSPLIT(Table_AlwaysSend[[#This Row],[Data Set]],",")),SelectedDataSet,0))),AND(SelectedDataSet&lt;&gt;"(Multiple Items)",SelectedDataSet&lt;&gt;"(All)",Table_AlwaysSend[[#This Row],[Data Set]]="All"))</f>
        <v>1</v>
      </c>
      <c r="P190" s="305" t="b">
        <v>1</v>
      </c>
      <c r="Q190" s="307" t="b">
        <f>AND(Table_AlwaysSend[[#This Row],[Show Feedstock]:[Show Data Source2]],Table_AlwaysSend[[#This Row],[Conditional]]=TRUE)</f>
        <v>0</v>
      </c>
      <c r="R190" s="261" t="s">
        <v>1690</v>
      </c>
      <c r="S190" s="287">
        <f ca="1">LCI!$S$2808/(LCI!$S$2808+LCI!$S$2809)</f>
        <v>1</v>
      </c>
      <c r="T190" s="55" t="s">
        <v>1926</v>
      </c>
    </row>
    <row r="191" spans="5:20" x14ac:dyDescent="0.3">
      <c r="E191" s="301" t="str">
        <f ca="1">IF(Table_AlwaysSend[[#This Row],[GREET1 Name Range]]="", "dash_"&amp;Table_AlwaysSend[[#This Row],[Feedstock]]&amp;"_"&amp;Table_AlwaysSend[[#This Row],[Value to Send]], Table_AlwaysSend[[#This Row],[Feedstock]]&amp;"_"&amp;Table_AlwaysSend[[#This Row],[Value to Send]]&amp;"_"&amp;Table_AlwaysSend[[#This Row],[GREET1 Name Range]])</f>
        <v>Soybean_1_Share_NG_Heat_SAF</v>
      </c>
      <c r="F191" s="294" t="s">
        <v>10</v>
      </c>
      <c r="G191" s="294" t="s">
        <v>30</v>
      </c>
      <c r="H191" s="282" t="s">
        <v>29</v>
      </c>
      <c r="I191" s="282" t="s">
        <v>29</v>
      </c>
      <c r="J191" s="282" t="s">
        <v>31</v>
      </c>
      <c r="K191" s="305" t="b" cm="1">
        <f t="array" ref="K191">OR(NOT(ISERROR(MATCH(TRIM(_xlfn.TEXTSPLIT(Table_AlwaysSend[[#This Row],[Feedstock]],",")),SelectedFeedstock,0))),AND(SelectedFeedstock&lt;&gt;"(Multiple Items)",SelectedFeedstock&lt;&gt;"(All)",Table_AlwaysSend[[#This Row],[Feedstock]]="All"))</f>
        <v>0</v>
      </c>
      <c r="L191" s="305" t="b" cm="1">
        <f t="array" ref="L191">OR(NOT(ISERROR(MATCH(TRIM(_xlfn.TEXTSPLIT(Table_AlwaysSend[[#This Row],[Conversion]],",")),SelectedConversion,0))),AND(SelectedConversion&lt;&gt;"(Multiple Items)",SelectedConversion&lt;&gt;"(All)",Table_AlwaysSend[[#This Row],[Conversion]]="All"))</f>
        <v>1</v>
      </c>
      <c r="M191" s="305" t="b" cm="1">
        <f t="array" ref="M191">OR(NOT(ISERROR(MATCH(TRIM(_xlfn.TEXTSPLIT(Table_AlwaysSend[[#This Row],[Data Source]],",")),SelectedDataSource,0))),AND(SelectedDataSource&lt;&gt;"(Multiple Items)",SelectedDataSource&lt;&gt;"(All)",Table_AlwaysSend[[#This Row],[Data Source]]="All"))</f>
        <v>1</v>
      </c>
      <c r="N191" s="305" t="b" cm="1">
        <f t="array" ref="N191">OR(NOT(ISERROR(MATCH(TRIM(_xlfn.TEXTSPLIT(Table_AlwaysSend[[#This Row],[Technology]],",")),SelectedTechnology,0))),AND(SelectedTechnology&lt;&gt;"(Multiple Items)",SelectedTechnology&lt;&gt;"(All)",Table_AlwaysSend[[#This Row],[Technology]]="All"))</f>
        <v>1</v>
      </c>
      <c r="O191" s="305" t="b" cm="1">
        <f t="array" ref="O191">OR(NOT(ISERROR(MATCH(TRIM(_xlfn.TEXTSPLIT(Table_AlwaysSend[[#This Row],[Data Set]],",")),SelectedDataSet,0))),AND(SelectedDataSet&lt;&gt;"(Multiple Items)",SelectedDataSet&lt;&gt;"(All)",Table_AlwaysSend[[#This Row],[Data Set]]="All"))</f>
        <v>1</v>
      </c>
      <c r="P191" s="305" t="b">
        <v>1</v>
      </c>
      <c r="Q191" s="307" t="b">
        <f>AND(Table_AlwaysSend[[#This Row],[Show Feedstock]:[Show Data Source2]],Table_AlwaysSend[[#This Row],[Conditional]]=TRUE)</f>
        <v>0</v>
      </c>
      <c r="R191" s="261" t="s">
        <v>1690</v>
      </c>
      <c r="S191" s="287">
        <f ca="1">LCI!$S$2813/(LCI!$S$2813+LCI!$S$2814)</f>
        <v>1</v>
      </c>
      <c r="T191" s="55" t="s">
        <v>1926</v>
      </c>
    </row>
    <row r="192" spans="5:20" x14ac:dyDescent="0.3">
      <c r="E192" s="301" t="str">
        <f ca="1">IF(Table_AlwaysSend[[#This Row],[GREET1 Name Range]]="", "dash_"&amp;Table_AlwaysSend[[#This Row],[Feedstock]]&amp;"_"&amp;Table_AlwaysSend[[#This Row],[Value to Send]], Table_AlwaysSend[[#This Row],[Feedstock]]&amp;"_"&amp;Table_AlwaysSend[[#This Row],[Value to Send]]&amp;"_"&amp;Table_AlwaysSend[[#This Row],[GREET1 Name Range]])</f>
        <v>Corn_1_Share_NG_Heat_SAF</v>
      </c>
      <c r="F192" s="294" t="s">
        <v>136</v>
      </c>
      <c r="G192" s="294" t="s">
        <v>1964</v>
      </c>
      <c r="H192" s="282" t="s">
        <v>29</v>
      </c>
      <c r="I192" s="282" t="s">
        <v>29</v>
      </c>
      <c r="J192" s="282" t="s">
        <v>1592</v>
      </c>
      <c r="K192" s="305" t="b" cm="1">
        <f t="array" ref="K192">OR(NOT(ISERROR(MATCH(TRIM(_xlfn.TEXTSPLIT(Table_AlwaysSend[[#This Row],[Feedstock]],",")),SelectedFeedstock,0))),AND(SelectedFeedstock&lt;&gt;"(Multiple Items)",SelectedFeedstock&lt;&gt;"(All)",Table_AlwaysSend[[#This Row],[Feedstock]]="All"))</f>
        <v>0</v>
      </c>
      <c r="L192" s="305" t="b" cm="1">
        <f t="array" ref="L192">OR(NOT(ISERROR(MATCH(TRIM(_xlfn.TEXTSPLIT(Table_AlwaysSend[[#This Row],[Conversion]],",")),SelectedConversion,0))),AND(SelectedConversion&lt;&gt;"(Multiple Items)",SelectedConversion&lt;&gt;"(All)",Table_AlwaysSend[[#This Row],[Conversion]]="All"))</f>
        <v>0</v>
      </c>
      <c r="M192" s="305" t="b" cm="1">
        <f t="array" ref="M192">OR(NOT(ISERROR(MATCH(TRIM(_xlfn.TEXTSPLIT(Table_AlwaysSend[[#This Row],[Data Source]],",")),SelectedDataSource,0))),AND(SelectedDataSource&lt;&gt;"(Multiple Items)",SelectedDataSource&lt;&gt;"(All)",Table_AlwaysSend[[#This Row],[Data Source]]="All"))</f>
        <v>1</v>
      </c>
      <c r="N192" s="305" t="b" cm="1">
        <f t="array" ref="N192">OR(NOT(ISERROR(MATCH(TRIM(_xlfn.TEXTSPLIT(Table_AlwaysSend[[#This Row],[Technology]],",")),SelectedTechnology,0))),AND(SelectedTechnology&lt;&gt;"(Multiple Items)",SelectedTechnology&lt;&gt;"(All)",Table_AlwaysSend[[#This Row],[Technology]]="All"))</f>
        <v>0</v>
      </c>
      <c r="O192" s="305" t="b" cm="1">
        <f t="array" ref="O192">OR(NOT(ISERROR(MATCH(TRIM(_xlfn.TEXTSPLIT(Table_AlwaysSend[[#This Row],[Data Set]],",")),SelectedDataSet,0))),AND(SelectedDataSet&lt;&gt;"(Multiple Items)",SelectedDataSet&lt;&gt;"(All)",Table_AlwaysSend[[#This Row],[Data Set]]="All"))</f>
        <v>1</v>
      </c>
      <c r="P192" s="305" t="b">
        <v>1</v>
      </c>
      <c r="Q192" s="307" t="b">
        <f>AND(Table_AlwaysSend[[#This Row],[Show Feedstock]:[Show Data Source2]],Table_AlwaysSend[[#This Row],[Conditional]]=TRUE)</f>
        <v>0</v>
      </c>
      <c r="R192" s="261" t="s">
        <v>1690</v>
      </c>
      <c r="S192" s="287">
        <f ca="1">LCI!$S$2818/(LCI!$S$2818+LCI!$S$2819)</f>
        <v>1</v>
      </c>
      <c r="T192" s="55" t="s">
        <v>1926</v>
      </c>
    </row>
    <row r="193" spans="5:20" x14ac:dyDescent="0.3">
      <c r="E193" s="301" t="str">
        <f ca="1">IF(Table_AlwaysSend[[#This Row],[GREET1 Name Range]]="", "dash_"&amp;Table_AlwaysSend[[#This Row],[Feedstock]]&amp;"_"&amp;Table_AlwaysSend[[#This Row],[Value to Send]], Table_AlwaysSend[[#This Row],[Feedstock]]&amp;"_"&amp;Table_AlwaysSend[[#This Row],[Value to Send]]&amp;"_"&amp;Table_AlwaysSend[[#This Row],[GREET1 Name Range]])</f>
        <v>Corn oil_0_Share_RNG_LFG_Heat_SAF</v>
      </c>
      <c r="F193" s="294" t="s">
        <v>374</v>
      </c>
      <c r="G193" s="294" t="s">
        <v>30</v>
      </c>
      <c r="H193" s="282" t="s">
        <v>29</v>
      </c>
      <c r="I193" s="282" t="s">
        <v>29</v>
      </c>
      <c r="J193" s="282" t="s">
        <v>31</v>
      </c>
      <c r="K193" s="305" t="b" cm="1">
        <f t="array" ref="K193">OR(NOT(ISERROR(MATCH(TRIM(_xlfn.TEXTSPLIT(Table_AlwaysSend[[#This Row],[Feedstock]],",")),SelectedFeedstock,0))),AND(SelectedFeedstock&lt;&gt;"(Multiple Items)",SelectedFeedstock&lt;&gt;"(All)",Table_AlwaysSend[[#This Row],[Feedstock]]="All"))</f>
        <v>0</v>
      </c>
      <c r="L193" s="305" t="b" cm="1">
        <f t="array" ref="L193">OR(NOT(ISERROR(MATCH(TRIM(_xlfn.TEXTSPLIT(Table_AlwaysSend[[#This Row],[Conversion]],",")),SelectedConversion,0))),AND(SelectedConversion&lt;&gt;"(Multiple Items)",SelectedConversion&lt;&gt;"(All)",Table_AlwaysSend[[#This Row],[Conversion]]="All"))</f>
        <v>1</v>
      </c>
      <c r="M193" s="305" t="b" cm="1">
        <f t="array" ref="M193">OR(NOT(ISERROR(MATCH(TRIM(_xlfn.TEXTSPLIT(Table_AlwaysSend[[#This Row],[Data Source]],",")),SelectedDataSource,0))),AND(SelectedDataSource&lt;&gt;"(Multiple Items)",SelectedDataSource&lt;&gt;"(All)",Table_AlwaysSend[[#This Row],[Data Source]]="All"))</f>
        <v>1</v>
      </c>
      <c r="N193" s="305" t="b" cm="1">
        <f t="array" ref="N193">OR(NOT(ISERROR(MATCH(TRIM(_xlfn.TEXTSPLIT(Table_AlwaysSend[[#This Row],[Technology]],",")),SelectedTechnology,0))),AND(SelectedTechnology&lt;&gt;"(Multiple Items)",SelectedTechnology&lt;&gt;"(All)",Table_AlwaysSend[[#This Row],[Technology]]="All"))</f>
        <v>1</v>
      </c>
      <c r="O193" s="305" t="b" cm="1">
        <f t="array" ref="O193">OR(NOT(ISERROR(MATCH(TRIM(_xlfn.TEXTSPLIT(Table_AlwaysSend[[#This Row],[Data Set]],",")),SelectedDataSet,0))),AND(SelectedDataSet&lt;&gt;"(Multiple Items)",SelectedDataSet&lt;&gt;"(All)",Table_AlwaysSend[[#This Row],[Data Set]]="All"))</f>
        <v>1</v>
      </c>
      <c r="P193" s="305" t="b">
        <v>1</v>
      </c>
      <c r="Q193" s="307" t="b">
        <f>AND(Table_AlwaysSend[[#This Row],[Show Feedstock]:[Show Data Source2]],Table_AlwaysSend[[#This Row],[Conditional]]=TRUE)</f>
        <v>0</v>
      </c>
      <c r="R193" s="261" t="s">
        <v>1691</v>
      </c>
      <c r="S193" s="287">
        <f ca="1">1-S186</f>
        <v>0</v>
      </c>
      <c r="T193" s="55" t="s">
        <v>1927</v>
      </c>
    </row>
    <row r="194" spans="5:20" x14ac:dyDescent="0.3">
      <c r="E194" s="301" t="str">
        <f ca="1">IF(Table_AlwaysSend[[#This Row],[GREET1 Name Range]]="", "dash_"&amp;Table_AlwaysSend[[#This Row],[Feedstock]]&amp;"_"&amp;Table_AlwaysSend[[#This Row],[Value to Send]], Table_AlwaysSend[[#This Row],[Feedstock]]&amp;"_"&amp;Table_AlwaysSend[[#This Row],[Value to Send]]&amp;"_"&amp;Table_AlwaysSend[[#This Row],[GREET1 Name Range]])</f>
        <v>UCO_0_Share_RNG_LFG_Heat_SAF</v>
      </c>
      <c r="F194" s="294" t="s">
        <v>875</v>
      </c>
      <c r="G194" s="294" t="s">
        <v>30</v>
      </c>
      <c r="H194" s="282" t="s">
        <v>29</v>
      </c>
      <c r="I194" s="282" t="s">
        <v>29</v>
      </c>
      <c r="J194" s="282" t="s">
        <v>31</v>
      </c>
      <c r="K194" s="305" t="b" cm="1">
        <f t="array" ref="K194">OR(NOT(ISERROR(MATCH(TRIM(_xlfn.TEXTSPLIT(Table_AlwaysSend[[#This Row],[Feedstock]],",")),SelectedFeedstock,0))),AND(SelectedFeedstock&lt;&gt;"(Multiple Items)",SelectedFeedstock&lt;&gt;"(All)",Table_AlwaysSend[[#This Row],[Feedstock]]="All"))</f>
        <v>0</v>
      </c>
      <c r="L194" s="305" t="b" cm="1">
        <f t="array" ref="L194">OR(NOT(ISERROR(MATCH(TRIM(_xlfn.TEXTSPLIT(Table_AlwaysSend[[#This Row],[Conversion]],",")),SelectedConversion,0))),AND(SelectedConversion&lt;&gt;"(Multiple Items)",SelectedConversion&lt;&gt;"(All)",Table_AlwaysSend[[#This Row],[Conversion]]="All"))</f>
        <v>1</v>
      </c>
      <c r="M194" s="305" t="b" cm="1">
        <f t="array" ref="M194">OR(NOT(ISERROR(MATCH(TRIM(_xlfn.TEXTSPLIT(Table_AlwaysSend[[#This Row],[Data Source]],",")),SelectedDataSource,0))),AND(SelectedDataSource&lt;&gt;"(Multiple Items)",SelectedDataSource&lt;&gt;"(All)",Table_AlwaysSend[[#This Row],[Data Source]]="All"))</f>
        <v>1</v>
      </c>
      <c r="N194" s="305" t="b" cm="1">
        <f t="array" ref="N194">OR(NOT(ISERROR(MATCH(TRIM(_xlfn.TEXTSPLIT(Table_AlwaysSend[[#This Row],[Technology]],",")),SelectedTechnology,0))),AND(SelectedTechnology&lt;&gt;"(Multiple Items)",SelectedTechnology&lt;&gt;"(All)",Table_AlwaysSend[[#This Row],[Technology]]="All"))</f>
        <v>1</v>
      </c>
      <c r="O194" s="305" t="b" cm="1">
        <f t="array" ref="O194">OR(NOT(ISERROR(MATCH(TRIM(_xlfn.TEXTSPLIT(Table_AlwaysSend[[#This Row],[Data Set]],",")),SelectedDataSet,0))),AND(SelectedDataSet&lt;&gt;"(Multiple Items)",SelectedDataSet&lt;&gt;"(All)",Table_AlwaysSend[[#This Row],[Data Set]]="All"))</f>
        <v>1</v>
      </c>
      <c r="P194" s="305" t="b">
        <v>1</v>
      </c>
      <c r="Q194" s="307" t="b">
        <f>AND(Table_AlwaysSend[[#This Row],[Show Feedstock]:[Show Data Source2]],Table_AlwaysSend[[#This Row],[Conditional]]=TRUE)</f>
        <v>0</v>
      </c>
      <c r="R194" s="261" t="s">
        <v>1691</v>
      </c>
      <c r="S194" s="287">
        <f t="shared" ref="S194:S199" ca="1" si="0">1-S187</f>
        <v>0</v>
      </c>
      <c r="T194" s="55" t="s">
        <v>1927</v>
      </c>
    </row>
    <row r="195" spans="5:20" x14ac:dyDescent="0.3">
      <c r="E195" s="301" t="str">
        <f ca="1">IF(Table_AlwaysSend[[#This Row],[GREET1 Name Range]]="", "dash_"&amp;Table_AlwaysSend[[#This Row],[Feedstock]]&amp;"_"&amp;Table_AlwaysSend[[#This Row],[Value to Send]], Table_AlwaysSend[[#This Row],[Feedstock]]&amp;"_"&amp;Table_AlwaysSend[[#This Row],[Value to Send]]&amp;"_"&amp;Table_AlwaysSend[[#This Row],[GREET1 Name Range]])</f>
        <v>Tallow_0_Share_RNG_LFG_Heat_SAF</v>
      </c>
      <c r="F195" s="294" t="s">
        <v>874</v>
      </c>
      <c r="G195" s="294" t="s">
        <v>30</v>
      </c>
      <c r="H195" s="282" t="s">
        <v>29</v>
      </c>
      <c r="I195" s="282" t="s">
        <v>29</v>
      </c>
      <c r="J195" s="282" t="s">
        <v>31</v>
      </c>
      <c r="K195" s="305" t="b" cm="1">
        <f t="array" ref="K195">OR(NOT(ISERROR(MATCH(TRIM(_xlfn.TEXTSPLIT(Table_AlwaysSend[[#This Row],[Feedstock]],",")),SelectedFeedstock,0))),AND(SelectedFeedstock&lt;&gt;"(Multiple Items)",SelectedFeedstock&lt;&gt;"(All)",Table_AlwaysSend[[#This Row],[Feedstock]]="All"))</f>
        <v>0</v>
      </c>
      <c r="L195" s="305" t="b" cm="1">
        <f t="array" ref="L195">OR(NOT(ISERROR(MATCH(TRIM(_xlfn.TEXTSPLIT(Table_AlwaysSend[[#This Row],[Conversion]],",")),SelectedConversion,0))),AND(SelectedConversion&lt;&gt;"(Multiple Items)",SelectedConversion&lt;&gt;"(All)",Table_AlwaysSend[[#This Row],[Conversion]]="All"))</f>
        <v>1</v>
      </c>
      <c r="M195" s="305" t="b" cm="1">
        <f t="array" ref="M195">OR(NOT(ISERROR(MATCH(TRIM(_xlfn.TEXTSPLIT(Table_AlwaysSend[[#This Row],[Data Source]],",")),SelectedDataSource,0))),AND(SelectedDataSource&lt;&gt;"(Multiple Items)",SelectedDataSource&lt;&gt;"(All)",Table_AlwaysSend[[#This Row],[Data Source]]="All"))</f>
        <v>1</v>
      </c>
      <c r="N195" s="305" t="b" cm="1">
        <f t="array" ref="N195">OR(NOT(ISERROR(MATCH(TRIM(_xlfn.TEXTSPLIT(Table_AlwaysSend[[#This Row],[Technology]],",")),SelectedTechnology,0))),AND(SelectedTechnology&lt;&gt;"(Multiple Items)",SelectedTechnology&lt;&gt;"(All)",Table_AlwaysSend[[#This Row],[Technology]]="All"))</f>
        <v>1</v>
      </c>
      <c r="O195" s="305" t="b" cm="1">
        <f t="array" ref="O195">OR(NOT(ISERROR(MATCH(TRIM(_xlfn.TEXTSPLIT(Table_AlwaysSend[[#This Row],[Data Set]],",")),SelectedDataSet,0))),AND(SelectedDataSet&lt;&gt;"(Multiple Items)",SelectedDataSet&lt;&gt;"(All)",Table_AlwaysSend[[#This Row],[Data Set]]="All"))</f>
        <v>1</v>
      </c>
      <c r="P195" s="305" t="b">
        <v>1</v>
      </c>
      <c r="Q195" s="307" t="b">
        <f>AND(Table_AlwaysSend[[#This Row],[Show Feedstock]:[Show Data Source2]],Table_AlwaysSend[[#This Row],[Conditional]]=TRUE)</f>
        <v>0</v>
      </c>
      <c r="R195" s="261" t="s">
        <v>1691</v>
      </c>
      <c r="S195" s="287">
        <f t="shared" ca="1" si="0"/>
        <v>0</v>
      </c>
      <c r="T195" s="55" t="s">
        <v>1927</v>
      </c>
    </row>
    <row r="196" spans="5:20" x14ac:dyDescent="0.3">
      <c r="E196" s="301" t="e">
        <f ca="1">IF(Table_AlwaysSend[[#This Row],[GREET1 Name Range]]="", "dash_"&amp;Table_AlwaysSend[[#This Row],[Feedstock]]&amp;"_"&amp;Table_AlwaysSend[[#This Row],[Value to Send]], Table_AlwaysSend[[#This Row],[Feedstock]]&amp;"_"&amp;Table_AlwaysSend[[#This Row],[Value to Send]]&amp;"_"&amp;Table_AlwaysSend[[#This Row],[GREET1 Name Range]])</f>
        <v>#DIV/0!</v>
      </c>
      <c r="F196" s="294" t="s">
        <v>1347</v>
      </c>
      <c r="G196" s="294" t="s">
        <v>30</v>
      </c>
      <c r="H196" s="282" t="s">
        <v>29</v>
      </c>
      <c r="I196" s="282" t="s">
        <v>29</v>
      </c>
      <c r="J196" s="282" t="s">
        <v>31</v>
      </c>
      <c r="K196" s="305" t="b" cm="1">
        <f t="array" ref="K196">OR(NOT(ISERROR(MATCH(TRIM(_xlfn.TEXTSPLIT(Table_AlwaysSend[[#This Row],[Feedstock]],",")),SelectedFeedstock,0))),AND(SelectedFeedstock&lt;&gt;"(Multiple Items)",SelectedFeedstock&lt;&gt;"(All)",Table_AlwaysSend[[#This Row],[Feedstock]]="All"))</f>
        <v>1</v>
      </c>
      <c r="L196" s="305" t="b" cm="1">
        <f t="array" ref="L196">OR(NOT(ISERROR(MATCH(TRIM(_xlfn.TEXTSPLIT(Table_AlwaysSend[[#This Row],[Conversion]],",")),SelectedConversion,0))),AND(SelectedConversion&lt;&gt;"(Multiple Items)",SelectedConversion&lt;&gt;"(All)",Table_AlwaysSend[[#This Row],[Conversion]]="All"))</f>
        <v>1</v>
      </c>
      <c r="M196" s="305" t="b" cm="1">
        <f t="array" ref="M196">OR(NOT(ISERROR(MATCH(TRIM(_xlfn.TEXTSPLIT(Table_AlwaysSend[[#This Row],[Data Source]],",")),SelectedDataSource,0))),AND(SelectedDataSource&lt;&gt;"(Multiple Items)",SelectedDataSource&lt;&gt;"(All)",Table_AlwaysSend[[#This Row],[Data Source]]="All"))</f>
        <v>1</v>
      </c>
      <c r="N196" s="305" t="b" cm="1">
        <f t="array" ref="N196">OR(NOT(ISERROR(MATCH(TRIM(_xlfn.TEXTSPLIT(Table_AlwaysSend[[#This Row],[Technology]],",")),SelectedTechnology,0))),AND(SelectedTechnology&lt;&gt;"(Multiple Items)",SelectedTechnology&lt;&gt;"(All)",Table_AlwaysSend[[#This Row],[Technology]]="All"))</f>
        <v>1</v>
      </c>
      <c r="O196" s="305" t="b" cm="1">
        <f t="array" ref="O196">OR(NOT(ISERROR(MATCH(TRIM(_xlfn.TEXTSPLIT(Table_AlwaysSend[[#This Row],[Data Set]],",")),SelectedDataSet,0))),AND(SelectedDataSet&lt;&gt;"(Multiple Items)",SelectedDataSet&lt;&gt;"(All)",Table_AlwaysSend[[#This Row],[Data Set]]="All"))</f>
        <v>1</v>
      </c>
      <c r="P196" s="305" t="b">
        <v>1</v>
      </c>
      <c r="Q196" s="307" t="b">
        <f>AND(Table_AlwaysSend[[#This Row],[Show Feedstock]:[Show Data Source2]],Table_AlwaysSend[[#This Row],[Conditional]]=TRUE)</f>
        <v>1</v>
      </c>
      <c r="R196" s="261" t="s">
        <v>1691</v>
      </c>
      <c r="S196" s="287" t="e">
        <f t="shared" ca="1" si="0"/>
        <v>#DIV/0!</v>
      </c>
      <c r="T196" s="55" t="s">
        <v>1927</v>
      </c>
    </row>
    <row r="197" spans="5:20" x14ac:dyDescent="0.3">
      <c r="E197" s="301" t="str">
        <f ca="1">IF(Table_AlwaysSend[[#This Row],[GREET1 Name Range]]="", "dash_"&amp;Table_AlwaysSend[[#This Row],[Feedstock]]&amp;"_"&amp;Table_AlwaysSend[[#This Row],[Value to Send]], Table_AlwaysSend[[#This Row],[Feedstock]]&amp;"_"&amp;Table_AlwaysSend[[#This Row],[Value to Send]]&amp;"_"&amp;Table_AlwaysSend[[#This Row],[GREET1 Name Range]])</f>
        <v>Sugarcane_0_Share_RNG_LFG_Heat_SAF</v>
      </c>
      <c r="F197" s="294" t="s">
        <v>447</v>
      </c>
      <c r="G197" s="294" t="s">
        <v>1964</v>
      </c>
      <c r="H197" s="282" t="s">
        <v>29</v>
      </c>
      <c r="I197" s="282" t="s">
        <v>29</v>
      </c>
      <c r="J197" s="282" t="s">
        <v>31</v>
      </c>
      <c r="K197" s="305" t="b" cm="1">
        <f t="array" ref="K197">OR(NOT(ISERROR(MATCH(TRIM(_xlfn.TEXTSPLIT(Table_AlwaysSend[[#This Row],[Feedstock]],",")),SelectedFeedstock,0))),AND(SelectedFeedstock&lt;&gt;"(Multiple Items)",SelectedFeedstock&lt;&gt;"(All)",Table_AlwaysSend[[#This Row],[Feedstock]]="All"))</f>
        <v>0</v>
      </c>
      <c r="L197" s="305" t="b" cm="1">
        <f t="array" ref="L197">OR(NOT(ISERROR(MATCH(TRIM(_xlfn.TEXTSPLIT(Table_AlwaysSend[[#This Row],[Conversion]],",")),SelectedConversion,0))),AND(SelectedConversion&lt;&gt;"(Multiple Items)",SelectedConversion&lt;&gt;"(All)",Table_AlwaysSend[[#This Row],[Conversion]]="All"))</f>
        <v>0</v>
      </c>
      <c r="M197" s="305" t="b" cm="1">
        <f t="array" ref="M197">OR(NOT(ISERROR(MATCH(TRIM(_xlfn.TEXTSPLIT(Table_AlwaysSend[[#This Row],[Data Source]],",")),SelectedDataSource,0))),AND(SelectedDataSource&lt;&gt;"(Multiple Items)",SelectedDataSource&lt;&gt;"(All)",Table_AlwaysSend[[#This Row],[Data Source]]="All"))</f>
        <v>1</v>
      </c>
      <c r="N197" s="305" t="b" cm="1">
        <f t="array" ref="N197">OR(NOT(ISERROR(MATCH(TRIM(_xlfn.TEXTSPLIT(Table_AlwaysSend[[#This Row],[Technology]],",")),SelectedTechnology,0))),AND(SelectedTechnology&lt;&gt;"(Multiple Items)",SelectedTechnology&lt;&gt;"(All)",Table_AlwaysSend[[#This Row],[Technology]]="All"))</f>
        <v>1</v>
      </c>
      <c r="O197" s="305" t="b" cm="1">
        <f t="array" ref="O197">OR(NOT(ISERROR(MATCH(TRIM(_xlfn.TEXTSPLIT(Table_AlwaysSend[[#This Row],[Data Set]],",")),SelectedDataSet,0))),AND(SelectedDataSet&lt;&gt;"(Multiple Items)",SelectedDataSet&lt;&gt;"(All)",Table_AlwaysSend[[#This Row],[Data Set]]="All"))</f>
        <v>1</v>
      </c>
      <c r="P197" s="305" t="b">
        <v>1</v>
      </c>
      <c r="Q197" s="307" t="b">
        <f>AND(Table_AlwaysSend[[#This Row],[Show Feedstock]:[Show Data Source2]],Table_AlwaysSend[[#This Row],[Conditional]]=TRUE)</f>
        <v>0</v>
      </c>
      <c r="R197" s="261" t="s">
        <v>1691</v>
      </c>
      <c r="S197" s="287">
        <f t="shared" ca="1" si="0"/>
        <v>0</v>
      </c>
      <c r="T197" s="55" t="s">
        <v>1927</v>
      </c>
    </row>
    <row r="198" spans="5:20" x14ac:dyDescent="0.3">
      <c r="E198" s="301" t="str">
        <f ca="1">IF(Table_AlwaysSend[[#This Row],[GREET1 Name Range]]="", "dash_"&amp;Table_AlwaysSend[[#This Row],[Feedstock]]&amp;"_"&amp;Table_AlwaysSend[[#This Row],[Value to Send]], Table_AlwaysSend[[#This Row],[Feedstock]]&amp;"_"&amp;Table_AlwaysSend[[#This Row],[Value to Send]]&amp;"_"&amp;Table_AlwaysSend[[#This Row],[GREET1 Name Range]])</f>
        <v>Soybean_0_Share_RNG_LFG_Heat_SAF</v>
      </c>
      <c r="F198" s="294" t="s">
        <v>10</v>
      </c>
      <c r="G198" s="294" t="s">
        <v>30</v>
      </c>
      <c r="H198" s="282" t="s">
        <v>29</v>
      </c>
      <c r="I198" s="282" t="s">
        <v>29</v>
      </c>
      <c r="J198" s="282" t="s">
        <v>31</v>
      </c>
      <c r="K198" s="305" t="b" cm="1">
        <f t="array" ref="K198">OR(NOT(ISERROR(MATCH(TRIM(_xlfn.TEXTSPLIT(Table_AlwaysSend[[#This Row],[Feedstock]],",")),SelectedFeedstock,0))),AND(SelectedFeedstock&lt;&gt;"(Multiple Items)",SelectedFeedstock&lt;&gt;"(All)",Table_AlwaysSend[[#This Row],[Feedstock]]="All"))</f>
        <v>0</v>
      </c>
      <c r="L198" s="305" t="b" cm="1">
        <f t="array" ref="L198">OR(NOT(ISERROR(MATCH(TRIM(_xlfn.TEXTSPLIT(Table_AlwaysSend[[#This Row],[Conversion]],",")),SelectedConversion,0))),AND(SelectedConversion&lt;&gt;"(Multiple Items)",SelectedConversion&lt;&gt;"(All)",Table_AlwaysSend[[#This Row],[Conversion]]="All"))</f>
        <v>1</v>
      </c>
      <c r="M198" s="305" t="b" cm="1">
        <f t="array" ref="M198">OR(NOT(ISERROR(MATCH(TRIM(_xlfn.TEXTSPLIT(Table_AlwaysSend[[#This Row],[Data Source]],",")),SelectedDataSource,0))),AND(SelectedDataSource&lt;&gt;"(Multiple Items)",SelectedDataSource&lt;&gt;"(All)",Table_AlwaysSend[[#This Row],[Data Source]]="All"))</f>
        <v>1</v>
      </c>
      <c r="N198" s="305" t="b" cm="1">
        <f t="array" ref="N198">OR(NOT(ISERROR(MATCH(TRIM(_xlfn.TEXTSPLIT(Table_AlwaysSend[[#This Row],[Technology]],",")),SelectedTechnology,0))),AND(SelectedTechnology&lt;&gt;"(Multiple Items)",SelectedTechnology&lt;&gt;"(All)",Table_AlwaysSend[[#This Row],[Technology]]="All"))</f>
        <v>1</v>
      </c>
      <c r="O198" s="305" t="b" cm="1">
        <f t="array" ref="O198">OR(NOT(ISERROR(MATCH(TRIM(_xlfn.TEXTSPLIT(Table_AlwaysSend[[#This Row],[Data Set]],",")),SelectedDataSet,0))),AND(SelectedDataSet&lt;&gt;"(Multiple Items)",SelectedDataSet&lt;&gt;"(All)",Table_AlwaysSend[[#This Row],[Data Set]]="All"))</f>
        <v>1</v>
      </c>
      <c r="P198" s="305" t="b">
        <v>1</v>
      </c>
      <c r="Q198" s="307" t="b">
        <f>AND(Table_AlwaysSend[[#This Row],[Show Feedstock]:[Show Data Source2]],Table_AlwaysSend[[#This Row],[Conditional]]=TRUE)</f>
        <v>0</v>
      </c>
      <c r="R198" s="261" t="s">
        <v>1691</v>
      </c>
      <c r="S198" s="287">
        <f t="shared" ca="1" si="0"/>
        <v>0</v>
      </c>
      <c r="T198" s="55" t="s">
        <v>1927</v>
      </c>
    </row>
    <row r="199" spans="5:20" x14ac:dyDescent="0.3">
      <c r="E199" s="301" t="str">
        <f ca="1">IF(Table_AlwaysSend[[#This Row],[GREET1 Name Range]]="", "dash_"&amp;Table_AlwaysSend[[#This Row],[Feedstock]]&amp;"_"&amp;Table_AlwaysSend[[#This Row],[Value to Send]], Table_AlwaysSend[[#This Row],[Feedstock]]&amp;"_"&amp;Table_AlwaysSend[[#This Row],[Value to Send]]&amp;"_"&amp;Table_AlwaysSend[[#This Row],[GREET1 Name Range]])</f>
        <v>Corn_0_Share_RNG_LFG_Heat_SAF</v>
      </c>
      <c r="F199" s="294" t="s">
        <v>136</v>
      </c>
      <c r="G199" s="294" t="s">
        <v>1964</v>
      </c>
      <c r="H199" s="282" t="s">
        <v>29</v>
      </c>
      <c r="I199" s="282" t="s">
        <v>29</v>
      </c>
      <c r="J199" s="282" t="s">
        <v>1592</v>
      </c>
      <c r="K199" s="305" t="b" cm="1">
        <f t="array" ref="K199">OR(NOT(ISERROR(MATCH(TRIM(_xlfn.TEXTSPLIT(Table_AlwaysSend[[#This Row],[Feedstock]],",")),SelectedFeedstock,0))),AND(SelectedFeedstock&lt;&gt;"(Multiple Items)",SelectedFeedstock&lt;&gt;"(All)",Table_AlwaysSend[[#This Row],[Feedstock]]="All"))</f>
        <v>0</v>
      </c>
      <c r="L199" s="305" t="b" cm="1">
        <f t="array" ref="L199">OR(NOT(ISERROR(MATCH(TRIM(_xlfn.TEXTSPLIT(Table_AlwaysSend[[#This Row],[Conversion]],",")),SelectedConversion,0))),AND(SelectedConversion&lt;&gt;"(Multiple Items)",SelectedConversion&lt;&gt;"(All)",Table_AlwaysSend[[#This Row],[Conversion]]="All"))</f>
        <v>0</v>
      </c>
      <c r="M199" s="305" t="b" cm="1">
        <f t="array" ref="M199">OR(NOT(ISERROR(MATCH(TRIM(_xlfn.TEXTSPLIT(Table_AlwaysSend[[#This Row],[Data Source]],",")),SelectedDataSource,0))),AND(SelectedDataSource&lt;&gt;"(Multiple Items)",SelectedDataSource&lt;&gt;"(All)",Table_AlwaysSend[[#This Row],[Data Source]]="All"))</f>
        <v>1</v>
      </c>
      <c r="N199" s="305" t="b" cm="1">
        <f t="array" ref="N199">OR(NOT(ISERROR(MATCH(TRIM(_xlfn.TEXTSPLIT(Table_AlwaysSend[[#This Row],[Technology]],",")),SelectedTechnology,0))),AND(SelectedTechnology&lt;&gt;"(Multiple Items)",SelectedTechnology&lt;&gt;"(All)",Table_AlwaysSend[[#This Row],[Technology]]="All"))</f>
        <v>0</v>
      </c>
      <c r="O199" s="305" t="b" cm="1">
        <f t="array" ref="O199">OR(NOT(ISERROR(MATCH(TRIM(_xlfn.TEXTSPLIT(Table_AlwaysSend[[#This Row],[Data Set]],",")),SelectedDataSet,0))),AND(SelectedDataSet&lt;&gt;"(Multiple Items)",SelectedDataSet&lt;&gt;"(All)",Table_AlwaysSend[[#This Row],[Data Set]]="All"))</f>
        <v>1</v>
      </c>
      <c r="P199" s="305" t="b">
        <v>1</v>
      </c>
      <c r="Q199" s="307" t="b">
        <f>AND(Table_AlwaysSend[[#This Row],[Show Feedstock]:[Show Data Source2]],Table_AlwaysSend[[#This Row],[Conditional]]=TRUE)</f>
        <v>0</v>
      </c>
      <c r="R199" s="261" t="s">
        <v>1691</v>
      </c>
      <c r="S199" s="287">
        <f t="shared" ca="1" si="0"/>
        <v>0</v>
      </c>
      <c r="T199" s="55" t="s">
        <v>1927</v>
      </c>
    </row>
    <row r="200" spans="5:20" x14ac:dyDescent="0.3">
      <c r="E200" s="301" t="str">
        <f ca="1">IF(Table_AlwaysSend[[#This Row],[GREET1 Name Range]]="", "dash_"&amp;Table_AlwaysSend[[#This Row],[Feedstock]]&amp;"_"&amp;Table_AlwaysSend[[#This Row],[Value to Send]], Table_AlwaysSend[[#This Row],[Feedstock]]&amp;"_"&amp;Table_AlwaysSend[[#This Row],[Value to Send]]&amp;"_"&amp;Table_AlwaysSend[[#This Row],[GREET1 Name Range]])</f>
        <v>Corn oil_353.041721597855_CornOil_HEFA_Natural_gas</v>
      </c>
      <c r="F200" s="294" t="s">
        <v>374</v>
      </c>
      <c r="G200" s="294" t="s">
        <v>30</v>
      </c>
      <c r="H200" s="282" t="s">
        <v>29</v>
      </c>
      <c r="I200" s="282" t="s">
        <v>29</v>
      </c>
      <c r="J200" s="282" t="s">
        <v>31</v>
      </c>
      <c r="K200" s="305" t="b" cm="1">
        <f t="array" ref="K200">OR(NOT(ISERROR(MATCH(TRIM(_xlfn.TEXTSPLIT(Table_AlwaysSend[[#This Row],[Feedstock]],",")),SelectedFeedstock,0))),AND(SelectedFeedstock&lt;&gt;"(Multiple Items)",SelectedFeedstock&lt;&gt;"(All)",Table_AlwaysSend[[#This Row],[Feedstock]]="All"))</f>
        <v>0</v>
      </c>
      <c r="L200" s="305" t="b" cm="1">
        <f t="array" ref="L200">OR(NOT(ISERROR(MATCH(TRIM(_xlfn.TEXTSPLIT(Table_AlwaysSend[[#This Row],[Conversion]],",")),SelectedConversion,0))),AND(SelectedConversion&lt;&gt;"(Multiple Items)",SelectedConversion&lt;&gt;"(All)",Table_AlwaysSend[[#This Row],[Conversion]]="All"))</f>
        <v>1</v>
      </c>
      <c r="M200" s="305" t="b" cm="1">
        <f t="array" ref="M200">OR(NOT(ISERROR(MATCH(TRIM(_xlfn.TEXTSPLIT(Table_AlwaysSend[[#This Row],[Data Source]],",")),SelectedDataSource,0))),AND(SelectedDataSource&lt;&gt;"(Multiple Items)",SelectedDataSource&lt;&gt;"(All)",Table_AlwaysSend[[#This Row],[Data Source]]="All"))</f>
        <v>1</v>
      </c>
      <c r="N200" s="305" t="b" cm="1">
        <f t="array" ref="N200">OR(NOT(ISERROR(MATCH(TRIM(_xlfn.TEXTSPLIT(Table_AlwaysSend[[#This Row],[Technology]],",")),SelectedTechnology,0))),AND(SelectedTechnology&lt;&gt;"(Multiple Items)",SelectedTechnology&lt;&gt;"(All)",Table_AlwaysSend[[#This Row],[Technology]]="All"))</f>
        <v>1</v>
      </c>
      <c r="O200" s="305" t="b" cm="1">
        <f t="array" ref="O200">OR(NOT(ISERROR(MATCH(TRIM(_xlfn.TEXTSPLIT(Table_AlwaysSend[[#This Row],[Data Set]],",")),SelectedDataSet,0))),AND(SelectedDataSet&lt;&gt;"(Multiple Items)",SelectedDataSet&lt;&gt;"(All)",Table_AlwaysSend[[#This Row],[Data Set]]="All"))</f>
        <v>1</v>
      </c>
      <c r="P200" s="305" t="b">
        <v>1</v>
      </c>
      <c r="Q200" s="307" t="b">
        <f>AND(Table_AlwaysSend[[#This Row],[Show Feedstock]:[Show Data Source2]],Table_AlwaysSend[[#This Row],[Conditional]]=TRUE)</f>
        <v>0</v>
      </c>
      <c r="R200" s="193" t="s">
        <v>603</v>
      </c>
      <c r="S200" s="334">
        <f ca="1">(LCI!$U$2788+LCI!$U$2789)</f>
        <v>353.04172159785469</v>
      </c>
      <c r="T200" s="55" t="s">
        <v>1928</v>
      </c>
    </row>
    <row r="201" spans="5:20" x14ac:dyDescent="0.3">
      <c r="E201" s="301" t="str">
        <f ca="1">IF(Table_AlwaysSend[[#This Row],[GREET1 Name Range]]="", "dash_"&amp;Table_AlwaysSend[[#This Row],[Feedstock]]&amp;"_"&amp;Table_AlwaysSend[[#This Row],[Value to Send]], Table_AlwaysSend[[#This Row],[Feedstock]]&amp;"_"&amp;Table_AlwaysSend[[#This Row],[Value to Send]]&amp;"_"&amp;Table_AlwaysSend[[#This Row],[GREET1 Name Range]])</f>
        <v>UCO_353.041721597855_UCO_HEFA_Natural_gas</v>
      </c>
      <c r="F201" s="294" t="s">
        <v>875</v>
      </c>
      <c r="G201" s="294" t="s">
        <v>30</v>
      </c>
      <c r="H201" s="282" t="s">
        <v>29</v>
      </c>
      <c r="I201" s="282" t="s">
        <v>29</v>
      </c>
      <c r="J201" s="282" t="s">
        <v>31</v>
      </c>
      <c r="K201" s="305" t="b" cm="1">
        <f t="array" ref="K201">OR(NOT(ISERROR(MATCH(TRIM(_xlfn.TEXTSPLIT(Table_AlwaysSend[[#This Row],[Feedstock]],",")),SelectedFeedstock,0))),AND(SelectedFeedstock&lt;&gt;"(Multiple Items)",SelectedFeedstock&lt;&gt;"(All)",Table_AlwaysSend[[#This Row],[Feedstock]]="All"))</f>
        <v>0</v>
      </c>
      <c r="L201" s="305" t="b" cm="1">
        <f t="array" ref="L201">OR(NOT(ISERROR(MATCH(TRIM(_xlfn.TEXTSPLIT(Table_AlwaysSend[[#This Row],[Conversion]],",")),SelectedConversion,0))),AND(SelectedConversion&lt;&gt;"(Multiple Items)",SelectedConversion&lt;&gt;"(All)",Table_AlwaysSend[[#This Row],[Conversion]]="All"))</f>
        <v>1</v>
      </c>
      <c r="M201" s="305" t="b" cm="1">
        <f t="array" ref="M201">OR(NOT(ISERROR(MATCH(TRIM(_xlfn.TEXTSPLIT(Table_AlwaysSend[[#This Row],[Data Source]],",")),SelectedDataSource,0))),AND(SelectedDataSource&lt;&gt;"(Multiple Items)",SelectedDataSource&lt;&gt;"(All)",Table_AlwaysSend[[#This Row],[Data Source]]="All"))</f>
        <v>1</v>
      </c>
      <c r="N201" s="305" t="b" cm="1">
        <f t="array" ref="N201">OR(NOT(ISERROR(MATCH(TRIM(_xlfn.TEXTSPLIT(Table_AlwaysSend[[#This Row],[Technology]],",")),SelectedTechnology,0))),AND(SelectedTechnology&lt;&gt;"(Multiple Items)",SelectedTechnology&lt;&gt;"(All)",Table_AlwaysSend[[#This Row],[Technology]]="All"))</f>
        <v>1</v>
      </c>
      <c r="O201" s="305" t="b" cm="1">
        <f t="array" ref="O201">OR(NOT(ISERROR(MATCH(TRIM(_xlfn.TEXTSPLIT(Table_AlwaysSend[[#This Row],[Data Set]],",")),SelectedDataSet,0))),AND(SelectedDataSet&lt;&gt;"(Multiple Items)",SelectedDataSet&lt;&gt;"(All)",Table_AlwaysSend[[#This Row],[Data Set]]="All"))</f>
        <v>1</v>
      </c>
      <c r="P201" s="305" t="b">
        <v>1</v>
      </c>
      <c r="Q201" s="307" t="b">
        <f>AND(Table_AlwaysSend[[#This Row],[Show Feedstock]:[Show Data Source2]],Table_AlwaysSend[[#This Row],[Conditional]]=TRUE)</f>
        <v>0</v>
      </c>
      <c r="R201" s="178" t="s">
        <v>1090</v>
      </c>
      <c r="S201" s="334">
        <f ca="1">(LCI!$U$2793+LCI!$U$2794)</f>
        <v>353.04172159785469</v>
      </c>
      <c r="T201" s="55" t="s">
        <v>1928</v>
      </c>
    </row>
    <row r="202" spans="5:20" x14ac:dyDescent="0.3">
      <c r="E202" s="301" t="str">
        <f ca="1">IF(Table_AlwaysSend[[#This Row],[GREET1 Name Range]]="", "dash_"&amp;Table_AlwaysSend[[#This Row],[Feedstock]]&amp;"_"&amp;Table_AlwaysSend[[#This Row],[Value to Send]], Table_AlwaysSend[[#This Row],[Feedstock]]&amp;"_"&amp;Table_AlwaysSend[[#This Row],[Value to Send]]&amp;"_"&amp;Table_AlwaysSend[[#This Row],[GREET1 Name Range]])</f>
        <v>Tallow_353.041721597855_Tallow_HEFA_Natural_gas</v>
      </c>
      <c r="F202" s="294" t="s">
        <v>874</v>
      </c>
      <c r="G202" s="294" t="s">
        <v>30</v>
      </c>
      <c r="H202" s="282" t="s">
        <v>29</v>
      </c>
      <c r="I202" s="282" t="s">
        <v>29</v>
      </c>
      <c r="J202" s="282" t="s">
        <v>31</v>
      </c>
      <c r="K202" s="305" t="b" cm="1">
        <f t="array" ref="K202">OR(NOT(ISERROR(MATCH(TRIM(_xlfn.TEXTSPLIT(Table_AlwaysSend[[#This Row],[Feedstock]],",")),SelectedFeedstock,0))),AND(SelectedFeedstock&lt;&gt;"(Multiple Items)",SelectedFeedstock&lt;&gt;"(All)",Table_AlwaysSend[[#This Row],[Feedstock]]="All"))</f>
        <v>0</v>
      </c>
      <c r="L202" s="305" t="b" cm="1">
        <f t="array" ref="L202">OR(NOT(ISERROR(MATCH(TRIM(_xlfn.TEXTSPLIT(Table_AlwaysSend[[#This Row],[Conversion]],",")),SelectedConversion,0))),AND(SelectedConversion&lt;&gt;"(Multiple Items)",SelectedConversion&lt;&gt;"(All)",Table_AlwaysSend[[#This Row],[Conversion]]="All"))</f>
        <v>1</v>
      </c>
      <c r="M202" s="305" t="b" cm="1">
        <f t="array" ref="M202">OR(NOT(ISERROR(MATCH(TRIM(_xlfn.TEXTSPLIT(Table_AlwaysSend[[#This Row],[Data Source]],",")),SelectedDataSource,0))),AND(SelectedDataSource&lt;&gt;"(Multiple Items)",SelectedDataSource&lt;&gt;"(All)",Table_AlwaysSend[[#This Row],[Data Source]]="All"))</f>
        <v>1</v>
      </c>
      <c r="N202" s="305" t="b" cm="1">
        <f t="array" ref="N202">OR(NOT(ISERROR(MATCH(TRIM(_xlfn.TEXTSPLIT(Table_AlwaysSend[[#This Row],[Technology]],",")),SelectedTechnology,0))),AND(SelectedTechnology&lt;&gt;"(Multiple Items)",SelectedTechnology&lt;&gt;"(All)",Table_AlwaysSend[[#This Row],[Technology]]="All"))</f>
        <v>1</v>
      </c>
      <c r="O202" s="305" t="b" cm="1">
        <f t="array" ref="O202">OR(NOT(ISERROR(MATCH(TRIM(_xlfn.TEXTSPLIT(Table_AlwaysSend[[#This Row],[Data Set]],",")),SelectedDataSet,0))),AND(SelectedDataSet&lt;&gt;"(Multiple Items)",SelectedDataSet&lt;&gt;"(All)",Table_AlwaysSend[[#This Row],[Data Set]]="All"))</f>
        <v>1</v>
      </c>
      <c r="P202" s="305" t="b">
        <v>1</v>
      </c>
      <c r="Q202" s="307" t="b">
        <f>AND(Table_AlwaysSend[[#This Row],[Show Feedstock]:[Show Data Source2]],Table_AlwaysSend[[#This Row],[Conditional]]=TRUE)</f>
        <v>0</v>
      </c>
      <c r="R202" s="332" t="s">
        <v>1077</v>
      </c>
      <c r="S202" s="334">
        <f ca="1">(LCI!$U$2798+LCI!$U$2799)</f>
        <v>353.04172159785469</v>
      </c>
      <c r="T202" s="55" t="s">
        <v>1928</v>
      </c>
    </row>
    <row r="203" spans="5:20" x14ac:dyDescent="0.3">
      <c r="E203" s="301" t="e">
        <f ca="1">IF(Table_AlwaysSend[[#This Row],[GREET1 Name Range]]="", "dash_"&amp;Table_AlwaysSend[[#This Row],[Feedstock]]&amp;"_"&amp;Table_AlwaysSend[[#This Row],[Value to Send]], Table_AlwaysSend[[#This Row],[Feedstock]]&amp;"_"&amp;Table_AlwaysSend[[#This Row],[Value to Send]]&amp;"_"&amp;Table_AlwaysSend[[#This Row],[GREET1 Name Range]])</f>
        <v>#DIV/0!</v>
      </c>
      <c r="F203" s="294" t="s">
        <v>1347</v>
      </c>
      <c r="G203" s="294" t="s">
        <v>30</v>
      </c>
      <c r="H203" s="282" t="s">
        <v>29</v>
      </c>
      <c r="I203" s="282" t="s">
        <v>29</v>
      </c>
      <c r="J203" s="282" t="s">
        <v>31</v>
      </c>
      <c r="K203" s="305" t="b" cm="1">
        <f t="array" ref="K203">OR(NOT(ISERROR(MATCH(TRIM(_xlfn.TEXTSPLIT(Table_AlwaysSend[[#This Row],[Feedstock]],",")),SelectedFeedstock,0))),AND(SelectedFeedstock&lt;&gt;"(Multiple Items)",SelectedFeedstock&lt;&gt;"(All)",Table_AlwaysSend[[#This Row],[Feedstock]]="All"))</f>
        <v>1</v>
      </c>
      <c r="L203" s="305" t="b" cm="1">
        <f t="array" ref="L203">OR(NOT(ISERROR(MATCH(TRIM(_xlfn.TEXTSPLIT(Table_AlwaysSend[[#This Row],[Conversion]],",")),SelectedConversion,0))),AND(SelectedConversion&lt;&gt;"(Multiple Items)",SelectedConversion&lt;&gt;"(All)",Table_AlwaysSend[[#This Row],[Conversion]]="All"))</f>
        <v>1</v>
      </c>
      <c r="M203" s="305" t="b" cm="1">
        <f t="array" ref="M203">OR(NOT(ISERROR(MATCH(TRIM(_xlfn.TEXTSPLIT(Table_AlwaysSend[[#This Row],[Data Source]],",")),SelectedDataSource,0))),AND(SelectedDataSource&lt;&gt;"(Multiple Items)",SelectedDataSource&lt;&gt;"(All)",Table_AlwaysSend[[#This Row],[Data Source]]="All"))</f>
        <v>1</v>
      </c>
      <c r="N203" s="305" t="b" cm="1">
        <f t="array" ref="N203">OR(NOT(ISERROR(MATCH(TRIM(_xlfn.TEXTSPLIT(Table_AlwaysSend[[#This Row],[Technology]],",")),SelectedTechnology,0))),AND(SelectedTechnology&lt;&gt;"(Multiple Items)",SelectedTechnology&lt;&gt;"(All)",Table_AlwaysSend[[#This Row],[Technology]]="All"))</f>
        <v>1</v>
      </c>
      <c r="O203" s="305" t="b" cm="1">
        <f t="array" ref="O203">OR(NOT(ISERROR(MATCH(TRIM(_xlfn.TEXTSPLIT(Table_AlwaysSend[[#This Row],[Data Set]],",")),SelectedDataSet,0))),AND(SelectedDataSet&lt;&gt;"(Multiple Items)",SelectedDataSet&lt;&gt;"(All)",Table_AlwaysSend[[#This Row],[Data Set]]="All"))</f>
        <v>1</v>
      </c>
      <c r="P203" s="305" t="b">
        <v>1</v>
      </c>
      <c r="Q203" s="307" t="b">
        <f>AND(Table_AlwaysSend[[#This Row],[Show Feedstock]:[Show Data Source2]],Table_AlwaysSend[[#This Row],[Conditional]]=TRUE)</f>
        <v>1</v>
      </c>
      <c r="R203" s="178" t="s">
        <v>503</v>
      </c>
      <c r="S203" s="334" t="e">
        <f ca="1">(LCI!$U$2803+LCI!$U$2804)</f>
        <v>#DIV/0!</v>
      </c>
      <c r="T203" s="55" t="s">
        <v>1928</v>
      </c>
    </row>
    <row r="204" spans="5:20" x14ac:dyDescent="0.3">
      <c r="E204" s="301" t="str">
        <f ca="1">IF(Table_AlwaysSend[[#This Row],[GREET1 Name Range]]="", "dash_"&amp;Table_AlwaysSend[[#This Row],[Feedstock]]&amp;"_"&amp;Table_AlwaysSend[[#This Row],[Value to Send]], Table_AlwaysSend[[#This Row],[Feedstock]]&amp;"_"&amp;Table_AlwaysSend[[#This Row],[Value to Send]]&amp;"_"&amp;Table_AlwaysSend[[#This Row],[GREET1 Name Range]])</f>
        <v>Sugarcane_0.1_ETJ_Standalone_NG</v>
      </c>
      <c r="F204" s="294" t="s">
        <v>447</v>
      </c>
      <c r="G204" s="294" t="s">
        <v>1964</v>
      </c>
      <c r="H204" s="282" t="s">
        <v>29</v>
      </c>
      <c r="I204" s="282" t="s">
        <v>29</v>
      </c>
      <c r="J204" s="282" t="s">
        <v>31</v>
      </c>
      <c r="K204" s="305" t="b" cm="1">
        <f t="array" ref="K204">OR(NOT(ISERROR(MATCH(TRIM(_xlfn.TEXTSPLIT(Table_AlwaysSend[[#This Row],[Feedstock]],",")),SelectedFeedstock,0))),AND(SelectedFeedstock&lt;&gt;"(Multiple Items)",SelectedFeedstock&lt;&gt;"(All)",Table_AlwaysSend[[#This Row],[Feedstock]]="All"))</f>
        <v>0</v>
      </c>
      <c r="L204" s="305" t="b" cm="1">
        <f t="array" ref="L204">OR(NOT(ISERROR(MATCH(TRIM(_xlfn.TEXTSPLIT(Table_AlwaysSend[[#This Row],[Conversion]],",")),SelectedConversion,0))),AND(SelectedConversion&lt;&gt;"(Multiple Items)",SelectedConversion&lt;&gt;"(All)",Table_AlwaysSend[[#This Row],[Conversion]]="All"))</f>
        <v>0</v>
      </c>
      <c r="M204" s="305" t="b" cm="1">
        <f t="array" ref="M204">OR(NOT(ISERROR(MATCH(TRIM(_xlfn.TEXTSPLIT(Table_AlwaysSend[[#This Row],[Data Source]],",")),SelectedDataSource,0))),AND(SelectedDataSource&lt;&gt;"(Multiple Items)",SelectedDataSource&lt;&gt;"(All)",Table_AlwaysSend[[#This Row],[Data Source]]="All"))</f>
        <v>1</v>
      </c>
      <c r="N204" s="305" t="b" cm="1">
        <f t="array" ref="N204">OR(NOT(ISERROR(MATCH(TRIM(_xlfn.TEXTSPLIT(Table_AlwaysSend[[#This Row],[Technology]],",")),SelectedTechnology,0))),AND(SelectedTechnology&lt;&gt;"(Multiple Items)",SelectedTechnology&lt;&gt;"(All)",Table_AlwaysSend[[#This Row],[Technology]]="All"))</f>
        <v>1</v>
      </c>
      <c r="O204" s="305" t="b" cm="1">
        <f t="array" ref="O204">OR(NOT(ISERROR(MATCH(TRIM(_xlfn.TEXTSPLIT(Table_AlwaysSend[[#This Row],[Data Set]],",")),SelectedDataSet,0))),AND(SelectedDataSet&lt;&gt;"(Multiple Items)",SelectedDataSet&lt;&gt;"(All)",Table_AlwaysSend[[#This Row],[Data Set]]="All"))</f>
        <v>1</v>
      </c>
      <c r="P204" s="305" t="b">
        <v>1</v>
      </c>
      <c r="Q204" s="307" t="b">
        <f>AND(Table_AlwaysSend[[#This Row],[Show Feedstock]:[Show Data Source2]],Table_AlwaysSend[[#This Row],[Conditional]]=TRUE)</f>
        <v>0</v>
      </c>
      <c r="R204" s="178" t="s">
        <v>1636</v>
      </c>
      <c r="S204" s="334">
        <f ca="1">(LCI!$U$2808+LCI!$U$2809)</f>
        <v>0.1</v>
      </c>
      <c r="T204" s="55" t="s">
        <v>1928</v>
      </c>
    </row>
    <row r="205" spans="5:20" x14ac:dyDescent="0.3">
      <c r="E205" s="301" t="str">
        <f ca="1">IF(Table_AlwaysSend[[#This Row],[GREET1 Name Range]]="", "dash_"&amp;Table_AlwaysSend[[#This Row],[Feedstock]]&amp;"_"&amp;Table_AlwaysSend[[#This Row],[Value to Send]], Table_AlwaysSend[[#This Row],[Feedstock]]&amp;"_"&amp;Table_AlwaysSend[[#This Row],[Value to Send]]&amp;"_"&amp;Table_AlwaysSend[[#This Row],[GREET1 Name Range]])</f>
        <v>Soybean_353.041721597855_Soybean_HEFA_Natural_gas</v>
      </c>
      <c r="F205" s="294" t="s">
        <v>10</v>
      </c>
      <c r="G205" s="294" t="s">
        <v>30</v>
      </c>
      <c r="H205" s="282" t="s">
        <v>29</v>
      </c>
      <c r="I205" s="282" t="s">
        <v>29</v>
      </c>
      <c r="J205" s="282" t="s">
        <v>31</v>
      </c>
      <c r="K205" s="305" t="b" cm="1">
        <f t="array" ref="K205">OR(NOT(ISERROR(MATCH(TRIM(_xlfn.TEXTSPLIT(Table_AlwaysSend[[#This Row],[Feedstock]],",")),SelectedFeedstock,0))),AND(SelectedFeedstock&lt;&gt;"(Multiple Items)",SelectedFeedstock&lt;&gt;"(All)",Table_AlwaysSend[[#This Row],[Feedstock]]="All"))</f>
        <v>0</v>
      </c>
      <c r="L205" s="305" t="b" cm="1">
        <f t="array" ref="L205">OR(NOT(ISERROR(MATCH(TRIM(_xlfn.TEXTSPLIT(Table_AlwaysSend[[#This Row],[Conversion]],",")),SelectedConversion,0))),AND(SelectedConversion&lt;&gt;"(Multiple Items)",SelectedConversion&lt;&gt;"(All)",Table_AlwaysSend[[#This Row],[Conversion]]="All"))</f>
        <v>1</v>
      </c>
      <c r="M205" s="305" t="b" cm="1">
        <f t="array" ref="M205">OR(NOT(ISERROR(MATCH(TRIM(_xlfn.TEXTSPLIT(Table_AlwaysSend[[#This Row],[Data Source]],",")),SelectedDataSource,0))),AND(SelectedDataSource&lt;&gt;"(Multiple Items)",SelectedDataSource&lt;&gt;"(All)",Table_AlwaysSend[[#This Row],[Data Source]]="All"))</f>
        <v>1</v>
      </c>
      <c r="N205" s="305" t="b" cm="1">
        <f t="array" ref="N205">OR(NOT(ISERROR(MATCH(TRIM(_xlfn.TEXTSPLIT(Table_AlwaysSend[[#This Row],[Technology]],",")),SelectedTechnology,0))),AND(SelectedTechnology&lt;&gt;"(Multiple Items)",SelectedTechnology&lt;&gt;"(All)",Table_AlwaysSend[[#This Row],[Technology]]="All"))</f>
        <v>1</v>
      </c>
      <c r="O205" s="305" t="b" cm="1">
        <f t="array" ref="O205">OR(NOT(ISERROR(MATCH(TRIM(_xlfn.TEXTSPLIT(Table_AlwaysSend[[#This Row],[Data Set]],",")),SelectedDataSet,0))),AND(SelectedDataSet&lt;&gt;"(Multiple Items)",SelectedDataSet&lt;&gt;"(All)",Table_AlwaysSend[[#This Row],[Data Set]]="All"))</f>
        <v>1</v>
      </c>
      <c r="P205" s="305" t="b">
        <v>1</v>
      </c>
      <c r="Q205" s="307" t="b">
        <f>AND(Table_AlwaysSend[[#This Row],[Show Feedstock]:[Show Data Source2]],Table_AlwaysSend[[#This Row],[Conditional]]=TRUE)</f>
        <v>0</v>
      </c>
      <c r="R205" s="332" t="s">
        <v>805</v>
      </c>
      <c r="S205" s="334">
        <f ca="1">(LCI!$U$2813+LCI!$U$2814)</f>
        <v>353.04172159785469</v>
      </c>
      <c r="T205" s="55" t="s">
        <v>1928</v>
      </c>
    </row>
    <row r="206" spans="5:20" x14ac:dyDescent="0.3">
      <c r="E206" s="301" t="str">
        <f ca="1">IF(Table_AlwaysSend[[#This Row],[GREET1 Name Range]]="", "dash_"&amp;Table_AlwaysSend[[#This Row],[Feedstock]]&amp;"_"&amp;Table_AlwaysSend[[#This Row],[Value to Send]], Table_AlwaysSend[[#This Row],[Feedstock]]&amp;"_"&amp;Table_AlwaysSend[[#This Row],[Value to Send]]&amp;"_"&amp;Table_AlwaysSend[[#This Row],[GREET1 Name Range]])</f>
        <v>Corn_0.1_ETJ_Standalone_NG</v>
      </c>
      <c r="F206" s="294" t="s">
        <v>136</v>
      </c>
      <c r="G206" s="294" t="s">
        <v>1964</v>
      </c>
      <c r="H206" s="282" t="s">
        <v>29</v>
      </c>
      <c r="I206" s="282" t="s">
        <v>29</v>
      </c>
      <c r="J206" s="282" t="s">
        <v>1592</v>
      </c>
      <c r="K206" s="305" t="b" cm="1">
        <f t="array" ref="K206">OR(NOT(ISERROR(MATCH(TRIM(_xlfn.TEXTSPLIT(Table_AlwaysSend[[#This Row],[Feedstock]],",")),SelectedFeedstock,0))),AND(SelectedFeedstock&lt;&gt;"(Multiple Items)",SelectedFeedstock&lt;&gt;"(All)",Table_AlwaysSend[[#This Row],[Feedstock]]="All"))</f>
        <v>0</v>
      </c>
      <c r="L206" s="305" t="b" cm="1">
        <f t="array" ref="L206">OR(NOT(ISERROR(MATCH(TRIM(_xlfn.TEXTSPLIT(Table_AlwaysSend[[#This Row],[Conversion]],",")),SelectedConversion,0))),AND(SelectedConversion&lt;&gt;"(Multiple Items)",SelectedConversion&lt;&gt;"(All)",Table_AlwaysSend[[#This Row],[Conversion]]="All"))</f>
        <v>0</v>
      </c>
      <c r="M206" s="305" t="b" cm="1">
        <f t="array" ref="M206">OR(NOT(ISERROR(MATCH(TRIM(_xlfn.TEXTSPLIT(Table_AlwaysSend[[#This Row],[Data Source]],",")),SelectedDataSource,0))),AND(SelectedDataSource&lt;&gt;"(Multiple Items)",SelectedDataSource&lt;&gt;"(All)",Table_AlwaysSend[[#This Row],[Data Source]]="All"))</f>
        <v>1</v>
      </c>
      <c r="N206" s="305" t="b" cm="1">
        <f t="array" ref="N206">OR(NOT(ISERROR(MATCH(TRIM(_xlfn.TEXTSPLIT(Table_AlwaysSend[[#This Row],[Technology]],",")),SelectedTechnology,0))),AND(SelectedTechnology&lt;&gt;"(Multiple Items)",SelectedTechnology&lt;&gt;"(All)",Table_AlwaysSend[[#This Row],[Technology]]="All"))</f>
        <v>0</v>
      </c>
      <c r="O206" s="305" t="b" cm="1">
        <f t="array" ref="O206">OR(NOT(ISERROR(MATCH(TRIM(_xlfn.TEXTSPLIT(Table_AlwaysSend[[#This Row],[Data Set]],",")),SelectedDataSet,0))),AND(SelectedDataSet&lt;&gt;"(Multiple Items)",SelectedDataSet&lt;&gt;"(All)",Table_AlwaysSend[[#This Row],[Data Set]]="All"))</f>
        <v>1</v>
      </c>
      <c r="P206" s="305" t="b">
        <v>1</v>
      </c>
      <c r="Q206" s="307" t="b">
        <f>AND(Table_AlwaysSend[[#This Row],[Show Feedstock]:[Show Data Source2]],Table_AlwaysSend[[#This Row],[Conditional]]=TRUE)</f>
        <v>0</v>
      </c>
      <c r="R206" s="178" t="s">
        <v>1636</v>
      </c>
      <c r="S206" s="333">
        <f ca="1">(LCI!$U$2818+LCI!$U$2819)</f>
        <v>0.1</v>
      </c>
      <c r="T206" s="55" t="s">
        <v>1928</v>
      </c>
    </row>
    <row r="207" spans="5:20" x14ac:dyDescent="0.3">
      <c r="E207" s="301" t="str">
        <f ca="1">IF(Table_AlwaysSend[[#This Row],[GREET1 Name Range]]="", "dash_"&amp;Table_AlwaysSend[[#This Row],[Feedstock]]&amp;"_"&amp;Table_AlwaysSend[[#This Row],[Value to Send]], Table_AlwaysSend[[#This Row],[Feedstock]]&amp;"_"&amp;Table_AlwaysSend[[#This Row],[Value to Send]]&amp;"_"&amp;Table_AlwaysSend[[#This Row],[GREET1 Name Range]])</f>
        <v>Corn oil_1_Share_NG_H2_SAF</v>
      </c>
      <c r="F207" s="294" t="s">
        <v>374</v>
      </c>
      <c r="G207" s="294" t="s">
        <v>30</v>
      </c>
      <c r="H207" s="282" t="s">
        <v>29</v>
      </c>
      <c r="I207" s="282" t="s">
        <v>29</v>
      </c>
      <c r="J207" s="282" t="s">
        <v>31</v>
      </c>
      <c r="K207" s="305" t="b" cm="1">
        <f t="array" ref="K207">OR(NOT(ISERROR(MATCH(TRIM(_xlfn.TEXTSPLIT(Table_AlwaysSend[[#This Row],[Feedstock]],",")),SelectedFeedstock,0))),AND(SelectedFeedstock&lt;&gt;"(Multiple Items)",SelectedFeedstock&lt;&gt;"(All)",Table_AlwaysSend[[#This Row],[Feedstock]]="All"))</f>
        <v>0</v>
      </c>
      <c r="L207" s="305" t="b" cm="1">
        <f t="array" ref="L207">OR(NOT(ISERROR(MATCH(TRIM(_xlfn.TEXTSPLIT(Table_AlwaysSend[[#This Row],[Conversion]],",")),SelectedConversion,0))),AND(SelectedConversion&lt;&gt;"(Multiple Items)",SelectedConversion&lt;&gt;"(All)",Table_AlwaysSend[[#This Row],[Conversion]]="All"))</f>
        <v>1</v>
      </c>
      <c r="M207" s="305" t="b" cm="1">
        <f t="array" ref="M207">OR(NOT(ISERROR(MATCH(TRIM(_xlfn.TEXTSPLIT(Table_AlwaysSend[[#This Row],[Data Source]],",")),SelectedDataSource,0))),AND(SelectedDataSource&lt;&gt;"(Multiple Items)",SelectedDataSource&lt;&gt;"(All)",Table_AlwaysSend[[#This Row],[Data Source]]="All"))</f>
        <v>1</v>
      </c>
      <c r="N207" s="305" t="b" cm="1">
        <f t="array" ref="N207">OR(NOT(ISERROR(MATCH(TRIM(_xlfn.TEXTSPLIT(Table_AlwaysSend[[#This Row],[Technology]],",")),SelectedTechnology,0))),AND(SelectedTechnology&lt;&gt;"(Multiple Items)",SelectedTechnology&lt;&gt;"(All)",Table_AlwaysSend[[#This Row],[Technology]]="All"))</f>
        <v>1</v>
      </c>
      <c r="O207" s="305" t="b" cm="1">
        <f t="array" ref="O207">OR(NOT(ISERROR(MATCH(TRIM(_xlfn.TEXTSPLIT(Table_AlwaysSend[[#This Row],[Data Set]],",")),SelectedDataSet,0))),AND(SelectedDataSet&lt;&gt;"(Multiple Items)",SelectedDataSet&lt;&gt;"(All)",Table_AlwaysSend[[#This Row],[Data Set]]="All"))</f>
        <v>1</v>
      </c>
      <c r="P207" s="305" t="b">
        <v>1</v>
      </c>
      <c r="Q207" s="307" t="b">
        <f>AND(Table_AlwaysSend[[#This Row],[Show Feedstock]:[Show Data Source2]],Table_AlwaysSend[[#This Row],[Conditional]]=TRUE)</f>
        <v>0</v>
      </c>
      <c r="R207" s="261" t="s">
        <v>1695</v>
      </c>
      <c r="S207" s="287">
        <f ca="1">LCI!U$2790/(LCI!U$2790+LCI!U$2791)</f>
        <v>1</v>
      </c>
      <c r="T207" s="55" t="s">
        <v>1931</v>
      </c>
    </row>
    <row r="208" spans="5:20" x14ac:dyDescent="0.3">
      <c r="E208" s="301" t="str">
        <f ca="1">IF(Table_AlwaysSend[[#This Row],[GREET1 Name Range]]="", "dash_"&amp;Table_AlwaysSend[[#This Row],[Feedstock]]&amp;"_"&amp;Table_AlwaysSend[[#This Row],[Value to Send]], Table_AlwaysSend[[#This Row],[Feedstock]]&amp;"_"&amp;Table_AlwaysSend[[#This Row],[Value to Send]]&amp;"_"&amp;Table_AlwaysSend[[#This Row],[GREET1 Name Range]])</f>
        <v>UCO_1_Share_NG_H2_SAF</v>
      </c>
      <c r="F208" s="294" t="s">
        <v>875</v>
      </c>
      <c r="G208" s="294" t="s">
        <v>30</v>
      </c>
      <c r="H208" s="282" t="s">
        <v>29</v>
      </c>
      <c r="I208" s="282" t="s">
        <v>29</v>
      </c>
      <c r="J208" s="282" t="s">
        <v>31</v>
      </c>
      <c r="K208" s="305" t="b" cm="1">
        <f t="array" ref="K208">OR(NOT(ISERROR(MATCH(TRIM(_xlfn.TEXTSPLIT(Table_AlwaysSend[[#This Row],[Feedstock]],",")),SelectedFeedstock,0))),AND(SelectedFeedstock&lt;&gt;"(Multiple Items)",SelectedFeedstock&lt;&gt;"(All)",Table_AlwaysSend[[#This Row],[Feedstock]]="All"))</f>
        <v>0</v>
      </c>
      <c r="L208" s="305" t="b" cm="1">
        <f t="array" ref="L208">OR(NOT(ISERROR(MATCH(TRIM(_xlfn.TEXTSPLIT(Table_AlwaysSend[[#This Row],[Conversion]],",")),SelectedConversion,0))),AND(SelectedConversion&lt;&gt;"(Multiple Items)",SelectedConversion&lt;&gt;"(All)",Table_AlwaysSend[[#This Row],[Conversion]]="All"))</f>
        <v>1</v>
      </c>
      <c r="M208" s="305" t="b" cm="1">
        <f t="array" ref="M208">OR(NOT(ISERROR(MATCH(TRIM(_xlfn.TEXTSPLIT(Table_AlwaysSend[[#This Row],[Data Source]],",")),SelectedDataSource,0))),AND(SelectedDataSource&lt;&gt;"(Multiple Items)",SelectedDataSource&lt;&gt;"(All)",Table_AlwaysSend[[#This Row],[Data Source]]="All"))</f>
        <v>1</v>
      </c>
      <c r="N208" s="305" t="b" cm="1">
        <f t="array" ref="N208">OR(NOT(ISERROR(MATCH(TRIM(_xlfn.TEXTSPLIT(Table_AlwaysSend[[#This Row],[Technology]],",")),SelectedTechnology,0))),AND(SelectedTechnology&lt;&gt;"(Multiple Items)",SelectedTechnology&lt;&gt;"(All)",Table_AlwaysSend[[#This Row],[Technology]]="All"))</f>
        <v>1</v>
      </c>
      <c r="O208" s="305" t="b" cm="1">
        <f t="array" ref="O208">OR(NOT(ISERROR(MATCH(TRIM(_xlfn.TEXTSPLIT(Table_AlwaysSend[[#This Row],[Data Set]],",")),SelectedDataSet,0))),AND(SelectedDataSet&lt;&gt;"(Multiple Items)",SelectedDataSet&lt;&gt;"(All)",Table_AlwaysSend[[#This Row],[Data Set]]="All"))</f>
        <v>1</v>
      </c>
      <c r="P208" s="305" t="b">
        <v>1</v>
      </c>
      <c r="Q208" s="307" t="b">
        <f>AND(Table_AlwaysSend[[#This Row],[Show Feedstock]:[Show Data Source2]],Table_AlwaysSend[[#This Row],[Conditional]]=TRUE)</f>
        <v>0</v>
      </c>
      <c r="R208" s="261" t="s">
        <v>1695</v>
      </c>
      <c r="S208" s="287">
        <f ca="1">LCI!U$2795/(LCI!U$2795+LCI!U$2796)</f>
        <v>1</v>
      </c>
      <c r="T208" s="55" t="s">
        <v>1931</v>
      </c>
    </row>
    <row r="209" spans="5:20" x14ac:dyDescent="0.3">
      <c r="E209" s="301" t="str">
        <f ca="1">IF(Table_AlwaysSend[[#This Row],[GREET1 Name Range]]="", "dash_"&amp;Table_AlwaysSend[[#This Row],[Feedstock]]&amp;"_"&amp;Table_AlwaysSend[[#This Row],[Value to Send]], Table_AlwaysSend[[#This Row],[Feedstock]]&amp;"_"&amp;Table_AlwaysSend[[#This Row],[Value to Send]]&amp;"_"&amp;Table_AlwaysSend[[#This Row],[GREET1 Name Range]])</f>
        <v>Tallow_1_Share_NG_H2_SAF</v>
      </c>
      <c r="F209" s="294" t="s">
        <v>874</v>
      </c>
      <c r="G209" s="294" t="s">
        <v>30</v>
      </c>
      <c r="H209" s="282" t="s">
        <v>29</v>
      </c>
      <c r="I209" s="282" t="s">
        <v>29</v>
      </c>
      <c r="J209" s="282" t="s">
        <v>31</v>
      </c>
      <c r="K209" s="305" t="b" cm="1">
        <f t="array" ref="K209">OR(NOT(ISERROR(MATCH(TRIM(_xlfn.TEXTSPLIT(Table_AlwaysSend[[#This Row],[Feedstock]],",")),SelectedFeedstock,0))),AND(SelectedFeedstock&lt;&gt;"(Multiple Items)",SelectedFeedstock&lt;&gt;"(All)",Table_AlwaysSend[[#This Row],[Feedstock]]="All"))</f>
        <v>0</v>
      </c>
      <c r="L209" s="305" t="b" cm="1">
        <f t="array" ref="L209">OR(NOT(ISERROR(MATCH(TRIM(_xlfn.TEXTSPLIT(Table_AlwaysSend[[#This Row],[Conversion]],",")),SelectedConversion,0))),AND(SelectedConversion&lt;&gt;"(Multiple Items)",SelectedConversion&lt;&gt;"(All)",Table_AlwaysSend[[#This Row],[Conversion]]="All"))</f>
        <v>1</v>
      </c>
      <c r="M209" s="305" t="b" cm="1">
        <f t="array" ref="M209">OR(NOT(ISERROR(MATCH(TRIM(_xlfn.TEXTSPLIT(Table_AlwaysSend[[#This Row],[Data Source]],",")),SelectedDataSource,0))),AND(SelectedDataSource&lt;&gt;"(Multiple Items)",SelectedDataSource&lt;&gt;"(All)",Table_AlwaysSend[[#This Row],[Data Source]]="All"))</f>
        <v>1</v>
      </c>
      <c r="N209" s="305" t="b" cm="1">
        <f t="array" ref="N209">OR(NOT(ISERROR(MATCH(TRIM(_xlfn.TEXTSPLIT(Table_AlwaysSend[[#This Row],[Technology]],",")),SelectedTechnology,0))),AND(SelectedTechnology&lt;&gt;"(Multiple Items)",SelectedTechnology&lt;&gt;"(All)",Table_AlwaysSend[[#This Row],[Technology]]="All"))</f>
        <v>1</v>
      </c>
      <c r="O209" s="305" t="b" cm="1">
        <f t="array" ref="O209">OR(NOT(ISERROR(MATCH(TRIM(_xlfn.TEXTSPLIT(Table_AlwaysSend[[#This Row],[Data Set]],",")),SelectedDataSet,0))),AND(SelectedDataSet&lt;&gt;"(Multiple Items)",SelectedDataSet&lt;&gt;"(All)",Table_AlwaysSend[[#This Row],[Data Set]]="All"))</f>
        <v>1</v>
      </c>
      <c r="P209" s="305" t="b">
        <v>1</v>
      </c>
      <c r="Q209" s="307" t="b">
        <f>AND(Table_AlwaysSend[[#This Row],[Show Feedstock]:[Show Data Source2]],Table_AlwaysSend[[#This Row],[Conditional]]=TRUE)</f>
        <v>0</v>
      </c>
      <c r="R209" s="261" t="s">
        <v>1695</v>
      </c>
      <c r="S209" s="287">
        <f ca="1">LCI!U$2800/(LCI!U$2800+LCI!U$2801)</f>
        <v>1</v>
      </c>
      <c r="T209" s="55" t="s">
        <v>1931</v>
      </c>
    </row>
    <row r="210" spans="5:20" x14ac:dyDescent="0.3">
      <c r="E210" s="301" t="e">
        <f ca="1">IF(Table_AlwaysSend[[#This Row],[GREET1 Name Range]]="", "dash_"&amp;Table_AlwaysSend[[#This Row],[Feedstock]]&amp;"_"&amp;Table_AlwaysSend[[#This Row],[Value to Send]], Table_AlwaysSend[[#This Row],[Feedstock]]&amp;"_"&amp;Table_AlwaysSend[[#This Row],[Value to Send]]&amp;"_"&amp;Table_AlwaysSend[[#This Row],[GREET1 Name Range]])</f>
        <v>#DIV/0!</v>
      </c>
      <c r="F210" s="294" t="s">
        <v>1347</v>
      </c>
      <c r="G210" s="294" t="s">
        <v>30</v>
      </c>
      <c r="H210" s="282" t="s">
        <v>29</v>
      </c>
      <c r="I210" s="282" t="s">
        <v>29</v>
      </c>
      <c r="J210" s="282" t="s">
        <v>31</v>
      </c>
      <c r="K210" s="305" t="b" cm="1">
        <f t="array" ref="K210">OR(NOT(ISERROR(MATCH(TRIM(_xlfn.TEXTSPLIT(Table_AlwaysSend[[#This Row],[Feedstock]],",")),SelectedFeedstock,0))),AND(SelectedFeedstock&lt;&gt;"(Multiple Items)",SelectedFeedstock&lt;&gt;"(All)",Table_AlwaysSend[[#This Row],[Feedstock]]="All"))</f>
        <v>1</v>
      </c>
      <c r="L210" s="305" t="b" cm="1">
        <f t="array" ref="L210">OR(NOT(ISERROR(MATCH(TRIM(_xlfn.TEXTSPLIT(Table_AlwaysSend[[#This Row],[Conversion]],",")),SelectedConversion,0))),AND(SelectedConversion&lt;&gt;"(Multiple Items)",SelectedConversion&lt;&gt;"(All)",Table_AlwaysSend[[#This Row],[Conversion]]="All"))</f>
        <v>1</v>
      </c>
      <c r="M210" s="305" t="b" cm="1">
        <f t="array" ref="M210">OR(NOT(ISERROR(MATCH(TRIM(_xlfn.TEXTSPLIT(Table_AlwaysSend[[#This Row],[Data Source]],",")),SelectedDataSource,0))),AND(SelectedDataSource&lt;&gt;"(Multiple Items)",SelectedDataSource&lt;&gt;"(All)",Table_AlwaysSend[[#This Row],[Data Source]]="All"))</f>
        <v>1</v>
      </c>
      <c r="N210" s="305" t="b" cm="1">
        <f t="array" ref="N210">OR(NOT(ISERROR(MATCH(TRIM(_xlfn.TEXTSPLIT(Table_AlwaysSend[[#This Row],[Technology]],",")),SelectedTechnology,0))),AND(SelectedTechnology&lt;&gt;"(Multiple Items)",SelectedTechnology&lt;&gt;"(All)",Table_AlwaysSend[[#This Row],[Technology]]="All"))</f>
        <v>1</v>
      </c>
      <c r="O210" s="305" t="b" cm="1">
        <f t="array" ref="O210">OR(NOT(ISERROR(MATCH(TRIM(_xlfn.TEXTSPLIT(Table_AlwaysSend[[#This Row],[Data Set]],",")),SelectedDataSet,0))),AND(SelectedDataSet&lt;&gt;"(Multiple Items)",SelectedDataSet&lt;&gt;"(All)",Table_AlwaysSend[[#This Row],[Data Set]]="All"))</f>
        <v>1</v>
      </c>
      <c r="P210" s="305" t="b">
        <v>1</v>
      </c>
      <c r="Q210" s="307" t="b">
        <f>AND(Table_AlwaysSend[[#This Row],[Show Feedstock]:[Show Data Source2]],Table_AlwaysSend[[#This Row],[Conditional]]=TRUE)</f>
        <v>1</v>
      </c>
      <c r="R210" s="261" t="s">
        <v>1695</v>
      </c>
      <c r="S210" s="287" t="e">
        <f ca="1">LCI!U$2805/(LCI!U$2805+LCI!U$2806)</f>
        <v>#DIV/0!</v>
      </c>
      <c r="T210" s="55" t="s">
        <v>1931</v>
      </c>
    </row>
    <row r="211" spans="5:20" x14ac:dyDescent="0.3">
      <c r="E211" s="301" t="str">
        <f ca="1">IF(Table_AlwaysSend[[#This Row],[GREET1 Name Range]]="", "dash_"&amp;Table_AlwaysSend[[#This Row],[Feedstock]]&amp;"_"&amp;Table_AlwaysSend[[#This Row],[Value to Send]], Table_AlwaysSend[[#This Row],[Feedstock]]&amp;"_"&amp;Table_AlwaysSend[[#This Row],[Value to Send]]&amp;"_"&amp;Table_AlwaysSend[[#This Row],[GREET1 Name Range]])</f>
        <v>Sugarcane_1_Share_NG_H2_SAF</v>
      </c>
      <c r="F211" s="294" t="s">
        <v>447</v>
      </c>
      <c r="G211" s="294" t="s">
        <v>1964</v>
      </c>
      <c r="H211" s="282" t="s">
        <v>29</v>
      </c>
      <c r="I211" s="282" t="s">
        <v>29</v>
      </c>
      <c r="J211" s="282" t="s">
        <v>31</v>
      </c>
      <c r="K211" s="305" t="b" cm="1">
        <f t="array" ref="K211">OR(NOT(ISERROR(MATCH(TRIM(_xlfn.TEXTSPLIT(Table_AlwaysSend[[#This Row],[Feedstock]],",")),SelectedFeedstock,0))),AND(SelectedFeedstock&lt;&gt;"(Multiple Items)",SelectedFeedstock&lt;&gt;"(All)",Table_AlwaysSend[[#This Row],[Feedstock]]="All"))</f>
        <v>0</v>
      </c>
      <c r="L211" s="305" t="b" cm="1">
        <f t="array" ref="L211">OR(NOT(ISERROR(MATCH(TRIM(_xlfn.TEXTSPLIT(Table_AlwaysSend[[#This Row],[Conversion]],",")),SelectedConversion,0))),AND(SelectedConversion&lt;&gt;"(Multiple Items)",SelectedConversion&lt;&gt;"(All)",Table_AlwaysSend[[#This Row],[Conversion]]="All"))</f>
        <v>0</v>
      </c>
      <c r="M211" s="305" t="b" cm="1">
        <f t="array" ref="M211">OR(NOT(ISERROR(MATCH(TRIM(_xlfn.TEXTSPLIT(Table_AlwaysSend[[#This Row],[Data Source]],",")),SelectedDataSource,0))),AND(SelectedDataSource&lt;&gt;"(Multiple Items)",SelectedDataSource&lt;&gt;"(All)",Table_AlwaysSend[[#This Row],[Data Source]]="All"))</f>
        <v>1</v>
      </c>
      <c r="N211" s="305" t="b" cm="1">
        <f t="array" ref="N211">OR(NOT(ISERROR(MATCH(TRIM(_xlfn.TEXTSPLIT(Table_AlwaysSend[[#This Row],[Technology]],",")),SelectedTechnology,0))),AND(SelectedTechnology&lt;&gt;"(Multiple Items)",SelectedTechnology&lt;&gt;"(All)",Table_AlwaysSend[[#This Row],[Technology]]="All"))</f>
        <v>1</v>
      </c>
      <c r="O211" s="305" t="b" cm="1">
        <f t="array" ref="O211">OR(NOT(ISERROR(MATCH(TRIM(_xlfn.TEXTSPLIT(Table_AlwaysSend[[#This Row],[Data Set]],",")),SelectedDataSet,0))),AND(SelectedDataSet&lt;&gt;"(Multiple Items)",SelectedDataSet&lt;&gt;"(All)",Table_AlwaysSend[[#This Row],[Data Set]]="All"))</f>
        <v>1</v>
      </c>
      <c r="P211" s="305" t="b">
        <v>1</v>
      </c>
      <c r="Q211" s="307" t="b">
        <f>AND(Table_AlwaysSend[[#This Row],[Show Feedstock]:[Show Data Source2]],Table_AlwaysSend[[#This Row],[Conditional]]=TRUE)</f>
        <v>0</v>
      </c>
      <c r="R211" s="261" t="s">
        <v>1695</v>
      </c>
      <c r="S211" s="287">
        <f ca="1">LCI!U$2810/(LCI!U$2810+LCI!U$2811)</f>
        <v>1</v>
      </c>
      <c r="T211" s="55" t="s">
        <v>1931</v>
      </c>
    </row>
    <row r="212" spans="5:20" x14ac:dyDescent="0.3">
      <c r="E212" s="301" t="str">
        <f ca="1">IF(Table_AlwaysSend[[#This Row],[GREET1 Name Range]]="", "dash_"&amp;Table_AlwaysSend[[#This Row],[Feedstock]]&amp;"_"&amp;Table_AlwaysSend[[#This Row],[Value to Send]], Table_AlwaysSend[[#This Row],[Feedstock]]&amp;"_"&amp;Table_AlwaysSend[[#This Row],[Value to Send]]&amp;"_"&amp;Table_AlwaysSend[[#This Row],[GREET1 Name Range]])</f>
        <v>Soybean_1_Share_NG_H2_SAF</v>
      </c>
      <c r="F212" s="294" t="s">
        <v>10</v>
      </c>
      <c r="G212" s="294" t="s">
        <v>30</v>
      </c>
      <c r="H212" s="282" t="s">
        <v>29</v>
      </c>
      <c r="I212" s="282" t="s">
        <v>29</v>
      </c>
      <c r="J212" s="282" t="s">
        <v>31</v>
      </c>
      <c r="K212" s="305" t="b" cm="1">
        <f t="array" ref="K212">OR(NOT(ISERROR(MATCH(TRIM(_xlfn.TEXTSPLIT(Table_AlwaysSend[[#This Row],[Feedstock]],",")),SelectedFeedstock,0))),AND(SelectedFeedstock&lt;&gt;"(Multiple Items)",SelectedFeedstock&lt;&gt;"(All)",Table_AlwaysSend[[#This Row],[Feedstock]]="All"))</f>
        <v>0</v>
      </c>
      <c r="L212" s="305" t="b" cm="1">
        <f t="array" ref="L212">OR(NOT(ISERROR(MATCH(TRIM(_xlfn.TEXTSPLIT(Table_AlwaysSend[[#This Row],[Conversion]],",")),SelectedConversion,0))),AND(SelectedConversion&lt;&gt;"(Multiple Items)",SelectedConversion&lt;&gt;"(All)",Table_AlwaysSend[[#This Row],[Conversion]]="All"))</f>
        <v>1</v>
      </c>
      <c r="M212" s="305" t="b" cm="1">
        <f t="array" ref="M212">OR(NOT(ISERROR(MATCH(TRIM(_xlfn.TEXTSPLIT(Table_AlwaysSend[[#This Row],[Data Source]],",")),SelectedDataSource,0))),AND(SelectedDataSource&lt;&gt;"(Multiple Items)",SelectedDataSource&lt;&gt;"(All)",Table_AlwaysSend[[#This Row],[Data Source]]="All"))</f>
        <v>1</v>
      </c>
      <c r="N212" s="305" t="b" cm="1">
        <f t="array" ref="N212">OR(NOT(ISERROR(MATCH(TRIM(_xlfn.TEXTSPLIT(Table_AlwaysSend[[#This Row],[Technology]],",")),SelectedTechnology,0))),AND(SelectedTechnology&lt;&gt;"(Multiple Items)",SelectedTechnology&lt;&gt;"(All)",Table_AlwaysSend[[#This Row],[Technology]]="All"))</f>
        <v>1</v>
      </c>
      <c r="O212" s="305" t="b" cm="1">
        <f t="array" ref="O212">OR(NOT(ISERROR(MATCH(TRIM(_xlfn.TEXTSPLIT(Table_AlwaysSend[[#This Row],[Data Set]],",")),SelectedDataSet,0))),AND(SelectedDataSet&lt;&gt;"(Multiple Items)",SelectedDataSet&lt;&gt;"(All)",Table_AlwaysSend[[#This Row],[Data Set]]="All"))</f>
        <v>1</v>
      </c>
      <c r="P212" s="305" t="b">
        <v>1</v>
      </c>
      <c r="Q212" s="307" t="b">
        <f>AND(Table_AlwaysSend[[#This Row],[Show Feedstock]:[Show Data Source2]],Table_AlwaysSend[[#This Row],[Conditional]]=TRUE)</f>
        <v>0</v>
      </c>
      <c r="R212" s="261" t="s">
        <v>1695</v>
      </c>
      <c r="S212" s="287">
        <f ca="1">LCI!U$2815/(LCI!U$2815+LCI!U$2816)</f>
        <v>1</v>
      </c>
      <c r="T212" s="55" t="s">
        <v>1931</v>
      </c>
    </row>
    <row r="213" spans="5:20" x14ac:dyDescent="0.3">
      <c r="E213" s="301" t="str">
        <f ca="1">IF(Table_AlwaysSend[[#This Row],[GREET1 Name Range]]="", "dash_"&amp;Table_AlwaysSend[[#This Row],[Feedstock]]&amp;"_"&amp;Table_AlwaysSend[[#This Row],[Value to Send]], Table_AlwaysSend[[#This Row],[Feedstock]]&amp;"_"&amp;Table_AlwaysSend[[#This Row],[Value to Send]]&amp;"_"&amp;Table_AlwaysSend[[#This Row],[GREET1 Name Range]])</f>
        <v>Corn_1_Share_NG_H2_SAF</v>
      </c>
      <c r="F213" s="294" t="s">
        <v>136</v>
      </c>
      <c r="G213" s="294" t="s">
        <v>1964</v>
      </c>
      <c r="H213" s="282" t="s">
        <v>29</v>
      </c>
      <c r="I213" s="282" t="s">
        <v>29</v>
      </c>
      <c r="J213" s="282" t="s">
        <v>1592</v>
      </c>
      <c r="K213" s="305" t="b" cm="1">
        <f t="array" ref="K213">OR(NOT(ISERROR(MATCH(TRIM(_xlfn.TEXTSPLIT(Table_AlwaysSend[[#This Row],[Feedstock]],",")),SelectedFeedstock,0))),AND(SelectedFeedstock&lt;&gt;"(Multiple Items)",SelectedFeedstock&lt;&gt;"(All)",Table_AlwaysSend[[#This Row],[Feedstock]]="All"))</f>
        <v>0</v>
      </c>
      <c r="L213" s="305" t="b" cm="1">
        <f t="array" ref="L213">OR(NOT(ISERROR(MATCH(TRIM(_xlfn.TEXTSPLIT(Table_AlwaysSend[[#This Row],[Conversion]],",")),SelectedConversion,0))),AND(SelectedConversion&lt;&gt;"(Multiple Items)",SelectedConversion&lt;&gt;"(All)",Table_AlwaysSend[[#This Row],[Conversion]]="All"))</f>
        <v>0</v>
      </c>
      <c r="M213" s="305" t="b" cm="1">
        <f t="array" ref="M213">OR(NOT(ISERROR(MATCH(TRIM(_xlfn.TEXTSPLIT(Table_AlwaysSend[[#This Row],[Data Source]],",")),SelectedDataSource,0))),AND(SelectedDataSource&lt;&gt;"(Multiple Items)",SelectedDataSource&lt;&gt;"(All)",Table_AlwaysSend[[#This Row],[Data Source]]="All"))</f>
        <v>1</v>
      </c>
      <c r="N213" s="305" t="b" cm="1">
        <f t="array" ref="N213">OR(NOT(ISERROR(MATCH(TRIM(_xlfn.TEXTSPLIT(Table_AlwaysSend[[#This Row],[Technology]],",")),SelectedTechnology,0))),AND(SelectedTechnology&lt;&gt;"(Multiple Items)",SelectedTechnology&lt;&gt;"(All)",Table_AlwaysSend[[#This Row],[Technology]]="All"))</f>
        <v>0</v>
      </c>
      <c r="O213" s="305" t="b" cm="1">
        <f t="array" ref="O213">OR(NOT(ISERROR(MATCH(TRIM(_xlfn.TEXTSPLIT(Table_AlwaysSend[[#This Row],[Data Set]],",")),SelectedDataSet,0))),AND(SelectedDataSet&lt;&gt;"(Multiple Items)",SelectedDataSet&lt;&gt;"(All)",Table_AlwaysSend[[#This Row],[Data Set]]="All"))</f>
        <v>1</v>
      </c>
      <c r="P213" s="305" t="b">
        <v>1</v>
      </c>
      <c r="Q213" s="307" t="b">
        <f>AND(Table_AlwaysSend[[#This Row],[Show Feedstock]:[Show Data Source2]],Table_AlwaysSend[[#This Row],[Conditional]]=TRUE)</f>
        <v>0</v>
      </c>
      <c r="R213" s="261" t="s">
        <v>1695</v>
      </c>
      <c r="S213" s="287">
        <f ca="1">LCI!U$2820/(LCI!U$2820+LCI!U$2821)</f>
        <v>1</v>
      </c>
      <c r="T213" s="55" t="s">
        <v>1931</v>
      </c>
    </row>
    <row r="214" spans="5:20" x14ac:dyDescent="0.3">
      <c r="E214" s="301" t="str">
        <f ca="1">IF(Table_AlwaysSend[[#This Row],[GREET1 Name Range]]="", "dash_"&amp;Table_AlwaysSend[[#This Row],[Feedstock]]&amp;"_"&amp;Table_AlwaysSend[[#This Row],[Value to Send]], Table_AlwaysSend[[#This Row],[Feedstock]]&amp;"_"&amp;Table_AlwaysSend[[#This Row],[Value to Send]]&amp;"_"&amp;Table_AlwaysSend[[#This Row],[GREET1 Name Range]])</f>
        <v>Corn oil_0_Share_45VModeled_H2_SAF</v>
      </c>
      <c r="F214" s="294" t="s">
        <v>374</v>
      </c>
      <c r="G214" s="294" t="s">
        <v>30</v>
      </c>
      <c r="H214" s="282" t="s">
        <v>29</v>
      </c>
      <c r="I214" s="282" t="s">
        <v>29</v>
      </c>
      <c r="J214" s="282" t="s">
        <v>31</v>
      </c>
      <c r="K214" s="305" t="b" cm="1">
        <f t="array" ref="K214">OR(NOT(ISERROR(MATCH(TRIM(_xlfn.TEXTSPLIT(Table_AlwaysSend[[#This Row],[Feedstock]],",")),SelectedFeedstock,0))),AND(SelectedFeedstock&lt;&gt;"(Multiple Items)",SelectedFeedstock&lt;&gt;"(All)",Table_AlwaysSend[[#This Row],[Feedstock]]="All"))</f>
        <v>0</v>
      </c>
      <c r="L214" s="305" t="b" cm="1">
        <f t="array" ref="L214">OR(NOT(ISERROR(MATCH(TRIM(_xlfn.TEXTSPLIT(Table_AlwaysSend[[#This Row],[Conversion]],",")),SelectedConversion,0))),AND(SelectedConversion&lt;&gt;"(Multiple Items)",SelectedConversion&lt;&gt;"(All)",Table_AlwaysSend[[#This Row],[Conversion]]="All"))</f>
        <v>1</v>
      </c>
      <c r="M214" s="305" t="b" cm="1">
        <f t="array" ref="M214">OR(NOT(ISERROR(MATCH(TRIM(_xlfn.TEXTSPLIT(Table_AlwaysSend[[#This Row],[Data Source]],",")),SelectedDataSource,0))),AND(SelectedDataSource&lt;&gt;"(Multiple Items)",SelectedDataSource&lt;&gt;"(All)",Table_AlwaysSend[[#This Row],[Data Source]]="All"))</f>
        <v>1</v>
      </c>
      <c r="N214" s="305" t="b" cm="1">
        <f t="array" ref="N214">OR(NOT(ISERROR(MATCH(TRIM(_xlfn.TEXTSPLIT(Table_AlwaysSend[[#This Row],[Technology]],",")),SelectedTechnology,0))),AND(SelectedTechnology&lt;&gt;"(Multiple Items)",SelectedTechnology&lt;&gt;"(All)",Table_AlwaysSend[[#This Row],[Technology]]="All"))</f>
        <v>1</v>
      </c>
      <c r="O214" s="305" t="b" cm="1">
        <f t="array" ref="O214">OR(NOT(ISERROR(MATCH(TRIM(_xlfn.TEXTSPLIT(Table_AlwaysSend[[#This Row],[Data Set]],",")),SelectedDataSet,0))),AND(SelectedDataSet&lt;&gt;"(Multiple Items)",SelectedDataSet&lt;&gt;"(All)",Table_AlwaysSend[[#This Row],[Data Set]]="All"))</f>
        <v>1</v>
      </c>
      <c r="P214" s="305" t="b">
        <v>1</v>
      </c>
      <c r="Q214" s="307" t="b">
        <f>AND(Table_AlwaysSend[[#This Row],[Show Feedstock]:[Show Data Source2]],Table_AlwaysSend[[#This Row],[Conditional]]=TRUE)</f>
        <v>0</v>
      </c>
      <c r="R214" s="261" t="s">
        <v>2290</v>
      </c>
      <c r="S214" s="287">
        <f ca="1">LCI!U$2791/(LCI!U$2790+LCI!U$2791)</f>
        <v>0</v>
      </c>
      <c r="T214" s="55" t="s">
        <v>1930</v>
      </c>
    </row>
    <row r="215" spans="5:20" x14ac:dyDescent="0.3">
      <c r="E215" s="301" t="str">
        <f ca="1">IF(Table_AlwaysSend[[#This Row],[GREET1 Name Range]]="", "dash_"&amp;Table_AlwaysSend[[#This Row],[Feedstock]]&amp;"_"&amp;Table_AlwaysSend[[#This Row],[Value to Send]], Table_AlwaysSend[[#This Row],[Feedstock]]&amp;"_"&amp;Table_AlwaysSend[[#This Row],[Value to Send]]&amp;"_"&amp;Table_AlwaysSend[[#This Row],[GREET1 Name Range]])</f>
        <v>UCO_0_Share_45VModeled_H2_SAF</v>
      </c>
      <c r="F215" s="294" t="s">
        <v>875</v>
      </c>
      <c r="G215" s="294" t="s">
        <v>30</v>
      </c>
      <c r="H215" s="282" t="s">
        <v>29</v>
      </c>
      <c r="I215" s="282" t="s">
        <v>29</v>
      </c>
      <c r="J215" s="282" t="s">
        <v>31</v>
      </c>
      <c r="K215" s="305" t="b" cm="1">
        <f t="array" ref="K215">OR(NOT(ISERROR(MATCH(TRIM(_xlfn.TEXTSPLIT(Table_AlwaysSend[[#This Row],[Feedstock]],",")),SelectedFeedstock,0))),AND(SelectedFeedstock&lt;&gt;"(Multiple Items)",SelectedFeedstock&lt;&gt;"(All)",Table_AlwaysSend[[#This Row],[Feedstock]]="All"))</f>
        <v>0</v>
      </c>
      <c r="L215" s="305" t="b" cm="1">
        <f t="array" ref="L215">OR(NOT(ISERROR(MATCH(TRIM(_xlfn.TEXTSPLIT(Table_AlwaysSend[[#This Row],[Conversion]],",")),SelectedConversion,0))),AND(SelectedConversion&lt;&gt;"(Multiple Items)",SelectedConversion&lt;&gt;"(All)",Table_AlwaysSend[[#This Row],[Conversion]]="All"))</f>
        <v>1</v>
      </c>
      <c r="M215" s="305" t="b" cm="1">
        <f t="array" ref="M215">OR(NOT(ISERROR(MATCH(TRIM(_xlfn.TEXTSPLIT(Table_AlwaysSend[[#This Row],[Data Source]],",")),SelectedDataSource,0))),AND(SelectedDataSource&lt;&gt;"(Multiple Items)",SelectedDataSource&lt;&gt;"(All)",Table_AlwaysSend[[#This Row],[Data Source]]="All"))</f>
        <v>1</v>
      </c>
      <c r="N215" s="305" t="b" cm="1">
        <f t="array" ref="N215">OR(NOT(ISERROR(MATCH(TRIM(_xlfn.TEXTSPLIT(Table_AlwaysSend[[#This Row],[Technology]],",")),SelectedTechnology,0))),AND(SelectedTechnology&lt;&gt;"(Multiple Items)",SelectedTechnology&lt;&gt;"(All)",Table_AlwaysSend[[#This Row],[Technology]]="All"))</f>
        <v>1</v>
      </c>
      <c r="O215" s="305" t="b" cm="1">
        <f t="array" ref="O215">OR(NOT(ISERROR(MATCH(TRIM(_xlfn.TEXTSPLIT(Table_AlwaysSend[[#This Row],[Data Set]],",")),SelectedDataSet,0))),AND(SelectedDataSet&lt;&gt;"(Multiple Items)",SelectedDataSet&lt;&gt;"(All)",Table_AlwaysSend[[#This Row],[Data Set]]="All"))</f>
        <v>1</v>
      </c>
      <c r="P215" s="305" t="b">
        <v>1</v>
      </c>
      <c r="Q215" s="307" t="b">
        <f>AND(Table_AlwaysSend[[#This Row],[Show Feedstock]:[Show Data Source2]],Table_AlwaysSend[[#This Row],[Conditional]]=TRUE)</f>
        <v>0</v>
      </c>
      <c r="R215" s="261" t="s">
        <v>2290</v>
      </c>
      <c r="S215" s="287">
        <f ca="1">LCI!U$2796/(LCI!U$2795+LCI!U$2796)</f>
        <v>0</v>
      </c>
      <c r="T215" s="55" t="s">
        <v>1930</v>
      </c>
    </row>
    <row r="216" spans="5:20" x14ac:dyDescent="0.3">
      <c r="E216" s="301" t="str">
        <f ca="1">IF(Table_AlwaysSend[[#This Row],[GREET1 Name Range]]="", "dash_"&amp;Table_AlwaysSend[[#This Row],[Feedstock]]&amp;"_"&amp;Table_AlwaysSend[[#This Row],[Value to Send]], Table_AlwaysSend[[#This Row],[Feedstock]]&amp;"_"&amp;Table_AlwaysSend[[#This Row],[Value to Send]]&amp;"_"&amp;Table_AlwaysSend[[#This Row],[GREET1 Name Range]])</f>
        <v>Tallow_0_Share_45VModeled_H2_SAF</v>
      </c>
      <c r="F216" s="294" t="s">
        <v>874</v>
      </c>
      <c r="G216" s="294" t="s">
        <v>30</v>
      </c>
      <c r="H216" s="282" t="s">
        <v>29</v>
      </c>
      <c r="I216" s="282" t="s">
        <v>29</v>
      </c>
      <c r="J216" s="282" t="s">
        <v>31</v>
      </c>
      <c r="K216" s="305" t="b" cm="1">
        <f t="array" ref="K216">OR(NOT(ISERROR(MATCH(TRIM(_xlfn.TEXTSPLIT(Table_AlwaysSend[[#This Row],[Feedstock]],",")),SelectedFeedstock,0))),AND(SelectedFeedstock&lt;&gt;"(Multiple Items)",SelectedFeedstock&lt;&gt;"(All)",Table_AlwaysSend[[#This Row],[Feedstock]]="All"))</f>
        <v>0</v>
      </c>
      <c r="L216" s="305" t="b" cm="1">
        <f t="array" ref="L216">OR(NOT(ISERROR(MATCH(TRIM(_xlfn.TEXTSPLIT(Table_AlwaysSend[[#This Row],[Conversion]],",")),SelectedConversion,0))),AND(SelectedConversion&lt;&gt;"(Multiple Items)",SelectedConversion&lt;&gt;"(All)",Table_AlwaysSend[[#This Row],[Conversion]]="All"))</f>
        <v>1</v>
      </c>
      <c r="M216" s="305" t="b" cm="1">
        <f t="array" ref="M216">OR(NOT(ISERROR(MATCH(TRIM(_xlfn.TEXTSPLIT(Table_AlwaysSend[[#This Row],[Data Source]],",")),SelectedDataSource,0))),AND(SelectedDataSource&lt;&gt;"(Multiple Items)",SelectedDataSource&lt;&gt;"(All)",Table_AlwaysSend[[#This Row],[Data Source]]="All"))</f>
        <v>1</v>
      </c>
      <c r="N216" s="305" t="b" cm="1">
        <f t="array" ref="N216">OR(NOT(ISERROR(MATCH(TRIM(_xlfn.TEXTSPLIT(Table_AlwaysSend[[#This Row],[Technology]],",")),SelectedTechnology,0))),AND(SelectedTechnology&lt;&gt;"(Multiple Items)",SelectedTechnology&lt;&gt;"(All)",Table_AlwaysSend[[#This Row],[Technology]]="All"))</f>
        <v>1</v>
      </c>
      <c r="O216" s="305" t="b" cm="1">
        <f t="array" ref="O216">OR(NOT(ISERROR(MATCH(TRIM(_xlfn.TEXTSPLIT(Table_AlwaysSend[[#This Row],[Data Set]],",")),SelectedDataSet,0))),AND(SelectedDataSet&lt;&gt;"(Multiple Items)",SelectedDataSet&lt;&gt;"(All)",Table_AlwaysSend[[#This Row],[Data Set]]="All"))</f>
        <v>1</v>
      </c>
      <c r="P216" s="305" t="b">
        <v>1</v>
      </c>
      <c r="Q216" s="307" t="b">
        <f>AND(Table_AlwaysSend[[#This Row],[Show Feedstock]:[Show Data Source2]],Table_AlwaysSend[[#This Row],[Conditional]]=TRUE)</f>
        <v>0</v>
      </c>
      <c r="R216" s="261" t="s">
        <v>2290</v>
      </c>
      <c r="S216" s="287">
        <f ca="1">LCI!U$2801/(LCI!U$2800+LCI!U$2801)</f>
        <v>0</v>
      </c>
      <c r="T216" s="55" t="s">
        <v>1930</v>
      </c>
    </row>
    <row r="217" spans="5:20" x14ac:dyDescent="0.3">
      <c r="E217" s="301" t="e">
        <f ca="1">IF(Table_AlwaysSend[[#This Row],[GREET1 Name Range]]="", "dash_"&amp;Table_AlwaysSend[[#This Row],[Feedstock]]&amp;"_"&amp;Table_AlwaysSend[[#This Row],[Value to Send]], Table_AlwaysSend[[#This Row],[Feedstock]]&amp;"_"&amp;Table_AlwaysSend[[#This Row],[Value to Send]]&amp;"_"&amp;Table_AlwaysSend[[#This Row],[GREET1 Name Range]])</f>
        <v>#DIV/0!</v>
      </c>
      <c r="F217" s="294" t="s">
        <v>1347</v>
      </c>
      <c r="G217" s="294" t="s">
        <v>30</v>
      </c>
      <c r="H217" s="282" t="s">
        <v>29</v>
      </c>
      <c r="I217" s="282" t="s">
        <v>29</v>
      </c>
      <c r="J217" s="282" t="s">
        <v>31</v>
      </c>
      <c r="K217" s="305" t="b" cm="1">
        <f t="array" ref="K217">OR(NOT(ISERROR(MATCH(TRIM(_xlfn.TEXTSPLIT(Table_AlwaysSend[[#This Row],[Feedstock]],",")),SelectedFeedstock,0))),AND(SelectedFeedstock&lt;&gt;"(Multiple Items)",SelectedFeedstock&lt;&gt;"(All)",Table_AlwaysSend[[#This Row],[Feedstock]]="All"))</f>
        <v>1</v>
      </c>
      <c r="L217" s="305" t="b" cm="1">
        <f t="array" ref="L217">OR(NOT(ISERROR(MATCH(TRIM(_xlfn.TEXTSPLIT(Table_AlwaysSend[[#This Row],[Conversion]],",")),SelectedConversion,0))),AND(SelectedConversion&lt;&gt;"(Multiple Items)",SelectedConversion&lt;&gt;"(All)",Table_AlwaysSend[[#This Row],[Conversion]]="All"))</f>
        <v>1</v>
      </c>
      <c r="M217" s="305" t="b" cm="1">
        <f t="array" ref="M217">OR(NOT(ISERROR(MATCH(TRIM(_xlfn.TEXTSPLIT(Table_AlwaysSend[[#This Row],[Data Source]],",")),SelectedDataSource,0))),AND(SelectedDataSource&lt;&gt;"(Multiple Items)",SelectedDataSource&lt;&gt;"(All)",Table_AlwaysSend[[#This Row],[Data Source]]="All"))</f>
        <v>1</v>
      </c>
      <c r="N217" s="305" t="b" cm="1">
        <f t="array" ref="N217">OR(NOT(ISERROR(MATCH(TRIM(_xlfn.TEXTSPLIT(Table_AlwaysSend[[#This Row],[Technology]],",")),SelectedTechnology,0))),AND(SelectedTechnology&lt;&gt;"(Multiple Items)",SelectedTechnology&lt;&gt;"(All)",Table_AlwaysSend[[#This Row],[Technology]]="All"))</f>
        <v>1</v>
      </c>
      <c r="O217" s="305" t="b" cm="1">
        <f t="array" ref="O217">OR(NOT(ISERROR(MATCH(TRIM(_xlfn.TEXTSPLIT(Table_AlwaysSend[[#This Row],[Data Set]],",")),SelectedDataSet,0))),AND(SelectedDataSet&lt;&gt;"(Multiple Items)",SelectedDataSet&lt;&gt;"(All)",Table_AlwaysSend[[#This Row],[Data Set]]="All"))</f>
        <v>1</v>
      </c>
      <c r="P217" s="305" t="b">
        <v>1</v>
      </c>
      <c r="Q217" s="307" t="b">
        <f>AND(Table_AlwaysSend[[#This Row],[Show Feedstock]:[Show Data Source2]],Table_AlwaysSend[[#This Row],[Conditional]]=TRUE)</f>
        <v>1</v>
      </c>
      <c r="R217" s="261" t="s">
        <v>2290</v>
      </c>
      <c r="S217" s="287" t="e">
        <f ca="1">LCI!U$2806/(LCI!U$2805+LCI!U$2806)</f>
        <v>#DIV/0!</v>
      </c>
      <c r="T217" s="55" t="s">
        <v>1930</v>
      </c>
    </row>
    <row r="218" spans="5:20" x14ac:dyDescent="0.3">
      <c r="E218" s="301" t="str">
        <f ca="1">IF(Table_AlwaysSend[[#This Row],[GREET1 Name Range]]="", "dash_"&amp;Table_AlwaysSend[[#This Row],[Feedstock]]&amp;"_"&amp;Table_AlwaysSend[[#This Row],[Value to Send]], Table_AlwaysSend[[#This Row],[Feedstock]]&amp;"_"&amp;Table_AlwaysSend[[#This Row],[Value to Send]]&amp;"_"&amp;Table_AlwaysSend[[#This Row],[GREET1 Name Range]])</f>
        <v>Sugarcane_0_Share_45VModeled_H2_SAF</v>
      </c>
      <c r="F218" s="294" t="s">
        <v>447</v>
      </c>
      <c r="G218" s="294" t="s">
        <v>1964</v>
      </c>
      <c r="H218" s="282" t="s">
        <v>29</v>
      </c>
      <c r="I218" s="282" t="s">
        <v>29</v>
      </c>
      <c r="J218" s="282" t="s">
        <v>31</v>
      </c>
      <c r="K218" s="305" t="b" cm="1">
        <f t="array" ref="K218">OR(NOT(ISERROR(MATCH(TRIM(_xlfn.TEXTSPLIT(Table_AlwaysSend[[#This Row],[Feedstock]],",")),SelectedFeedstock,0))),AND(SelectedFeedstock&lt;&gt;"(Multiple Items)",SelectedFeedstock&lt;&gt;"(All)",Table_AlwaysSend[[#This Row],[Feedstock]]="All"))</f>
        <v>0</v>
      </c>
      <c r="L218" s="305" t="b" cm="1">
        <f t="array" ref="L218">OR(NOT(ISERROR(MATCH(TRIM(_xlfn.TEXTSPLIT(Table_AlwaysSend[[#This Row],[Conversion]],",")),SelectedConversion,0))),AND(SelectedConversion&lt;&gt;"(Multiple Items)",SelectedConversion&lt;&gt;"(All)",Table_AlwaysSend[[#This Row],[Conversion]]="All"))</f>
        <v>0</v>
      </c>
      <c r="M218" s="305" t="b" cm="1">
        <f t="array" ref="M218">OR(NOT(ISERROR(MATCH(TRIM(_xlfn.TEXTSPLIT(Table_AlwaysSend[[#This Row],[Data Source]],",")),SelectedDataSource,0))),AND(SelectedDataSource&lt;&gt;"(Multiple Items)",SelectedDataSource&lt;&gt;"(All)",Table_AlwaysSend[[#This Row],[Data Source]]="All"))</f>
        <v>1</v>
      </c>
      <c r="N218" s="305" t="b" cm="1">
        <f t="array" ref="N218">OR(NOT(ISERROR(MATCH(TRIM(_xlfn.TEXTSPLIT(Table_AlwaysSend[[#This Row],[Technology]],",")),SelectedTechnology,0))),AND(SelectedTechnology&lt;&gt;"(Multiple Items)",SelectedTechnology&lt;&gt;"(All)",Table_AlwaysSend[[#This Row],[Technology]]="All"))</f>
        <v>1</v>
      </c>
      <c r="O218" s="305" t="b" cm="1">
        <f t="array" ref="O218">OR(NOT(ISERROR(MATCH(TRIM(_xlfn.TEXTSPLIT(Table_AlwaysSend[[#This Row],[Data Set]],",")),SelectedDataSet,0))),AND(SelectedDataSet&lt;&gt;"(Multiple Items)",SelectedDataSet&lt;&gt;"(All)",Table_AlwaysSend[[#This Row],[Data Set]]="All"))</f>
        <v>1</v>
      </c>
      <c r="P218" s="305" t="b">
        <v>1</v>
      </c>
      <c r="Q218" s="307" t="b">
        <f>AND(Table_AlwaysSend[[#This Row],[Show Feedstock]:[Show Data Source2]],Table_AlwaysSend[[#This Row],[Conditional]]=TRUE)</f>
        <v>0</v>
      </c>
      <c r="R218" s="261" t="s">
        <v>2290</v>
      </c>
      <c r="S218" s="287">
        <f ca="1">LCI!U$2811/(LCI!U$2810+LCI!U$2811)</f>
        <v>0</v>
      </c>
      <c r="T218" s="55" t="s">
        <v>1930</v>
      </c>
    </row>
    <row r="219" spans="5:20" x14ac:dyDescent="0.3">
      <c r="E219" s="301" t="str">
        <f ca="1">IF(Table_AlwaysSend[[#This Row],[GREET1 Name Range]]="", "dash_"&amp;Table_AlwaysSend[[#This Row],[Feedstock]]&amp;"_"&amp;Table_AlwaysSend[[#This Row],[Value to Send]], Table_AlwaysSend[[#This Row],[Feedstock]]&amp;"_"&amp;Table_AlwaysSend[[#This Row],[Value to Send]]&amp;"_"&amp;Table_AlwaysSend[[#This Row],[GREET1 Name Range]])</f>
        <v>Soybean_0_Share_45VModeled_H2_SAF</v>
      </c>
      <c r="F219" s="294" t="s">
        <v>10</v>
      </c>
      <c r="G219" s="294" t="s">
        <v>30</v>
      </c>
      <c r="H219" s="282" t="s">
        <v>29</v>
      </c>
      <c r="I219" s="282" t="s">
        <v>29</v>
      </c>
      <c r="J219" s="282" t="s">
        <v>31</v>
      </c>
      <c r="K219" s="305" t="b" cm="1">
        <f t="array" ref="K219">OR(NOT(ISERROR(MATCH(TRIM(_xlfn.TEXTSPLIT(Table_AlwaysSend[[#This Row],[Feedstock]],",")),SelectedFeedstock,0))),AND(SelectedFeedstock&lt;&gt;"(Multiple Items)",SelectedFeedstock&lt;&gt;"(All)",Table_AlwaysSend[[#This Row],[Feedstock]]="All"))</f>
        <v>0</v>
      </c>
      <c r="L219" s="305" t="b" cm="1">
        <f t="array" ref="L219">OR(NOT(ISERROR(MATCH(TRIM(_xlfn.TEXTSPLIT(Table_AlwaysSend[[#This Row],[Conversion]],",")),SelectedConversion,0))),AND(SelectedConversion&lt;&gt;"(Multiple Items)",SelectedConversion&lt;&gt;"(All)",Table_AlwaysSend[[#This Row],[Conversion]]="All"))</f>
        <v>1</v>
      </c>
      <c r="M219" s="305" t="b" cm="1">
        <f t="array" ref="M219">OR(NOT(ISERROR(MATCH(TRIM(_xlfn.TEXTSPLIT(Table_AlwaysSend[[#This Row],[Data Source]],",")),SelectedDataSource,0))),AND(SelectedDataSource&lt;&gt;"(Multiple Items)",SelectedDataSource&lt;&gt;"(All)",Table_AlwaysSend[[#This Row],[Data Source]]="All"))</f>
        <v>1</v>
      </c>
      <c r="N219" s="305" t="b" cm="1">
        <f t="array" ref="N219">OR(NOT(ISERROR(MATCH(TRIM(_xlfn.TEXTSPLIT(Table_AlwaysSend[[#This Row],[Technology]],",")),SelectedTechnology,0))),AND(SelectedTechnology&lt;&gt;"(Multiple Items)",SelectedTechnology&lt;&gt;"(All)",Table_AlwaysSend[[#This Row],[Technology]]="All"))</f>
        <v>1</v>
      </c>
      <c r="O219" s="305" t="b" cm="1">
        <f t="array" ref="O219">OR(NOT(ISERROR(MATCH(TRIM(_xlfn.TEXTSPLIT(Table_AlwaysSend[[#This Row],[Data Set]],",")),SelectedDataSet,0))),AND(SelectedDataSet&lt;&gt;"(Multiple Items)",SelectedDataSet&lt;&gt;"(All)",Table_AlwaysSend[[#This Row],[Data Set]]="All"))</f>
        <v>1</v>
      </c>
      <c r="P219" s="305" t="b">
        <v>1</v>
      </c>
      <c r="Q219" s="307" t="b">
        <f>AND(Table_AlwaysSend[[#This Row],[Show Feedstock]:[Show Data Source2]],Table_AlwaysSend[[#This Row],[Conditional]]=TRUE)</f>
        <v>0</v>
      </c>
      <c r="R219" s="261" t="s">
        <v>2290</v>
      </c>
      <c r="S219" s="287">
        <f ca="1">LCI!U$2816/(LCI!U$2815+LCI!U$2816)</f>
        <v>0</v>
      </c>
      <c r="T219" s="55" t="s">
        <v>1930</v>
      </c>
    </row>
    <row r="220" spans="5:20" x14ac:dyDescent="0.3">
      <c r="E220" s="301" t="str">
        <f ca="1">IF(Table_AlwaysSend[[#This Row],[GREET1 Name Range]]="", "dash_"&amp;Table_AlwaysSend[[#This Row],[Feedstock]]&amp;"_"&amp;Table_AlwaysSend[[#This Row],[Value to Send]], Table_AlwaysSend[[#This Row],[Feedstock]]&amp;"_"&amp;Table_AlwaysSend[[#This Row],[Value to Send]]&amp;"_"&amp;Table_AlwaysSend[[#This Row],[GREET1 Name Range]])</f>
        <v>Corn_0_Share_45VModeled_H2_SAF</v>
      </c>
      <c r="F220" s="294" t="s">
        <v>136</v>
      </c>
      <c r="G220" s="294" t="s">
        <v>1964</v>
      </c>
      <c r="H220" s="282" t="s">
        <v>29</v>
      </c>
      <c r="I220" s="282" t="s">
        <v>29</v>
      </c>
      <c r="J220" s="282" t="s">
        <v>1592</v>
      </c>
      <c r="K220" s="305" t="b" cm="1">
        <f t="array" ref="K220">OR(NOT(ISERROR(MATCH(TRIM(_xlfn.TEXTSPLIT(Table_AlwaysSend[[#This Row],[Feedstock]],",")),SelectedFeedstock,0))),AND(SelectedFeedstock&lt;&gt;"(Multiple Items)",SelectedFeedstock&lt;&gt;"(All)",Table_AlwaysSend[[#This Row],[Feedstock]]="All"))</f>
        <v>0</v>
      </c>
      <c r="L220" s="305" t="b" cm="1">
        <f t="array" ref="L220">OR(NOT(ISERROR(MATCH(TRIM(_xlfn.TEXTSPLIT(Table_AlwaysSend[[#This Row],[Conversion]],",")),SelectedConversion,0))),AND(SelectedConversion&lt;&gt;"(Multiple Items)",SelectedConversion&lt;&gt;"(All)",Table_AlwaysSend[[#This Row],[Conversion]]="All"))</f>
        <v>0</v>
      </c>
      <c r="M220" s="305" t="b" cm="1">
        <f t="array" ref="M220">OR(NOT(ISERROR(MATCH(TRIM(_xlfn.TEXTSPLIT(Table_AlwaysSend[[#This Row],[Data Source]],",")),SelectedDataSource,0))),AND(SelectedDataSource&lt;&gt;"(Multiple Items)",SelectedDataSource&lt;&gt;"(All)",Table_AlwaysSend[[#This Row],[Data Source]]="All"))</f>
        <v>1</v>
      </c>
      <c r="N220" s="305" t="b" cm="1">
        <f t="array" ref="N220">OR(NOT(ISERROR(MATCH(TRIM(_xlfn.TEXTSPLIT(Table_AlwaysSend[[#This Row],[Technology]],",")),SelectedTechnology,0))),AND(SelectedTechnology&lt;&gt;"(Multiple Items)",SelectedTechnology&lt;&gt;"(All)",Table_AlwaysSend[[#This Row],[Technology]]="All"))</f>
        <v>0</v>
      </c>
      <c r="O220" s="305" t="b" cm="1">
        <f t="array" ref="O220">OR(NOT(ISERROR(MATCH(TRIM(_xlfn.TEXTSPLIT(Table_AlwaysSend[[#This Row],[Data Set]],",")),SelectedDataSet,0))),AND(SelectedDataSet&lt;&gt;"(Multiple Items)",SelectedDataSet&lt;&gt;"(All)",Table_AlwaysSend[[#This Row],[Data Set]]="All"))</f>
        <v>1</v>
      </c>
      <c r="P220" s="305" t="b">
        <v>1</v>
      </c>
      <c r="Q220" s="307" t="b">
        <f>AND(Table_AlwaysSend[[#This Row],[Show Feedstock]:[Show Data Source2]],Table_AlwaysSend[[#This Row],[Conditional]]=TRUE)</f>
        <v>0</v>
      </c>
      <c r="R220" s="261" t="s">
        <v>2290</v>
      </c>
      <c r="S220" s="287">
        <f ca="1">LCI!U$2821/(LCI!U$2820+LCI!U$2821)</f>
        <v>0</v>
      </c>
      <c r="T220" s="55" t="s">
        <v>1930</v>
      </c>
    </row>
    <row r="221" spans="5:20" x14ac:dyDescent="0.3">
      <c r="E221" s="301" t="str">
        <f ca="1">IF(Table_AlwaysSend[[#This Row],[GREET1 Name Range]]="", "dash_"&amp;Table_AlwaysSend[[#This Row],[Feedstock]]&amp;"_"&amp;Table_AlwaysSend[[#This Row],[Value to Send]], Table_AlwaysSend[[#This Row],[Feedstock]]&amp;"_"&amp;Table_AlwaysSend[[#This Row],[Value to Send]]&amp;"_"&amp;Table_AlwaysSend[[#This Row],[GREET1 Name Range]])</f>
        <v>Corn oil_2076.40834776812_CornOil_HEFA_Hydrogen</v>
      </c>
      <c r="F221" s="294" t="s">
        <v>374</v>
      </c>
      <c r="G221" s="294" t="s">
        <v>30</v>
      </c>
      <c r="H221" s="282" t="s">
        <v>29</v>
      </c>
      <c r="I221" s="282" t="s">
        <v>29</v>
      </c>
      <c r="J221" s="282" t="s">
        <v>31</v>
      </c>
      <c r="K221" s="305" t="b" cm="1">
        <f t="array" ref="K221">OR(NOT(ISERROR(MATCH(TRIM(_xlfn.TEXTSPLIT(Table_AlwaysSend[[#This Row],[Feedstock]],",")),SelectedFeedstock,0))),AND(SelectedFeedstock&lt;&gt;"(Multiple Items)",SelectedFeedstock&lt;&gt;"(All)",Table_AlwaysSend[[#This Row],[Feedstock]]="All"))</f>
        <v>0</v>
      </c>
      <c r="L221" s="305" t="b" cm="1">
        <f t="array" ref="L221">OR(NOT(ISERROR(MATCH(TRIM(_xlfn.TEXTSPLIT(Table_AlwaysSend[[#This Row],[Conversion]],",")),SelectedConversion,0))),AND(SelectedConversion&lt;&gt;"(Multiple Items)",SelectedConversion&lt;&gt;"(All)",Table_AlwaysSend[[#This Row],[Conversion]]="All"))</f>
        <v>1</v>
      </c>
      <c r="M221" s="305" t="b" cm="1">
        <f t="array" ref="M221">OR(NOT(ISERROR(MATCH(TRIM(_xlfn.TEXTSPLIT(Table_AlwaysSend[[#This Row],[Data Source]],",")),SelectedDataSource,0))),AND(SelectedDataSource&lt;&gt;"(Multiple Items)",SelectedDataSource&lt;&gt;"(All)",Table_AlwaysSend[[#This Row],[Data Source]]="All"))</f>
        <v>1</v>
      </c>
      <c r="N221" s="305" t="b" cm="1">
        <f t="array" ref="N221">OR(NOT(ISERROR(MATCH(TRIM(_xlfn.TEXTSPLIT(Table_AlwaysSend[[#This Row],[Technology]],",")),SelectedTechnology,0))),AND(SelectedTechnology&lt;&gt;"(Multiple Items)",SelectedTechnology&lt;&gt;"(All)",Table_AlwaysSend[[#This Row],[Technology]]="All"))</f>
        <v>1</v>
      </c>
      <c r="O221" s="305" t="b" cm="1">
        <f t="array" ref="O221">OR(NOT(ISERROR(MATCH(TRIM(_xlfn.TEXTSPLIT(Table_AlwaysSend[[#This Row],[Data Set]],",")),SelectedDataSet,0))),AND(SelectedDataSet&lt;&gt;"(Multiple Items)",SelectedDataSet&lt;&gt;"(All)",Table_AlwaysSend[[#This Row],[Data Set]]="All"))</f>
        <v>1</v>
      </c>
      <c r="P221" s="305" t="b">
        <v>1</v>
      </c>
      <c r="Q221" s="307" t="b">
        <f>AND(Table_AlwaysSend[[#This Row],[Show Feedstock]:[Show Data Source2]],Table_AlwaysSend[[#This Row],[Conditional]]=TRUE)</f>
        <v>0</v>
      </c>
      <c r="R221" s="21" t="s">
        <v>602</v>
      </c>
      <c r="S221" s="334">
        <f ca="1">(LCI!U$2790+LCI!U$2791)</f>
        <v>2076.4083477681229</v>
      </c>
      <c r="T221" s="37" t="s">
        <v>1929</v>
      </c>
    </row>
    <row r="222" spans="5:20" x14ac:dyDescent="0.3">
      <c r="E222" s="301" t="str">
        <f ca="1">IF(Table_AlwaysSend[[#This Row],[GREET1 Name Range]]="", "dash_"&amp;Table_AlwaysSend[[#This Row],[Feedstock]]&amp;"_"&amp;Table_AlwaysSend[[#This Row],[Value to Send]], Table_AlwaysSend[[#This Row],[Feedstock]]&amp;"_"&amp;Table_AlwaysSend[[#This Row],[Value to Send]]&amp;"_"&amp;Table_AlwaysSend[[#This Row],[GREET1 Name Range]])</f>
        <v>UCO_2076.40834776812_UCO_HEFA_Hydrogen</v>
      </c>
      <c r="F222" s="294" t="s">
        <v>875</v>
      </c>
      <c r="G222" s="294" t="s">
        <v>30</v>
      </c>
      <c r="H222" s="282" t="s">
        <v>29</v>
      </c>
      <c r="I222" s="282" t="s">
        <v>29</v>
      </c>
      <c r="J222" s="282" t="s">
        <v>31</v>
      </c>
      <c r="K222" s="305" t="b" cm="1">
        <f t="array" ref="K222">OR(NOT(ISERROR(MATCH(TRIM(_xlfn.TEXTSPLIT(Table_AlwaysSend[[#This Row],[Feedstock]],",")),SelectedFeedstock,0))),AND(SelectedFeedstock&lt;&gt;"(Multiple Items)",SelectedFeedstock&lt;&gt;"(All)",Table_AlwaysSend[[#This Row],[Feedstock]]="All"))</f>
        <v>0</v>
      </c>
      <c r="L222" s="305" t="b" cm="1">
        <f t="array" ref="L222">OR(NOT(ISERROR(MATCH(TRIM(_xlfn.TEXTSPLIT(Table_AlwaysSend[[#This Row],[Conversion]],",")),SelectedConversion,0))),AND(SelectedConversion&lt;&gt;"(Multiple Items)",SelectedConversion&lt;&gt;"(All)",Table_AlwaysSend[[#This Row],[Conversion]]="All"))</f>
        <v>1</v>
      </c>
      <c r="M222" s="305" t="b" cm="1">
        <f t="array" ref="M222">OR(NOT(ISERROR(MATCH(TRIM(_xlfn.TEXTSPLIT(Table_AlwaysSend[[#This Row],[Data Source]],",")),SelectedDataSource,0))),AND(SelectedDataSource&lt;&gt;"(Multiple Items)",SelectedDataSource&lt;&gt;"(All)",Table_AlwaysSend[[#This Row],[Data Source]]="All"))</f>
        <v>1</v>
      </c>
      <c r="N222" s="305" t="b" cm="1">
        <f t="array" ref="N222">OR(NOT(ISERROR(MATCH(TRIM(_xlfn.TEXTSPLIT(Table_AlwaysSend[[#This Row],[Technology]],",")),SelectedTechnology,0))),AND(SelectedTechnology&lt;&gt;"(Multiple Items)",SelectedTechnology&lt;&gt;"(All)",Table_AlwaysSend[[#This Row],[Technology]]="All"))</f>
        <v>1</v>
      </c>
      <c r="O222" s="305" t="b" cm="1">
        <f t="array" ref="O222">OR(NOT(ISERROR(MATCH(TRIM(_xlfn.TEXTSPLIT(Table_AlwaysSend[[#This Row],[Data Set]],",")),SelectedDataSet,0))),AND(SelectedDataSet&lt;&gt;"(Multiple Items)",SelectedDataSet&lt;&gt;"(All)",Table_AlwaysSend[[#This Row],[Data Set]]="All"))</f>
        <v>1</v>
      </c>
      <c r="P222" s="305" t="b">
        <v>1</v>
      </c>
      <c r="Q222" s="307" t="b">
        <f>AND(Table_AlwaysSend[[#This Row],[Show Feedstock]:[Show Data Source2]],Table_AlwaysSend[[#This Row],[Conditional]]=TRUE)</f>
        <v>0</v>
      </c>
      <c r="R222" s="21" t="s">
        <v>1092</v>
      </c>
      <c r="S222" s="334">
        <f ca="1">(LCI!U$2795+LCI!U$2796)</f>
        <v>2076.4083477681229</v>
      </c>
      <c r="T222" s="37" t="s">
        <v>1929</v>
      </c>
    </row>
    <row r="223" spans="5:20" x14ac:dyDescent="0.3">
      <c r="E223" s="301" t="str">
        <f ca="1">IF(Table_AlwaysSend[[#This Row],[GREET1 Name Range]]="", "dash_"&amp;Table_AlwaysSend[[#This Row],[Feedstock]]&amp;"_"&amp;Table_AlwaysSend[[#This Row],[Value to Send]], Table_AlwaysSend[[#This Row],[Feedstock]]&amp;"_"&amp;Table_AlwaysSend[[#This Row],[Value to Send]]&amp;"_"&amp;Table_AlwaysSend[[#This Row],[GREET1 Name Range]])</f>
        <v>Tallow_2076.40834776812_Tallow_HEFA_Hydrogen</v>
      </c>
      <c r="F223" s="294" t="s">
        <v>874</v>
      </c>
      <c r="G223" s="294" t="s">
        <v>30</v>
      </c>
      <c r="H223" s="282" t="s">
        <v>29</v>
      </c>
      <c r="I223" s="282" t="s">
        <v>29</v>
      </c>
      <c r="J223" s="282" t="s">
        <v>31</v>
      </c>
      <c r="K223" s="305" t="b" cm="1">
        <f t="array" ref="K223">OR(NOT(ISERROR(MATCH(TRIM(_xlfn.TEXTSPLIT(Table_AlwaysSend[[#This Row],[Feedstock]],",")),SelectedFeedstock,0))),AND(SelectedFeedstock&lt;&gt;"(Multiple Items)",SelectedFeedstock&lt;&gt;"(All)",Table_AlwaysSend[[#This Row],[Feedstock]]="All"))</f>
        <v>0</v>
      </c>
      <c r="L223" s="305" t="b" cm="1">
        <f t="array" ref="L223">OR(NOT(ISERROR(MATCH(TRIM(_xlfn.TEXTSPLIT(Table_AlwaysSend[[#This Row],[Conversion]],",")),SelectedConversion,0))),AND(SelectedConversion&lt;&gt;"(Multiple Items)",SelectedConversion&lt;&gt;"(All)",Table_AlwaysSend[[#This Row],[Conversion]]="All"))</f>
        <v>1</v>
      </c>
      <c r="M223" s="305" t="b" cm="1">
        <f t="array" ref="M223">OR(NOT(ISERROR(MATCH(TRIM(_xlfn.TEXTSPLIT(Table_AlwaysSend[[#This Row],[Data Source]],",")),SelectedDataSource,0))),AND(SelectedDataSource&lt;&gt;"(Multiple Items)",SelectedDataSource&lt;&gt;"(All)",Table_AlwaysSend[[#This Row],[Data Source]]="All"))</f>
        <v>1</v>
      </c>
      <c r="N223" s="305" t="b" cm="1">
        <f t="array" ref="N223">OR(NOT(ISERROR(MATCH(TRIM(_xlfn.TEXTSPLIT(Table_AlwaysSend[[#This Row],[Technology]],",")),SelectedTechnology,0))),AND(SelectedTechnology&lt;&gt;"(Multiple Items)",SelectedTechnology&lt;&gt;"(All)",Table_AlwaysSend[[#This Row],[Technology]]="All"))</f>
        <v>1</v>
      </c>
      <c r="O223" s="305" t="b" cm="1">
        <f t="array" ref="O223">OR(NOT(ISERROR(MATCH(TRIM(_xlfn.TEXTSPLIT(Table_AlwaysSend[[#This Row],[Data Set]],",")),SelectedDataSet,0))),AND(SelectedDataSet&lt;&gt;"(Multiple Items)",SelectedDataSet&lt;&gt;"(All)",Table_AlwaysSend[[#This Row],[Data Set]]="All"))</f>
        <v>1</v>
      </c>
      <c r="P223" s="305" t="b">
        <v>1</v>
      </c>
      <c r="Q223" s="307" t="b">
        <f>AND(Table_AlwaysSend[[#This Row],[Show Feedstock]:[Show Data Source2]],Table_AlwaysSend[[#This Row],[Conditional]]=TRUE)</f>
        <v>0</v>
      </c>
      <c r="R223" s="21" t="s">
        <v>1079</v>
      </c>
      <c r="S223" s="334">
        <f ca="1">(LCI!U$2800+LCI!U$2801)</f>
        <v>2076.4083477681229</v>
      </c>
      <c r="T223" s="37" t="s">
        <v>1929</v>
      </c>
    </row>
    <row r="224" spans="5:20" x14ac:dyDescent="0.3">
      <c r="E224" s="301" t="e">
        <f ca="1">IF(Table_AlwaysSend[[#This Row],[GREET1 Name Range]]="", "dash_"&amp;Table_AlwaysSend[[#This Row],[Feedstock]]&amp;"_"&amp;Table_AlwaysSend[[#This Row],[Value to Send]], Table_AlwaysSend[[#This Row],[Feedstock]]&amp;"_"&amp;Table_AlwaysSend[[#This Row],[Value to Send]]&amp;"_"&amp;Table_AlwaysSend[[#This Row],[GREET1 Name Range]])</f>
        <v>#DIV/0!</v>
      </c>
      <c r="F224" s="294" t="s">
        <v>1347</v>
      </c>
      <c r="G224" s="294" t="s">
        <v>30</v>
      </c>
      <c r="H224" s="282" t="s">
        <v>29</v>
      </c>
      <c r="I224" s="282" t="s">
        <v>29</v>
      </c>
      <c r="J224" s="282" t="s">
        <v>31</v>
      </c>
      <c r="K224" s="305" t="b" cm="1">
        <f t="array" ref="K224">OR(NOT(ISERROR(MATCH(TRIM(_xlfn.TEXTSPLIT(Table_AlwaysSend[[#This Row],[Feedstock]],",")),SelectedFeedstock,0))),AND(SelectedFeedstock&lt;&gt;"(Multiple Items)",SelectedFeedstock&lt;&gt;"(All)",Table_AlwaysSend[[#This Row],[Feedstock]]="All"))</f>
        <v>1</v>
      </c>
      <c r="L224" s="305" t="b" cm="1">
        <f t="array" ref="L224">OR(NOT(ISERROR(MATCH(TRIM(_xlfn.TEXTSPLIT(Table_AlwaysSend[[#This Row],[Conversion]],",")),SelectedConversion,0))),AND(SelectedConversion&lt;&gt;"(Multiple Items)",SelectedConversion&lt;&gt;"(All)",Table_AlwaysSend[[#This Row],[Conversion]]="All"))</f>
        <v>1</v>
      </c>
      <c r="M224" s="305" t="b" cm="1">
        <f t="array" ref="M224">OR(NOT(ISERROR(MATCH(TRIM(_xlfn.TEXTSPLIT(Table_AlwaysSend[[#This Row],[Data Source]],",")),SelectedDataSource,0))),AND(SelectedDataSource&lt;&gt;"(Multiple Items)",SelectedDataSource&lt;&gt;"(All)",Table_AlwaysSend[[#This Row],[Data Source]]="All"))</f>
        <v>1</v>
      </c>
      <c r="N224" s="305" t="b" cm="1">
        <f t="array" ref="N224">OR(NOT(ISERROR(MATCH(TRIM(_xlfn.TEXTSPLIT(Table_AlwaysSend[[#This Row],[Technology]],",")),SelectedTechnology,0))),AND(SelectedTechnology&lt;&gt;"(Multiple Items)",SelectedTechnology&lt;&gt;"(All)",Table_AlwaysSend[[#This Row],[Technology]]="All"))</f>
        <v>1</v>
      </c>
      <c r="O224" s="305" t="b" cm="1">
        <f t="array" ref="O224">OR(NOT(ISERROR(MATCH(TRIM(_xlfn.TEXTSPLIT(Table_AlwaysSend[[#This Row],[Data Set]],",")),SelectedDataSet,0))),AND(SelectedDataSet&lt;&gt;"(Multiple Items)",SelectedDataSet&lt;&gt;"(All)",Table_AlwaysSend[[#This Row],[Data Set]]="All"))</f>
        <v>1</v>
      </c>
      <c r="P224" s="305" t="b">
        <v>1</v>
      </c>
      <c r="Q224" s="307" t="b">
        <f>AND(Table_AlwaysSend[[#This Row],[Show Feedstock]:[Show Data Source2]],Table_AlwaysSend[[#This Row],[Conditional]]=TRUE)</f>
        <v>1</v>
      </c>
      <c r="R224" s="21" t="s">
        <v>502</v>
      </c>
      <c r="S224" s="334" t="e">
        <f ca="1">(LCI!U$2805+LCI!U$2806)</f>
        <v>#DIV/0!</v>
      </c>
      <c r="T224" s="37" t="s">
        <v>1929</v>
      </c>
    </row>
    <row r="225" spans="5:20" x14ac:dyDescent="0.3">
      <c r="E225" s="301" t="str">
        <f ca="1">IF(Table_AlwaysSend[[#This Row],[GREET1 Name Range]]="", "dash_"&amp;Table_AlwaysSend[[#This Row],[Feedstock]]&amp;"_"&amp;Table_AlwaysSend[[#This Row],[Value to Send]], Table_AlwaysSend[[#This Row],[Feedstock]]&amp;"_"&amp;Table_AlwaysSend[[#This Row],[Value to Send]]&amp;"_"&amp;Table_AlwaysSend[[#This Row],[GREET1 Name Range]])</f>
        <v>Sugarcane_0.04_ETJ_Standalone_Hydrogen</v>
      </c>
      <c r="F225" s="294" t="s">
        <v>447</v>
      </c>
      <c r="G225" s="294" t="s">
        <v>1964</v>
      </c>
      <c r="H225" s="282" t="s">
        <v>29</v>
      </c>
      <c r="I225" s="282" t="s">
        <v>29</v>
      </c>
      <c r="J225" s="282" t="s">
        <v>31</v>
      </c>
      <c r="K225" s="305" t="b" cm="1">
        <f t="array" ref="K225">OR(NOT(ISERROR(MATCH(TRIM(_xlfn.TEXTSPLIT(Table_AlwaysSend[[#This Row],[Feedstock]],",")),SelectedFeedstock,0))),AND(SelectedFeedstock&lt;&gt;"(Multiple Items)",SelectedFeedstock&lt;&gt;"(All)",Table_AlwaysSend[[#This Row],[Feedstock]]="All"))</f>
        <v>0</v>
      </c>
      <c r="L225" s="305" t="b" cm="1">
        <f t="array" ref="L225">OR(NOT(ISERROR(MATCH(TRIM(_xlfn.TEXTSPLIT(Table_AlwaysSend[[#This Row],[Conversion]],",")),SelectedConversion,0))),AND(SelectedConversion&lt;&gt;"(Multiple Items)",SelectedConversion&lt;&gt;"(All)",Table_AlwaysSend[[#This Row],[Conversion]]="All"))</f>
        <v>0</v>
      </c>
      <c r="M225" s="305" t="b" cm="1">
        <f t="array" ref="M225">OR(NOT(ISERROR(MATCH(TRIM(_xlfn.TEXTSPLIT(Table_AlwaysSend[[#This Row],[Data Source]],",")),SelectedDataSource,0))),AND(SelectedDataSource&lt;&gt;"(Multiple Items)",SelectedDataSource&lt;&gt;"(All)",Table_AlwaysSend[[#This Row],[Data Source]]="All"))</f>
        <v>1</v>
      </c>
      <c r="N225" s="305" t="b" cm="1">
        <f t="array" ref="N225">OR(NOT(ISERROR(MATCH(TRIM(_xlfn.TEXTSPLIT(Table_AlwaysSend[[#This Row],[Technology]],",")),SelectedTechnology,0))),AND(SelectedTechnology&lt;&gt;"(Multiple Items)",SelectedTechnology&lt;&gt;"(All)",Table_AlwaysSend[[#This Row],[Technology]]="All"))</f>
        <v>1</v>
      </c>
      <c r="O225" s="305" t="b" cm="1">
        <f t="array" ref="O225">OR(NOT(ISERROR(MATCH(TRIM(_xlfn.TEXTSPLIT(Table_AlwaysSend[[#This Row],[Data Set]],",")),SelectedDataSet,0))),AND(SelectedDataSet&lt;&gt;"(Multiple Items)",SelectedDataSet&lt;&gt;"(All)",Table_AlwaysSend[[#This Row],[Data Set]]="All"))</f>
        <v>1</v>
      </c>
      <c r="P225" s="305" t="b">
        <v>1</v>
      </c>
      <c r="Q225" s="307" t="b">
        <f>AND(Table_AlwaysSend[[#This Row],[Show Feedstock]:[Show Data Source2]],Table_AlwaysSend[[#This Row],[Conditional]]=TRUE)</f>
        <v>0</v>
      </c>
      <c r="R225" s="21" t="s">
        <v>1638</v>
      </c>
      <c r="S225" s="334">
        <f ca="1">(LCI!U$2810+LCI!U$2811)</f>
        <v>3.9999999999999987E-2</v>
      </c>
      <c r="T225" s="37" t="s">
        <v>1929</v>
      </c>
    </row>
    <row r="226" spans="5:20" x14ac:dyDescent="0.3">
      <c r="E226" s="301" t="str">
        <f ca="1">IF(Table_AlwaysSend[[#This Row],[GREET1 Name Range]]="", "dash_"&amp;Table_AlwaysSend[[#This Row],[Feedstock]]&amp;"_"&amp;Table_AlwaysSend[[#This Row],[Value to Send]], Table_AlwaysSend[[#This Row],[Feedstock]]&amp;"_"&amp;Table_AlwaysSend[[#This Row],[Value to Send]]&amp;"_"&amp;Table_AlwaysSend[[#This Row],[GREET1 Name Range]])</f>
        <v>Soybean_2076.40834776812_Soybean_HEFA_H2</v>
      </c>
      <c r="F226" s="294" t="s">
        <v>10</v>
      </c>
      <c r="G226" s="294" t="s">
        <v>30</v>
      </c>
      <c r="H226" s="282" t="s">
        <v>29</v>
      </c>
      <c r="I226" s="282" t="s">
        <v>29</v>
      </c>
      <c r="J226" s="282" t="s">
        <v>31</v>
      </c>
      <c r="K226" s="305" t="b" cm="1">
        <f t="array" ref="K226">OR(NOT(ISERROR(MATCH(TRIM(_xlfn.TEXTSPLIT(Table_AlwaysSend[[#This Row],[Feedstock]],",")),SelectedFeedstock,0))),AND(SelectedFeedstock&lt;&gt;"(Multiple Items)",SelectedFeedstock&lt;&gt;"(All)",Table_AlwaysSend[[#This Row],[Feedstock]]="All"))</f>
        <v>0</v>
      </c>
      <c r="L226" s="305" t="b" cm="1">
        <f t="array" ref="L226">OR(NOT(ISERROR(MATCH(TRIM(_xlfn.TEXTSPLIT(Table_AlwaysSend[[#This Row],[Conversion]],",")),SelectedConversion,0))),AND(SelectedConversion&lt;&gt;"(Multiple Items)",SelectedConversion&lt;&gt;"(All)",Table_AlwaysSend[[#This Row],[Conversion]]="All"))</f>
        <v>1</v>
      </c>
      <c r="M226" s="305" t="b" cm="1">
        <f t="array" ref="M226">OR(NOT(ISERROR(MATCH(TRIM(_xlfn.TEXTSPLIT(Table_AlwaysSend[[#This Row],[Data Source]],",")),SelectedDataSource,0))),AND(SelectedDataSource&lt;&gt;"(Multiple Items)",SelectedDataSource&lt;&gt;"(All)",Table_AlwaysSend[[#This Row],[Data Source]]="All"))</f>
        <v>1</v>
      </c>
      <c r="N226" s="305" t="b" cm="1">
        <f t="array" ref="N226">OR(NOT(ISERROR(MATCH(TRIM(_xlfn.TEXTSPLIT(Table_AlwaysSend[[#This Row],[Technology]],",")),SelectedTechnology,0))),AND(SelectedTechnology&lt;&gt;"(Multiple Items)",SelectedTechnology&lt;&gt;"(All)",Table_AlwaysSend[[#This Row],[Technology]]="All"))</f>
        <v>1</v>
      </c>
      <c r="O226" s="305" t="b" cm="1">
        <f t="array" ref="O226">OR(NOT(ISERROR(MATCH(TRIM(_xlfn.TEXTSPLIT(Table_AlwaysSend[[#This Row],[Data Set]],",")),SelectedDataSet,0))),AND(SelectedDataSet&lt;&gt;"(Multiple Items)",SelectedDataSet&lt;&gt;"(All)",Table_AlwaysSend[[#This Row],[Data Set]]="All"))</f>
        <v>1</v>
      </c>
      <c r="P226" s="305" t="b">
        <v>1</v>
      </c>
      <c r="Q226" s="307" t="b">
        <f>AND(Table_AlwaysSend[[#This Row],[Show Feedstock]:[Show Data Source2]],Table_AlwaysSend[[#This Row],[Conditional]]=TRUE)</f>
        <v>0</v>
      </c>
      <c r="R226" s="21" t="s">
        <v>804</v>
      </c>
      <c r="S226" s="334">
        <f ca="1">(LCI!U$2815+LCI!U$2816)</f>
        <v>2076.4083477681229</v>
      </c>
      <c r="T226" s="37" t="s">
        <v>1929</v>
      </c>
    </row>
    <row r="227" spans="5:20" x14ac:dyDescent="0.3">
      <c r="E227" s="301" t="str">
        <f ca="1">IF(Table_AlwaysSend[[#This Row],[GREET1 Name Range]]="", "dash_"&amp;Table_AlwaysSend[[#This Row],[Feedstock]]&amp;"_"&amp;Table_AlwaysSend[[#This Row],[Value to Send]], Table_AlwaysSend[[#This Row],[Feedstock]]&amp;"_"&amp;Table_AlwaysSend[[#This Row],[Value to Send]]&amp;"_"&amp;Table_AlwaysSend[[#This Row],[GREET1 Name Range]])</f>
        <v>Corn_0.04_ETJ_Standalone_Hydrogen</v>
      </c>
      <c r="F227" s="294" t="s">
        <v>136</v>
      </c>
      <c r="G227" s="294" t="s">
        <v>1964</v>
      </c>
      <c r="H227" s="282" t="s">
        <v>29</v>
      </c>
      <c r="I227" s="282" t="s">
        <v>29</v>
      </c>
      <c r="J227" s="282" t="s">
        <v>1592</v>
      </c>
      <c r="K227" s="305" t="b" cm="1">
        <f t="array" ref="K227">OR(NOT(ISERROR(MATCH(TRIM(_xlfn.TEXTSPLIT(Table_AlwaysSend[[#This Row],[Feedstock]],",")),SelectedFeedstock,0))),AND(SelectedFeedstock&lt;&gt;"(Multiple Items)",SelectedFeedstock&lt;&gt;"(All)",Table_AlwaysSend[[#This Row],[Feedstock]]="All"))</f>
        <v>0</v>
      </c>
      <c r="L227" s="305" t="b" cm="1">
        <f t="array" ref="L227">OR(NOT(ISERROR(MATCH(TRIM(_xlfn.TEXTSPLIT(Table_AlwaysSend[[#This Row],[Conversion]],",")),SelectedConversion,0))),AND(SelectedConversion&lt;&gt;"(Multiple Items)",SelectedConversion&lt;&gt;"(All)",Table_AlwaysSend[[#This Row],[Conversion]]="All"))</f>
        <v>0</v>
      </c>
      <c r="M227" s="305" t="b" cm="1">
        <f t="array" ref="M227">OR(NOT(ISERROR(MATCH(TRIM(_xlfn.TEXTSPLIT(Table_AlwaysSend[[#This Row],[Data Source]],",")),SelectedDataSource,0))),AND(SelectedDataSource&lt;&gt;"(Multiple Items)",SelectedDataSource&lt;&gt;"(All)",Table_AlwaysSend[[#This Row],[Data Source]]="All"))</f>
        <v>1</v>
      </c>
      <c r="N227" s="305" t="b" cm="1">
        <f t="array" ref="N227">OR(NOT(ISERROR(MATCH(TRIM(_xlfn.TEXTSPLIT(Table_AlwaysSend[[#This Row],[Technology]],",")),SelectedTechnology,0))),AND(SelectedTechnology&lt;&gt;"(Multiple Items)",SelectedTechnology&lt;&gt;"(All)",Table_AlwaysSend[[#This Row],[Technology]]="All"))</f>
        <v>0</v>
      </c>
      <c r="O227" s="305" t="b" cm="1">
        <f t="array" ref="O227">OR(NOT(ISERROR(MATCH(TRIM(_xlfn.TEXTSPLIT(Table_AlwaysSend[[#This Row],[Data Set]],",")),SelectedDataSet,0))),AND(SelectedDataSet&lt;&gt;"(Multiple Items)",SelectedDataSet&lt;&gt;"(All)",Table_AlwaysSend[[#This Row],[Data Set]]="All"))</f>
        <v>1</v>
      </c>
      <c r="P227" s="305" t="b">
        <v>1</v>
      </c>
      <c r="Q227" s="307" t="b">
        <f>AND(Table_AlwaysSend[[#This Row],[Show Feedstock]:[Show Data Source2]],Table_AlwaysSend[[#This Row],[Conditional]]=TRUE)</f>
        <v>0</v>
      </c>
      <c r="R227" s="21" t="s">
        <v>1638</v>
      </c>
      <c r="S227" s="333">
        <f ca="1">(LCI!U$2820+LCI!U$2821)</f>
        <v>3.9999999999999987E-2</v>
      </c>
      <c r="T227" s="37" t="s">
        <v>1929</v>
      </c>
    </row>
    <row r="228" spans="5:20" x14ac:dyDescent="0.3">
      <c r="E228" s="301" t="str">
        <f ca="1">IF(Table_AlwaysSend[[#This Row],[GREET1 Name Range]]="", "dash_"&amp;Table_AlwaysSend[[#This Row],[Feedstock]]&amp;"_"&amp;Table_AlwaysSend[[#This Row],[Value to Send]], Table_AlwaysSend[[#This Row],[Feedstock]]&amp;"_"&amp;Table_AlwaysSend[[#This Row],[Value to Send]]&amp;"_"&amp;Table_AlwaysSend[[#This Row],[GREET1 Name Range]])</f>
        <v>Corn_1_Share_NG_Heat_Corn_Ethanol</v>
      </c>
      <c r="F228" s="294" t="s">
        <v>136</v>
      </c>
      <c r="G228" s="294" t="s">
        <v>1964</v>
      </c>
      <c r="H228" s="282" t="s">
        <v>29</v>
      </c>
      <c r="I228" s="282" t="s">
        <v>29</v>
      </c>
      <c r="J228" s="282" t="s">
        <v>1592</v>
      </c>
      <c r="K228" s="305" t="b" cm="1">
        <f t="array" ref="K228">OR(NOT(ISERROR(MATCH(TRIM(_xlfn.TEXTSPLIT(Table_AlwaysSend[[#This Row],[Feedstock]],",")),SelectedFeedstock,0))),AND(SelectedFeedstock&lt;&gt;"(Multiple Items)",SelectedFeedstock&lt;&gt;"(All)",Table_AlwaysSend[[#This Row],[Feedstock]]="All"))</f>
        <v>0</v>
      </c>
      <c r="L228" s="305" t="b" cm="1">
        <f t="array" ref="L228">OR(NOT(ISERROR(MATCH(TRIM(_xlfn.TEXTSPLIT(Table_AlwaysSend[[#This Row],[Conversion]],",")),SelectedConversion,0))),AND(SelectedConversion&lt;&gt;"(Multiple Items)",SelectedConversion&lt;&gt;"(All)",Table_AlwaysSend[[#This Row],[Conversion]]="All"))</f>
        <v>0</v>
      </c>
      <c r="M228" s="305" t="b" cm="1">
        <f t="array" ref="M228">OR(NOT(ISERROR(MATCH(TRIM(_xlfn.TEXTSPLIT(Table_AlwaysSend[[#This Row],[Data Source]],",")),SelectedDataSource,0))),AND(SelectedDataSource&lt;&gt;"(Multiple Items)",SelectedDataSource&lt;&gt;"(All)",Table_AlwaysSend[[#This Row],[Data Source]]="All"))</f>
        <v>1</v>
      </c>
      <c r="N228" s="305" t="b" cm="1">
        <f t="array" ref="N228">OR(NOT(ISERROR(MATCH(TRIM(_xlfn.TEXTSPLIT(Table_AlwaysSend[[#This Row],[Technology]],",")),SelectedTechnology,0))),AND(SelectedTechnology&lt;&gt;"(Multiple Items)",SelectedTechnology&lt;&gt;"(All)",Table_AlwaysSend[[#This Row],[Technology]]="All"))</f>
        <v>0</v>
      </c>
      <c r="O228" s="305" t="b" cm="1">
        <f t="array" ref="O228">OR(NOT(ISERROR(MATCH(TRIM(_xlfn.TEXTSPLIT(Table_AlwaysSend[[#This Row],[Data Set]],",")),SelectedDataSet,0))),AND(SelectedDataSet&lt;&gt;"(Multiple Items)",SelectedDataSet&lt;&gt;"(All)",Table_AlwaysSend[[#This Row],[Data Set]]="All"))</f>
        <v>1</v>
      </c>
      <c r="P228" s="305" t="b">
        <v>1</v>
      </c>
      <c r="Q228" s="307" t="b">
        <f>AND(Table_AlwaysSend[[#This Row],[Show Feedstock]:[Show Data Source2]],Table_AlwaysSend[[#This Row],[Conditional]]=TRUE)</f>
        <v>0</v>
      </c>
      <c r="R228" s="160" t="s">
        <v>1685</v>
      </c>
      <c r="S228" s="333">
        <f ca="1">(LCI!U2823)/(LCI!U2823+LCI!U2824)</f>
        <v>1</v>
      </c>
      <c r="T228" s="55" t="s">
        <v>1934</v>
      </c>
    </row>
    <row r="229" spans="5:20" x14ac:dyDescent="0.3">
      <c r="E229" s="301" t="str">
        <f ca="1">IF(Table_AlwaysSend[[#This Row],[GREET1 Name Range]]="", "dash_"&amp;Table_AlwaysSend[[#This Row],[Feedstock]]&amp;"_"&amp;Table_AlwaysSend[[#This Row],[Value to Send]], Table_AlwaysSend[[#This Row],[Feedstock]]&amp;"_"&amp;Table_AlwaysSend[[#This Row],[Value to Send]]&amp;"_"&amp;Table_AlwaysSend[[#This Row],[GREET1 Name Range]])</f>
        <v>Corn_0_Share_RNG_LFG_Heat_Corn_Ethanol</v>
      </c>
      <c r="F229" s="294" t="s">
        <v>136</v>
      </c>
      <c r="G229" s="294" t="s">
        <v>1964</v>
      </c>
      <c r="H229" s="282" t="s">
        <v>29</v>
      </c>
      <c r="I229" s="282" t="s">
        <v>29</v>
      </c>
      <c r="J229" s="282" t="s">
        <v>1592</v>
      </c>
      <c r="K229" s="305" t="b" cm="1">
        <f t="array" ref="K229">OR(NOT(ISERROR(MATCH(TRIM(_xlfn.TEXTSPLIT(Table_AlwaysSend[[#This Row],[Feedstock]],",")),SelectedFeedstock,0))),AND(SelectedFeedstock&lt;&gt;"(Multiple Items)",SelectedFeedstock&lt;&gt;"(All)",Table_AlwaysSend[[#This Row],[Feedstock]]="All"))</f>
        <v>0</v>
      </c>
      <c r="L229" s="305" t="b" cm="1">
        <f t="array" ref="L229">OR(NOT(ISERROR(MATCH(TRIM(_xlfn.TEXTSPLIT(Table_AlwaysSend[[#This Row],[Conversion]],",")),SelectedConversion,0))),AND(SelectedConversion&lt;&gt;"(Multiple Items)",SelectedConversion&lt;&gt;"(All)",Table_AlwaysSend[[#This Row],[Conversion]]="All"))</f>
        <v>0</v>
      </c>
      <c r="M229" s="305" t="b" cm="1">
        <f t="array" ref="M229">OR(NOT(ISERROR(MATCH(TRIM(_xlfn.TEXTSPLIT(Table_AlwaysSend[[#This Row],[Data Source]],",")),SelectedDataSource,0))),AND(SelectedDataSource&lt;&gt;"(Multiple Items)",SelectedDataSource&lt;&gt;"(All)",Table_AlwaysSend[[#This Row],[Data Source]]="All"))</f>
        <v>1</v>
      </c>
      <c r="N229" s="305" t="b" cm="1">
        <f t="array" ref="N229">OR(NOT(ISERROR(MATCH(TRIM(_xlfn.TEXTSPLIT(Table_AlwaysSend[[#This Row],[Technology]],",")),SelectedTechnology,0))),AND(SelectedTechnology&lt;&gt;"(Multiple Items)",SelectedTechnology&lt;&gt;"(All)",Table_AlwaysSend[[#This Row],[Technology]]="All"))</f>
        <v>0</v>
      </c>
      <c r="O229" s="305" t="b" cm="1">
        <f t="array" ref="O229">OR(NOT(ISERROR(MATCH(TRIM(_xlfn.TEXTSPLIT(Table_AlwaysSend[[#This Row],[Data Set]],",")),SelectedDataSet,0))),AND(SelectedDataSet&lt;&gt;"(Multiple Items)",SelectedDataSet&lt;&gt;"(All)",Table_AlwaysSend[[#This Row],[Data Set]]="All"))</f>
        <v>1</v>
      </c>
      <c r="P229" s="305" t="b">
        <v>1</v>
      </c>
      <c r="Q229" s="307" t="b">
        <f>AND(Table_AlwaysSend[[#This Row],[Show Feedstock]:[Show Data Source2]],Table_AlwaysSend[[#This Row],[Conditional]]=TRUE)</f>
        <v>0</v>
      </c>
      <c r="R229" s="160" t="s">
        <v>1686</v>
      </c>
      <c r="S229" s="287">
        <f ca="1">(LCI!U2824)/(LCI!U2823+LCI!U2824)</f>
        <v>0</v>
      </c>
      <c r="T229" s="55" t="s">
        <v>1933</v>
      </c>
    </row>
    <row r="230" spans="5:20" x14ac:dyDescent="0.3">
      <c r="E230" s="301" t="str">
        <f ca="1">IF(Table_AlwaysSend[[#This Row],[GREET1 Name Range]]="", "dash_"&amp;Table_AlwaysSend[[#This Row],[Feedstock]]&amp;"_"&amp;Table_AlwaysSend[[#This Row],[Value to Send]], Table_AlwaysSend[[#This Row],[Feedstock]]&amp;"_"&amp;Table_AlwaysSend[[#This Row],[Value to Send]]&amp;"_"&amp;Table_AlwaysSend[[#This Row],[GREET1 Name Range]])</f>
        <v>Corn_22386.0422405877_Corn_Fermentation_Natural_gas</v>
      </c>
      <c r="F230" s="294" t="s">
        <v>136</v>
      </c>
      <c r="G230" s="294" t="s">
        <v>1964</v>
      </c>
      <c r="H230" s="282" t="s">
        <v>29</v>
      </c>
      <c r="I230" s="282" t="s">
        <v>29</v>
      </c>
      <c r="J230" s="282" t="s">
        <v>1592</v>
      </c>
      <c r="K230" s="305" t="b" cm="1">
        <f t="array" ref="K230">OR(NOT(ISERROR(MATCH(TRIM(_xlfn.TEXTSPLIT(Table_AlwaysSend[[#This Row],[Feedstock]],",")),SelectedFeedstock,0))),AND(SelectedFeedstock&lt;&gt;"(Multiple Items)",SelectedFeedstock&lt;&gt;"(All)",Table_AlwaysSend[[#This Row],[Feedstock]]="All"))</f>
        <v>0</v>
      </c>
      <c r="L230" s="305" t="b" cm="1">
        <f t="array" ref="L230">OR(NOT(ISERROR(MATCH(TRIM(_xlfn.TEXTSPLIT(Table_AlwaysSend[[#This Row],[Conversion]],",")),SelectedConversion,0))),AND(SelectedConversion&lt;&gt;"(Multiple Items)",SelectedConversion&lt;&gt;"(All)",Table_AlwaysSend[[#This Row],[Conversion]]="All"))</f>
        <v>0</v>
      </c>
      <c r="M230" s="305" t="b" cm="1">
        <f t="array" ref="M230">OR(NOT(ISERROR(MATCH(TRIM(_xlfn.TEXTSPLIT(Table_AlwaysSend[[#This Row],[Data Source]],",")),SelectedDataSource,0))),AND(SelectedDataSource&lt;&gt;"(Multiple Items)",SelectedDataSource&lt;&gt;"(All)",Table_AlwaysSend[[#This Row],[Data Source]]="All"))</f>
        <v>1</v>
      </c>
      <c r="N230" s="305" t="b" cm="1">
        <f t="array" ref="N230">OR(NOT(ISERROR(MATCH(TRIM(_xlfn.TEXTSPLIT(Table_AlwaysSend[[#This Row],[Technology]],",")),SelectedTechnology,0))),AND(SelectedTechnology&lt;&gt;"(Multiple Items)",SelectedTechnology&lt;&gt;"(All)",Table_AlwaysSend[[#This Row],[Technology]]="All"))</f>
        <v>0</v>
      </c>
      <c r="O230" s="305" t="b" cm="1">
        <f t="array" ref="O230">OR(NOT(ISERROR(MATCH(TRIM(_xlfn.TEXTSPLIT(Table_AlwaysSend[[#This Row],[Data Set]],",")),SelectedDataSet,0))),AND(SelectedDataSet&lt;&gt;"(Multiple Items)",SelectedDataSet&lt;&gt;"(All)",Table_AlwaysSend[[#This Row],[Data Set]]="All"))</f>
        <v>1</v>
      </c>
      <c r="P230" s="305" t="b">
        <v>1</v>
      </c>
      <c r="Q230" s="307" t="b">
        <f>AND(Table_AlwaysSend[[#This Row],[Show Feedstock]:[Show Data Source2]],Table_AlwaysSend[[#This Row],[Conditional]]=TRUE)</f>
        <v>0</v>
      </c>
      <c r="R230" s="22" t="s">
        <v>1655</v>
      </c>
      <c r="S230" s="333">
        <f ca="1">(LCI!U2823+LCI!U2824)</f>
        <v>22386.0422405877</v>
      </c>
      <c r="T230" s="37" t="s">
        <v>1932</v>
      </c>
    </row>
    <row r="231" spans="5:20" x14ac:dyDescent="0.3">
      <c r="E231" s="301" t="str">
        <f>IF(Table_AlwaysSend[[#This Row],[GREET1 Name Range]]="", "dash_"&amp;Table_AlwaysSend[[#This Row],[Feedstock]]&amp;"_"&amp;Table_AlwaysSend[[#This Row],[Value to Send]], Table_AlwaysSend[[#This Row],[Feedstock]]&amp;"_"&amp;Table_AlwaysSend[[#This Row],[Value to Send]]&amp;"_"&amp;Table_AlwaysSend[[#This Row],[GREET1 Name Range]])</f>
        <v>All_4_Corn_EtOH_Heat_Source_Option</v>
      </c>
      <c r="F231" s="294" t="s">
        <v>435</v>
      </c>
      <c r="G231" s="294" t="s">
        <v>435</v>
      </c>
      <c r="H231" s="294" t="s">
        <v>435</v>
      </c>
      <c r="I231" s="294" t="s">
        <v>435</v>
      </c>
      <c r="J231" s="294" t="s">
        <v>435</v>
      </c>
      <c r="K231" s="305" t="b" cm="1">
        <f t="array" ref="K231">OR(NOT(ISERROR(MATCH(TRIM(_xlfn.TEXTSPLIT(Table_AlwaysSend[[#This Row],[Feedstock]],",")),SelectedFeedstock,0))),AND(SelectedFeedstock&lt;&gt;"(Multiple Items)",SelectedFeedstock&lt;&gt;"(All)",Table_AlwaysSend[[#This Row],[Feedstock]]="All"))</f>
        <v>1</v>
      </c>
      <c r="L231" s="305" t="b" cm="1">
        <f t="array" ref="L231">OR(NOT(ISERROR(MATCH(TRIM(_xlfn.TEXTSPLIT(Table_AlwaysSend[[#This Row],[Conversion]],",")),SelectedConversion,0))),AND(SelectedConversion&lt;&gt;"(Multiple Items)",SelectedConversion&lt;&gt;"(All)",Table_AlwaysSend[[#This Row],[Conversion]]="All"))</f>
        <v>1</v>
      </c>
      <c r="M231" s="305" t="b" cm="1">
        <f t="array" ref="M231">OR(NOT(ISERROR(MATCH(TRIM(_xlfn.TEXTSPLIT(Table_AlwaysSend[[#This Row],[Data Source]],",")),SelectedDataSource,0))),AND(SelectedDataSource&lt;&gt;"(Multiple Items)",SelectedDataSource&lt;&gt;"(All)",Table_AlwaysSend[[#This Row],[Data Source]]="All"))</f>
        <v>1</v>
      </c>
      <c r="N231" s="305" t="b" cm="1">
        <f t="array" ref="N231">OR(NOT(ISERROR(MATCH(TRIM(_xlfn.TEXTSPLIT(Table_AlwaysSend[[#This Row],[Technology]],",")),SelectedTechnology,0))),AND(SelectedTechnology&lt;&gt;"(Multiple Items)",SelectedTechnology&lt;&gt;"(All)",Table_AlwaysSend[[#This Row],[Technology]]="All"))</f>
        <v>1</v>
      </c>
      <c r="O231" s="305" t="b" cm="1">
        <f t="array" ref="O231">OR(NOT(ISERROR(MATCH(TRIM(_xlfn.TEXTSPLIT(Table_AlwaysSend[[#This Row],[Data Set]],",")),SelectedDataSet,0))),AND(SelectedDataSet&lt;&gt;"(Multiple Items)",SelectedDataSet&lt;&gt;"(All)",Table_AlwaysSend[[#This Row],[Data Set]]="All"))</f>
        <v>1</v>
      </c>
      <c r="P231" s="305" t="b">
        <v>1</v>
      </c>
      <c r="Q231" s="307" t="b">
        <f>AND(Table_AlwaysSend[[#This Row],[Show Feedstock]:[Show Data Source2]],Table_AlwaysSend[[#This Row],[Conditional]]=TRUE)</f>
        <v>1</v>
      </c>
      <c r="R231" s="160" t="s">
        <v>1490</v>
      </c>
      <c r="S231" s="287">
        <v>4</v>
      </c>
      <c r="T231" s="14" t="s">
        <v>1935</v>
      </c>
    </row>
    <row r="232" spans="5:20" x14ac:dyDescent="0.3">
      <c r="E232" s="301" t="str">
        <f>IF(Table_AlwaysSend[[#This Row],[GREET1 Name Range]]="", "dash_"&amp;Table_AlwaysSend[[#This Row],[Feedstock]]&amp;"_"&amp;Table_AlwaysSend[[#This Row],[Value to Send]], Table_AlwaysSend[[#This Row],[Feedstock]]&amp;"_"&amp;Table_AlwaysSend[[#This Row],[Value to Send]]&amp;"_"&amp;Table_AlwaysSend[[#This Row],[GREET1 Name Range]])</f>
        <v>All_4_SAF_Heat_Source_Option</v>
      </c>
      <c r="F232" s="294" t="s">
        <v>435</v>
      </c>
      <c r="G232" s="294" t="s">
        <v>435</v>
      </c>
      <c r="H232" s="294" t="s">
        <v>435</v>
      </c>
      <c r="I232" s="294" t="s">
        <v>435</v>
      </c>
      <c r="J232" s="294" t="s">
        <v>435</v>
      </c>
      <c r="K232" s="305" t="b" cm="1">
        <f t="array" ref="K232">OR(NOT(ISERROR(MATCH(TRIM(_xlfn.TEXTSPLIT(Table_AlwaysSend[[#This Row],[Feedstock]],",")),SelectedFeedstock,0))),AND(SelectedFeedstock&lt;&gt;"(Multiple Items)",SelectedFeedstock&lt;&gt;"(All)",Table_AlwaysSend[[#This Row],[Feedstock]]="All"))</f>
        <v>1</v>
      </c>
      <c r="L232" s="305" t="b" cm="1">
        <f t="array" ref="L232">OR(NOT(ISERROR(MATCH(TRIM(_xlfn.TEXTSPLIT(Table_AlwaysSend[[#This Row],[Conversion]],",")),SelectedConversion,0))),AND(SelectedConversion&lt;&gt;"(Multiple Items)",SelectedConversion&lt;&gt;"(All)",Table_AlwaysSend[[#This Row],[Conversion]]="All"))</f>
        <v>1</v>
      </c>
      <c r="M232" s="305" t="b" cm="1">
        <f t="array" ref="M232">OR(NOT(ISERROR(MATCH(TRIM(_xlfn.TEXTSPLIT(Table_AlwaysSend[[#This Row],[Data Source]],",")),SelectedDataSource,0))),AND(SelectedDataSource&lt;&gt;"(Multiple Items)",SelectedDataSource&lt;&gt;"(All)",Table_AlwaysSend[[#This Row],[Data Source]]="All"))</f>
        <v>1</v>
      </c>
      <c r="N232" s="305" t="b" cm="1">
        <f t="array" ref="N232">OR(NOT(ISERROR(MATCH(TRIM(_xlfn.TEXTSPLIT(Table_AlwaysSend[[#This Row],[Technology]],",")),SelectedTechnology,0))),AND(SelectedTechnology&lt;&gt;"(Multiple Items)",SelectedTechnology&lt;&gt;"(All)",Table_AlwaysSend[[#This Row],[Technology]]="All"))</f>
        <v>1</v>
      </c>
      <c r="O232" s="305" t="b" cm="1">
        <f t="array" ref="O232">OR(NOT(ISERROR(MATCH(TRIM(_xlfn.TEXTSPLIT(Table_AlwaysSend[[#This Row],[Data Set]],",")),SelectedDataSet,0))),AND(SelectedDataSet&lt;&gt;"(Multiple Items)",SelectedDataSet&lt;&gt;"(All)",Table_AlwaysSend[[#This Row],[Data Set]]="All"))</f>
        <v>1</v>
      </c>
      <c r="P232" s="305" t="b">
        <v>1</v>
      </c>
      <c r="Q232" s="307" t="b">
        <f>AND(Table_AlwaysSend[[#This Row],[Show Feedstock]:[Show Data Source2]],Table_AlwaysSend[[#This Row],[Conditional]]=TRUE)</f>
        <v>1</v>
      </c>
      <c r="R232" s="261" t="s">
        <v>1492</v>
      </c>
      <c r="S232" s="287">
        <v>4</v>
      </c>
      <c r="T232" s="14" t="s">
        <v>1935</v>
      </c>
    </row>
    <row r="233" spans="5:20" x14ac:dyDescent="0.3">
      <c r="E233" s="301" t="str">
        <f>IF(Table_AlwaysSend[[#This Row],[GREET1 Name Range]]="", "dash_"&amp;Table_AlwaysSend[[#This Row],[Feedstock]]&amp;"_"&amp;Table_AlwaysSend[[#This Row],[Value to Send]], Table_AlwaysSend[[#This Row],[Feedstock]]&amp;"_"&amp;Table_AlwaysSend[[#This Row],[Value to Send]]&amp;"_"&amp;Table_AlwaysSend[[#This Row],[GREET1 Name Range]])</f>
        <v>All_4_SAF_H2_Source_Option</v>
      </c>
      <c r="F233" s="294" t="s">
        <v>435</v>
      </c>
      <c r="G233" s="294" t="s">
        <v>435</v>
      </c>
      <c r="H233" s="294" t="s">
        <v>435</v>
      </c>
      <c r="I233" s="294" t="s">
        <v>435</v>
      </c>
      <c r="J233" s="294" t="s">
        <v>435</v>
      </c>
      <c r="K233" s="305" t="b" cm="1">
        <f t="array" ref="K233">OR(NOT(ISERROR(MATCH(TRIM(_xlfn.TEXTSPLIT(Table_AlwaysSend[[#This Row],[Feedstock]],",")),SelectedFeedstock,0))),AND(SelectedFeedstock&lt;&gt;"(Multiple Items)",SelectedFeedstock&lt;&gt;"(All)",Table_AlwaysSend[[#This Row],[Feedstock]]="All"))</f>
        <v>1</v>
      </c>
      <c r="L233" s="305" t="b" cm="1">
        <f t="array" ref="L233">OR(NOT(ISERROR(MATCH(TRIM(_xlfn.TEXTSPLIT(Table_AlwaysSend[[#This Row],[Conversion]],",")),SelectedConversion,0))),AND(SelectedConversion&lt;&gt;"(Multiple Items)",SelectedConversion&lt;&gt;"(All)",Table_AlwaysSend[[#This Row],[Conversion]]="All"))</f>
        <v>1</v>
      </c>
      <c r="M233" s="305" t="b" cm="1">
        <f t="array" ref="M233">OR(NOT(ISERROR(MATCH(TRIM(_xlfn.TEXTSPLIT(Table_AlwaysSend[[#This Row],[Data Source]],",")),SelectedDataSource,0))),AND(SelectedDataSource&lt;&gt;"(Multiple Items)",SelectedDataSource&lt;&gt;"(All)",Table_AlwaysSend[[#This Row],[Data Source]]="All"))</f>
        <v>1</v>
      </c>
      <c r="N233" s="305" t="b" cm="1">
        <f t="array" ref="N233">OR(NOT(ISERROR(MATCH(TRIM(_xlfn.TEXTSPLIT(Table_AlwaysSend[[#This Row],[Technology]],",")),SelectedTechnology,0))),AND(SelectedTechnology&lt;&gt;"(Multiple Items)",SelectedTechnology&lt;&gt;"(All)",Table_AlwaysSend[[#This Row],[Technology]]="All"))</f>
        <v>1</v>
      </c>
      <c r="O233" s="305" t="b" cm="1">
        <f t="array" ref="O233">OR(NOT(ISERROR(MATCH(TRIM(_xlfn.TEXTSPLIT(Table_AlwaysSend[[#This Row],[Data Set]],",")),SelectedDataSet,0))),AND(SelectedDataSet&lt;&gt;"(Multiple Items)",SelectedDataSet&lt;&gt;"(All)",Table_AlwaysSend[[#This Row],[Data Set]]="All"))</f>
        <v>1</v>
      </c>
      <c r="P233" s="305" t="b">
        <v>1</v>
      </c>
      <c r="Q233" s="307" t="b">
        <f>AND(Table_AlwaysSend[[#This Row],[Show Feedstock]:[Show Data Source2]],Table_AlwaysSend[[#This Row],[Conditional]]=TRUE)</f>
        <v>1</v>
      </c>
      <c r="R233" s="261" t="s">
        <v>1493</v>
      </c>
      <c r="S233" s="287">
        <v>4</v>
      </c>
      <c r="T233" s="14" t="s">
        <v>1935</v>
      </c>
    </row>
    <row r="234" spans="5:20" x14ac:dyDescent="0.3">
      <c r="E234" s="301" t="str">
        <f>IF(Table_AlwaysSend[[#This Row],[GREET1 Name Range]]="", "dash_"&amp;Table_AlwaysSend[[#This Row],[Feedstock]]&amp;"_"&amp;Table_AlwaysSend[[#This Row],[Value to Send]], Table_AlwaysSend[[#This Row],[Feedstock]]&amp;"_"&amp;Table_AlwaysSend[[#This Row],[Value to Send]]&amp;"_"&amp;Table_AlwaysSend[[#This Row],[GREET1 Name Range]])</f>
        <v>Sugarcane_0_Sugracane_Fermentation_CoProduced_Electricity</v>
      </c>
      <c r="F234" s="410" t="s">
        <v>447</v>
      </c>
      <c r="G234" s="410" t="s">
        <v>1964</v>
      </c>
      <c r="H234" s="411" t="s">
        <v>29</v>
      </c>
      <c r="I234" s="412" t="s">
        <v>29</v>
      </c>
      <c r="J234" s="401" t="s">
        <v>31</v>
      </c>
      <c r="K234" s="305" t="b" cm="1">
        <f t="array" ref="K234">OR(NOT(ISERROR(MATCH(TRIM(_xlfn.TEXTSPLIT(Table_AlwaysSend[[#This Row],[Feedstock]],",")),SelectedFeedstock,0))),AND(SelectedFeedstock&lt;&gt;"(Multiple Items)",SelectedFeedstock&lt;&gt;"(All)",Table_AlwaysSend[[#This Row],[Feedstock]]="All"))</f>
        <v>0</v>
      </c>
      <c r="L234" s="305" t="b" cm="1">
        <f t="array" ref="L234">OR(NOT(ISERROR(MATCH(TRIM(_xlfn.TEXTSPLIT(Table_AlwaysSend[[#This Row],[Conversion]],",")),SelectedConversion,0))),AND(SelectedConversion&lt;&gt;"(Multiple Items)",SelectedConversion&lt;&gt;"(All)",Table_AlwaysSend[[#This Row],[Conversion]]="All"))</f>
        <v>0</v>
      </c>
      <c r="M234" s="305" t="b" cm="1">
        <f t="array" ref="M234">OR(NOT(ISERROR(MATCH(TRIM(_xlfn.TEXTSPLIT(Table_AlwaysSend[[#This Row],[Data Source]],",")),SelectedDataSource,0))),AND(SelectedDataSource&lt;&gt;"(Multiple Items)",SelectedDataSource&lt;&gt;"(All)",Table_AlwaysSend[[#This Row],[Data Source]]="All"))</f>
        <v>1</v>
      </c>
      <c r="N234" s="305" t="b" cm="1">
        <f t="array" ref="N234">OR(NOT(ISERROR(MATCH(TRIM(_xlfn.TEXTSPLIT(Table_AlwaysSend[[#This Row],[Technology]],",")),SelectedTechnology,0))),AND(SelectedTechnology&lt;&gt;"(Multiple Items)",SelectedTechnology&lt;&gt;"(All)",Table_AlwaysSend[[#This Row],[Technology]]="All"))</f>
        <v>1</v>
      </c>
      <c r="O234" s="305" t="b" cm="1">
        <f t="array" ref="O234">OR(NOT(ISERROR(MATCH(TRIM(_xlfn.TEXTSPLIT(Table_AlwaysSend[[#This Row],[Data Set]],",")),SelectedDataSet,0))),AND(SelectedDataSet&lt;&gt;"(Multiple Items)",SelectedDataSet&lt;&gt;"(All)",Table_AlwaysSend[[#This Row],[Data Set]]="All"))</f>
        <v>1</v>
      </c>
      <c r="P234" s="305" t="b">
        <v>1</v>
      </c>
      <c r="Q234" s="307" t="b">
        <f>AND(Table_AlwaysSend[[#This Row],[Show Feedstock]:[Show Data Source2]],Table_AlwaysSend[[#This Row],[Conditional]]=TRUE)</f>
        <v>0</v>
      </c>
      <c r="R234" s="402" t="s">
        <v>1985</v>
      </c>
      <c r="S234" s="429">
        <v>0</v>
      </c>
      <c r="T234" s="37" t="s">
        <v>2221</v>
      </c>
    </row>
    <row r="442" ht="12"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515" spans="22:22" x14ac:dyDescent="0.3">
      <c r="V515" s="12" t="s">
        <v>430</v>
      </c>
    </row>
  </sheetData>
  <phoneticPr fontId="13" type="noConversion"/>
  <conditionalFormatting sqref="S104:S106 S108 J111:J122 J103 I95:I102">
    <cfRule type="cellIs" dxfId="1470" priority="1815" operator="equal">
      <formula>"Share"</formula>
    </cfRule>
  </conditionalFormatting>
  <conditionalFormatting sqref="J58:J87 J92:J94">
    <cfRule type="cellIs" dxfId="1469" priority="85" operator="equal">
      <formula>"Share"</formula>
    </cfRule>
  </conditionalFormatting>
  <conditionalFormatting sqref="J7:J8">
    <cfRule type="cellIs" dxfId="1468" priority="84" operator="equal">
      <formula>"Share"</formula>
    </cfRule>
  </conditionalFormatting>
  <conditionalFormatting sqref="I7:I8">
    <cfRule type="cellIs" dxfId="1467" priority="83" operator="equal">
      <formula>"Share"</formula>
    </cfRule>
  </conditionalFormatting>
  <conditionalFormatting sqref="F7:H8">
    <cfRule type="cellIs" dxfId="1466" priority="82" operator="equal">
      <formula>"Share"</formula>
    </cfRule>
  </conditionalFormatting>
  <conditionalFormatting sqref="J9:J10">
    <cfRule type="cellIs" dxfId="1465" priority="81" operator="equal">
      <formula>"Share"</formula>
    </cfRule>
  </conditionalFormatting>
  <conditionalFormatting sqref="I9:I10">
    <cfRule type="cellIs" dxfId="1464" priority="80" operator="equal">
      <formula>"Share"</formula>
    </cfRule>
  </conditionalFormatting>
  <conditionalFormatting sqref="F9:H10">
    <cfRule type="cellIs" dxfId="1463" priority="79" operator="equal">
      <formula>"Share"</formula>
    </cfRule>
  </conditionalFormatting>
  <conditionalFormatting sqref="S7:S8">
    <cfRule type="cellIs" dxfId="1462" priority="77" operator="equal">
      <formula>"Share"</formula>
    </cfRule>
  </conditionalFormatting>
  <conditionalFormatting sqref="S9:S10">
    <cfRule type="cellIs" dxfId="1461" priority="76" operator="equal">
      <formula>"Share"</formula>
    </cfRule>
  </conditionalFormatting>
  <conditionalFormatting sqref="T7:T10">
    <cfRule type="cellIs" dxfId="1460" priority="75" operator="equal">
      <formula>"Share"</formula>
    </cfRule>
  </conditionalFormatting>
  <conditionalFormatting sqref="I11:I21">
    <cfRule type="cellIs" dxfId="1459" priority="74" operator="equal">
      <formula>"Share"</formula>
    </cfRule>
  </conditionalFormatting>
  <conditionalFormatting sqref="G11:H21">
    <cfRule type="cellIs" dxfId="1458" priority="73" operator="equal">
      <formula>"Share"</formula>
    </cfRule>
  </conditionalFormatting>
  <conditionalFormatting sqref="F22:H22">
    <cfRule type="cellIs" dxfId="1457" priority="71" operator="equal">
      <formula>"Share"</formula>
    </cfRule>
  </conditionalFormatting>
  <conditionalFormatting sqref="J26">
    <cfRule type="cellIs" dxfId="1456" priority="70" operator="equal">
      <formula>"Share"</formula>
    </cfRule>
  </conditionalFormatting>
  <conditionalFormatting sqref="I22:I25">
    <cfRule type="cellIs" dxfId="1455" priority="69" operator="equal">
      <formula>"Share"</formula>
    </cfRule>
  </conditionalFormatting>
  <conditionalFormatting sqref="F23:H23">
    <cfRule type="cellIs" dxfId="1454" priority="68" operator="equal">
      <formula>"Share"</formula>
    </cfRule>
  </conditionalFormatting>
  <conditionalFormatting sqref="I23:J23">
    <cfRule type="cellIs" dxfId="1453" priority="67" operator="equal">
      <formula>"Share"</formula>
    </cfRule>
  </conditionalFormatting>
  <conditionalFormatting sqref="F24:H24">
    <cfRule type="cellIs" dxfId="1452" priority="66" operator="equal">
      <formula>"Share"</formula>
    </cfRule>
  </conditionalFormatting>
  <conditionalFormatting sqref="I24:J24">
    <cfRule type="cellIs" dxfId="1451" priority="65" operator="equal">
      <formula>"Share"</formula>
    </cfRule>
  </conditionalFormatting>
  <conditionalFormatting sqref="F25:H25">
    <cfRule type="cellIs" dxfId="1450" priority="64" operator="equal">
      <formula>"Share"</formula>
    </cfRule>
  </conditionalFormatting>
  <conditionalFormatting sqref="I25:J25">
    <cfRule type="cellIs" dxfId="1449" priority="63" operator="equal">
      <formula>"Share"</formula>
    </cfRule>
  </conditionalFormatting>
  <conditionalFormatting sqref="S11:S21">
    <cfRule type="cellIs" dxfId="1448" priority="57" operator="equal">
      <formula>"Share"</formula>
    </cfRule>
  </conditionalFormatting>
  <conditionalFormatting sqref="S22">
    <cfRule type="cellIs" dxfId="1447" priority="56" operator="equal">
      <formula>"Share"</formula>
    </cfRule>
  </conditionalFormatting>
  <conditionalFormatting sqref="S23">
    <cfRule type="cellIs" dxfId="1446" priority="55" operator="equal">
      <formula>"Share"</formula>
    </cfRule>
  </conditionalFormatting>
  <conditionalFormatting sqref="S24">
    <cfRule type="cellIs" dxfId="1445" priority="54" operator="equal">
      <formula>"Share"</formula>
    </cfRule>
  </conditionalFormatting>
  <conditionalFormatting sqref="S25">
    <cfRule type="cellIs" dxfId="1444" priority="53" operator="equal">
      <formula>"Share"</formula>
    </cfRule>
  </conditionalFormatting>
  <conditionalFormatting sqref="J31:J39">
    <cfRule type="cellIs" dxfId="1443" priority="52" operator="equal">
      <formula>"Share"</formula>
    </cfRule>
  </conditionalFormatting>
  <conditionalFormatting sqref="I27:I57">
    <cfRule type="cellIs" dxfId="1442" priority="51" operator="equal">
      <formula>"Share"</formula>
    </cfRule>
  </conditionalFormatting>
  <conditionalFormatting sqref="I26:I57">
    <cfRule type="cellIs" dxfId="1441" priority="44" operator="equal">
      <formula>"Share"</formula>
    </cfRule>
  </conditionalFormatting>
  <conditionalFormatting sqref="F104:H106">
    <cfRule type="cellIs" dxfId="1440" priority="41" operator="equal">
      <formula>"Share"</formula>
    </cfRule>
  </conditionalFormatting>
  <conditionalFormatting sqref="F108:H108">
    <cfRule type="cellIs" dxfId="1439" priority="40" operator="equal">
      <formula>"Share"</formula>
    </cfRule>
  </conditionalFormatting>
  <conditionalFormatting sqref="I104:I107">
    <cfRule type="cellIs" dxfId="1438" priority="39" operator="equal">
      <formula>"Share"</formula>
    </cfRule>
  </conditionalFormatting>
  <conditionalFormatting sqref="I108:I110">
    <cfRule type="cellIs" dxfId="1437" priority="38" operator="equal">
      <formula>"Share"</formula>
    </cfRule>
  </conditionalFormatting>
  <conditionalFormatting sqref="T104:T106">
    <cfRule type="cellIs" dxfId="1436" priority="34" operator="equal">
      <formula>"Share"</formula>
    </cfRule>
  </conditionalFormatting>
  <conditionalFormatting sqref="T108">
    <cfRule type="cellIs" dxfId="1435" priority="33" operator="equal">
      <formula>"Share"</formula>
    </cfRule>
  </conditionalFormatting>
  <conditionalFormatting sqref="F109:H110">
    <cfRule type="cellIs" dxfId="1434" priority="32" operator="equal">
      <formula>"Share"</formula>
    </cfRule>
  </conditionalFormatting>
  <conditionalFormatting sqref="I109:I110">
    <cfRule type="cellIs" dxfId="1433" priority="31" operator="equal">
      <formula>"Share"</formula>
    </cfRule>
  </conditionalFormatting>
  <conditionalFormatting sqref="S109">
    <cfRule type="cellIs" dxfId="1432" priority="30" operator="equal">
      <formula>"Share"</formula>
    </cfRule>
  </conditionalFormatting>
  <conditionalFormatting sqref="S110">
    <cfRule type="cellIs" dxfId="1431" priority="29" operator="equal">
      <formula>"Share"</formula>
    </cfRule>
  </conditionalFormatting>
  <conditionalFormatting sqref="T109">
    <cfRule type="cellIs" dxfId="1430" priority="28" operator="equal">
      <formula>"Share"</formula>
    </cfRule>
  </conditionalFormatting>
  <conditionalFormatting sqref="T110">
    <cfRule type="cellIs" dxfId="1429" priority="27" operator="equal">
      <formula>"Share"</formula>
    </cfRule>
  </conditionalFormatting>
  <conditionalFormatting sqref="F107:G107">
    <cfRule type="cellIs" dxfId="1428" priority="22" operator="equal">
      <formula>"Share"</formula>
    </cfRule>
  </conditionalFormatting>
  <conditionalFormatting sqref="S107">
    <cfRule type="cellIs" dxfId="1427" priority="20" operator="equal">
      <formula>"Share"</formula>
    </cfRule>
  </conditionalFormatting>
  <conditionalFormatting sqref="T107">
    <cfRule type="cellIs" dxfId="1426" priority="19" operator="equal">
      <formula>"Share"</formula>
    </cfRule>
  </conditionalFormatting>
  <conditionalFormatting sqref="H107">
    <cfRule type="cellIs" dxfId="1425" priority="18" operator="equal">
      <formula>"Share"</formula>
    </cfRule>
  </conditionalFormatting>
  <conditionalFormatting sqref="J104:J107">
    <cfRule type="cellIs" dxfId="1424" priority="17" operator="equal">
      <formula>"Share"</formula>
    </cfRule>
  </conditionalFormatting>
  <conditionalFormatting sqref="J153:J159">
    <cfRule type="cellIs" dxfId="1423" priority="16" operator="equal">
      <formula>"Share"</formula>
    </cfRule>
  </conditionalFormatting>
  <conditionalFormatting sqref="I153:I159">
    <cfRule type="cellIs" dxfId="1422" priority="15" operator="equal">
      <formula>"Share"</formula>
    </cfRule>
  </conditionalFormatting>
  <conditionalFormatting sqref="I153:I159">
    <cfRule type="cellIs" dxfId="1421" priority="14" operator="equal">
      <formula>"Share"</formula>
    </cfRule>
  </conditionalFormatting>
  <conditionalFormatting sqref="I88:I91">
    <cfRule type="cellIs" dxfId="1420" priority="12" operator="equal">
      <formula>"Share"</formula>
    </cfRule>
  </conditionalFormatting>
  <conditionalFormatting sqref="J22:J25">
    <cfRule type="cellIs" dxfId="1419" priority="11" operator="equal">
      <formula>"Share"</formula>
    </cfRule>
  </conditionalFormatting>
  <conditionalFormatting sqref="J88:J91">
    <cfRule type="cellIs" dxfId="1418" priority="10" operator="equal">
      <formula>"Share"</formula>
    </cfRule>
  </conditionalFormatting>
  <conditionalFormatting sqref="J108:J110">
    <cfRule type="cellIs" dxfId="1417" priority="9" operator="equal">
      <formula>"Share"</formula>
    </cfRule>
  </conditionalFormatting>
  <conditionalFormatting sqref="J109:J110">
    <cfRule type="cellIs" dxfId="1416" priority="8" operator="equal">
      <formula>"Share"</formula>
    </cfRule>
  </conditionalFormatting>
  <conditionalFormatting sqref="J123:J128">
    <cfRule type="cellIs" dxfId="1415" priority="7" operator="equal">
      <formula>"Share"</formula>
    </cfRule>
  </conditionalFormatting>
  <conditionalFormatting sqref="I123:I128">
    <cfRule type="cellIs" dxfId="1414" priority="6" operator="equal">
      <formula>"Share"</formula>
    </cfRule>
  </conditionalFormatting>
  <conditionalFormatting sqref="J171">
    <cfRule type="cellIs" dxfId="1413" priority="5" operator="equal">
      <formula>"Share"</formula>
    </cfRule>
  </conditionalFormatting>
  <conditionalFormatting sqref="I171">
    <cfRule type="cellIs" dxfId="1412" priority="4" operator="equal">
      <formula>"Share"</formula>
    </cfRule>
  </conditionalFormatting>
  <conditionalFormatting sqref="I183:I184">
    <cfRule type="cellIs" dxfId="1411" priority="3" operator="equal">
      <formula>"Share"</formula>
    </cfRule>
  </conditionalFormatting>
  <conditionalFormatting sqref="I234">
    <cfRule type="cellIs" dxfId="1410" priority="2" operator="equal">
      <formula>"Share"</formula>
    </cfRule>
  </conditionalFormatting>
  <conditionalFormatting sqref="F234:H234">
    <cfRule type="cellIs" dxfId="1409" priority="1" operator="equal">
      <formula>"Share"</formula>
    </cfRule>
  </conditionalFormatting>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13374-B34B-441E-8719-87AA1755976B}">
  <sheetPr codeName="LCI"/>
  <dimension ref="A1:AC2832"/>
  <sheetViews>
    <sheetView topLeftCell="M2752" zoomScale="70" zoomScaleNormal="70" workbookViewId="0">
      <selection activeCell="Q2797" sqref="Q2797"/>
    </sheetView>
  </sheetViews>
  <sheetFormatPr defaultRowHeight="14.4" x14ac:dyDescent="0.3"/>
  <cols>
    <col min="1" max="2" width="30" style="14" customWidth="1"/>
    <col min="3" max="3" width="13.88671875" style="14" customWidth="1"/>
    <col min="4" max="4" width="14" style="14" customWidth="1"/>
    <col min="5" max="5" width="17.44140625" customWidth="1"/>
    <col min="6" max="6" width="29.5546875" customWidth="1"/>
    <col min="7" max="7" width="18.44140625" customWidth="1"/>
    <col min="8" max="8" width="14.5546875" customWidth="1"/>
    <col min="9" max="9" width="18.88671875" customWidth="1"/>
    <col min="10" max="10" width="26" customWidth="1"/>
    <col min="11" max="12" width="18.88671875" customWidth="1"/>
    <col min="13" max="13" width="10.6640625" customWidth="1"/>
    <col min="14" max="14" width="17.33203125" customWidth="1"/>
    <col min="15" max="15" width="18.33203125" customWidth="1"/>
    <col min="16" max="16" width="25" customWidth="1"/>
    <col min="17" max="17" width="46.5546875" customWidth="1"/>
    <col min="18" max="18" width="43.5546875" customWidth="1"/>
    <col min="19" max="19" width="25" customWidth="1"/>
    <col min="20" max="20" width="17.5546875" customWidth="1"/>
    <col min="21" max="21" width="29.88671875" customWidth="1"/>
    <col min="22" max="22" width="33.44140625" customWidth="1"/>
    <col min="23" max="23" width="24.6640625" customWidth="1"/>
    <col min="24" max="24" width="25" customWidth="1"/>
    <col min="25" max="25" width="27" customWidth="1"/>
    <col min="26" max="26" width="30" hidden="1" customWidth="1"/>
    <col min="27" max="28" width="21" customWidth="1"/>
    <col min="29" max="29" width="25" customWidth="1"/>
  </cols>
  <sheetData>
    <row r="1" spans="1:29" x14ac:dyDescent="0.3">
      <c r="A1" s="341" t="s">
        <v>196</v>
      </c>
      <c r="B1" s="342" t="s">
        <v>17</v>
      </c>
      <c r="C1" s="32" t="s">
        <v>18</v>
      </c>
      <c r="D1" s="32" t="s">
        <v>22</v>
      </c>
      <c r="E1" s="341" t="s">
        <v>442</v>
      </c>
      <c r="F1" s="341" t="s">
        <v>441</v>
      </c>
      <c r="G1" s="32" t="s">
        <v>19</v>
      </c>
      <c r="H1" s="32" t="s">
        <v>20</v>
      </c>
      <c r="I1" s="32" t="s">
        <v>444</v>
      </c>
      <c r="J1" s="32" t="s">
        <v>443</v>
      </c>
      <c r="K1" s="32" t="s">
        <v>24</v>
      </c>
      <c r="L1" s="32" t="s">
        <v>1478</v>
      </c>
      <c r="M1" s="32" t="s">
        <v>120</v>
      </c>
      <c r="N1" s="32" t="s">
        <v>25</v>
      </c>
      <c r="O1" s="341" t="s">
        <v>927</v>
      </c>
      <c r="P1" s="341" t="s">
        <v>26</v>
      </c>
      <c r="Q1" s="341" t="s">
        <v>72</v>
      </c>
      <c r="R1" s="341" t="s">
        <v>96</v>
      </c>
      <c r="S1" s="341" t="s">
        <v>910</v>
      </c>
      <c r="T1" s="341" t="s">
        <v>438</v>
      </c>
      <c r="U1" s="341" t="s">
        <v>905</v>
      </c>
      <c r="V1" s="341" t="s">
        <v>906</v>
      </c>
      <c r="W1" s="341" t="s">
        <v>907</v>
      </c>
      <c r="X1" s="341" t="s">
        <v>3</v>
      </c>
      <c r="Y1" s="341" t="s">
        <v>27</v>
      </c>
      <c r="Z1" s="341" t="s">
        <v>91</v>
      </c>
      <c r="AA1" s="341" t="s">
        <v>926</v>
      </c>
      <c r="AB1" s="341" t="s">
        <v>909</v>
      </c>
      <c r="AC1" s="341" t="s">
        <v>908</v>
      </c>
    </row>
    <row r="2" spans="1:29" x14ac:dyDescent="0.3">
      <c r="A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dash_SoybeanHEFAGREETGREET(blank)_Yield_Farming</v>
      </c>
      <c r="B2" s="48" t="s">
        <v>10</v>
      </c>
      <c r="C2" s="48" t="s">
        <v>30</v>
      </c>
      <c r="D2" s="48" t="s">
        <v>29</v>
      </c>
      <c r="E2" s="48" t="s">
        <v>29</v>
      </c>
      <c r="F2" s="48" t="s">
        <v>31</v>
      </c>
      <c r="G2" s="14" t="b">
        <f>OR(LCI_Table[[#This Row],[Feedstock]]="All",LCI_Table[[#This Row],[Feedstock]]=SelectedFeedstock)</f>
        <v>0</v>
      </c>
      <c r="H2" s="14" t="b">
        <f>OR(LCI_Table[[#This Row],[Conversion]]="All",LCI_Table[[#This Row],[Conversion]]=SelectedConversion)</f>
        <v>1</v>
      </c>
      <c r="I2" s="14" t="b">
        <f>OR(LCI_Table[[#This Row],[Data Set]]="all",LCI_Table[[#This Row],[Data Set]]=SelectedDataSet)</f>
        <v>1</v>
      </c>
      <c r="J2" s="14" t="b">
        <f>OR(LCI_Table[[#This Row],[Technology]]="All",LCI_Table[[#This Row],[Technology]]=SelectedTechnology)</f>
        <v>1</v>
      </c>
      <c r="K2" s="14" t="b">
        <f>OR(LCI_Table[[#This Row],[Data Source]]="All",LCI_Table[[#This Row],[Data Source]]=SelectedDataSource)</f>
        <v>1</v>
      </c>
      <c r="L2" s="14" t="b">
        <v>0</v>
      </c>
      <c r="M2" s="14" t="b">
        <f>(LCI_Table[[#This Row],[Dev Notes]]="Do not display")</f>
        <v>0</v>
      </c>
      <c r="N2" s="14" t="b">
        <f>AND(LCI_Table[[#This Row],[Show Feedstock]:[Conditional]],NOT(LCI_Table[[#This Row],[Hide Row]]))</f>
        <v>0</v>
      </c>
      <c r="O2" s="14" t="b">
        <f>LCI_Table[[#This Row],[GREET1 Name Range]]=""</f>
        <v>1</v>
      </c>
      <c r="P2" s="48" t="s">
        <v>14</v>
      </c>
      <c r="Q2" s="14" t="s">
        <v>361</v>
      </c>
      <c r="R2" s="48" t="s">
        <v>200</v>
      </c>
      <c r="S2" s="413" cm="1">
        <f t="array" aca="1" ref="S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51</v>
      </c>
      <c r="T2" s="343" t="s">
        <v>2108</v>
      </c>
      <c r="U2" s="344"/>
      <c r="V2" s="344">
        <v>51</v>
      </c>
      <c r="W2" s="344"/>
      <c r="X2" s="48" t="s">
        <v>11</v>
      </c>
      <c r="Y2" s="344" t="s">
        <v>413</v>
      </c>
      <c r="Z2" s="14" t="str">
        <f>IF(ISBLANK(LCI_Table[[#This Row],[Notes for user]])," ",LCI_Table[[#This Row],[Notes for user]])</f>
        <v xml:space="preserve"> </v>
      </c>
      <c r="AA2" s="48"/>
      <c r="AB2" s="345"/>
      <c r="AC2" s="346">
        <f>LCI_Table[[#This Row],[Default Calculated Value]]-LCI_Table[[#This Row],[Calculated Value]]</f>
        <v>0</v>
      </c>
    </row>
    <row r="3" spans="1:29" x14ac:dyDescent="0.3">
      <c r="A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SoybeanHEFAGREETGREET(blank)_Soybean_Farming_Nitrogen_fertilizerNitrogen fertilizer</v>
      </c>
      <c r="B3" s="14" t="s">
        <v>10</v>
      </c>
      <c r="C3" s="14" t="s">
        <v>30</v>
      </c>
      <c r="D3" s="14" t="s">
        <v>29</v>
      </c>
      <c r="E3" s="48" t="s">
        <v>29</v>
      </c>
      <c r="F3" s="14" t="s">
        <v>31</v>
      </c>
      <c r="G3" s="14" t="b">
        <f>OR(LCI_Table[[#This Row],[Feedstock]]="All",LCI_Table[[#This Row],[Feedstock]]=SelectedFeedstock)</f>
        <v>0</v>
      </c>
      <c r="H3" s="14" t="b">
        <f>OR(LCI_Table[[#This Row],[Conversion]]="All",LCI_Table[[#This Row],[Conversion]]=SelectedConversion)</f>
        <v>1</v>
      </c>
      <c r="I3" s="14" t="b">
        <f>OR(LCI_Table[[#This Row],[Data Set]]="all",LCI_Table[[#This Row],[Data Set]]=SelectedDataSet)</f>
        <v>1</v>
      </c>
      <c r="J3" s="14" t="b">
        <f>OR(LCI_Table[[#This Row],[Technology]]="All",LCI_Table[[#This Row],[Technology]]=SelectedTechnology)</f>
        <v>1</v>
      </c>
      <c r="K3" s="14" t="b">
        <f>OR(LCI_Table[[#This Row],[Data Source]]="All",LCI_Table[[#This Row],[Data Source]]=SelectedDataSource)</f>
        <v>1</v>
      </c>
      <c r="L3" s="14" t="b">
        <v>0</v>
      </c>
      <c r="M3" s="14" t="b">
        <f>(LCI_Table[[#This Row],[Dev Notes]]="Do not display")</f>
        <v>0</v>
      </c>
      <c r="N3" s="14" t="b">
        <f>AND(LCI_Table[[#This Row],[Show Feedstock]:[Conditional]],NOT(LCI_Table[[#This Row],[Hide Row]]))</f>
        <v>0</v>
      </c>
      <c r="O3" s="14" t="b">
        <f>LCI_Table[[#This Row],[GREET1 Name Range]]=""</f>
        <v>0</v>
      </c>
      <c r="P3" s="14" t="s">
        <v>14</v>
      </c>
      <c r="Q3" s="14" t="s">
        <v>800</v>
      </c>
      <c r="R3" s="14" t="s">
        <v>111</v>
      </c>
      <c r="S3" s="37" cm="1">
        <f t="array" aca="1" ref="S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5.93400875969472</v>
      </c>
      <c r="T3" s="346" t="s">
        <v>1485</v>
      </c>
      <c r="U3" s="347">
        <f ca="1">S3/g2lb/S2</f>
        <v>52.776884253150655</v>
      </c>
      <c r="V3" s="347">
        <v>5.93400875969472</v>
      </c>
      <c r="W3" s="347">
        <v>52.776884253150655</v>
      </c>
      <c r="X3" s="14" t="s">
        <v>12</v>
      </c>
      <c r="Y3" s="346" t="s">
        <v>413</v>
      </c>
      <c r="Z3" s="14" t="str">
        <f>IF(ISBLANK(LCI_Table[[#This Row],[Notes for user]])," ",LCI_Table[[#This Row],[Notes for user]])</f>
        <v xml:space="preserve"> </v>
      </c>
      <c r="AA3" s="14"/>
      <c r="AB3" s="14"/>
      <c r="AC3" s="346">
        <f ca="1">LCI_Table[[#This Row],[Default Calculated Value]]-LCI_Table[[#This Row],[Calculated Value]]</f>
        <v>0</v>
      </c>
    </row>
    <row r="4" spans="1:29" x14ac:dyDescent="0.3">
      <c r="A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SoybeanHEFAGREETGREET(blank)_Soybean_Farming_P2O5P2O5</v>
      </c>
      <c r="B4" s="14" t="s">
        <v>10</v>
      </c>
      <c r="C4" s="14" t="s">
        <v>30</v>
      </c>
      <c r="D4" s="14" t="s">
        <v>29</v>
      </c>
      <c r="E4" s="48" t="s">
        <v>29</v>
      </c>
      <c r="F4" s="14" t="s">
        <v>31</v>
      </c>
      <c r="G4" s="14" t="b">
        <f>OR(LCI_Table[[#This Row],[Feedstock]]="All",LCI_Table[[#This Row],[Feedstock]]=SelectedFeedstock)</f>
        <v>0</v>
      </c>
      <c r="H4" s="14" t="b">
        <f>OR(LCI_Table[[#This Row],[Conversion]]="All",LCI_Table[[#This Row],[Conversion]]=SelectedConversion)</f>
        <v>1</v>
      </c>
      <c r="I4" s="14" t="b">
        <f>OR(LCI_Table[[#This Row],[Data Set]]="all",LCI_Table[[#This Row],[Data Set]]=SelectedDataSet)</f>
        <v>1</v>
      </c>
      <c r="J4" s="14" t="b">
        <f>OR(LCI_Table[[#This Row],[Technology]]="All",LCI_Table[[#This Row],[Technology]]=SelectedTechnology)</f>
        <v>1</v>
      </c>
      <c r="K4" s="14" t="b">
        <f>OR(LCI_Table[[#This Row],[Data Source]]="All",LCI_Table[[#This Row],[Data Source]]=SelectedDataSource)</f>
        <v>1</v>
      </c>
      <c r="L4" s="14" t="b">
        <v>0</v>
      </c>
      <c r="M4" s="14" t="b">
        <f>(LCI_Table[[#This Row],[Dev Notes]]="Do not display")</f>
        <v>0</v>
      </c>
      <c r="N4" s="14" t="b">
        <f>AND(LCI_Table[[#This Row],[Show Feedstock]:[Conditional]],NOT(LCI_Table[[#This Row],[Hide Row]]))</f>
        <v>0</v>
      </c>
      <c r="O4" s="14" t="b">
        <f>LCI_Table[[#This Row],[GREET1 Name Range]]=""</f>
        <v>0</v>
      </c>
      <c r="P4" s="14" t="s">
        <v>14</v>
      </c>
      <c r="Q4" s="14" t="s">
        <v>801</v>
      </c>
      <c r="R4" s="14" t="s">
        <v>112</v>
      </c>
      <c r="S4" s="37" cm="1">
        <f t="array" aca="1" ref="S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23.377806969678744</v>
      </c>
      <c r="T4" s="346" t="s">
        <v>1485</v>
      </c>
      <c r="U4" s="347">
        <f ca="1">S4/g2lb/S2</f>
        <v>207.92146801527605</v>
      </c>
      <c r="V4" s="347">
        <v>23.377806969678744</v>
      </c>
      <c r="W4" s="347">
        <v>207.92146801527605</v>
      </c>
      <c r="X4" s="14" t="s">
        <v>12</v>
      </c>
      <c r="Y4" s="346" t="s">
        <v>413</v>
      </c>
      <c r="Z4" s="14" t="str">
        <f>IF(ISBLANK(LCI_Table[[#This Row],[Notes for user]])," ",LCI_Table[[#This Row],[Notes for user]])</f>
        <v xml:space="preserve"> </v>
      </c>
      <c r="AA4" s="14"/>
      <c r="AB4" s="14"/>
      <c r="AC4" s="346">
        <f ca="1">LCI_Table[[#This Row],[Default Calculated Value]]-LCI_Table[[#This Row],[Calculated Value]]</f>
        <v>0</v>
      </c>
    </row>
    <row r="5" spans="1:29" x14ac:dyDescent="0.3">
      <c r="A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SoybeanHEFAGREETGREET(blank)_Soybean_Farming_K2OK2O</v>
      </c>
      <c r="B5" s="14" t="s">
        <v>10</v>
      </c>
      <c r="C5" s="14" t="s">
        <v>30</v>
      </c>
      <c r="D5" s="14" t="s">
        <v>29</v>
      </c>
      <c r="E5" s="48" t="s">
        <v>29</v>
      </c>
      <c r="F5" s="14" t="s">
        <v>31</v>
      </c>
      <c r="G5" s="14" t="b">
        <f>OR(LCI_Table[[#This Row],[Feedstock]]="All",LCI_Table[[#This Row],[Feedstock]]=SelectedFeedstock)</f>
        <v>0</v>
      </c>
      <c r="H5" s="14" t="b">
        <f>OR(LCI_Table[[#This Row],[Conversion]]="All",LCI_Table[[#This Row],[Conversion]]=SelectedConversion)</f>
        <v>1</v>
      </c>
      <c r="I5" s="14" t="b">
        <f>OR(LCI_Table[[#This Row],[Data Set]]="all",LCI_Table[[#This Row],[Data Set]]=SelectedDataSet)</f>
        <v>1</v>
      </c>
      <c r="J5" s="14" t="b">
        <f>OR(LCI_Table[[#This Row],[Technology]]="All",LCI_Table[[#This Row],[Technology]]=SelectedTechnology)</f>
        <v>1</v>
      </c>
      <c r="K5" s="14" t="b">
        <f>OR(LCI_Table[[#This Row],[Data Source]]="All",LCI_Table[[#This Row],[Data Source]]=SelectedDataSource)</f>
        <v>1</v>
      </c>
      <c r="L5" s="14" t="b">
        <v>0</v>
      </c>
      <c r="M5" s="14" t="b">
        <f>(LCI_Table[[#This Row],[Dev Notes]]="Do not display")</f>
        <v>0</v>
      </c>
      <c r="N5" s="14" t="b">
        <f>AND(LCI_Table[[#This Row],[Show Feedstock]:[Conditional]],NOT(LCI_Table[[#This Row],[Hide Row]]))</f>
        <v>0</v>
      </c>
      <c r="O5" s="14" t="b">
        <f>LCI_Table[[#This Row],[GREET1 Name Range]]=""</f>
        <v>0</v>
      </c>
      <c r="P5" s="14" t="s">
        <v>14</v>
      </c>
      <c r="Q5" s="14" t="s">
        <v>797</v>
      </c>
      <c r="R5" s="14" t="s">
        <v>113</v>
      </c>
      <c r="S5" s="37" cm="1">
        <f t="array" aca="1" ref="S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39.20651747525978</v>
      </c>
      <c r="T5" s="346" t="s">
        <v>1485</v>
      </c>
      <c r="U5" s="347">
        <f ca="1">S5/g2lb/S2</f>
        <v>348.70151335391103</v>
      </c>
      <c r="V5" s="347">
        <v>39.20651747525978</v>
      </c>
      <c r="W5" s="347">
        <v>348.70151335391103</v>
      </c>
      <c r="X5" s="14" t="s">
        <v>12</v>
      </c>
      <c r="Y5" s="346" t="s">
        <v>413</v>
      </c>
      <c r="Z5" s="14" t="str">
        <f>IF(ISBLANK(LCI_Table[[#This Row],[Notes for user]])," ",LCI_Table[[#This Row],[Notes for user]])</f>
        <v xml:space="preserve"> </v>
      </c>
      <c r="AA5" s="14"/>
      <c r="AB5" s="14"/>
      <c r="AC5" s="346">
        <f ca="1">LCI_Table[[#This Row],[Default Calculated Value]]-LCI_Table[[#This Row],[Calculated Value]]</f>
        <v>0</v>
      </c>
    </row>
    <row r="6" spans="1:29" x14ac:dyDescent="0.3">
      <c r="A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SoybeanHEFAGREETGREET(blank)_Soybean_Farming_CaCO3CaCO3</v>
      </c>
      <c r="B6" s="14" t="s">
        <v>10</v>
      </c>
      <c r="C6" s="14" t="s">
        <v>30</v>
      </c>
      <c r="D6" s="14" t="s">
        <v>29</v>
      </c>
      <c r="E6" s="48" t="s">
        <v>29</v>
      </c>
      <c r="F6" s="14" t="s">
        <v>31</v>
      </c>
      <c r="G6" s="14" t="b">
        <f>OR(LCI_Table[[#This Row],[Feedstock]]="All",LCI_Table[[#This Row],[Feedstock]]=SelectedFeedstock)</f>
        <v>0</v>
      </c>
      <c r="H6" s="14" t="b">
        <f>OR(LCI_Table[[#This Row],[Conversion]]="All",LCI_Table[[#This Row],[Conversion]]=SelectedConversion)</f>
        <v>1</v>
      </c>
      <c r="I6" s="14" t="b">
        <f>OR(LCI_Table[[#This Row],[Data Set]]="all",LCI_Table[[#This Row],[Data Set]]=SelectedDataSet)</f>
        <v>1</v>
      </c>
      <c r="J6" s="14" t="b">
        <f>OR(LCI_Table[[#This Row],[Technology]]="All",LCI_Table[[#This Row],[Technology]]=SelectedTechnology)</f>
        <v>1</v>
      </c>
      <c r="K6" s="14" t="b">
        <f>OR(LCI_Table[[#This Row],[Data Source]]="All",LCI_Table[[#This Row],[Data Source]]=SelectedDataSource)</f>
        <v>1</v>
      </c>
      <c r="L6" s="14" t="b">
        <v>0</v>
      </c>
      <c r="M6" s="14" t="b">
        <f>(LCI_Table[[#This Row],[Dev Notes]]="Do not display")</f>
        <v>0</v>
      </c>
      <c r="N6" s="14" t="b">
        <f>AND(LCI_Table[[#This Row],[Show Feedstock]:[Conditional]],NOT(LCI_Table[[#This Row],[Hide Row]]))</f>
        <v>0</v>
      </c>
      <c r="O6" s="14" t="b">
        <f>LCI_Table[[#This Row],[GREET1 Name Range]]=""</f>
        <v>0</v>
      </c>
      <c r="P6" s="14" t="s">
        <v>14</v>
      </c>
      <c r="Q6" s="14" t="s">
        <v>790</v>
      </c>
      <c r="R6" s="14" t="s">
        <v>141</v>
      </c>
      <c r="S6" s="37" cm="1">
        <f t="array" aca="1" ref="S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 s="346" t="s">
        <v>1485</v>
      </c>
      <c r="U6" s="347">
        <f ca="1">S6/g2lb/S2</f>
        <v>0</v>
      </c>
      <c r="V6" s="347">
        <v>0</v>
      </c>
      <c r="W6" s="347">
        <v>0</v>
      </c>
      <c r="X6" s="14" t="s">
        <v>12</v>
      </c>
      <c r="Y6" s="346" t="s">
        <v>413</v>
      </c>
      <c r="Z6" s="14" t="str">
        <f>IF(ISBLANK(LCI_Table[[#This Row],[Notes for user]])," ",LCI_Table[[#This Row],[Notes for user]])</f>
        <v xml:space="preserve"> </v>
      </c>
      <c r="AA6" s="14"/>
      <c r="AB6" s="14"/>
      <c r="AC6" s="346">
        <f ca="1">LCI_Table[[#This Row],[Default Calculated Value]]-LCI_Table[[#This Row],[Calculated Value]]</f>
        <v>0</v>
      </c>
    </row>
    <row r="7" spans="1:29" x14ac:dyDescent="0.3">
      <c r="A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SoybeanHEFAGREETGREET(blank)_Soybean_Farming_HerbicidesHerbicides</v>
      </c>
      <c r="B7" s="14" t="s">
        <v>10</v>
      </c>
      <c r="C7" s="14" t="s">
        <v>30</v>
      </c>
      <c r="D7" s="14" t="s">
        <v>29</v>
      </c>
      <c r="E7" s="48" t="s">
        <v>29</v>
      </c>
      <c r="F7" s="14" t="s">
        <v>31</v>
      </c>
      <c r="G7" s="14" t="b">
        <f>OR(LCI_Table[[#This Row],[Feedstock]]="All",LCI_Table[[#This Row],[Feedstock]]=SelectedFeedstock)</f>
        <v>0</v>
      </c>
      <c r="H7" s="14" t="b">
        <f>OR(LCI_Table[[#This Row],[Conversion]]="All",LCI_Table[[#This Row],[Conversion]]=SelectedConversion)</f>
        <v>1</v>
      </c>
      <c r="I7" s="14" t="b">
        <f>OR(LCI_Table[[#This Row],[Data Set]]="all",LCI_Table[[#This Row],[Data Set]]=SelectedDataSet)</f>
        <v>1</v>
      </c>
      <c r="J7" s="14" t="b">
        <f>OR(LCI_Table[[#This Row],[Technology]]="All",LCI_Table[[#This Row],[Technology]]=SelectedTechnology)</f>
        <v>1</v>
      </c>
      <c r="K7" s="14" t="b">
        <f>OR(LCI_Table[[#This Row],[Data Source]]="All",LCI_Table[[#This Row],[Data Source]]=SelectedDataSource)</f>
        <v>1</v>
      </c>
      <c r="L7" s="14" t="b">
        <v>0</v>
      </c>
      <c r="M7" s="14" t="b">
        <f>(LCI_Table[[#This Row],[Dev Notes]]="Do not display")</f>
        <v>0</v>
      </c>
      <c r="N7" s="14" t="b">
        <f>AND(LCI_Table[[#This Row],[Show Feedstock]:[Conditional]],NOT(LCI_Table[[#This Row],[Hide Row]]))</f>
        <v>0</v>
      </c>
      <c r="O7" s="14" t="b">
        <f>LCI_Table[[#This Row],[GREET1 Name Range]]=""</f>
        <v>0</v>
      </c>
      <c r="P7" s="14" t="s">
        <v>14</v>
      </c>
      <c r="Q7" s="14" t="s">
        <v>795</v>
      </c>
      <c r="R7" s="14" t="s">
        <v>356</v>
      </c>
      <c r="S7" s="37" cm="1">
        <f t="array" aca="1" ref="S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2.3793467737731566</v>
      </c>
      <c r="T7" s="346" t="s">
        <v>1485</v>
      </c>
      <c r="U7" s="347">
        <f ca="1">(S7+IF(Selections!R97=1, 0, Selections!R100)*0.319954657166335)/g2lb/S2</f>
        <v>21.161834160149368</v>
      </c>
      <c r="V7" s="347">
        <v>2.3793467737731566</v>
      </c>
      <c r="W7" s="347">
        <v>21.161834160149368</v>
      </c>
      <c r="X7" s="14" t="s">
        <v>12</v>
      </c>
      <c r="Y7" s="346" t="s">
        <v>413</v>
      </c>
      <c r="Z7" s="14" t="str">
        <f>IF(ISBLANK(LCI_Table[[#This Row],[Notes for user]])," ",LCI_Table[[#This Row],[Notes for user]])</f>
        <v xml:space="preserve"> </v>
      </c>
      <c r="AA7" s="14"/>
      <c r="AB7" s="14"/>
      <c r="AC7" s="346">
        <f ca="1">LCI_Table[[#This Row],[Default Calculated Value]]-LCI_Table[[#This Row],[Calculated Value]]</f>
        <v>0</v>
      </c>
    </row>
    <row r="8" spans="1:29" x14ac:dyDescent="0.3">
      <c r="A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SoybeanHEFAGREETGREET(blank)_Soybean_Farming_InsecticideInsecticide</v>
      </c>
      <c r="B8" s="14" t="s">
        <v>10</v>
      </c>
      <c r="C8" s="14" t="s">
        <v>30</v>
      </c>
      <c r="D8" s="14" t="s">
        <v>29</v>
      </c>
      <c r="E8" s="48" t="s">
        <v>29</v>
      </c>
      <c r="F8" s="14" t="s">
        <v>31</v>
      </c>
      <c r="G8" s="14" t="b">
        <f>OR(LCI_Table[[#This Row],[Feedstock]]="All",LCI_Table[[#This Row],[Feedstock]]=SelectedFeedstock)</f>
        <v>0</v>
      </c>
      <c r="H8" s="14" t="b">
        <f>OR(LCI_Table[[#This Row],[Conversion]]="All",LCI_Table[[#This Row],[Conversion]]=SelectedConversion)</f>
        <v>1</v>
      </c>
      <c r="I8" s="14" t="b">
        <f>OR(LCI_Table[[#This Row],[Data Set]]="all",LCI_Table[[#This Row],[Data Set]]=SelectedDataSet)</f>
        <v>1</v>
      </c>
      <c r="J8" s="14" t="b">
        <f>OR(LCI_Table[[#This Row],[Technology]]="All",LCI_Table[[#This Row],[Technology]]=SelectedTechnology)</f>
        <v>1</v>
      </c>
      <c r="K8" s="14" t="b">
        <f>OR(LCI_Table[[#This Row],[Data Source]]="All",LCI_Table[[#This Row],[Data Source]]=SelectedDataSource)</f>
        <v>1</v>
      </c>
      <c r="L8" s="14" t="b">
        <v>0</v>
      </c>
      <c r="M8" s="14" t="b">
        <f>(LCI_Table[[#This Row],[Dev Notes]]="Do not display")</f>
        <v>0</v>
      </c>
      <c r="N8" s="14" t="b">
        <f>AND(LCI_Table[[#This Row],[Show Feedstock]:[Conditional]],NOT(LCI_Table[[#This Row],[Hide Row]]))</f>
        <v>0</v>
      </c>
      <c r="O8" s="14" t="b">
        <f>LCI_Table[[#This Row],[GREET1 Name Range]]=""</f>
        <v>0</v>
      </c>
      <c r="P8" s="14" t="s">
        <v>14</v>
      </c>
      <c r="Q8" s="14" t="s">
        <v>796</v>
      </c>
      <c r="R8" s="14" t="s">
        <v>114</v>
      </c>
      <c r="S8" s="37" cm="1">
        <f t="array" aca="1" ref="S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3.611556543729693E-2</v>
      </c>
      <c r="T8" s="346" t="s">
        <v>1485</v>
      </c>
      <c r="U8" s="347">
        <f ca="1">S8/g2lb/S2</f>
        <v>0.32121068471752096</v>
      </c>
      <c r="V8" s="347">
        <v>3.611556543729693E-2</v>
      </c>
      <c r="W8" s="347">
        <v>0.32121068471752096</v>
      </c>
      <c r="X8" s="14" t="s">
        <v>12</v>
      </c>
      <c r="Y8" s="346" t="s">
        <v>413</v>
      </c>
      <c r="Z8" s="14" t="str">
        <f>IF(ISBLANK(LCI_Table[[#This Row],[Notes for user]])," ",LCI_Table[[#This Row],[Notes for user]])</f>
        <v xml:space="preserve"> </v>
      </c>
      <c r="AA8" s="14"/>
      <c r="AB8" s="14"/>
      <c r="AC8" s="346">
        <f ca="1">LCI_Table[[#This Row],[Default Calculated Value]]-LCI_Table[[#This Row],[Calculated Value]]</f>
        <v>0</v>
      </c>
    </row>
    <row r="9" spans="1:29" x14ac:dyDescent="0.3">
      <c r="A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SoybeanHEFAGREETGREET(blank)_Soybean_Farming_Residual_oilResidual oil</v>
      </c>
      <c r="B9" s="14" t="s">
        <v>10</v>
      </c>
      <c r="C9" s="14" t="s">
        <v>30</v>
      </c>
      <c r="D9" s="14" t="s">
        <v>29</v>
      </c>
      <c r="E9" s="48" t="s">
        <v>29</v>
      </c>
      <c r="F9" s="14" t="s">
        <v>31</v>
      </c>
      <c r="G9" s="14" t="b">
        <f>OR(LCI_Table[[#This Row],[Feedstock]]="All",LCI_Table[[#This Row],[Feedstock]]=SelectedFeedstock)</f>
        <v>0</v>
      </c>
      <c r="H9" s="14" t="b">
        <f>OR(LCI_Table[[#This Row],[Conversion]]="All",LCI_Table[[#This Row],[Conversion]]=SelectedConversion)</f>
        <v>1</v>
      </c>
      <c r="I9" s="14" t="b">
        <f>OR(LCI_Table[[#This Row],[Data Set]]="all",LCI_Table[[#This Row],[Data Set]]=SelectedDataSet)</f>
        <v>1</v>
      </c>
      <c r="J9" s="14" t="b">
        <f>OR(LCI_Table[[#This Row],[Technology]]="All",LCI_Table[[#This Row],[Technology]]=SelectedTechnology)</f>
        <v>1</v>
      </c>
      <c r="K9" s="14" t="b">
        <f>OR(LCI_Table[[#This Row],[Data Source]]="All",LCI_Table[[#This Row],[Data Source]]=SelectedDataSource)</f>
        <v>1</v>
      </c>
      <c r="L9" s="14" t="b">
        <v>0</v>
      </c>
      <c r="M9" s="14" t="b">
        <f>(LCI_Table[[#This Row],[Dev Notes]]="Do not display")</f>
        <v>0</v>
      </c>
      <c r="N9" s="14" t="b">
        <f>AND(LCI_Table[[#This Row],[Show Feedstock]:[Conditional]],NOT(LCI_Table[[#This Row],[Hide Row]]))</f>
        <v>0</v>
      </c>
      <c r="O9" s="14" t="b">
        <f>LCI_Table[[#This Row],[GREET1 Name Range]]=""</f>
        <v>0</v>
      </c>
      <c r="P9" s="14" t="s">
        <v>14</v>
      </c>
      <c r="Q9" s="14" t="s">
        <v>802</v>
      </c>
      <c r="R9" s="14" t="s">
        <v>115</v>
      </c>
      <c r="S9" s="37" cm="1">
        <f t="array" aca="1" ref="S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9" s="346" t="s">
        <v>1484</v>
      </c>
      <c r="U9" s="347">
        <f ca="1">S9*Fuel_Specs!$B$28/S2</f>
        <v>0</v>
      </c>
      <c r="V9" s="347">
        <v>0</v>
      </c>
      <c r="W9" s="347">
        <v>0</v>
      </c>
      <c r="X9" s="14" t="s">
        <v>5</v>
      </c>
      <c r="Y9" s="346" t="s">
        <v>413</v>
      </c>
      <c r="Z9" s="14" t="str">
        <f>IF(ISBLANK(LCI_Table[[#This Row],[Notes for user]])," ",LCI_Table[[#This Row],[Notes for user]])</f>
        <v xml:space="preserve"> </v>
      </c>
      <c r="AA9" s="14"/>
      <c r="AB9" s="14"/>
      <c r="AC9" s="346">
        <f ca="1">LCI_Table[[#This Row],[Default Calculated Value]]-LCI_Table[[#This Row],[Calculated Value]]</f>
        <v>0</v>
      </c>
    </row>
    <row r="10" spans="1:29" x14ac:dyDescent="0.3">
      <c r="A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SoybeanHEFAGREETGREET(blank)_Soybean_Farming_DieselDiesel - Conventional Tillage</v>
      </c>
      <c r="B10" s="14" t="s">
        <v>10</v>
      </c>
      <c r="C10" s="14" t="s">
        <v>30</v>
      </c>
      <c r="D10" s="14" t="s">
        <v>29</v>
      </c>
      <c r="E10" s="48" t="s">
        <v>29</v>
      </c>
      <c r="F10" s="14" t="s">
        <v>31</v>
      </c>
      <c r="G10" s="14" t="b">
        <f>OR(LCI_Table[[#This Row],[Feedstock]]="All",LCI_Table[[#This Row],[Feedstock]]=SelectedFeedstock)</f>
        <v>0</v>
      </c>
      <c r="H10" s="14" t="b">
        <f>OR(LCI_Table[[#This Row],[Conversion]]="All",LCI_Table[[#This Row],[Conversion]]=SelectedConversion)</f>
        <v>1</v>
      </c>
      <c r="I10" s="14" t="b">
        <f>OR(LCI_Table[[#This Row],[Data Set]]="all",LCI_Table[[#This Row],[Data Set]]=SelectedDataSet)</f>
        <v>1</v>
      </c>
      <c r="J10" s="14" t="b">
        <f>OR(LCI_Table[[#This Row],[Technology]]="All",LCI_Table[[#This Row],[Technology]]=SelectedTechnology)</f>
        <v>1</v>
      </c>
      <c r="K10" s="14" t="b">
        <f>OR(LCI_Table[[#This Row],[Data Source]]="All",LCI_Table[[#This Row],[Data Source]]=SelectedDataSource)</f>
        <v>1</v>
      </c>
      <c r="L10" s="14" t="b">
        <v>0</v>
      </c>
      <c r="M10" s="14" t="b">
        <f>(LCI_Table[[#This Row],[Dev Notes]]="Do not display")</f>
        <v>0</v>
      </c>
      <c r="N10" s="14" t="b">
        <f>AND(LCI_Table[[#This Row],[Show Feedstock]:[Conditional]],NOT(LCI_Table[[#This Row],[Hide Row]]))</f>
        <v>0</v>
      </c>
      <c r="O10" s="14" t="b">
        <f>LCI_Table[[#This Row],[GREET1 Name Range]]=""</f>
        <v>0</v>
      </c>
      <c r="P10" s="14" t="s">
        <v>14</v>
      </c>
      <c r="Q10" s="14" t="s">
        <v>792</v>
      </c>
      <c r="R10" s="14" t="s">
        <v>1558</v>
      </c>
      <c r="S10" s="37" cm="1">
        <f t="array" aca="1" ref="S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7.5019824617492032</v>
      </c>
      <c r="T10" s="346" t="s">
        <v>1484</v>
      </c>
      <c r="U10" s="347">
        <f ca="1">IF(Selections!R64=1,(S10+IF(Selections!R97=1,0,Selections!R99)*0.319954657166335+IF(Selections!R102=1,0,Selections!R107*Selections!R110*Selections!R111+Selections!R108)*0.319954657166335)*('GREET Connection'!S172*Fuel_Specs!B21+'GREET Connection'!S173*Fuel_Specs!B39+'GREET Connection'!S174*Fuel_Specs!B42)/S2,0)</f>
        <v>18894.698964935003</v>
      </c>
      <c r="V10" s="37">
        <v>7.5019824617492032</v>
      </c>
      <c r="W10" s="14">
        <v>18894.698964935003</v>
      </c>
      <c r="X10" s="14" t="s">
        <v>5</v>
      </c>
      <c r="Y10" s="346" t="s">
        <v>413</v>
      </c>
      <c r="Z10" s="14" t="str">
        <f>IF(ISBLANK(LCI_Table[[#This Row],[Notes for user]])," ",LCI_Table[[#This Row],[Notes for user]])</f>
        <v xml:space="preserve"> </v>
      </c>
      <c r="AA10" s="14"/>
      <c r="AB10" s="14"/>
      <c r="AC10" s="346">
        <f ca="1">LCI_Table[[#This Row],[Default Calculated Value]]-LCI_Table[[#This Row],[Calculated Value]]</f>
        <v>0</v>
      </c>
    </row>
    <row r="11" spans="1:29" ht="16.5" customHeight="1" x14ac:dyDescent="0.3">
      <c r="A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SoybeanHEFAGREETGREET(blank)_Soybean_Farming_DieselDiesel - Reduced Tillage</v>
      </c>
      <c r="B11" s="14" t="s">
        <v>10</v>
      </c>
      <c r="C11" s="14" t="s">
        <v>30</v>
      </c>
      <c r="D11" s="14" t="s">
        <v>29</v>
      </c>
      <c r="E11" s="48" t="s">
        <v>29</v>
      </c>
      <c r="F11" s="14" t="s">
        <v>31</v>
      </c>
      <c r="G11" s="14" t="b">
        <f>OR(LCI_Table[[#This Row],[Feedstock]]="All",LCI_Table[[#This Row],[Feedstock]]=SelectedFeedstock)</f>
        <v>0</v>
      </c>
      <c r="H11" s="14" t="b">
        <f>OR(LCI_Table[[#This Row],[Conversion]]="All",LCI_Table[[#This Row],[Conversion]]=SelectedConversion)</f>
        <v>1</v>
      </c>
      <c r="I11" s="14" t="b">
        <f>OR(LCI_Table[[#This Row],[Data Set]]="all",LCI_Table[[#This Row],[Data Set]]=SelectedDataSet)</f>
        <v>1</v>
      </c>
      <c r="J11" s="14" t="b">
        <f>OR(LCI_Table[[#This Row],[Technology]]="All",LCI_Table[[#This Row],[Technology]]=SelectedTechnology)</f>
        <v>1</v>
      </c>
      <c r="K11" s="14" t="b">
        <f>OR(LCI_Table[[#This Row],[Data Source]]="All",LCI_Table[[#This Row],[Data Source]]=SelectedDataSource)</f>
        <v>1</v>
      </c>
      <c r="L11" s="14" t="b">
        <v>0</v>
      </c>
      <c r="M11" s="14" t="b">
        <f>(LCI_Table[[#This Row],[Dev Notes]]="Do not display")</f>
        <v>0</v>
      </c>
      <c r="N11" s="14" t="b">
        <f>AND(LCI_Table[[#This Row],[Show Feedstock]:[Conditional]],NOT(LCI_Table[[#This Row],[Hide Row]]))</f>
        <v>0</v>
      </c>
      <c r="O11" s="14" t="b">
        <f>LCI_Table[[#This Row],[GREET1 Name Range]]=""</f>
        <v>0</v>
      </c>
      <c r="P11" s="14" t="s">
        <v>14</v>
      </c>
      <c r="Q11" s="14" t="s">
        <v>792</v>
      </c>
      <c r="R11" s="14" t="s">
        <v>1559</v>
      </c>
      <c r="S11" s="37" cm="1">
        <f t="array" aca="1" ref="S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4.1393514340712141</v>
      </c>
      <c r="T11" s="346" t="s">
        <v>1484</v>
      </c>
      <c r="U11" s="347">
        <f ca="1">IF(Selections!R64=1,(S11+IF(Selections!R97=1,0,Selections!R99)*0.319954657166335+IF(Selections!R102=1,0,Selections!R107*Selections!R110*Selections!R111+Selections!R108)*0.319954657166335)*('GREET Connection'!S172*Fuel_Specs!B21+'GREET Connection'!S173*Fuel_Specs!B39+'GREET Connection'!S174*Fuel_Specs!B42)/S2,0)</f>
        <v>10425.484151106812</v>
      </c>
      <c r="V11" s="37">
        <v>4.1393514340712141</v>
      </c>
      <c r="W11" s="14">
        <v>10425.484151106812</v>
      </c>
      <c r="X11" s="14" t="s">
        <v>5</v>
      </c>
      <c r="Y11" s="346" t="s">
        <v>413</v>
      </c>
      <c r="Z11" s="14" t="str">
        <f>IF(ISBLANK(LCI_Table[[#This Row],[Notes for user]])," ",LCI_Table[[#This Row],[Notes for user]])</f>
        <v xml:space="preserve"> </v>
      </c>
      <c r="AA11" s="14"/>
      <c r="AB11" s="14"/>
      <c r="AC11" s="346">
        <f ca="1">LCI_Table[[#This Row],[Default Calculated Value]]-LCI_Table[[#This Row],[Calculated Value]]</f>
        <v>0</v>
      </c>
    </row>
    <row r="12" spans="1:29" x14ac:dyDescent="0.3">
      <c r="A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SoybeanHEFAGREETGREET(blank)_Soybean_Farming_DieselDiesel - No Tillage</v>
      </c>
      <c r="B12" s="14" t="s">
        <v>10</v>
      </c>
      <c r="C12" s="14" t="s">
        <v>30</v>
      </c>
      <c r="D12" s="14" t="s">
        <v>29</v>
      </c>
      <c r="E12" s="48" t="s">
        <v>29</v>
      </c>
      <c r="F12" s="14" t="s">
        <v>31</v>
      </c>
      <c r="G12" s="14" t="b">
        <f>OR(LCI_Table[[#This Row],[Feedstock]]="All",LCI_Table[[#This Row],[Feedstock]]=SelectedFeedstock)</f>
        <v>0</v>
      </c>
      <c r="H12" s="14" t="b">
        <f>OR(LCI_Table[[#This Row],[Conversion]]="All",LCI_Table[[#This Row],[Conversion]]=SelectedConversion)</f>
        <v>1</v>
      </c>
      <c r="I12" s="14" t="b">
        <f>OR(LCI_Table[[#This Row],[Data Set]]="all",LCI_Table[[#This Row],[Data Set]]=SelectedDataSet)</f>
        <v>1</v>
      </c>
      <c r="J12" s="14" t="b">
        <f>OR(LCI_Table[[#This Row],[Technology]]="All",LCI_Table[[#This Row],[Technology]]=SelectedTechnology)</f>
        <v>1</v>
      </c>
      <c r="K12" s="14" t="b">
        <f>OR(LCI_Table[[#This Row],[Data Source]]="All",LCI_Table[[#This Row],[Data Source]]=SelectedDataSource)</f>
        <v>1</v>
      </c>
      <c r="L12" s="14" t="b">
        <v>0</v>
      </c>
      <c r="M12" s="14" t="b">
        <f>(LCI_Table[[#This Row],[Dev Notes]]="Do not display")</f>
        <v>0</v>
      </c>
      <c r="N12" s="14" t="b">
        <f>AND(LCI_Table[[#This Row],[Show Feedstock]:[Conditional]],NOT(LCI_Table[[#This Row],[Hide Row]]))</f>
        <v>0</v>
      </c>
      <c r="O12" s="14" t="b">
        <f>LCI_Table[[#This Row],[GREET1 Name Range]]=""</f>
        <v>0</v>
      </c>
      <c r="P12" s="14" t="s">
        <v>14</v>
      </c>
      <c r="Q12" s="14" t="s">
        <v>792</v>
      </c>
      <c r="R12" s="14" t="s">
        <v>1560</v>
      </c>
      <c r="S12" s="37" cm="1">
        <f t="array" aca="1" ref="S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2.2022865181271336</v>
      </c>
      <c r="T12" s="346" t="s">
        <v>1484</v>
      </c>
      <c r="U12" s="347">
        <f ca="1">IF(Selections!R64=1,(S12+IF(Selections!R97=1,0,Selections!R99)*0.319954657166335+IF(Selections!R102=1,0,Selections!R107*Selections!R110*Selections!R111+Selections!R108)*0.319954657166335)*('GREET Connection'!S172*Fuel_Specs!B21+'GREET Connection'!S173*Fuel_Specs!B39+'GREET Connection'!S174*Fuel_Specs!B42)/S2,0)</f>
        <v>5546.7392794790258</v>
      </c>
      <c r="V12" s="37">
        <v>2.2022865181271336</v>
      </c>
      <c r="W12" s="14">
        <v>5546.7392794790258</v>
      </c>
      <c r="X12" s="14" t="s">
        <v>5</v>
      </c>
      <c r="Y12" s="346" t="s">
        <v>413</v>
      </c>
      <c r="Z12" s="14" t="str">
        <f>IF(ISBLANK(LCI_Table[[#This Row],[Notes for user]])," ",LCI_Table[[#This Row],[Notes for user]])</f>
        <v xml:space="preserve"> </v>
      </c>
      <c r="AA12" s="14"/>
      <c r="AB12" s="14"/>
      <c r="AC12" s="346">
        <f ca="1">LCI_Table[[#This Row],[Default Calculated Value]]-LCI_Table[[#This Row],[Calculated Value]]</f>
        <v>0</v>
      </c>
    </row>
    <row r="13" spans="1:29" x14ac:dyDescent="0.3">
      <c r="A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SoybeanHEFAGREETGREET(blank)_Soybean_Farming_DieselDiesel - Average Tillage</v>
      </c>
      <c r="B13" s="14" t="s">
        <v>10</v>
      </c>
      <c r="C13" s="14" t="s">
        <v>30</v>
      </c>
      <c r="D13" s="14" t="s">
        <v>29</v>
      </c>
      <c r="E13" s="48" t="s">
        <v>29</v>
      </c>
      <c r="F13" s="14" t="s">
        <v>31</v>
      </c>
      <c r="G13" s="14" t="b">
        <f>OR(LCI_Table[[#This Row],[Feedstock]]="All",LCI_Table[[#This Row],[Feedstock]]=SelectedFeedstock)</f>
        <v>0</v>
      </c>
      <c r="H13" s="14" t="b">
        <f>OR(LCI_Table[[#This Row],[Conversion]]="All",LCI_Table[[#This Row],[Conversion]]=SelectedConversion)</f>
        <v>1</v>
      </c>
      <c r="I13" s="14" t="b">
        <f>OR(LCI_Table[[#This Row],[Data Set]]="all",LCI_Table[[#This Row],[Data Set]]=SelectedDataSet)</f>
        <v>1</v>
      </c>
      <c r="J13" s="14" t="b">
        <f>OR(LCI_Table[[#This Row],[Technology]]="All",LCI_Table[[#This Row],[Technology]]=SelectedTechnology)</f>
        <v>1</v>
      </c>
      <c r="K13" s="14" t="b">
        <f>OR(LCI_Table[[#This Row],[Data Source]]="All",LCI_Table[[#This Row],[Data Source]]=SelectedDataSource)</f>
        <v>1</v>
      </c>
      <c r="L13" s="14" t="b">
        <v>0</v>
      </c>
      <c r="M13" s="14" t="b">
        <f>(LCI_Table[[#This Row],[Dev Notes]]="Do not display")</f>
        <v>0</v>
      </c>
      <c r="N13" s="14" t="b">
        <f>AND(LCI_Table[[#This Row],[Show Feedstock]:[Conditional]],NOT(LCI_Table[[#This Row],[Hide Row]]))</f>
        <v>0</v>
      </c>
      <c r="O13" s="14" t="b">
        <f>LCI_Table[[#This Row],[GREET1 Name Range]]=""</f>
        <v>0</v>
      </c>
      <c r="P13" s="14" t="s">
        <v>14</v>
      </c>
      <c r="Q13" s="14" t="s">
        <v>792</v>
      </c>
      <c r="R13" s="14" t="s">
        <v>1579</v>
      </c>
      <c r="S13" s="37" cm="1">
        <f t="array" aca="1" ref="S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3.6842117908432832</v>
      </c>
      <c r="T13" s="346" t="s">
        <v>1484</v>
      </c>
      <c r="U13" s="347">
        <f ca="1">IF(Selections!R64=1,(S13+IF(Selections!R97=1,0,Selections!R99)*0.319954657166335+IF(Selections!R102=1,0,Selections!R107*Selections!R110*Selections!R111+Selections!R108)*0.319954657166335)*('GREET Connection'!S172*Fuel_Specs!B21+'GREET Connection'!S173*Fuel_Specs!B39+'GREET Connection'!S174*Fuel_Specs!B42)/S2,0)</f>
        <v>9279.1569516435247</v>
      </c>
      <c r="V13" s="37">
        <v>3.6842117908432832</v>
      </c>
      <c r="W13" s="14">
        <v>9279.1569516435247</v>
      </c>
      <c r="X13" s="14" t="s">
        <v>5</v>
      </c>
      <c r="Y13" s="346" t="s">
        <v>413</v>
      </c>
      <c r="Z13" s="14" t="str">
        <f>IF(ISBLANK(LCI_Table[[#This Row],[Notes for user]])," ",LCI_Table[[#This Row],[Notes for user]])</f>
        <v xml:space="preserve"> </v>
      </c>
      <c r="AA13" s="14"/>
      <c r="AB13" s="14"/>
      <c r="AC13" s="346">
        <f ca="1">LCI_Table[[#This Row],[Default Calculated Value]]-LCI_Table[[#This Row],[Calculated Value]]</f>
        <v>0</v>
      </c>
    </row>
    <row r="14" spans="1:29" x14ac:dyDescent="0.3">
      <c r="A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dash_SoybeanHEFAGREETGREET(blank)_Ag tractor electriciy use - Conventional Tillage_Farming</v>
      </c>
      <c r="B14" s="14" t="s">
        <v>10</v>
      </c>
      <c r="C14" s="14" t="s">
        <v>30</v>
      </c>
      <c r="D14" s="14" t="s">
        <v>29</v>
      </c>
      <c r="E14" s="48" t="s">
        <v>29</v>
      </c>
      <c r="F14" s="14" t="s">
        <v>31</v>
      </c>
      <c r="G14" s="14" t="b">
        <f>OR(LCI_Table[[#This Row],[Feedstock]]="All",LCI_Table[[#This Row],[Feedstock]]=SelectedFeedstock)</f>
        <v>0</v>
      </c>
      <c r="H14" s="14" t="b">
        <f>OR(LCI_Table[[#This Row],[Conversion]]="All",LCI_Table[[#This Row],[Conversion]]=SelectedConversion)</f>
        <v>1</v>
      </c>
      <c r="I14" s="14" t="b">
        <f>OR(LCI_Table[[#This Row],[Data Set]]="all",LCI_Table[[#This Row],[Data Set]]=SelectedDataSet)</f>
        <v>1</v>
      </c>
      <c r="J14" s="14" t="b">
        <f>OR(LCI_Table[[#This Row],[Technology]]="All",LCI_Table[[#This Row],[Technology]]=SelectedTechnology)</f>
        <v>1</v>
      </c>
      <c r="K14" s="14" t="b">
        <f>OR(LCI_Table[[#This Row],[Data Source]]="All",LCI_Table[[#This Row],[Data Source]]=SelectedDataSource)</f>
        <v>1</v>
      </c>
      <c r="L14" s="14" t="b">
        <v>0</v>
      </c>
      <c r="M14" s="14" t="b">
        <f>(LCI_Table[[#This Row],[Dev Notes]]="Do not display")</f>
        <v>0</v>
      </c>
      <c r="N14" s="14" t="b">
        <f>AND(LCI_Table[[#This Row],[Show Feedstock]:[Conditional]],NOT(LCI_Table[[#This Row],[Hide Row]]))</f>
        <v>0</v>
      </c>
      <c r="O14" s="14" t="b">
        <v>1</v>
      </c>
      <c r="P14" s="14" t="s">
        <v>14</v>
      </c>
      <c r="Q14" s="14"/>
      <c r="R14" s="14" t="s">
        <v>1562</v>
      </c>
      <c r="S14" s="37" cm="1">
        <f t="array" aca="1" ref="S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135.40871109986909</v>
      </c>
      <c r="T14" s="346" t="s">
        <v>1561</v>
      </c>
      <c r="U14" s="347">
        <f ca="1">LCI_Table[[#This Row],[Dashboard Value]]</f>
        <v>135.40871109986909</v>
      </c>
      <c r="V14" s="347">
        <v>135.40871109986909</v>
      </c>
      <c r="W14" s="347">
        <v>135.40871109986909</v>
      </c>
      <c r="X14" s="14" t="s">
        <v>51</v>
      </c>
      <c r="Y14" s="346" t="s">
        <v>413</v>
      </c>
      <c r="Z14" s="14" t="str">
        <f>IF(ISBLANK(LCI_Table[[#This Row],[Notes for user]])," ",LCI_Table[[#This Row],[Notes for user]])</f>
        <v xml:space="preserve"> </v>
      </c>
      <c r="AA14" s="14"/>
      <c r="AB14" s="14"/>
      <c r="AC14" s="346">
        <f ca="1">LCI_Table[[#This Row],[Default Calculated Value]]-LCI_Table[[#This Row],[Calculated Value]]</f>
        <v>0</v>
      </c>
    </row>
    <row r="15" spans="1:29" x14ac:dyDescent="0.3">
      <c r="A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dash_SoybeanHEFAGREETGREET(blank)_Ag tractor electriciy use - Reduced Tillage_Farming</v>
      </c>
      <c r="B15" s="14" t="s">
        <v>10</v>
      </c>
      <c r="C15" s="14" t="s">
        <v>30</v>
      </c>
      <c r="D15" s="14" t="s">
        <v>29</v>
      </c>
      <c r="E15" s="48" t="s">
        <v>29</v>
      </c>
      <c r="F15" s="14" t="s">
        <v>31</v>
      </c>
      <c r="G15" s="14" t="b">
        <f>OR(LCI_Table[[#This Row],[Feedstock]]="All",LCI_Table[[#This Row],[Feedstock]]=SelectedFeedstock)</f>
        <v>0</v>
      </c>
      <c r="H15" s="14" t="b">
        <f>OR(LCI_Table[[#This Row],[Conversion]]="All",LCI_Table[[#This Row],[Conversion]]=SelectedConversion)</f>
        <v>1</v>
      </c>
      <c r="I15" s="14" t="b">
        <f>OR(LCI_Table[[#This Row],[Data Set]]="all",LCI_Table[[#This Row],[Data Set]]=SelectedDataSet)</f>
        <v>1</v>
      </c>
      <c r="J15" s="14" t="b">
        <f>OR(LCI_Table[[#This Row],[Technology]]="All",LCI_Table[[#This Row],[Technology]]=SelectedTechnology)</f>
        <v>1</v>
      </c>
      <c r="K15" s="14" t="b">
        <f>OR(LCI_Table[[#This Row],[Data Source]]="All",LCI_Table[[#This Row],[Data Source]]=SelectedDataSource)</f>
        <v>1</v>
      </c>
      <c r="L15" s="14" t="b">
        <v>0</v>
      </c>
      <c r="M15" s="14" t="b">
        <f>(LCI_Table[[#This Row],[Dev Notes]]="Do not display")</f>
        <v>0</v>
      </c>
      <c r="N15" s="14" t="b">
        <f>AND(LCI_Table[[#This Row],[Show Feedstock]:[Conditional]],NOT(LCI_Table[[#This Row],[Hide Row]]))</f>
        <v>0</v>
      </c>
      <c r="O15" s="14" t="b">
        <v>1</v>
      </c>
      <c r="P15" s="14" t="s">
        <v>14</v>
      </c>
      <c r="Q15" s="14"/>
      <c r="R15" s="14" t="s">
        <v>1563</v>
      </c>
      <c r="S15" s="37" cm="1">
        <f t="array" aca="1" ref="S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74.71414993768029</v>
      </c>
      <c r="T15" s="346" t="s">
        <v>1561</v>
      </c>
      <c r="U15" s="347">
        <f ca="1">LCI_Table[[#This Row],[Dashboard Value]]</f>
        <v>74.71414993768029</v>
      </c>
      <c r="V15" s="347">
        <v>74.71414993768029</v>
      </c>
      <c r="W15" s="347">
        <v>74.71414993768029</v>
      </c>
      <c r="X15" s="14" t="s">
        <v>51</v>
      </c>
      <c r="Y15" s="346" t="s">
        <v>413</v>
      </c>
      <c r="Z15" s="14" t="str">
        <f>IF(ISBLANK(LCI_Table[[#This Row],[Notes for user]])," ",LCI_Table[[#This Row],[Notes for user]])</f>
        <v xml:space="preserve"> </v>
      </c>
      <c r="AA15" s="14"/>
      <c r="AB15" s="14"/>
      <c r="AC15" s="346">
        <f ca="1">LCI_Table[[#This Row],[Default Calculated Value]]-LCI_Table[[#This Row],[Calculated Value]]</f>
        <v>0</v>
      </c>
    </row>
    <row r="16" spans="1:29" x14ac:dyDescent="0.3">
      <c r="A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dash_SoybeanHEFAGREETGREET(blank)_Ag tractor electriciy use - No Tillage_Farming</v>
      </c>
      <c r="B16" s="14" t="s">
        <v>10</v>
      </c>
      <c r="C16" s="14" t="s">
        <v>30</v>
      </c>
      <c r="D16" s="14" t="s">
        <v>29</v>
      </c>
      <c r="E16" s="48" t="s">
        <v>29</v>
      </c>
      <c r="F16" s="14" t="s">
        <v>31</v>
      </c>
      <c r="G16" s="14" t="b">
        <f>OR(LCI_Table[[#This Row],[Feedstock]]="All",LCI_Table[[#This Row],[Feedstock]]=SelectedFeedstock)</f>
        <v>0</v>
      </c>
      <c r="H16" s="14" t="b">
        <f>OR(LCI_Table[[#This Row],[Conversion]]="All",LCI_Table[[#This Row],[Conversion]]=SelectedConversion)</f>
        <v>1</v>
      </c>
      <c r="I16" s="14" t="b">
        <f>OR(LCI_Table[[#This Row],[Data Set]]="all",LCI_Table[[#This Row],[Data Set]]=SelectedDataSet)</f>
        <v>1</v>
      </c>
      <c r="J16" s="14" t="b">
        <f>OR(LCI_Table[[#This Row],[Technology]]="All",LCI_Table[[#This Row],[Technology]]=SelectedTechnology)</f>
        <v>1</v>
      </c>
      <c r="K16" s="14" t="b">
        <f>OR(LCI_Table[[#This Row],[Data Source]]="All",LCI_Table[[#This Row],[Data Source]]=SelectedDataSource)</f>
        <v>1</v>
      </c>
      <c r="L16" s="14" t="b">
        <v>0</v>
      </c>
      <c r="M16" s="14" t="b">
        <f>(LCI_Table[[#This Row],[Dev Notes]]="Do not display")</f>
        <v>0</v>
      </c>
      <c r="N16" s="14" t="b">
        <f>AND(LCI_Table[[#This Row],[Show Feedstock]:[Conditional]],NOT(LCI_Table[[#This Row],[Hide Row]]))</f>
        <v>0</v>
      </c>
      <c r="O16" s="14" t="b">
        <v>1</v>
      </c>
      <c r="P16" s="14" t="s">
        <v>14</v>
      </c>
      <c r="Q16" s="14"/>
      <c r="R16" s="14" t="s">
        <v>1564</v>
      </c>
      <c r="S16" s="37" cm="1">
        <f t="array" aca="1" ref="S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39.750663296363093</v>
      </c>
      <c r="T16" s="346" t="s">
        <v>1561</v>
      </c>
      <c r="U16" s="347">
        <f ca="1">LCI_Table[[#This Row],[Dashboard Value]]</f>
        <v>39.750663296363093</v>
      </c>
      <c r="V16" s="347">
        <v>39.750663296363093</v>
      </c>
      <c r="W16" s="347">
        <v>39.750663296363093</v>
      </c>
      <c r="X16" s="14" t="s">
        <v>51</v>
      </c>
      <c r="Y16" s="346" t="s">
        <v>413</v>
      </c>
      <c r="Z16" s="14" t="str">
        <f>IF(ISBLANK(LCI_Table[[#This Row],[Notes for user]])," ",LCI_Table[[#This Row],[Notes for user]])</f>
        <v xml:space="preserve"> </v>
      </c>
      <c r="AA16" s="14"/>
      <c r="AB16" s="14"/>
      <c r="AC16" s="346">
        <f ca="1">LCI_Table[[#This Row],[Default Calculated Value]]-LCI_Table[[#This Row],[Calculated Value]]</f>
        <v>0</v>
      </c>
    </row>
    <row r="17" spans="1:29" x14ac:dyDescent="0.3">
      <c r="A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dash_SoybeanHEFAGREETGREET(blank)_Ag tractor electriciy use - Average Tillage_Farming</v>
      </c>
      <c r="B17" s="14" t="s">
        <v>10</v>
      </c>
      <c r="C17" s="14" t="s">
        <v>30</v>
      </c>
      <c r="D17" s="14" t="s">
        <v>29</v>
      </c>
      <c r="E17" s="48" t="s">
        <v>29</v>
      </c>
      <c r="F17" s="14" t="s">
        <v>31</v>
      </c>
      <c r="G17" s="14" t="b">
        <f>OR(LCI_Table[[#This Row],[Feedstock]]="All",LCI_Table[[#This Row],[Feedstock]]=SelectedFeedstock)</f>
        <v>0</v>
      </c>
      <c r="H17" s="14" t="b">
        <f>OR(LCI_Table[[#This Row],[Conversion]]="All",LCI_Table[[#This Row],[Conversion]]=SelectedConversion)</f>
        <v>1</v>
      </c>
      <c r="I17" s="14" t="b">
        <f>OR(LCI_Table[[#This Row],[Data Set]]="all",LCI_Table[[#This Row],[Data Set]]=SelectedDataSet)</f>
        <v>1</v>
      </c>
      <c r="J17" s="14" t="b">
        <f>OR(LCI_Table[[#This Row],[Technology]]="All",LCI_Table[[#This Row],[Technology]]=SelectedTechnology)</f>
        <v>1</v>
      </c>
      <c r="K17" s="14" t="b">
        <f>OR(LCI_Table[[#This Row],[Data Source]]="All",LCI_Table[[#This Row],[Data Source]]=SelectedDataSource)</f>
        <v>1</v>
      </c>
      <c r="L17" s="14" t="b">
        <v>0</v>
      </c>
      <c r="M17" s="14" t="b">
        <f>(LCI_Table[[#This Row],[Dev Notes]]="Do not display")</f>
        <v>0</v>
      </c>
      <c r="N17" s="14" t="b">
        <f>AND(LCI_Table[[#This Row],[Show Feedstock]:[Conditional]],NOT(LCI_Table[[#This Row],[Hide Row]]))</f>
        <v>0</v>
      </c>
      <c r="O17" s="14" t="b">
        <v>1</v>
      </c>
      <c r="P17" s="14" t="s">
        <v>14</v>
      </c>
      <c r="Q17" s="14"/>
      <c r="R17" s="14" t="s">
        <v>1578</v>
      </c>
      <c r="S17" s="37" cm="1">
        <f t="array" aca="1" ref="S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66.499005104406649</v>
      </c>
      <c r="T17" s="346" t="s">
        <v>1561</v>
      </c>
      <c r="U17" s="347">
        <f ca="1">LCI_Table[[#This Row],[Dashboard Value]]</f>
        <v>66.499005104406649</v>
      </c>
      <c r="V17" s="347">
        <v>66.499005104406649</v>
      </c>
      <c r="W17" s="347">
        <v>66.499005104406649</v>
      </c>
      <c r="X17" s="14" t="s">
        <v>51</v>
      </c>
      <c r="Y17" s="346" t="s">
        <v>413</v>
      </c>
      <c r="Z17" s="14" t="str">
        <f>IF(ISBLANK(LCI_Table[[#This Row],[Notes for user]])," ",LCI_Table[[#This Row],[Notes for user]])</f>
        <v xml:space="preserve"> </v>
      </c>
      <c r="AA17" s="14"/>
      <c r="AB17" s="14"/>
      <c r="AC17" s="346">
        <f ca="1">LCI_Table[[#This Row],[Default Calculated Value]]-LCI_Table[[#This Row],[Calculated Value]]</f>
        <v>0</v>
      </c>
    </row>
    <row r="18" spans="1:29" x14ac:dyDescent="0.3">
      <c r="A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SoybeanHEFAGREETGREET(blank)_Soybean_Farming_GasolineGasoline</v>
      </c>
      <c r="B18" s="14" t="s">
        <v>10</v>
      </c>
      <c r="C18" s="14" t="s">
        <v>30</v>
      </c>
      <c r="D18" s="14" t="s">
        <v>29</v>
      </c>
      <c r="E18" s="48" t="s">
        <v>29</v>
      </c>
      <c r="F18" s="14" t="s">
        <v>31</v>
      </c>
      <c r="G18" s="14" t="b">
        <f>OR(LCI_Table[[#This Row],[Feedstock]]="All",LCI_Table[[#This Row],[Feedstock]]=SelectedFeedstock)</f>
        <v>0</v>
      </c>
      <c r="H18" s="14" t="b">
        <f>OR(LCI_Table[[#This Row],[Conversion]]="All",LCI_Table[[#This Row],[Conversion]]=SelectedConversion)</f>
        <v>1</v>
      </c>
      <c r="I18" s="14" t="b">
        <f>OR(LCI_Table[[#This Row],[Data Set]]="all",LCI_Table[[#This Row],[Data Set]]=SelectedDataSet)</f>
        <v>1</v>
      </c>
      <c r="J18" s="14" t="b">
        <f>OR(LCI_Table[[#This Row],[Technology]]="All",LCI_Table[[#This Row],[Technology]]=SelectedTechnology)</f>
        <v>1</v>
      </c>
      <c r="K18" s="14" t="b">
        <f>OR(LCI_Table[[#This Row],[Data Source]]="All",LCI_Table[[#This Row],[Data Source]]=SelectedDataSource)</f>
        <v>1</v>
      </c>
      <c r="L18" s="14" t="b">
        <v>0</v>
      </c>
      <c r="M18" s="14" t="b">
        <f>(LCI_Table[[#This Row],[Dev Notes]]="Do not display")</f>
        <v>0</v>
      </c>
      <c r="N18" s="14" t="b">
        <f>AND(LCI_Table[[#This Row],[Show Feedstock]:[Conditional]],NOT(LCI_Table[[#This Row],[Hide Row]]))</f>
        <v>0</v>
      </c>
      <c r="O18" s="14" t="b">
        <f>LCI_Table[[#This Row],[GREET1 Name Range]]=""</f>
        <v>0</v>
      </c>
      <c r="P18" s="14" t="s">
        <v>14</v>
      </c>
      <c r="Q18" s="14" t="s">
        <v>794</v>
      </c>
      <c r="R18" s="14" t="s">
        <v>107</v>
      </c>
      <c r="S18" s="37" cm="1">
        <f t="array" aca="1" ref="S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0.9311901439946435</v>
      </c>
      <c r="T18" s="346" t="s">
        <v>1484</v>
      </c>
      <c r="U18" s="347">
        <f ca="1">S18*Fuel_Specs!$B$15/S2</f>
        <v>2048.5000008640377</v>
      </c>
      <c r="V18" s="347">
        <v>0.9311901439946435</v>
      </c>
      <c r="W18" s="347">
        <v>2048.5000008640377</v>
      </c>
      <c r="X18" s="14" t="s">
        <v>5</v>
      </c>
      <c r="Y18" s="346" t="s">
        <v>413</v>
      </c>
      <c r="Z18" s="14" t="str">
        <f>IF(ISBLANK(LCI_Table[[#This Row],[Notes for user]])," ",LCI_Table[[#This Row],[Notes for user]])</f>
        <v xml:space="preserve"> </v>
      </c>
      <c r="AA18" s="14"/>
      <c r="AB18" s="14"/>
      <c r="AC18" s="346">
        <f ca="1">LCI_Table[[#This Row],[Default Calculated Value]]-LCI_Table[[#This Row],[Calculated Value]]</f>
        <v>0</v>
      </c>
    </row>
    <row r="19" spans="1:29" ht="15" customHeight="1" x14ac:dyDescent="0.3">
      <c r="A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SoybeanHEFAGREETGREET(blank)_Soybean_Farming_Natural_gasNatural gas</v>
      </c>
      <c r="B19" s="14" t="s">
        <v>10</v>
      </c>
      <c r="C19" s="14" t="s">
        <v>30</v>
      </c>
      <c r="D19" s="14" t="s">
        <v>29</v>
      </c>
      <c r="E19" s="48" t="s">
        <v>29</v>
      </c>
      <c r="F19" s="14" t="s">
        <v>31</v>
      </c>
      <c r="G19" s="14" t="b">
        <f>OR(LCI_Table[[#This Row],[Feedstock]]="All",LCI_Table[[#This Row],[Feedstock]]=SelectedFeedstock)</f>
        <v>0</v>
      </c>
      <c r="H19" s="14" t="b">
        <f>OR(LCI_Table[[#This Row],[Conversion]]="All",LCI_Table[[#This Row],[Conversion]]=SelectedConversion)</f>
        <v>1</v>
      </c>
      <c r="I19" s="14" t="b">
        <f>OR(LCI_Table[[#This Row],[Data Set]]="all",LCI_Table[[#This Row],[Data Set]]=SelectedDataSet)</f>
        <v>1</v>
      </c>
      <c r="J19" s="14" t="b">
        <f>OR(LCI_Table[[#This Row],[Technology]]="All",LCI_Table[[#This Row],[Technology]]=SelectedTechnology)</f>
        <v>1</v>
      </c>
      <c r="K19" s="14" t="b">
        <f>OR(LCI_Table[[#This Row],[Data Source]]="All",LCI_Table[[#This Row],[Data Source]]=SelectedDataSource)</f>
        <v>1</v>
      </c>
      <c r="L19" s="14" t="b">
        <v>0</v>
      </c>
      <c r="M19" s="14" t="b">
        <f>(LCI_Table[[#This Row],[Dev Notes]]="Do not display")</f>
        <v>0</v>
      </c>
      <c r="N19" s="14" t="b">
        <f>AND(LCI_Table[[#This Row],[Show Feedstock]:[Conditional]],NOT(LCI_Table[[#This Row],[Hide Row]]))</f>
        <v>0</v>
      </c>
      <c r="O19" s="14" t="b">
        <f>LCI_Table[[#This Row],[GREET1 Name Range]]=""</f>
        <v>0</v>
      </c>
      <c r="P19" s="14" t="s">
        <v>14</v>
      </c>
      <c r="Q19" s="14" t="s">
        <v>799</v>
      </c>
      <c r="R19" s="14" t="s">
        <v>108</v>
      </c>
      <c r="S19" s="37" cm="1">
        <f t="array" aca="1" ref="S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9.1544234338857731</v>
      </c>
      <c r="T19" s="346" t="s">
        <v>2109</v>
      </c>
      <c r="U19" s="347">
        <f ca="1">S19*Fuel_Specs!$B$79/S2</f>
        <v>176.44702422568071</v>
      </c>
      <c r="V19" s="347">
        <v>9.1544234338857731</v>
      </c>
      <c r="W19" s="347">
        <v>176.44702422568071</v>
      </c>
      <c r="X19" s="14" t="s">
        <v>351</v>
      </c>
      <c r="Y19" s="346" t="s">
        <v>413</v>
      </c>
      <c r="Z19" s="14" t="str">
        <f>IF(ISBLANK(LCI_Table[[#This Row],[Notes for user]])," ",LCI_Table[[#This Row],[Notes for user]])</f>
        <v xml:space="preserve"> </v>
      </c>
      <c r="AA19" s="14"/>
      <c r="AB19" s="14"/>
      <c r="AC19" s="346">
        <f ca="1">LCI_Table[[#This Row],[Default Calculated Value]]-LCI_Table[[#This Row],[Calculated Value]]</f>
        <v>0</v>
      </c>
    </row>
    <row r="20" spans="1:29" x14ac:dyDescent="0.3">
      <c r="A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SoybeanHEFAGREETGREET(blank)_Soybean_Farming_CoalCoal</v>
      </c>
      <c r="B20" s="14" t="s">
        <v>10</v>
      </c>
      <c r="C20" s="14" t="s">
        <v>30</v>
      </c>
      <c r="D20" s="14" t="s">
        <v>29</v>
      </c>
      <c r="E20" s="48" t="s">
        <v>29</v>
      </c>
      <c r="F20" s="14" t="s">
        <v>31</v>
      </c>
      <c r="G20" s="14" t="b">
        <f>OR(LCI_Table[[#This Row],[Feedstock]]="All",LCI_Table[[#This Row],[Feedstock]]=SelectedFeedstock)</f>
        <v>0</v>
      </c>
      <c r="H20" s="14" t="b">
        <f>OR(LCI_Table[[#This Row],[Conversion]]="All",LCI_Table[[#This Row],[Conversion]]=SelectedConversion)</f>
        <v>1</v>
      </c>
      <c r="I20" s="14" t="b">
        <f>OR(LCI_Table[[#This Row],[Data Set]]="all",LCI_Table[[#This Row],[Data Set]]=SelectedDataSet)</f>
        <v>1</v>
      </c>
      <c r="J20" s="14" t="b">
        <f>OR(LCI_Table[[#This Row],[Technology]]="All",LCI_Table[[#This Row],[Technology]]=SelectedTechnology)</f>
        <v>1</v>
      </c>
      <c r="K20" s="14" t="b">
        <f>OR(LCI_Table[[#This Row],[Data Source]]="All",LCI_Table[[#This Row],[Data Source]]=SelectedDataSource)</f>
        <v>1</v>
      </c>
      <c r="L20" s="14" t="b">
        <v>0</v>
      </c>
      <c r="M20" s="14" t="b">
        <f>(LCI_Table[[#This Row],[Dev Notes]]="Do not display")</f>
        <v>0</v>
      </c>
      <c r="N20" s="14" t="b">
        <f>AND(LCI_Table[[#This Row],[Show Feedstock]:[Conditional]],NOT(LCI_Table[[#This Row],[Hide Row]]))</f>
        <v>0</v>
      </c>
      <c r="O20" s="14" t="b">
        <f>LCI_Table[[#This Row],[GREET1 Name Range]]=""</f>
        <v>0</v>
      </c>
      <c r="P20" s="14" t="s">
        <v>14</v>
      </c>
      <c r="Q20" s="14" t="s">
        <v>791</v>
      </c>
      <c r="R20" s="14" t="s">
        <v>9</v>
      </c>
      <c r="S20" s="37" cm="1">
        <f t="array" aca="1" ref="S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 s="346" t="s">
        <v>2110</v>
      </c>
      <c r="U20" s="347">
        <f ca="1">S20/S2</f>
        <v>0</v>
      </c>
      <c r="V20" s="347">
        <v>0</v>
      </c>
      <c r="W20" s="347">
        <v>0</v>
      </c>
      <c r="X20" s="14" t="s">
        <v>117</v>
      </c>
      <c r="Y20" s="346" t="s">
        <v>413</v>
      </c>
      <c r="Z20" s="14" t="str">
        <f>IF(ISBLANK(LCI_Table[[#This Row],[Notes for user]])," ",LCI_Table[[#This Row],[Notes for user]])</f>
        <v xml:space="preserve"> </v>
      </c>
      <c r="AA20" s="14"/>
      <c r="AB20" s="14"/>
      <c r="AC20" s="346">
        <f ca="1">LCI_Table[[#This Row],[Default Calculated Value]]-LCI_Table[[#This Row],[Calculated Value]]</f>
        <v>0</v>
      </c>
    </row>
    <row r="21" spans="1:29" x14ac:dyDescent="0.3">
      <c r="A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SoybeanHEFAGREETGREET(blank)_Soybean_Farming_LPGLPG</v>
      </c>
      <c r="B21" s="14" t="s">
        <v>10</v>
      </c>
      <c r="C21" s="14" t="s">
        <v>30</v>
      </c>
      <c r="D21" s="14" t="s">
        <v>29</v>
      </c>
      <c r="E21" s="48" t="s">
        <v>29</v>
      </c>
      <c r="F21" s="14" t="s">
        <v>31</v>
      </c>
      <c r="G21" s="14" t="b">
        <f>OR(LCI_Table[[#This Row],[Feedstock]]="All",LCI_Table[[#This Row],[Feedstock]]=SelectedFeedstock)</f>
        <v>0</v>
      </c>
      <c r="H21" s="14" t="b">
        <f>OR(LCI_Table[[#This Row],[Conversion]]="All",LCI_Table[[#This Row],[Conversion]]=SelectedConversion)</f>
        <v>1</v>
      </c>
      <c r="I21" s="14" t="b">
        <f>OR(LCI_Table[[#This Row],[Data Set]]="all",LCI_Table[[#This Row],[Data Set]]=SelectedDataSet)</f>
        <v>1</v>
      </c>
      <c r="J21" s="14" t="b">
        <f>OR(LCI_Table[[#This Row],[Technology]]="All",LCI_Table[[#This Row],[Technology]]=SelectedTechnology)</f>
        <v>1</v>
      </c>
      <c r="K21" s="14" t="b">
        <f>OR(LCI_Table[[#This Row],[Data Source]]="All",LCI_Table[[#This Row],[Data Source]]=SelectedDataSource)</f>
        <v>1</v>
      </c>
      <c r="L21" s="14" t="b">
        <v>0</v>
      </c>
      <c r="M21" s="14" t="b">
        <f>(LCI_Table[[#This Row],[Dev Notes]]="Do not display")</f>
        <v>0</v>
      </c>
      <c r="N21" s="14" t="b">
        <f>AND(LCI_Table[[#This Row],[Show Feedstock]:[Conditional]],NOT(LCI_Table[[#This Row],[Hide Row]]))</f>
        <v>0</v>
      </c>
      <c r="O21" s="14" t="b">
        <f>LCI_Table[[#This Row],[GREET1 Name Range]]=""</f>
        <v>0</v>
      </c>
      <c r="P21" s="14" t="s">
        <v>14</v>
      </c>
      <c r="Q21" s="14" t="s">
        <v>798</v>
      </c>
      <c r="R21" s="14" t="s">
        <v>109</v>
      </c>
      <c r="S21" s="37" cm="1">
        <f t="array" aca="1" ref="S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0.39745337365332717</v>
      </c>
      <c r="T21" s="346" t="s">
        <v>1484</v>
      </c>
      <c r="U21" s="347">
        <f ca="1">S21*Fuel_Specs!$B$35/S2</f>
        <v>662.03262925196361</v>
      </c>
      <c r="V21" s="347">
        <v>0.39745337365332717</v>
      </c>
      <c r="W21" s="347">
        <v>662.03262925196361</v>
      </c>
      <c r="X21" s="14" t="s">
        <v>5</v>
      </c>
      <c r="Y21" s="346" t="s">
        <v>413</v>
      </c>
      <c r="Z21" s="14" t="str">
        <f>IF(ISBLANK(LCI_Table[[#This Row],[Notes for user]])," ",LCI_Table[[#This Row],[Notes for user]])</f>
        <v xml:space="preserve"> </v>
      </c>
      <c r="AA21" s="14"/>
      <c r="AB21" s="14"/>
      <c r="AC21" s="346">
        <f ca="1">LCI_Table[[#This Row],[Default Calculated Value]]-LCI_Table[[#This Row],[Calculated Value]]</f>
        <v>0</v>
      </c>
    </row>
    <row r="22" spans="1:29" x14ac:dyDescent="0.3">
      <c r="A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SoybeanHEFAGREETGREET(blank)_Soybean_Farming_ElectricityElectricity</v>
      </c>
      <c r="B22" s="14" t="s">
        <v>10</v>
      </c>
      <c r="C22" s="14" t="s">
        <v>30</v>
      </c>
      <c r="D22" s="14" t="s">
        <v>29</v>
      </c>
      <c r="E22" s="48" t="s">
        <v>29</v>
      </c>
      <c r="F22" s="14" t="s">
        <v>31</v>
      </c>
      <c r="G22" s="14" t="b">
        <f>OR(LCI_Table[[#This Row],[Feedstock]]="All",LCI_Table[[#This Row],[Feedstock]]=SelectedFeedstock)</f>
        <v>0</v>
      </c>
      <c r="H22" s="14" t="b">
        <f>OR(LCI_Table[[#This Row],[Conversion]]="All",LCI_Table[[#This Row],[Conversion]]=SelectedConversion)</f>
        <v>1</v>
      </c>
      <c r="I22" s="14" t="b">
        <f>OR(LCI_Table[[#This Row],[Data Set]]="all",LCI_Table[[#This Row],[Data Set]]=SelectedDataSet)</f>
        <v>1</v>
      </c>
      <c r="J22" s="14" t="b">
        <f>OR(LCI_Table[[#This Row],[Technology]]="All",LCI_Table[[#This Row],[Technology]]=SelectedTechnology)</f>
        <v>1</v>
      </c>
      <c r="K22" s="14" t="b">
        <f>OR(LCI_Table[[#This Row],[Data Source]]="All",LCI_Table[[#This Row],[Data Source]]=SelectedDataSource)</f>
        <v>1</v>
      </c>
      <c r="L22" s="14" t="b">
        <v>0</v>
      </c>
      <c r="M22" s="14" t="b">
        <f>(LCI_Table[[#This Row],[Dev Notes]]="Do not display")</f>
        <v>0</v>
      </c>
      <c r="N22" s="14" t="b">
        <f>AND(LCI_Table[[#This Row],[Show Feedstock]:[Conditional]],NOT(LCI_Table[[#This Row],[Hide Row]]))</f>
        <v>0</v>
      </c>
      <c r="O22" s="14" t="b">
        <f>LCI_Table[[#This Row],[GREET1 Name Range]]=""</f>
        <v>0</v>
      </c>
      <c r="P22" s="14" t="s">
        <v>14</v>
      </c>
      <c r="Q22" s="14" t="s">
        <v>793</v>
      </c>
      <c r="R22" s="14" t="s">
        <v>110</v>
      </c>
      <c r="S22" s="37" cm="1">
        <f t="array" aca="1" ref="S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21.942327491210985</v>
      </c>
      <c r="T22" s="346" t="s">
        <v>1561</v>
      </c>
      <c r="U22" s="347">
        <f ca="1">S22/BTU2kWh/S2 +IF(Selections!R64=1, 0, (IF(Selections!R96=1,S14, IF(Selections!R96=2, S15,IF(Selections!R96=3, S16, S17)))+IF(Selections!R97=1,0,Selections!R98)*0.319954657166335+IF(Selections!R102=1,0,Selections!R107*Selections!R110*Selections!R112+Selections!R109)*0.319954657166335)/BTU2kWh/S2)</f>
        <v>1468.0456734590755</v>
      </c>
      <c r="V22" s="14">
        <v>21.942327491210985</v>
      </c>
      <c r="W22" s="347">
        <v>1468.0456734590755</v>
      </c>
      <c r="X22" s="14" t="s">
        <v>51</v>
      </c>
      <c r="Y22" s="346" t="s">
        <v>413</v>
      </c>
      <c r="Z22" s="14" t="str">
        <f>IF(ISBLANK(LCI_Table[[#This Row],[Notes for user]])," ",LCI_Table[[#This Row],[Notes for user]])</f>
        <v xml:space="preserve"> </v>
      </c>
      <c r="AA22" s="14"/>
      <c r="AB22" s="14"/>
      <c r="AC22" s="346">
        <f ca="1">LCI_Table[[#This Row],[Default Calculated Value]]-LCI_Table[[#This Row],[Calculated Value]]</f>
        <v>0</v>
      </c>
    </row>
    <row r="23" spans="1:29" x14ac:dyDescent="0.3">
      <c r="A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dash_SoybeanHEFAGREETGREET(blank)_Soybean_Soy Oil Extraction</v>
      </c>
      <c r="B23" s="14" t="s">
        <v>10</v>
      </c>
      <c r="C23" s="14" t="s">
        <v>30</v>
      </c>
      <c r="D23" s="14" t="s">
        <v>29</v>
      </c>
      <c r="E23" s="48" t="s">
        <v>29</v>
      </c>
      <c r="F23" s="14" t="s">
        <v>31</v>
      </c>
      <c r="G23" s="14" t="b">
        <f>OR(LCI_Table[[#This Row],[Feedstock]]="All",LCI_Table[[#This Row],[Feedstock]]=SelectedFeedstock)</f>
        <v>0</v>
      </c>
      <c r="H23" s="14" t="b">
        <f>OR(LCI_Table[[#This Row],[Conversion]]="All",LCI_Table[[#This Row],[Conversion]]=SelectedConversion)</f>
        <v>1</v>
      </c>
      <c r="I23" s="14" t="b">
        <f>OR(LCI_Table[[#This Row],[Data Set]]="all",LCI_Table[[#This Row],[Data Set]]=SelectedDataSet)</f>
        <v>1</v>
      </c>
      <c r="J23" s="14" t="b">
        <f>OR(LCI_Table[[#This Row],[Technology]]="All",LCI_Table[[#This Row],[Technology]]=SelectedTechnology)</f>
        <v>1</v>
      </c>
      <c r="K23" s="14" t="b">
        <f>OR(LCI_Table[[#This Row],[Data Source]]="All",LCI_Table[[#This Row],[Data Source]]=SelectedDataSource)</f>
        <v>1</v>
      </c>
      <c r="L23" s="14" t="b">
        <v>0</v>
      </c>
      <c r="M23" s="14" t="b">
        <f>(LCI_Table[[#This Row],[Dev Notes]]="Do not display")</f>
        <v>1</v>
      </c>
      <c r="N23" s="14" t="b">
        <v>0</v>
      </c>
      <c r="O23" s="14" t="b">
        <f>LCI_Table[[#This Row],[GREET1 Name Range]]=""</f>
        <v>1</v>
      </c>
      <c r="P23" s="14" t="s">
        <v>1682</v>
      </c>
      <c r="Q23" s="14" t="s">
        <v>361</v>
      </c>
      <c r="R23" s="14" t="s">
        <v>10</v>
      </c>
      <c r="S23" s="37" cm="1">
        <f t="array" aca="1" ref="S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5.3393471445754184</v>
      </c>
      <c r="T23" s="346" t="s">
        <v>2111</v>
      </c>
      <c r="U23" s="347">
        <f ca="1">S23/busoybean2lb</f>
        <v>8.8989119076256978E-2</v>
      </c>
      <c r="V23" s="347">
        <v>5.3393471445754184</v>
      </c>
      <c r="W23" s="347">
        <v>8.8989119076256978E-2</v>
      </c>
      <c r="X23" s="14" t="s">
        <v>12</v>
      </c>
      <c r="Y23" s="346" t="s">
        <v>891</v>
      </c>
      <c r="Z23" s="14" t="str">
        <f>IF(ISBLANK(LCI_Table[[#This Row],[Notes for user]])," ",LCI_Table[[#This Row],[Notes for user]])</f>
        <v xml:space="preserve"> </v>
      </c>
      <c r="AA23" s="14"/>
      <c r="AB23" s="348" t="s">
        <v>1138</v>
      </c>
      <c r="AC23" s="346">
        <f ca="1">LCI_Table[[#This Row],[Default Calculated Value]]-LCI_Table[[#This Row],[Calculated Value]]</f>
        <v>0</v>
      </c>
    </row>
    <row r="24" spans="1:29" x14ac:dyDescent="0.3">
      <c r="A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SoybeanHEFAGREETGREET(blank)_Soybean_Extraction_Residual_oilResidual oil</v>
      </c>
      <c r="B24" s="14" t="s">
        <v>10</v>
      </c>
      <c r="C24" s="14" t="s">
        <v>30</v>
      </c>
      <c r="D24" s="14" t="s">
        <v>29</v>
      </c>
      <c r="E24" s="48" t="s">
        <v>29</v>
      </c>
      <c r="F24" s="14" t="s">
        <v>31</v>
      </c>
      <c r="G24" s="14" t="b">
        <f>OR(LCI_Table[[#This Row],[Feedstock]]="All",LCI_Table[[#This Row],[Feedstock]]=SelectedFeedstock)</f>
        <v>0</v>
      </c>
      <c r="H24" s="14" t="b">
        <f>OR(LCI_Table[[#This Row],[Conversion]]="All",LCI_Table[[#This Row],[Conversion]]=SelectedConversion)</f>
        <v>1</v>
      </c>
      <c r="I24" s="14" t="b">
        <f>OR(LCI_Table[[#This Row],[Data Set]]="all",LCI_Table[[#This Row],[Data Set]]=SelectedDataSet)</f>
        <v>1</v>
      </c>
      <c r="J24" s="14" t="b">
        <f>OR(LCI_Table[[#This Row],[Technology]]="All",LCI_Table[[#This Row],[Technology]]=SelectedTechnology)</f>
        <v>1</v>
      </c>
      <c r="K24" s="14" t="b">
        <f>OR(LCI_Table[[#This Row],[Data Source]]="All",LCI_Table[[#This Row],[Data Source]]=SelectedDataSource)</f>
        <v>1</v>
      </c>
      <c r="L24" s="14" t="b">
        <v>0</v>
      </c>
      <c r="M24" s="14" t="b">
        <f>(LCI_Table[[#This Row],[Dev Notes]]="Do not display")</f>
        <v>1</v>
      </c>
      <c r="N24" s="14" t="b">
        <v>0</v>
      </c>
      <c r="O24" s="14" t="b">
        <f>LCI_Table[[#This Row],[GREET1 Name Range]]=""</f>
        <v>0</v>
      </c>
      <c r="P24" s="14" t="s">
        <v>1682</v>
      </c>
      <c r="Q24" s="14" t="s">
        <v>789</v>
      </c>
      <c r="R24" s="14" t="s">
        <v>115</v>
      </c>
      <c r="S24" s="37" cm="1">
        <f t="array" aca="1" ref="S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1.904657934455893E-4</v>
      </c>
      <c r="T24" s="346" t="s">
        <v>2112</v>
      </c>
      <c r="U24" s="347">
        <f ca="1">S24*Fuel_Specs!$B$28</f>
        <v>26.732354503140058</v>
      </c>
      <c r="V24" s="347">
        <v>1.904657934455893E-4</v>
      </c>
      <c r="W24" s="347">
        <v>26.732354503140058</v>
      </c>
      <c r="X24" s="14" t="s">
        <v>5</v>
      </c>
      <c r="Y24" s="346" t="s">
        <v>891</v>
      </c>
      <c r="Z24" s="14" t="str">
        <f>IF(ISBLANK(LCI_Table[[#This Row],[Notes for user]])," ",LCI_Table[[#This Row],[Notes for user]])</f>
        <v xml:space="preserve"> </v>
      </c>
      <c r="AA24" s="14"/>
      <c r="AB24" s="348" t="s">
        <v>1138</v>
      </c>
      <c r="AC24" s="346">
        <f ca="1">LCI_Table[[#This Row],[Default Calculated Value]]-LCI_Table[[#This Row],[Calculated Value]]</f>
        <v>0</v>
      </c>
    </row>
    <row r="25" spans="1:29" x14ac:dyDescent="0.3">
      <c r="A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SoybeanHEFAGREETGREET(blank)_Soybean_Extraction_DieselDiesel</v>
      </c>
      <c r="B25" s="14" t="s">
        <v>10</v>
      </c>
      <c r="C25" s="14" t="s">
        <v>30</v>
      </c>
      <c r="D25" s="14" t="s">
        <v>29</v>
      </c>
      <c r="E25" s="48" t="s">
        <v>29</v>
      </c>
      <c r="F25" s="14" t="s">
        <v>31</v>
      </c>
      <c r="G25" s="14" t="b">
        <f>OR(LCI_Table[[#This Row],[Feedstock]]="All",LCI_Table[[#This Row],[Feedstock]]=SelectedFeedstock)</f>
        <v>0</v>
      </c>
      <c r="H25" s="14" t="b">
        <f>OR(LCI_Table[[#This Row],[Conversion]]="All",LCI_Table[[#This Row],[Conversion]]=SelectedConversion)</f>
        <v>1</v>
      </c>
      <c r="I25" s="14" t="b">
        <f>OR(LCI_Table[[#This Row],[Data Set]]="all",LCI_Table[[#This Row],[Data Set]]=SelectedDataSet)</f>
        <v>1</v>
      </c>
      <c r="J25" s="14" t="b">
        <f>OR(LCI_Table[[#This Row],[Technology]]="All",LCI_Table[[#This Row],[Technology]]=SelectedTechnology)</f>
        <v>1</v>
      </c>
      <c r="K25" s="14" t="b">
        <f>OR(LCI_Table[[#This Row],[Data Source]]="All",LCI_Table[[#This Row],[Data Source]]=SelectedDataSource)</f>
        <v>1</v>
      </c>
      <c r="L25" s="14" t="b">
        <v>0</v>
      </c>
      <c r="M25" s="14" t="b">
        <f>(LCI_Table[[#This Row],[Dev Notes]]="Do not display")</f>
        <v>1</v>
      </c>
      <c r="N25" s="14" t="b">
        <v>0</v>
      </c>
      <c r="O25" s="14" t="b">
        <f>LCI_Table[[#This Row],[GREET1 Name Range]]=""</f>
        <v>0</v>
      </c>
      <c r="P25" s="14" t="s">
        <v>1682</v>
      </c>
      <c r="Q25" s="14" t="s">
        <v>781</v>
      </c>
      <c r="R25" s="14" t="s">
        <v>106</v>
      </c>
      <c r="S25" s="37" cm="1">
        <f t="array" aca="1" ref="S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1.028613704187436E-4</v>
      </c>
      <c r="T25" s="346" t="s">
        <v>2112</v>
      </c>
      <c r="U25" s="347">
        <f ca="1">S25*Fuel_Specs!$B$19</f>
        <v>13.212543030287616</v>
      </c>
      <c r="V25" s="347">
        <v>1.028613704187436E-4</v>
      </c>
      <c r="W25" s="347">
        <v>13.212543030287616</v>
      </c>
      <c r="X25" s="14" t="s">
        <v>5</v>
      </c>
      <c r="Y25" s="346" t="s">
        <v>891</v>
      </c>
      <c r="Z25" s="14" t="str">
        <f>IF(ISBLANK(LCI_Table[[#This Row],[Notes for user]])," ",LCI_Table[[#This Row],[Notes for user]])</f>
        <v xml:space="preserve"> </v>
      </c>
      <c r="AA25" s="14"/>
      <c r="AB25" s="348" t="s">
        <v>1138</v>
      </c>
      <c r="AC25" s="346">
        <f ca="1">LCI_Table[[#This Row],[Default Calculated Value]]-LCI_Table[[#This Row],[Calculated Value]]</f>
        <v>0</v>
      </c>
    </row>
    <row r="26" spans="1:29" x14ac:dyDescent="0.3">
      <c r="A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SoybeanHEFAGREETGREET(blank)_Soybean_Extraction_GasolineGasoline</v>
      </c>
      <c r="B26" s="14" t="s">
        <v>10</v>
      </c>
      <c r="C26" s="14" t="s">
        <v>30</v>
      </c>
      <c r="D26" s="14" t="s">
        <v>29</v>
      </c>
      <c r="E26" s="48" t="s">
        <v>29</v>
      </c>
      <c r="F26" s="14" t="s">
        <v>31</v>
      </c>
      <c r="G26" s="14" t="b">
        <f>OR(LCI_Table[[#This Row],[Feedstock]]="All",LCI_Table[[#This Row],[Feedstock]]=SelectedFeedstock)</f>
        <v>0</v>
      </c>
      <c r="H26" s="14" t="b">
        <f>OR(LCI_Table[[#This Row],[Conversion]]="All",LCI_Table[[#This Row],[Conversion]]=SelectedConversion)</f>
        <v>1</v>
      </c>
      <c r="I26" s="14" t="b">
        <f>OR(LCI_Table[[#This Row],[Data Set]]="all",LCI_Table[[#This Row],[Data Set]]=SelectedDataSet)</f>
        <v>1</v>
      </c>
      <c r="J26" s="14" t="b">
        <f>OR(LCI_Table[[#This Row],[Technology]]="All",LCI_Table[[#This Row],[Technology]]=SelectedTechnology)</f>
        <v>1</v>
      </c>
      <c r="K26" s="14" t="b">
        <f>OR(LCI_Table[[#This Row],[Data Source]]="All",LCI_Table[[#This Row],[Data Source]]=SelectedDataSource)</f>
        <v>1</v>
      </c>
      <c r="L26" s="14" t="b">
        <v>0</v>
      </c>
      <c r="M26" s="14" t="b">
        <f>(LCI_Table[[#This Row],[Dev Notes]]="Do not display")</f>
        <v>1</v>
      </c>
      <c r="N26" s="14" t="b">
        <v>0</v>
      </c>
      <c r="O26" s="14" t="b">
        <f>LCI_Table[[#This Row],[GREET1 Name Range]]=""</f>
        <v>0</v>
      </c>
      <c r="P26" s="14" t="s">
        <v>1682</v>
      </c>
      <c r="Q26" s="14" t="s">
        <v>784</v>
      </c>
      <c r="R26" s="14" t="s">
        <v>107</v>
      </c>
      <c r="S26" s="37" cm="1">
        <f t="array" aca="1" ref="S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 s="346" t="s">
        <v>2112</v>
      </c>
      <c r="U26" s="347">
        <f ca="1">S26*Fuel_Specs!$B$15</f>
        <v>0</v>
      </c>
      <c r="V26" s="347">
        <v>0</v>
      </c>
      <c r="W26" s="347">
        <v>0</v>
      </c>
      <c r="X26" s="14" t="s">
        <v>5</v>
      </c>
      <c r="Y26" s="346" t="s">
        <v>891</v>
      </c>
      <c r="Z26" s="14" t="str">
        <f>IF(ISBLANK(LCI_Table[[#This Row],[Notes for user]])," ",LCI_Table[[#This Row],[Notes for user]])</f>
        <v xml:space="preserve"> </v>
      </c>
      <c r="AA26" s="14"/>
      <c r="AB26" s="348" t="s">
        <v>1138</v>
      </c>
      <c r="AC26" s="346">
        <f ca="1">LCI_Table[[#This Row],[Default Calculated Value]]-LCI_Table[[#This Row],[Calculated Value]]</f>
        <v>0</v>
      </c>
    </row>
    <row r="27" spans="1:29" x14ac:dyDescent="0.3">
      <c r="A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SoybeanHEFAGREETGREET(blank)_Soybean_Extraction_Natural_gasNatural gas</v>
      </c>
      <c r="B27" s="14" t="s">
        <v>10</v>
      </c>
      <c r="C27" s="14" t="s">
        <v>30</v>
      </c>
      <c r="D27" s="14" t="s">
        <v>29</v>
      </c>
      <c r="E27" s="48" t="s">
        <v>29</v>
      </c>
      <c r="F27" s="14" t="s">
        <v>31</v>
      </c>
      <c r="G27" s="14" t="b">
        <f>OR(LCI_Table[[#This Row],[Feedstock]]="All",LCI_Table[[#This Row],[Feedstock]]=SelectedFeedstock)</f>
        <v>0</v>
      </c>
      <c r="H27" s="14" t="b">
        <f>OR(LCI_Table[[#This Row],[Conversion]]="All",LCI_Table[[#This Row],[Conversion]]=SelectedConversion)</f>
        <v>1</v>
      </c>
      <c r="I27" s="14" t="b">
        <f>OR(LCI_Table[[#This Row],[Data Set]]="all",LCI_Table[[#This Row],[Data Set]]=SelectedDataSet)</f>
        <v>1</v>
      </c>
      <c r="J27" s="14" t="b">
        <f>OR(LCI_Table[[#This Row],[Technology]]="All",LCI_Table[[#This Row],[Technology]]=SelectedTechnology)</f>
        <v>1</v>
      </c>
      <c r="K27" s="14" t="b">
        <f>OR(LCI_Table[[#This Row],[Data Source]]="All",LCI_Table[[#This Row],[Data Source]]=SelectedDataSource)</f>
        <v>1</v>
      </c>
      <c r="L27" s="14" t="b">
        <v>0</v>
      </c>
      <c r="M27" s="14" t="b">
        <f>(LCI_Table[[#This Row],[Dev Notes]]="Do not display")</f>
        <v>1</v>
      </c>
      <c r="N27" s="14" t="b">
        <v>0</v>
      </c>
      <c r="O27" s="14" t="b">
        <f>LCI_Table[[#This Row],[GREET1 Name Range]]=""</f>
        <v>0</v>
      </c>
      <c r="P27" s="14" t="s">
        <v>1682</v>
      </c>
      <c r="Q27" s="14" t="s">
        <v>788</v>
      </c>
      <c r="R27" s="14" t="s">
        <v>108</v>
      </c>
      <c r="S27" s="37" cm="1">
        <f t="array" aca="1" ref="S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1.7532743584395947</v>
      </c>
      <c r="T27" s="346" t="s">
        <v>2113</v>
      </c>
      <c r="U27" s="347">
        <f ca="1">S27*Fuel_Specs!$B$79</f>
        <v>1723.4686943461215</v>
      </c>
      <c r="V27" s="347">
        <v>1.7532743584395947</v>
      </c>
      <c r="W27" s="347">
        <v>1723.4686943461215</v>
      </c>
      <c r="X27" s="14" t="s">
        <v>351</v>
      </c>
      <c r="Y27" s="346" t="s">
        <v>891</v>
      </c>
      <c r="Z27" s="14" t="str">
        <f>IF(ISBLANK(LCI_Table[[#This Row],[Notes for user]])," ",LCI_Table[[#This Row],[Notes for user]])</f>
        <v xml:space="preserve"> </v>
      </c>
      <c r="AA27" s="14"/>
      <c r="AB27" s="348" t="s">
        <v>1138</v>
      </c>
      <c r="AC27" s="346">
        <f ca="1">LCI_Table[[#This Row],[Default Calculated Value]]-LCI_Table[[#This Row],[Calculated Value]]</f>
        <v>0</v>
      </c>
    </row>
    <row r="28" spans="1:29" x14ac:dyDescent="0.3">
      <c r="A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SoybeanHEFAGREETGREET(blank)_Soybean_Extraction_CoalCoal</v>
      </c>
      <c r="B28" s="14" t="s">
        <v>10</v>
      </c>
      <c r="C28" s="14" t="s">
        <v>30</v>
      </c>
      <c r="D28" s="14" t="s">
        <v>29</v>
      </c>
      <c r="E28" s="48" t="s">
        <v>29</v>
      </c>
      <c r="F28" s="14" t="s">
        <v>31</v>
      </c>
      <c r="G28" s="14" t="b">
        <f>OR(LCI_Table[[#This Row],[Feedstock]]="All",LCI_Table[[#This Row],[Feedstock]]=SelectedFeedstock)</f>
        <v>0</v>
      </c>
      <c r="H28" s="14" t="b">
        <f>OR(LCI_Table[[#This Row],[Conversion]]="All",LCI_Table[[#This Row],[Conversion]]=SelectedConversion)</f>
        <v>1</v>
      </c>
      <c r="I28" s="14" t="b">
        <f>OR(LCI_Table[[#This Row],[Data Set]]="all",LCI_Table[[#This Row],[Data Set]]=SelectedDataSet)</f>
        <v>1</v>
      </c>
      <c r="J28" s="14" t="b">
        <f>OR(LCI_Table[[#This Row],[Technology]]="All",LCI_Table[[#This Row],[Technology]]=SelectedTechnology)</f>
        <v>1</v>
      </c>
      <c r="K28" s="14" t="b">
        <f>OR(LCI_Table[[#This Row],[Data Source]]="All",LCI_Table[[#This Row],[Data Source]]=SelectedDataSource)</f>
        <v>1</v>
      </c>
      <c r="L28" s="14" t="b">
        <v>0</v>
      </c>
      <c r="M28" s="14" t="b">
        <f>(LCI_Table[[#This Row],[Dev Notes]]="Do not display")</f>
        <v>1</v>
      </c>
      <c r="N28" s="14" t="b">
        <v>0</v>
      </c>
      <c r="O28" s="14" t="b">
        <f>LCI_Table[[#This Row],[GREET1 Name Range]]=""</f>
        <v>0</v>
      </c>
      <c r="P28" s="14" t="s">
        <v>1682</v>
      </c>
      <c r="Q28" s="14" t="s">
        <v>780</v>
      </c>
      <c r="R28" s="14" t="s">
        <v>9</v>
      </c>
      <c r="S28" s="37" cm="1">
        <f t="array" aca="1" ref="S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848.3681699214909</v>
      </c>
      <c r="T28" s="346" t="s">
        <v>2114</v>
      </c>
      <c r="U28" s="347">
        <f ca="1">S28</f>
        <v>848.3681699214909</v>
      </c>
      <c r="V28" s="347">
        <v>848.3681699214909</v>
      </c>
      <c r="W28" s="347">
        <v>848.3681699214909</v>
      </c>
      <c r="X28" s="14" t="s">
        <v>117</v>
      </c>
      <c r="Y28" s="346" t="s">
        <v>891</v>
      </c>
      <c r="Z28" s="14" t="str">
        <f>IF(ISBLANK(LCI_Table[[#This Row],[Notes for user]])," ",LCI_Table[[#This Row],[Notes for user]])</f>
        <v xml:space="preserve"> </v>
      </c>
      <c r="AA28" s="14"/>
      <c r="AB28" s="348" t="s">
        <v>1138</v>
      </c>
      <c r="AC28" s="346">
        <f ca="1">LCI_Table[[#This Row],[Default Calculated Value]]-LCI_Table[[#This Row],[Calculated Value]]</f>
        <v>0</v>
      </c>
    </row>
    <row r="29" spans="1:29" x14ac:dyDescent="0.3">
      <c r="A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SoybeanHEFAGREETGREET(blank)_Soybean_Extraction_LPGLPG</v>
      </c>
      <c r="B29" s="14" t="s">
        <v>10</v>
      </c>
      <c r="C29" s="14" t="s">
        <v>30</v>
      </c>
      <c r="D29" s="14" t="s">
        <v>29</v>
      </c>
      <c r="E29" s="48" t="s">
        <v>29</v>
      </c>
      <c r="F29" s="14" t="s">
        <v>31</v>
      </c>
      <c r="G29" s="14" t="b">
        <f>OR(LCI_Table[[#This Row],[Feedstock]]="All",LCI_Table[[#This Row],[Feedstock]]=SelectedFeedstock)</f>
        <v>0</v>
      </c>
      <c r="H29" s="14" t="b">
        <f>OR(LCI_Table[[#This Row],[Conversion]]="All",LCI_Table[[#This Row],[Conversion]]=SelectedConversion)</f>
        <v>1</v>
      </c>
      <c r="I29" s="14" t="b">
        <f>OR(LCI_Table[[#This Row],[Data Set]]="all",LCI_Table[[#This Row],[Data Set]]=SelectedDataSet)</f>
        <v>1</v>
      </c>
      <c r="J29" s="14" t="b">
        <f>OR(LCI_Table[[#This Row],[Technology]]="All",LCI_Table[[#This Row],[Technology]]=SelectedTechnology)</f>
        <v>1</v>
      </c>
      <c r="K29" s="14" t="b">
        <f>OR(LCI_Table[[#This Row],[Data Source]]="All",LCI_Table[[#This Row],[Data Source]]=SelectedDataSource)</f>
        <v>1</v>
      </c>
      <c r="L29" s="14" t="b">
        <v>0</v>
      </c>
      <c r="M29" s="14" t="b">
        <f>(LCI_Table[[#This Row],[Dev Notes]]="Do not display")</f>
        <v>1</v>
      </c>
      <c r="N29" s="14" t="b">
        <v>0</v>
      </c>
      <c r="O29" s="14" t="b">
        <f>LCI_Table[[#This Row],[GREET1 Name Range]]=""</f>
        <v>0</v>
      </c>
      <c r="P29" s="14" t="s">
        <v>1682</v>
      </c>
      <c r="Q29" s="14" t="s">
        <v>786</v>
      </c>
      <c r="R29" s="14" t="s">
        <v>109</v>
      </c>
      <c r="S29" s="37" cm="1">
        <f t="array" aca="1" ref="S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9" s="346" t="s">
        <v>2112</v>
      </c>
      <c r="U29" s="347">
        <f ca="1">S29*Fuel_Specs!$B$35</f>
        <v>0</v>
      </c>
      <c r="V29" s="347">
        <v>0</v>
      </c>
      <c r="W29" s="347">
        <v>0</v>
      </c>
      <c r="X29" s="14" t="s">
        <v>5</v>
      </c>
      <c r="Y29" s="346" t="s">
        <v>891</v>
      </c>
      <c r="Z29" s="14" t="str">
        <f>IF(ISBLANK(LCI_Table[[#This Row],[Notes for user]])," ",LCI_Table[[#This Row],[Notes for user]])</f>
        <v xml:space="preserve"> </v>
      </c>
      <c r="AA29" s="14"/>
      <c r="AB29" s="348" t="s">
        <v>1138</v>
      </c>
      <c r="AC29" s="346">
        <f ca="1">LCI_Table[[#This Row],[Default Calculated Value]]-LCI_Table[[#This Row],[Calculated Value]]</f>
        <v>0</v>
      </c>
    </row>
    <row r="30" spans="1:29" x14ac:dyDescent="0.3">
      <c r="A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SoybeanHEFAGREETGREET(blank)_Soybean_Extraction_ElectricityElectricity</v>
      </c>
      <c r="B30" s="14" t="s">
        <v>10</v>
      </c>
      <c r="C30" s="14" t="s">
        <v>30</v>
      </c>
      <c r="D30" s="14" t="s">
        <v>29</v>
      </c>
      <c r="E30" s="48" t="s">
        <v>29</v>
      </c>
      <c r="F30" s="14" t="s">
        <v>31</v>
      </c>
      <c r="G30" s="14" t="b">
        <f>OR(LCI_Table[[#This Row],[Feedstock]]="All",LCI_Table[[#This Row],[Feedstock]]=SelectedFeedstock)</f>
        <v>0</v>
      </c>
      <c r="H30" s="14" t="b">
        <f>OR(LCI_Table[[#This Row],[Conversion]]="All",LCI_Table[[#This Row],[Conversion]]=SelectedConversion)</f>
        <v>1</v>
      </c>
      <c r="I30" s="14" t="b">
        <f>OR(LCI_Table[[#This Row],[Data Set]]="all",LCI_Table[[#This Row],[Data Set]]=SelectedDataSet)</f>
        <v>1</v>
      </c>
      <c r="J30" s="14" t="b">
        <f>OR(LCI_Table[[#This Row],[Technology]]="All",LCI_Table[[#This Row],[Technology]]=SelectedTechnology)</f>
        <v>1</v>
      </c>
      <c r="K30" s="14" t="b">
        <f>OR(LCI_Table[[#This Row],[Data Source]]="All",LCI_Table[[#This Row],[Data Source]]=SelectedDataSource)</f>
        <v>1</v>
      </c>
      <c r="L30" s="14" t="b">
        <v>0</v>
      </c>
      <c r="M30" s="14" t="b">
        <f>(LCI_Table[[#This Row],[Dev Notes]]="Do not display")</f>
        <v>1</v>
      </c>
      <c r="N30" s="14" t="b">
        <v>0</v>
      </c>
      <c r="O30" s="14" t="b">
        <f>LCI_Table[[#This Row],[GREET1 Name Range]]=""</f>
        <v>0</v>
      </c>
      <c r="P30" s="14" t="s">
        <v>1682</v>
      </c>
      <c r="Q30" s="14" t="s">
        <v>782</v>
      </c>
      <c r="R30" s="14" t="s">
        <v>110</v>
      </c>
      <c r="S30" s="37" cm="1">
        <f t="array" aca="1" ref="S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0.10896230419349372</v>
      </c>
      <c r="T30" s="346" t="s">
        <v>2115</v>
      </c>
      <c r="U30" s="347">
        <f ca="1">S30/BTU2kWh</f>
        <v>371.79481550344218</v>
      </c>
      <c r="V30" s="347">
        <v>0.10896230419349372</v>
      </c>
      <c r="W30" s="347">
        <v>371.79481550344218</v>
      </c>
      <c r="X30" s="14" t="s">
        <v>51</v>
      </c>
      <c r="Y30" s="346" t="s">
        <v>891</v>
      </c>
      <c r="Z30" s="14" t="str">
        <f>IF(ISBLANK(LCI_Table[[#This Row],[Notes for user]])," ",LCI_Table[[#This Row],[Notes for user]])</f>
        <v xml:space="preserve"> </v>
      </c>
      <c r="AA30" s="14"/>
      <c r="AB30" s="348" t="s">
        <v>1138</v>
      </c>
      <c r="AC30" s="346">
        <f ca="1">LCI_Table[[#This Row],[Default Calculated Value]]-LCI_Table[[#This Row],[Calculated Value]]</f>
        <v>0</v>
      </c>
    </row>
    <row r="31" spans="1:29" ht="18.75" customHeight="1" x14ac:dyDescent="0.3">
      <c r="A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SoybeanHEFAGREETGREET(blank)_Soybean_Extraction_N_hexaneN-hexane</v>
      </c>
      <c r="B31" s="14" t="s">
        <v>10</v>
      </c>
      <c r="C31" s="14" t="s">
        <v>30</v>
      </c>
      <c r="D31" s="14" t="s">
        <v>29</v>
      </c>
      <c r="E31" s="48" t="s">
        <v>29</v>
      </c>
      <c r="F31" s="14" t="s">
        <v>31</v>
      </c>
      <c r="G31" s="14" t="b">
        <f>OR(LCI_Table[[#This Row],[Feedstock]]="All",LCI_Table[[#This Row],[Feedstock]]=SelectedFeedstock)</f>
        <v>0</v>
      </c>
      <c r="H31" s="14" t="b">
        <f>OR(LCI_Table[[#This Row],[Conversion]]="All",LCI_Table[[#This Row],[Conversion]]=SelectedConversion)</f>
        <v>1</v>
      </c>
      <c r="I31" s="14" t="b">
        <f>OR(LCI_Table[[#This Row],[Data Set]]="all",LCI_Table[[#This Row],[Data Set]]=SelectedDataSet)</f>
        <v>1</v>
      </c>
      <c r="J31" s="14" t="b">
        <f>OR(LCI_Table[[#This Row],[Technology]]="All",LCI_Table[[#This Row],[Technology]]=SelectedTechnology)</f>
        <v>1</v>
      </c>
      <c r="K31" s="14" t="b">
        <f>OR(LCI_Table[[#This Row],[Data Source]]="All",LCI_Table[[#This Row],[Data Source]]=SelectedDataSource)</f>
        <v>1</v>
      </c>
      <c r="L31" s="14" t="b">
        <v>0</v>
      </c>
      <c r="M31" s="14" t="b">
        <f>(LCI_Table[[#This Row],[Dev Notes]]="Do not display")</f>
        <v>1</v>
      </c>
      <c r="N31" s="14" t="b">
        <v>0</v>
      </c>
      <c r="O31" s="14" t="b">
        <f>LCI_Table[[#This Row],[GREET1 Name Range]]=""</f>
        <v>0</v>
      </c>
      <c r="P31" s="14" t="s">
        <v>1682</v>
      </c>
      <c r="Q31" s="14" t="s">
        <v>787</v>
      </c>
      <c r="R31" s="14" t="s">
        <v>116</v>
      </c>
      <c r="S31" s="37" cm="1">
        <f t="array" aca="1" ref="S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2.3383136429449816E-7</v>
      </c>
      <c r="T31" s="346" t="s">
        <v>2111</v>
      </c>
      <c r="U31" s="347">
        <f ca="1">S31*Fuel_Specs!$B$58*ton2lb</f>
        <v>49.162950810372521</v>
      </c>
      <c r="V31" s="347">
        <v>2.3383136429449816E-7</v>
      </c>
      <c r="W31" s="347">
        <v>49.162950810372521</v>
      </c>
      <c r="X31" s="14" t="s">
        <v>12</v>
      </c>
      <c r="Y31" s="346" t="s">
        <v>891</v>
      </c>
      <c r="Z31" s="14" t="str">
        <f>IF(ISBLANK(LCI_Table[[#This Row],[Notes for user]])," ",LCI_Table[[#This Row],[Notes for user]])</f>
        <v xml:space="preserve"> </v>
      </c>
      <c r="AA31" s="14"/>
      <c r="AB31" s="348" t="s">
        <v>1138</v>
      </c>
      <c r="AC31" s="346">
        <f ca="1">LCI_Table[[#This Row],[Default Calculated Value]]-LCI_Table[[#This Row],[Calculated Value]]</f>
        <v>0</v>
      </c>
    </row>
    <row r="32" spans="1:29" x14ac:dyDescent="0.3">
      <c r="A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SoybeanHEFAGREETGREET(blank)_Soybean_Extraction_Forest_residueForest residue</v>
      </c>
      <c r="B32" s="14" t="s">
        <v>10</v>
      </c>
      <c r="C32" s="14" t="s">
        <v>30</v>
      </c>
      <c r="D32" s="14" t="s">
        <v>29</v>
      </c>
      <c r="E32" s="48" t="s">
        <v>29</v>
      </c>
      <c r="F32" s="14" t="s">
        <v>31</v>
      </c>
      <c r="G32" s="14" t="b">
        <f>OR(LCI_Table[[#This Row],[Feedstock]]="All",LCI_Table[[#This Row],[Feedstock]]=SelectedFeedstock)</f>
        <v>0</v>
      </c>
      <c r="H32" s="14" t="b">
        <f>OR(LCI_Table[[#This Row],[Conversion]]="All",LCI_Table[[#This Row],[Conversion]]=SelectedConversion)</f>
        <v>1</v>
      </c>
      <c r="I32" s="14" t="b">
        <f>OR(LCI_Table[[#This Row],[Data Set]]="all",LCI_Table[[#This Row],[Data Set]]=SelectedDataSet)</f>
        <v>1</v>
      </c>
      <c r="J32" s="14" t="b">
        <f>OR(LCI_Table[[#This Row],[Technology]]="All",LCI_Table[[#This Row],[Technology]]=SelectedTechnology)</f>
        <v>1</v>
      </c>
      <c r="K32" s="14" t="b">
        <f>OR(LCI_Table[[#This Row],[Data Source]]="All",LCI_Table[[#This Row],[Data Source]]=SelectedDataSource)</f>
        <v>1</v>
      </c>
      <c r="L32" s="14" t="b">
        <v>0</v>
      </c>
      <c r="M32" s="14" t="b">
        <f>(LCI_Table[[#This Row],[Dev Notes]]="Do not display")</f>
        <v>1</v>
      </c>
      <c r="N32" s="14" t="b">
        <v>0</v>
      </c>
      <c r="O32" s="14" t="b">
        <f>LCI_Table[[#This Row],[GREET1 Name Range]]=""</f>
        <v>0</v>
      </c>
      <c r="P32" s="14" t="s">
        <v>1682</v>
      </c>
      <c r="Q32" s="14" t="s">
        <v>783</v>
      </c>
      <c r="R32" s="14" t="s">
        <v>316</v>
      </c>
      <c r="S32" s="37" cm="1">
        <f t="array" aca="1" ref="S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7.7310297018740402E-10</v>
      </c>
      <c r="T32" s="346" t="s">
        <v>2111</v>
      </c>
      <c r="U32" s="347">
        <f ca="1">S32*Fuel_Specs!$B$100*ton2lb</f>
        <v>26.732354503140058</v>
      </c>
      <c r="V32" s="347">
        <v>7.7310297018740402E-10</v>
      </c>
      <c r="W32" s="347">
        <v>26.732354503140058</v>
      </c>
      <c r="X32" s="14" t="s">
        <v>12</v>
      </c>
      <c r="Y32" s="346" t="s">
        <v>891</v>
      </c>
      <c r="Z32" s="14" t="str">
        <f>IF(ISBLANK(LCI_Table[[#This Row],[Notes for user]])," ",LCI_Table[[#This Row],[Notes for user]])</f>
        <v xml:space="preserve"> </v>
      </c>
      <c r="AA32" s="14"/>
      <c r="AB32" s="348" t="s">
        <v>1138</v>
      </c>
      <c r="AC32" s="346">
        <f ca="1">LCI_Table[[#This Row],[Default Calculated Value]]-LCI_Table[[#This Row],[Calculated Value]]</f>
        <v>0</v>
      </c>
    </row>
    <row r="33" spans="1:29" x14ac:dyDescent="0.3">
      <c r="A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SoybeanHEFAGREETGREET(blank)_Soybean_Extraction_Landfill_gasLandfill gas</v>
      </c>
      <c r="B33" s="14" t="s">
        <v>10</v>
      </c>
      <c r="C33" s="14" t="s">
        <v>30</v>
      </c>
      <c r="D33" s="14" t="s">
        <v>29</v>
      </c>
      <c r="E33" s="48" t="s">
        <v>29</v>
      </c>
      <c r="F33" s="14" t="s">
        <v>31</v>
      </c>
      <c r="G33" s="14" t="b">
        <f>OR(LCI_Table[[#This Row],[Feedstock]]="All",LCI_Table[[#This Row],[Feedstock]]=SelectedFeedstock)</f>
        <v>0</v>
      </c>
      <c r="H33" s="14" t="b">
        <f>OR(LCI_Table[[#This Row],[Conversion]]="All",LCI_Table[[#This Row],[Conversion]]=SelectedConversion)</f>
        <v>1</v>
      </c>
      <c r="I33" s="14" t="b">
        <f>OR(LCI_Table[[#This Row],[Data Set]]="all",LCI_Table[[#This Row],[Data Set]]=SelectedDataSet)</f>
        <v>1</v>
      </c>
      <c r="J33" s="14" t="b">
        <f>OR(LCI_Table[[#This Row],[Technology]]="All",LCI_Table[[#This Row],[Technology]]=SelectedTechnology)</f>
        <v>1</v>
      </c>
      <c r="K33" s="14" t="b">
        <f>OR(LCI_Table[[#This Row],[Data Source]]="All",LCI_Table[[#This Row],[Data Source]]=SelectedDataSource)</f>
        <v>1</v>
      </c>
      <c r="L33" s="14" t="b">
        <v>0</v>
      </c>
      <c r="M33" s="14" t="b">
        <f>(LCI_Table[[#This Row],[Dev Notes]]="Do not display")</f>
        <v>1</v>
      </c>
      <c r="N33" s="14" t="b">
        <v>0</v>
      </c>
      <c r="O33" s="14" t="b">
        <f>LCI_Table[[#This Row],[GREET1 Name Range]]=""</f>
        <v>0</v>
      </c>
      <c r="P33" s="14" t="s">
        <v>1682</v>
      </c>
      <c r="Q33" s="14" t="s">
        <v>785</v>
      </c>
      <c r="R33" s="14" t="s">
        <v>130</v>
      </c>
      <c r="S33" s="37" cm="1">
        <f t="array" aca="1" ref="S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1.3441040722571329E-2</v>
      </c>
      <c r="T33" s="346" t="s">
        <v>2113</v>
      </c>
      <c r="U33" s="347">
        <f ca="1">S33*Fuel_Specs!$B$79</f>
        <v>13.212543030287616</v>
      </c>
      <c r="V33" s="347">
        <v>1.3441040722571329E-2</v>
      </c>
      <c r="W33" s="347">
        <v>13.212543030287616</v>
      </c>
      <c r="X33" s="14" t="s">
        <v>351</v>
      </c>
      <c r="Y33" s="346" t="s">
        <v>891</v>
      </c>
      <c r="Z33" s="14" t="str">
        <f>IF(ISBLANK(LCI_Table[[#This Row],[Notes for user]])," ",LCI_Table[[#This Row],[Notes for user]])</f>
        <v xml:space="preserve"> </v>
      </c>
      <c r="AA33" s="14"/>
      <c r="AB33" s="348" t="s">
        <v>1138</v>
      </c>
      <c r="AC33" s="346">
        <f ca="1">LCI_Table[[#This Row],[Default Calculated Value]]-LCI_Table[[#This Row],[Calculated Value]]</f>
        <v>0</v>
      </c>
    </row>
    <row r="34" spans="1:29" x14ac:dyDescent="0.3">
      <c r="A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SoybeanHEFAGREETGREET(blank)_Soybean_Oil_Extraction_Mass_AllocationAllocation factor</v>
      </c>
      <c r="B34" s="14" t="s">
        <v>10</v>
      </c>
      <c r="C34" s="14" t="s">
        <v>30</v>
      </c>
      <c r="D34" s="14" t="s">
        <v>29</v>
      </c>
      <c r="E34" s="48" t="s">
        <v>29</v>
      </c>
      <c r="F34" s="14" t="s">
        <v>31</v>
      </c>
      <c r="G34" s="14" t="b">
        <f>OR(LCI_Table[[#This Row],[Feedstock]]="All",LCI_Table[[#This Row],[Feedstock]]=SelectedFeedstock)</f>
        <v>0</v>
      </c>
      <c r="H34" s="14" t="b">
        <f>OR(LCI_Table[[#This Row],[Conversion]]="All",LCI_Table[[#This Row],[Conversion]]=SelectedConversion)</f>
        <v>1</v>
      </c>
      <c r="I34" s="14" t="b">
        <f>OR(LCI_Table[[#This Row],[Data Set]]="all",LCI_Table[[#This Row],[Data Set]]=SelectedDataSet)</f>
        <v>1</v>
      </c>
      <c r="J34" s="14" t="b">
        <f>OR(LCI_Table[[#This Row],[Technology]]="All",LCI_Table[[#This Row],[Technology]]=SelectedTechnology)</f>
        <v>1</v>
      </c>
      <c r="K34" s="14" t="b">
        <f>OR(LCI_Table[[#This Row],[Data Source]]="All",LCI_Table[[#This Row],[Data Source]]=SelectedDataSource)</f>
        <v>1</v>
      </c>
      <c r="L34" s="14" t="b">
        <v>0</v>
      </c>
      <c r="M34" s="14" t="b">
        <f>(LCI_Table[[#This Row],[Dev Notes]]="Do not display")</f>
        <v>1</v>
      </c>
      <c r="N34" s="14" t="b">
        <v>0</v>
      </c>
      <c r="O34" s="14" t="b">
        <v>1</v>
      </c>
      <c r="P34" s="14" t="s">
        <v>1682</v>
      </c>
      <c r="Q34" s="14" t="s">
        <v>1110</v>
      </c>
      <c r="R34" s="14" t="s">
        <v>1344</v>
      </c>
      <c r="S34" s="37" cm="1">
        <f t="array" aca="1" ref="S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21.619311458006301</v>
      </c>
      <c r="T34" s="346" t="s">
        <v>1345</v>
      </c>
      <c r="U34" s="347">
        <f ca="1">LCI_Table[[#This Row],[Dashboard Value]]/100</f>
        <v>0.21619311458006302</v>
      </c>
      <c r="V34" s="347">
        <v>21.619311458006301</v>
      </c>
      <c r="W34" s="347">
        <v>0.21619311458006302</v>
      </c>
      <c r="X34" s="349" t="s">
        <v>1345</v>
      </c>
      <c r="Y34" s="346" t="s">
        <v>891</v>
      </c>
      <c r="Z34" s="14" t="str">
        <f>IF(ISBLANK(LCI_Table[[#This Row],[Notes for user]])," ",LCI_Table[[#This Row],[Notes for user]])</f>
        <v>Allocation to soy oil (mass allocation)</v>
      </c>
      <c r="AA34" s="14" t="s">
        <v>1350</v>
      </c>
      <c r="AB34" s="348" t="s">
        <v>1138</v>
      </c>
      <c r="AC34" s="346">
        <f ca="1">LCI_Table[[#This Row],[Default Calculated Value]]-LCI_Table[[#This Row],[Calculated Value]]</f>
        <v>0</v>
      </c>
    </row>
    <row r="35" spans="1:29" x14ac:dyDescent="0.3">
      <c r="A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SoybeanHEFAGREETGREET(blank)_Soybean_Oil_HEFA_Energy_AllocationAllocation factor</v>
      </c>
      <c r="B35" s="14" t="s">
        <v>10</v>
      </c>
      <c r="C35" s="14" t="s">
        <v>30</v>
      </c>
      <c r="D35" s="14" t="s">
        <v>29</v>
      </c>
      <c r="E35" s="48" t="s">
        <v>29</v>
      </c>
      <c r="F35" s="14" t="s">
        <v>31</v>
      </c>
      <c r="G35" s="14" t="b">
        <f>OR(LCI_Table[[#This Row],[Feedstock]]="All",LCI_Table[[#This Row],[Feedstock]]=SelectedFeedstock)</f>
        <v>0</v>
      </c>
      <c r="H35" s="14" t="b">
        <f>OR(LCI_Table[[#This Row],[Conversion]]="All",LCI_Table[[#This Row],[Conversion]]=SelectedConversion)</f>
        <v>1</v>
      </c>
      <c r="I35" s="14" t="b">
        <f>OR(LCI_Table[[#This Row],[Data Set]]="all",LCI_Table[[#This Row],[Data Set]]=SelectedDataSet)</f>
        <v>1</v>
      </c>
      <c r="J35" s="14" t="b">
        <f>OR(LCI_Table[[#This Row],[Technology]]="All",LCI_Table[[#This Row],[Technology]]=SelectedTechnology)</f>
        <v>1</v>
      </c>
      <c r="K35" s="14" t="b">
        <f>OR(LCI_Table[[#This Row],[Data Source]]="All",LCI_Table[[#This Row],[Data Source]]=SelectedDataSource)</f>
        <v>1</v>
      </c>
      <c r="L35" s="14" t="b">
        <v>0</v>
      </c>
      <c r="M35" s="14" t="b">
        <f>(LCI_Table[[#This Row],[Dev Notes]]="Do not display")</f>
        <v>0</v>
      </c>
      <c r="N35" s="14" t="b">
        <f>AND(LCI_Table[[#This Row],[Show Feedstock]:[Conditional]],NOT(LCI_Table[[#This Row],[Hide Row]]))</f>
        <v>0</v>
      </c>
      <c r="O35" s="14" t="b">
        <f>LCI_Table[[#This Row],[GREET1 Name Range]]=""</f>
        <v>0</v>
      </c>
      <c r="P35" s="14" t="s">
        <v>1448</v>
      </c>
      <c r="Q35" s="14" t="s">
        <v>1115</v>
      </c>
      <c r="R35" s="14" t="s">
        <v>1344</v>
      </c>
      <c r="S35" s="37" cm="1">
        <f t="array" aca="1" ref="S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91.171197532976606</v>
      </c>
      <c r="T35" s="350" t="s">
        <v>1345</v>
      </c>
      <c r="U35" s="351">
        <f ca="1">LCI_Table[[#This Row],[Dashboard Value]]/100</f>
        <v>0.91171197532976611</v>
      </c>
      <c r="V35" s="351">
        <v>91.171197532976606</v>
      </c>
      <c r="W35" s="351">
        <v>0.91171197532976611</v>
      </c>
      <c r="X35" s="349" t="s">
        <v>1345</v>
      </c>
      <c r="Y35" s="346" t="s">
        <v>416</v>
      </c>
      <c r="Z35" s="14" t="str">
        <f>IF(ISBLANK(LCI_Table[[#This Row],[Notes for user]])," ",LCI_Table[[#This Row],[Notes for user]])</f>
        <v>Allocation to the main distillate products (energy allocation)</v>
      </c>
      <c r="AA35" s="14" t="s">
        <v>1351</v>
      </c>
      <c r="AB35" s="346"/>
      <c r="AC35" s="346">
        <f ca="1">LCI_Table[[#This Row],[Default Calculated Value]]-LCI_Table[[#This Row],[Calculated Value]]</f>
        <v>0</v>
      </c>
    </row>
    <row r="36" spans="1:29" x14ac:dyDescent="0.3">
      <c r="A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dash_PalmHEFAGREETGREETClosed pond_Yield_Farming</v>
      </c>
      <c r="B36" s="48" t="s">
        <v>122</v>
      </c>
      <c r="C36" s="48" t="s">
        <v>30</v>
      </c>
      <c r="D36" s="48" t="s">
        <v>29</v>
      </c>
      <c r="E36" s="48" t="s">
        <v>29</v>
      </c>
      <c r="F36" s="48" t="s">
        <v>123</v>
      </c>
      <c r="G36" s="14" t="b">
        <f>OR(LCI_Table[[#This Row],[Feedstock]]="All",LCI_Table[[#This Row],[Feedstock]]=SelectedFeedstock)</f>
        <v>0</v>
      </c>
      <c r="H36" s="14" t="b">
        <f>OR(LCI_Table[[#This Row],[Conversion]]="All",LCI_Table[[#This Row],[Conversion]]=SelectedConversion)</f>
        <v>1</v>
      </c>
      <c r="I36" s="14" t="b">
        <f>OR(LCI_Table[[#This Row],[Data Set]]="all",LCI_Table[[#This Row],[Data Set]]=SelectedDataSet)</f>
        <v>1</v>
      </c>
      <c r="J36" s="14" t="b">
        <f>OR(LCI_Table[[#This Row],[Technology]]="All",LCI_Table[[#This Row],[Technology]]=SelectedTechnology)</f>
        <v>0</v>
      </c>
      <c r="K36" s="14" t="b">
        <f>OR(LCI_Table[[#This Row],[Data Source]]="All",LCI_Table[[#This Row],[Data Source]]=SelectedDataSource)</f>
        <v>1</v>
      </c>
      <c r="L36" s="14" t="b">
        <f>TRUE</f>
        <v>1</v>
      </c>
      <c r="M36" s="14" t="b">
        <f>(LCI_Table[[#This Row],[Dev Notes]]="Do not display")</f>
        <v>0</v>
      </c>
      <c r="N36" s="14" t="b">
        <f>AND(LCI_Table[[#This Row],[Show Feedstock]:[Conditional]],NOT(LCI_Table[[#This Row],[Hide Row]]))</f>
        <v>0</v>
      </c>
      <c r="O36" s="14" t="b">
        <f>LCI_Table[[#This Row],[GREET1 Name Range]]=""</f>
        <v>1</v>
      </c>
      <c r="P36" s="48" t="s">
        <v>14</v>
      </c>
      <c r="Q36" s="14" t="s">
        <v>361</v>
      </c>
      <c r="R36" s="48" t="s">
        <v>200</v>
      </c>
      <c r="S36" s="37" cm="1">
        <f t="array" aca="1" ref="S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6.909937964111923</v>
      </c>
      <c r="T36" s="346" t="s">
        <v>2116</v>
      </c>
      <c r="U36" s="344"/>
      <c r="V36" s="344">
        <v>6.909937964111923</v>
      </c>
      <c r="W36" s="344"/>
      <c r="X36" s="48" t="s">
        <v>55</v>
      </c>
      <c r="Y36" s="346" t="s">
        <v>413</v>
      </c>
      <c r="Z36" s="14" t="str">
        <f>IF(ISBLANK(LCI_Table[[#This Row],[Notes for user]])," ",LCI_Table[[#This Row],[Notes for user]])</f>
        <v>Statista (2023) data from 2022</v>
      </c>
      <c r="AA36" s="48" t="s">
        <v>1149</v>
      </c>
      <c r="AB36" s="345"/>
      <c r="AC36" s="346">
        <f>LCI_Table[[#This Row],[Default Calculated Value]]-LCI_Table[[#This Row],[Calculated Value]]</f>
        <v>0</v>
      </c>
    </row>
    <row r="37" spans="1:29" x14ac:dyDescent="0.3">
      <c r="A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pond_Palm_Farming_Nitrogen_fertilizerNitrogen fertilizer</v>
      </c>
      <c r="B37" s="14" t="s">
        <v>122</v>
      </c>
      <c r="C37" s="14" t="s">
        <v>30</v>
      </c>
      <c r="D37" s="14" t="s">
        <v>29</v>
      </c>
      <c r="E37" s="48" t="s">
        <v>29</v>
      </c>
      <c r="F37" s="14" t="s">
        <v>123</v>
      </c>
      <c r="G37" s="14" t="b">
        <f>OR(LCI_Table[[#This Row],[Feedstock]]="All",LCI_Table[[#This Row],[Feedstock]]=SelectedFeedstock)</f>
        <v>0</v>
      </c>
      <c r="H37" s="14" t="b">
        <f>OR(LCI_Table[[#This Row],[Conversion]]="All",LCI_Table[[#This Row],[Conversion]]=SelectedConversion)</f>
        <v>1</v>
      </c>
      <c r="I37" s="14" t="b">
        <f>OR(LCI_Table[[#This Row],[Data Set]]="all",LCI_Table[[#This Row],[Data Set]]=SelectedDataSet)</f>
        <v>1</v>
      </c>
      <c r="J37" s="14" t="b">
        <f>OR(LCI_Table[[#This Row],[Technology]]="All",LCI_Table[[#This Row],[Technology]]=SelectedTechnology)</f>
        <v>0</v>
      </c>
      <c r="K37" s="14" t="b">
        <f>OR(LCI_Table[[#This Row],[Data Source]]="All",LCI_Table[[#This Row],[Data Source]]=SelectedDataSource)</f>
        <v>1</v>
      </c>
      <c r="L37" s="14" t="b">
        <f>TRUE</f>
        <v>1</v>
      </c>
      <c r="M37" s="14" t="b">
        <f>(LCI_Table[[#This Row],[Dev Notes]]="Do not display")</f>
        <v>0</v>
      </c>
      <c r="N37" s="14" t="b">
        <f>AND(LCI_Table[[#This Row],[Show Feedstock]:[Conditional]],NOT(LCI_Table[[#This Row],[Hide Row]]))</f>
        <v>0</v>
      </c>
      <c r="O37" s="14" t="b">
        <f>LCI_Table[[#This Row],[GREET1 Name Range]]=""</f>
        <v>0</v>
      </c>
      <c r="P37" s="14" t="s">
        <v>14</v>
      </c>
      <c r="Q37" s="14" t="s">
        <v>759</v>
      </c>
      <c r="R37" s="14" t="s">
        <v>111</v>
      </c>
      <c r="S37" s="37" cm="1">
        <f t="array" aca="1" ref="S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113.3427042419741</v>
      </c>
      <c r="T37" s="346" t="s">
        <v>1485</v>
      </c>
      <c r="U37" s="347">
        <f ca="1">S37/g2lb/S36</f>
        <v>7440.2094644468298</v>
      </c>
      <c r="V37" s="347">
        <v>113.3427042419741</v>
      </c>
      <c r="W37" s="347">
        <v>7440.2094644468298</v>
      </c>
      <c r="X37" s="14" t="s">
        <v>12</v>
      </c>
      <c r="Y37" s="346" t="s">
        <v>413</v>
      </c>
      <c r="Z37" s="14" t="str">
        <f>IF(ISBLANK(LCI_Table[[#This Row],[Notes for user]])," ",LCI_Table[[#This Row],[Notes for user]])</f>
        <v xml:space="preserve"> </v>
      </c>
      <c r="AA37" s="14"/>
      <c r="AB37" s="14"/>
      <c r="AC37" s="346">
        <f ca="1">LCI_Table[[#This Row],[Default Calculated Value]]-LCI_Table[[#This Row],[Calculated Value]]</f>
        <v>0</v>
      </c>
    </row>
    <row r="38" spans="1:29" x14ac:dyDescent="0.3">
      <c r="A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pond_Palm_Farming_P2O5P2O5</v>
      </c>
      <c r="B38" s="14" t="s">
        <v>122</v>
      </c>
      <c r="C38" s="14" t="s">
        <v>30</v>
      </c>
      <c r="D38" s="14" t="s">
        <v>29</v>
      </c>
      <c r="E38" s="48" t="s">
        <v>29</v>
      </c>
      <c r="F38" s="14" t="s">
        <v>123</v>
      </c>
      <c r="G38" s="14" t="b">
        <f>OR(LCI_Table[[#This Row],[Feedstock]]="All",LCI_Table[[#This Row],[Feedstock]]=SelectedFeedstock)</f>
        <v>0</v>
      </c>
      <c r="H38" s="14" t="b">
        <f>OR(LCI_Table[[#This Row],[Conversion]]="All",LCI_Table[[#This Row],[Conversion]]=SelectedConversion)</f>
        <v>1</v>
      </c>
      <c r="I38" s="14" t="b">
        <f>OR(LCI_Table[[#This Row],[Data Set]]="all",LCI_Table[[#This Row],[Data Set]]=SelectedDataSet)</f>
        <v>1</v>
      </c>
      <c r="J38" s="14" t="b">
        <f>OR(LCI_Table[[#This Row],[Technology]]="All",LCI_Table[[#This Row],[Technology]]=SelectedTechnology)</f>
        <v>0</v>
      </c>
      <c r="K38" s="14" t="b">
        <f>OR(LCI_Table[[#This Row],[Data Source]]="All",LCI_Table[[#This Row],[Data Source]]=SelectedDataSource)</f>
        <v>1</v>
      </c>
      <c r="L38" s="14" t="b">
        <f>TRUE</f>
        <v>1</v>
      </c>
      <c r="M38" s="14" t="b">
        <f>(LCI_Table[[#This Row],[Dev Notes]]="Do not display")</f>
        <v>0</v>
      </c>
      <c r="N38" s="14" t="b">
        <f>AND(LCI_Table[[#This Row],[Show Feedstock]:[Conditional]],NOT(LCI_Table[[#This Row],[Hide Row]]))</f>
        <v>0</v>
      </c>
      <c r="O38" s="14" t="b">
        <f>LCI_Table[[#This Row],[GREET1 Name Range]]=""</f>
        <v>0</v>
      </c>
      <c r="P38" s="14" t="s">
        <v>14</v>
      </c>
      <c r="Q38" s="14" t="s">
        <v>760</v>
      </c>
      <c r="R38" s="14" t="s">
        <v>112</v>
      </c>
      <c r="S38" s="37" cm="1">
        <f t="array" aca="1" ref="S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76.288358624405745</v>
      </c>
      <c r="T38" s="346" t="s">
        <v>1485</v>
      </c>
      <c r="U38" s="347">
        <f ca="1">S38/g2lb/S36</f>
        <v>5007.8332933776801</v>
      </c>
      <c r="V38" s="347">
        <v>76.288358624405745</v>
      </c>
      <c r="W38" s="347">
        <v>5007.8332933776801</v>
      </c>
      <c r="X38" s="14" t="s">
        <v>12</v>
      </c>
      <c r="Y38" s="346" t="s">
        <v>413</v>
      </c>
      <c r="Z38" s="14" t="str">
        <f>IF(ISBLANK(LCI_Table[[#This Row],[Notes for user]])," ",LCI_Table[[#This Row],[Notes for user]])</f>
        <v xml:space="preserve"> </v>
      </c>
      <c r="AA38" s="14"/>
      <c r="AB38" s="14"/>
      <c r="AC38" s="346">
        <f ca="1">LCI_Table[[#This Row],[Default Calculated Value]]-LCI_Table[[#This Row],[Calculated Value]]</f>
        <v>0</v>
      </c>
    </row>
    <row r="39" spans="1:29" x14ac:dyDescent="0.3">
      <c r="A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pond_Palm_Farming_K2OK2O</v>
      </c>
      <c r="B39" s="14" t="s">
        <v>122</v>
      </c>
      <c r="C39" s="14" t="s">
        <v>30</v>
      </c>
      <c r="D39" s="14" t="s">
        <v>29</v>
      </c>
      <c r="E39" s="48" t="s">
        <v>29</v>
      </c>
      <c r="F39" s="14" t="s">
        <v>123</v>
      </c>
      <c r="G39" s="14" t="b">
        <f>OR(LCI_Table[[#This Row],[Feedstock]]="All",LCI_Table[[#This Row],[Feedstock]]=SelectedFeedstock)</f>
        <v>0</v>
      </c>
      <c r="H39" s="14" t="b">
        <f>OR(LCI_Table[[#This Row],[Conversion]]="All",LCI_Table[[#This Row],[Conversion]]=SelectedConversion)</f>
        <v>1</v>
      </c>
      <c r="I39" s="14" t="b">
        <f>OR(LCI_Table[[#This Row],[Data Set]]="all",LCI_Table[[#This Row],[Data Set]]=SelectedDataSet)</f>
        <v>1</v>
      </c>
      <c r="J39" s="14" t="b">
        <f>OR(LCI_Table[[#This Row],[Technology]]="All",LCI_Table[[#This Row],[Technology]]=SelectedTechnology)</f>
        <v>0</v>
      </c>
      <c r="K39" s="14" t="b">
        <f>OR(LCI_Table[[#This Row],[Data Source]]="All",LCI_Table[[#This Row],[Data Source]]=SelectedDataSource)</f>
        <v>1</v>
      </c>
      <c r="L39" s="14" t="b">
        <f>TRUE</f>
        <v>1</v>
      </c>
      <c r="M39" s="14" t="b">
        <f>(LCI_Table[[#This Row],[Dev Notes]]="Do not display")</f>
        <v>0</v>
      </c>
      <c r="N39" s="14" t="b">
        <f>AND(LCI_Table[[#This Row],[Show Feedstock]:[Conditional]],NOT(LCI_Table[[#This Row],[Hide Row]]))</f>
        <v>0</v>
      </c>
      <c r="O39" s="14" t="b">
        <f>LCI_Table[[#This Row],[GREET1 Name Range]]=""</f>
        <v>0</v>
      </c>
      <c r="P39" s="14" t="s">
        <v>14</v>
      </c>
      <c r="Q39" s="14" t="s">
        <v>756</v>
      </c>
      <c r="R39" s="14" t="s">
        <v>113</v>
      </c>
      <c r="S39" s="37" cm="1">
        <f t="array" aca="1" ref="S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210.33790306443206</v>
      </c>
      <c r="T39" s="346" t="s">
        <v>1485</v>
      </c>
      <c r="U39" s="347">
        <f ca="1">S39/g2lb/S36</f>
        <v>13807.3117945984</v>
      </c>
      <c r="V39" s="347">
        <v>210.33790306443206</v>
      </c>
      <c r="W39" s="347">
        <v>13807.3117945984</v>
      </c>
      <c r="X39" s="14" t="s">
        <v>12</v>
      </c>
      <c r="Y39" s="346" t="s">
        <v>413</v>
      </c>
      <c r="Z39" s="14" t="str">
        <f>IF(ISBLANK(LCI_Table[[#This Row],[Notes for user]])," ",LCI_Table[[#This Row],[Notes for user]])</f>
        <v xml:space="preserve"> </v>
      </c>
      <c r="AA39" s="14"/>
      <c r="AB39" s="14"/>
      <c r="AC39" s="346">
        <f ca="1">LCI_Table[[#This Row],[Default Calculated Value]]-LCI_Table[[#This Row],[Calculated Value]]</f>
        <v>0</v>
      </c>
    </row>
    <row r="40" spans="1:29" x14ac:dyDescent="0.3">
      <c r="A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pond_Palm_Farming_CaCO3CaCO3</v>
      </c>
      <c r="B40" s="14" t="s">
        <v>122</v>
      </c>
      <c r="C40" s="14" t="s">
        <v>30</v>
      </c>
      <c r="D40" s="14" t="s">
        <v>29</v>
      </c>
      <c r="E40" s="48" t="s">
        <v>29</v>
      </c>
      <c r="F40" s="14" t="s">
        <v>123</v>
      </c>
      <c r="G40" s="14" t="b">
        <f>OR(LCI_Table[[#This Row],[Feedstock]]="All",LCI_Table[[#This Row],[Feedstock]]=SelectedFeedstock)</f>
        <v>0</v>
      </c>
      <c r="H40" s="14" t="b">
        <f>OR(LCI_Table[[#This Row],[Conversion]]="All",LCI_Table[[#This Row],[Conversion]]=SelectedConversion)</f>
        <v>1</v>
      </c>
      <c r="I40" s="14" t="b">
        <f>OR(LCI_Table[[#This Row],[Data Set]]="all",LCI_Table[[#This Row],[Data Set]]=SelectedDataSet)</f>
        <v>1</v>
      </c>
      <c r="J40" s="14" t="b">
        <f>OR(LCI_Table[[#This Row],[Technology]]="All",LCI_Table[[#This Row],[Technology]]=SelectedTechnology)</f>
        <v>0</v>
      </c>
      <c r="K40" s="14" t="b">
        <f>OR(LCI_Table[[#This Row],[Data Source]]="All",LCI_Table[[#This Row],[Data Source]]=SelectedDataSource)</f>
        <v>1</v>
      </c>
      <c r="L40" s="14" t="b">
        <f>TRUE</f>
        <v>1</v>
      </c>
      <c r="M40" s="14" t="b">
        <f>(LCI_Table[[#This Row],[Dev Notes]]="Do not display")</f>
        <v>0</v>
      </c>
      <c r="N40" s="14" t="b">
        <f>AND(LCI_Table[[#This Row],[Show Feedstock]:[Conditional]],NOT(LCI_Table[[#This Row],[Hide Row]]))</f>
        <v>0</v>
      </c>
      <c r="O40" s="14" t="b">
        <f>LCI_Table[[#This Row],[GREET1 Name Range]]=""</f>
        <v>0</v>
      </c>
      <c r="P40" s="14" t="s">
        <v>14</v>
      </c>
      <c r="Q40" s="14" t="s">
        <v>749</v>
      </c>
      <c r="R40" s="14" t="s">
        <v>141</v>
      </c>
      <c r="S40" s="37" cm="1">
        <f t="array" aca="1" ref="S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0" s="346" t="s">
        <v>1485</v>
      </c>
      <c r="U40" s="347">
        <f ca="1">S40/g2lb/S36</f>
        <v>0</v>
      </c>
      <c r="V40" s="347">
        <v>0</v>
      </c>
      <c r="W40" s="347">
        <v>0</v>
      </c>
      <c r="X40" s="14" t="s">
        <v>12</v>
      </c>
      <c r="Y40" s="346" t="s">
        <v>413</v>
      </c>
      <c r="Z40" s="14" t="str">
        <f>IF(ISBLANK(LCI_Table[[#This Row],[Notes for user]])," ",LCI_Table[[#This Row],[Notes for user]])</f>
        <v xml:space="preserve"> </v>
      </c>
      <c r="AA40" s="14"/>
      <c r="AB40" s="14"/>
      <c r="AC40" s="346">
        <f ca="1">LCI_Table[[#This Row],[Default Calculated Value]]-LCI_Table[[#This Row],[Calculated Value]]</f>
        <v>0</v>
      </c>
    </row>
    <row r="41" spans="1:29" x14ac:dyDescent="0.3">
      <c r="A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pond_Palm_Farming_HerbicidesHerbicides</v>
      </c>
      <c r="B41" s="14" t="s">
        <v>122</v>
      </c>
      <c r="C41" s="14" t="s">
        <v>30</v>
      </c>
      <c r="D41" s="14" t="s">
        <v>29</v>
      </c>
      <c r="E41" s="48" t="s">
        <v>29</v>
      </c>
      <c r="F41" s="14" t="s">
        <v>123</v>
      </c>
      <c r="G41" s="14" t="b">
        <f>OR(LCI_Table[[#This Row],[Feedstock]]="All",LCI_Table[[#This Row],[Feedstock]]=SelectedFeedstock)</f>
        <v>0</v>
      </c>
      <c r="H41" s="14" t="b">
        <f>OR(LCI_Table[[#This Row],[Conversion]]="All",LCI_Table[[#This Row],[Conversion]]=SelectedConversion)</f>
        <v>1</v>
      </c>
      <c r="I41" s="14" t="b">
        <f>OR(LCI_Table[[#This Row],[Data Set]]="all",LCI_Table[[#This Row],[Data Set]]=SelectedDataSet)</f>
        <v>1</v>
      </c>
      <c r="J41" s="14" t="b">
        <f>OR(LCI_Table[[#This Row],[Technology]]="All",LCI_Table[[#This Row],[Technology]]=SelectedTechnology)</f>
        <v>0</v>
      </c>
      <c r="K41" s="14" t="b">
        <f>OR(LCI_Table[[#This Row],[Data Source]]="All",LCI_Table[[#This Row],[Data Source]]=SelectedDataSource)</f>
        <v>1</v>
      </c>
      <c r="L41" s="14" t="b">
        <f>TRUE</f>
        <v>1</v>
      </c>
      <c r="M41" s="14" t="b">
        <f>(LCI_Table[[#This Row],[Dev Notes]]="Do not display")</f>
        <v>0</v>
      </c>
      <c r="N41" s="14" t="b">
        <f>AND(LCI_Table[[#This Row],[Show Feedstock]:[Conditional]],NOT(LCI_Table[[#This Row],[Hide Row]]))</f>
        <v>0</v>
      </c>
      <c r="O41" s="14" t="b">
        <f>LCI_Table[[#This Row],[GREET1 Name Range]]=""</f>
        <v>0</v>
      </c>
      <c r="P41" s="14" t="s">
        <v>14</v>
      </c>
      <c r="Q41" s="14" t="s">
        <v>754</v>
      </c>
      <c r="R41" s="14" t="s">
        <v>356</v>
      </c>
      <c r="S41" s="37" cm="1">
        <f t="array" aca="1" ref="S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0.61030686899524533</v>
      </c>
      <c r="T41" s="346" t="s">
        <v>1485</v>
      </c>
      <c r="U41" s="347">
        <f ca="1">S41/g2lb/S36</f>
        <v>40.062666347021398</v>
      </c>
      <c r="V41" s="347">
        <v>0.61030686899524533</v>
      </c>
      <c r="W41" s="347">
        <v>40.062666347021398</v>
      </c>
      <c r="X41" s="14" t="s">
        <v>12</v>
      </c>
      <c r="Y41" s="346" t="s">
        <v>413</v>
      </c>
      <c r="Z41" s="14" t="str">
        <f>IF(ISBLANK(LCI_Table[[#This Row],[Notes for user]])," ",LCI_Table[[#This Row],[Notes for user]])</f>
        <v xml:space="preserve"> </v>
      </c>
      <c r="AA41" s="14"/>
      <c r="AB41" s="14"/>
      <c r="AC41" s="346">
        <f ca="1">LCI_Table[[#This Row],[Default Calculated Value]]-LCI_Table[[#This Row],[Calculated Value]]</f>
        <v>0</v>
      </c>
    </row>
    <row r="42" spans="1:29" x14ac:dyDescent="0.3">
      <c r="A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pond_Palm_Farming_InsecticideInsecticide</v>
      </c>
      <c r="B42" s="14" t="s">
        <v>122</v>
      </c>
      <c r="C42" s="14" t="s">
        <v>30</v>
      </c>
      <c r="D42" s="14" t="s">
        <v>29</v>
      </c>
      <c r="E42" s="48" t="s">
        <v>29</v>
      </c>
      <c r="F42" s="14" t="s">
        <v>123</v>
      </c>
      <c r="G42" s="14" t="b">
        <f>OR(LCI_Table[[#This Row],[Feedstock]]="All",LCI_Table[[#This Row],[Feedstock]]=SelectedFeedstock)</f>
        <v>0</v>
      </c>
      <c r="H42" s="14" t="b">
        <f>OR(LCI_Table[[#This Row],[Conversion]]="All",LCI_Table[[#This Row],[Conversion]]=SelectedConversion)</f>
        <v>1</v>
      </c>
      <c r="I42" s="14" t="b">
        <f>OR(LCI_Table[[#This Row],[Data Set]]="all",LCI_Table[[#This Row],[Data Set]]=SelectedDataSet)</f>
        <v>1</v>
      </c>
      <c r="J42" s="14" t="b">
        <f>OR(LCI_Table[[#This Row],[Technology]]="All",LCI_Table[[#This Row],[Technology]]=SelectedTechnology)</f>
        <v>0</v>
      </c>
      <c r="K42" s="14" t="b">
        <f>OR(LCI_Table[[#This Row],[Data Source]]="All",LCI_Table[[#This Row],[Data Source]]=SelectedDataSource)</f>
        <v>1</v>
      </c>
      <c r="L42" s="14" t="b">
        <f>TRUE</f>
        <v>1</v>
      </c>
      <c r="M42" s="14" t="b">
        <f>(LCI_Table[[#This Row],[Dev Notes]]="Do not display")</f>
        <v>0</v>
      </c>
      <c r="N42" s="14" t="b">
        <f>AND(LCI_Table[[#This Row],[Show Feedstock]:[Conditional]],NOT(LCI_Table[[#This Row],[Hide Row]]))</f>
        <v>0</v>
      </c>
      <c r="O42" s="14" t="b">
        <f>LCI_Table[[#This Row],[GREET1 Name Range]]=""</f>
        <v>0</v>
      </c>
      <c r="P42" s="14" t="s">
        <v>14</v>
      </c>
      <c r="Q42" s="14" t="s">
        <v>755</v>
      </c>
      <c r="R42" s="14" t="s">
        <v>114</v>
      </c>
      <c r="S42" s="37" cm="1">
        <f t="array" aca="1" ref="S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2.9425509755127921</v>
      </c>
      <c r="T42" s="346" t="s">
        <v>1485</v>
      </c>
      <c r="U42" s="347">
        <f ca="1">S42/g2lb/S36</f>
        <v>193.15928417313904</v>
      </c>
      <c r="V42" s="347">
        <v>2.9425509755127921</v>
      </c>
      <c r="W42" s="347">
        <v>193.15928417313904</v>
      </c>
      <c r="X42" s="14" t="s">
        <v>12</v>
      </c>
      <c r="Y42" s="346" t="s">
        <v>413</v>
      </c>
      <c r="Z42" s="14" t="str">
        <f>IF(ISBLANK(LCI_Table[[#This Row],[Notes for user]])," ",LCI_Table[[#This Row],[Notes for user]])</f>
        <v xml:space="preserve"> </v>
      </c>
      <c r="AA42" s="14"/>
      <c r="AB42" s="14"/>
      <c r="AC42" s="346">
        <f ca="1">LCI_Table[[#This Row],[Default Calculated Value]]-LCI_Table[[#This Row],[Calculated Value]]</f>
        <v>0</v>
      </c>
    </row>
    <row r="43" spans="1:29" x14ac:dyDescent="0.3">
      <c r="A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pond_Palm_Farming_Residual_oilResidual oil</v>
      </c>
      <c r="B43" s="14" t="s">
        <v>122</v>
      </c>
      <c r="C43" s="14" t="s">
        <v>30</v>
      </c>
      <c r="D43" s="14" t="s">
        <v>29</v>
      </c>
      <c r="E43" s="48" t="s">
        <v>29</v>
      </c>
      <c r="F43" s="14" t="s">
        <v>123</v>
      </c>
      <c r="G43" s="14" t="b">
        <f>OR(LCI_Table[[#This Row],[Feedstock]]="All",LCI_Table[[#This Row],[Feedstock]]=SelectedFeedstock)</f>
        <v>0</v>
      </c>
      <c r="H43" s="14" t="b">
        <f>OR(LCI_Table[[#This Row],[Conversion]]="All",LCI_Table[[#This Row],[Conversion]]=SelectedConversion)</f>
        <v>1</v>
      </c>
      <c r="I43" s="14" t="b">
        <f>OR(LCI_Table[[#This Row],[Data Set]]="all",LCI_Table[[#This Row],[Data Set]]=SelectedDataSet)</f>
        <v>1</v>
      </c>
      <c r="J43" s="14" t="b">
        <f>OR(LCI_Table[[#This Row],[Technology]]="All",LCI_Table[[#This Row],[Technology]]=SelectedTechnology)</f>
        <v>0</v>
      </c>
      <c r="K43" s="14" t="b">
        <f>OR(LCI_Table[[#This Row],[Data Source]]="All",LCI_Table[[#This Row],[Data Source]]=SelectedDataSource)</f>
        <v>1</v>
      </c>
      <c r="L43" s="14" t="b">
        <f>TRUE</f>
        <v>1</v>
      </c>
      <c r="M43" s="14" t="b">
        <f>(LCI_Table[[#This Row],[Dev Notes]]="Do not display")</f>
        <v>0</v>
      </c>
      <c r="N43" s="14" t="b">
        <f>AND(LCI_Table[[#This Row],[Show Feedstock]:[Conditional]],NOT(LCI_Table[[#This Row],[Hide Row]]))</f>
        <v>0</v>
      </c>
      <c r="O43" s="14" t="b">
        <f>LCI_Table[[#This Row],[GREET1 Name Range]]=""</f>
        <v>0</v>
      </c>
      <c r="P43" s="14" t="s">
        <v>14</v>
      </c>
      <c r="Q43" s="14" t="s">
        <v>761</v>
      </c>
      <c r="R43" s="14" t="s">
        <v>115</v>
      </c>
      <c r="S43" s="37" cm="1">
        <f t="array" aca="1" ref="S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3" s="346" t="s">
        <v>1484</v>
      </c>
      <c r="U43" s="347">
        <f ca="1">S43*Fuel_Specs!$B$28/S36</f>
        <v>0</v>
      </c>
      <c r="V43" s="347">
        <v>0</v>
      </c>
      <c r="W43" s="347">
        <v>0</v>
      </c>
      <c r="X43" s="14" t="s">
        <v>5</v>
      </c>
      <c r="Y43" s="346" t="s">
        <v>413</v>
      </c>
      <c r="Z43" s="14" t="str">
        <f>IF(ISBLANK(LCI_Table[[#This Row],[Notes for user]])," ",LCI_Table[[#This Row],[Notes for user]])</f>
        <v xml:space="preserve"> </v>
      </c>
      <c r="AA43" s="14"/>
      <c r="AB43" s="14"/>
      <c r="AC43" s="346">
        <f ca="1">LCI_Table[[#This Row],[Default Calculated Value]]-LCI_Table[[#This Row],[Calculated Value]]</f>
        <v>0</v>
      </c>
    </row>
    <row r="44" spans="1:29" x14ac:dyDescent="0.3">
      <c r="A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pond_Palm_Farming_DieselDiesel</v>
      </c>
      <c r="B44" s="14" t="s">
        <v>122</v>
      </c>
      <c r="C44" s="14" t="s">
        <v>30</v>
      </c>
      <c r="D44" s="14" t="s">
        <v>29</v>
      </c>
      <c r="E44" s="48" t="s">
        <v>29</v>
      </c>
      <c r="F44" s="14" t="s">
        <v>123</v>
      </c>
      <c r="G44" s="14" t="b">
        <f>OR(LCI_Table[[#This Row],[Feedstock]]="All",LCI_Table[[#This Row],[Feedstock]]=SelectedFeedstock)</f>
        <v>0</v>
      </c>
      <c r="H44" s="14" t="b">
        <f>OR(LCI_Table[[#This Row],[Conversion]]="All",LCI_Table[[#This Row],[Conversion]]=SelectedConversion)</f>
        <v>1</v>
      </c>
      <c r="I44" s="14" t="b">
        <f>OR(LCI_Table[[#This Row],[Data Set]]="all",LCI_Table[[#This Row],[Data Set]]=SelectedDataSet)</f>
        <v>1</v>
      </c>
      <c r="J44" s="14" t="b">
        <f>OR(LCI_Table[[#This Row],[Technology]]="All",LCI_Table[[#This Row],[Technology]]=SelectedTechnology)</f>
        <v>0</v>
      </c>
      <c r="K44" s="14" t="b">
        <f>OR(LCI_Table[[#This Row],[Data Source]]="All",LCI_Table[[#This Row],[Data Source]]=SelectedDataSource)</f>
        <v>1</v>
      </c>
      <c r="L44" s="14" t="b">
        <f>TRUE</f>
        <v>1</v>
      </c>
      <c r="M44" s="14" t="b">
        <f>(LCI_Table[[#This Row],[Dev Notes]]="Do not display")</f>
        <v>0</v>
      </c>
      <c r="N44" s="14" t="b">
        <f>AND(LCI_Table[[#This Row],[Show Feedstock]:[Conditional]],NOT(LCI_Table[[#This Row],[Hide Row]]))</f>
        <v>0</v>
      </c>
      <c r="O44" s="14" t="b">
        <f>LCI_Table[[#This Row],[GREET1 Name Range]]=""</f>
        <v>0</v>
      </c>
      <c r="P44" s="14" t="s">
        <v>14</v>
      </c>
      <c r="Q44" s="14" t="s">
        <v>751</v>
      </c>
      <c r="R44" s="14" t="s">
        <v>106</v>
      </c>
      <c r="S44" s="37" cm="1">
        <f t="array" aca="1" ref="S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11.675293702631897</v>
      </c>
      <c r="T44" s="346" t="s">
        <v>1484</v>
      </c>
      <c r="U44" s="347">
        <f ca="1">S44*Fuel_Specs!$B$19/S36</f>
        <v>217034</v>
      </c>
      <c r="V44" s="347">
        <v>11.675293702631897</v>
      </c>
      <c r="W44" s="347">
        <v>217034</v>
      </c>
      <c r="X44" s="14" t="s">
        <v>5</v>
      </c>
      <c r="Y44" s="346" t="s">
        <v>413</v>
      </c>
      <c r="Z44" s="14" t="str">
        <f>IF(ISBLANK(LCI_Table[[#This Row],[Notes for user]])," ",LCI_Table[[#This Row],[Notes for user]])</f>
        <v xml:space="preserve"> </v>
      </c>
      <c r="AA44" s="14"/>
      <c r="AB44" s="14"/>
      <c r="AC44" s="346">
        <f ca="1">LCI_Table[[#This Row],[Default Calculated Value]]-LCI_Table[[#This Row],[Calculated Value]]</f>
        <v>0</v>
      </c>
    </row>
    <row r="45" spans="1:29" x14ac:dyDescent="0.3">
      <c r="A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pond_Palm_Farming_GasolineGasoline</v>
      </c>
      <c r="B45" s="14" t="s">
        <v>122</v>
      </c>
      <c r="C45" s="14" t="s">
        <v>30</v>
      </c>
      <c r="D45" s="14" t="s">
        <v>29</v>
      </c>
      <c r="E45" s="48" t="s">
        <v>29</v>
      </c>
      <c r="F45" s="14" t="s">
        <v>123</v>
      </c>
      <c r="G45" s="14" t="b">
        <f>OR(LCI_Table[[#This Row],[Feedstock]]="All",LCI_Table[[#This Row],[Feedstock]]=SelectedFeedstock)</f>
        <v>0</v>
      </c>
      <c r="H45" s="14" t="b">
        <f>OR(LCI_Table[[#This Row],[Conversion]]="All",LCI_Table[[#This Row],[Conversion]]=SelectedConversion)</f>
        <v>1</v>
      </c>
      <c r="I45" s="14" t="b">
        <f>OR(LCI_Table[[#This Row],[Data Set]]="all",LCI_Table[[#This Row],[Data Set]]=SelectedDataSet)</f>
        <v>1</v>
      </c>
      <c r="J45" s="14" t="b">
        <f>OR(LCI_Table[[#This Row],[Technology]]="All",LCI_Table[[#This Row],[Technology]]=SelectedTechnology)</f>
        <v>0</v>
      </c>
      <c r="K45" s="14" t="b">
        <f>OR(LCI_Table[[#This Row],[Data Source]]="All",LCI_Table[[#This Row],[Data Source]]=SelectedDataSource)</f>
        <v>1</v>
      </c>
      <c r="L45" s="14" t="b">
        <f>TRUE</f>
        <v>1</v>
      </c>
      <c r="M45" s="14" t="b">
        <f>(LCI_Table[[#This Row],[Dev Notes]]="Do not display")</f>
        <v>0</v>
      </c>
      <c r="N45" s="14" t="b">
        <f>AND(LCI_Table[[#This Row],[Show Feedstock]:[Conditional]],NOT(LCI_Table[[#This Row],[Hide Row]]))</f>
        <v>0</v>
      </c>
      <c r="O45" s="14" t="b">
        <f>LCI_Table[[#This Row],[GREET1 Name Range]]=""</f>
        <v>0</v>
      </c>
      <c r="P45" s="14" t="s">
        <v>14</v>
      </c>
      <c r="Q45" s="14" t="s">
        <v>753</v>
      </c>
      <c r="R45" s="14" t="s">
        <v>107</v>
      </c>
      <c r="S45" s="37" cm="1">
        <f t="array" aca="1" ref="S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5" s="346" t="s">
        <v>1484</v>
      </c>
      <c r="U45" s="347">
        <f ca="1">S45*Fuel_Specs!$B$15/S36</f>
        <v>0</v>
      </c>
      <c r="V45" s="347">
        <v>0</v>
      </c>
      <c r="W45" s="347">
        <v>0</v>
      </c>
      <c r="X45" s="14" t="s">
        <v>5</v>
      </c>
      <c r="Y45" s="346" t="s">
        <v>413</v>
      </c>
      <c r="Z45" s="14" t="str">
        <f>IF(ISBLANK(LCI_Table[[#This Row],[Notes for user]])," ",LCI_Table[[#This Row],[Notes for user]])</f>
        <v xml:space="preserve"> </v>
      </c>
      <c r="AA45" s="14"/>
      <c r="AB45" s="14"/>
      <c r="AC45" s="346">
        <f ca="1">LCI_Table[[#This Row],[Default Calculated Value]]-LCI_Table[[#This Row],[Calculated Value]]</f>
        <v>0</v>
      </c>
    </row>
    <row r="46" spans="1:29" x14ac:dyDescent="0.3">
      <c r="A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pond_Palm_Farming_Natural_gasNatural gas</v>
      </c>
      <c r="B46" s="14" t="s">
        <v>122</v>
      </c>
      <c r="C46" s="14" t="s">
        <v>30</v>
      </c>
      <c r="D46" s="14" t="s">
        <v>29</v>
      </c>
      <c r="E46" s="48" t="s">
        <v>29</v>
      </c>
      <c r="F46" s="14" t="s">
        <v>123</v>
      </c>
      <c r="G46" s="14" t="b">
        <f>OR(LCI_Table[[#This Row],[Feedstock]]="All",LCI_Table[[#This Row],[Feedstock]]=SelectedFeedstock)</f>
        <v>0</v>
      </c>
      <c r="H46" s="14" t="b">
        <f>OR(LCI_Table[[#This Row],[Conversion]]="All",LCI_Table[[#This Row],[Conversion]]=SelectedConversion)</f>
        <v>1</v>
      </c>
      <c r="I46" s="14" t="b">
        <f>OR(LCI_Table[[#This Row],[Data Set]]="all",LCI_Table[[#This Row],[Data Set]]=SelectedDataSet)</f>
        <v>1</v>
      </c>
      <c r="J46" s="14" t="b">
        <f>OR(LCI_Table[[#This Row],[Technology]]="All",LCI_Table[[#This Row],[Technology]]=SelectedTechnology)</f>
        <v>0</v>
      </c>
      <c r="K46" s="14" t="b">
        <f>OR(LCI_Table[[#This Row],[Data Source]]="All",LCI_Table[[#This Row],[Data Source]]=SelectedDataSource)</f>
        <v>1</v>
      </c>
      <c r="L46" s="14" t="b">
        <f>TRUE</f>
        <v>1</v>
      </c>
      <c r="M46" s="14" t="b">
        <f>(LCI_Table[[#This Row],[Dev Notes]]="Do not display")</f>
        <v>0</v>
      </c>
      <c r="N46" s="14" t="b">
        <f>AND(LCI_Table[[#This Row],[Show Feedstock]:[Conditional]],NOT(LCI_Table[[#This Row],[Hide Row]]))</f>
        <v>0</v>
      </c>
      <c r="O46" s="14" t="b">
        <f>LCI_Table[[#This Row],[GREET1 Name Range]]=""</f>
        <v>0</v>
      </c>
      <c r="P46" s="14" t="s">
        <v>14</v>
      </c>
      <c r="Q46" s="14" t="s">
        <v>758</v>
      </c>
      <c r="R46" s="14" t="s">
        <v>108</v>
      </c>
      <c r="S46" s="37" cm="1">
        <f t="array" aca="1" ref="S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6" s="346" t="s">
        <v>2109</v>
      </c>
      <c r="U46" s="347">
        <f ca="1">S46*Fuel_Specs!$B$79/S36</f>
        <v>0</v>
      </c>
      <c r="V46" s="347">
        <v>0</v>
      </c>
      <c r="W46" s="347">
        <v>0</v>
      </c>
      <c r="X46" s="14" t="s">
        <v>351</v>
      </c>
      <c r="Y46" s="346" t="s">
        <v>413</v>
      </c>
      <c r="Z46" s="14" t="str">
        <f>IF(ISBLANK(LCI_Table[[#This Row],[Notes for user]])," ",LCI_Table[[#This Row],[Notes for user]])</f>
        <v xml:space="preserve"> </v>
      </c>
      <c r="AA46" s="14"/>
      <c r="AB46" s="14"/>
      <c r="AC46" s="346">
        <f ca="1">LCI_Table[[#This Row],[Default Calculated Value]]-LCI_Table[[#This Row],[Calculated Value]]</f>
        <v>0</v>
      </c>
    </row>
    <row r="47" spans="1:29" x14ac:dyDescent="0.3">
      <c r="A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pond_Palm_Farming_CoalCoal</v>
      </c>
      <c r="B47" s="14" t="s">
        <v>122</v>
      </c>
      <c r="C47" s="14" t="s">
        <v>30</v>
      </c>
      <c r="D47" s="14" t="s">
        <v>29</v>
      </c>
      <c r="E47" s="48" t="s">
        <v>29</v>
      </c>
      <c r="F47" s="14" t="s">
        <v>123</v>
      </c>
      <c r="G47" s="14" t="b">
        <f>OR(LCI_Table[[#This Row],[Feedstock]]="All",LCI_Table[[#This Row],[Feedstock]]=SelectedFeedstock)</f>
        <v>0</v>
      </c>
      <c r="H47" s="14" t="b">
        <f>OR(LCI_Table[[#This Row],[Conversion]]="All",LCI_Table[[#This Row],[Conversion]]=SelectedConversion)</f>
        <v>1</v>
      </c>
      <c r="I47" s="14" t="b">
        <f>OR(LCI_Table[[#This Row],[Data Set]]="all",LCI_Table[[#This Row],[Data Set]]=SelectedDataSet)</f>
        <v>1</v>
      </c>
      <c r="J47" s="14" t="b">
        <f>OR(LCI_Table[[#This Row],[Technology]]="All",LCI_Table[[#This Row],[Technology]]=SelectedTechnology)</f>
        <v>0</v>
      </c>
      <c r="K47" s="14" t="b">
        <f>OR(LCI_Table[[#This Row],[Data Source]]="All",LCI_Table[[#This Row],[Data Source]]=SelectedDataSource)</f>
        <v>1</v>
      </c>
      <c r="L47" s="14" t="b">
        <f>TRUE</f>
        <v>1</v>
      </c>
      <c r="M47" s="14" t="b">
        <f>(LCI_Table[[#This Row],[Dev Notes]]="Do not display")</f>
        <v>0</v>
      </c>
      <c r="N47" s="14" t="b">
        <f>AND(LCI_Table[[#This Row],[Show Feedstock]:[Conditional]],NOT(LCI_Table[[#This Row],[Hide Row]]))</f>
        <v>0</v>
      </c>
      <c r="O47" s="14" t="b">
        <f>LCI_Table[[#This Row],[GREET1 Name Range]]=""</f>
        <v>0</v>
      </c>
      <c r="P47" s="14" t="s">
        <v>14</v>
      </c>
      <c r="Q47" s="14" t="s">
        <v>750</v>
      </c>
      <c r="R47" s="14" t="s">
        <v>9</v>
      </c>
      <c r="S47" s="37" cm="1">
        <f t="array" aca="1" ref="S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7" s="346" t="s">
        <v>2110</v>
      </c>
      <c r="U47" s="347">
        <f ca="1">S47/S36</f>
        <v>0</v>
      </c>
      <c r="V47" s="347">
        <v>0</v>
      </c>
      <c r="W47" s="347">
        <v>0</v>
      </c>
      <c r="X47" s="14" t="s">
        <v>117</v>
      </c>
      <c r="Y47" s="346" t="s">
        <v>413</v>
      </c>
      <c r="Z47" s="14" t="str">
        <f>IF(ISBLANK(LCI_Table[[#This Row],[Notes for user]])," ",LCI_Table[[#This Row],[Notes for user]])</f>
        <v xml:space="preserve"> </v>
      </c>
      <c r="AA47" s="14"/>
      <c r="AB47" s="14"/>
      <c r="AC47" s="346">
        <f ca="1">LCI_Table[[#This Row],[Default Calculated Value]]-LCI_Table[[#This Row],[Calculated Value]]</f>
        <v>0</v>
      </c>
    </row>
    <row r="48" spans="1:29" x14ac:dyDescent="0.3">
      <c r="A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pond_Palm_Farming_LPGLPG</v>
      </c>
      <c r="B48" s="14" t="s">
        <v>122</v>
      </c>
      <c r="C48" s="14" t="s">
        <v>30</v>
      </c>
      <c r="D48" s="14" t="s">
        <v>29</v>
      </c>
      <c r="E48" s="48" t="s">
        <v>29</v>
      </c>
      <c r="F48" s="14" t="s">
        <v>123</v>
      </c>
      <c r="G48" s="14" t="b">
        <f>OR(LCI_Table[[#This Row],[Feedstock]]="All",LCI_Table[[#This Row],[Feedstock]]=SelectedFeedstock)</f>
        <v>0</v>
      </c>
      <c r="H48" s="14" t="b">
        <f>OR(LCI_Table[[#This Row],[Conversion]]="All",LCI_Table[[#This Row],[Conversion]]=SelectedConversion)</f>
        <v>1</v>
      </c>
      <c r="I48" s="14" t="b">
        <f>OR(LCI_Table[[#This Row],[Data Set]]="all",LCI_Table[[#This Row],[Data Set]]=SelectedDataSet)</f>
        <v>1</v>
      </c>
      <c r="J48" s="14" t="b">
        <f>OR(LCI_Table[[#This Row],[Technology]]="All",LCI_Table[[#This Row],[Technology]]=SelectedTechnology)</f>
        <v>0</v>
      </c>
      <c r="K48" s="14" t="b">
        <f>OR(LCI_Table[[#This Row],[Data Source]]="All",LCI_Table[[#This Row],[Data Source]]=SelectedDataSource)</f>
        <v>1</v>
      </c>
      <c r="L48" s="14" t="b">
        <f>TRUE</f>
        <v>1</v>
      </c>
      <c r="M48" s="14" t="b">
        <f>(LCI_Table[[#This Row],[Dev Notes]]="Do not display")</f>
        <v>0</v>
      </c>
      <c r="N48" s="14" t="b">
        <f>AND(LCI_Table[[#This Row],[Show Feedstock]:[Conditional]],NOT(LCI_Table[[#This Row],[Hide Row]]))</f>
        <v>0</v>
      </c>
      <c r="O48" s="14" t="b">
        <f>LCI_Table[[#This Row],[GREET1 Name Range]]=""</f>
        <v>0</v>
      </c>
      <c r="P48" s="14" t="s">
        <v>14</v>
      </c>
      <c r="Q48" s="14" t="s">
        <v>757</v>
      </c>
      <c r="R48" s="14" t="s">
        <v>109</v>
      </c>
      <c r="S48" s="37" cm="1">
        <f t="array" aca="1" ref="S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8" s="346" t="s">
        <v>1484</v>
      </c>
      <c r="U48" s="347">
        <f ca="1">S48*Fuel_Specs!$B$35/S36</f>
        <v>0</v>
      </c>
      <c r="V48" s="347">
        <v>0</v>
      </c>
      <c r="W48" s="347">
        <v>0</v>
      </c>
      <c r="X48" s="14" t="s">
        <v>5</v>
      </c>
      <c r="Y48" s="346" t="s">
        <v>413</v>
      </c>
      <c r="Z48" s="14" t="str">
        <f>IF(ISBLANK(LCI_Table[[#This Row],[Notes for user]])," ",LCI_Table[[#This Row],[Notes for user]])</f>
        <v xml:space="preserve"> </v>
      </c>
      <c r="AA48" s="14"/>
      <c r="AB48" s="14"/>
      <c r="AC48" s="346">
        <f ca="1">LCI_Table[[#This Row],[Default Calculated Value]]-LCI_Table[[#This Row],[Calculated Value]]</f>
        <v>0</v>
      </c>
    </row>
    <row r="49" spans="1:29" x14ac:dyDescent="0.3">
      <c r="A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pond_Palm_Farming_ElectricityElectricity</v>
      </c>
      <c r="B49" s="14" t="s">
        <v>122</v>
      </c>
      <c r="C49" s="14" t="s">
        <v>30</v>
      </c>
      <c r="D49" s="14" t="s">
        <v>29</v>
      </c>
      <c r="E49" s="48" t="s">
        <v>29</v>
      </c>
      <c r="F49" s="14" t="s">
        <v>123</v>
      </c>
      <c r="G49" s="14" t="b">
        <f>OR(LCI_Table[[#This Row],[Feedstock]]="All",LCI_Table[[#This Row],[Feedstock]]=SelectedFeedstock)</f>
        <v>0</v>
      </c>
      <c r="H49" s="14" t="b">
        <f>OR(LCI_Table[[#This Row],[Conversion]]="All",LCI_Table[[#This Row],[Conversion]]=SelectedConversion)</f>
        <v>1</v>
      </c>
      <c r="I49" s="14" t="b">
        <f>OR(LCI_Table[[#This Row],[Data Set]]="all",LCI_Table[[#This Row],[Data Set]]=SelectedDataSet)</f>
        <v>1</v>
      </c>
      <c r="J49" s="14" t="b">
        <f>OR(LCI_Table[[#This Row],[Technology]]="All",LCI_Table[[#This Row],[Technology]]=SelectedTechnology)</f>
        <v>0</v>
      </c>
      <c r="K49" s="14" t="b">
        <f>OR(LCI_Table[[#This Row],[Data Source]]="All",LCI_Table[[#This Row],[Data Source]]=SelectedDataSource)</f>
        <v>1</v>
      </c>
      <c r="L49" s="14" t="b">
        <f>TRUE</f>
        <v>1</v>
      </c>
      <c r="M49" s="14" t="b">
        <f>(LCI_Table[[#This Row],[Dev Notes]]="Do not display")</f>
        <v>0</v>
      </c>
      <c r="N49" s="14" t="b">
        <f>AND(LCI_Table[[#This Row],[Show Feedstock]:[Conditional]],NOT(LCI_Table[[#This Row],[Hide Row]]))</f>
        <v>0</v>
      </c>
      <c r="O49" s="14" t="b">
        <f>LCI_Table[[#This Row],[GREET1 Name Range]]=""</f>
        <v>0</v>
      </c>
      <c r="P49" s="14" t="s">
        <v>14</v>
      </c>
      <c r="Q49" s="14" t="s">
        <v>752</v>
      </c>
      <c r="R49" s="14" t="s">
        <v>110</v>
      </c>
      <c r="S49" s="37" cm="1">
        <f t="array" aca="1" ref="S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9" s="346" t="s">
        <v>1561</v>
      </c>
      <c r="U49" s="347">
        <f ca="1">S49/BTU2kWh/S36</f>
        <v>0</v>
      </c>
      <c r="V49" s="347">
        <v>0</v>
      </c>
      <c r="W49" s="347">
        <v>0</v>
      </c>
      <c r="X49" s="14" t="s">
        <v>51</v>
      </c>
      <c r="Y49" s="346" t="s">
        <v>413</v>
      </c>
      <c r="Z49" s="14" t="str">
        <f>IF(ISBLANK(LCI_Table[[#This Row],[Notes for user]])," ",LCI_Table[[#This Row],[Notes for user]])</f>
        <v xml:space="preserve"> </v>
      </c>
      <c r="AA49" s="14"/>
      <c r="AB49" s="14"/>
      <c r="AC49" s="346">
        <f ca="1">LCI_Table[[#This Row],[Default Calculated Value]]-LCI_Table[[#This Row],[Calculated Value]]</f>
        <v>0</v>
      </c>
    </row>
    <row r="50" spans="1:29" x14ac:dyDescent="0.3">
      <c r="A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dash_PalmHEFAGREETGREETClosed pond_Palm FFB_Extraction</v>
      </c>
      <c r="B50" s="14" t="s">
        <v>122</v>
      </c>
      <c r="C50" s="14" t="s">
        <v>30</v>
      </c>
      <c r="D50" s="14" t="s">
        <v>29</v>
      </c>
      <c r="E50" s="48" t="s">
        <v>29</v>
      </c>
      <c r="F50" s="14" t="s">
        <v>123</v>
      </c>
      <c r="G50" s="14" t="b">
        <f>OR(LCI_Table[[#This Row],[Feedstock]]="All",LCI_Table[[#This Row],[Feedstock]]=SelectedFeedstock)</f>
        <v>0</v>
      </c>
      <c r="H50" s="14" t="b">
        <f>OR(LCI_Table[[#This Row],[Conversion]]="All",LCI_Table[[#This Row],[Conversion]]=SelectedConversion)</f>
        <v>1</v>
      </c>
      <c r="I50" s="14" t="b">
        <f>OR(LCI_Table[[#This Row],[Data Set]]="all",LCI_Table[[#This Row],[Data Set]]=SelectedDataSet)</f>
        <v>1</v>
      </c>
      <c r="J50" s="14" t="b">
        <f>OR(LCI_Table[[#This Row],[Technology]]="All",LCI_Table[[#This Row],[Technology]]=SelectedTechnology)</f>
        <v>0</v>
      </c>
      <c r="K50" s="14" t="b">
        <f>OR(LCI_Table[[#This Row],[Data Source]]="All",LCI_Table[[#This Row],[Data Source]]=SelectedDataSource)</f>
        <v>1</v>
      </c>
      <c r="L50" s="14" t="b">
        <f>TRUE</f>
        <v>1</v>
      </c>
      <c r="M50" s="14" t="b">
        <f>(LCI_Table[[#This Row],[Dev Notes]]="Do not display")</f>
        <v>1</v>
      </c>
      <c r="N50" s="14" t="b">
        <f>AND(LCI_Table[[#This Row],[Show Feedstock]:[Conditional]],NOT(LCI_Table[[#This Row],[Hide Row]]))</f>
        <v>0</v>
      </c>
      <c r="O50" s="14" t="b">
        <f>LCI_Table[[#This Row],[GREET1 Name Range]]=""</f>
        <v>1</v>
      </c>
      <c r="P50" s="14" t="s">
        <v>15</v>
      </c>
      <c r="Q50" s="14" t="s">
        <v>361</v>
      </c>
      <c r="R50" s="14" t="s">
        <v>358</v>
      </c>
      <c r="S50" s="37" cm="1">
        <f t="array" aca="1" ref="S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3.7477200231027479</v>
      </c>
      <c r="T50" s="346" t="s">
        <v>2111</v>
      </c>
      <c r="U50" s="347">
        <f ca="1">S50/MT2lb</f>
        <v>1.69993720737563E-3</v>
      </c>
      <c r="V50" s="347">
        <v>3.7477200231027479</v>
      </c>
      <c r="W50" s="347">
        <v>1.69993720737563E-3</v>
      </c>
      <c r="X50" s="14" t="s">
        <v>12</v>
      </c>
      <c r="Y50" s="346" t="s">
        <v>891</v>
      </c>
      <c r="Z50" s="14" t="str">
        <f>IF(ISBLANK(LCI_Table[[#This Row],[Notes for user]])," ",LCI_Table[[#This Row],[Notes for user]])</f>
        <v xml:space="preserve"> </v>
      </c>
      <c r="AA50" s="348"/>
      <c r="AB50" s="348" t="s">
        <v>1138</v>
      </c>
      <c r="AC50" s="346">
        <f ca="1">LCI_Table[[#This Row],[Default Calculated Value]]-LCI_Table[[#This Row],[Calculated Value]]</f>
        <v>0</v>
      </c>
    </row>
    <row r="51" spans="1:29" x14ac:dyDescent="0.3">
      <c r="A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pond_Palm_Extraction_Residual_oilResidual oil</v>
      </c>
      <c r="B51" s="14" t="s">
        <v>122</v>
      </c>
      <c r="C51" s="14" t="s">
        <v>30</v>
      </c>
      <c r="D51" s="14" t="s">
        <v>29</v>
      </c>
      <c r="E51" s="48" t="s">
        <v>29</v>
      </c>
      <c r="F51" s="14" t="s">
        <v>123</v>
      </c>
      <c r="G51" s="14" t="b">
        <f>OR(LCI_Table[[#This Row],[Feedstock]]="All",LCI_Table[[#This Row],[Feedstock]]=SelectedFeedstock)</f>
        <v>0</v>
      </c>
      <c r="H51" s="14" t="b">
        <f>OR(LCI_Table[[#This Row],[Conversion]]="All",LCI_Table[[#This Row],[Conversion]]=SelectedConversion)</f>
        <v>1</v>
      </c>
      <c r="I51" s="14" t="b">
        <f>OR(LCI_Table[[#This Row],[Data Set]]="all",LCI_Table[[#This Row],[Data Set]]=SelectedDataSet)</f>
        <v>1</v>
      </c>
      <c r="J51" s="14" t="b">
        <f>OR(LCI_Table[[#This Row],[Technology]]="All",LCI_Table[[#This Row],[Technology]]=SelectedTechnology)</f>
        <v>0</v>
      </c>
      <c r="K51" s="14" t="b">
        <f>OR(LCI_Table[[#This Row],[Data Source]]="All",LCI_Table[[#This Row],[Data Source]]=SelectedDataSource)</f>
        <v>1</v>
      </c>
      <c r="L51" s="14" t="b">
        <f>TRUE</f>
        <v>1</v>
      </c>
      <c r="M51" s="14" t="b">
        <f>(LCI_Table[[#This Row],[Dev Notes]]="Do not display")</f>
        <v>0</v>
      </c>
      <c r="N51" s="14" t="b">
        <f>AND(LCI_Table[[#This Row],[Show Feedstock]:[Conditional]],NOT(LCI_Table[[#This Row],[Hide Row]]))</f>
        <v>0</v>
      </c>
      <c r="O51" s="14" t="b">
        <f>LCI_Table[[#This Row],[GREET1 Name Range]]=""</f>
        <v>0</v>
      </c>
      <c r="P51" s="14" t="s">
        <v>15</v>
      </c>
      <c r="Q51" s="14" t="s">
        <v>748</v>
      </c>
      <c r="R51" s="14" t="s">
        <v>115</v>
      </c>
      <c r="S51" s="37" cm="1">
        <f t="array" aca="1" ref="S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1" s="346" t="s">
        <v>2112</v>
      </c>
      <c r="U51" s="347">
        <f ca="1">S51*Fuel_Specs!$B$28</f>
        <v>0</v>
      </c>
      <c r="V51" s="347">
        <v>0</v>
      </c>
      <c r="W51" s="347">
        <v>0</v>
      </c>
      <c r="X51" s="14" t="s">
        <v>5</v>
      </c>
      <c r="Y51" s="346" t="s">
        <v>891</v>
      </c>
      <c r="Z51" s="14" t="str">
        <f>IF(ISBLANK(LCI_Table[[#This Row],[Notes for user]])," ",LCI_Table[[#This Row],[Notes for user]])</f>
        <v xml:space="preserve"> </v>
      </c>
      <c r="AA51" s="14"/>
      <c r="AB51" s="14"/>
      <c r="AC51" s="346">
        <f ca="1">LCI_Table[[#This Row],[Default Calculated Value]]-LCI_Table[[#This Row],[Calculated Value]]</f>
        <v>0</v>
      </c>
    </row>
    <row r="52" spans="1:29" x14ac:dyDescent="0.3">
      <c r="A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pond_Palm_Extraction_DieselDiesel</v>
      </c>
      <c r="B52" s="14" t="s">
        <v>122</v>
      </c>
      <c r="C52" s="14" t="s">
        <v>30</v>
      </c>
      <c r="D52" s="14" t="s">
        <v>29</v>
      </c>
      <c r="E52" s="48" t="s">
        <v>29</v>
      </c>
      <c r="F52" s="14" t="s">
        <v>123</v>
      </c>
      <c r="G52" s="14" t="b">
        <f>OR(LCI_Table[[#This Row],[Feedstock]]="All",LCI_Table[[#This Row],[Feedstock]]=SelectedFeedstock)</f>
        <v>0</v>
      </c>
      <c r="H52" s="14" t="b">
        <f>OR(LCI_Table[[#This Row],[Conversion]]="All",LCI_Table[[#This Row],[Conversion]]=SelectedConversion)</f>
        <v>1</v>
      </c>
      <c r="I52" s="14" t="b">
        <f>OR(LCI_Table[[#This Row],[Data Set]]="all",LCI_Table[[#This Row],[Data Set]]=SelectedDataSet)</f>
        <v>1</v>
      </c>
      <c r="J52" s="14" t="b">
        <f>OR(LCI_Table[[#This Row],[Technology]]="All",LCI_Table[[#This Row],[Technology]]=SelectedTechnology)</f>
        <v>0</v>
      </c>
      <c r="K52" s="14" t="b">
        <f>OR(LCI_Table[[#This Row],[Data Source]]="All",LCI_Table[[#This Row],[Data Source]]=SelectedDataSource)</f>
        <v>1</v>
      </c>
      <c r="L52" s="14" t="b">
        <f>TRUE</f>
        <v>1</v>
      </c>
      <c r="M52" s="14" t="b">
        <f>(LCI_Table[[#This Row],[Dev Notes]]="Do not display")</f>
        <v>0</v>
      </c>
      <c r="N52" s="14" t="b">
        <f>AND(LCI_Table[[#This Row],[Show Feedstock]:[Conditional]],NOT(LCI_Table[[#This Row],[Hide Row]]))</f>
        <v>0</v>
      </c>
      <c r="O52" s="14" t="b">
        <f>LCI_Table[[#This Row],[GREET1 Name Range]]=""</f>
        <v>0</v>
      </c>
      <c r="P52" s="14" t="s">
        <v>15</v>
      </c>
      <c r="Q52" s="14" t="s">
        <v>740</v>
      </c>
      <c r="R52" s="14" t="s">
        <v>106</v>
      </c>
      <c r="S52" s="37" cm="1">
        <f t="array" aca="1" ref="S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2.8804982483456596E-4</v>
      </c>
      <c r="T52" s="346" t="s">
        <v>2112</v>
      </c>
      <c r="U52" s="347">
        <f ca="1">S52*Fuel_Specs!$B$19</f>
        <v>37</v>
      </c>
      <c r="V52" s="347">
        <v>2.8804982483456596E-4</v>
      </c>
      <c r="W52" s="347">
        <v>37</v>
      </c>
      <c r="X52" s="14" t="s">
        <v>5</v>
      </c>
      <c r="Y52" s="346" t="s">
        <v>891</v>
      </c>
      <c r="Z52" s="14" t="str">
        <f>IF(ISBLANK(LCI_Table[[#This Row],[Notes for user]])," ",LCI_Table[[#This Row],[Notes for user]])</f>
        <v xml:space="preserve"> </v>
      </c>
      <c r="AA52" s="14"/>
      <c r="AB52" s="14"/>
      <c r="AC52" s="346">
        <f ca="1">LCI_Table[[#This Row],[Default Calculated Value]]-LCI_Table[[#This Row],[Calculated Value]]</f>
        <v>0</v>
      </c>
    </row>
    <row r="53" spans="1:29" x14ac:dyDescent="0.3">
      <c r="A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pond_Palm_Extraction_GasolineGasoline</v>
      </c>
      <c r="B53" s="14" t="s">
        <v>122</v>
      </c>
      <c r="C53" s="14" t="s">
        <v>30</v>
      </c>
      <c r="D53" s="14" t="s">
        <v>29</v>
      </c>
      <c r="E53" s="48" t="s">
        <v>29</v>
      </c>
      <c r="F53" s="14" t="s">
        <v>123</v>
      </c>
      <c r="G53" s="14" t="b">
        <f>OR(LCI_Table[[#This Row],[Feedstock]]="All",LCI_Table[[#This Row],[Feedstock]]=SelectedFeedstock)</f>
        <v>0</v>
      </c>
      <c r="H53" s="14" t="b">
        <f>OR(LCI_Table[[#This Row],[Conversion]]="All",LCI_Table[[#This Row],[Conversion]]=SelectedConversion)</f>
        <v>1</v>
      </c>
      <c r="I53" s="14" t="b">
        <f>OR(LCI_Table[[#This Row],[Data Set]]="all",LCI_Table[[#This Row],[Data Set]]=SelectedDataSet)</f>
        <v>1</v>
      </c>
      <c r="J53" s="14" t="b">
        <f>OR(LCI_Table[[#This Row],[Technology]]="All",LCI_Table[[#This Row],[Technology]]=SelectedTechnology)</f>
        <v>0</v>
      </c>
      <c r="K53" s="14" t="b">
        <f>OR(LCI_Table[[#This Row],[Data Source]]="All",LCI_Table[[#This Row],[Data Source]]=SelectedDataSource)</f>
        <v>1</v>
      </c>
      <c r="L53" s="14" t="b">
        <f>TRUE</f>
        <v>1</v>
      </c>
      <c r="M53" s="14" t="b">
        <f>(LCI_Table[[#This Row],[Dev Notes]]="Do not display")</f>
        <v>0</v>
      </c>
      <c r="N53" s="14" t="b">
        <f>AND(LCI_Table[[#This Row],[Show Feedstock]:[Conditional]],NOT(LCI_Table[[#This Row],[Hide Row]]))</f>
        <v>0</v>
      </c>
      <c r="O53" s="14" t="b">
        <f>LCI_Table[[#This Row],[GREET1 Name Range]]=""</f>
        <v>0</v>
      </c>
      <c r="P53" s="14" t="s">
        <v>15</v>
      </c>
      <c r="Q53" s="14" t="s">
        <v>743</v>
      </c>
      <c r="R53" s="14" t="s">
        <v>107</v>
      </c>
      <c r="S53" s="37" cm="1">
        <f t="array" aca="1" ref="S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3" s="346" t="s">
        <v>2112</v>
      </c>
      <c r="U53" s="347">
        <f ca="1">S53*Fuel_Specs!$B$15</f>
        <v>0</v>
      </c>
      <c r="V53" s="347">
        <v>0</v>
      </c>
      <c r="W53" s="347">
        <v>0</v>
      </c>
      <c r="X53" s="14" t="s">
        <v>5</v>
      </c>
      <c r="Y53" s="346" t="s">
        <v>891</v>
      </c>
      <c r="Z53" s="14" t="str">
        <f>IF(ISBLANK(LCI_Table[[#This Row],[Notes for user]])," ",LCI_Table[[#This Row],[Notes for user]])</f>
        <v xml:space="preserve"> </v>
      </c>
      <c r="AA53" s="14"/>
      <c r="AB53" s="14"/>
      <c r="AC53" s="346">
        <f ca="1">LCI_Table[[#This Row],[Default Calculated Value]]-LCI_Table[[#This Row],[Calculated Value]]</f>
        <v>0</v>
      </c>
    </row>
    <row r="54" spans="1:29" x14ac:dyDescent="0.3">
      <c r="A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pond_Palm_Extraction_Natural_gasNatural gas</v>
      </c>
      <c r="B54" s="14" t="s">
        <v>122</v>
      </c>
      <c r="C54" s="14" t="s">
        <v>30</v>
      </c>
      <c r="D54" s="14" t="s">
        <v>29</v>
      </c>
      <c r="E54" s="48" t="s">
        <v>29</v>
      </c>
      <c r="F54" s="14" t="s">
        <v>123</v>
      </c>
      <c r="G54" s="14" t="b">
        <f>OR(LCI_Table[[#This Row],[Feedstock]]="All",LCI_Table[[#This Row],[Feedstock]]=SelectedFeedstock)</f>
        <v>0</v>
      </c>
      <c r="H54" s="14" t="b">
        <f>OR(LCI_Table[[#This Row],[Conversion]]="All",LCI_Table[[#This Row],[Conversion]]=SelectedConversion)</f>
        <v>1</v>
      </c>
      <c r="I54" s="14" t="b">
        <f>OR(LCI_Table[[#This Row],[Data Set]]="all",LCI_Table[[#This Row],[Data Set]]=SelectedDataSet)</f>
        <v>1</v>
      </c>
      <c r="J54" s="14" t="b">
        <f>OR(LCI_Table[[#This Row],[Technology]]="All",LCI_Table[[#This Row],[Technology]]=SelectedTechnology)</f>
        <v>0</v>
      </c>
      <c r="K54" s="14" t="b">
        <f>OR(LCI_Table[[#This Row],[Data Source]]="All",LCI_Table[[#This Row],[Data Source]]=SelectedDataSource)</f>
        <v>1</v>
      </c>
      <c r="L54" s="14" t="b">
        <f>TRUE</f>
        <v>1</v>
      </c>
      <c r="M54" s="14" t="b">
        <f>(LCI_Table[[#This Row],[Dev Notes]]="Do not display")</f>
        <v>0</v>
      </c>
      <c r="N54" s="14" t="b">
        <f>AND(LCI_Table[[#This Row],[Show Feedstock]:[Conditional]],NOT(LCI_Table[[#This Row],[Hide Row]]))</f>
        <v>0</v>
      </c>
      <c r="O54" s="14" t="b">
        <f>LCI_Table[[#This Row],[GREET1 Name Range]]=""</f>
        <v>0</v>
      </c>
      <c r="P54" s="14" t="s">
        <v>15</v>
      </c>
      <c r="Q54" s="14" t="s">
        <v>747</v>
      </c>
      <c r="R54" s="14" t="s">
        <v>108</v>
      </c>
      <c r="S54" s="37" cm="1">
        <f t="array" aca="1" ref="S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4" s="346" t="s">
        <v>2113</v>
      </c>
      <c r="U54" s="347">
        <f ca="1">S54*Fuel_Specs!$B$79</f>
        <v>0</v>
      </c>
      <c r="V54" s="347">
        <v>0</v>
      </c>
      <c r="W54" s="347">
        <v>0</v>
      </c>
      <c r="X54" s="14" t="s">
        <v>351</v>
      </c>
      <c r="Y54" s="346" t="s">
        <v>891</v>
      </c>
      <c r="Z54" s="14" t="str">
        <f>IF(ISBLANK(LCI_Table[[#This Row],[Notes for user]])," ",LCI_Table[[#This Row],[Notes for user]])</f>
        <v xml:space="preserve"> </v>
      </c>
      <c r="AA54" s="14"/>
      <c r="AB54" s="14"/>
      <c r="AC54" s="346">
        <f ca="1">LCI_Table[[#This Row],[Default Calculated Value]]-LCI_Table[[#This Row],[Calculated Value]]</f>
        <v>0</v>
      </c>
    </row>
    <row r="55" spans="1:29" x14ac:dyDescent="0.3">
      <c r="A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pond_Palm_Extraction_CoalCoal</v>
      </c>
      <c r="B55" s="14" t="s">
        <v>122</v>
      </c>
      <c r="C55" s="14" t="s">
        <v>30</v>
      </c>
      <c r="D55" s="14" t="s">
        <v>29</v>
      </c>
      <c r="E55" s="48" t="s">
        <v>29</v>
      </c>
      <c r="F55" s="14" t="s">
        <v>123</v>
      </c>
      <c r="G55" s="14" t="b">
        <f>OR(LCI_Table[[#This Row],[Feedstock]]="All",LCI_Table[[#This Row],[Feedstock]]=SelectedFeedstock)</f>
        <v>0</v>
      </c>
      <c r="H55" s="14" t="b">
        <f>OR(LCI_Table[[#This Row],[Conversion]]="All",LCI_Table[[#This Row],[Conversion]]=SelectedConversion)</f>
        <v>1</v>
      </c>
      <c r="I55" s="14" t="b">
        <f>OR(LCI_Table[[#This Row],[Data Set]]="all",LCI_Table[[#This Row],[Data Set]]=SelectedDataSet)</f>
        <v>1</v>
      </c>
      <c r="J55" s="14" t="b">
        <f>OR(LCI_Table[[#This Row],[Technology]]="All",LCI_Table[[#This Row],[Technology]]=SelectedTechnology)</f>
        <v>0</v>
      </c>
      <c r="K55" s="14" t="b">
        <f>OR(LCI_Table[[#This Row],[Data Source]]="All",LCI_Table[[#This Row],[Data Source]]=SelectedDataSource)</f>
        <v>1</v>
      </c>
      <c r="L55" s="14" t="b">
        <f>TRUE</f>
        <v>1</v>
      </c>
      <c r="M55" s="14" t="b">
        <f>(LCI_Table[[#This Row],[Dev Notes]]="Do not display")</f>
        <v>0</v>
      </c>
      <c r="N55" s="14" t="b">
        <f>AND(LCI_Table[[#This Row],[Show Feedstock]:[Conditional]],NOT(LCI_Table[[#This Row],[Hide Row]]))</f>
        <v>0</v>
      </c>
      <c r="O55" s="14" t="b">
        <f>LCI_Table[[#This Row],[GREET1 Name Range]]=""</f>
        <v>0</v>
      </c>
      <c r="P55" s="14" t="s">
        <v>15</v>
      </c>
      <c r="Q55" s="14" t="s">
        <v>739</v>
      </c>
      <c r="R55" s="14" t="s">
        <v>9</v>
      </c>
      <c r="S55" s="37" cm="1">
        <f t="array" aca="1" ref="S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5" s="346" t="s">
        <v>2114</v>
      </c>
      <c r="U55" s="347">
        <f ca="1">S55</f>
        <v>0</v>
      </c>
      <c r="V55" s="347">
        <v>0</v>
      </c>
      <c r="W55" s="347">
        <v>0</v>
      </c>
      <c r="X55" s="14" t="s">
        <v>117</v>
      </c>
      <c r="Y55" s="346" t="s">
        <v>891</v>
      </c>
      <c r="Z55" s="14" t="str">
        <f>IF(ISBLANK(LCI_Table[[#This Row],[Notes for user]])," ",LCI_Table[[#This Row],[Notes for user]])</f>
        <v xml:space="preserve"> </v>
      </c>
      <c r="AA55" s="14"/>
      <c r="AB55" s="14"/>
      <c r="AC55" s="346">
        <f ca="1">LCI_Table[[#This Row],[Default Calculated Value]]-LCI_Table[[#This Row],[Calculated Value]]</f>
        <v>0</v>
      </c>
    </row>
    <row r="56" spans="1:29" x14ac:dyDescent="0.3">
      <c r="A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pond_Palm_Extraction_LPGLPG</v>
      </c>
      <c r="B56" s="14" t="s">
        <v>122</v>
      </c>
      <c r="C56" s="14" t="s">
        <v>30</v>
      </c>
      <c r="D56" s="14" t="s">
        <v>29</v>
      </c>
      <c r="E56" s="48" t="s">
        <v>29</v>
      </c>
      <c r="F56" s="14" t="s">
        <v>123</v>
      </c>
      <c r="G56" s="14" t="b">
        <f>OR(LCI_Table[[#This Row],[Feedstock]]="All",LCI_Table[[#This Row],[Feedstock]]=SelectedFeedstock)</f>
        <v>0</v>
      </c>
      <c r="H56" s="14" t="b">
        <f>OR(LCI_Table[[#This Row],[Conversion]]="All",LCI_Table[[#This Row],[Conversion]]=SelectedConversion)</f>
        <v>1</v>
      </c>
      <c r="I56" s="14" t="b">
        <f>OR(LCI_Table[[#This Row],[Data Set]]="all",LCI_Table[[#This Row],[Data Set]]=SelectedDataSet)</f>
        <v>1</v>
      </c>
      <c r="J56" s="14" t="b">
        <f>OR(LCI_Table[[#This Row],[Technology]]="All",LCI_Table[[#This Row],[Technology]]=SelectedTechnology)</f>
        <v>0</v>
      </c>
      <c r="K56" s="14" t="b">
        <f>OR(LCI_Table[[#This Row],[Data Source]]="All",LCI_Table[[#This Row],[Data Source]]=SelectedDataSource)</f>
        <v>1</v>
      </c>
      <c r="L56" s="14" t="b">
        <f>TRUE</f>
        <v>1</v>
      </c>
      <c r="M56" s="14" t="b">
        <f>(LCI_Table[[#This Row],[Dev Notes]]="Do not display")</f>
        <v>0</v>
      </c>
      <c r="N56" s="14" t="b">
        <f>AND(LCI_Table[[#This Row],[Show Feedstock]:[Conditional]],NOT(LCI_Table[[#This Row],[Hide Row]]))</f>
        <v>0</v>
      </c>
      <c r="O56" s="14" t="b">
        <f>LCI_Table[[#This Row],[GREET1 Name Range]]=""</f>
        <v>0</v>
      </c>
      <c r="P56" s="14" t="s">
        <v>15</v>
      </c>
      <c r="Q56" s="14" t="s">
        <v>745</v>
      </c>
      <c r="R56" s="14" t="s">
        <v>109</v>
      </c>
      <c r="S56" s="37" cm="1">
        <f t="array" aca="1" ref="S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6" s="346" t="s">
        <v>2112</v>
      </c>
      <c r="U56" s="347">
        <f ca="1">S56*Fuel_Specs!$B$35</f>
        <v>0</v>
      </c>
      <c r="V56" s="347">
        <v>0</v>
      </c>
      <c r="W56" s="347">
        <v>0</v>
      </c>
      <c r="X56" s="14" t="s">
        <v>5</v>
      </c>
      <c r="Y56" s="346" t="s">
        <v>891</v>
      </c>
      <c r="Z56" s="14" t="str">
        <f>IF(ISBLANK(LCI_Table[[#This Row],[Notes for user]])," ",LCI_Table[[#This Row],[Notes for user]])</f>
        <v xml:space="preserve"> </v>
      </c>
      <c r="AA56" s="14"/>
      <c r="AB56" s="14"/>
      <c r="AC56" s="346">
        <f ca="1">LCI_Table[[#This Row],[Default Calculated Value]]-LCI_Table[[#This Row],[Calculated Value]]</f>
        <v>0</v>
      </c>
    </row>
    <row r="57" spans="1:29" x14ac:dyDescent="0.3">
      <c r="A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pond_Palm_Extraction_ElectricityElectricity for palm oil extraction</v>
      </c>
      <c r="B57" s="14" t="s">
        <v>122</v>
      </c>
      <c r="C57" s="14" t="s">
        <v>30</v>
      </c>
      <c r="D57" s="14" t="s">
        <v>29</v>
      </c>
      <c r="E57" s="48" t="s">
        <v>29</v>
      </c>
      <c r="F57" s="14" t="s">
        <v>123</v>
      </c>
      <c r="G57" s="14" t="b">
        <f>OR(LCI_Table[[#This Row],[Feedstock]]="All",LCI_Table[[#This Row],[Feedstock]]=SelectedFeedstock)</f>
        <v>0</v>
      </c>
      <c r="H57" s="14" t="b">
        <f>OR(LCI_Table[[#This Row],[Conversion]]="All",LCI_Table[[#This Row],[Conversion]]=SelectedConversion)</f>
        <v>1</v>
      </c>
      <c r="I57" s="14" t="b">
        <f>OR(LCI_Table[[#This Row],[Data Set]]="all",LCI_Table[[#This Row],[Data Set]]=SelectedDataSet)</f>
        <v>1</v>
      </c>
      <c r="J57" s="14" t="b">
        <f>OR(LCI_Table[[#This Row],[Technology]]="All",LCI_Table[[#This Row],[Technology]]=SelectedTechnology)</f>
        <v>0</v>
      </c>
      <c r="K57" s="14" t="b">
        <f>OR(LCI_Table[[#This Row],[Data Source]]="All",LCI_Table[[#This Row],[Data Source]]=SelectedDataSource)</f>
        <v>1</v>
      </c>
      <c r="L57" s="14" t="b">
        <f>TRUE</f>
        <v>1</v>
      </c>
      <c r="M57" s="14" t="b">
        <f>(LCI_Table[[#This Row],[Dev Notes]]="Do not display")</f>
        <v>0</v>
      </c>
      <c r="N57" s="14" t="b">
        <f>AND(LCI_Table[[#This Row],[Show Feedstock]:[Conditional]],NOT(LCI_Table[[#This Row],[Hide Row]]))</f>
        <v>0</v>
      </c>
      <c r="O57" s="14" t="b">
        <f>LCI_Table[[#This Row],[GREET1 Name Range]]=""</f>
        <v>0</v>
      </c>
      <c r="P57" s="14" t="s">
        <v>15</v>
      </c>
      <c r="Q57" s="14" t="s">
        <v>741</v>
      </c>
      <c r="R57" s="14" t="s">
        <v>359</v>
      </c>
      <c r="S57" s="37" cm="1">
        <f t="array" aca="1" ref="S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1.2652405595841666E-2</v>
      </c>
      <c r="T57" s="346" t="s">
        <v>2115</v>
      </c>
      <c r="U57" s="347">
        <f ca="1">S57/BTU2kWh</f>
        <v>43.171799999999998</v>
      </c>
      <c r="V57" s="347">
        <v>1.2652405595841666E-2</v>
      </c>
      <c r="W57" s="347">
        <v>43.171799999999998</v>
      </c>
      <c r="X57" s="14" t="s">
        <v>51</v>
      </c>
      <c r="Y57" s="346" t="s">
        <v>891</v>
      </c>
      <c r="Z57" s="14" t="str">
        <f>IF(ISBLANK(LCI_Table[[#This Row],[Notes for user]])," ",LCI_Table[[#This Row],[Notes for user]])</f>
        <v>Electricity from Indonesia</v>
      </c>
      <c r="AA57" s="14" t="s">
        <v>914</v>
      </c>
      <c r="AB57" s="14" t="s">
        <v>919</v>
      </c>
      <c r="AC57" s="346">
        <f ca="1">LCI_Table[[#This Row],[Default Calculated Value]]-LCI_Table[[#This Row],[Calculated Value]]</f>
        <v>0</v>
      </c>
    </row>
    <row r="58" spans="1:29" x14ac:dyDescent="0.3">
      <c r="A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pond_Palm_Extraction_N_hexaneN-hexane</v>
      </c>
      <c r="B58" s="14" t="s">
        <v>122</v>
      </c>
      <c r="C58" s="14" t="s">
        <v>30</v>
      </c>
      <c r="D58" s="14" t="s">
        <v>29</v>
      </c>
      <c r="E58" s="48" t="s">
        <v>29</v>
      </c>
      <c r="F58" s="14" t="s">
        <v>123</v>
      </c>
      <c r="G58" s="14" t="b">
        <f>OR(LCI_Table[[#This Row],[Feedstock]]="All",LCI_Table[[#This Row],[Feedstock]]=SelectedFeedstock)</f>
        <v>0</v>
      </c>
      <c r="H58" s="14" t="b">
        <f>OR(LCI_Table[[#This Row],[Conversion]]="All",LCI_Table[[#This Row],[Conversion]]=SelectedConversion)</f>
        <v>1</v>
      </c>
      <c r="I58" s="14" t="b">
        <f>OR(LCI_Table[[#This Row],[Data Set]]="all",LCI_Table[[#This Row],[Data Set]]=SelectedDataSet)</f>
        <v>1</v>
      </c>
      <c r="J58" s="14" t="b">
        <f>OR(LCI_Table[[#This Row],[Technology]]="All",LCI_Table[[#This Row],[Technology]]=SelectedTechnology)</f>
        <v>0</v>
      </c>
      <c r="K58" s="14" t="b">
        <f>OR(LCI_Table[[#This Row],[Data Source]]="All",LCI_Table[[#This Row],[Data Source]]=SelectedDataSource)</f>
        <v>1</v>
      </c>
      <c r="L58" s="14" t="b">
        <f>TRUE</f>
        <v>1</v>
      </c>
      <c r="M58" s="14" t="b">
        <f>(LCI_Table[[#This Row],[Dev Notes]]="Do not display")</f>
        <v>0</v>
      </c>
      <c r="N58" s="14" t="b">
        <f>AND(LCI_Table[[#This Row],[Show Feedstock]:[Conditional]],NOT(LCI_Table[[#This Row],[Hide Row]]))</f>
        <v>0</v>
      </c>
      <c r="O58" s="14" t="b">
        <f>LCI_Table[[#This Row],[GREET1 Name Range]]=""</f>
        <v>0</v>
      </c>
      <c r="P58" s="14" t="s">
        <v>15</v>
      </c>
      <c r="Q58" s="14" t="s">
        <v>746</v>
      </c>
      <c r="R58" s="14" t="s">
        <v>116</v>
      </c>
      <c r="S58" s="37" cm="1">
        <f t="array" aca="1" ref="S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8" s="346" t="s">
        <v>2111</v>
      </c>
      <c r="U58" s="347">
        <f ca="1">S58*Fuel_Specs!$B$58*ton2lb</f>
        <v>0</v>
      </c>
      <c r="V58" s="347">
        <v>0</v>
      </c>
      <c r="W58" s="347">
        <v>0</v>
      </c>
      <c r="X58" s="14" t="s">
        <v>12</v>
      </c>
      <c r="Y58" s="346" t="s">
        <v>891</v>
      </c>
      <c r="Z58" s="14" t="str">
        <f>IF(ISBLANK(LCI_Table[[#This Row],[Notes for user]])," ",LCI_Table[[#This Row],[Notes for user]])</f>
        <v xml:space="preserve"> </v>
      </c>
      <c r="AA58" s="14"/>
      <c r="AB58" s="14"/>
      <c r="AC58" s="346">
        <f ca="1">LCI_Table[[#This Row],[Default Calculated Value]]-LCI_Table[[#This Row],[Calculated Value]]</f>
        <v>0</v>
      </c>
    </row>
    <row r="59" spans="1:29" x14ac:dyDescent="0.3">
      <c r="A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pond_Palm_Extraction_Forest_residueForest residue</v>
      </c>
      <c r="B59" s="14" t="s">
        <v>122</v>
      </c>
      <c r="C59" s="14" t="s">
        <v>30</v>
      </c>
      <c r="D59" s="14" t="s">
        <v>29</v>
      </c>
      <c r="E59" s="48" t="s">
        <v>29</v>
      </c>
      <c r="F59" s="14" t="s">
        <v>123</v>
      </c>
      <c r="G59" s="14" t="b">
        <f>OR(LCI_Table[[#This Row],[Feedstock]]="All",LCI_Table[[#This Row],[Feedstock]]=SelectedFeedstock)</f>
        <v>0</v>
      </c>
      <c r="H59" s="14" t="b">
        <f>OR(LCI_Table[[#This Row],[Conversion]]="All",LCI_Table[[#This Row],[Conversion]]=SelectedConversion)</f>
        <v>1</v>
      </c>
      <c r="I59" s="14" t="b">
        <f>OR(LCI_Table[[#This Row],[Data Set]]="all",LCI_Table[[#This Row],[Data Set]]=SelectedDataSet)</f>
        <v>1</v>
      </c>
      <c r="J59" s="14" t="b">
        <f>OR(LCI_Table[[#This Row],[Technology]]="All",LCI_Table[[#This Row],[Technology]]=SelectedTechnology)</f>
        <v>0</v>
      </c>
      <c r="K59" s="14" t="b">
        <f>OR(LCI_Table[[#This Row],[Data Source]]="All",LCI_Table[[#This Row],[Data Source]]=SelectedDataSource)</f>
        <v>1</v>
      </c>
      <c r="L59" s="14" t="b">
        <f>TRUE</f>
        <v>1</v>
      </c>
      <c r="M59" s="14" t="b">
        <f>(LCI_Table[[#This Row],[Dev Notes]]="Do not display")</f>
        <v>0</v>
      </c>
      <c r="N59" s="14" t="b">
        <f>AND(LCI_Table[[#This Row],[Show Feedstock]:[Conditional]],NOT(LCI_Table[[#This Row],[Hide Row]]))</f>
        <v>0</v>
      </c>
      <c r="O59" s="14" t="b">
        <f>LCI_Table[[#This Row],[GREET1 Name Range]]=""</f>
        <v>0</v>
      </c>
      <c r="P59" s="14" t="s">
        <v>15</v>
      </c>
      <c r="Q59" s="14" t="s">
        <v>742</v>
      </c>
      <c r="R59" s="14" t="s">
        <v>316</v>
      </c>
      <c r="S59" s="37" cm="1">
        <f t="array" aca="1" ref="S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9" s="346" t="s">
        <v>2111</v>
      </c>
      <c r="U59" s="347">
        <f ca="1">S59*Fuel_Specs!$B$100*ton2lb</f>
        <v>0</v>
      </c>
      <c r="V59" s="347">
        <v>0</v>
      </c>
      <c r="W59" s="347">
        <v>0</v>
      </c>
      <c r="X59" s="14" t="s">
        <v>12</v>
      </c>
      <c r="Y59" s="346" t="s">
        <v>891</v>
      </c>
      <c r="Z59" s="14" t="str">
        <f>IF(ISBLANK(LCI_Table[[#This Row],[Notes for user]])," ",LCI_Table[[#This Row],[Notes for user]])</f>
        <v xml:space="preserve"> </v>
      </c>
      <c r="AA59" s="14"/>
      <c r="AB59" s="14"/>
      <c r="AC59" s="346">
        <f ca="1">LCI_Table[[#This Row],[Default Calculated Value]]-LCI_Table[[#This Row],[Calculated Value]]</f>
        <v>0</v>
      </c>
    </row>
    <row r="60" spans="1:29" x14ac:dyDescent="0.3">
      <c r="A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pond_Palm_Extraction_Landfill_gasLandfill gas</v>
      </c>
      <c r="B60" s="14" t="s">
        <v>122</v>
      </c>
      <c r="C60" s="14" t="s">
        <v>30</v>
      </c>
      <c r="D60" s="14" t="s">
        <v>29</v>
      </c>
      <c r="E60" s="48" t="s">
        <v>29</v>
      </c>
      <c r="F60" s="14" t="s">
        <v>123</v>
      </c>
      <c r="G60" s="14" t="b">
        <f>OR(LCI_Table[[#This Row],[Feedstock]]="All",LCI_Table[[#This Row],[Feedstock]]=SelectedFeedstock)</f>
        <v>0</v>
      </c>
      <c r="H60" s="14" t="b">
        <f>OR(LCI_Table[[#This Row],[Conversion]]="All",LCI_Table[[#This Row],[Conversion]]=SelectedConversion)</f>
        <v>1</v>
      </c>
      <c r="I60" s="14" t="b">
        <f>OR(LCI_Table[[#This Row],[Data Set]]="all",LCI_Table[[#This Row],[Data Set]]=SelectedDataSet)</f>
        <v>1</v>
      </c>
      <c r="J60" s="14" t="b">
        <f>OR(LCI_Table[[#This Row],[Technology]]="All",LCI_Table[[#This Row],[Technology]]=SelectedTechnology)</f>
        <v>0</v>
      </c>
      <c r="K60" s="14" t="b">
        <f>OR(LCI_Table[[#This Row],[Data Source]]="All",LCI_Table[[#This Row],[Data Source]]=SelectedDataSource)</f>
        <v>1</v>
      </c>
      <c r="L60" s="14" t="b">
        <f>TRUE</f>
        <v>1</v>
      </c>
      <c r="M60" s="14" t="b">
        <f>(LCI_Table[[#This Row],[Dev Notes]]="Do not display")</f>
        <v>0</v>
      </c>
      <c r="N60" s="14" t="b">
        <f>AND(LCI_Table[[#This Row],[Show Feedstock]:[Conditional]],NOT(LCI_Table[[#This Row],[Hide Row]]))</f>
        <v>0</v>
      </c>
      <c r="O60" s="14" t="b">
        <f>LCI_Table[[#This Row],[GREET1 Name Range]]=""</f>
        <v>0</v>
      </c>
      <c r="P60" s="14" t="s">
        <v>15</v>
      </c>
      <c r="Q60" s="14" t="s">
        <v>744</v>
      </c>
      <c r="R60" s="14" t="s">
        <v>130</v>
      </c>
      <c r="S60" s="37" cm="1">
        <f t="array" aca="1" ref="S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0" s="346" t="s">
        <v>2113</v>
      </c>
      <c r="U60" s="347">
        <f ca="1">S60*Fuel_Specs!$B$79</f>
        <v>0</v>
      </c>
      <c r="V60" s="347">
        <v>0</v>
      </c>
      <c r="W60" s="347">
        <v>0</v>
      </c>
      <c r="X60" s="14" t="s">
        <v>351</v>
      </c>
      <c r="Y60" s="346" t="s">
        <v>891</v>
      </c>
      <c r="Z60" s="14" t="str">
        <f>IF(ISBLANK(LCI_Table[[#This Row],[Notes for user]])," ",LCI_Table[[#This Row],[Notes for user]])</f>
        <v xml:space="preserve"> </v>
      </c>
      <c r="AA60" s="14"/>
      <c r="AB60" s="14"/>
      <c r="AC60" s="346">
        <f ca="1">LCI_Table[[#This Row],[Default Calculated Value]]-LCI_Table[[#This Row],[Calculated Value]]</f>
        <v>0</v>
      </c>
    </row>
    <row r="61" spans="1:29" x14ac:dyDescent="0.3">
      <c r="A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pond_Palm_CH4_SelectorOpen/closed CH4 selector</v>
      </c>
      <c r="B61" s="14" t="s">
        <v>122</v>
      </c>
      <c r="C61" s="14" t="s">
        <v>30</v>
      </c>
      <c r="D61" s="14" t="s">
        <v>29</v>
      </c>
      <c r="E61" s="48" t="s">
        <v>29</v>
      </c>
      <c r="F61" s="14" t="s">
        <v>123</v>
      </c>
      <c r="G61" s="14" t="b">
        <f>OR(LCI_Table[[#This Row],[Feedstock]]="All",LCI_Table[[#This Row],[Feedstock]]=SelectedFeedstock)</f>
        <v>0</v>
      </c>
      <c r="H61" s="14" t="b">
        <f>OR(LCI_Table[[#This Row],[Conversion]]="All",LCI_Table[[#This Row],[Conversion]]=SelectedConversion)</f>
        <v>1</v>
      </c>
      <c r="I61" s="14" t="b">
        <f>OR(LCI_Table[[#This Row],[Data Set]]="all",LCI_Table[[#This Row],[Data Set]]=SelectedDataSet)</f>
        <v>1</v>
      </c>
      <c r="J61" s="14" t="b">
        <f>OR(LCI_Table[[#This Row],[Technology]]="All",LCI_Table[[#This Row],[Technology]]=SelectedTechnology)</f>
        <v>0</v>
      </c>
      <c r="K61" s="14" t="b">
        <f>OR(LCI_Table[[#This Row],[Data Source]]="All",LCI_Table[[#This Row],[Data Source]]=SelectedDataSource)</f>
        <v>1</v>
      </c>
      <c r="L61" s="14" t="b">
        <f>TRUE</f>
        <v>1</v>
      </c>
      <c r="M61" s="14" t="b">
        <f>(LCI_Table[[#This Row],[Dev Notes]]="Do not display")</f>
        <v>1</v>
      </c>
      <c r="N61" s="14" t="b">
        <f>AND(LCI_Table[[#This Row],[Show Feedstock]:[Conditional]],NOT(LCI_Table[[#This Row],[Hide Row]]))</f>
        <v>0</v>
      </c>
      <c r="O61" s="14" t="b">
        <f>LCI_Table[[#This Row],[GREET1 Name Range]]=""</f>
        <v>0</v>
      </c>
      <c r="P61" s="14" t="s">
        <v>15</v>
      </c>
      <c r="Q61" s="14" t="s">
        <v>737</v>
      </c>
      <c r="R61" s="14" t="s">
        <v>1127</v>
      </c>
      <c r="S61" s="37" cm="1">
        <f t="array" aca="1" ref="S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v>
      </c>
      <c r="T61" s="346" t="s">
        <v>2117</v>
      </c>
      <c r="U61" s="352">
        <v>2</v>
      </c>
      <c r="V61" s="352">
        <v>2</v>
      </c>
      <c r="W61" s="352">
        <v>2</v>
      </c>
      <c r="X61" s="14"/>
      <c r="Y61" s="346" t="s">
        <v>891</v>
      </c>
      <c r="Z61" s="14" t="str">
        <f>IF(ISBLANK(LCI_Table[[#This Row],[Notes for user]])," ",LCI_Table[[#This Row],[Notes for user]])</f>
        <v xml:space="preserve"> </v>
      </c>
      <c r="AA61" s="14"/>
      <c r="AB61" s="14" t="s">
        <v>1138</v>
      </c>
      <c r="AC61" s="346">
        <f>LCI_Table[[#This Row],[Default Calculated Value]]-LCI_Table[[#This Row],[Calculated Value]]</f>
        <v>0</v>
      </c>
    </row>
    <row r="62" spans="1:29" x14ac:dyDescent="0.3">
      <c r="A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pond_Palm_Extraction_CH4_POMECH4 (POME emissions)</v>
      </c>
      <c r="B62" s="14" t="s">
        <v>122</v>
      </c>
      <c r="C62" s="14" t="s">
        <v>30</v>
      </c>
      <c r="D62" s="14" t="s">
        <v>29</v>
      </c>
      <c r="E62" s="48" t="s">
        <v>29</v>
      </c>
      <c r="F62" s="14" t="s">
        <v>123</v>
      </c>
      <c r="G62" s="14" t="b">
        <f>OR(LCI_Table[[#This Row],[Feedstock]]="All",LCI_Table[[#This Row],[Feedstock]]=SelectedFeedstock)</f>
        <v>0</v>
      </c>
      <c r="H62" s="14" t="b">
        <f>OR(LCI_Table[[#This Row],[Conversion]]="All",LCI_Table[[#This Row],[Conversion]]=SelectedConversion)</f>
        <v>1</v>
      </c>
      <c r="I62" s="14" t="b">
        <f>OR(LCI_Table[[#This Row],[Data Set]]="all",LCI_Table[[#This Row],[Data Set]]=SelectedDataSet)</f>
        <v>1</v>
      </c>
      <c r="J62" s="14" t="b">
        <f>OR(LCI_Table[[#This Row],[Technology]]="All",LCI_Table[[#This Row],[Technology]]=SelectedTechnology)</f>
        <v>0</v>
      </c>
      <c r="K62" s="14" t="b">
        <f>OR(LCI_Table[[#This Row],[Data Source]]="All",LCI_Table[[#This Row],[Data Source]]=SelectedDataSource)</f>
        <v>1</v>
      </c>
      <c r="L62" s="14" t="b">
        <f>TRUE</f>
        <v>1</v>
      </c>
      <c r="M62" s="14" t="b">
        <f>(LCI_Table[[#This Row],[Dev Notes]]="Do not display")</f>
        <v>1</v>
      </c>
      <c r="N62" s="14" t="b">
        <f>AND(LCI_Table[[#This Row],[Show Feedstock]:[Conditional]],NOT(LCI_Table[[#This Row],[Hide Row]]))</f>
        <v>0</v>
      </c>
      <c r="O62" s="14" t="b">
        <f>LCI_Table[[#This Row],[GREET1 Name Range]]=""</f>
        <v>0</v>
      </c>
      <c r="P62" s="14" t="s">
        <v>15</v>
      </c>
      <c r="Q62" s="14" t="s">
        <v>738</v>
      </c>
      <c r="R62" s="14" t="s">
        <v>440</v>
      </c>
      <c r="S62" s="37" cm="1">
        <f t="array" aca="1" ref="S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2.0217679495645817</v>
      </c>
      <c r="T62" s="346" t="s">
        <v>2118</v>
      </c>
      <c r="U62" s="347">
        <f ca="1">S62</f>
        <v>2.0217679495645817</v>
      </c>
      <c r="V62" s="347">
        <v>2.0217679495645817</v>
      </c>
      <c r="W62" s="347">
        <v>2.0217679495645817</v>
      </c>
      <c r="X62" s="14" t="s">
        <v>6</v>
      </c>
      <c r="Y62" s="346" t="s">
        <v>891</v>
      </c>
      <c r="Z62" s="14" t="str">
        <f>IF(ISBLANK(LCI_Table[[#This Row],[Notes for user]])," ",LCI_Table[[#This Row],[Notes for user]])</f>
        <v xml:space="preserve"> </v>
      </c>
      <c r="AA62" s="14"/>
      <c r="AB62" s="14" t="s">
        <v>1138</v>
      </c>
      <c r="AC62" s="346">
        <f ca="1">LCI_Table[[#This Row],[Default Calculated Value]]-LCI_Table[[#This Row],[Calculated Value]]</f>
        <v>0</v>
      </c>
    </row>
    <row r="63" spans="1:29" x14ac:dyDescent="0.3">
      <c r="A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pond_Palm_Oil_Extraction_Mass_AllocationAllocation factor</v>
      </c>
      <c r="B63" s="14" t="s">
        <v>122</v>
      </c>
      <c r="C63" s="14" t="s">
        <v>30</v>
      </c>
      <c r="D63" s="14" t="s">
        <v>29</v>
      </c>
      <c r="E63" s="48" t="s">
        <v>29</v>
      </c>
      <c r="F63" s="14" t="s">
        <v>123</v>
      </c>
      <c r="G63" s="14" t="b">
        <f>OR(LCI_Table[[#This Row],[Feedstock]]="All",LCI_Table[[#This Row],[Feedstock]]=SelectedFeedstock)</f>
        <v>0</v>
      </c>
      <c r="H63" s="14" t="b">
        <f>OR(LCI_Table[[#This Row],[Conversion]]="All",LCI_Table[[#This Row],[Conversion]]=SelectedConversion)</f>
        <v>1</v>
      </c>
      <c r="I63" s="14" t="b">
        <f>OR(LCI_Table[[#This Row],[Data Set]]="all",LCI_Table[[#This Row],[Data Set]]=SelectedDataSet)</f>
        <v>1</v>
      </c>
      <c r="J63" s="14" t="b">
        <f>OR(LCI_Table[[#This Row],[Technology]]="All",LCI_Table[[#This Row],[Technology]]=SelectedTechnology)</f>
        <v>0</v>
      </c>
      <c r="K63" s="14" t="b">
        <f>OR(LCI_Table[[#This Row],[Data Source]]="All",LCI_Table[[#This Row],[Data Source]]=SelectedDataSource)</f>
        <v>1</v>
      </c>
      <c r="L63" s="14" t="b">
        <f>TRUE</f>
        <v>1</v>
      </c>
      <c r="M63" s="14" t="b">
        <f>(LCI_Table[[#This Row],[Dev Notes]]="Do not display")</f>
        <v>0</v>
      </c>
      <c r="N63" s="14" t="b">
        <f>AND(LCI_Table[[#This Row],[Show Feedstock]:[Conditional]],NOT(LCI_Table[[#This Row],[Hide Row]]))</f>
        <v>0</v>
      </c>
      <c r="O63" s="14" t="b">
        <f>LCI_Table[[#This Row],[GREET1 Name Range]]=""</f>
        <v>0</v>
      </c>
      <c r="P63" s="14" t="s">
        <v>15</v>
      </c>
      <c r="Q63" s="14" t="s">
        <v>1111</v>
      </c>
      <c r="R63" s="14" t="s">
        <v>1344</v>
      </c>
      <c r="S63" s="37" cm="1">
        <f t="array" aca="1" ref="S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89.589935863691494</v>
      </c>
      <c r="T63" s="346" t="s">
        <v>1345</v>
      </c>
      <c r="U63" s="347">
        <f ca="1">LCI_Table[[#This Row],[Dashboard Value]]/100</f>
        <v>0.89589935863691494</v>
      </c>
      <c r="V63" s="347">
        <v>89.589935863691494</v>
      </c>
      <c r="W63" s="347">
        <v>0.89589935863691494</v>
      </c>
      <c r="X63" s="14" t="s">
        <v>1345</v>
      </c>
      <c r="Y63" s="346" t="s">
        <v>891</v>
      </c>
      <c r="Z63" s="14" t="str">
        <f>IF(ISBLANK(LCI_Table[[#This Row],[Notes for user]])," ",LCI_Table[[#This Row],[Notes for user]])</f>
        <v>Allocation to palm oil (mass allocation)</v>
      </c>
      <c r="AA63" s="14" t="s">
        <v>1359</v>
      </c>
      <c r="AB63" s="14"/>
      <c r="AC63" s="346">
        <f ca="1">LCI_Table[[#This Row],[Default Calculated Value]]-LCI_Table[[#This Row],[Calculated Value]]</f>
        <v>0</v>
      </c>
    </row>
    <row r="64" spans="1:29" x14ac:dyDescent="0.3">
      <c r="A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pond_HEFA_feed_usagePalm oil</v>
      </c>
      <c r="B64" s="14" t="s">
        <v>122</v>
      </c>
      <c r="C64" s="14" t="s">
        <v>30</v>
      </c>
      <c r="D64" s="14" t="s">
        <v>29</v>
      </c>
      <c r="E64" s="48" t="s">
        <v>29</v>
      </c>
      <c r="F64" s="14" t="s">
        <v>123</v>
      </c>
      <c r="G64" s="14" t="b">
        <f>OR(LCI_Table[[#This Row],[Feedstock]]="All",LCI_Table[[#This Row],[Feedstock]]=SelectedFeedstock)</f>
        <v>0</v>
      </c>
      <c r="H64" s="14" t="b">
        <f>OR(LCI_Table[[#This Row],[Conversion]]="All",LCI_Table[[#This Row],[Conversion]]=SelectedConversion)</f>
        <v>1</v>
      </c>
      <c r="I64" s="14" t="b">
        <f>OR(LCI_Table[[#This Row],[Data Set]]="all",LCI_Table[[#This Row],[Data Set]]=SelectedDataSet)</f>
        <v>1</v>
      </c>
      <c r="J64" s="14" t="b">
        <f>OR(LCI_Table[[#This Row],[Technology]]="All",LCI_Table[[#This Row],[Technology]]=SelectedTechnology)</f>
        <v>0</v>
      </c>
      <c r="K64" s="14" t="b">
        <f>OR(LCI_Table[[#This Row],[Data Source]]="All",LCI_Table[[#This Row],[Data Source]]=SelectedDataSource)</f>
        <v>1</v>
      </c>
      <c r="L64" s="14" t="b">
        <f>TRUE</f>
        <v>1</v>
      </c>
      <c r="M64" s="14" t="b">
        <f>(LCI_Table[[#This Row],[Dev Notes]]="Do not display")</f>
        <v>0</v>
      </c>
      <c r="N64" s="14" t="b">
        <f>AND(LCI_Table[[#This Row],[Show Feedstock]:[Conditional]],NOT(LCI_Table[[#This Row],[Hide Row]]))</f>
        <v>0</v>
      </c>
      <c r="O64" s="14" t="b">
        <f>LCI_Table[[#This Row],[GREET1 Name Range]]=""</f>
        <v>0</v>
      </c>
      <c r="P64" s="14" t="s">
        <v>1448</v>
      </c>
      <c r="Q64" s="14" t="s">
        <v>933</v>
      </c>
      <c r="R64" s="14" t="s">
        <v>360</v>
      </c>
      <c r="S64" s="37" cm="1">
        <f t="array" aca="1" ref="S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60.95550131022474</v>
      </c>
      <c r="T64" s="346" t="s">
        <v>2119</v>
      </c>
      <c r="U64" s="347">
        <f ca="1">S64*lb2g/Fuel_Specs!$E$48*Fuel_Specs!$B$48*BTU2mmBTU/Allocations!$O$7</f>
        <v>1.2676055388997558</v>
      </c>
      <c r="V64" s="347">
        <v>60.95550131022474</v>
      </c>
      <c r="W64" s="347">
        <v>1.2676055388997558</v>
      </c>
      <c r="X64" s="14" t="s">
        <v>12</v>
      </c>
      <c r="Y64" s="346" t="s">
        <v>416</v>
      </c>
      <c r="Z64" s="14" t="str">
        <f>IF(ISBLANK(LCI_Table[[#This Row],[Notes for user]])," ",LCI_Table[[#This Row],[Notes for user]])</f>
        <v xml:space="preserve"> </v>
      </c>
      <c r="AA64" s="14"/>
      <c r="AB64" s="14"/>
      <c r="AC64" s="346">
        <f ca="1">LCI_Table[[#This Row],[Default Calculated Value]]-LCI_Table[[#This Row],[Calculated Value]]</f>
        <v>0</v>
      </c>
    </row>
    <row r="65" spans="1:29" x14ac:dyDescent="0.3">
      <c r="A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pond_Palm_HEFA_Natural_gasNatural gas</v>
      </c>
      <c r="B65" s="14" t="s">
        <v>122</v>
      </c>
      <c r="C65" s="14" t="s">
        <v>30</v>
      </c>
      <c r="D65" s="14" t="s">
        <v>29</v>
      </c>
      <c r="E65" s="48" t="s">
        <v>29</v>
      </c>
      <c r="F65" s="14" t="s">
        <v>123</v>
      </c>
      <c r="G65" s="14" t="b">
        <f>OR(LCI_Table[[#This Row],[Feedstock]]="All",LCI_Table[[#This Row],[Feedstock]]=SelectedFeedstock)</f>
        <v>0</v>
      </c>
      <c r="H65" s="14" t="b">
        <f>OR(LCI_Table[[#This Row],[Conversion]]="All",LCI_Table[[#This Row],[Conversion]]=SelectedConversion)</f>
        <v>1</v>
      </c>
      <c r="I65" s="14" t="b">
        <f>OR(LCI_Table[[#This Row],[Data Set]]="all",LCI_Table[[#This Row],[Data Set]]=SelectedDataSet)</f>
        <v>1</v>
      </c>
      <c r="J65" s="14" t="b">
        <f>OR(LCI_Table[[#This Row],[Technology]]="All",LCI_Table[[#This Row],[Technology]]=SelectedTechnology)</f>
        <v>0</v>
      </c>
      <c r="K65" s="14" t="b">
        <f>OR(LCI_Table[[#This Row],[Data Source]]="All",LCI_Table[[#This Row],[Data Source]]=SelectedDataSource)</f>
        <v>1</v>
      </c>
      <c r="L65" s="14" t="b">
        <f>TRUE</f>
        <v>1</v>
      </c>
      <c r="M65" s="14" t="b">
        <f>(LCI_Table[[#This Row],[Dev Notes]]="Do not display")</f>
        <v>0</v>
      </c>
      <c r="N65" s="14" t="b">
        <f>AND(LCI_Table[[#This Row],[Show Feedstock]:[Conditional]],NOT(LCI_Table[[#This Row],[Hide Row]]))</f>
        <v>0</v>
      </c>
      <c r="O65" s="14" t="b">
        <f>LCI_Table[[#This Row],[GREET1 Name Range]]=""</f>
        <v>0</v>
      </c>
      <c r="P65" s="14" t="s">
        <v>1448</v>
      </c>
      <c r="Q65" s="14" t="s">
        <v>764</v>
      </c>
      <c r="R65" s="14" t="s">
        <v>108</v>
      </c>
      <c r="S65" s="37" cm="1">
        <f t="array" aca="1" ref="S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17.27035614507027</v>
      </c>
      <c r="T65" s="346" t="s">
        <v>2120</v>
      </c>
      <c r="U65" s="347">
        <f ca="1">S65*lb2g/Fuel_Specs!$E$48*Fuel_Specs!$B$48*Fuel_Specs!$B$79*BTU2mmBTU/Allocations!$O$7</f>
        <v>353.04172159785497</v>
      </c>
      <c r="V65" s="347">
        <v>17.27035614507027</v>
      </c>
      <c r="W65" s="347">
        <v>353.04172159785497</v>
      </c>
      <c r="X65" s="14" t="s">
        <v>351</v>
      </c>
      <c r="Y65" s="346" t="s">
        <v>416</v>
      </c>
      <c r="Z65" s="14" t="str">
        <f>IF(ISBLANK(LCI_Table[[#This Row],[Notes for user]])," ",LCI_Table[[#This Row],[Notes for user]])</f>
        <v xml:space="preserve"> </v>
      </c>
      <c r="AA65" s="14"/>
      <c r="AB65" s="14"/>
      <c r="AC65" s="346">
        <f ca="1">LCI_Table[[#This Row],[Default Calculated Value]]-LCI_Table[[#This Row],[Calculated Value]]</f>
        <v>0</v>
      </c>
    </row>
    <row r="66" spans="1:29" x14ac:dyDescent="0.3">
      <c r="A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pond_Palm_HEFA_ElectricityGrid Electricity</v>
      </c>
      <c r="B66" s="14" t="s">
        <v>122</v>
      </c>
      <c r="C66" s="14" t="s">
        <v>30</v>
      </c>
      <c r="D66" s="14" t="s">
        <v>29</v>
      </c>
      <c r="E66" s="48" t="s">
        <v>29</v>
      </c>
      <c r="F66" s="14" t="s">
        <v>123</v>
      </c>
      <c r="G66" s="14" t="b">
        <f>OR(LCI_Table[[#This Row],[Feedstock]]="All",LCI_Table[[#This Row],[Feedstock]]=SelectedFeedstock)</f>
        <v>0</v>
      </c>
      <c r="H66" s="14" t="b">
        <f>OR(LCI_Table[[#This Row],[Conversion]]="All",LCI_Table[[#This Row],[Conversion]]=SelectedConversion)</f>
        <v>1</v>
      </c>
      <c r="I66" s="14" t="b">
        <f>OR(LCI_Table[[#This Row],[Data Set]]="all",LCI_Table[[#This Row],[Data Set]]=SelectedDataSet)</f>
        <v>1</v>
      </c>
      <c r="J66" s="14" t="b">
        <f>OR(LCI_Table[[#This Row],[Technology]]="All",LCI_Table[[#This Row],[Technology]]=SelectedTechnology)</f>
        <v>0</v>
      </c>
      <c r="K66" s="14" t="b">
        <f>OR(LCI_Table[[#This Row],[Data Source]]="All",LCI_Table[[#This Row],[Data Source]]=SelectedDataSource)</f>
        <v>1</v>
      </c>
      <c r="L66" s="14" t="b">
        <f>TRUE</f>
        <v>1</v>
      </c>
      <c r="M66" s="14" t="b">
        <f>(LCI_Table[[#This Row],[Dev Notes]]="Do not display")</f>
        <v>0</v>
      </c>
      <c r="N66" s="14" t="b">
        <f>AND(LCI_Table[[#This Row],[Show Feedstock]:[Conditional]],NOT(LCI_Table[[#This Row],[Hide Row]]))</f>
        <v>0</v>
      </c>
      <c r="O66" s="14" t="b">
        <f>LCI_Table[[#This Row],[GREET1 Name Range]]=""</f>
        <v>0</v>
      </c>
      <c r="P66" s="14" t="s">
        <v>1448</v>
      </c>
      <c r="Q66" s="14" t="s">
        <v>762</v>
      </c>
      <c r="R66" s="14" t="s">
        <v>1684</v>
      </c>
      <c r="S66" s="37" cm="1">
        <f t="array" aca="1" ref="S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2.616690397906015</v>
      </c>
      <c r="T66" s="346" t="s">
        <v>2121</v>
      </c>
      <c r="U66" s="347">
        <f ca="1">S66*lb2g/Fuel_Specs!$E$48*Fuel_Specs!$B$48/BTU2kWh*BTU2mmBTU/Allocations!$O$7</f>
        <v>185.67379432183481</v>
      </c>
      <c r="V66" s="347">
        <v>2.616690397906015</v>
      </c>
      <c r="W66" s="347">
        <v>185.67379432183481</v>
      </c>
      <c r="X66" s="14" t="s">
        <v>51</v>
      </c>
      <c r="Y66" s="346" t="s">
        <v>416</v>
      </c>
      <c r="Z66" s="14" t="str">
        <f>IF(ISBLANK(LCI_Table[[#This Row],[Notes for user]])," ",LCI_Table[[#This Row],[Notes for user]])</f>
        <v xml:space="preserve"> </v>
      </c>
      <c r="AA66" s="14"/>
      <c r="AB66" s="14"/>
      <c r="AC66" s="346">
        <f ca="1">LCI_Table[[#This Row],[Default Calculated Value]]-LCI_Table[[#This Row],[Calculated Value]]</f>
        <v>0</v>
      </c>
    </row>
    <row r="67" spans="1:29" x14ac:dyDescent="0.3">
      <c r="A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pond_Palm_HEFA_HydrogenHydrogen</v>
      </c>
      <c r="B67" s="14" t="s">
        <v>122</v>
      </c>
      <c r="C67" s="14" t="s">
        <v>30</v>
      </c>
      <c r="D67" s="14" t="s">
        <v>29</v>
      </c>
      <c r="E67" s="48" t="s">
        <v>29</v>
      </c>
      <c r="F67" s="14" t="s">
        <v>123</v>
      </c>
      <c r="G67" s="14" t="b">
        <f>OR(LCI_Table[[#This Row],[Feedstock]]="All",LCI_Table[[#This Row],[Feedstock]]=SelectedFeedstock)</f>
        <v>0</v>
      </c>
      <c r="H67" s="14" t="b">
        <f>OR(LCI_Table[[#This Row],[Conversion]]="All",LCI_Table[[#This Row],[Conversion]]=SelectedConversion)</f>
        <v>1</v>
      </c>
      <c r="I67" s="14" t="b">
        <f>OR(LCI_Table[[#This Row],[Data Set]]="all",LCI_Table[[#This Row],[Data Set]]=SelectedDataSet)</f>
        <v>1</v>
      </c>
      <c r="J67" s="14" t="b">
        <f>OR(LCI_Table[[#This Row],[Technology]]="All",LCI_Table[[#This Row],[Technology]]=SelectedTechnology)</f>
        <v>0</v>
      </c>
      <c r="K67" s="14" t="b">
        <f>OR(LCI_Table[[#This Row],[Data Source]]="All",LCI_Table[[#This Row],[Data Source]]=SelectedDataSource)</f>
        <v>1</v>
      </c>
      <c r="L67" s="14" t="b">
        <f>TRUE</f>
        <v>1</v>
      </c>
      <c r="M67" s="14" t="b">
        <f>(LCI_Table[[#This Row],[Dev Notes]]="Do not display")</f>
        <v>0</v>
      </c>
      <c r="N67" s="14" t="b">
        <f>AND(LCI_Table[[#This Row],[Show Feedstock]:[Conditional]],NOT(LCI_Table[[#This Row],[Hide Row]]))</f>
        <v>0</v>
      </c>
      <c r="O67" s="14" t="b">
        <f>LCI_Table[[#This Row],[GREET1 Name Range]]=""</f>
        <v>0</v>
      </c>
      <c r="P67" s="14" t="s">
        <v>1448</v>
      </c>
      <c r="Q67" s="14" t="s">
        <v>763</v>
      </c>
      <c r="R67" s="14" t="s">
        <v>73</v>
      </c>
      <c r="S67" s="37" cm="1">
        <f t="array" aca="1" ref="S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344.30517271876477</v>
      </c>
      <c r="T67" s="346" t="s">
        <v>2120</v>
      </c>
      <c r="U67" s="347">
        <f ca="1">S67*lb2g/Fuel_Specs!$E$48*Fuel_Specs!$B$48*Fuel_Specs!$B$81*BTU2mmBTU/Allocations!$O$7</f>
        <v>2076.4083477681252</v>
      </c>
      <c r="V67" s="347">
        <v>344.30517271876477</v>
      </c>
      <c r="W67" s="347">
        <v>2076.4083477681252</v>
      </c>
      <c r="X67" s="14" t="s">
        <v>351</v>
      </c>
      <c r="Y67" s="346" t="s">
        <v>416</v>
      </c>
      <c r="Z67" s="14" t="str">
        <f>IF(ISBLANK(LCI_Table[[#This Row],[Notes for user]])," ",LCI_Table[[#This Row],[Notes for user]])</f>
        <v xml:space="preserve"> </v>
      </c>
      <c r="AA67" s="14"/>
      <c r="AB67" s="14"/>
      <c r="AC67" s="346">
        <f ca="1">LCI_Table[[#This Row],[Default Calculated Value]]-LCI_Table[[#This Row],[Calculated Value]]</f>
        <v>0</v>
      </c>
    </row>
    <row r="68" spans="1:29" x14ac:dyDescent="0.3">
      <c r="A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PalmHEFAGREETGREETClosed pond_Palm_Oil_HEFA_Energy_AllocationAllocation factor</v>
      </c>
      <c r="B68" s="14" t="s">
        <v>122</v>
      </c>
      <c r="C68" s="14" t="s">
        <v>30</v>
      </c>
      <c r="D68" s="14" t="s">
        <v>29</v>
      </c>
      <c r="E68" s="48" t="s">
        <v>29</v>
      </c>
      <c r="F68" s="14" t="s">
        <v>123</v>
      </c>
      <c r="G68" s="14" t="b">
        <f>OR(LCI_Table[[#This Row],[Feedstock]]="All",LCI_Table[[#This Row],[Feedstock]]=SelectedFeedstock)</f>
        <v>0</v>
      </c>
      <c r="H68" s="14" t="b">
        <f>OR(LCI_Table[[#This Row],[Conversion]]="All",LCI_Table[[#This Row],[Conversion]]=SelectedConversion)</f>
        <v>1</v>
      </c>
      <c r="I68" s="14" t="b">
        <f>OR(LCI_Table[[#This Row],[Data Set]]="all",LCI_Table[[#This Row],[Data Set]]=SelectedDataSet)</f>
        <v>1</v>
      </c>
      <c r="J68" s="14" t="b">
        <f>OR(LCI_Table[[#This Row],[Technology]]="All",LCI_Table[[#This Row],[Technology]]=SelectedTechnology)</f>
        <v>0</v>
      </c>
      <c r="K68" s="14" t="b">
        <f>OR(LCI_Table[[#This Row],[Data Source]]="All",LCI_Table[[#This Row],[Data Source]]=SelectedDataSource)</f>
        <v>1</v>
      </c>
      <c r="L68" s="14" t="b">
        <f>TRUE</f>
        <v>1</v>
      </c>
      <c r="M68" s="14" t="b">
        <f>(LCI_Table[[#This Row],[Dev Notes]]="Do not display")</f>
        <v>0</v>
      </c>
      <c r="N68" s="14" t="b">
        <f>AND(LCI_Table[[#This Row],[Show Feedstock]:[Conditional]],NOT(LCI_Table[[#This Row],[Hide Row]]))</f>
        <v>0</v>
      </c>
      <c r="O68" s="14" t="b">
        <f>LCI_Table[[#This Row],[GREET1 Name Range]]=""</f>
        <v>0</v>
      </c>
      <c r="P68" s="14" t="s">
        <v>1448</v>
      </c>
      <c r="Q68" s="14" t="s">
        <v>1116</v>
      </c>
      <c r="R68" s="14" t="s">
        <v>1344</v>
      </c>
      <c r="S68" s="37" cm="1">
        <f t="array" aca="1" ref="S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91.171197532976606</v>
      </c>
      <c r="T68" s="346" t="s">
        <v>1345</v>
      </c>
      <c r="U68" s="347">
        <f ca="1">LCI_Table[[#This Row],[Dashboard Value]]/100</f>
        <v>0.91171197532976611</v>
      </c>
      <c r="V68" s="351">
        <v>91.171197532976606</v>
      </c>
      <c r="W68" s="351">
        <v>0.91171197532976611</v>
      </c>
      <c r="X68" s="14" t="s">
        <v>1345</v>
      </c>
      <c r="Y68" s="346" t="s">
        <v>416</v>
      </c>
      <c r="Z68" s="14" t="str">
        <f>IF(ISBLANK(LCI_Table[[#This Row],[Notes for user]])," ",LCI_Table[[#This Row],[Notes for user]])</f>
        <v>Allocation to main distillate fuels (energy allocation)</v>
      </c>
      <c r="AA68" s="14" t="s">
        <v>1353</v>
      </c>
      <c r="AB68" s="14"/>
      <c r="AC68" s="346">
        <f ca="1">LCI_Table[[#This Row],[Default Calculated Value]]-LCI_Table[[#This Row],[Calculated Value]]</f>
        <v>0</v>
      </c>
    </row>
    <row r="69" spans="1:29" x14ac:dyDescent="0.3">
      <c r="A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dash_PalmHEFAGREETGREETOpen pond_Yield_Farming</v>
      </c>
      <c r="B69" s="48" t="s">
        <v>122</v>
      </c>
      <c r="C69" s="48" t="s">
        <v>30</v>
      </c>
      <c r="D69" s="48" t="s">
        <v>29</v>
      </c>
      <c r="E69" s="48" t="s">
        <v>29</v>
      </c>
      <c r="F69" s="48" t="s">
        <v>124</v>
      </c>
      <c r="G69" s="14" t="b">
        <f>OR(LCI_Table[[#This Row],[Feedstock]]="All",LCI_Table[[#This Row],[Feedstock]]=SelectedFeedstock)</f>
        <v>0</v>
      </c>
      <c r="H69" s="14" t="b">
        <f>OR(LCI_Table[[#This Row],[Conversion]]="All",LCI_Table[[#This Row],[Conversion]]=SelectedConversion)</f>
        <v>1</v>
      </c>
      <c r="I69" s="14" t="b">
        <f>OR(LCI_Table[[#This Row],[Data Set]]="all",LCI_Table[[#This Row],[Data Set]]=SelectedDataSet)</f>
        <v>1</v>
      </c>
      <c r="J69" s="14" t="b">
        <f>OR(LCI_Table[[#This Row],[Technology]]="All",LCI_Table[[#This Row],[Technology]]=SelectedTechnology)</f>
        <v>0</v>
      </c>
      <c r="K69" s="14" t="b">
        <f>OR(LCI_Table[[#This Row],[Data Source]]="All",LCI_Table[[#This Row],[Data Source]]=SelectedDataSource)</f>
        <v>1</v>
      </c>
      <c r="L69" s="14" t="b">
        <f>TRUE</f>
        <v>1</v>
      </c>
      <c r="M69" s="14" t="b">
        <f>(LCI_Table[[#This Row],[Dev Notes]]="Do not display")</f>
        <v>0</v>
      </c>
      <c r="N69" s="14" t="b">
        <f>AND(LCI_Table[[#This Row],[Show Feedstock]:[Conditional]],NOT(LCI_Table[[#This Row],[Hide Row]]))</f>
        <v>0</v>
      </c>
      <c r="O69" s="14" t="b">
        <f>LCI_Table[[#This Row],[GREET1 Name Range]]=""</f>
        <v>1</v>
      </c>
      <c r="P69" s="48" t="s">
        <v>14</v>
      </c>
      <c r="Q69" s="14" t="s">
        <v>361</v>
      </c>
      <c r="R69" s="48" t="s">
        <v>200</v>
      </c>
      <c r="S69" s="37" cm="1">
        <f t="array" aca="1" ref="S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6.909937964111923</v>
      </c>
      <c r="T69" s="346" t="s">
        <v>2116</v>
      </c>
      <c r="U69" s="344"/>
      <c r="V69" s="344">
        <v>6.909937964111923</v>
      </c>
      <c r="W69" s="344"/>
      <c r="X69" s="48" t="s">
        <v>55</v>
      </c>
      <c r="Y69" s="346" t="s">
        <v>413</v>
      </c>
      <c r="Z69" s="14" t="str">
        <f>IF(ISBLANK(LCI_Table[[#This Row],[Notes for user]])," ",LCI_Table[[#This Row],[Notes for user]])</f>
        <v>Statista (2023) data from 2022</v>
      </c>
      <c r="AA69" s="48" t="s">
        <v>1149</v>
      </c>
      <c r="AB69" s="345"/>
      <c r="AC69" s="346">
        <f>LCI_Table[[#This Row],[Default Calculated Value]]-LCI_Table[[#This Row],[Calculated Value]]</f>
        <v>0</v>
      </c>
    </row>
    <row r="70" spans="1:29" x14ac:dyDescent="0.3">
      <c r="A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pond_Palm_Farming_Nitrogen_fertilizerNitrogen fertilizer</v>
      </c>
      <c r="B70" s="14" t="s">
        <v>122</v>
      </c>
      <c r="C70" s="14" t="s">
        <v>30</v>
      </c>
      <c r="D70" s="14" t="s">
        <v>29</v>
      </c>
      <c r="E70" s="48" t="s">
        <v>29</v>
      </c>
      <c r="F70" s="14" t="s">
        <v>124</v>
      </c>
      <c r="G70" s="14" t="b">
        <f>OR(LCI_Table[[#This Row],[Feedstock]]="All",LCI_Table[[#This Row],[Feedstock]]=SelectedFeedstock)</f>
        <v>0</v>
      </c>
      <c r="H70" s="14" t="b">
        <f>OR(LCI_Table[[#This Row],[Conversion]]="All",LCI_Table[[#This Row],[Conversion]]=SelectedConversion)</f>
        <v>1</v>
      </c>
      <c r="I70" s="14" t="b">
        <f>OR(LCI_Table[[#This Row],[Data Set]]="all",LCI_Table[[#This Row],[Data Set]]=SelectedDataSet)</f>
        <v>1</v>
      </c>
      <c r="J70" s="14" t="b">
        <f>OR(LCI_Table[[#This Row],[Technology]]="All",LCI_Table[[#This Row],[Technology]]=SelectedTechnology)</f>
        <v>0</v>
      </c>
      <c r="K70" s="14" t="b">
        <f>OR(LCI_Table[[#This Row],[Data Source]]="All",LCI_Table[[#This Row],[Data Source]]=SelectedDataSource)</f>
        <v>1</v>
      </c>
      <c r="L70" s="14" t="b">
        <f>TRUE</f>
        <v>1</v>
      </c>
      <c r="M70" s="14" t="b">
        <f>(LCI_Table[[#This Row],[Dev Notes]]="Do not display")</f>
        <v>0</v>
      </c>
      <c r="N70" s="14" t="b">
        <f>AND(LCI_Table[[#This Row],[Show Feedstock]:[Conditional]],NOT(LCI_Table[[#This Row],[Hide Row]]))</f>
        <v>0</v>
      </c>
      <c r="O70" s="14" t="b">
        <f>LCI_Table[[#This Row],[GREET1 Name Range]]=""</f>
        <v>0</v>
      </c>
      <c r="P70" s="14" t="s">
        <v>14</v>
      </c>
      <c r="Q70" s="14" t="s">
        <v>759</v>
      </c>
      <c r="R70" s="14" t="s">
        <v>111</v>
      </c>
      <c r="S70" s="37" cm="1">
        <f t="array" aca="1" ref="S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113.3427042419741</v>
      </c>
      <c r="T70" s="346" t="s">
        <v>1485</v>
      </c>
      <c r="U70" s="347">
        <f ca="1">S70/g2lb/S69</f>
        <v>7440.2094644468298</v>
      </c>
      <c r="V70" s="347">
        <v>113.3427042419741</v>
      </c>
      <c r="W70" s="347">
        <v>7440.2094644468298</v>
      </c>
      <c r="X70" s="14" t="s">
        <v>12</v>
      </c>
      <c r="Y70" s="346" t="s">
        <v>413</v>
      </c>
      <c r="Z70" s="14" t="str">
        <f>IF(ISBLANK(LCI_Table[[#This Row],[Notes for user]])," ",LCI_Table[[#This Row],[Notes for user]])</f>
        <v xml:space="preserve"> </v>
      </c>
      <c r="AA70" s="14"/>
      <c r="AB70" s="14"/>
      <c r="AC70" s="346">
        <f ca="1">LCI_Table[[#This Row],[Default Calculated Value]]-LCI_Table[[#This Row],[Calculated Value]]</f>
        <v>0</v>
      </c>
    </row>
    <row r="71" spans="1:29" x14ac:dyDescent="0.3">
      <c r="A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pond_Palm_Farming_P2O5P2O5</v>
      </c>
      <c r="B71" s="14" t="s">
        <v>122</v>
      </c>
      <c r="C71" s="14" t="s">
        <v>30</v>
      </c>
      <c r="D71" s="14" t="s">
        <v>29</v>
      </c>
      <c r="E71" s="48" t="s">
        <v>29</v>
      </c>
      <c r="F71" s="14" t="s">
        <v>124</v>
      </c>
      <c r="G71" s="14" t="b">
        <f>OR(LCI_Table[[#This Row],[Feedstock]]="All",LCI_Table[[#This Row],[Feedstock]]=SelectedFeedstock)</f>
        <v>0</v>
      </c>
      <c r="H71" s="14" t="b">
        <f>OR(LCI_Table[[#This Row],[Conversion]]="All",LCI_Table[[#This Row],[Conversion]]=SelectedConversion)</f>
        <v>1</v>
      </c>
      <c r="I71" s="14" t="b">
        <f>OR(LCI_Table[[#This Row],[Data Set]]="all",LCI_Table[[#This Row],[Data Set]]=SelectedDataSet)</f>
        <v>1</v>
      </c>
      <c r="J71" s="14" t="b">
        <f>OR(LCI_Table[[#This Row],[Technology]]="All",LCI_Table[[#This Row],[Technology]]=SelectedTechnology)</f>
        <v>0</v>
      </c>
      <c r="K71" s="14" t="b">
        <f>OR(LCI_Table[[#This Row],[Data Source]]="All",LCI_Table[[#This Row],[Data Source]]=SelectedDataSource)</f>
        <v>1</v>
      </c>
      <c r="L71" s="14" t="b">
        <f>TRUE</f>
        <v>1</v>
      </c>
      <c r="M71" s="14" t="b">
        <f>(LCI_Table[[#This Row],[Dev Notes]]="Do not display")</f>
        <v>0</v>
      </c>
      <c r="N71" s="14" t="b">
        <f>AND(LCI_Table[[#This Row],[Show Feedstock]:[Conditional]],NOT(LCI_Table[[#This Row],[Hide Row]]))</f>
        <v>0</v>
      </c>
      <c r="O71" s="14" t="b">
        <f>LCI_Table[[#This Row],[GREET1 Name Range]]=""</f>
        <v>0</v>
      </c>
      <c r="P71" s="14" t="s">
        <v>14</v>
      </c>
      <c r="Q71" s="14" t="s">
        <v>760</v>
      </c>
      <c r="R71" s="14" t="s">
        <v>112</v>
      </c>
      <c r="S71" s="37" cm="1">
        <f t="array" aca="1" ref="S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76.288358624405745</v>
      </c>
      <c r="T71" s="346" t="s">
        <v>1485</v>
      </c>
      <c r="U71" s="347">
        <f ca="1">S71/g2lb/S69</f>
        <v>5007.8332933776801</v>
      </c>
      <c r="V71" s="347">
        <v>76.288358624405745</v>
      </c>
      <c r="W71" s="347">
        <v>5007.8332933776801</v>
      </c>
      <c r="X71" s="14" t="s">
        <v>12</v>
      </c>
      <c r="Y71" s="346" t="s">
        <v>413</v>
      </c>
      <c r="Z71" s="14" t="str">
        <f>IF(ISBLANK(LCI_Table[[#This Row],[Notes for user]])," ",LCI_Table[[#This Row],[Notes for user]])</f>
        <v xml:space="preserve"> </v>
      </c>
      <c r="AA71" s="14"/>
      <c r="AB71" s="14"/>
      <c r="AC71" s="346">
        <f ca="1">LCI_Table[[#This Row],[Default Calculated Value]]-LCI_Table[[#This Row],[Calculated Value]]</f>
        <v>0</v>
      </c>
    </row>
    <row r="72" spans="1:29" x14ac:dyDescent="0.3">
      <c r="A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pond_Palm_Farming_K2OK2O</v>
      </c>
      <c r="B72" s="14" t="s">
        <v>122</v>
      </c>
      <c r="C72" s="14" t="s">
        <v>30</v>
      </c>
      <c r="D72" s="14" t="s">
        <v>29</v>
      </c>
      <c r="E72" s="48" t="s">
        <v>29</v>
      </c>
      <c r="F72" s="14" t="s">
        <v>124</v>
      </c>
      <c r="G72" s="14" t="b">
        <f>OR(LCI_Table[[#This Row],[Feedstock]]="All",LCI_Table[[#This Row],[Feedstock]]=SelectedFeedstock)</f>
        <v>0</v>
      </c>
      <c r="H72" s="14" t="b">
        <f>OR(LCI_Table[[#This Row],[Conversion]]="All",LCI_Table[[#This Row],[Conversion]]=SelectedConversion)</f>
        <v>1</v>
      </c>
      <c r="I72" s="14" t="b">
        <f>OR(LCI_Table[[#This Row],[Data Set]]="all",LCI_Table[[#This Row],[Data Set]]=SelectedDataSet)</f>
        <v>1</v>
      </c>
      <c r="J72" s="14" t="b">
        <f>OR(LCI_Table[[#This Row],[Technology]]="All",LCI_Table[[#This Row],[Technology]]=SelectedTechnology)</f>
        <v>0</v>
      </c>
      <c r="K72" s="14" t="b">
        <f>OR(LCI_Table[[#This Row],[Data Source]]="All",LCI_Table[[#This Row],[Data Source]]=SelectedDataSource)</f>
        <v>1</v>
      </c>
      <c r="L72" s="14" t="b">
        <f>TRUE</f>
        <v>1</v>
      </c>
      <c r="M72" s="14" t="b">
        <f>(LCI_Table[[#This Row],[Dev Notes]]="Do not display")</f>
        <v>0</v>
      </c>
      <c r="N72" s="14" t="b">
        <f>AND(LCI_Table[[#This Row],[Show Feedstock]:[Conditional]],NOT(LCI_Table[[#This Row],[Hide Row]]))</f>
        <v>0</v>
      </c>
      <c r="O72" s="14" t="b">
        <f>LCI_Table[[#This Row],[GREET1 Name Range]]=""</f>
        <v>0</v>
      </c>
      <c r="P72" s="14" t="s">
        <v>14</v>
      </c>
      <c r="Q72" s="14" t="s">
        <v>756</v>
      </c>
      <c r="R72" s="14" t="s">
        <v>113</v>
      </c>
      <c r="S72" s="37" cm="1">
        <f t="array" aca="1" ref="S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210.33790306443206</v>
      </c>
      <c r="T72" s="346" t="s">
        <v>1485</v>
      </c>
      <c r="U72" s="347">
        <f ca="1">S72/g2lb/S69</f>
        <v>13807.3117945984</v>
      </c>
      <c r="V72" s="347">
        <v>210.33790306443206</v>
      </c>
      <c r="W72" s="347">
        <v>13807.3117945984</v>
      </c>
      <c r="X72" s="14" t="s">
        <v>12</v>
      </c>
      <c r="Y72" s="346" t="s">
        <v>413</v>
      </c>
      <c r="Z72" s="14" t="str">
        <f>IF(ISBLANK(LCI_Table[[#This Row],[Notes for user]])," ",LCI_Table[[#This Row],[Notes for user]])</f>
        <v xml:space="preserve"> </v>
      </c>
      <c r="AA72" s="14"/>
      <c r="AB72" s="14"/>
      <c r="AC72" s="346">
        <f ca="1">LCI_Table[[#This Row],[Default Calculated Value]]-LCI_Table[[#This Row],[Calculated Value]]</f>
        <v>0</v>
      </c>
    </row>
    <row r="73" spans="1:29" x14ac:dyDescent="0.3">
      <c r="A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pond_Palm_Farming_CaCO3CaCO3</v>
      </c>
      <c r="B73" s="14" t="s">
        <v>122</v>
      </c>
      <c r="C73" s="14" t="s">
        <v>30</v>
      </c>
      <c r="D73" s="14" t="s">
        <v>29</v>
      </c>
      <c r="E73" s="48" t="s">
        <v>29</v>
      </c>
      <c r="F73" s="14" t="s">
        <v>124</v>
      </c>
      <c r="G73" s="14" t="b">
        <f>OR(LCI_Table[[#This Row],[Feedstock]]="All",LCI_Table[[#This Row],[Feedstock]]=SelectedFeedstock)</f>
        <v>0</v>
      </c>
      <c r="H73" s="14" t="b">
        <f>OR(LCI_Table[[#This Row],[Conversion]]="All",LCI_Table[[#This Row],[Conversion]]=SelectedConversion)</f>
        <v>1</v>
      </c>
      <c r="I73" s="14" t="b">
        <f>OR(LCI_Table[[#This Row],[Data Set]]="all",LCI_Table[[#This Row],[Data Set]]=SelectedDataSet)</f>
        <v>1</v>
      </c>
      <c r="J73" s="14" t="b">
        <f>OR(LCI_Table[[#This Row],[Technology]]="All",LCI_Table[[#This Row],[Technology]]=SelectedTechnology)</f>
        <v>0</v>
      </c>
      <c r="K73" s="14" t="b">
        <f>OR(LCI_Table[[#This Row],[Data Source]]="All",LCI_Table[[#This Row],[Data Source]]=SelectedDataSource)</f>
        <v>1</v>
      </c>
      <c r="L73" s="14" t="b">
        <f>TRUE</f>
        <v>1</v>
      </c>
      <c r="M73" s="14" t="b">
        <f>(LCI_Table[[#This Row],[Dev Notes]]="Do not display")</f>
        <v>0</v>
      </c>
      <c r="N73" s="14" t="b">
        <f>AND(LCI_Table[[#This Row],[Show Feedstock]:[Conditional]],NOT(LCI_Table[[#This Row],[Hide Row]]))</f>
        <v>0</v>
      </c>
      <c r="O73" s="14" t="b">
        <f>LCI_Table[[#This Row],[GREET1 Name Range]]=""</f>
        <v>0</v>
      </c>
      <c r="P73" s="14" t="s">
        <v>14</v>
      </c>
      <c r="Q73" s="14" t="s">
        <v>749</v>
      </c>
      <c r="R73" s="14" t="s">
        <v>141</v>
      </c>
      <c r="S73" s="37" cm="1">
        <f t="array" aca="1" ref="S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3" s="346" t="s">
        <v>1485</v>
      </c>
      <c r="U73" s="347">
        <f ca="1">S73/g2lb/S69</f>
        <v>0</v>
      </c>
      <c r="V73" s="347">
        <v>0</v>
      </c>
      <c r="W73" s="347">
        <v>0</v>
      </c>
      <c r="X73" s="14" t="s">
        <v>12</v>
      </c>
      <c r="Y73" s="346" t="s">
        <v>413</v>
      </c>
      <c r="Z73" s="14" t="str">
        <f>IF(ISBLANK(LCI_Table[[#This Row],[Notes for user]])," ",LCI_Table[[#This Row],[Notes for user]])</f>
        <v xml:space="preserve"> </v>
      </c>
      <c r="AA73" s="14"/>
      <c r="AB73" s="14"/>
      <c r="AC73" s="346">
        <f ca="1">LCI_Table[[#This Row],[Default Calculated Value]]-LCI_Table[[#This Row],[Calculated Value]]</f>
        <v>0</v>
      </c>
    </row>
    <row r="74" spans="1:29" x14ac:dyDescent="0.3">
      <c r="A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pond_Palm_Farming_HerbicidesHerbicides</v>
      </c>
      <c r="B74" s="14" t="s">
        <v>122</v>
      </c>
      <c r="C74" s="14" t="s">
        <v>30</v>
      </c>
      <c r="D74" s="14" t="s">
        <v>29</v>
      </c>
      <c r="E74" s="48" t="s">
        <v>29</v>
      </c>
      <c r="F74" s="14" t="s">
        <v>124</v>
      </c>
      <c r="G74" s="14" t="b">
        <f>OR(LCI_Table[[#This Row],[Feedstock]]="All",LCI_Table[[#This Row],[Feedstock]]=SelectedFeedstock)</f>
        <v>0</v>
      </c>
      <c r="H74" s="14" t="b">
        <f>OR(LCI_Table[[#This Row],[Conversion]]="All",LCI_Table[[#This Row],[Conversion]]=SelectedConversion)</f>
        <v>1</v>
      </c>
      <c r="I74" s="14" t="b">
        <f>OR(LCI_Table[[#This Row],[Data Set]]="all",LCI_Table[[#This Row],[Data Set]]=SelectedDataSet)</f>
        <v>1</v>
      </c>
      <c r="J74" s="14" t="b">
        <f>OR(LCI_Table[[#This Row],[Technology]]="All",LCI_Table[[#This Row],[Technology]]=SelectedTechnology)</f>
        <v>0</v>
      </c>
      <c r="K74" s="14" t="b">
        <f>OR(LCI_Table[[#This Row],[Data Source]]="All",LCI_Table[[#This Row],[Data Source]]=SelectedDataSource)</f>
        <v>1</v>
      </c>
      <c r="L74" s="14" t="b">
        <f>TRUE</f>
        <v>1</v>
      </c>
      <c r="M74" s="14" t="b">
        <f>(LCI_Table[[#This Row],[Dev Notes]]="Do not display")</f>
        <v>0</v>
      </c>
      <c r="N74" s="14" t="b">
        <f>AND(LCI_Table[[#This Row],[Show Feedstock]:[Conditional]],NOT(LCI_Table[[#This Row],[Hide Row]]))</f>
        <v>0</v>
      </c>
      <c r="O74" s="14" t="b">
        <f>LCI_Table[[#This Row],[GREET1 Name Range]]=""</f>
        <v>0</v>
      </c>
      <c r="P74" s="14" t="s">
        <v>14</v>
      </c>
      <c r="Q74" s="14" t="s">
        <v>754</v>
      </c>
      <c r="R74" s="14" t="s">
        <v>356</v>
      </c>
      <c r="S74" s="37" cm="1">
        <f t="array" aca="1" ref="S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0.61030686899524533</v>
      </c>
      <c r="T74" s="346" t="s">
        <v>1485</v>
      </c>
      <c r="U74" s="347">
        <f ca="1">S74/g2lb/S69</f>
        <v>40.062666347021398</v>
      </c>
      <c r="V74" s="347">
        <v>0.61030686899524533</v>
      </c>
      <c r="W74" s="347">
        <v>40.062666347021398</v>
      </c>
      <c r="X74" s="14" t="s">
        <v>12</v>
      </c>
      <c r="Y74" s="346" t="s">
        <v>413</v>
      </c>
      <c r="Z74" s="14" t="str">
        <f>IF(ISBLANK(LCI_Table[[#This Row],[Notes for user]])," ",LCI_Table[[#This Row],[Notes for user]])</f>
        <v xml:space="preserve"> </v>
      </c>
      <c r="AA74" s="14"/>
      <c r="AB74" s="14"/>
      <c r="AC74" s="346">
        <f ca="1">LCI_Table[[#This Row],[Default Calculated Value]]-LCI_Table[[#This Row],[Calculated Value]]</f>
        <v>0</v>
      </c>
    </row>
    <row r="75" spans="1:29" x14ac:dyDescent="0.3">
      <c r="A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pond_Palm_Farming_InsecticideInsecticide</v>
      </c>
      <c r="B75" s="14" t="s">
        <v>122</v>
      </c>
      <c r="C75" s="14" t="s">
        <v>30</v>
      </c>
      <c r="D75" s="14" t="s">
        <v>29</v>
      </c>
      <c r="E75" s="48" t="s">
        <v>29</v>
      </c>
      <c r="F75" s="14" t="s">
        <v>124</v>
      </c>
      <c r="G75" s="14" t="b">
        <f>OR(LCI_Table[[#This Row],[Feedstock]]="All",LCI_Table[[#This Row],[Feedstock]]=SelectedFeedstock)</f>
        <v>0</v>
      </c>
      <c r="H75" s="14" t="b">
        <f>OR(LCI_Table[[#This Row],[Conversion]]="All",LCI_Table[[#This Row],[Conversion]]=SelectedConversion)</f>
        <v>1</v>
      </c>
      <c r="I75" s="14" t="b">
        <f>OR(LCI_Table[[#This Row],[Data Set]]="all",LCI_Table[[#This Row],[Data Set]]=SelectedDataSet)</f>
        <v>1</v>
      </c>
      <c r="J75" s="14" t="b">
        <f>OR(LCI_Table[[#This Row],[Technology]]="All",LCI_Table[[#This Row],[Technology]]=SelectedTechnology)</f>
        <v>0</v>
      </c>
      <c r="K75" s="14" t="b">
        <f>OR(LCI_Table[[#This Row],[Data Source]]="All",LCI_Table[[#This Row],[Data Source]]=SelectedDataSource)</f>
        <v>1</v>
      </c>
      <c r="L75" s="14" t="b">
        <f>TRUE</f>
        <v>1</v>
      </c>
      <c r="M75" s="14" t="b">
        <f>(LCI_Table[[#This Row],[Dev Notes]]="Do not display")</f>
        <v>0</v>
      </c>
      <c r="N75" s="14" t="b">
        <f>AND(LCI_Table[[#This Row],[Show Feedstock]:[Conditional]],NOT(LCI_Table[[#This Row],[Hide Row]]))</f>
        <v>0</v>
      </c>
      <c r="O75" s="14" t="b">
        <f>LCI_Table[[#This Row],[GREET1 Name Range]]=""</f>
        <v>0</v>
      </c>
      <c r="P75" s="14" t="s">
        <v>14</v>
      </c>
      <c r="Q75" s="14" t="s">
        <v>755</v>
      </c>
      <c r="R75" s="14" t="s">
        <v>114</v>
      </c>
      <c r="S75" s="37" cm="1">
        <f t="array" aca="1" ref="S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2.9425509755127921</v>
      </c>
      <c r="T75" s="346" t="s">
        <v>1485</v>
      </c>
      <c r="U75" s="347">
        <f ca="1">S75/g2lb/S69</f>
        <v>193.15928417313904</v>
      </c>
      <c r="V75" s="347">
        <v>2.9425509755127921</v>
      </c>
      <c r="W75" s="347">
        <v>193.15928417313904</v>
      </c>
      <c r="X75" s="14" t="s">
        <v>12</v>
      </c>
      <c r="Y75" s="346" t="s">
        <v>413</v>
      </c>
      <c r="Z75" s="14" t="str">
        <f>IF(ISBLANK(LCI_Table[[#This Row],[Notes for user]])," ",LCI_Table[[#This Row],[Notes for user]])</f>
        <v xml:space="preserve"> </v>
      </c>
      <c r="AA75" s="14"/>
      <c r="AB75" s="14"/>
      <c r="AC75" s="346">
        <f ca="1">LCI_Table[[#This Row],[Default Calculated Value]]-LCI_Table[[#This Row],[Calculated Value]]</f>
        <v>0</v>
      </c>
    </row>
    <row r="76" spans="1:29" x14ac:dyDescent="0.3">
      <c r="A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pond_Palm_Farming_Residual_oilResidual oil</v>
      </c>
      <c r="B76" s="14" t="s">
        <v>122</v>
      </c>
      <c r="C76" s="14" t="s">
        <v>30</v>
      </c>
      <c r="D76" s="14" t="s">
        <v>29</v>
      </c>
      <c r="E76" s="48" t="s">
        <v>29</v>
      </c>
      <c r="F76" s="14" t="s">
        <v>124</v>
      </c>
      <c r="G76" s="14" t="b">
        <f>OR(LCI_Table[[#This Row],[Feedstock]]="All",LCI_Table[[#This Row],[Feedstock]]=SelectedFeedstock)</f>
        <v>0</v>
      </c>
      <c r="H76" s="14" t="b">
        <f>OR(LCI_Table[[#This Row],[Conversion]]="All",LCI_Table[[#This Row],[Conversion]]=SelectedConversion)</f>
        <v>1</v>
      </c>
      <c r="I76" s="14" t="b">
        <f>OR(LCI_Table[[#This Row],[Data Set]]="all",LCI_Table[[#This Row],[Data Set]]=SelectedDataSet)</f>
        <v>1</v>
      </c>
      <c r="J76" s="14" t="b">
        <f>OR(LCI_Table[[#This Row],[Technology]]="All",LCI_Table[[#This Row],[Technology]]=SelectedTechnology)</f>
        <v>0</v>
      </c>
      <c r="K76" s="14" t="b">
        <f>OR(LCI_Table[[#This Row],[Data Source]]="All",LCI_Table[[#This Row],[Data Source]]=SelectedDataSource)</f>
        <v>1</v>
      </c>
      <c r="L76" s="14" t="b">
        <f>TRUE</f>
        <v>1</v>
      </c>
      <c r="M76" s="14" t="b">
        <f>(LCI_Table[[#This Row],[Dev Notes]]="Do not display")</f>
        <v>0</v>
      </c>
      <c r="N76" s="14" t="b">
        <f>AND(LCI_Table[[#This Row],[Show Feedstock]:[Conditional]],NOT(LCI_Table[[#This Row],[Hide Row]]))</f>
        <v>0</v>
      </c>
      <c r="O76" s="14" t="b">
        <f>LCI_Table[[#This Row],[GREET1 Name Range]]=""</f>
        <v>0</v>
      </c>
      <c r="P76" s="14" t="s">
        <v>14</v>
      </c>
      <c r="Q76" s="14" t="s">
        <v>761</v>
      </c>
      <c r="R76" s="14" t="s">
        <v>115</v>
      </c>
      <c r="S76" s="37" cm="1">
        <f t="array" aca="1" ref="S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6" s="346" t="s">
        <v>1484</v>
      </c>
      <c r="U76" s="347">
        <f ca="1">S76*Fuel_Specs!$B$28/S69</f>
        <v>0</v>
      </c>
      <c r="V76" s="347">
        <v>0</v>
      </c>
      <c r="W76" s="347">
        <v>0</v>
      </c>
      <c r="X76" s="14" t="s">
        <v>5</v>
      </c>
      <c r="Y76" s="346" t="s">
        <v>413</v>
      </c>
      <c r="Z76" s="14" t="str">
        <f>IF(ISBLANK(LCI_Table[[#This Row],[Notes for user]])," ",LCI_Table[[#This Row],[Notes for user]])</f>
        <v xml:space="preserve"> </v>
      </c>
      <c r="AA76" s="14"/>
      <c r="AB76" s="14"/>
      <c r="AC76" s="346">
        <f ca="1">LCI_Table[[#This Row],[Default Calculated Value]]-LCI_Table[[#This Row],[Calculated Value]]</f>
        <v>0</v>
      </c>
    </row>
    <row r="77" spans="1:29" x14ac:dyDescent="0.3">
      <c r="A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pond_Palm_Farming_DieselDiesel</v>
      </c>
      <c r="B77" s="14" t="s">
        <v>122</v>
      </c>
      <c r="C77" s="14" t="s">
        <v>30</v>
      </c>
      <c r="D77" s="14" t="s">
        <v>29</v>
      </c>
      <c r="E77" s="48" t="s">
        <v>29</v>
      </c>
      <c r="F77" s="14" t="s">
        <v>124</v>
      </c>
      <c r="G77" s="14" t="b">
        <f>OR(LCI_Table[[#This Row],[Feedstock]]="All",LCI_Table[[#This Row],[Feedstock]]=SelectedFeedstock)</f>
        <v>0</v>
      </c>
      <c r="H77" s="14" t="b">
        <f>OR(LCI_Table[[#This Row],[Conversion]]="All",LCI_Table[[#This Row],[Conversion]]=SelectedConversion)</f>
        <v>1</v>
      </c>
      <c r="I77" s="14" t="b">
        <f>OR(LCI_Table[[#This Row],[Data Set]]="all",LCI_Table[[#This Row],[Data Set]]=SelectedDataSet)</f>
        <v>1</v>
      </c>
      <c r="J77" s="14" t="b">
        <f>OR(LCI_Table[[#This Row],[Technology]]="All",LCI_Table[[#This Row],[Technology]]=SelectedTechnology)</f>
        <v>0</v>
      </c>
      <c r="K77" s="14" t="b">
        <f>OR(LCI_Table[[#This Row],[Data Source]]="All",LCI_Table[[#This Row],[Data Source]]=SelectedDataSource)</f>
        <v>1</v>
      </c>
      <c r="L77" s="14" t="b">
        <f>TRUE</f>
        <v>1</v>
      </c>
      <c r="M77" s="14" t="b">
        <f>(LCI_Table[[#This Row],[Dev Notes]]="Do not display")</f>
        <v>0</v>
      </c>
      <c r="N77" s="14" t="b">
        <f>AND(LCI_Table[[#This Row],[Show Feedstock]:[Conditional]],NOT(LCI_Table[[#This Row],[Hide Row]]))</f>
        <v>0</v>
      </c>
      <c r="O77" s="14" t="b">
        <f>LCI_Table[[#This Row],[GREET1 Name Range]]=""</f>
        <v>0</v>
      </c>
      <c r="P77" s="14" t="s">
        <v>14</v>
      </c>
      <c r="Q77" s="14" t="s">
        <v>751</v>
      </c>
      <c r="R77" s="14" t="s">
        <v>106</v>
      </c>
      <c r="S77" s="37" cm="1">
        <f t="array" aca="1" ref="S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11.675293702631897</v>
      </c>
      <c r="T77" s="346" t="s">
        <v>1484</v>
      </c>
      <c r="U77" s="347">
        <f ca="1">S77*Fuel_Specs!$B$19/S69</f>
        <v>217034</v>
      </c>
      <c r="V77" s="347">
        <v>11.675293702631897</v>
      </c>
      <c r="W77" s="347">
        <v>217034</v>
      </c>
      <c r="X77" s="14" t="s">
        <v>5</v>
      </c>
      <c r="Y77" s="346" t="s">
        <v>413</v>
      </c>
      <c r="Z77" s="14" t="str">
        <f>IF(ISBLANK(LCI_Table[[#This Row],[Notes for user]])," ",LCI_Table[[#This Row],[Notes for user]])</f>
        <v xml:space="preserve"> </v>
      </c>
      <c r="AA77" s="14"/>
      <c r="AB77" s="14"/>
      <c r="AC77" s="346">
        <f ca="1">LCI_Table[[#This Row],[Default Calculated Value]]-LCI_Table[[#This Row],[Calculated Value]]</f>
        <v>0</v>
      </c>
    </row>
    <row r="78" spans="1:29" x14ac:dyDescent="0.3">
      <c r="A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pond_Palm_Farming_GasolineGasoline</v>
      </c>
      <c r="B78" s="14" t="s">
        <v>122</v>
      </c>
      <c r="C78" s="14" t="s">
        <v>30</v>
      </c>
      <c r="D78" s="14" t="s">
        <v>29</v>
      </c>
      <c r="E78" s="48" t="s">
        <v>29</v>
      </c>
      <c r="F78" s="14" t="s">
        <v>124</v>
      </c>
      <c r="G78" s="14" t="b">
        <f>OR(LCI_Table[[#This Row],[Feedstock]]="All",LCI_Table[[#This Row],[Feedstock]]=SelectedFeedstock)</f>
        <v>0</v>
      </c>
      <c r="H78" s="14" t="b">
        <f>OR(LCI_Table[[#This Row],[Conversion]]="All",LCI_Table[[#This Row],[Conversion]]=SelectedConversion)</f>
        <v>1</v>
      </c>
      <c r="I78" s="14" t="b">
        <f>OR(LCI_Table[[#This Row],[Data Set]]="all",LCI_Table[[#This Row],[Data Set]]=SelectedDataSet)</f>
        <v>1</v>
      </c>
      <c r="J78" s="14" t="b">
        <f>OR(LCI_Table[[#This Row],[Technology]]="All",LCI_Table[[#This Row],[Technology]]=SelectedTechnology)</f>
        <v>0</v>
      </c>
      <c r="K78" s="14" t="b">
        <f>OR(LCI_Table[[#This Row],[Data Source]]="All",LCI_Table[[#This Row],[Data Source]]=SelectedDataSource)</f>
        <v>1</v>
      </c>
      <c r="L78" s="14" t="b">
        <f>TRUE</f>
        <v>1</v>
      </c>
      <c r="M78" s="14" t="b">
        <f>(LCI_Table[[#This Row],[Dev Notes]]="Do not display")</f>
        <v>0</v>
      </c>
      <c r="N78" s="14" t="b">
        <f>AND(LCI_Table[[#This Row],[Show Feedstock]:[Conditional]],NOT(LCI_Table[[#This Row],[Hide Row]]))</f>
        <v>0</v>
      </c>
      <c r="O78" s="14" t="b">
        <f>LCI_Table[[#This Row],[GREET1 Name Range]]=""</f>
        <v>0</v>
      </c>
      <c r="P78" s="14" t="s">
        <v>14</v>
      </c>
      <c r="Q78" s="14" t="s">
        <v>753</v>
      </c>
      <c r="R78" s="14" t="s">
        <v>107</v>
      </c>
      <c r="S78" s="37" cm="1">
        <f t="array" aca="1" ref="S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8" s="346" t="s">
        <v>1484</v>
      </c>
      <c r="U78" s="347">
        <f ca="1">S78*Fuel_Specs!$B$15/S69</f>
        <v>0</v>
      </c>
      <c r="V78" s="347">
        <v>0</v>
      </c>
      <c r="W78" s="347">
        <v>0</v>
      </c>
      <c r="X78" s="14" t="s">
        <v>5</v>
      </c>
      <c r="Y78" s="346" t="s">
        <v>413</v>
      </c>
      <c r="Z78" s="14" t="str">
        <f>IF(ISBLANK(LCI_Table[[#This Row],[Notes for user]])," ",LCI_Table[[#This Row],[Notes for user]])</f>
        <v xml:space="preserve"> </v>
      </c>
      <c r="AA78" s="14"/>
      <c r="AB78" s="14"/>
      <c r="AC78" s="346">
        <f ca="1">LCI_Table[[#This Row],[Default Calculated Value]]-LCI_Table[[#This Row],[Calculated Value]]</f>
        <v>0</v>
      </c>
    </row>
    <row r="79" spans="1:29" x14ac:dyDescent="0.3">
      <c r="A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pond_Palm_Farming_Natural_gasNatural gas</v>
      </c>
      <c r="B79" s="14" t="s">
        <v>122</v>
      </c>
      <c r="C79" s="14" t="s">
        <v>30</v>
      </c>
      <c r="D79" s="14" t="s">
        <v>29</v>
      </c>
      <c r="E79" s="48" t="s">
        <v>29</v>
      </c>
      <c r="F79" s="14" t="s">
        <v>124</v>
      </c>
      <c r="G79" s="14" t="b">
        <f>OR(LCI_Table[[#This Row],[Feedstock]]="All",LCI_Table[[#This Row],[Feedstock]]=SelectedFeedstock)</f>
        <v>0</v>
      </c>
      <c r="H79" s="14" t="b">
        <f>OR(LCI_Table[[#This Row],[Conversion]]="All",LCI_Table[[#This Row],[Conversion]]=SelectedConversion)</f>
        <v>1</v>
      </c>
      <c r="I79" s="14" t="b">
        <f>OR(LCI_Table[[#This Row],[Data Set]]="all",LCI_Table[[#This Row],[Data Set]]=SelectedDataSet)</f>
        <v>1</v>
      </c>
      <c r="J79" s="14" t="b">
        <f>OR(LCI_Table[[#This Row],[Technology]]="All",LCI_Table[[#This Row],[Technology]]=SelectedTechnology)</f>
        <v>0</v>
      </c>
      <c r="K79" s="14" t="b">
        <f>OR(LCI_Table[[#This Row],[Data Source]]="All",LCI_Table[[#This Row],[Data Source]]=SelectedDataSource)</f>
        <v>1</v>
      </c>
      <c r="L79" s="14" t="b">
        <f>TRUE</f>
        <v>1</v>
      </c>
      <c r="M79" s="14" t="b">
        <f>(LCI_Table[[#This Row],[Dev Notes]]="Do not display")</f>
        <v>0</v>
      </c>
      <c r="N79" s="14" t="b">
        <f>AND(LCI_Table[[#This Row],[Show Feedstock]:[Conditional]],NOT(LCI_Table[[#This Row],[Hide Row]]))</f>
        <v>0</v>
      </c>
      <c r="O79" s="14" t="b">
        <f>LCI_Table[[#This Row],[GREET1 Name Range]]=""</f>
        <v>0</v>
      </c>
      <c r="P79" s="14" t="s">
        <v>14</v>
      </c>
      <c r="Q79" s="14" t="s">
        <v>758</v>
      </c>
      <c r="R79" s="14" t="s">
        <v>108</v>
      </c>
      <c r="S79" s="37" cm="1">
        <f t="array" aca="1" ref="S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9" s="346" t="s">
        <v>2109</v>
      </c>
      <c r="U79" s="347">
        <f ca="1">S79*Fuel_Specs!$B$79/S69</f>
        <v>0</v>
      </c>
      <c r="V79" s="347">
        <v>0</v>
      </c>
      <c r="W79" s="347">
        <v>0</v>
      </c>
      <c r="X79" s="14" t="s">
        <v>351</v>
      </c>
      <c r="Y79" s="346" t="s">
        <v>413</v>
      </c>
      <c r="Z79" s="14" t="str">
        <f>IF(ISBLANK(LCI_Table[[#This Row],[Notes for user]])," ",LCI_Table[[#This Row],[Notes for user]])</f>
        <v xml:space="preserve"> </v>
      </c>
      <c r="AA79" s="14"/>
      <c r="AB79" s="14"/>
      <c r="AC79" s="346">
        <f ca="1">LCI_Table[[#This Row],[Default Calculated Value]]-LCI_Table[[#This Row],[Calculated Value]]</f>
        <v>0</v>
      </c>
    </row>
    <row r="80" spans="1:29" x14ac:dyDescent="0.3">
      <c r="A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pond_Palm_Farming_CoalCoal</v>
      </c>
      <c r="B80" s="14" t="s">
        <v>122</v>
      </c>
      <c r="C80" s="14" t="s">
        <v>30</v>
      </c>
      <c r="D80" s="14" t="s">
        <v>29</v>
      </c>
      <c r="E80" s="48" t="s">
        <v>29</v>
      </c>
      <c r="F80" s="14" t="s">
        <v>124</v>
      </c>
      <c r="G80" s="14" t="b">
        <f>OR(LCI_Table[[#This Row],[Feedstock]]="All",LCI_Table[[#This Row],[Feedstock]]=SelectedFeedstock)</f>
        <v>0</v>
      </c>
      <c r="H80" s="14" t="b">
        <f>OR(LCI_Table[[#This Row],[Conversion]]="All",LCI_Table[[#This Row],[Conversion]]=SelectedConversion)</f>
        <v>1</v>
      </c>
      <c r="I80" s="14" t="b">
        <f>OR(LCI_Table[[#This Row],[Data Set]]="all",LCI_Table[[#This Row],[Data Set]]=SelectedDataSet)</f>
        <v>1</v>
      </c>
      <c r="J80" s="14" t="b">
        <f>OR(LCI_Table[[#This Row],[Technology]]="All",LCI_Table[[#This Row],[Technology]]=SelectedTechnology)</f>
        <v>0</v>
      </c>
      <c r="K80" s="14" t="b">
        <f>OR(LCI_Table[[#This Row],[Data Source]]="All",LCI_Table[[#This Row],[Data Source]]=SelectedDataSource)</f>
        <v>1</v>
      </c>
      <c r="L80" s="14" t="b">
        <f>TRUE</f>
        <v>1</v>
      </c>
      <c r="M80" s="14" t="b">
        <f>(LCI_Table[[#This Row],[Dev Notes]]="Do not display")</f>
        <v>0</v>
      </c>
      <c r="N80" s="14" t="b">
        <f>AND(LCI_Table[[#This Row],[Show Feedstock]:[Conditional]],NOT(LCI_Table[[#This Row],[Hide Row]]))</f>
        <v>0</v>
      </c>
      <c r="O80" s="14" t="b">
        <f>LCI_Table[[#This Row],[GREET1 Name Range]]=""</f>
        <v>0</v>
      </c>
      <c r="P80" s="14" t="s">
        <v>14</v>
      </c>
      <c r="Q80" s="14" t="s">
        <v>750</v>
      </c>
      <c r="R80" s="14" t="s">
        <v>9</v>
      </c>
      <c r="S80" s="37" cm="1">
        <f t="array" aca="1" ref="S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0" s="346" t="s">
        <v>2110</v>
      </c>
      <c r="U80" s="347">
        <f ca="1">S80/S69</f>
        <v>0</v>
      </c>
      <c r="V80" s="347">
        <v>0</v>
      </c>
      <c r="W80" s="347">
        <v>0</v>
      </c>
      <c r="X80" s="14" t="s">
        <v>117</v>
      </c>
      <c r="Y80" s="346" t="s">
        <v>413</v>
      </c>
      <c r="Z80" s="14" t="str">
        <f>IF(ISBLANK(LCI_Table[[#This Row],[Notes for user]])," ",LCI_Table[[#This Row],[Notes for user]])</f>
        <v xml:space="preserve"> </v>
      </c>
      <c r="AA80" s="14"/>
      <c r="AB80" s="14"/>
      <c r="AC80" s="346">
        <f ca="1">LCI_Table[[#This Row],[Default Calculated Value]]-LCI_Table[[#This Row],[Calculated Value]]</f>
        <v>0</v>
      </c>
    </row>
    <row r="81" spans="1:29" x14ac:dyDescent="0.3">
      <c r="A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pond_Palm_Farming_LPGLPG</v>
      </c>
      <c r="B81" s="14" t="s">
        <v>122</v>
      </c>
      <c r="C81" s="14" t="s">
        <v>30</v>
      </c>
      <c r="D81" s="14" t="s">
        <v>29</v>
      </c>
      <c r="E81" s="48" t="s">
        <v>29</v>
      </c>
      <c r="F81" s="14" t="s">
        <v>124</v>
      </c>
      <c r="G81" s="14" t="b">
        <f>OR(LCI_Table[[#This Row],[Feedstock]]="All",LCI_Table[[#This Row],[Feedstock]]=SelectedFeedstock)</f>
        <v>0</v>
      </c>
      <c r="H81" s="14" t="b">
        <f>OR(LCI_Table[[#This Row],[Conversion]]="All",LCI_Table[[#This Row],[Conversion]]=SelectedConversion)</f>
        <v>1</v>
      </c>
      <c r="I81" s="14" t="b">
        <f>OR(LCI_Table[[#This Row],[Data Set]]="all",LCI_Table[[#This Row],[Data Set]]=SelectedDataSet)</f>
        <v>1</v>
      </c>
      <c r="J81" s="14" t="b">
        <f>OR(LCI_Table[[#This Row],[Technology]]="All",LCI_Table[[#This Row],[Technology]]=SelectedTechnology)</f>
        <v>0</v>
      </c>
      <c r="K81" s="14" t="b">
        <f>OR(LCI_Table[[#This Row],[Data Source]]="All",LCI_Table[[#This Row],[Data Source]]=SelectedDataSource)</f>
        <v>1</v>
      </c>
      <c r="L81" s="14" t="b">
        <f>TRUE</f>
        <v>1</v>
      </c>
      <c r="M81" s="14" t="b">
        <f>(LCI_Table[[#This Row],[Dev Notes]]="Do not display")</f>
        <v>0</v>
      </c>
      <c r="N81" s="14" t="b">
        <f>AND(LCI_Table[[#This Row],[Show Feedstock]:[Conditional]],NOT(LCI_Table[[#This Row],[Hide Row]]))</f>
        <v>0</v>
      </c>
      <c r="O81" s="14" t="b">
        <f>LCI_Table[[#This Row],[GREET1 Name Range]]=""</f>
        <v>0</v>
      </c>
      <c r="P81" s="14" t="s">
        <v>14</v>
      </c>
      <c r="Q81" s="14" t="s">
        <v>757</v>
      </c>
      <c r="R81" s="14" t="s">
        <v>109</v>
      </c>
      <c r="S81" s="37" cm="1">
        <f t="array" aca="1" ref="S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1" s="346" t="s">
        <v>1484</v>
      </c>
      <c r="U81" s="347">
        <f ca="1">S81*Fuel_Specs!$B$35/S69</f>
        <v>0</v>
      </c>
      <c r="V81" s="347">
        <v>0</v>
      </c>
      <c r="W81" s="347">
        <v>0</v>
      </c>
      <c r="X81" s="14" t="s">
        <v>5</v>
      </c>
      <c r="Y81" s="346" t="s">
        <v>413</v>
      </c>
      <c r="Z81" s="14" t="str">
        <f>IF(ISBLANK(LCI_Table[[#This Row],[Notes for user]])," ",LCI_Table[[#This Row],[Notes for user]])</f>
        <v xml:space="preserve"> </v>
      </c>
      <c r="AA81" s="14"/>
      <c r="AB81" s="14"/>
      <c r="AC81" s="346">
        <f ca="1">LCI_Table[[#This Row],[Default Calculated Value]]-LCI_Table[[#This Row],[Calculated Value]]</f>
        <v>0</v>
      </c>
    </row>
    <row r="82" spans="1:29" x14ac:dyDescent="0.3">
      <c r="A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pond_Palm_Farming_ElectricityElectricity</v>
      </c>
      <c r="B82" s="14" t="s">
        <v>122</v>
      </c>
      <c r="C82" s="14" t="s">
        <v>30</v>
      </c>
      <c r="D82" s="14" t="s">
        <v>29</v>
      </c>
      <c r="E82" s="48" t="s">
        <v>29</v>
      </c>
      <c r="F82" s="14" t="s">
        <v>124</v>
      </c>
      <c r="G82" s="14" t="b">
        <f>OR(LCI_Table[[#This Row],[Feedstock]]="All",LCI_Table[[#This Row],[Feedstock]]=SelectedFeedstock)</f>
        <v>0</v>
      </c>
      <c r="H82" s="14" t="b">
        <f>OR(LCI_Table[[#This Row],[Conversion]]="All",LCI_Table[[#This Row],[Conversion]]=SelectedConversion)</f>
        <v>1</v>
      </c>
      <c r="I82" s="14" t="b">
        <f>OR(LCI_Table[[#This Row],[Data Set]]="all",LCI_Table[[#This Row],[Data Set]]=SelectedDataSet)</f>
        <v>1</v>
      </c>
      <c r="J82" s="14" t="b">
        <f>OR(LCI_Table[[#This Row],[Technology]]="All",LCI_Table[[#This Row],[Technology]]=SelectedTechnology)</f>
        <v>0</v>
      </c>
      <c r="K82" s="14" t="b">
        <f>OR(LCI_Table[[#This Row],[Data Source]]="All",LCI_Table[[#This Row],[Data Source]]=SelectedDataSource)</f>
        <v>1</v>
      </c>
      <c r="L82" s="14" t="b">
        <f>TRUE</f>
        <v>1</v>
      </c>
      <c r="M82" s="14" t="b">
        <f>(LCI_Table[[#This Row],[Dev Notes]]="Do not display")</f>
        <v>0</v>
      </c>
      <c r="N82" s="14" t="b">
        <f>AND(LCI_Table[[#This Row],[Show Feedstock]:[Conditional]],NOT(LCI_Table[[#This Row],[Hide Row]]))</f>
        <v>0</v>
      </c>
      <c r="O82" s="14" t="b">
        <f>LCI_Table[[#This Row],[GREET1 Name Range]]=""</f>
        <v>0</v>
      </c>
      <c r="P82" s="14" t="s">
        <v>14</v>
      </c>
      <c r="Q82" s="14" t="s">
        <v>752</v>
      </c>
      <c r="R82" s="14" t="s">
        <v>110</v>
      </c>
      <c r="S82" s="37" cm="1">
        <f t="array" aca="1" ref="S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2" s="346" t="s">
        <v>1561</v>
      </c>
      <c r="U82" s="347">
        <f ca="1">S82/BTU2kWh/S69</f>
        <v>0</v>
      </c>
      <c r="V82" s="347">
        <v>0</v>
      </c>
      <c r="W82" s="347">
        <v>0</v>
      </c>
      <c r="X82" s="14" t="s">
        <v>51</v>
      </c>
      <c r="Y82" s="346" t="s">
        <v>413</v>
      </c>
      <c r="Z82" s="14" t="str">
        <f>IF(ISBLANK(LCI_Table[[#This Row],[Notes for user]])," ",LCI_Table[[#This Row],[Notes for user]])</f>
        <v xml:space="preserve"> </v>
      </c>
      <c r="AA82" s="14"/>
      <c r="AB82" s="14"/>
      <c r="AC82" s="346">
        <f ca="1">LCI_Table[[#This Row],[Default Calculated Value]]-LCI_Table[[#This Row],[Calculated Value]]</f>
        <v>0</v>
      </c>
    </row>
    <row r="83" spans="1:29" x14ac:dyDescent="0.3">
      <c r="A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dash_PalmHEFAGREETGREETOpen pond_Palm FFB_Extraction</v>
      </c>
      <c r="B83" s="14" t="s">
        <v>122</v>
      </c>
      <c r="C83" s="14" t="s">
        <v>30</v>
      </c>
      <c r="D83" s="14" t="s">
        <v>29</v>
      </c>
      <c r="E83" s="48" t="s">
        <v>29</v>
      </c>
      <c r="F83" s="14" t="s">
        <v>124</v>
      </c>
      <c r="G83" s="14" t="b">
        <f>OR(LCI_Table[[#This Row],[Feedstock]]="All",LCI_Table[[#This Row],[Feedstock]]=SelectedFeedstock)</f>
        <v>0</v>
      </c>
      <c r="H83" s="14" t="b">
        <f>OR(LCI_Table[[#This Row],[Conversion]]="All",LCI_Table[[#This Row],[Conversion]]=SelectedConversion)</f>
        <v>1</v>
      </c>
      <c r="I83" s="14" t="b">
        <f>OR(LCI_Table[[#This Row],[Data Set]]="all",LCI_Table[[#This Row],[Data Set]]=SelectedDataSet)</f>
        <v>1</v>
      </c>
      <c r="J83" s="14" t="b">
        <f>OR(LCI_Table[[#This Row],[Technology]]="All",LCI_Table[[#This Row],[Technology]]=SelectedTechnology)</f>
        <v>0</v>
      </c>
      <c r="K83" s="14" t="b">
        <f>OR(LCI_Table[[#This Row],[Data Source]]="All",LCI_Table[[#This Row],[Data Source]]=SelectedDataSource)</f>
        <v>1</v>
      </c>
      <c r="L83" s="14" t="b">
        <f>TRUE</f>
        <v>1</v>
      </c>
      <c r="M83" s="14" t="b">
        <f>(LCI_Table[[#This Row],[Dev Notes]]="Do not display")</f>
        <v>1</v>
      </c>
      <c r="N83" s="14" t="b">
        <f>AND(LCI_Table[[#This Row],[Show Feedstock]:[Conditional]],NOT(LCI_Table[[#This Row],[Hide Row]]))</f>
        <v>0</v>
      </c>
      <c r="O83" s="14" t="b">
        <f>LCI_Table[[#This Row],[GREET1 Name Range]]=""</f>
        <v>1</v>
      </c>
      <c r="P83" s="14" t="s">
        <v>15</v>
      </c>
      <c r="Q83" s="14" t="s">
        <v>361</v>
      </c>
      <c r="R83" s="14" t="s">
        <v>358</v>
      </c>
      <c r="S83" s="37" cm="1">
        <f t="array" aca="1" ref="S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3.7477200231027479</v>
      </c>
      <c r="T83" s="346" t="s">
        <v>2111</v>
      </c>
      <c r="U83" s="347">
        <f ca="1">S83/MT2lb</f>
        <v>1.69993720737563E-3</v>
      </c>
      <c r="V83" s="347">
        <v>3.7477200231027479</v>
      </c>
      <c r="W83" s="347">
        <v>1.69993720737563E-3</v>
      </c>
      <c r="X83" s="14" t="s">
        <v>12</v>
      </c>
      <c r="Y83" s="346" t="s">
        <v>891</v>
      </c>
      <c r="Z83" s="14" t="str">
        <f>IF(ISBLANK(LCI_Table[[#This Row],[Notes for user]])," ",LCI_Table[[#This Row],[Notes for user]])</f>
        <v xml:space="preserve"> </v>
      </c>
      <c r="AA83" s="348"/>
      <c r="AB83" s="348" t="s">
        <v>1138</v>
      </c>
      <c r="AC83" s="346">
        <f ca="1">LCI_Table[[#This Row],[Default Calculated Value]]-LCI_Table[[#This Row],[Calculated Value]]</f>
        <v>0</v>
      </c>
    </row>
    <row r="84" spans="1:29" x14ac:dyDescent="0.3">
      <c r="A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pond_Palm_Extraction_Residual_oilResidual oil</v>
      </c>
      <c r="B84" s="14" t="s">
        <v>122</v>
      </c>
      <c r="C84" s="14" t="s">
        <v>30</v>
      </c>
      <c r="D84" s="14" t="s">
        <v>29</v>
      </c>
      <c r="E84" s="48" t="s">
        <v>29</v>
      </c>
      <c r="F84" s="14" t="s">
        <v>124</v>
      </c>
      <c r="G84" s="14" t="b">
        <f>OR(LCI_Table[[#This Row],[Feedstock]]="All",LCI_Table[[#This Row],[Feedstock]]=SelectedFeedstock)</f>
        <v>0</v>
      </c>
      <c r="H84" s="14" t="b">
        <f>OR(LCI_Table[[#This Row],[Conversion]]="All",LCI_Table[[#This Row],[Conversion]]=SelectedConversion)</f>
        <v>1</v>
      </c>
      <c r="I84" s="14" t="b">
        <f>OR(LCI_Table[[#This Row],[Data Set]]="all",LCI_Table[[#This Row],[Data Set]]=SelectedDataSet)</f>
        <v>1</v>
      </c>
      <c r="J84" s="14" t="b">
        <f>OR(LCI_Table[[#This Row],[Technology]]="All",LCI_Table[[#This Row],[Technology]]=SelectedTechnology)</f>
        <v>0</v>
      </c>
      <c r="K84" s="14" t="b">
        <f>OR(LCI_Table[[#This Row],[Data Source]]="All",LCI_Table[[#This Row],[Data Source]]=SelectedDataSource)</f>
        <v>1</v>
      </c>
      <c r="L84" s="14" t="b">
        <f>TRUE</f>
        <v>1</v>
      </c>
      <c r="M84" s="14" t="b">
        <f>(LCI_Table[[#This Row],[Dev Notes]]="Do not display")</f>
        <v>0</v>
      </c>
      <c r="N84" s="14" t="b">
        <f>AND(LCI_Table[[#This Row],[Show Feedstock]:[Conditional]],NOT(LCI_Table[[#This Row],[Hide Row]]))</f>
        <v>0</v>
      </c>
      <c r="O84" s="14" t="b">
        <f>LCI_Table[[#This Row],[GREET1 Name Range]]=""</f>
        <v>0</v>
      </c>
      <c r="P84" s="14" t="s">
        <v>15</v>
      </c>
      <c r="Q84" s="14" t="s">
        <v>748</v>
      </c>
      <c r="R84" s="14" t="s">
        <v>115</v>
      </c>
      <c r="S84" s="37" cm="1">
        <f t="array" aca="1" ref="S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4" s="346" t="s">
        <v>2112</v>
      </c>
      <c r="U84" s="347">
        <f ca="1">S84*Fuel_Specs!$B$28</f>
        <v>0</v>
      </c>
      <c r="V84" s="347">
        <v>0</v>
      </c>
      <c r="W84" s="347">
        <v>0</v>
      </c>
      <c r="X84" s="14" t="s">
        <v>5</v>
      </c>
      <c r="Y84" s="346" t="s">
        <v>891</v>
      </c>
      <c r="Z84" s="14" t="str">
        <f>IF(ISBLANK(LCI_Table[[#This Row],[Notes for user]])," ",LCI_Table[[#This Row],[Notes for user]])</f>
        <v xml:space="preserve"> </v>
      </c>
      <c r="AA84" s="14"/>
      <c r="AB84" s="14"/>
      <c r="AC84" s="346">
        <f ca="1">LCI_Table[[#This Row],[Default Calculated Value]]-LCI_Table[[#This Row],[Calculated Value]]</f>
        <v>0</v>
      </c>
    </row>
    <row r="85" spans="1:29" x14ac:dyDescent="0.3">
      <c r="A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pond_Palm_Extraction_DieselDiesel</v>
      </c>
      <c r="B85" s="14" t="s">
        <v>122</v>
      </c>
      <c r="C85" s="14" t="s">
        <v>30</v>
      </c>
      <c r="D85" s="14" t="s">
        <v>29</v>
      </c>
      <c r="E85" s="48" t="s">
        <v>29</v>
      </c>
      <c r="F85" s="14" t="s">
        <v>124</v>
      </c>
      <c r="G85" s="14" t="b">
        <f>OR(LCI_Table[[#This Row],[Feedstock]]="All",LCI_Table[[#This Row],[Feedstock]]=SelectedFeedstock)</f>
        <v>0</v>
      </c>
      <c r="H85" s="14" t="b">
        <f>OR(LCI_Table[[#This Row],[Conversion]]="All",LCI_Table[[#This Row],[Conversion]]=SelectedConversion)</f>
        <v>1</v>
      </c>
      <c r="I85" s="14" t="b">
        <f>OR(LCI_Table[[#This Row],[Data Set]]="all",LCI_Table[[#This Row],[Data Set]]=SelectedDataSet)</f>
        <v>1</v>
      </c>
      <c r="J85" s="14" t="b">
        <f>OR(LCI_Table[[#This Row],[Technology]]="All",LCI_Table[[#This Row],[Technology]]=SelectedTechnology)</f>
        <v>0</v>
      </c>
      <c r="K85" s="14" t="b">
        <f>OR(LCI_Table[[#This Row],[Data Source]]="All",LCI_Table[[#This Row],[Data Source]]=SelectedDataSource)</f>
        <v>1</v>
      </c>
      <c r="L85" s="14" t="b">
        <f>TRUE</f>
        <v>1</v>
      </c>
      <c r="M85" s="14" t="b">
        <f>(LCI_Table[[#This Row],[Dev Notes]]="Do not display")</f>
        <v>0</v>
      </c>
      <c r="N85" s="14" t="b">
        <f>AND(LCI_Table[[#This Row],[Show Feedstock]:[Conditional]],NOT(LCI_Table[[#This Row],[Hide Row]]))</f>
        <v>0</v>
      </c>
      <c r="O85" s="14" t="b">
        <f>LCI_Table[[#This Row],[GREET1 Name Range]]=""</f>
        <v>0</v>
      </c>
      <c r="P85" s="14" t="s">
        <v>15</v>
      </c>
      <c r="Q85" s="14" t="s">
        <v>740</v>
      </c>
      <c r="R85" s="14" t="s">
        <v>106</v>
      </c>
      <c r="S85" s="37" cm="1">
        <f t="array" aca="1" ref="S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2.8804982483456596E-4</v>
      </c>
      <c r="T85" s="346" t="s">
        <v>2112</v>
      </c>
      <c r="U85" s="347">
        <f ca="1">S85*Fuel_Specs!$B$19</f>
        <v>37</v>
      </c>
      <c r="V85" s="347">
        <v>2.8804982483456596E-4</v>
      </c>
      <c r="W85" s="347">
        <v>37</v>
      </c>
      <c r="X85" s="14" t="s">
        <v>5</v>
      </c>
      <c r="Y85" s="346" t="s">
        <v>891</v>
      </c>
      <c r="Z85" s="14" t="str">
        <f>IF(ISBLANK(LCI_Table[[#This Row],[Notes for user]])," ",LCI_Table[[#This Row],[Notes for user]])</f>
        <v xml:space="preserve"> </v>
      </c>
      <c r="AA85" s="14"/>
      <c r="AB85" s="14"/>
      <c r="AC85" s="346">
        <f ca="1">LCI_Table[[#This Row],[Default Calculated Value]]-LCI_Table[[#This Row],[Calculated Value]]</f>
        <v>0</v>
      </c>
    </row>
    <row r="86" spans="1:29" x14ac:dyDescent="0.3">
      <c r="A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pond_Palm_Extraction_GasolineGasoline</v>
      </c>
      <c r="B86" s="14" t="s">
        <v>122</v>
      </c>
      <c r="C86" s="14" t="s">
        <v>30</v>
      </c>
      <c r="D86" s="14" t="s">
        <v>29</v>
      </c>
      <c r="E86" s="48" t="s">
        <v>29</v>
      </c>
      <c r="F86" s="14" t="s">
        <v>124</v>
      </c>
      <c r="G86" s="14" t="b">
        <f>OR(LCI_Table[[#This Row],[Feedstock]]="All",LCI_Table[[#This Row],[Feedstock]]=SelectedFeedstock)</f>
        <v>0</v>
      </c>
      <c r="H86" s="14" t="b">
        <f>OR(LCI_Table[[#This Row],[Conversion]]="All",LCI_Table[[#This Row],[Conversion]]=SelectedConversion)</f>
        <v>1</v>
      </c>
      <c r="I86" s="14" t="b">
        <f>OR(LCI_Table[[#This Row],[Data Set]]="all",LCI_Table[[#This Row],[Data Set]]=SelectedDataSet)</f>
        <v>1</v>
      </c>
      <c r="J86" s="14" t="b">
        <f>OR(LCI_Table[[#This Row],[Technology]]="All",LCI_Table[[#This Row],[Technology]]=SelectedTechnology)</f>
        <v>0</v>
      </c>
      <c r="K86" s="14" t="b">
        <f>OR(LCI_Table[[#This Row],[Data Source]]="All",LCI_Table[[#This Row],[Data Source]]=SelectedDataSource)</f>
        <v>1</v>
      </c>
      <c r="L86" s="14" t="b">
        <f>TRUE</f>
        <v>1</v>
      </c>
      <c r="M86" s="14" t="b">
        <f>(LCI_Table[[#This Row],[Dev Notes]]="Do not display")</f>
        <v>0</v>
      </c>
      <c r="N86" s="14" t="b">
        <f>AND(LCI_Table[[#This Row],[Show Feedstock]:[Conditional]],NOT(LCI_Table[[#This Row],[Hide Row]]))</f>
        <v>0</v>
      </c>
      <c r="O86" s="14" t="b">
        <f>LCI_Table[[#This Row],[GREET1 Name Range]]=""</f>
        <v>0</v>
      </c>
      <c r="P86" s="14" t="s">
        <v>15</v>
      </c>
      <c r="Q86" s="14" t="s">
        <v>743</v>
      </c>
      <c r="R86" s="14" t="s">
        <v>107</v>
      </c>
      <c r="S86" s="37" cm="1">
        <f t="array" aca="1" ref="S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6" s="346" t="s">
        <v>2112</v>
      </c>
      <c r="U86" s="347">
        <f ca="1">S86*Fuel_Specs!$B$15</f>
        <v>0</v>
      </c>
      <c r="V86" s="347">
        <v>0</v>
      </c>
      <c r="W86" s="347">
        <v>0</v>
      </c>
      <c r="X86" s="14" t="s">
        <v>5</v>
      </c>
      <c r="Y86" s="346" t="s">
        <v>891</v>
      </c>
      <c r="Z86" s="14" t="str">
        <f>IF(ISBLANK(LCI_Table[[#This Row],[Notes for user]])," ",LCI_Table[[#This Row],[Notes for user]])</f>
        <v xml:space="preserve"> </v>
      </c>
      <c r="AA86" s="14"/>
      <c r="AB86" s="14"/>
      <c r="AC86" s="346">
        <f ca="1">LCI_Table[[#This Row],[Default Calculated Value]]-LCI_Table[[#This Row],[Calculated Value]]</f>
        <v>0</v>
      </c>
    </row>
    <row r="87" spans="1:29" x14ac:dyDescent="0.3">
      <c r="A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pond_Palm_Extraction_Natural_gasNatural gas</v>
      </c>
      <c r="B87" s="14" t="s">
        <v>122</v>
      </c>
      <c r="C87" s="14" t="s">
        <v>30</v>
      </c>
      <c r="D87" s="14" t="s">
        <v>29</v>
      </c>
      <c r="E87" s="48" t="s">
        <v>29</v>
      </c>
      <c r="F87" s="14" t="s">
        <v>124</v>
      </c>
      <c r="G87" s="14" t="b">
        <f>OR(LCI_Table[[#This Row],[Feedstock]]="All",LCI_Table[[#This Row],[Feedstock]]=SelectedFeedstock)</f>
        <v>0</v>
      </c>
      <c r="H87" s="14" t="b">
        <f>OR(LCI_Table[[#This Row],[Conversion]]="All",LCI_Table[[#This Row],[Conversion]]=SelectedConversion)</f>
        <v>1</v>
      </c>
      <c r="I87" s="14" t="b">
        <f>OR(LCI_Table[[#This Row],[Data Set]]="all",LCI_Table[[#This Row],[Data Set]]=SelectedDataSet)</f>
        <v>1</v>
      </c>
      <c r="J87" s="14" t="b">
        <f>OR(LCI_Table[[#This Row],[Technology]]="All",LCI_Table[[#This Row],[Technology]]=SelectedTechnology)</f>
        <v>0</v>
      </c>
      <c r="K87" s="14" t="b">
        <f>OR(LCI_Table[[#This Row],[Data Source]]="All",LCI_Table[[#This Row],[Data Source]]=SelectedDataSource)</f>
        <v>1</v>
      </c>
      <c r="L87" s="14" t="b">
        <f>TRUE</f>
        <v>1</v>
      </c>
      <c r="M87" s="14" t="b">
        <f>(LCI_Table[[#This Row],[Dev Notes]]="Do not display")</f>
        <v>0</v>
      </c>
      <c r="N87" s="14" t="b">
        <f>AND(LCI_Table[[#This Row],[Show Feedstock]:[Conditional]],NOT(LCI_Table[[#This Row],[Hide Row]]))</f>
        <v>0</v>
      </c>
      <c r="O87" s="14" t="b">
        <f>LCI_Table[[#This Row],[GREET1 Name Range]]=""</f>
        <v>0</v>
      </c>
      <c r="P87" s="14" t="s">
        <v>15</v>
      </c>
      <c r="Q87" s="14" t="s">
        <v>747</v>
      </c>
      <c r="R87" s="14" t="s">
        <v>108</v>
      </c>
      <c r="S87" s="37" cm="1">
        <f t="array" aca="1" ref="S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7" s="346" t="s">
        <v>2113</v>
      </c>
      <c r="U87" s="347">
        <f ca="1">S87*Fuel_Specs!$B$79</f>
        <v>0</v>
      </c>
      <c r="V87" s="347">
        <v>0</v>
      </c>
      <c r="W87" s="347">
        <v>0</v>
      </c>
      <c r="X87" s="14" t="s">
        <v>351</v>
      </c>
      <c r="Y87" s="346" t="s">
        <v>891</v>
      </c>
      <c r="Z87" s="14" t="str">
        <f>IF(ISBLANK(LCI_Table[[#This Row],[Notes for user]])," ",LCI_Table[[#This Row],[Notes for user]])</f>
        <v xml:space="preserve"> </v>
      </c>
      <c r="AA87" s="14"/>
      <c r="AB87" s="14"/>
      <c r="AC87" s="346">
        <f ca="1">LCI_Table[[#This Row],[Default Calculated Value]]-LCI_Table[[#This Row],[Calculated Value]]</f>
        <v>0</v>
      </c>
    </row>
    <row r="88" spans="1:29" x14ac:dyDescent="0.3">
      <c r="A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pond_Palm_Extraction_CoalCoal</v>
      </c>
      <c r="B88" s="14" t="s">
        <v>122</v>
      </c>
      <c r="C88" s="14" t="s">
        <v>30</v>
      </c>
      <c r="D88" s="14" t="s">
        <v>29</v>
      </c>
      <c r="E88" s="48" t="s">
        <v>29</v>
      </c>
      <c r="F88" s="14" t="s">
        <v>124</v>
      </c>
      <c r="G88" s="14" t="b">
        <f>OR(LCI_Table[[#This Row],[Feedstock]]="All",LCI_Table[[#This Row],[Feedstock]]=SelectedFeedstock)</f>
        <v>0</v>
      </c>
      <c r="H88" s="14" t="b">
        <f>OR(LCI_Table[[#This Row],[Conversion]]="All",LCI_Table[[#This Row],[Conversion]]=SelectedConversion)</f>
        <v>1</v>
      </c>
      <c r="I88" s="14" t="b">
        <f>OR(LCI_Table[[#This Row],[Data Set]]="all",LCI_Table[[#This Row],[Data Set]]=SelectedDataSet)</f>
        <v>1</v>
      </c>
      <c r="J88" s="14" t="b">
        <f>OR(LCI_Table[[#This Row],[Technology]]="All",LCI_Table[[#This Row],[Technology]]=SelectedTechnology)</f>
        <v>0</v>
      </c>
      <c r="K88" s="14" t="b">
        <f>OR(LCI_Table[[#This Row],[Data Source]]="All",LCI_Table[[#This Row],[Data Source]]=SelectedDataSource)</f>
        <v>1</v>
      </c>
      <c r="L88" s="14" t="b">
        <f>TRUE</f>
        <v>1</v>
      </c>
      <c r="M88" s="14" t="b">
        <f>(LCI_Table[[#This Row],[Dev Notes]]="Do not display")</f>
        <v>0</v>
      </c>
      <c r="N88" s="14" t="b">
        <f>AND(LCI_Table[[#This Row],[Show Feedstock]:[Conditional]],NOT(LCI_Table[[#This Row],[Hide Row]]))</f>
        <v>0</v>
      </c>
      <c r="O88" s="14" t="b">
        <f>LCI_Table[[#This Row],[GREET1 Name Range]]=""</f>
        <v>0</v>
      </c>
      <c r="P88" s="14" t="s">
        <v>15</v>
      </c>
      <c r="Q88" s="14" t="s">
        <v>739</v>
      </c>
      <c r="R88" s="14" t="s">
        <v>9</v>
      </c>
      <c r="S88" s="37" cm="1">
        <f t="array" aca="1" ref="S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8" s="346" t="s">
        <v>2114</v>
      </c>
      <c r="U88" s="347">
        <f ca="1">S88</f>
        <v>0</v>
      </c>
      <c r="V88" s="347">
        <v>0</v>
      </c>
      <c r="W88" s="347">
        <v>0</v>
      </c>
      <c r="X88" s="14" t="s">
        <v>117</v>
      </c>
      <c r="Y88" s="346" t="s">
        <v>891</v>
      </c>
      <c r="Z88" s="14" t="str">
        <f>IF(ISBLANK(LCI_Table[[#This Row],[Notes for user]])," ",LCI_Table[[#This Row],[Notes for user]])</f>
        <v xml:space="preserve"> </v>
      </c>
      <c r="AA88" s="14"/>
      <c r="AB88" s="14"/>
      <c r="AC88" s="346">
        <f ca="1">LCI_Table[[#This Row],[Default Calculated Value]]-LCI_Table[[#This Row],[Calculated Value]]</f>
        <v>0</v>
      </c>
    </row>
    <row r="89" spans="1:29" x14ac:dyDescent="0.3">
      <c r="A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pond_Palm_Extraction_LPGLPG</v>
      </c>
      <c r="B89" s="14" t="s">
        <v>122</v>
      </c>
      <c r="C89" s="14" t="s">
        <v>30</v>
      </c>
      <c r="D89" s="14" t="s">
        <v>29</v>
      </c>
      <c r="E89" s="48" t="s">
        <v>29</v>
      </c>
      <c r="F89" s="14" t="s">
        <v>124</v>
      </c>
      <c r="G89" s="14" t="b">
        <f>OR(LCI_Table[[#This Row],[Feedstock]]="All",LCI_Table[[#This Row],[Feedstock]]=SelectedFeedstock)</f>
        <v>0</v>
      </c>
      <c r="H89" s="14" t="b">
        <f>OR(LCI_Table[[#This Row],[Conversion]]="All",LCI_Table[[#This Row],[Conversion]]=SelectedConversion)</f>
        <v>1</v>
      </c>
      <c r="I89" s="14" t="b">
        <f>OR(LCI_Table[[#This Row],[Data Set]]="all",LCI_Table[[#This Row],[Data Set]]=SelectedDataSet)</f>
        <v>1</v>
      </c>
      <c r="J89" s="14" t="b">
        <f>OR(LCI_Table[[#This Row],[Technology]]="All",LCI_Table[[#This Row],[Technology]]=SelectedTechnology)</f>
        <v>0</v>
      </c>
      <c r="K89" s="14" t="b">
        <f>OR(LCI_Table[[#This Row],[Data Source]]="All",LCI_Table[[#This Row],[Data Source]]=SelectedDataSource)</f>
        <v>1</v>
      </c>
      <c r="L89" s="14" t="b">
        <f>TRUE</f>
        <v>1</v>
      </c>
      <c r="M89" s="14" t="b">
        <f>(LCI_Table[[#This Row],[Dev Notes]]="Do not display")</f>
        <v>0</v>
      </c>
      <c r="N89" s="14" t="b">
        <f>AND(LCI_Table[[#This Row],[Show Feedstock]:[Conditional]],NOT(LCI_Table[[#This Row],[Hide Row]]))</f>
        <v>0</v>
      </c>
      <c r="O89" s="14" t="b">
        <f>LCI_Table[[#This Row],[GREET1 Name Range]]=""</f>
        <v>0</v>
      </c>
      <c r="P89" s="14" t="s">
        <v>15</v>
      </c>
      <c r="Q89" s="14" t="s">
        <v>745</v>
      </c>
      <c r="R89" s="14" t="s">
        <v>109</v>
      </c>
      <c r="S89" s="37" cm="1">
        <f t="array" aca="1" ref="S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9" s="346" t="s">
        <v>2112</v>
      </c>
      <c r="U89" s="347">
        <f ca="1">S89*Fuel_Specs!$B$35</f>
        <v>0</v>
      </c>
      <c r="V89" s="347">
        <v>0</v>
      </c>
      <c r="W89" s="347">
        <v>0</v>
      </c>
      <c r="X89" s="14" t="s">
        <v>5</v>
      </c>
      <c r="Y89" s="346" t="s">
        <v>891</v>
      </c>
      <c r="Z89" s="14" t="str">
        <f>IF(ISBLANK(LCI_Table[[#This Row],[Notes for user]])," ",LCI_Table[[#This Row],[Notes for user]])</f>
        <v xml:space="preserve"> </v>
      </c>
      <c r="AA89" s="14"/>
      <c r="AB89" s="14"/>
      <c r="AC89" s="346">
        <f ca="1">LCI_Table[[#This Row],[Default Calculated Value]]-LCI_Table[[#This Row],[Calculated Value]]</f>
        <v>0</v>
      </c>
    </row>
    <row r="90" spans="1:29" x14ac:dyDescent="0.3">
      <c r="A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pond_Palm_Extraction_ElectricityElectricity for palm oil extraction</v>
      </c>
      <c r="B90" s="14" t="s">
        <v>122</v>
      </c>
      <c r="C90" s="14" t="s">
        <v>30</v>
      </c>
      <c r="D90" s="14" t="s">
        <v>29</v>
      </c>
      <c r="E90" s="48" t="s">
        <v>29</v>
      </c>
      <c r="F90" s="14" t="s">
        <v>124</v>
      </c>
      <c r="G90" s="14" t="b">
        <f>OR(LCI_Table[[#This Row],[Feedstock]]="All",LCI_Table[[#This Row],[Feedstock]]=SelectedFeedstock)</f>
        <v>0</v>
      </c>
      <c r="H90" s="14" t="b">
        <f>OR(LCI_Table[[#This Row],[Conversion]]="All",LCI_Table[[#This Row],[Conversion]]=SelectedConversion)</f>
        <v>1</v>
      </c>
      <c r="I90" s="14" t="b">
        <f>OR(LCI_Table[[#This Row],[Data Set]]="all",LCI_Table[[#This Row],[Data Set]]=SelectedDataSet)</f>
        <v>1</v>
      </c>
      <c r="J90" s="14" t="b">
        <f>OR(LCI_Table[[#This Row],[Technology]]="All",LCI_Table[[#This Row],[Technology]]=SelectedTechnology)</f>
        <v>0</v>
      </c>
      <c r="K90" s="14" t="b">
        <f>OR(LCI_Table[[#This Row],[Data Source]]="All",LCI_Table[[#This Row],[Data Source]]=SelectedDataSource)</f>
        <v>1</v>
      </c>
      <c r="L90" s="14" t="b">
        <f>TRUE</f>
        <v>1</v>
      </c>
      <c r="M90" s="14" t="b">
        <f>(LCI_Table[[#This Row],[Dev Notes]]="Do not display")</f>
        <v>0</v>
      </c>
      <c r="N90" s="14" t="b">
        <f>AND(LCI_Table[[#This Row],[Show Feedstock]:[Conditional]],NOT(LCI_Table[[#This Row],[Hide Row]]))</f>
        <v>0</v>
      </c>
      <c r="O90" s="14" t="b">
        <f>LCI_Table[[#This Row],[GREET1 Name Range]]=""</f>
        <v>0</v>
      </c>
      <c r="P90" s="14" t="s">
        <v>15</v>
      </c>
      <c r="Q90" s="14" t="s">
        <v>741</v>
      </c>
      <c r="R90" s="14" t="s">
        <v>359</v>
      </c>
      <c r="S90" s="37" cm="1">
        <f t="array" aca="1" ref="S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1.2652405595841666E-2</v>
      </c>
      <c r="T90" s="346" t="s">
        <v>2115</v>
      </c>
      <c r="U90" s="347">
        <f ca="1">S90/BTU2kWh</f>
        <v>43.171799999999998</v>
      </c>
      <c r="V90" s="347">
        <v>1.2652405595841666E-2</v>
      </c>
      <c r="W90" s="347">
        <v>43.171799999999998</v>
      </c>
      <c r="X90" s="14" t="s">
        <v>51</v>
      </c>
      <c r="Y90" s="346" t="s">
        <v>891</v>
      </c>
      <c r="Z90" s="14" t="str">
        <f>IF(ISBLANK(LCI_Table[[#This Row],[Notes for user]])," ",LCI_Table[[#This Row],[Notes for user]])</f>
        <v>Electricity from Indonesia</v>
      </c>
      <c r="AA90" s="14" t="s">
        <v>914</v>
      </c>
      <c r="AB90" s="14" t="s">
        <v>919</v>
      </c>
      <c r="AC90" s="346">
        <f ca="1">LCI_Table[[#This Row],[Default Calculated Value]]-LCI_Table[[#This Row],[Calculated Value]]</f>
        <v>0</v>
      </c>
    </row>
    <row r="91" spans="1:29" x14ac:dyDescent="0.3">
      <c r="A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pond_Palm_Extraction_N_hexaneN-hexane</v>
      </c>
      <c r="B91" s="14" t="s">
        <v>122</v>
      </c>
      <c r="C91" s="14" t="s">
        <v>30</v>
      </c>
      <c r="D91" s="14" t="s">
        <v>29</v>
      </c>
      <c r="E91" s="48" t="s">
        <v>29</v>
      </c>
      <c r="F91" s="14" t="s">
        <v>124</v>
      </c>
      <c r="G91" s="14" t="b">
        <f>OR(LCI_Table[[#This Row],[Feedstock]]="All",LCI_Table[[#This Row],[Feedstock]]=SelectedFeedstock)</f>
        <v>0</v>
      </c>
      <c r="H91" s="14" t="b">
        <f>OR(LCI_Table[[#This Row],[Conversion]]="All",LCI_Table[[#This Row],[Conversion]]=SelectedConversion)</f>
        <v>1</v>
      </c>
      <c r="I91" s="14" t="b">
        <f>OR(LCI_Table[[#This Row],[Data Set]]="all",LCI_Table[[#This Row],[Data Set]]=SelectedDataSet)</f>
        <v>1</v>
      </c>
      <c r="J91" s="14" t="b">
        <f>OR(LCI_Table[[#This Row],[Technology]]="All",LCI_Table[[#This Row],[Technology]]=SelectedTechnology)</f>
        <v>0</v>
      </c>
      <c r="K91" s="14" t="b">
        <f>OR(LCI_Table[[#This Row],[Data Source]]="All",LCI_Table[[#This Row],[Data Source]]=SelectedDataSource)</f>
        <v>1</v>
      </c>
      <c r="L91" s="14" t="b">
        <f>TRUE</f>
        <v>1</v>
      </c>
      <c r="M91" s="14" t="b">
        <f>(LCI_Table[[#This Row],[Dev Notes]]="Do not display")</f>
        <v>0</v>
      </c>
      <c r="N91" s="14" t="b">
        <f>AND(LCI_Table[[#This Row],[Show Feedstock]:[Conditional]],NOT(LCI_Table[[#This Row],[Hide Row]]))</f>
        <v>0</v>
      </c>
      <c r="O91" s="14" t="b">
        <f>LCI_Table[[#This Row],[GREET1 Name Range]]=""</f>
        <v>0</v>
      </c>
      <c r="P91" s="14" t="s">
        <v>15</v>
      </c>
      <c r="Q91" s="14" t="s">
        <v>746</v>
      </c>
      <c r="R91" s="14" t="s">
        <v>116</v>
      </c>
      <c r="S91" s="37" cm="1">
        <f t="array" aca="1" ref="S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91" s="346" t="s">
        <v>2111</v>
      </c>
      <c r="U91" s="347">
        <f ca="1">S91*Fuel_Specs!$B$58*ton2lb</f>
        <v>0</v>
      </c>
      <c r="V91" s="347">
        <v>0</v>
      </c>
      <c r="W91" s="347">
        <v>0</v>
      </c>
      <c r="X91" s="14" t="s">
        <v>12</v>
      </c>
      <c r="Y91" s="346" t="s">
        <v>891</v>
      </c>
      <c r="Z91" s="14" t="str">
        <f>IF(ISBLANK(LCI_Table[[#This Row],[Notes for user]])," ",LCI_Table[[#This Row],[Notes for user]])</f>
        <v xml:space="preserve"> </v>
      </c>
      <c r="AA91" s="14"/>
      <c r="AB91" s="14"/>
      <c r="AC91" s="346">
        <f ca="1">LCI_Table[[#This Row],[Default Calculated Value]]-LCI_Table[[#This Row],[Calculated Value]]</f>
        <v>0</v>
      </c>
    </row>
    <row r="92" spans="1:29" x14ac:dyDescent="0.3">
      <c r="A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pond_Palm_Extraction_Forest_residueForest residue</v>
      </c>
      <c r="B92" s="14" t="s">
        <v>122</v>
      </c>
      <c r="C92" s="14" t="s">
        <v>30</v>
      </c>
      <c r="D92" s="14" t="s">
        <v>29</v>
      </c>
      <c r="E92" s="48" t="s">
        <v>29</v>
      </c>
      <c r="F92" s="14" t="s">
        <v>124</v>
      </c>
      <c r="G92" s="14" t="b">
        <f>OR(LCI_Table[[#This Row],[Feedstock]]="All",LCI_Table[[#This Row],[Feedstock]]=SelectedFeedstock)</f>
        <v>0</v>
      </c>
      <c r="H92" s="14" t="b">
        <f>OR(LCI_Table[[#This Row],[Conversion]]="All",LCI_Table[[#This Row],[Conversion]]=SelectedConversion)</f>
        <v>1</v>
      </c>
      <c r="I92" s="14" t="b">
        <f>OR(LCI_Table[[#This Row],[Data Set]]="all",LCI_Table[[#This Row],[Data Set]]=SelectedDataSet)</f>
        <v>1</v>
      </c>
      <c r="J92" s="14" t="b">
        <f>OR(LCI_Table[[#This Row],[Technology]]="All",LCI_Table[[#This Row],[Technology]]=SelectedTechnology)</f>
        <v>0</v>
      </c>
      <c r="K92" s="14" t="b">
        <f>OR(LCI_Table[[#This Row],[Data Source]]="All",LCI_Table[[#This Row],[Data Source]]=SelectedDataSource)</f>
        <v>1</v>
      </c>
      <c r="L92" s="14" t="b">
        <f>TRUE</f>
        <v>1</v>
      </c>
      <c r="M92" s="14" t="b">
        <f>(LCI_Table[[#This Row],[Dev Notes]]="Do not display")</f>
        <v>0</v>
      </c>
      <c r="N92" s="14" t="b">
        <f>AND(LCI_Table[[#This Row],[Show Feedstock]:[Conditional]],NOT(LCI_Table[[#This Row],[Hide Row]]))</f>
        <v>0</v>
      </c>
      <c r="O92" s="14" t="b">
        <f>LCI_Table[[#This Row],[GREET1 Name Range]]=""</f>
        <v>0</v>
      </c>
      <c r="P92" s="14" t="s">
        <v>15</v>
      </c>
      <c r="Q92" s="14" t="s">
        <v>742</v>
      </c>
      <c r="R92" s="14" t="s">
        <v>316</v>
      </c>
      <c r="S92" s="37" cm="1">
        <f t="array" aca="1" ref="S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92" s="346" t="s">
        <v>2111</v>
      </c>
      <c r="U92" s="347">
        <f ca="1">S92*Fuel_Specs!$B$100*ton2lb</f>
        <v>0</v>
      </c>
      <c r="V92" s="347">
        <v>0</v>
      </c>
      <c r="W92" s="347">
        <v>0</v>
      </c>
      <c r="X92" s="14" t="s">
        <v>12</v>
      </c>
      <c r="Y92" s="346" t="s">
        <v>891</v>
      </c>
      <c r="Z92" s="14" t="str">
        <f>IF(ISBLANK(LCI_Table[[#This Row],[Notes for user]])," ",LCI_Table[[#This Row],[Notes for user]])</f>
        <v xml:space="preserve"> </v>
      </c>
      <c r="AA92" s="14"/>
      <c r="AB92" s="14"/>
      <c r="AC92" s="346">
        <f ca="1">LCI_Table[[#This Row],[Default Calculated Value]]-LCI_Table[[#This Row],[Calculated Value]]</f>
        <v>0</v>
      </c>
    </row>
    <row r="93" spans="1:29" x14ac:dyDescent="0.3">
      <c r="A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pond_Palm_Extraction_Landfill_gasLandfill gas</v>
      </c>
      <c r="B93" s="14" t="s">
        <v>122</v>
      </c>
      <c r="C93" s="14" t="s">
        <v>30</v>
      </c>
      <c r="D93" s="14" t="s">
        <v>29</v>
      </c>
      <c r="E93" s="48" t="s">
        <v>29</v>
      </c>
      <c r="F93" s="14" t="s">
        <v>124</v>
      </c>
      <c r="G93" s="14" t="b">
        <f>OR(LCI_Table[[#This Row],[Feedstock]]="All",LCI_Table[[#This Row],[Feedstock]]=SelectedFeedstock)</f>
        <v>0</v>
      </c>
      <c r="H93" s="14" t="b">
        <f>OR(LCI_Table[[#This Row],[Conversion]]="All",LCI_Table[[#This Row],[Conversion]]=SelectedConversion)</f>
        <v>1</v>
      </c>
      <c r="I93" s="14" t="b">
        <f>OR(LCI_Table[[#This Row],[Data Set]]="all",LCI_Table[[#This Row],[Data Set]]=SelectedDataSet)</f>
        <v>1</v>
      </c>
      <c r="J93" s="14" t="b">
        <f>OR(LCI_Table[[#This Row],[Technology]]="All",LCI_Table[[#This Row],[Technology]]=SelectedTechnology)</f>
        <v>0</v>
      </c>
      <c r="K93" s="14" t="b">
        <f>OR(LCI_Table[[#This Row],[Data Source]]="All",LCI_Table[[#This Row],[Data Source]]=SelectedDataSource)</f>
        <v>1</v>
      </c>
      <c r="L93" s="14" t="b">
        <f>TRUE</f>
        <v>1</v>
      </c>
      <c r="M93" s="14" t="b">
        <f>(LCI_Table[[#This Row],[Dev Notes]]="Do not display")</f>
        <v>0</v>
      </c>
      <c r="N93" s="14" t="b">
        <f>AND(LCI_Table[[#This Row],[Show Feedstock]:[Conditional]],NOT(LCI_Table[[#This Row],[Hide Row]]))</f>
        <v>0</v>
      </c>
      <c r="O93" s="14" t="b">
        <f>LCI_Table[[#This Row],[GREET1 Name Range]]=""</f>
        <v>0</v>
      </c>
      <c r="P93" s="14" t="s">
        <v>15</v>
      </c>
      <c r="Q93" s="14" t="s">
        <v>744</v>
      </c>
      <c r="R93" s="14" t="s">
        <v>130</v>
      </c>
      <c r="S93" s="37" cm="1">
        <f t="array" aca="1" ref="S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93" s="346" t="s">
        <v>2113</v>
      </c>
      <c r="U93" s="347">
        <f ca="1">S93*Fuel_Specs!$B$79</f>
        <v>0</v>
      </c>
      <c r="V93" s="347">
        <v>0</v>
      </c>
      <c r="W93" s="347">
        <v>0</v>
      </c>
      <c r="X93" s="14" t="s">
        <v>351</v>
      </c>
      <c r="Y93" s="346" t="s">
        <v>891</v>
      </c>
      <c r="Z93" s="14" t="str">
        <f>IF(ISBLANK(LCI_Table[[#This Row],[Notes for user]])," ",LCI_Table[[#This Row],[Notes for user]])</f>
        <v xml:space="preserve"> </v>
      </c>
      <c r="AA93" s="14"/>
      <c r="AB93" s="14"/>
      <c r="AC93" s="346">
        <f ca="1">LCI_Table[[#This Row],[Default Calculated Value]]-LCI_Table[[#This Row],[Calculated Value]]</f>
        <v>0</v>
      </c>
    </row>
    <row r="94" spans="1:29" x14ac:dyDescent="0.3">
      <c r="A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pond_Palm_CH4_SelectorOpen/closed CH4 selector</v>
      </c>
      <c r="B94" s="14" t="s">
        <v>122</v>
      </c>
      <c r="C94" s="14" t="s">
        <v>30</v>
      </c>
      <c r="D94" s="14" t="s">
        <v>29</v>
      </c>
      <c r="E94" s="48" t="s">
        <v>29</v>
      </c>
      <c r="F94" s="14" t="s">
        <v>124</v>
      </c>
      <c r="G94" s="14" t="b">
        <f>OR(LCI_Table[[#This Row],[Feedstock]]="All",LCI_Table[[#This Row],[Feedstock]]=SelectedFeedstock)</f>
        <v>0</v>
      </c>
      <c r="H94" s="14" t="b">
        <f>OR(LCI_Table[[#This Row],[Conversion]]="All",LCI_Table[[#This Row],[Conversion]]=SelectedConversion)</f>
        <v>1</v>
      </c>
      <c r="I94" s="14" t="b">
        <f>OR(LCI_Table[[#This Row],[Data Set]]="all",LCI_Table[[#This Row],[Data Set]]=SelectedDataSet)</f>
        <v>1</v>
      </c>
      <c r="J94" s="14" t="b">
        <f>OR(LCI_Table[[#This Row],[Technology]]="All",LCI_Table[[#This Row],[Technology]]=SelectedTechnology)</f>
        <v>0</v>
      </c>
      <c r="K94" s="14" t="b">
        <f>OR(LCI_Table[[#This Row],[Data Source]]="All",LCI_Table[[#This Row],[Data Source]]=SelectedDataSource)</f>
        <v>1</v>
      </c>
      <c r="L94" s="14" t="b">
        <f>TRUE</f>
        <v>1</v>
      </c>
      <c r="M94" s="14" t="b">
        <f>(LCI_Table[[#This Row],[Dev Notes]]="Do not display")</f>
        <v>1</v>
      </c>
      <c r="N94" s="14" t="b">
        <f>AND(LCI_Table[[#This Row],[Show Feedstock]:[Conditional]],NOT(LCI_Table[[#This Row],[Hide Row]]))</f>
        <v>0</v>
      </c>
      <c r="O94" s="14" t="b">
        <f>LCI_Table[[#This Row],[GREET1 Name Range]]=""</f>
        <v>0</v>
      </c>
      <c r="P94" s="14" t="s">
        <v>15</v>
      </c>
      <c r="Q94" s="14" t="s">
        <v>737</v>
      </c>
      <c r="R94" s="14" t="s">
        <v>1127</v>
      </c>
      <c r="S94" s="37" cm="1">
        <f t="array" aca="1" ref="S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v>
      </c>
      <c r="T94" s="346" t="s">
        <v>2117</v>
      </c>
      <c r="U94" s="352">
        <v>1</v>
      </c>
      <c r="V94" s="352">
        <v>1</v>
      </c>
      <c r="W94" s="352">
        <v>1</v>
      </c>
      <c r="X94" s="14"/>
      <c r="Y94" s="346" t="s">
        <v>891</v>
      </c>
      <c r="Z94" s="14" t="str">
        <f>IF(ISBLANK(LCI_Table[[#This Row],[Notes for user]])," ",LCI_Table[[#This Row],[Notes for user]])</f>
        <v xml:space="preserve"> </v>
      </c>
      <c r="AA94" s="14"/>
      <c r="AB94" s="14" t="s">
        <v>1138</v>
      </c>
      <c r="AC94" s="346">
        <f>LCI_Table[[#This Row],[Default Calculated Value]]-LCI_Table[[#This Row],[Calculated Value]]</f>
        <v>0</v>
      </c>
    </row>
    <row r="95" spans="1:29" x14ac:dyDescent="0.3">
      <c r="A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pond_Palm_Extraction_CH4_POMECH4 (POME emissions)</v>
      </c>
      <c r="B95" s="14" t="s">
        <v>122</v>
      </c>
      <c r="C95" s="14" t="s">
        <v>30</v>
      </c>
      <c r="D95" s="14" t="s">
        <v>29</v>
      </c>
      <c r="E95" s="48" t="s">
        <v>29</v>
      </c>
      <c r="F95" s="14" t="s">
        <v>124</v>
      </c>
      <c r="G95" s="14" t="b">
        <f>OR(LCI_Table[[#This Row],[Feedstock]]="All",LCI_Table[[#This Row],[Feedstock]]=SelectedFeedstock)</f>
        <v>0</v>
      </c>
      <c r="H95" s="14" t="b">
        <f>OR(LCI_Table[[#This Row],[Conversion]]="All",LCI_Table[[#This Row],[Conversion]]=SelectedConversion)</f>
        <v>1</v>
      </c>
      <c r="I95" s="14" t="b">
        <f>OR(LCI_Table[[#This Row],[Data Set]]="all",LCI_Table[[#This Row],[Data Set]]=SelectedDataSet)</f>
        <v>1</v>
      </c>
      <c r="J95" s="14" t="b">
        <f>OR(LCI_Table[[#This Row],[Technology]]="All",LCI_Table[[#This Row],[Technology]]=SelectedTechnology)</f>
        <v>0</v>
      </c>
      <c r="K95" s="14" t="b">
        <f>OR(LCI_Table[[#This Row],[Data Source]]="All",LCI_Table[[#This Row],[Data Source]]=SelectedDataSource)</f>
        <v>1</v>
      </c>
      <c r="L95" s="14" t="b">
        <f>TRUE</f>
        <v>1</v>
      </c>
      <c r="M95" s="14" t="b">
        <f>(LCI_Table[[#This Row],[Dev Notes]]="Do not display")</f>
        <v>1</v>
      </c>
      <c r="N95" s="14" t="b">
        <f>AND(LCI_Table[[#This Row],[Show Feedstock]:[Conditional]],NOT(LCI_Table[[#This Row],[Hide Row]]))</f>
        <v>0</v>
      </c>
      <c r="O95" s="14" t="b">
        <f>LCI_Table[[#This Row],[GREET1 Name Range]]=""</f>
        <v>0</v>
      </c>
      <c r="P95" s="14" t="s">
        <v>15</v>
      </c>
      <c r="Q95" s="14" t="s">
        <v>738</v>
      </c>
      <c r="R95" s="14" t="s">
        <v>440</v>
      </c>
      <c r="S95" s="37" cm="1">
        <f t="array" aca="1" ref="S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13.478452997097214</v>
      </c>
      <c r="T95" s="346" t="s">
        <v>2118</v>
      </c>
      <c r="U95" s="347">
        <f ca="1">S95</f>
        <v>13.478452997097214</v>
      </c>
      <c r="V95" s="347">
        <v>13.478452997097214</v>
      </c>
      <c r="W95" s="347">
        <v>13.478452997097214</v>
      </c>
      <c r="X95" s="14" t="s">
        <v>6</v>
      </c>
      <c r="Y95" s="346" t="s">
        <v>891</v>
      </c>
      <c r="Z95" s="14" t="str">
        <f>IF(ISBLANK(LCI_Table[[#This Row],[Notes for user]])," ",LCI_Table[[#This Row],[Notes for user]])</f>
        <v xml:space="preserve"> </v>
      </c>
      <c r="AA95" s="14"/>
      <c r="AB95" s="14" t="s">
        <v>1138</v>
      </c>
      <c r="AC95" s="346">
        <f ca="1">LCI_Table[[#This Row],[Default Calculated Value]]-LCI_Table[[#This Row],[Calculated Value]]</f>
        <v>0</v>
      </c>
    </row>
    <row r="96" spans="1:29" x14ac:dyDescent="0.3">
      <c r="A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pond_Palm_Oil_Extraction_Mass_AllocationAllocation factor</v>
      </c>
      <c r="B96" s="14" t="s">
        <v>122</v>
      </c>
      <c r="C96" s="14" t="s">
        <v>30</v>
      </c>
      <c r="D96" s="14" t="s">
        <v>29</v>
      </c>
      <c r="E96" s="48" t="s">
        <v>29</v>
      </c>
      <c r="F96" s="14" t="s">
        <v>124</v>
      </c>
      <c r="G96" s="14" t="b">
        <f>OR(LCI_Table[[#This Row],[Feedstock]]="All",LCI_Table[[#This Row],[Feedstock]]=SelectedFeedstock)</f>
        <v>0</v>
      </c>
      <c r="H96" s="14" t="b">
        <f>OR(LCI_Table[[#This Row],[Conversion]]="All",LCI_Table[[#This Row],[Conversion]]=SelectedConversion)</f>
        <v>1</v>
      </c>
      <c r="I96" s="14" t="b">
        <f>OR(LCI_Table[[#This Row],[Data Set]]="all",LCI_Table[[#This Row],[Data Set]]=SelectedDataSet)</f>
        <v>1</v>
      </c>
      <c r="J96" s="14" t="b">
        <f>OR(LCI_Table[[#This Row],[Technology]]="All",LCI_Table[[#This Row],[Technology]]=SelectedTechnology)</f>
        <v>0</v>
      </c>
      <c r="K96" s="14" t="b">
        <f>OR(LCI_Table[[#This Row],[Data Source]]="All",LCI_Table[[#This Row],[Data Source]]=SelectedDataSource)</f>
        <v>1</v>
      </c>
      <c r="L96" s="14" t="b">
        <f>TRUE</f>
        <v>1</v>
      </c>
      <c r="M96" s="14" t="b">
        <f>(LCI_Table[[#This Row],[Dev Notes]]="Do not display")</f>
        <v>0</v>
      </c>
      <c r="N96" s="14" t="b">
        <f>AND(LCI_Table[[#This Row],[Show Feedstock]:[Conditional]],NOT(LCI_Table[[#This Row],[Hide Row]]))</f>
        <v>0</v>
      </c>
      <c r="O96" s="14" t="b">
        <f>LCI_Table[[#This Row],[GREET1 Name Range]]=""</f>
        <v>0</v>
      </c>
      <c r="P96" s="14" t="s">
        <v>15</v>
      </c>
      <c r="Q96" s="14" t="s">
        <v>1111</v>
      </c>
      <c r="R96" s="14" t="s">
        <v>1344</v>
      </c>
      <c r="S96" s="37" cm="1">
        <f t="array" aca="1" ref="S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89.589935863691494</v>
      </c>
      <c r="T96" s="346" t="s">
        <v>1345</v>
      </c>
      <c r="U96" s="347">
        <f ca="1">LCI_Table[[#This Row],[Dashboard Value]]/100</f>
        <v>0.89589935863691494</v>
      </c>
      <c r="V96" s="347">
        <v>89.589935863691494</v>
      </c>
      <c r="W96" s="347">
        <v>0.89589935863691494</v>
      </c>
      <c r="X96" s="14" t="s">
        <v>1345</v>
      </c>
      <c r="Y96" s="346" t="s">
        <v>891</v>
      </c>
      <c r="Z96" s="14" t="str">
        <f>IF(ISBLANK(LCI_Table[[#This Row],[Notes for user]])," ",LCI_Table[[#This Row],[Notes for user]])</f>
        <v>Allocation to palm oil (mass allocation)</v>
      </c>
      <c r="AA96" s="14" t="s">
        <v>1359</v>
      </c>
      <c r="AB96" s="14"/>
      <c r="AC96" s="346">
        <f ca="1">LCI_Table[[#This Row],[Default Calculated Value]]-LCI_Table[[#This Row],[Calculated Value]]</f>
        <v>0</v>
      </c>
    </row>
    <row r="97" spans="1:29" x14ac:dyDescent="0.3">
      <c r="A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pond_HEFA_feed_usagePalm oil</v>
      </c>
      <c r="B97" s="14" t="s">
        <v>122</v>
      </c>
      <c r="C97" s="14" t="s">
        <v>30</v>
      </c>
      <c r="D97" s="14" t="s">
        <v>29</v>
      </c>
      <c r="E97" s="48" t="s">
        <v>29</v>
      </c>
      <c r="F97" s="14" t="s">
        <v>124</v>
      </c>
      <c r="G97" s="14" t="b">
        <f>OR(LCI_Table[[#This Row],[Feedstock]]="All",LCI_Table[[#This Row],[Feedstock]]=SelectedFeedstock)</f>
        <v>0</v>
      </c>
      <c r="H97" s="14" t="b">
        <f>OR(LCI_Table[[#This Row],[Conversion]]="All",LCI_Table[[#This Row],[Conversion]]=SelectedConversion)</f>
        <v>1</v>
      </c>
      <c r="I97" s="14" t="b">
        <f>OR(LCI_Table[[#This Row],[Data Set]]="all",LCI_Table[[#This Row],[Data Set]]=SelectedDataSet)</f>
        <v>1</v>
      </c>
      <c r="J97" s="14" t="b">
        <f>OR(LCI_Table[[#This Row],[Technology]]="All",LCI_Table[[#This Row],[Technology]]=SelectedTechnology)</f>
        <v>0</v>
      </c>
      <c r="K97" s="14" t="b">
        <f>OR(LCI_Table[[#This Row],[Data Source]]="All",LCI_Table[[#This Row],[Data Source]]=SelectedDataSource)</f>
        <v>1</v>
      </c>
      <c r="L97" s="14" t="b">
        <f>TRUE</f>
        <v>1</v>
      </c>
      <c r="M97" s="14" t="b">
        <f>(LCI_Table[[#This Row],[Dev Notes]]="Do not display")</f>
        <v>0</v>
      </c>
      <c r="N97" s="14" t="b">
        <f>AND(LCI_Table[[#This Row],[Show Feedstock]:[Conditional]],NOT(LCI_Table[[#This Row],[Hide Row]]))</f>
        <v>0</v>
      </c>
      <c r="O97" s="14" t="b">
        <f>LCI_Table[[#This Row],[GREET1 Name Range]]=""</f>
        <v>0</v>
      </c>
      <c r="P97" s="14" t="s">
        <v>1448</v>
      </c>
      <c r="Q97" s="14" t="s">
        <v>933</v>
      </c>
      <c r="R97" s="14" t="s">
        <v>360</v>
      </c>
      <c r="S97" s="37" cm="1">
        <f t="array" aca="1" ref="S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60.95550131022474</v>
      </c>
      <c r="T97" s="346" t="s">
        <v>2119</v>
      </c>
      <c r="U97" s="347">
        <f ca="1">S97*lb2g/Fuel_Specs!$E$48*Fuel_Specs!$B$48*BTU2mmBTU/Allocations!$O$10</f>
        <v>1.2676055388997558</v>
      </c>
      <c r="V97" s="347">
        <v>60.95550131022474</v>
      </c>
      <c r="W97" s="347">
        <v>1.2676055388997558</v>
      </c>
      <c r="X97" s="14" t="s">
        <v>12</v>
      </c>
      <c r="Y97" s="346" t="s">
        <v>416</v>
      </c>
      <c r="Z97" s="14" t="str">
        <f>IF(ISBLANK(LCI_Table[[#This Row],[Notes for user]])," ",LCI_Table[[#This Row],[Notes for user]])</f>
        <v xml:space="preserve"> </v>
      </c>
      <c r="AA97" s="14"/>
      <c r="AB97" s="14"/>
      <c r="AC97" s="346">
        <f ca="1">LCI_Table[[#This Row],[Default Calculated Value]]-LCI_Table[[#This Row],[Calculated Value]]</f>
        <v>0</v>
      </c>
    </row>
    <row r="98" spans="1:29" x14ac:dyDescent="0.3">
      <c r="A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pond_Palm_HEFA_Natural_gasNatural gas</v>
      </c>
      <c r="B98" s="14" t="s">
        <v>122</v>
      </c>
      <c r="C98" s="14" t="s">
        <v>30</v>
      </c>
      <c r="D98" s="14" t="s">
        <v>29</v>
      </c>
      <c r="E98" s="48" t="s">
        <v>29</v>
      </c>
      <c r="F98" s="14" t="s">
        <v>124</v>
      </c>
      <c r="G98" s="14" t="b">
        <f>OR(LCI_Table[[#This Row],[Feedstock]]="All",LCI_Table[[#This Row],[Feedstock]]=SelectedFeedstock)</f>
        <v>0</v>
      </c>
      <c r="H98" s="14" t="b">
        <f>OR(LCI_Table[[#This Row],[Conversion]]="All",LCI_Table[[#This Row],[Conversion]]=SelectedConversion)</f>
        <v>1</v>
      </c>
      <c r="I98" s="14" t="b">
        <f>OR(LCI_Table[[#This Row],[Data Set]]="all",LCI_Table[[#This Row],[Data Set]]=SelectedDataSet)</f>
        <v>1</v>
      </c>
      <c r="J98" s="14" t="b">
        <f>OR(LCI_Table[[#This Row],[Technology]]="All",LCI_Table[[#This Row],[Technology]]=SelectedTechnology)</f>
        <v>0</v>
      </c>
      <c r="K98" s="14" t="b">
        <f>OR(LCI_Table[[#This Row],[Data Source]]="All",LCI_Table[[#This Row],[Data Source]]=SelectedDataSource)</f>
        <v>1</v>
      </c>
      <c r="L98" s="14" t="b">
        <f>TRUE</f>
        <v>1</v>
      </c>
      <c r="M98" s="14" t="b">
        <f>(LCI_Table[[#This Row],[Dev Notes]]="Do not display")</f>
        <v>0</v>
      </c>
      <c r="N98" s="14" t="b">
        <f>AND(LCI_Table[[#This Row],[Show Feedstock]:[Conditional]],NOT(LCI_Table[[#This Row],[Hide Row]]))</f>
        <v>0</v>
      </c>
      <c r="O98" s="14" t="b">
        <f>LCI_Table[[#This Row],[GREET1 Name Range]]=""</f>
        <v>0</v>
      </c>
      <c r="P98" s="14" t="s">
        <v>1448</v>
      </c>
      <c r="Q98" s="14" t="s">
        <v>764</v>
      </c>
      <c r="R98" s="14" t="s">
        <v>108</v>
      </c>
      <c r="S98" s="37" cm="1">
        <f t="array" aca="1" ref="S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17.27035614507027</v>
      </c>
      <c r="T98" s="346" t="s">
        <v>2120</v>
      </c>
      <c r="U98" s="347">
        <f ca="1">S98*lb2g/Fuel_Specs!$E$48*Fuel_Specs!$B$48*Fuel_Specs!$B$79*BTU2mmBTU/Allocations!$O$10</f>
        <v>353.04172159785497</v>
      </c>
      <c r="V98" s="347">
        <v>17.27035614507027</v>
      </c>
      <c r="W98" s="347">
        <v>353.04172159785497</v>
      </c>
      <c r="X98" s="14" t="s">
        <v>351</v>
      </c>
      <c r="Y98" s="346" t="s">
        <v>416</v>
      </c>
      <c r="Z98" s="14" t="str">
        <f>IF(ISBLANK(LCI_Table[[#This Row],[Notes for user]])," ",LCI_Table[[#This Row],[Notes for user]])</f>
        <v xml:space="preserve"> </v>
      </c>
      <c r="AA98" s="14"/>
      <c r="AB98" s="14"/>
      <c r="AC98" s="346">
        <f ca="1">LCI_Table[[#This Row],[Default Calculated Value]]-LCI_Table[[#This Row],[Calculated Value]]</f>
        <v>0</v>
      </c>
    </row>
    <row r="99" spans="1:29" x14ac:dyDescent="0.3">
      <c r="A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pond_Palm_HEFA_ElectricityGrid Electricity</v>
      </c>
      <c r="B99" s="14" t="s">
        <v>122</v>
      </c>
      <c r="C99" s="14" t="s">
        <v>30</v>
      </c>
      <c r="D99" s="14" t="s">
        <v>29</v>
      </c>
      <c r="E99" s="48" t="s">
        <v>29</v>
      </c>
      <c r="F99" s="14" t="s">
        <v>124</v>
      </c>
      <c r="G99" s="14" t="b">
        <f>OR(LCI_Table[[#This Row],[Feedstock]]="All",LCI_Table[[#This Row],[Feedstock]]=SelectedFeedstock)</f>
        <v>0</v>
      </c>
      <c r="H99" s="14" t="b">
        <f>OR(LCI_Table[[#This Row],[Conversion]]="All",LCI_Table[[#This Row],[Conversion]]=SelectedConversion)</f>
        <v>1</v>
      </c>
      <c r="I99" s="14" t="b">
        <f>OR(LCI_Table[[#This Row],[Data Set]]="all",LCI_Table[[#This Row],[Data Set]]=SelectedDataSet)</f>
        <v>1</v>
      </c>
      <c r="J99" s="14" t="b">
        <f>OR(LCI_Table[[#This Row],[Technology]]="All",LCI_Table[[#This Row],[Technology]]=SelectedTechnology)</f>
        <v>0</v>
      </c>
      <c r="K99" s="14" t="b">
        <f>OR(LCI_Table[[#This Row],[Data Source]]="All",LCI_Table[[#This Row],[Data Source]]=SelectedDataSource)</f>
        <v>1</v>
      </c>
      <c r="L99" s="14" t="b">
        <f>TRUE</f>
        <v>1</v>
      </c>
      <c r="M99" s="14" t="b">
        <f>(LCI_Table[[#This Row],[Dev Notes]]="Do not display")</f>
        <v>0</v>
      </c>
      <c r="N99" s="14" t="b">
        <f>AND(LCI_Table[[#This Row],[Show Feedstock]:[Conditional]],NOT(LCI_Table[[#This Row],[Hide Row]]))</f>
        <v>0</v>
      </c>
      <c r="O99" s="14" t="b">
        <f>LCI_Table[[#This Row],[GREET1 Name Range]]=""</f>
        <v>0</v>
      </c>
      <c r="P99" s="14" t="s">
        <v>1448</v>
      </c>
      <c r="Q99" s="14" t="s">
        <v>762</v>
      </c>
      <c r="R99" s="14" t="s">
        <v>1684</v>
      </c>
      <c r="S99" s="37" cm="1">
        <f t="array" aca="1" ref="S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2.616690397906015</v>
      </c>
      <c r="T99" s="346" t="s">
        <v>2121</v>
      </c>
      <c r="U99" s="347">
        <f ca="1">S99*lb2g/Fuel_Specs!$E$48*Fuel_Specs!$B$48/BTU2kWh*BTU2mmBTU/Allocations!$O$10</f>
        <v>185.67379432183481</v>
      </c>
      <c r="V99" s="347">
        <v>2.616690397906015</v>
      </c>
      <c r="W99" s="347">
        <v>185.67379432183481</v>
      </c>
      <c r="X99" s="14" t="s">
        <v>51</v>
      </c>
      <c r="Y99" s="346" t="s">
        <v>416</v>
      </c>
      <c r="Z99" s="14" t="str">
        <f>IF(ISBLANK(LCI_Table[[#This Row],[Notes for user]])," ",LCI_Table[[#This Row],[Notes for user]])</f>
        <v xml:space="preserve"> </v>
      </c>
      <c r="AA99" s="14"/>
      <c r="AB99" s="14"/>
      <c r="AC99" s="346">
        <f ca="1">LCI_Table[[#This Row],[Default Calculated Value]]-LCI_Table[[#This Row],[Calculated Value]]</f>
        <v>0</v>
      </c>
    </row>
    <row r="100" spans="1:29" x14ac:dyDescent="0.3">
      <c r="A1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pond_Palm_HEFA_HydrogenHydrogen</v>
      </c>
      <c r="B100" s="14" t="s">
        <v>122</v>
      </c>
      <c r="C100" s="14" t="s">
        <v>30</v>
      </c>
      <c r="D100" s="14" t="s">
        <v>29</v>
      </c>
      <c r="E100" s="48" t="s">
        <v>29</v>
      </c>
      <c r="F100" s="14" t="s">
        <v>124</v>
      </c>
      <c r="G100" s="14" t="b">
        <f>OR(LCI_Table[[#This Row],[Feedstock]]="All",LCI_Table[[#This Row],[Feedstock]]=SelectedFeedstock)</f>
        <v>0</v>
      </c>
      <c r="H100" s="14" t="b">
        <f>OR(LCI_Table[[#This Row],[Conversion]]="All",LCI_Table[[#This Row],[Conversion]]=SelectedConversion)</f>
        <v>1</v>
      </c>
      <c r="I100" s="14" t="b">
        <f>OR(LCI_Table[[#This Row],[Data Set]]="all",LCI_Table[[#This Row],[Data Set]]=SelectedDataSet)</f>
        <v>1</v>
      </c>
      <c r="J100" s="14" t="b">
        <f>OR(LCI_Table[[#This Row],[Technology]]="All",LCI_Table[[#This Row],[Technology]]=SelectedTechnology)</f>
        <v>0</v>
      </c>
      <c r="K100" s="14" t="b">
        <f>OR(LCI_Table[[#This Row],[Data Source]]="All",LCI_Table[[#This Row],[Data Source]]=SelectedDataSource)</f>
        <v>1</v>
      </c>
      <c r="L100" s="14" t="b">
        <f>TRUE</f>
        <v>1</v>
      </c>
      <c r="M100" s="14" t="b">
        <f>(LCI_Table[[#This Row],[Dev Notes]]="Do not display")</f>
        <v>0</v>
      </c>
      <c r="N100" s="14" t="b">
        <f>AND(LCI_Table[[#This Row],[Show Feedstock]:[Conditional]],NOT(LCI_Table[[#This Row],[Hide Row]]))</f>
        <v>0</v>
      </c>
      <c r="O100" s="14" t="b">
        <f>LCI_Table[[#This Row],[GREET1 Name Range]]=""</f>
        <v>0</v>
      </c>
      <c r="P100" s="14" t="s">
        <v>1448</v>
      </c>
      <c r="Q100" s="14" t="s">
        <v>763</v>
      </c>
      <c r="R100" s="14" t="s">
        <v>73</v>
      </c>
      <c r="S100" s="37" cm="1">
        <f t="array" aca="1" ref="S1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344.30517271876477</v>
      </c>
      <c r="T100" s="346" t="s">
        <v>2120</v>
      </c>
      <c r="U100" s="347">
        <f ca="1">S100*lb2g/Fuel_Specs!$E$48*Fuel_Specs!$B$48*Fuel_Specs!$B$81*BTU2mmBTU/Allocations!$O$10</f>
        <v>2076.4083477681252</v>
      </c>
      <c r="V100" s="347">
        <v>344.30517271876477</v>
      </c>
      <c r="W100" s="347">
        <v>2076.4083477681252</v>
      </c>
      <c r="X100" s="14" t="s">
        <v>351</v>
      </c>
      <c r="Y100" s="346" t="s">
        <v>416</v>
      </c>
      <c r="Z100" s="14" t="str">
        <f>IF(ISBLANK(LCI_Table[[#This Row],[Notes for user]])," ",LCI_Table[[#This Row],[Notes for user]])</f>
        <v xml:space="preserve"> </v>
      </c>
      <c r="AA100" s="14"/>
      <c r="AB100" s="14"/>
      <c r="AC100" s="346">
        <f ca="1">LCI_Table[[#This Row],[Default Calculated Value]]-LCI_Table[[#This Row],[Calculated Value]]</f>
        <v>0</v>
      </c>
    </row>
    <row r="101" spans="1:29" x14ac:dyDescent="0.3">
      <c r="A1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PalmHEFAGREETGREETOpen pond_Palm_Oil_HEFA_Energy_AllocationAllocation factor</v>
      </c>
      <c r="B101" s="14" t="s">
        <v>122</v>
      </c>
      <c r="C101" s="14" t="s">
        <v>30</v>
      </c>
      <c r="D101" s="14" t="s">
        <v>29</v>
      </c>
      <c r="E101" s="48" t="s">
        <v>29</v>
      </c>
      <c r="F101" s="14" t="s">
        <v>124</v>
      </c>
      <c r="G101" s="14" t="b">
        <f>OR(LCI_Table[[#This Row],[Feedstock]]="All",LCI_Table[[#This Row],[Feedstock]]=SelectedFeedstock)</f>
        <v>0</v>
      </c>
      <c r="H101" s="14" t="b">
        <f>OR(LCI_Table[[#This Row],[Conversion]]="All",LCI_Table[[#This Row],[Conversion]]=SelectedConversion)</f>
        <v>1</v>
      </c>
      <c r="I101" s="14" t="b">
        <f>OR(LCI_Table[[#This Row],[Data Set]]="all",LCI_Table[[#This Row],[Data Set]]=SelectedDataSet)</f>
        <v>1</v>
      </c>
      <c r="J101" s="14" t="b">
        <f>OR(LCI_Table[[#This Row],[Technology]]="All",LCI_Table[[#This Row],[Technology]]=SelectedTechnology)</f>
        <v>0</v>
      </c>
      <c r="K101" s="14" t="b">
        <f>OR(LCI_Table[[#This Row],[Data Source]]="All",LCI_Table[[#This Row],[Data Source]]=SelectedDataSource)</f>
        <v>1</v>
      </c>
      <c r="L101" s="14" t="b">
        <f>TRUE</f>
        <v>1</v>
      </c>
      <c r="M101" s="14" t="b">
        <f>(LCI_Table[[#This Row],[Dev Notes]]="Do not display")</f>
        <v>0</v>
      </c>
      <c r="N101" s="14" t="b">
        <f>AND(LCI_Table[[#This Row],[Show Feedstock]:[Conditional]],NOT(LCI_Table[[#This Row],[Hide Row]]))</f>
        <v>0</v>
      </c>
      <c r="O101" s="14" t="b">
        <f>LCI_Table[[#This Row],[GREET1 Name Range]]=""</f>
        <v>0</v>
      </c>
      <c r="P101" s="14" t="s">
        <v>1448</v>
      </c>
      <c r="Q101" s="14" t="s">
        <v>1116</v>
      </c>
      <c r="R101" s="14" t="s">
        <v>1344</v>
      </c>
      <c r="S101" s="37" cm="1">
        <f t="array" aca="1" ref="S1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91.171197532976606</v>
      </c>
      <c r="T101" s="346" t="s">
        <v>1345</v>
      </c>
      <c r="U101" s="347">
        <f ca="1">LCI_Table[[#This Row],[Dashboard Value]]/100</f>
        <v>0.91171197532976611</v>
      </c>
      <c r="V101" s="351">
        <v>91.171197532976606</v>
      </c>
      <c r="W101" s="351">
        <v>0.91171197532976611</v>
      </c>
      <c r="X101" s="14" t="s">
        <v>1345</v>
      </c>
      <c r="Y101" s="346" t="s">
        <v>416</v>
      </c>
      <c r="Z101" s="14" t="str">
        <f>IF(ISBLANK(LCI_Table[[#This Row],[Notes for user]])," ",LCI_Table[[#This Row],[Notes for user]])</f>
        <v>Allocation to main distillate fuels (energy allocation)</v>
      </c>
      <c r="AA101" s="14" t="s">
        <v>1353</v>
      </c>
      <c r="AB101" s="14"/>
      <c r="AC101" s="346">
        <f ca="1">LCI_Table[[#This Row],[Default Calculated Value]]-LCI_Table[[#This Row],[Calculated Value]]</f>
        <v>0</v>
      </c>
    </row>
    <row r="102" spans="1:29" x14ac:dyDescent="0.3">
      <c r="A1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dash_Canola/RapeseedHEFAGREETGREET(blank)_Yield_Farming</v>
      </c>
      <c r="B102" s="48" t="s">
        <v>1347</v>
      </c>
      <c r="C102" s="48" t="s">
        <v>30</v>
      </c>
      <c r="D102" s="48" t="s">
        <v>29</v>
      </c>
      <c r="E102" s="48" t="s">
        <v>29</v>
      </c>
      <c r="F102" s="48" t="s">
        <v>31</v>
      </c>
      <c r="G102" s="14" t="b">
        <f>OR(LCI_Table[[#This Row],[Feedstock]]="All",LCI_Table[[#This Row],[Feedstock]]=SelectedFeedstock)</f>
        <v>1</v>
      </c>
      <c r="H102" s="14" t="b">
        <f>OR(LCI_Table[[#This Row],[Conversion]]="All",LCI_Table[[#This Row],[Conversion]]=SelectedConversion)</f>
        <v>1</v>
      </c>
      <c r="I102" s="14" t="b">
        <f>OR(LCI_Table[[#This Row],[Data Set]]="all",LCI_Table[[#This Row],[Data Set]]=SelectedDataSet)</f>
        <v>1</v>
      </c>
      <c r="J102" s="14" t="b">
        <f>OR(LCI_Table[[#This Row],[Technology]]="All",LCI_Table[[#This Row],[Technology]]=SelectedTechnology)</f>
        <v>1</v>
      </c>
      <c r="K102" s="14" t="b">
        <f>OR(LCI_Table[[#This Row],[Data Source]]="All",LCI_Table[[#This Row],[Data Source]]=SelectedDataSource)</f>
        <v>1</v>
      </c>
      <c r="L102" s="14" t="b">
        <v>0</v>
      </c>
      <c r="M102" s="14" t="b">
        <f>(LCI_Table[[#This Row],[Dev Notes]]="Do not display")</f>
        <v>0</v>
      </c>
      <c r="N102" s="14" t="b">
        <f>AND(LCI_Table[[#This Row],[Show Feedstock]:[Conditional]],NOT(LCI_Table[[#This Row],[Hide Row]]))</f>
        <v>0</v>
      </c>
      <c r="O102" s="14" t="b">
        <f>LCI_Table[[#This Row],[GREET1 Name Range]]=""</f>
        <v>1</v>
      </c>
      <c r="P102" s="48" t="s">
        <v>14</v>
      </c>
      <c r="Q102" s="14" t="s">
        <v>361</v>
      </c>
      <c r="R102" s="48" t="s">
        <v>200</v>
      </c>
      <c r="S102" s="37" cm="1">
        <f t="array" aca="1" ref="S1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0.65100000000000002</v>
      </c>
      <c r="T102" s="346" t="s">
        <v>2116</v>
      </c>
      <c r="U102" s="344"/>
      <c r="V102" s="353">
        <v>0.65100000000000002</v>
      </c>
      <c r="W102" s="344"/>
      <c r="X102" s="48" t="s">
        <v>55</v>
      </c>
      <c r="Y102" s="346" t="s">
        <v>413</v>
      </c>
      <c r="Z102" s="14" t="str">
        <f>IF(ISBLANK(LCI_Table[[#This Row],[Notes for user]])," ",LCI_Table[[#This Row],[Notes for user]])</f>
        <v>USDA (2021 data)</v>
      </c>
      <c r="AA102" s="48" t="s">
        <v>915</v>
      </c>
      <c r="AB102" s="345"/>
      <c r="AC102" s="346">
        <f>LCI_Table[[#This Row],[Default Calculated Value]]-LCI_Table[[#This Row],[Calculated Value]]</f>
        <v>0</v>
      </c>
    </row>
    <row r="103" spans="1:29" x14ac:dyDescent="0.3">
      <c r="A1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Canola/RapeseedHEFAGREETGREET(blank)_Canola_Farming_Nitrogen_fertilizerNitrogen fertilizer</v>
      </c>
      <c r="B103" s="48" t="s">
        <v>1347</v>
      </c>
      <c r="C103" s="14" t="s">
        <v>30</v>
      </c>
      <c r="D103" s="14" t="s">
        <v>29</v>
      </c>
      <c r="E103" s="48" t="s">
        <v>29</v>
      </c>
      <c r="F103" s="14" t="s">
        <v>31</v>
      </c>
      <c r="G103" s="14" t="b">
        <f>OR(LCI_Table[[#This Row],[Feedstock]]="All",LCI_Table[[#This Row],[Feedstock]]=SelectedFeedstock)</f>
        <v>1</v>
      </c>
      <c r="H103" s="14" t="b">
        <f>OR(LCI_Table[[#This Row],[Conversion]]="All",LCI_Table[[#This Row],[Conversion]]=SelectedConversion)</f>
        <v>1</v>
      </c>
      <c r="I103" s="14" t="b">
        <f>OR(LCI_Table[[#This Row],[Data Set]]="all",LCI_Table[[#This Row],[Data Set]]=SelectedDataSet)</f>
        <v>1</v>
      </c>
      <c r="J103" s="14" t="b">
        <f>OR(LCI_Table[[#This Row],[Technology]]="All",LCI_Table[[#This Row],[Technology]]=SelectedTechnology)</f>
        <v>1</v>
      </c>
      <c r="K103" s="14" t="b">
        <f>OR(LCI_Table[[#This Row],[Data Source]]="All",LCI_Table[[#This Row],[Data Source]]=SelectedDataSource)</f>
        <v>1</v>
      </c>
      <c r="L103" s="14" t="b">
        <v>0</v>
      </c>
      <c r="M103" s="14" t="b">
        <f>(LCI_Table[[#This Row],[Dev Notes]]="Do not display")</f>
        <v>0</v>
      </c>
      <c r="N103" s="14" t="b">
        <f>AND(LCI_Table[[#This Row],[Show Feedstock]:[Conditional]],NOT(LCI_Table[[#This Row],[Hide Row]]))</f>
        <v>0</v>
      </c>
      <c r="O103" s="14" t="b">
        <f>LCI_Table[[#This Row],[GREET1 Name Range]]=""</f>
        <v>0</v>
      </c>
      <c r="P103" s="14" t="s">
        <v>14</v>
      </c>
      <c r="Q103" s="14" t="s">
        <v>498</v>
      </c>
      <c r="R103" s="14" t="s">
        <v>111</v>
      </c>
      <c r="S103" s="37" cm="1">
        <f t="array" aca="1" ref="S1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73.492563934426286</v>
      </c>
      <c r="T103" s="346" t="s">
        <v>1485</v>
      </c>
      <c r="U103" s="347">
        <f ca="1">S103/g2lb/S102*MT2ton</f>
        <v>56445.901639344185</v>
      </c>
      <c r="V103" s="347">
        <v>73.492563934426286</v>
      </c>
      <c r="W103" s="347">
        <v>56445.901639344185</v>
      </c>
      <c r="X103" s="14" t="s">
        <v>12</v>
      </c>
      <c r="Y103" s="346" t="s">
        <v>413</v>
      </c>
      <c r="Z103" s="14" t="str">
        <f>IF(ISBLANK(LCI_Table[[#This Row],[Notes for user]])," ",LCI_Table[[#This Row],[Notes for user]])</f>
        <v xml:space="preserve"> </v>
      </c>
      <c r="AA103" s="14"/>
      <c r="AB103" s="14"/>
      <c r="AC103" s="346">
        <f ca="1">LCI_Table[[#This Row],[Default Calculated Value]]-LCI_Table[[#This Row],[Calculated Value]]</f>
        <v>0</v>
      </c>
    </row>
    <row r="104" spans="1:29" x14ac:dyDescent="0.3">
      <c r="A1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Canola/RapeseedHEFAGREETGREET(blank)_Canola_Farming_P2O5P2O5</v>
      </c>
      <c r="B104" s="48" t="s">
        <v>1347</v>
      </c>
      <c r="C104" s="14" t="s">
        <v>30</v>
      </c>
      <c r="D104" s="14" t="s">
        <v>29</v>
      </c>
      <c r="E104" s="48" t="s">
        <v>29</v>
      </c>
      <c r="F104" s="14" t="s">
        <v>31</v>
      </c>
      <c r="G104" s="14" t="b">
        <f>OR(LCI_Table[[#This Row],[Feedstock]]="All",LCI_Table[[#This Row],[Feedstock]]=SelectedFeedstock)</f>
        <v>1</v>
      </c>
      <c r="H104" s="14" t="b">
        <f>OR(LCI_Table[[#This Row],[Conversion]]="All",LCI_Table[[#This Row],[Conversion]]=SelectedConversion)</f>
        <v>1</v>
      </c>
      <c r="I104" s="14" t="b">
        <f>OR(LCI_Table[[#This Row],[Data Set]]="all",LCI_Table[[#This Row],[Data Set]]=SelectedDataSet)</f>
        <v>1</v>
      </c>
      <c r="J104" s="14" t="b">
        <f>OR(LCI_Table[[#This Row],[Technology]]="All",LCI_Table[[#This Row],[Technology]]=SelectedTechnology)</f>
        <v>1</v>
      </c>
      <c r="K104" s="14" t="b">
        <f>OR(LCI_Table[[#This Row],[Data Source]]="All",LCI_Table[[#This Row],[Data Source]]=SelectedDataSource)</f>
        <v>1</v>
      </c>
      <c r="L104" s="14" t="b">
        <v>0</v>
      </c>
      <c r="M104" s="14" t="b">
        <f>(LCI_Table[[#This Row],[Dev Notes]]="Do not display")</f>
        <v>0</v>
      </c>
      <c r="N104" s="14" t="b">
        <f>AND(LCI_Table[[#This Row],[Show Feedstock]:[Conditional]],NOT(LCI_Table[[#This Row],[Hide Row]]))</f>
        <v>0</v>
      </c>
      <c r="O104" s="14" t="b">
        <f>LCI_Table[[#This Row],[GREET1 Name Range]]=""</f>
        <v>0</v>
      </c>
      <c r="P104" s="14" t="s">
        <v>14</v>
      </c>
      <c r="Q104" s="14" t="s">
        <v>499</v>
      </c>
      <c r="R104" s="14" t="s">
        <v>112</v>
      </c>
      <c r="S104" s="37" cm="1">
        <f t="array" aca="1" ref="S1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22.65195409836069</v>
      </c>
      <c r="T104" s="346" t="s">
        <v>1485</v>
      </c>
      <c r="U104" s="347">
        <f ca="1">S104/g2lb/S102*MT2ton</f>
        <v>17397.814207650263</v>
      </c>
      <c r="V104" s="347">
        <v>22.65195409836069</v>
      </c>
      <c r="W104" s="347">
        <v>17397.814207650263</v>
      </c>
      <c r="X104" s="14" t="s">
        <v>12</v>
      </c>
      <c r="Y104" s="346" t="s">
        <v>413</v>
      </c>
      <c r="Z104" s="14" t="str">
        <f>IF(ISBLANK(LCI_Table[[#This Row],[Notes for user]])," ",LCI_Table[[#This Row],[Notes for user]])</f>
        <v xml:space="preserve"> </v>
      </c>
      <c r="AA104" s="14"/>
      <c r="AB104" s="14"/>
      <c r="AC104" s="346">
        <f ca="1">LCI_Table[[#This Row],[Default Calculated Value]]-LCI_Table[[#This Row],[Calculated Value]]</f>
        <v>0</v>
      </c>
    </row>
    <row r="105" spans="1:29" x14ac:dyDescent="0.3">
      <c r="A1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Canola/RapeseedHEFAGREETGREET(blank)_Canola_Farming_K2OK2O</v>
      </c>
      <c r="B105" s="48" t="s">
        <v>1347</v>
      </c>
      <c r="C105" s="14" t="s">
        <v>30</v>
      </c>
      <c r="D105" s="14" t="s">
        <v>29</v>
      </c>
      <c r="E105" s="48" t="s">
        <v>29</v>
      </c>
      <c r="F105" s="14" t="s">
        <v>31</v>
      </c>
      <c r="G105" s="14" t="b">
        <f>OR(LCI_Table[[#This Row],[Feedstock]]="All",LCI_Table[[#This Row],[Feedstock]]=SelectedFeedstock)</f>
        <v>1</v>
      </c>
      <c r="H105" s="14" t="b">
        <f>OR(LCI_Table[[#This Row],[Conversion]]="All",LCI_Table[[#This Row],[Conversion]]=SelectedConversion)</f>
        <v>1</v>
      </c>
      <c r="I105" s="14" t="b">
        <f>OR(LCI_Table[[#This Row],[Data Set]]="all",LCI_Table[[#This Row],[Data Set]]=SelectedDataSet)</f>
        <v>1</v>
      </c>
      <c r="J105" s="14" t="b">
        <f>OR(LCI_Table[[#This Row],[Technology]]="All",LCI_Table[[#This Row],[Technology]]=SelectedTechnology)</f>
        <v>1</v>
      </c>
      <c r="K105" s="14" t="b">
        <f>OR(LCI_Table[[#This Row],[Data Source]]="All",LCI_Table[[#This Row],[Data Source]]=SelectedDataSource)</f>
        <v>1</v>
      </c>
      <c r="L105" s="14" t="b">
        <v>0</v>
      </c>
      <c r="M105" s="14" t="b">
        <f>(LCI_Table[[#This Row],[Dev Notes]]="Do not display")</f>
        <v>0</v>
      </c>
      <c r="N105" s="14" t="b">
        <f>AND(LCI_Table[[#This Row],[Show Feedstock]:[Conditional]],NOT(LCI_Table[[#This Row],[Hide Row]]))</f>
        <v>0</v>
      </c>
      <c r="O105" s="14" t="b">
        <f>LCI_Table[[#This Row],[GREET1 Name Range]]=""</f>
        <v>0</v>
      </c>
      <c r="P105" s="14" t="s">
        <v>14</v>
      </c>
      <c r="Q105" s="14" t="s">
        <v>495</v>
      </c>
      <c r="R105" s="14" t="s">
        <v>113</v>
      </c>
      <c r="S105" s="37" cm="1">
        <f t="array" aca="1" ref="S1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5.9237442622950773</v>
      </c>
      <c r="T105" s="346" t="s">
        <v>1485</v>
      </c>
      <c r="U105" s="347">
        <f ca="1">S105/g2lb/S102*MT2ton</f>
        <v>4549.726775956271</v>
      </c>
      <c r="V105" s="347">
        <v>5.9237442622950773</v>
      </c>
      <c r="W105" s="347">
        <v>4549.726775956271</v>
      </c>
      <c r="X105" s="14" t="s">
        <v>12</v>
      </c>
      <c r="Y105" s="346" t="s">
        <v>413</v>
      </c>
      <c r="Z105" s="14" t="str">
        <f>IF(ISBLANK(LCI_Table[[#This Row],[Notes for user]])," ",LCI_Table[[#This Row],[Notes for user]])</f>
        <v xml:space="preserve"> </v>
      </c>
      <c r="AA105" s="14"/>
      <c r="AB105" s="14"/>
      <c r="AC105" s="346">
        <f ca="1">LCI_Table[[#This Row],[Default Calculated Value]]-LCI_Table[[#This Row],[Calculated Value]]</f>
        <v>0</v>
      </c>
    </row>
    <row r="106" spans="1:29" x14ac:dyDescent="0.3">
      <c r="A1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Canola/RapeseedHEFAGREETGREET(blank)_Canola_Farming_CaCO3CaCO3</v>
      </c>
      <c r="B106" s="48" t="s">
        <v>1347</v>
      </c>
      <c r="C106" s="14" t="s">
        <v>30</v>
      </c>
      <c r="D106" s="14" t="s">
        <v>29</v>
      </c>
      <c r="E106" s="48" t="s">
        <v>29</v>
      </c>
      <c r="F106" s="14" t="s">
        <v>31</v>
      </c>
      <c r="G106" s="14" t="b">
        <f>OR(LCI_Table[[#This Row],[Feedstock]]="All",LCI_Table[[#This Row],[Feedstock]]=SelectedFeedstock)</f>
        <v>1</v>
      </c>
      <c r="H106" s="14" t="b">
        <f>OR(LCI_Table[[#This Row],[Conversion]]="All",LCI_Table[[#This Row],[Conversion]]=SelectedConversion)</f>
        <v>1</v>
      </c>
      <c r="I106" s="14" t="b">
        <f>OR(LCI_Table[[#This Row],[Data Set]]="all",LCI_Table[[#This Row],[Data Set]]=SelectedDataSet)</f>
        <v>1</v>
      </c>
      <c r="J106" s="14" t="b">
        <f>OR(LCI_Table[[#This Row],[Technology]]="All",LCI_Table[[#This Row],[Technology]]=SelectedTechnology)</f>
        <v>1</v>
      </c>
      <c r="K106" s="14" t="b">
        <f>OR(LCI_Table[[#This Row],[Data Source]]="All",LCI_Table[[#This Row],[Data Source]]=SelectedDataSource)</f>
        <v>1</v>
      </c>
      <c r="L106" s="14" t="b">
        <v>0</v>
      </c>
      <c r="M106" s="14" t="b">
        <f>(LCI_Table[[#This Row],[Dev Notes]]="Do not display")</f>
        <v>0</v>
      </c>
      <c r="N106" s="14" t="b">
        <f>AND(LCI_Table[[#This Row],[Show Feedstock]:[Conditional]],NOT(LCI_Table[[#This Row],[Hide Row]]))</f>
        <v>0</v>
      </c>
      <c r="O106" s="14" t="b">
        <f>LCI_Table[[#This Row],[GREET1 Name Range]]=""</f>
        <v>0</v>
      </c>
      <c r="P106" s="14" t="s">
        <v>14</v>
      </c>
      <c r="Q106" s="14" t="s">
        <v>488</v>
      </c>
      <c r="R106" s="14" t="s">
        <v>141</v>
      </c>
      <c r="S106" s="37" cm="1">
        <f t="array" aca="1" ref="S1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6" s="346" t="s">
        <v>1485</v>
      </c>
      <c r="U106" s="347">
        <f ca="1">S106/g2lb/S102*MT2ton</f>
        <v>0</v>
      </c>
      <c r="V106" s="347">
        <v>0</v>
      </c>
      <c r="W106" s="347">
        <v>0</v>
      </c>
      <c r="X106" s="14" t="s">
        <v>12</v>
      </c>
      <c r="Y106" s="346" t="s">
        <v>413</v>
      </c>
      <c r="Z106" s="14" t="str">
        <f>IF(ISBLANK(LCI_Table[[#This Row],[Notes for user]])," ",LCI_Table[[#This Row],[Notes for user]])</f>
        <v xml:space="preserve"> </v>
      </c>
      <c r="AA106" s="14"/>
      <c r="AB106" s="14"/>
      <c r="AC106" s="346">
        <f ca="1">LCI_Table[[#This Row],[Default Calculated Value]]-LCI_Table[[#This Row],[Calculated Value]]</f>
        <v>0</v>
      </c>
    </row>
    <row r="107" spans="1:29" x14ac:dyDescent="0.3">
      <c r="A1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Canola/RapeseedHEFAGREETGREET(blank)_Canola_Farming_HerbicidesHerbicides</v>
      </c>
      <c r="B107" s="48" t="s">
        <v>1347</v>
      </c>
      <c r="C107" s="14" t="s">
        <v>30</v>
      </c>
      <c r="D107" s="14" t="s">
        <v>29</v>
      </c>
      <c r="E107" s="48" t="s">
        <v>29</v>
      </c>
      <c r="F107" s="14" t="s">
        <v>31</v>
      </c>
      <c r="G107" s="14" t="b">
        <f>OR(LCI_Table[[#This Row],[Feedstock]]="All",LCI_Table[[#This Row],[Feedstock]]=SelectedFeedstock)</f>
        <v>1</v>
      </c>
      <c r="H107" s="14" t="b">
        <f>OR(LCI_Table[[#This Row],[Conversion]]="All",LCI_Table[[#This Row],[Conversion]]=SelectedConversion)</f>
        <v>1</v>
      </c>
      <c r="I107" s="14" t="b">
        <f>OR(LCI_Table[[#This Row],[Data Set]]="all",LCI_Table[[#This Row],[Data Set]]=SelectedDataSet)</f>
        <v>1</v>
      </c>
      <c r="J107" s="14" t="b">
        <f>OR(LCI_Table[[#This Row],[Technology]]="All",LCI_Table[[#This Row],[Technology]]=SelectedTechnology)</f>
        <v>1</v>
      </c>
      <c r="K107" s="14" t="b">
        <f>OR(LCI_Table[[#This Row],[Data Source]]="All",LCI_Table[[#This Row],[Data Source]]=SelectedDataSource)</f>
        <v>1</v>
      </c>
      <c r="L107" s="14" t="b">
        <v>0</v>
      </c>
      <c r="M107" s="14" t="b">
        <f>(LCI_Table[[#This Row],[Dev Notes]]="Do not display")</f>
        <v>0</v>
      </c>
      <c r="N107" s="14" t="b">
        <f>AND(LCI_Table[[#This Row],[Show Feedstock]:[Conditional]],NOT(LCI_Table[[#This Row],[Hide Row]]))</f>
        <v>0</v>
      </c>
      <c r="O107" s="14" t="b">
        <f>LCI_Table[[#This Row],[GREET1 Name Range]]=""</f>
        <v>0</v>
      </c>
      <c r="P107" s="14" t="s">
        <v>14</v>
      </c>
      <c r="Q107" s="14" t="s">
        <v>493</v>
      </c>
      <c r="R107" s="14" t="s">
        <v>356</v>
      </c>
      <c r="S107" s="37" cm="1">
        <f t="array" aca="1" ref="S1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0.59337049180327905</v>
      </c>
      <c r="T107" s="346" t="s">
        <v>1485</v>
      </c>
      <c r="U107" s="347">
        <f ca="1">S107/g2lb/S102*MT2ton</f>
        <v>455.73770491803208</v>
      </c>
      <c r="V107" s="347">
        <v>0.59337049180327905</v>
      </c>
      <c r="W107" s="347">
        <v>455.73770491803208</v>
      </c>
      <c r="X107" s="14" t="s">
        <v>12</v>
      </c>
      <c r="Y107" s="346" t="s">
        <v>413</v>
      </c>
      <c r="Z107" s="14" t="str">
        <f>IF(ISBLANK(LCI_Table[[#This Row],[Notes for user]])," ",LCI_Table[[#This Row],[Notes for user]])</f>
        <v xml:space="preserve"> </v>
      </c>
      <c r="AA107" s="14"/>
      <c r="AB107" s="14"/>
      <c r="AC107" s="346">
        <f ca="1">LCI_Table[[#This Row],[Default Calculated Value]]-LCI_Table[[#This Row],[Calculated Value]]</f>
        <v>0</v>
      </c>
    </row>
    <row r="108" spans="1:29" x14ac:dyDescent="0.3">
      <c r="A1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Canola/RapeseedHEFAGREETGREET(blank)_Canola_Farming_InsecticideInsecticide</v>
      </c>
      <c r="B108" s="48" t="s">
        <v>1347</v>
      </c>
      <c r="C108" s="14" t="s">
        <v>30</v>
      </c>
      <c r="D108" s="14" t="s">
        <v>29</v>
      </c>
      <c r="E108" s="48" t="s">
        <v>29</v>
      </c>
      <c r="F108" s="14" t="s">
        <v>31</v>
      </c>
      <c r="G108" s="14" t="b">
        <f>OR(LCI_Table[[#This Row],[Feedstock]]="All",LCI_Table[[#This Row],[Feedstock]]=SelectedFeedstock)</f>
        <v>1</v>
      </c>
      <c r="H108" s="14" t="b">
        <f>OR(LCI_Table[[#This Row],[Conversion]]="All",LCI_Table[[#This Row],[Conversion]]=SelectedConversion)</f>
        <v>1</v>
      </c>
      <c r="I108" s="14" t="b">
        <f>OR(LCI_Table[[#This Row],[Data Set]]="all",LCI_Table[[#This Row],[Data Set]]=SelectedDataSet)</f>
        <v>1</v>
      </c>
      <c r="J108" s="14" t="b">
        <f>OR(LCI_Table[[#This Row],[Technology]]="All",LCI_Table[[#This Row],[Technology]]=SelectedTechnology)</f>
        <v>1</v>
      </c>
      <c r="K108" s="14" t="b">
        <f>OR(LCI_Table[[#This Row],[Data Source]]="All",LCI_Table[[#This Row],[Data Source]]=SelectedDataSource)</f>
        <v>1</v>
      </c>
      <c r="L108" s="14" t="b">
        <v>0</v>
      </c>
      <c r="M108" s="14" t="b">
        <f>(LCI_Table[[#This Row],[Dev Notes]]="Do not display")</f>
        <v>0</v>
      </c>
      <c r="N108" s="14" t="b">
        <f>AND(LCI_Table[[#This Row],[Show Feedstock]:[Conditional]],NOT(LCI_Table[[#This Row],[Hide Row]]))</f>
        <v>0</v>
      </c>
      <c r="O108" s="14" t="b">
        <f>LCI_Table[[#This Row],[GREET1 Name Range]]=""</f>
        <v>0</v>
      </c>
      <c r="P108" s="14" t="s">
        <v>14</v>
      </c>
      <c r="Q108" s="14" t="s">
        <v>494</v>
      </c>
      <c r="R108" s="14" t="s">
        <v>114</v>
      </c>
      <c r="S108" s="37" cm="1">
        <f t="array" aca="1" ref="S1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5.5495081967213075E-2</v>
      </c>
      <c r="T108" s="346" t="s">
        <v>1485</v>
      </c>
      <c r="U108" s="347">
        <f ca="1">S108/g2lb/S102*MT2ton</f>
        <v>42.622950819672013</v>
      </c>
      <c r="V108" s="347">
        <v>5.5495081967213075E-2</v>
      </c>
      <c r="W108" s="347">
        <v>42.622950819672013</v>
      </c>
      <c r="X108" s="14" t="s">
        <v>12</v>
      </c>
      <c r="Y108" s="346" t="s">
        <v>413</v>
      </c>
      <c r="Z108" s="14" t="str">
        <f>IF(ISBLANK(LCI_Table[[#This Row],[Notes for user]])," ",LCI_Table[[#This Row],[Notes for user]])</f>
        <v xml:space="preserve"> </v>
      </c>
      <c r="AA108" s="14"/>
      <c r="AB108" s="14"/>
      <c r="AC108" s="346">
        <f ca="1">LCI_Table[[#This Row],[Default Calculated Value]]-LCI_Table[[#This Row],[Calculated Value]]</f>
        <v>0</v>
      </c>
    </row>
    <row r="109" spans="1:29" x14ac:dyDescent="0.3">
      <c r="A1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Canola/RapeseedHEFAGREETGREET(blank)_Canola_Farming_Residual_oilResidual oil</v>
      </c>
      <c r="B109" s="48" t="s">
        <v>1347</v>
      </c>
      <c r="C109" s="14" t="s">
        <v>30</v>
      </c>
      <c r="D109" s="14" t="s">
        <v>29</v>
      </c>
      <c r="E109" s="48" t="s">
        <v>29</v>
      </c>
      <c r="F109" s="14" t="s">
        <v>31</v>
      </c>
      <c r="G109" s="14" t="b">
        <f>OR(LCI_Table[[#This Row],[Feedstock]]="All",LCI_Table[[#This Row],[Feedstock]]=SelectedFeedstock)</f>
        <v>1</v>
      </c>
      <c r="H109" s="14" t="b">
        <f>OR(LCI_Table[[#This Row],[Conversion]]="All",LCI_Table[[#This Row],[Conversion]]=SelectedConversion)</f>
        <v>1</v>
      </c>
      <c r="I109" s="14" t="b">
        <f>OR(LCI_Table[[#This Row],[Data Set]]="all",LCI_Table[[#This Row],[Data Set]]=SelectedDataSet)</f>
        <v>1</v>
      </c>
      <c r="J109" s="14" t="b">
        <f>OR(LCI_Table[[#This Row],[Technology]]="All",LCI_Table[[#This Row],[Technology]]=SelectedTechnology)</f>
        <v>1</v>
      </c>
      <c r="K109" s="14" t="b">
        <f>OR(LCI_Table[[#This Row],[Data Source]]="All",LCI_Table[[#This Row],[Data Source]]=SelectedDataSource)</f>
        <v>1</v>
      </c>
      <c r="L109" s="14" t="b">
        <v>0</v>
      </c>
      <c r="M109" s="14" t="b">
        <f>(LCI_Table[[#This Row],[Dev Notes]]="Do not display")</f>
        <v>0</v>
      </c>
      <c r="N109" s="14" t="b">
        <f>AND(LCI_Table[[#This Row],[Show Feedstock]:[Conditional]],NOT(LCI_Table[[#This Row],[Hide Row]]))</f>
        <v>0</v>
      </c>
      <c r="O109" s="14" t="b">
        <f>LCI_Table[[#This Row],[GREET1 Name Range]]=""</f>
        <v>0</v>
      </c>
      <c r="P109" s="14" t="s">
        <v>14</v>
      </c>
      <c r="Q109" s="14" t="s">
        <v>500</v>
      </c>
      <c r="R109" s="14" t="s">
        <v>115</v>
      </c>
      <c r="S109" s="37" cm="1">
        <f t="array" aca="1" ref="S1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9" s="346" t="s">
        <v>1484</v>
      </c>
      <c r="U109" s="347">
        <f ca="1">S109*Fuel_Specs!$B$28/S102*MT2ton</f>
        <v>0</v>
      </c>
      <c r="V109" s="347">
        <v>0</v>
      </c>
      <c r="W109" s="347">
        <v>0</v>
      </c>
      <c r="X109" s="14" t="s">
        <v>5</v>
      </c>
      <c r="Y109" s="346" t="s">
        <v>413</v>
      </c>
      <c r="Z109" s="14" t="str">
        <f>IF(ISBLANK(LCI_Table[[#This Row],[Notes for user]])," ",LCI_Table[[#This Row],[Notes for user]])</f>
        <v xml:space="preserve"> </v>
      </c>
      <c r="AA109" s="14"/>
      <c r="AB109" s="14"/>
      <c r="AC109" s="346">
        <f ca="1">LCI_Table[[#This Row],[Default Calculated Value]]-LCI_Table[[#This Row],[Calculated Value]]</f>
        <v>0</v>
      </c>
    </row>
    <row r="110" spans="1:29" x14ac:dyDescent="0.3">
      <c r="A1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Canola/RapeseedHEFAGREETGREET(blank)_Canola_Farming_DieselDiesel</v>
      </c>
      <c r="B110" s="48" t="s">
        <v>1347</v>
      </c>
      <c r="C110" s="14" t="s">
        <v>30</v>
      </c>
      <c r="D110" s="14" t="s">
        <v>29</v>
      </c>
      <c r="E110" s="48" t="s">
        <v>29</v>
      </c>
      <c r="F110" s="14" t="s">
        <v>31</v>
      </c>
      <c r="G110" s="14" t="b">
        <f>OR(LCI_Table[[#This Row],[Feedstock]]="All",LCI_Table[[#This Row],[Feedstock]]=SelectedFeedstock)</f>
        <v>1</v>
      </c>
      <c r="H110" s="14" t="b">
        <f>OR(LCI_Table[[#This Row],[Conversion]]="All",LCI_Table[[#This Row],[Conversion]]=SelectedConversion)</f>
        <v>1</v>
      </c>
      <c r="I110" s="14" t="b">
        <f>OR(LCI_Table[[#This Row],[Data Set]]="all",LCI_Table[[#This Row],[Data Set]]=SelectedDataSet)</f>
        <v>1</v>
      </c>
      <c r="J110" s="14" t="b">
        <f>OR(LCI_Table[[#This Row],[Technology]]="All",LCI_Table[[#This Row],[Technology]]=SelectedTechnology)</f>
        <v>1</v>
      </c>
      <c r="K110" s="14" t="b">
        <f>OR(LCI_Table[[#This Row],[Data Source]]="All",LCI_Table[[#This Row],[Data Source]]=SelectedDataSource)</f>
        <v>1</v>
      </c>
      <c r="L110" s="14" t="b">
        <v>0</v>
      </c>
      <c r="M110" s="14" t="b">
        <f>(LCI_Table[[#This Row],[Dev Notes]]="Do not display")</f>
        <v>0</v>
      </c>
      <c r="N110" s="14" t="b">
        <f>AND(LCI_Table[[#This Row],[Show Feedstock]:[Conditional]],NOT(LCI_Table[[#This Row],[Hide Row]]))</f>
        <v>0</v>
      </c>
      <c r="O110" s="14" t="b">
        <f>LCI_Table[[#This Row],[GREET1 Name Range]]=""</f>
        <v>0</v>
      </c>
      <c r="P110" s="14" t="s">
        <v>14</v>
      </c>
      <c r="Q110" s="14" t="s">
        <v>490</v>
      </c>
      <c r="R110" s="14" t="s">
        <v>106</v>
      </c>
      <c r="S110" s="37" cm="1">
        <f t="array" aca="1" ref="S1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2.5667909828992035</v>
      </c>
      <c r="T110" s="346" t="s">
        <v>1484</v>
      </c>
      <c r="U110" s="347">
        <f ca="1">IF(Selections!R64=1,S110*('GREET Connection'!S172*Fuel_Specs!B21+'GREET Connection'!S173*Fuel_Specs!B39+'GREET Connection'!S174*Fuel_Specs!B42)/S102*MT2ton,0)</f>
        <v>558274.6253198206</v>
      </c>
      <c r="V110" s="347">
        <v>2.5667909828992035</v>
      </c>
      <c r="W110" s="347">
        <v>558274.6253198206</v>
      </c>
      <c r="X110" s="14" t="s">
        <v>5</v>
      </c>
      <c r="Y110" s="346" t="s">
        <v>413</v>
      </c>
      <c r="Z110" s="14" t="str">
        <f>IF(ISBLANK(LCI_Table[[#This Row],[Notes for user]])," ",LCI_Table[[#This Row],[Notes for user]])</f>
        <v xml:space="preserve"> </v>
      </c>
      <c r="AA110" s="14"/>
      <c r="AB110" s="14"/>
      <c r="AC110" s="346">
        <f ca="1">LCI_Table[[#This Row],[Default Calculated Value]]-LCI_Table[[#This Row],[Calculated Value]]</f>
        <v>0</v>
      </c>
    </row>
    <row r="111" spans="1:29" x14ac:dyDescent="0.3">
      <c r="A1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dash_Canola/RapeseedHEFAGREETGREET(blank)_Ag tractor electriciy use_Farming</v>
      </c>
      <c r="B111" s="48" t="s">
        <v>1347</v>
      </c>
      <c r="C111" s="14" t="s">
        <v>30</v>
      </c>
      <c r="D111" s="14" t="s">
        <v>29</v>
      </c>
      <c r="E111" s="48" t="s">
        <v>29</v>
      </c>
      <c r="F111" s="14" t="s">
        <v>31</v>
      </c>
      <c r="G111" s="14" t="b">
        <f>OR(LCI_Table[[#This Row],[Feedstock]]="All",LCI_Table[[#This Row],[Feedstock]]=SelectedFeedstock)</f>
        <v>1</v>
      </c>
      <c r="H111" s="14" t="b">
        <f>OR(LCI_Table[[#This Row],[Conversion]]="All",LCI_Table[[#This Row],[Conversion]]=SelectedConversion)</f>
        <v>1</v>
      </c>
      <c r="I111" s="14" t="b">
        <f>OR(LCI_Table[[#This Row],[Data Set]]="all",LCI_Table[[#This Row],[Data Set]]=SelectedDataSet)</f>
        <v>1</v>
      </c>
      <c r="J111" s="14" t="b">
        <f>OR(LCI_Table[[#This Row],[Technology]]="All",LCI_Table[[#This Row],[Technology]]=SelectedTechnology)</f>
        <v>1</v>
      </c>
      <c r="K111" s="14" t="b">
        <f>OR(LCI_Table[[#This Row],[Data Source]]="All",LCI_Table[[#This Row],[Data Source]]=SelectedDataSource)</f>
        <v>1</v>
      </c>
      <c r="L111" s="14" t="b">
        <v>0</v>
      </c>
      <c r="M111" s="14" t="b">
        <f>(LCI_Table[[#This Row],[Dev Notes]]="Do not display")</f>
        <v>0</v>
      </c>
      <c r="N111" s="14" t="b">
        <f>AND(LCI_Table[[#This Row],[Show Feedstock]:[Conditional]],NOT(LCI_Table[[#This Row],[Hide Row]]))</f>
        <v>0</v>
      </c>
      <c r="O111" s="14" t="b">
        <f>LCI_Table[[#This Row],[GREET1 Name Range]]=""</f>
        <v>1</v>
      </c>
      <c r="P111" s="14" t="s">
        <v>14</v>
      </c>
      <c r="Q111" s="14"/>
      <c r="R111" s="14" t="s">
        <v>1481</v>
      </c>
      <c r="S111" s="37" cm="1">
        <f t="array" aca="1" ref="S1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46.329868195413923</v>
      </c>
      <c r="T111" s="346" t="s">
        <v>1561</v>
      </c>
      <c r="U111" s="347">
        <f ca="1">LCI_Table[[#This Row],[Dashboard Value]]</f>
        <v>46.329868195413923</v>
      </c>
      <c r="V111" s="347">
        <v>46.329868195413923</v>
      </c>
      <c r="W111" s="347">
        <v>46.329868195413923</v>
      </c>
      <c r="X111" s="14" t="s">
        <v>51</v>
      </c>
      <c r="Y111" s="346" t="s">
        <v>413</v>
      </c>
      <c r="Z111" s="14" t="str">
        <f>IF(ISBLANK(LCI_Table[[#This Row],[Notes for user]])," ",LCI_Table[[#This Row],[Notes for user]])</f>
        <v xml:space="preserve"> </v>
      </c>
      <c r="AA111" s="14"/>
      <c r="AB111" s="14"/>
      <c r="AC111" s="346">
        <f ca="1">LCI_Table[[#This Row],[Default Calculated Value]]-LCI_Table[[#This Row],[Calculated Value]]</f>
        <v>0</v>
      </c>
    </row>
    <row r="112" spans="1:29" x14ac:dyDescent="0.3">
      <c r="A1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Canola/RapeseedHEFAGREETGREET(blank)_Canola_Farming_GasolineGasoline</v>
      </c>
      <c r="B112" s="48" t="s">
        <v>1347</v>
      </c>
      <c r="C112" s="14" t="s">
        <v>30</v>
      </c>
      <c r="D112" s="14" t="s">
        <v>29</v>
      </c>
      <c r="E112" s="48" t="s">
        <v>29</v>
      </c>
      <c r="F112" s="14" t="s">
        <v>31</v>
      </c>
      <c r="G112" s="14" t="b">
        <f>OR(LCI_Table[[#This Row],[Feedstock]]="All",LCI_Table[[#This Row],[Feedstock]]=SelectedFeedstock)</f>
        <v>1</v>
      </c>
      <c r="H112" s="14" t="b">
        <f>OR(LCI_Table[[#This Row],[Conversion]]="All",LCI_Table[[#This Row],[Conversion]]=SelectedConversion)</f>
        <v>1</v>
      </c>
      <c r="I112" s="14" t="b">
        <f>OR(LCI_Table[[#This Row],[Data Set]]="all",LCI_Table[[#This Row],[Data Set]]=SelectedDataSet)</f>
        <v>1</v>
      </c>
      <c r="J112" s="14" t="b">
        <f>OR(LCI_Table[[#This Row],[Technology]]="All",LCI_Table[[#This Row],[Technology]]=SelectedTechnology)</f>
        <v>1</v>
      </c>
      <c r="K112" s="14" t="b">
        <f>OR(LCI_Table[[#This Row],[Data Source]]="All",LCI_Table[[#This Row],[Data Source]]=SelectedDataSource)</f>
        <v>1</v>
      </c>
      <c r="L112" s="14" t="b">
        <v>0</v>
      </c>
      <c r="M112" s="14" t="b">
        <f>(LCI_Table[[#This Row],[Dev Notes]]="Do not display")</f>
        <v>0</v>
      </c>
      <c r="N112" s="14" t="b">
        <f>AND(LCI_Table[[#This Row],[Show Feedstock]:[Conditional]],NOT(LCI_Table[[#This Row],[Hide Row]]))</f>
        <v>0</v>
      </c>
      <c r="O112" s="14" t="b">
        <f>LCI_Table[[#This Row],[GREET1 Name Range]]=""</f>
        <v>0</v>
      </c>
      <c r="P112" s="14" t="s">
        <v>14</v>
      </c>
      <c r="Q112" s="14" t="s">
        <v>492</v>
      </c>
      <c r="R112" s="14" t="s">
        <v>107</v>
      </c>
      <c r="S112" s="37" cm="1">
        <f t="array" aca="1" ref="S1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2" s="346" t="s">
        <v>1484</v>
      </c>
      <c r="U112" s="347">
        <f ca="1">S112*Fuel_Specs!$B$15/S102*MT2ton</f>
        <v>0</v>
      </c>
      <c r="V112" s="347">
        <v>0</v>
      </c>
      <c r="W112" s="347">
        <v>0</v>
      </c>
      <c r="X112" s="14" t="s">
        <v>5</v>
      </c>
      <c r="Y112" s="346" t="s">
        <v>413</v>
      </c>
      <c r="Z112" s="14" t="str">
        <f>IF(ISBLANK(LCI_Table[[#This Row],[Notes for user]])," ",LCI_Table[[#This Row],[Notes for user]])</f>
        <v xml:space="preserve"> </v>
      </c>
      <c r="AA112" s="14"/>
      <c r="AB112" s="14"/>
      <c r="AC112" s="346">
        <f ca="1">LCI_Table[[#This Row],[Default Calculated Value]]-LCI_Table[[#This Row],[Calculated Value]]</f>
        <v>0</v>
      </c>
    </row>
    <row r="113" spans="1:29" x14ac:dyDescent="0.3">
      <c r="A1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Canola/RapeseedHEFAGREETGREET(blank)_Canola_Farming_Natural_gasNatural gas</v>
      </c>
      <c r="B113" s="48" t="s">
        <v>1347</v>
      </c>
      <c r="C113" s="14" t="s">
        <v>30</v>
      </c>
      <c r="D113" s="14" t="s">
        <v>29</v>
      </c>
      <c r="E113" s="48" t="s">
        <v>29</v>
      </c>
      <c r="F113" s="14" t="s">
        <v>31</v>
      </c>
      <c r="G113" s="14" t="b">
        <f>OR(LCI_Table[[#This Row],[Feedstock]]="All",LCI_Table[[#This Row],[Feedstock]]=SelectedFeedstock)</f>
        <v>1</v>
      </c>
      <c r="H113" s="14" t="b">
        <f>OR(LCI_Table[[#This Row],[Conversion]]="All",LCI_Table[[#This Row],[Conversion]]=SelectedConversion)</f>
        <v>1</v>
      </c>
      <c r="I113" s="14" t="b">
        <f>OR(LCI_Table[[#This Row],[Data Set]]="all",LCI_Table[[#This Row],[Data Set]]=SelectedDataSet)</f>
        <v>1</v>
      </c>
      <c r="J113" s="14" t="b">
        <f>OR(LCI_Table[[#This Row],[Technology]]="All",LCI_Table[[#This Row],[Technology]]=SelectedTechnology)</f>
        <v>1</v>
      </c>
      <c r="K113" s="14" t="b">
        <f>OR(LCI_Table[[#This Row],[Data Source]]="All",LCI_Table[[#This Row],[Data Source]]=SelectedDataSource)</f>
        <v>1</v>
      </c>
      <c r="L113" s="14" t="b">
        <v>0</v>
      </c>
      <c r="M113" s="14" t="b">
        <f>(LCI_Table[[#This Row],[Dev Notes]]="Do not display")</f>
        <v>0</v>
      </c>
      <c r="N113" s="14" t="b">
        <f>AND(LCI_Table[[#This Row],[Show Feedstock]:[Conditional]],NOT(LCI_Table[[#This Row],[Hide Row]]))</f>
        <v>0</v>
      </c>
      <c r="O113" s="14" t="b">
        <f>LCI_Table[[#This Row],[GREET1 Name Range]]=""</f>
        <v>0</v>
      </c>
      <c r="P113" s="14" t="s">
        <v>14</v>
      </c>
      <c r="Q113" s="14" t="s">
        <v>497</v>
      </c>
      <c r="R113" s="14" t="s">
        <v>108</v>
      </c>
      <c r="S113" s="37" cm="1">
        <f t="array" aca="1" ref="S1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5.8680529399316912</v>
      </c>
      <c r="T113" s="346" t="s">
        <v>2109</v>
      </c>
      <c r="U113" s="347">
        <f ca="1">S113*Fuel_Specs!$B$79/S102*MT2ton</f>
        <v>9767.2165431649519</v>
      </c>
      <c r="V113" s="347">
        <v>5.8680529399316912</v>
      </c>
      <c r="W113" s="347">
        <v>9767.2165431649519</v>
      </c>
      <c r="X113" s="14" t="s">
        <v>351</v>
      </c>
      <c r="Y113" s="346" t="s">
        <v>413</v>
      </c>
      <c r="Z113" s="14" t="str">
        <f>IF(ISBLANK(LCI_Table[[#This Row],[Notes for user]])," ",LCI_Table[[#This Row],[Notes for user]])</f>
        <v xml:space="preserve"> </v>
      </c>
      <c r="AA113" s="14"/>
      <c r="AB113" s="14"/>
      <c r="AC113" s="346">
        <f ca="1">LCI_Table[[#This Row],[Default Calculated Value]]-LCI_Table[[#This Row],[Calculated Value]]</f>
        <v>0</v>
      </c>
    </row>
    <row r="114" spans="1:29" x14ac:dyDescent="0.3">
      <c r="A1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Canola/RapeseedHEFAGREETGREET(blank)_Canola_Farming_CoalCoal</v>
      </c>
      <c r="B114" s="48" t="s">
        <v>1347</v>
      </c>
      <c r="C114" s="14" t="s">
        <v>30</v>
      </c>
      <c r="D114" s="14" t="s">
        <v>29</v>
      </c>
      <c r="E114" s="48" t="s">
        <v>29</v>
      </c>
      <c r="F114" s="14" t="s">
        <v>31</v>
      </c>
      <c r="G114" s="14" t="b">
        <f>OR(LCI_Table[[#This Row],[Feedstock]]="All",LCI_Table[[#This Row],[Feedstock]]=SelectedFeedstock)</f>
        <v>1</v>
      </c>
      <c r="H114" s="14" t="b">
        <f>OR(LCI_Table[[#This Row],[Conversion]]="All",LCI_Table[[#This Row],[Conversion]]=SelectedConversion)</f>
        <v>1</v>
      </c>
      <c r="I114" s="14" t="b">
        <f>OR(LCI_Table[[#This Row],[Data Set]]="all",LCI_Table[[#This Row],[Data Set]]=SelectedDataSet)</f>
        <v>1</v>
      </c>
      <c r="J114" s="14" t="b">
        <f>OR(LCI_Table[[#This Row],[Technology]]="All",LCI_Table[[#This Row],[Technology]]=SelectedTechnology)</f>
        <v>1</v>
      </c>
      <c r="K114" s="14" t="b">
        <f>OR(LCI_Table[[#This Row],[Data Source]]="All",LCI_Table[[#This Row],[Data Source]]=SelectedDataSource)</f>
        <v>1</v>
      </c>
      <c r="L114" s="14" t="b">
        <v>0</v>
      </c>
      <c r="M114" s="14" t="b">
        <f>(LCI_Table[[#This Row],[Dev Notes]]="Do not display")</f>
        <v>0</v>
      </c>
      <c r="N114" s="14" t="b">
        <f>AND(LCI_Table[[#This Row],[Show Feedstock]:[Conditional]],NOT(LCI_Table[[#This Row],[Hide Row]]))</f>
        <v>0</v>
      </c>
      <c r="O114" s="14" t="b">
        <f>LCI_Table[[#This Row],[GREET1 Name Range]]=""</f>
        <v>0</v>
      </c>
      <c r="P114" s="14" t="s">
        <v>14</v>
      </c>
      <c r="Q114" s="14" t="s">
        <v>489</v>
      </c>
      <c r="R114" s="14" t="s">
        <v>9</v>
      </c>
      <c r="S114" s="37" cm="1">
        <f t="array" aca="1" ref="S1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4" s="346" t="s">
        <v>2110</v>
      </c>
      <c r="U114" s="347">
        <f ca="1">S114/S102*MT2ton</f>
        <v>0</v>
      </c>
      <c r="V114" s="347">
        <v>0</v>
      </c>
      <c r="W114" s="347">
        <v>0</v>
      </c>
      <c r="X114" s="14" t="s">
        <v>117</v>
      </c>
      <c r="Y114" s="346" t="s">
        <v>413</v>
      </c>
      <c r="Z114" s="14" t="str">
        <f>IF(ISBLANK(LCI_Table[[#This Row],[Notes for user]])," ",LCI_Table[[#This Row],[Notes for user]])</f>
        <v xml:space="preserve"> </v>
      </c>
      <c r="AA114" s="14"/>
      <c r="AB114" s="14"/>
      <c r="AC114" s="346">
        <f ca="1">LCI_Table[[#This Row],[Default Calculated Value]]-LCI_Table[[#This Row],[Calculated Value]]</f>
        <v>0</v>
      </c>
    </row>
    <row r="115" spans="1:29" x14ac:dyDescent="0.3">
      <c r="A1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Canola/RapeseedHEFAGREETGREET(blank)_Canola_Farming_LPGLPG</v>
      </c>
      <c r="B115" s="48" t="s">
        <v>1347</v>
      </c>
      <c r="C115" s="14" t="s">
        <v>30</v>
      </c>
      <c r="D115" s="14" t="s">
        <v>29</v>
      </c>
      <c r="E115" s="48" t="s">
        <v>29</v>
      </c>
      <c r="F115" s="14" t="s">
        <v>31</v>
      </c>
      <c r="G115" s="14" t="b">
        <f>OR(LCI_Table[[#This Row],[Feedstock]]="All",LCI_Table[[#This Row],[Feedstock]]=SelectedFeedstock)</f>
        <v>1</v>
      </c>
      <c r="H115" s="14" t="b">
        <f>OR(LCI_Table[[#This Row],[Conversion]]="All",LCI_Table[[#This Row],[Conversion]]=SelectedConversion)</f>
        <v>1</v>
      </c>
      <c r="I115" s="14" t="b">
        <f>OR(LCI_Table[[#This Row],[Data Set]]="all",LCI_Table[[#This Row],[Data Set]]=SelectedDataSet)</f>
        <v>1</v>
      </c>
      <c r="J115" s="14" t="b">
        <f>OR(LCI_Table[[#This Row],[Technology]]="All",LCI_Table[[#This Row],[Technology]]=SelectedTechnology)</f>
        <v>1</v>
      </c>
      <c r="K115" s="14" t="b">
        <f>OR(LCI_Table[[#This Row],[Data Source]]="All",LCI_Table[[#This Row],[Data Source]]=SelectedDataSource)</f>
        <v>1</v>
      </c>
      <c r="L115" s="14" t="b">
        <v>0</v>
      </c>
      <c r="M115" s="14" t="b">
        <f>(LCI_Table[[#This Row],[Dev Notes]]="Do not display")</f>
        <v>0</v>
      </c>
      <c r="N115" s="14" t="b">
        <f>AND(LCI_Table[[#This Row],[Show Feedstock]:[Conditional]],NOT(LCI_Table[[#This Row],[Hide Row]]))</f>
        <v>0</v>
      </c>
      <c r="O115" s="14" t="b">
        <f>LCI_Table[[#This Row],[GREET1 Name Range]]=""</f>
        <v>0</v>
      </c>
      <c r="P115" s="14" t="s">
        <v>14</v>
      </c>
      <c r="Q115" s="14" t="s">
        <v>496</v>
      </c>
      <c r="R115" s="14" t="s">
        <v>109</v>
      </c>
      <c r="S115" s="37" cm="1">
        <f t="array" aca="1" ref="S1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5" s="346" t="s">
        <v>1484</v>
      </c>
      <c r="U115" s="347">
        <f ca="1">S115*Fuel_Specs!$B$35/S102*MT2ton</f>
        <v>0</v>
      </c>
      <c r="V115" s="347">
        <v>0</v>
      </c>
      <c r="W115" s="347">
        <v>0</v>
      </c>
      <c r="X115" s="14" t="s">
        <v>5</v>
      </c>
      <c r="Y115" s="346" t="s">
        <v>413</v>
      </c>
      <c r="Z115" s="14" t="str">
        <f>IF(ISBLANK(LCI_Table[[#This Row],[Notes for user]])," ",LCI_Table[[#This Row],[Notes for user]])</f>
        <v xml:space="preserve"> </v>
      </c>
      <c r="AA115" s="14"/>
      <c r="AB115" s="14"/>
      <c r="AC115" s="346">
        <f ca="1">LCI_Table[[#This Row],[Default Calculated Value]]-LCI_Table[[#This Row],[Calculated Value]]</f>
        <v>0</v>
      </c>
    </row>
    <row r="116" spans="1:29" x14ac:dyDescent="0.3">
      <c r="A1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Canola/RapeseedHEFAGREETGREET(blank)_Canola_Farming_ElectricityElectricity</v>
      </c>
      <c r="B116" s="48" t="s">
        <v>1347</v>
      </c>
      <c r="C116" s="14" t="s">
        <v>30</v>
      </c>
      <c r="D116" s="14" t="s">
        <v>29</v>
      </c>
      <c r="E116" s="48" t="s">
        <v>29</v>
      </c>
      <c r="F116" s="14" t="s">
        <v>31</v>
      </c>
      <c r="G116" s="14" t="b">
        <f>OR(LCI_Table[[#This Row],[Feedstock]]="All",LCI_Table[[#This Row],[Feedstock]]=SelectedFeedstock)</f>
        <v>1</v>
      </c>
      <c r="H116" s="14" t="b">
        <f>OR(LCI_Table[[#This Row],[Conversion]]="All",LCI_Table[[#This Row],[Conversion]]=SelectedConversion)</f>
        <v>1</v>
      </c>
      <c r="I116" s="14" t="b">
        <f>OR(LCI_Table[[#This Row],[Data Set]]="all",LCI_Table[[#This Row],[Data Set]]=SelectedDataSet)</f>
        <v>1</v>
      </c>
      <c r="J116" s="14" t="b">
        <f>OR(LCI_Table[[#This Row],[Technology]]="All",LCI_Table[[#This Row],[Technology]]=SelectedTechnology)</f>
        <v>1</v>
      </c>
      <c r="K116" s="14" t="b">
        <f>OR(LCI_Table[[#This Row],[Data Source]]="All",LCI_Table[[#This Row],[Data Source]]=SelectedDataSource)</f>
        <v>1</v>
      </c>
      <c r="L116" s="14" t="b">
        <v>0</v>
      </c>
      <c r="M116" s="14" t="b">
        <f>(LCI_Table[[#This Row],[Dev Notes]]="Do not display")</f>
        <v>0</v>
      </c>
      <c r="N116" s="14" t="b">
        <f>AND(LCI_Table[[#This Row],[Show Feedstock]:[Conditional]],NOT(LCI_Table[[#This Row],[Hide Row]]))</f>
        <v>0</v>
      </c>
      <c r="O116" s="14" t="b">
        <f>LCI_Table[[#This Row],[GREET1 Name Range]]=""</f>
        <v>0</v>
      </c>
      <c r="P116" s="14" t="s">
        <v>14</v>
      </c>
      <c r="Q116" s="14" t="s">
        <v>491</v>
      </c>
      <c r="R116" s="14" t="s">
        <v>110</v>
      </c>
      <c r="S116" s="37" cm="1">
        <f t="array" aca="1" ref="S1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1.647495772500259</v>
      </c>
      <c r="T116" s="346" t="s">
        <v>1561</v>
      </c>
      <c r="U116" s="347">
        <f ca="1">S116/BTU2kWh/S102*MT2ton+IF(VALUE(Selections!R64) = 1, 0, S111/BTU2kWh/S102*MT2ton)</f>
        <v>9518.6341497015801</v>
      </c>
      <c r="V116" s="347">
        <v>1.647495772500259</v>
      </c>
      <c r="W116" s="347">
        <v>9518.6341497015801</v>
      </c>
      <c r="X116" s="14" t="s">
        <v>51</v>
      </c>
      <c r="Y116" s="346" t="s">
        <v>413</v>
      </c>
      <c r="Z116" s="14" t="str">
        <f>IF(ISBLANK(LCI_Table[[#This Row],[Notes for user]])," ",LCI_Table[[#This Row],[Notes for user]])</f>
        <v xml:space="preserve"> </v>
      </c>
      <c r="AA116" s="14"/>
      <c r="AB116" s="14"/>
      <c r="AC116" s="346">
        <f ca="1">LCI_Table[[#This Row],[Default Calculated Value]]-LCI_Table[[#This Row],[Calculated Value]]</f>
        <v>0</v>
      </c>
    </row>
    <row r="117" spans="1:29" x14ac:dyDescent="0.3">
      <c r="A1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dash_Canola/RapeseedHEFAGREETGREET(blank)_Canola_Canola Oil Extraction</v>
      </c>
      <c r="B117" s="48" t="s">
        <v>1347</v>
      </c>
      <c r="C117" s="14" t="s">
        <v>30</v>
      </c>
      <c r="D117" s="14" t="s">
        <v>29</v>
      </c>
      <c r="E117" s="48" t="s">
        <v>29</v>
      </c>
      <c r="F117" s="14" t="s">
        <v>31</v>
      </c>
      <c r="G117" s="14" t="b">
        <f>OR(LCI_Table[[#This Row],[Feedstock]]="All",LCI_Table[[#This Row],[Feedstock]]=SelectedFeedstock)</f>
        <v>1</v>
      </c>
      <c r="H117" s="14" t="b">
        <f>OR(LCI_Table[[#This Row],[Conversion]]="All",LCI_Table[[#This Row],[Conversion]]=SelectedConversion)</f>
        <v>1</v>
      </c>
      <c r="I117" s="14" t="b">
        <f>OR(LCI_Table[[#This Row],[Data Set]]="all",LCI_Table[[#This Row],[Data Set]]=SelectedDataSet)</f>
        <v>1</v>
      </c>
      <c r="J117" s="14" t="b">
        <f>OR(LCI_Table[[#This Row],[Technology]]="All",LCI_Table[[#This Row],[Technology]]=SelectedTechnology)</f>
        <v>1</v>
      </c>
      <c r="K117" s="14" t="b">
        <f>OR(LCI_Table[[#This Row],[Data Source]]="All",LCI_Table[[#This Row],[Data Source]]=SelectedDataSource)</f>
        <v>1</v>
      </c>
      <c r="L117" s="14" t="b">
        <v>0</v>
      </c>
      <c r="M117" s="14" t="b">
        <f>(LCI_Table[[#This Row],[Dev Notes]]="Do not display")</f>
        <v>1</v>
      </c>
      <c r="N117" s="14" t="b">
        <f>AND(LCI_Table[[#This Row],[Show Feedstock]:[Conditional]],NOT(LCI_Table[[#This Row],[Hide Row]]))</f>
        <v>0</v>
      </c>
      <c r="O117" s="14" t="b">
        <f>LCI_Table[[#This Row],[GREET1 Name Range]]=""</f>
        <v>1</v>
      </c>
      <c r="P117" s="14" t="s">
        <v>1683</v>
      </c>
      <c r="Q117" s="14" t="s">
        <v>361</v>
      </c>
      <c r="R117" s="14" t="s">
        <v>125</v>
      </c>
      <c r="S117" s="37" cm="1">
        <f t="array" aca="1" ref="S1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2.1661931818181821</v>
      </c>
      <c r="T117" s="346" t="s">
        <v>2111</v>
      </c>
      <c r="U117" s="347">
        <f ca="1">S117/MT2lb</f>
        <v>9.8256869921875003E-4</v>
      </c>
      <c r="V117" s="347">
        <v>2.1661931818181821</v>
      </c>
      <c r="W117" s="347">
        <v>9.8256869921875003E-4</v>
      </c>
      <c r="X117" s="14" t="s">
        <v>12</v>
      </c>
      <c r="Y117" s="346" t="s">
        <v>891</v>
      </c>
      <c r="Z117" s="14" t="str">
        <f>IF(ISBLANK(LCI_Table[[#This Row],[Notes for user]])," ",LCI_Table[[#This Row],[Notes for user]])</f>
        <v xml:space="preserve"> </v>
      </c>
      <c r="AA117" s="348"/>
      <c r="AB117" s="348" t="s">
        <v>1138</v>
      </c>
      <c r="AC117" s="346">
        <f ca="1">LCI_Table[[#This Row],[Default Calculated Value]]-LCI_Table[[#This Row],[Calculated Value]]</f>
        <v>0</v>
      </c>
    </row>
    <row r="118" spans="1:29" x14ac:dyDescent="0.3">
      <c r="A1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Canola/RapeseedHEFAGREETGREET(blank)_Canola_Extraction_Residual_oilResidual oil</v>
      </c>
      <c r="B118" s="48" t="s">
        <v>1347</v>
      </c>
      <c r="C118" s="14" t="s">
        <v>30</v>
      </c>
      <c r="D118" s="14" t="s">
        <v>29</v>
      </c>
      <c r="E118" s="48" t="s">
        <v>29</v>
      </c>
      <c r="F118" s="14" t="s">
        <v>31</v>
      </c>
      <c r="G118" s="14" t="b">
        <f>OR(LCI_Table[[#This Row],[Feedstock]]="All",LCI_Table[[#This Row],[Feedstock]]=SelectedFeedstock)</f>
        <v>1</v>
      </c>
      <c r="H118" s="14" t="b">
        <f>OR(LCI_Table[[#This Row],[Conversion]]="All",LCI_Table[[#This Row],[Conversion]]=SelectedConversion)</f>
        <v>1</v>
      </c>
      <c r="I118" s="14" t="b">
        <f>OR(LCI_Table[[#This Row],[Data Set]]="all",LCI_Table[[#This Row],[Data Set]]=SelectedDataSet)</f>
        <v>1</v>
      </c>
      <c r="J118" s="14" t="b">
        <f>OR(LCI_Table[[#This Row],[Technology]]="All",LCI_Table[[#This Row],[Technology]]=SelectedTechnology)</f>
        <v>1</v>
      </c>
      <c r="K118" s="14" t="b">
        <f>OR(LCI_Table[[#This Row],[Data Source]]="All",LCI_Table[[#This Row],[Data Source]]=SelectedDataSource)</f>
        <v>1</v>
      </c>
      <c r="L118" s="14" t="b">
        <v>0</v>
      </c>
      <c r="M118" s="14" t="b">
        <f>(LCI_Table[[#This Row],[Dev Notes]]="Do not display")</f>
        <v>0</v>
      </c>
      <c r="N118" s="14" t="b">
        <f>AND(LCI_Table[[#This Row],[Show Feedstock]:[Conditional]],NOT(LCI_Table[[#This Row],[Hide Row]]))</f>
        <v>0</v>
      </c>
      <c r="O118" s="14" t="b">
        <f>LCI_Table[[#This Row],[GREET1 Name Range]]=""</f>
        <v>0</v>
      </c>
      <c r="P118" s="14" t="s">
        <v>1683</v>
      </c>
      <c r="Q118" s="14" t="s">
        <v>487</v>
      </c>
      <c r="R118" s="14" t="s">
        <v>115</v>
      </c>
      <c r="S118" s="37" cm="1">
        <f t="array" aca="1" ref="S1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8" s="346" t="s">
        <v>2112</v>
      </c>
      <c r="U118" s="347">
        <f ca="1">S118*Fuel_Specs!$B$28</f>
        <v>0</v>
      </c>
      <c r="V118" s="347">
        <v>0</v>
      </c>
      <c r="W118" s="347">
        <v>0</v>
      </c>
      <c r="X118" s="14" t="s">
        <v>5</v>
      </c>
      <c r="Y118" s="346" t="s">
        <v>891</v>
      </c>
      <c r="Z118" s="14" t="str">
        <f>IF(ISBLANK(LCI_Table[[#This Row],[Notes for user]])," ",LCI_Table[[#This Row],[Notes for user]])</f>
        <v xml:space="preserve"> </v>
      </c>
      <c r="AA118" s="14"/>
      <c r="AB118" s="14"/>
      <c r="AC118" s="346">
        <f ca="1">LCI_Table[[#This Row],[Default Calculated Value]]-LCI_Table[[#This Row],[Calculated Value]]</f>
        <v>0</v>
      </c>
    </row>
    <row r="119" spans="1:29" x14ac:dyDescent="0.3">
      <c r="A1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Canola/RapeseedHEFAGREETGREET(blank)_Canola_Extraction_DieselDiesel</v>
      </c>
      <c r="B119" s="48" t="s">
        <v>1347</v>
      </c>
      <c r="C119" s="14" t="s">
        <v>30</v>
      </c>
      <c r="D119" s="14" t="s">
        <v>29</v>
      </c>
      <c r="E119" s="48" t="s">
        <v>29</v>
      </c>
      <c r="F119" s="14" t="s">
        <v>31</v>
      </c>
      <c r="G119" s="14" t="b">
        <f>OR(LCI_Table[[#This Row],[Feedstock]]="All",LCI_Table[[#This Row],[Feedstock]]=SelectedFeedstock)</f>
        <v>1</v>
      </c>
      <c r="H119" s="14" t="b">
        <f>OR(LCI_Table[[#This Row],[Conversion]]="All",LCI_Table[[#This Row],[Conversion]]=SelectedConversion)</f>
        <v>1</v>
      </c>
      <c r="I119" s="14" t="b">
        <f>OR(LCI_Table[[#This Row],[Data Set]]="all",LCI_Table[[#This Row],[Data Set]]=SelectedDataSet)</f>
        <v>1</v>
      </c>
      <c r="J119" s="14" t="b">
        <f>OR(LCI_Table[[#This Row],[Technology]]="All",LCI_Table[[#This Row],[Technology]]=SelectedTechnology)</f>
        <v>1</v>
      </c>
      <c r="K119" s="14" t="b">
        <f>OR(LCI_Table[[#This Row],[Data Source]]="All",LCI_Table[[#This Row],[Data Source]]=SelectedDataSource)</f>
        <v>1</v>
      </c>
      <c r="L119" s="14" t="b">
        <v>0</v>
      </c>
      <c r="M119" s="14" t="b">
        <f>(LCI_Table[[#This Row],[Dev Notes]]="Do not display")</f>
        <v>0</v>
      </c>
      <c r="N119" s="14" t="b">
        <f>AND(LCI_Table[[#This Row],[Show Feedstock]:[Conditional]],NOT(LCI_Table[[#This Row],[Hide Row]]))</f>
        <v>0</v>
      </c>
      <c r="O119" s="14" t="b">
        <f>LCI_Table[[#This Row],[GREET1 Name Range]]=""</f>
        <v>0</v>
      </c>
      <c r="P119" s="14" t="s">
        <v>1683</v>
      </c>
      <c r="Q119" s="14" t="s">
        <v>479</v>
      </c>
      <c r="R119" s="14" t="s">
        <v>106</v>
      </c>
      <c r="S119" s="37" cm="1">
        <f t="array" aca="1" ref="S1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9" s="346" t="s">
        <v>2112</v>
      </c>
      <c r="U119" s="347">
        <f ca="1">S119*Fuel_Specs!$B$19</f>
        <v>0</v>
      </c>
      <c r="V119" s="347">
        <v>0</v>
      </c>
      <c r="W119" s="347">
        <v>0</v>
      </c>
      <c r="X119" s="14" t="s">
        <v>5</v>
      </c>
      <c r="Y119" s="346" t="s">
        <v>891</v>
      </c>
      <c r="Z119" s="14" t="str">
        <f>IF(ISBLANK(LCI_Table[[#This Row],[Notes for user]])," ",LCI_Table[[#This Row],[Notes for user]])</f>
        <v xml:space="preserve"> </v>
      </c>
      <c r="AA119" s="14"/>
      <c r="AB119" s="14"/>
      <c r="AC119" s="346">
        <f ca="1">LCI_Table[[#This Row],[Default Calculated Value]]-LCI_Table[[#This Row],[Calculated Value]]</f>
        <v>0</v>
      </c>
    </row>
    <row r="120" spans="1:29" x14ac:dyDescent="0.3">
      <c r="A1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Canola/RapeseedHEFAGREETGREET(blank)_Canola_Extraction_GasolineGasoline</v>
      </c>
      <c r="B120" s="48" t="s">
        <v>1347</v>
      </c>
      <c r="C120" s="14" t="s">
        <v>30</v>
      </c>
      <c r="D120" s="14" t="s">
        <v>29</v>
      </c>
      <c r="E120" s="48" t="s">
        <v>29</v>
      </c>
      <c r="F120" s="14" t="s">
        <v>31</v>
      </c>
      <c r="G120" s="14" t="b">
        <f>OR(LCI_Table[[#This Row],[Feedstock]]="All",LCI_Table[[#This Row],[Feedstock]]=SelectedFeedstock)</f>
        <v>1</v>
      </c>
      <c r="H120" s="14" t="b">
        <f>OR(LCI_Table[[#This Row],[Conversion]]="All",LCI_Table[[#This Row],[Conversion]]=SelectedConversion)</f>
        <v>1</v>
      </c>
      <c r="I120" s="14" t="b">
        <f>OR(LCI_Table[[#This Row],[Data Set]]="all",LCI_Table[[#This Row],[Data Set]]=SelectedDataSet)</f>
        <v>1</v>
      </c>
      <c r="J120" s="14" t="b">
        <f>OR(LCI_Table[[#This Row],[Technology]]="All",LCI_Table[[#This Row],[Technology]]=SelectedTechnology)</f>
        <v>1</v>
      </c>
      <c r="K120" s="14" t="b">
        <f>OR(LCI_Table[[#This Row],[Data Source]]="All",LCI_Table[[#This Row],[Data Source]]=SelectedDataSource)</f>
        <v>1</v>
      </c>
      <c r="L120" s="14" t="b">
        <v>0</v>
      </c>
      <c r="M120" s="14" t="b">
        <f>(LCI_Table[[#This Row],[Dev Notes]]="Do not display")</f>
        <v>0</v>
      </c>
      <c r="N120" s="14" t="b">
        <f>AND(LCI_Table[[#This Row],[Show Feedstock]:[Conditional]],NOT(LCI_Table[[#This Row],[Hide Row]]))</f>
        <v>0</v>
      </c>
      <c r="O120" s="14" t="b">
        <f>LCI_Table[[#This Row],[GREET1 Name Range]]=""</f>
        <v>0</v>
      </c>
      <c r="P120" s="14" t="s">
        <v>1683</v>
      </c>
      <c r="Q120" s="14" t="s">
        <v>482</v>
      </c>
      <c r="R120" s="14" t="s">
        <v>107</v>
      </c>
      <c r="S120" s="37" cm="1">
        <f t="array" aca="1" ref="S1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0" s="346" t="s">
        <v>2112</v>
      </c>
      <c r="U120" s="347">
        <f ca="1">S120*Fuel_Specs!$B$15</f>
        <v>0</v>
      </c>
      <c r="V120" s="347">
        <v>0</v>
      </c>
      <c r="W120" s="347">
        <v>0</v>
      </c>
      <c r="X120" s="14" t="s">
        <v>5</v>
      </c>
      <c r="Y120" s="346" t="s">
        <v>891</v>
      </c>
      <c r="Z120" s="14" t="str">
        <f>IF(ISBLANK(LCI_Table[[#This Row],[Notes for user]])," ",LCI_Table[[#This Row],[Notes for user]])</f>
        <v xml:space="preserve"> </v>
      </c>
      <c r="AA120" s="14"/>
      <c r="AB120" s="14"/>
      <c r="AC120" s="346">
        <f ca="1">LCI_Table[[#This Row],[Default Calculated Value]]-LCI_Table[[#This Row],[Calculated Value]]</f>
        <v>0</v>
      </c>
    </row>
    <row r="121" spans="1:29" x14ac:dyDescent="0.3">
      <c r="A1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Canola/RapeseedHEFAGREETGREET(blank)_Canola_Extraction_Natural_gasNatural gas</v>
      </c>
      <c r="B121" s="48" t="s">
        <v>1347</v>
      </c>
      <c r="C121" s="14" t="s">
        <v>30</v>
      </c>
      <c r="D121" s="14" t="s">
        <v>29</v>
      </c>
      <c r="E121" s="48" t="s">
        <v>29</v>
      </c>
      <c r="F121" s="14" t="s">
        <v>31</v>
      </c>
      <c r="G121" s="14" t="b">
        <f>OR(LCI_Table[[#This Row],[Feedstock]]="All",LCI_Table[[#This Row],[Feedstock]]=SelectedFeedstock)</f>
        <v>1</v>
      </c>
      <c r="H121" s="14" t="b">
        <f>OR(LCI_Table[[#This Row],[Conversion]]="All",LCI_Table[[#This Row],[Conversion]]=SelectedConversion)</f>
        <v>1</v>
      </c>
      <c r="I121" s="14" t="b">
        <f>OR(LCI_Table[[#This Row],[Data Set]]="all",LCI_Table[[#This Row],[Data Set]]=SelectedDataSet)</f>
        <v>1</v>
      </c>
      <c r="J121" s="14" t="b">
        <f>OR(LCI_Table[[#This Row],[Technology]]="All",LCI_Table[[#This Row],[Technology]]=SelectedTechnology)</f>
        <v>1</v>
      </c>
      <c r="K121" s="14" t="b">
        <f>OR(LCI_Table[[#This Row],[Data Source]]="All",LCI_Table[[#This Row],[Data Source]]=SelectedDataSource)</f>
        <v>1</v>
      </c>
      <c r="L121" s="14" t="b">
        <v>0</v>
      </c>
      <c r="M121" s="14" t="b">
        <f>(LCI_Table[[#This Row],[Dev Notes]]="Do not display")</f>
        <v>0</v>
      </c>
      <c r="N121" s="14" t="b">
        <f>AND(LCI_Table[[#This Row],[Show Feedstock]:[Conditional]],NOT(LCI_Table[[#This Row],[Hide Row]]))</f>
        <v>0</v>
      </c>
      <c r="O121" s="14" t="b">
        <f>LCI_Table[[#This Row],[GREET1 Name Range]]=""</f>
        <v>0</v>
      </c>
      <c r="P121" s="14" t="s">
        <v>1683</v>
      </c>
      <c r="Q121" s="14" t="s">
        <v>486</v>
      </c>
      <c r="R121" s="14" t="s">
        <v>108</v>
      </c>
      <c r="S121" s="37" cm="1">
        <f t="array" aca="1" ref="S1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1.0616358087487283</v>
      </c>
      <c r="T121" s="346" t="s">
        <v>2113</v>
      </c>
      <c r="U121" s="347">
        <f ca="1">S121*Fuel_Specs!$B$79</f>
        <v>1043.588</v>
      </c>
      <c r="V121" s="347">
        <v>1.0616358087487283</v>
      </c>
      <c r="W121" s="347">
        <v>1043.588</v>
      </c>
      <c r="X121" s="14" t="s">
        <v>351</v>
      </c>
      <c r="Y121" s="346" t="s">
        <v>891</v>
      </c>
      <c r="Z121" s="14" t="str">
        <f>IF(ISBLANK(LCI_Table[[#This Row],[Notes for user]])," ",LCI_Table[[#This Row],[Notes for user]])</f>
        <v xml:space="preserve"> </v>
      </c>
      <c r="AA121" s="14"/>
      <c r="AB121" s="14"/>
      <c r="AC121" s="346">
        <f ca="1">LCI_Table[[#This Row],[Default Calculated Value]]-LCI_Table[[#This Row],[Calculated Value]]</f>
        <v>0</v>
      </c>
    </row>
    <row r="122" spans="1:29" x14ac:dyDescent="0.3">
      <c r="A1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Canola/RapeseedHEFAGREETGREET(blank)_Canola_Extraction_CoalCoal</v>
      </c>
      <c r="B122" s="48" t="s">
        <v>1347</v>
      </c>
      <c r="C122" s="14" t="s">
        <v>30</v>
      </c>
      <c r="D122" s="14" t="s">
        <v>29</v>
      </c>
      <c r="E122" s="48" t="s">
        <v>29</v>
      </c>
      <c r="F122" s="14" t="s">
        <v>31</v>
      </c>
      <c r="G122" s="14" t="b">
        <f>OR(LCI_Table[[#This Row],[Feedstock]]="All",LCI_Table[[#This Row],[Feedstock]]=SelectedFeedstock)</f>
        <v>1</v>
      </c>
      <c r="H122" s="14" t="b">
        <f>OR(LCI_Table[[#This Row],[Conversion]]="All",LCI_Table[[#This Row],[Conversion]]=SelectedConversion)</f>
        <v>1</v>
      </c>
      <c r="I122" s="14" t="b">
        <f>OR(LCI_Table[[#This Row],[Data Set]]="all",LCI_Table[[#This Row],[Data Set]]=SelectedDataSet)</f>
        <v>1</v>
      </c>
      <c r="J122" s="14" t="b">
        <f>OR(LCI_Table[[#This Row],[Technology]]="All",LCI_Table[[#This Row],[Technology]]=SelectedTechnology)</f>
        <v>1</v>
      </c>
      <c r="K122" s="14" t="b">
        <f>OR(LCI_Table[[#This Row],[Data Source]]="All",LCI_Table[[#This Row],[Data Source]]=SelectedDataSource)</f>
        <v>1</v>
      </c>
      <c r="L122" s="14" t="b">
        <v>0</v>
      </c>
      <c r="M122" s="14" t="b">
        <f>(LCI_Table[[#This Row],[Dev Notes]]="Do not display")</f>
        <v>0</v>
      </c>
      <c r="N122" s="14" t="b">
        <f>AND(LCI_Table[[#This Row],[Show Feedstock]:[Conditional]],NOT(LCI_Table[[#This Row],[Hide Row]]))</f>
        <v>0</v>
      </c>
      <c r="O122" s="14" t="b">
        <f>LCI_Table[[#This Row],[GREET1 Name Range]]=""</f>
        <v>0</v>
      </c>
      <c r="P122" s="14" t="s">
        <v>1683</v>
      </c>
      <c r="Q122" s="14" t="s">
        <v>478</v>
      </c>
      <c r="R122" s="14" t="s">
        <v>9</v>
      </c>
      <c r="S122" s="37" cm="1">
        <f t="array" aca="1" ref="S1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2" s="346" t="s">
        <v>2114</v>
      </c>
      <c r="U122" s="347">
        <f ca="1">S122</f>
        <v>0</v>
      </c>
      <c r="V122" s="347">
        <v>0</v>
      </c>
      <c r="W122" s="347">
        <v>0</v>
      </c>
      <c r="X122" s="14" t="s">
        <v>117</v>
      </c>
      <c r="Y122" s="346" t="s">
        <v>891</v>
      </c>
      <c r="Z122" s="14" t="str">
        <f>IF(ISBLANK(LCI_Table[[#This Row],[Notes for user]])," ",LCI_Table[[#This Row],[Notes for user]])</f>
        <v xml:space="preserve"> </v>
      </c>
      <c r="AA122" s="14"/>
      <c r="AB122" s="14"/>
      <c r="AC122" s="346">
        <f ca="1">LCI_Table[[#This Row],[Default Calculated Value]]-LCI_Table[[#This Row],[Calculated Value]]</f>
        <v>0</v>
      </c>
    </row>
    <row r="123" spans="1:29" x14ac:dyDescent="0.3">
      <c r="A1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Canola/RapeseedHEFAGREETGREET(blank)_Canola_Extraction_LPGLPG</v>
      </c>
      <c r="B123" s="48" t="s">
        <v>1347</v>
      </c>
      <c r="C123" s="14" t="s">
        <v>30</v>
      </c>
      <c r="D123" s="14" t="s">
        <v>29</v>
      </c>
      <c r="E123" s="48" t="s">
        <v>29</v>
      </c>
      <c r="F123" s="14" t="s">
        <v>31</v>
      </c>
      <c r="G123" s="14" t="b">
        <f>OR(LCI_Table[[#This Row],[Feedstock]]="All",LCI_Table[[#This Row],[Feedstock]]=SelectedFeedstock)</f>
        <v>1</v>
      </c>
      <c r="H123" s="14" t="b">
        <f>OR(LCI_Table[[#This Row],[Conversion]]="All",LCI_Table[[#This Row],[Conversion]]=SelectedConversion)</f>
        <v>1</v>
      </c>
      <c r="I123" s="14" t="b">
        <f>OR(LCI_Table[[#This Row],[Data Set]]="all",LCI_Table[[#This Row],[Data Set]]=SelectedDataSet)</f>
        <v>1</v>
      </c>
      <c r="J123" s="14" t="b">
        <f>OR(LCI_Table[[#This Row],[Technology]]="All",LCI_Table[[#This Row],[Technology]]=SelectedTechnology)</f>
        <v>1</v>
      </c>
      <c r="K123" s="14" t="b">
        <f>OR(LCI_Table[[#This Row],[Data Source]]="All",LCI_Table[[#This Row],[Data Source]]=SelectedDataSource)</f>
        <v>1</v>
      </c>
      <c r="L123" s="14" t="b">
        <v>0</v>
      </c>
      <c r="M123" s="14" t="b">
        <f>(LCI_Table[[#This Row],[Dev Notes]]="Do not display")</f>
        <v>0</v>
      </c>
      <c r="N123" s="14" t="b">
        <f>AND(LCI_Table[[#This Row],[Show Feedstock]:[Conditional]],NOT(LCI_Table[[#This Row],[Hide Row]]))</f>
        <v>0</v>
      </c>
      <c r="O123" s="14" t="b">
        <f>LCI_Table[[#This Row],[GREET1 Name Range]]=""</f>
        <v>0</v>
      </c>
      <c r="P123" s="14" t="s">
        <v>1683</v>
      </c>
      <c r="Q123" s="14" t="s">
        <v>484</v>
      </c>
      <c r="R123" s="14" t="s">
        <v>109</v>
      </c>
      <c r="S123" s="37" cm="1">
        <f t="array" aca="1" ref="S1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3" s="346" t="s">
        <v>2112</v>
      </c>
      <c r="U123" s="347">
        <f ca="1">IFERROR(S123*Fuel_Specs!$B$35,0)</f>
        <v>0</v>
      </c>
      <c r="V123" s="347">
        <v>0</v>
      </c>
      <c r="W123" s="347">
        <v>0</v>
      </c>
      <c r="X123" s="14" t="s">
        <v>5</v>
      </c>
      <c r="Y123" s="346" t="s">
        <v>891</v>
      </c>
      <c r="Z123" s="14" t="str">
        <f>IF(ISBLANK(LCI_Table[[#This Row],[Notes for user]])," ",LCI_Table[[#This Row],[Notes for user]])</f>
        <v xml:space="preserve"> </v>
      </c>
      <c r="AA123" s="14"/>
      <c r="AB123" s="14"/>
      <c r="AC123" s="346">
        <f ca="1">LCI_Table[[#This Row],[Default Calculated Value]]-LCI_Table[[#This Row],[Calculated Value]]</f>
        <v>0</v>
      </c>
    </row>
    <row r="124" spans="1:29" x14ac:dyDescent="0.3">
      <c r="A1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Canola/RapeseedHEFAGREETGREET(blank)_Canola_Extraction_ElectricityElectricity</v>
      </c>
      <c r="B124" s="48" t="s">
        <v>1347</v>
      </c>
      <c r="C124" s="14" t="s">
        <v>30</v>
      </c>
      <c r="D124" s="14" t="s">
        <v>29</v>
      </c>
      <c r="E124" s="48" t="s">
        <v>29</v>
      </c>
      <c r="F124" s="14" t="s">
        <v>31</v>
      </c>
      <c r="G124" s="14" t="b">
        <f>OR(LCI_Table[[#This Row],[Feedstock]]="All",LCI_Table[[#This Row],[Feedstock]]=SelectedFeedstock)</f>
        <v>1</v>
      </c>
      <c r="H124" s="14" t="b">
        <f>OR(LCI_Table[[#This Row],[Conversion]]="All",LCI_Table[[#This Row],[Conversion]]=SelectedConversion)</f>
        <v>1</v>
      </c>
      <c r="I124" s="14" t="b">
        <f>OR(LCI_Table[[#This Row],[Data Set]]="all",LCI_Table[[#This Row],[Data Set]]=SelectedDataSet)</f>
        <v>1</v>
      </c>
      <c r="J124" s="14" t="b">
        <f>OR(LCI_Table[[#This Row],[Technology]]="All",LCI_Table[[#This Row],[Technology]]=SelectedTechnology)</f>
        <v>1</v>
      </c>
      <c r="K124" s="14" t="b">
        <f>OR(LCI_Table[[#This Row],[Data Source]]="All",LCI_Table[[#This Row],[Data Source]]=SelectedDataSource)</f>
        <v>1</v>
      </c>
      <c r="L124" s="14" t="b">
        <v>0</v>
      </c>
      <c r="M124" s="14" t="b">
        <f>(LCI_Table[[#This Row],[Dev Notes]]="Do not display")</f>
        <v>0</v>
      </c>
      <c r="N124" s="14" t="b">
        <f>AND(LCI_Table[[#This Row],[Show Feedstock]:[Conditional]],NOT(LCI_Table[[#This Row],[Hide Row]]))</f>
        <v>0</v>
      </c>
      <c r="O124" s="14" t="b">
        <f>LCI_Table[[#This Row],[GREET1 Name Range]]=""</f>
        <v>0</v>
      </c>
      <c r="P124" s="14" t="s">
        <v>1683</v>
      </c>
      <c r="Q124" s="14" t="s">
        <v>480</v>
      </c>
      <c r="R124" s="14" t="s">
        <v>110</v>
      </c>
      <c r="S124" s="37" cm="1">
        <f t="array" aca="1" ref="S1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5.1681324670111106E-2</v>
      </c>
      <c r="T124" s="346" t="s">
        <v>2115</v>
      </c>
      <c r="U124" s="347">
        <f ca="1">IFERROR(S124/BTU2kWh,0)</f>
        <v>176.34399999999999</v>
      </c>
      <c r="V124" s="347">
        <v>5.1681324670111106E-2</v>
      </c>
      <c r="W124" s="347">
        <v>176.34399999999999</v>
      </c>
      <c r="X124" s="14" t="s">
        <v>51</v>
      </c>
      <c r="Y124" s="346" t="s">
        <v>891</v>
      </c>
      <c r="Z124" s="14" t="str">
        <f>IF(ISBLANK(LCI_Table[[#This Row],[Notes for user]])," ",LCI_Table[[#This Row],[Notes for user]])</f>
        <v xml:space="preserve"> </v>
      </c>
      <c r="AA124" s="14"/>
      <c r="AB124" s="14"/>
      <c r="AC124" s="346">
        <f ca="1">LCI_Table[[#This Row],[Default Calculated Value]]-LCI_Table[[#This Row],[Calculated Value]]</f>
        <v>0</v>
      </c>
    </row>
    <row r="125" spans="1:29" x14ac:dyDescent="0.3">
      <c r="A1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Canola/RapeseedHEFAGREETGREET(blank)_Canola_Extraction_N_hexaneN-hexane</v>
      </c>
      <c r="B125" s="48" t="s">
        <v>1347</v>
      </c>
      <c r="C125" s="14" t="s">
        <v>30</v>
      </c>
      <c r="D125" s="14" t="s">
        <v>29</v>
      </c>
      <c r="E125" s="48" t="s">
        <v>29</v>
      </c>
      <c r="F125" s="14" t="s">
        <v>31</v>
      </c>
      <c r="G125" s="14" t="b">
        <f>OR(LCI_Table[[#This Row],[Feedstock]]="All",LCI_Table[[#This Row],[Feedstock]]=SelectedFeedstock)</f>
        <v>1</v>
      </c>
      <c r="H125" s="14" t="b">
        <f>OR(LCI_Table[[#This Row],[Conversion]]="All",LCI_Table[[#This Row],[Conversion]]=SelectedConversion)</f>
        <v>1</v>
      </c>
      <c r="I125" s="14" t="b">
        <f>OR(LCI_Table[[#This Row],[Data Set]]="all",LCI_Table[[#This Row],[Data Set]]=SelectedDataSet)</f>
        <v>1</v>
      </c>
      <c r="J125" s="14" t="b">
        <f>OR(LCI_Table[[#This Row],[Technology]]="All",LCI_Table[[#This Row],[Technology]]=SelectedTechnology)</f>
        <v>1</v>
      </c>
      <c r="K125" s="14" t="b">
        <f>OR(LCI_Table[[#This Row],[Data Source]]="All",LCI_Table[[#This Row],[Data Source]]=SelectedDataSource)</f>
        <v>1</v>
      </c>
      <c r="L125" s="14" t="b">
        <v>0</v>
      </c>
      <c r="M125" s="14" t="b">
        <f>(LCI_Table[[#This Row],[Dev Notes]]="Do not display")</f>
        <v>0</v>
      </c>
      <c r="N125" s="14" t="b">
        <f>AND(LCI_Table[[#This Row],[Show Feedstock]:[Conditional]],NOT(LCI_Table[[#This Row],[Hide Row]]))</f>
        <v>0</v>
      </c>
      <c r="O125" s="14" t="b">
        <f>LCI_Table[[#This Row],[GREET1 Name Range]]=""</f>
        <v>0</v>
      </c>
      <c r="P125" s="14" t="s">
        <v>1683</v>
      </c>
      <c r="Q125" s="14" t="s">
        <v>485</v>
      </c>
      <c r="R125" s="14" t="s">
        <v>116</v>
      </c>
      <c r="S125" s="37" cm="1">
        <f t="array" aca="1" ref="S1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4.5692358035401732E-7</v>
      </c>
      <c r="T125" s="346" t="s">
        <v>2111</v>
      </c>
      <c r="U125" s="347">
        <f ca="1">S125*Fuel_Specs!$B$58*ton2lb</f>
        <v>96.067999999999998</v>
      </c>
      <c r="V125" s="347">
        <v>4.5692358035401732E-7</v>
      </c>
      <c r="W125" s="347">
        <v>96.067999999999998</v>
      </c>
      <c r="X125" s="14" t="s">
        <v>12</v>
      </c>
      <c r="Y125" s="346" t="s">
        <v>891</v>
      </c>
      <c r="Z125" s="14" t="str">
        <f>IF(ISBLANK(LCI_Table[[#This Row],[Notes for user]])," ",LCI_Table[[#This Row],[Notes for user]])</f>
        <v xml:space="preserve"> </v>
      </c>
      <c r="AA125" s="14"/>
      <c r="AB125" s="14"/>
      <c r="AC125" s="346">
        <f ca="1">LCI_Table[[#This Row],[Default Calculated Value]]-LCI_Table[[#This Row],[Calculated Value]]</f>
        <v>0</v>
      </c>
    </row>
    <row r="126" spans="1:29" x14ac:dyDescent="0.3">
      <c r="A1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Canola/RapeseedHEFAGREETGREET(blank)_Canola_Extraction_Forest_residueForest residue</v>
      </c>
      <c r="B126" s="48" t="s">
        <v>1347</v>
      </c>
      <c r="C126" s="14" t="s">
        <v>30</v>
      </c>
      <c r="D126" s="14" t="s">
        <v>29</v>
      </c>
      <c r="E126" s="48" t="s">
        <v>29</v>
      </c>
      <c r="F126" s="14" t="s">
        <v>31</v>
      </c>
      <c r="G126" s="14" t="b">
        <f>OR(LCI_Table[[#This Row],[Feedstock]]="All",LCI_Table[[#This Row],[Feedstock]]=SelectedFeedstock)</f>
        <v>1</v>
      </c>
      <c r="H126" s="14" t="b">
        <f>OR(LCI_Table[[#This Row],[Conversion]]="All",LCI_Table[[#This Row],[Conversion]]=SelectedConversion)</f>
        <v>1</v>
      </c>
      <c r="I126" s="14" t="b">
        <f>OR(LCI_Table[[#This Row],[Data Set]]="all",LCI_Table[[#This Row],[Data Set]]=SelectedDataSet)</f>
        <v>1</v>
      </c>
      <c r="J126" s="14" t="b">
        <f>OR(LCI_Table[[#This Row],[Technology]]="All",LCI_Table[[#This Row],[Technology]]=SelectedTechnology)</f>
        <v>1</v>
      </c>
      <c r="K126" s="14" t="b">
        <f>OR(LCI_Table[[#This Row],[Data Source]]="All",LCI_Table[[#This Row],[Data Source]]=SelectedDataSource)</f>
        <v>1</v>
      </c>
      <c r="L126" s="14" t="b">
        <v>0</v>
      </c>
      <c r="M126" s="14" t="b">
        <f>(LCI_Table[[#This Row],[Dev Notes]]="Do not display")</f>
        <v>0</v>
      </c>
      <c r="N126" s="14" t="b">
        <f>AND(LCI_Table[[#This Row],[Show Feedstock]:[Conditional]],NOT(LCI_Table[[#This Row],[Hide Row]]))</f>
        <v>0</v>
      </c>
      <c r="O126" s="14" t="b">
        <f>LCI_Table[[#This Row],[GREET1 Name Range]]=""</f>
        <v>0</v>
      </c>
      <c r="P126" s="14" t="s">
        <v>1683</v>
      </c>
      <c r="Q126" s="14" t="s">
        <v>481</v>
      </c>
      <c r="R126" s="14" t="s">
        <v>316</v>
      </c>
      <c r="S126" s="37" cm="1">
        <f t="array" aca="1" ref="S1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6" s="346" t="s">
        <v>2111</v>
      </c>
      <c r="U126" s="347">
        <f ca="1">S126*Fuel_Specs!$B$100*ton2lb</f>
        <v>0</v>
      </c>
      <c r="V126" s="347">
        <v>0</v>
      </c>
      <c r="W126" s="347">
        <v>0</v>
      </c>
      <c r="X126" s="14" t="s">
        <v>12</v>
      </c>
      <c r="Y126" s="346" t="s">
        <v>891</v>
      </c>
      <c r="Z126" s="14" t="str">
        <f>IF(ISBLANK(LCI_Table[[#This Row],[Notes for user]])," ",LCI_Table[[#This Row],[Notes for user]])</f>
        <v xml:space="preserve"> </v>
      </c>
      <c r="AA126" s="14"/>
      <c r="AB126" s="14"/>
      <c r="AC126" s="346">
        <f ca="1">LCI_Table[[#This Row],[Default Calculated Value]]-LCI_Table[[#This Row],[Calculated Value]]</f>
        <v>0</v>
      </c>
    </row>
    <row r="127" spans="1:29" x14ac:dyDescent="0.3">
      <c r="A1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Canola/RapeseedHEFAGREETGREET(blank)_Canola_Extraction_Landfill_gasLandfill gas</v>
      </c>
      <c r="B127" s="48" t="s">
        <v>1347</v>
      </c>
      <c r="C127" s="14" t="s">
        <v>30</v>
      </c>
      <c r="D127" s="14" t="s">
        <v>29</v>
      </c>
      <c r="E127" s="48" t="s">
        <v>29</v>
      </c>
      <c r="F127" s="14" t="s">
        <v>31</v>
      </c>
      <c r="G127" s="14" t="b">
        <f>OR(LCI_Table[[#This Row],[Feedstock]]="All",LCI_Table[[#This Row],[Feedstock]]=SelectedFeedstock)</f>
        <v>1</v>
      </c>
      <c r="H127" s="14" t="b">
        <f>OR(LCI_Table[[#This Row],[Conversion]]="All",LCI_Table[[#This Row],[Conversion]]=SelectedConversion)</f>
        <v>1</v>
      </c>
      <c r="I127" s="14" t="b">
        <f>OR(LCI_Table[[#This Row],[Data Set]]="all",LCI_Table[[#This Row],[Data Set]]=SelectedDataSet)</f>
        <v>1</v>
      </c>
      <c r="J127" s="14" t="b">
        <f>OR(LCI_Table[[#This Row],[Technology]]="All",LCI_Table[[#This Row],[Technology]]=SelectedTechnology)</f>
        <v>1</v>
      </c>
      <c r="K127" s="14" t="b">
        <f>OR(LCI_Table[[#This Row],[Data Source]]="All",LCI_Table[[#This Row],[Data Source]]=SelectedDataSource)</f>
        <v>1</v>
      </c>
      <c r="L127" s="14" t="b">
        <v>0</v>
      </c>
      <c r="M127" s="14" t="b">
        <f>(LCI_Table[[#This Row],[Dev Notes]]="Do not display")</f>
        <v>0</v>
      </c>
      <c r="N127" s="14" t="b">
        <f>AND(LCI_Table[[#This Row],[Show Feedstock]:[Conditional]],NOT(LCI_Table[[#This Row],[Hide Row]]))</f>
        <v>0</v>
      </c>
      <c r="O127" s="14" t="b">
        <f>LCI_Table[[#This Row],[GREET1 Name Range]]=""</f>
        <v>0</v>
      </c>
      <c r="P127" s="14" t="s">
        <v>1683</v>
      </c>
      <c r="Q127" s="14" t="s">
        <v>483</v>
      </c>
      <c r="R127" s="14" t="s">
        <v>130</v>
      </c>
      <c r="S127" s="37" cm="1">
        <f t="array" aca="1" ref="S1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7" s="346" t="s">
        <v>2113</v>
      </c>
      <c r="U127" s="347">
        <f ca="1">S127*Fuel_Specs!$B$79</f>
        <v>0</v>
      </c>
      <c r="V127" s="347">
        <v>0</v>
      </c>
      <c r="W127" s="347">
        <v>0</v>
      </c>
      <c r="X127" s="14" t="s">
        <v>351</v>
      </c>
      <c r="Y127" s="346" t="s">
        <v>891</v>
      </c>
      <c r="Z127" s="14" t="str">
        <f>IF(ISBLANK(LCI_Table[[#This Row],[Notes for user]])," ",LCI_Table[[#This Row],[Notes for user]])</f>
        <v xml:space="preserve"> </v>
      </c>
      <c r="AA127" s="14"/>
      <c r="AB127" s="14"/>
      <c r="AC127" s="346">
        <f ca="1">LCI_Table[[#This Row],[Default Calculated Value]]-LCI_Table[[#This Row],[Calculated Value]]</f>
        <v>0</v>
      </c>
    </row>
    <row r="128" spans="1:29" x14ac:dyDescent="0.3">
      <c r="A1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Canola/RapeseedHEFAGREETGREET(blank)_Canola_Oil_Extraction_Mass_AllocationAllocation factor</v>
      </c>
      <c r="B128" s="48" t="s">
        <v>1347</v>
      </c>
      <c r="C128" s="14" t="s">
        <v>30</v>
      </c>
      <c r="D128" s="14" t="s">
        <v>29</v>
      </c>
      <c r="E128" s="14" t="s">
        <v>29</v>
      </c>
      <c r="F128" s="48" t="s">
        <v>31</v>
      </c>
      <c r="G128" s="14" t="b">
        <f>OR(LCI_Table[[#This Row],[Feedstock]]="All",LCI_Table[[#This Row],[Feedstock]]=SelectedFeedstock)</f>
        <v>1</v>
      </c>
      <c r="H128" s="14" t="b">
        <f>OR(LCI_Table[[#This Row],[Conversion]]="All",LCI_Table[[#This Row],[Conversion]]=SelectedConversion)</f>
        <v>1</v>
      </c>
      <c r="I128" s="14" t="b">
        <f>OR(LCI_Table[[#This Row],[Data Set]]="all",LCI_Table[[#This Row],[Data Set]]=SelectedDataSet)</f>
        <v>1</v>
      </c>
      <c r="J128" s="14" t="b">
        <f>OR(LCI_Table[[#This Row],[Technology]]="All",LCI_Table[[#This Row],[Technology]]=SelectedTechnology)</f>
        <v>1</v>
      </c>
      <c r="K128" s="14" t="b">
        <f>OR(LCI_Table[[#This Row],[Data Source]]="All",LCI_Table[[#This Row],[Data Source]]=SelectedDataSource)</f>
        <v>1</v>
      </c>
      <c r="L128" s="14" t="b">
        <v>0</v>
      </c>
      <c r="M128" s="14" t="b">
        <v>1</v>
      </c>
      <c r="N128" s="14" t="b">
        <f>AND(LCI_Table[[#This Row],[Show Feedstock]:[Conditional]],NOT(LCI_Table[[#This Row],[Hide Row]]))</f>
        <v>0</v>
      </c>
      <c r="O128" s="14" t="b">
        <v>1</v>
      </c>
      <c r="P128" s="14" t="s">
        <v>1683</v>
      </c>
      <c r="Q128" s="14" t="s">
        <v>1112</v>
      </c>
      <c r="R128" s="14" t="s">
        <v>1344</v>
      </c>
      <c r="S128" s="37" cm="1">
        <f t="array" aca="1" ref="S1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47.069311343882298</v>
      </c>
      <c r="T128" s="346" t="s">
        <v>1345</v>
      </c>
      <c r="U128" s="347">
        <f ca="1">LCI_Table[[#This Row],[Dashboard Value]]/100</f>
        <v>0.47069311343882297</v>
      </c>
      <c r="V128" s="347">
        <v>47.069311343882298</v>
      </c>
      <c r="W128" s="347">
        <v>0.47069311343882297</v>
      </c>
      <c r="X128" s="14" t="s">
        <v>1345</v>
      </c>
      <c r="Y128" s="346" t="s">
        <v>891</v>
      </c>
      <c r="Z128" s="14" t="str">
        <f>IF(ISBLANK(LCI_Table[[#This Row],[Notes for user]])," ",LCI_Table[[#This Row],[Notes for user]])</f>
        <v>Allocation to canola/rapeseed oil (energy allocation)</v>
      </c>
      <c r="AA128" s="14" t="s">
        <v>1352</v>
      </c>
      <c r="AB128" s="14"/>
      <c r="AC128" s="346">
        <f ca="1">LCI_Table[[#This Row],[Default Calculated Value]]-LCI_Table[[#This Row],[Calculated Value]]</f>
        <v>0</v>
      </c>
    </row>
    <row r="129" spans="1:29" x14ac:dyDescent="0.3">
      <c r="A1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Canola/RapeseedHEFAGREETGREET(blank)_HEFA_feed_usageCanola oil</v>
      </c>
      <c r="B129" s="48" t="s">
        <v>1347</v>
      </c>
      <c r="C129" s="14" t="s">
        <v>30</v>
      </c>
      <c r="D129" s="14" t="s">
        <v>29</v>
      </c>
      <c r="E129" s="48" t="s">
        <v>29</v>
      </c>
      <c r="F129" s="14" t="s">
        <v>31</v>
      </c>
      <c r="G129" s="14" t="b">
        <f>OR(LCI_Table[[#This Row],[Feedstock]]="All",LCI_Table[[#This Row],[Feedstock]]=SelectedFeedstock)</f>
        <v>1</v>
      </c>
      <c r="H129" s="14" t="b">
        <f>OR(LCI_Table[[#This Row],[Conversion]]="All",LCI_Table[[#This Row],[Conversion]]=SelectedConversion)</f>
        <v>1</v>
      </c>
      <c r="I129" s="14" t="b">
        <f>OR(LCI_Table[[#This Row],[Data Set]]="all",LCI_Table[[#This Row],[Data Set]]=SelectedDataSet)</f>
        <v>1</v>
      </c>
      <c r="J129" s="14" t="b">
        <f>OR(LCI_Table[[#This Row],[Technology]]="All",LCI_Table[[#This Row],[Technology]]=SelectedTechnology)</f>
        <v>1</v>
      </c>
      <c r="K129" s="14" t="b">
        <f>OR(LCI_Table[[#This Row],[Data Source]]="All",LCI_Table[[#This Row],[Data Source]]=SelectedDataSource)</f>
        <v>1</v>
      </c>
      <c r="L129" s="14" t="b">
        <v>0</v>
      </c>
      <c r="M129" s="14" t="b">
        <f>(LCI_Table[[#This Row],[Dev Notes]]="Do not display")</f>
        <v>0</v>
      </c>
      <c r="N129" s="14" t="b">
        <v>0</v>
      </c>
      <c r="O129" s="14" t="b">
        <f>LCI_Table[[#This Row],[GREET1 Name Range]]=""</f>
        <v>0</v>
      </c>
      <c r="P129" s="14" t="s">
        <v>1448</v>
      </c>
      <c r="Q129" s="14" t="s">
        <v>933</v>
      </c>
      <c r="R129" s="14" t="s">
        <v>400</v>
      </c>
      <c r="S129" s="37" cm="1">
        <f t="array" aca="1" ref="S1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60.955501310224768</v>
      </c>
      <c r="T129" s="346" t="s">
        <v>2119</v>
      </c>
      <c r="U129" s="354">
        <f ca="1">S129*lb2g/Fuel_Specs!$E$48*Fuel_Specs!$B$48*BTU2mmBTU/0.911711975329766</f>
        <v>1.2676055388997562</v>
      </c>
      <c r="V129" s="347">
        <v>60.955501310224768</v>
      </c>
      <c r="W129" s="347">
        <v>1.2676055388997562</v>
      </c>
      <c r="X129" s="14" t="s">
        <v>12</v>
      </c>
      <c r="Y129" s="346" t="s">
        <v>416</v>
      </c>
      <c r="Z129" s="14" t="str">
        <f>IF(ISBLANK(LCI_Table[[#This Row],[Notes for user]])," ",LCI_Table[[#This Row],[Notes for user]])</f>
        <v xml:space="preserve"> </v>
      </c>
      <c r="AA129" s="14"/>
      <c r="AB129" s="14"/>
      <c r="AC129" s="346">
        <f ca="1">LCI_Table[[#This Row],[Default Calculated Value]]-LCI_Table[[#This Row],[Calculated Value]]</f>
        <v>0</v>
      </c>
    </row>
    <row r="130" spans="1:29" x14ac:dyDescent="0.3">
      <c r="A1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Canola/RapeseedHEFAGREETGREET(blank)_Canola_HEFA_Natural_gasNatural gas</v>
      </c>
      <c r="B130" s="48" t="s">
        <v>1347</v>
      </c>
      <c r="C130" s="14" t="s">
        <v>30</v>
      </c>
      <c r="D130" s="14" t="s">
        <v>29</v>
      </c>
      <c r="E130" s="48" t="s">
        <v>29</v>
      </c>
      <c r="F130" s="14" t="s">
        <v>31</v>
      </c>
      <c r="G130" s="14" t="b">
        <f>OR(LCI_Table[[#This Row],[Feedstock]]="All",LCI_Table[[#This Row],[Feedstock]]=SelectedFeedstock)</f>
        <v>1</v>
      </c>
      <c r="H130" s="14" t="b">
        <f>OR(LCI_Table[[#This Row],[Conversion]]="All",LCI_Table[[#This Row],[Conversion]]=SelectedConversion)</f>
        <v>1</v>
      </c>
      <c r="I130" s="14" t="b">
        <f>OR(LCI_Table[[#This Row],[Data Set]]="all",LCI_Table[[#This Row],[Data Set]]=SelectedDataSet)</f>
        <v>1</v>
      </c>
      <c r="J130" s="14" t="b">
        <f>OR(LCI_Table[[#This Row],[Technology]]="All",LCI_Table[[#This Row],[Technology]]=SelectedTechnology)</f>
        <v>1</v>
      </c>
      <c r="K130" s="14" t="b">
        <f>OR(LCI_Table[[#This Row],[Data Source]]="All",LCI_Table[[#This Row],[Data Source]]=SelectedDataSource)</f>
        <v>1</v>
      </c>
      <c r="L130" s="14" t="b">
        <v>0</v>
      </c>
      <c r="M130" s="14" t="b">
        <f>(LCI_Table[[#This Row],[Dev Notes]]="Do not display")</f>
        <v>0</v>
      </c>
      <c r="N130" s="14" t="b">
        <v>0</v>
      </c>
      <c r="O130" s="14" t="b">
        <f>LCI_Table[[#This Row],[GREET1 Name Range]]=""</f>
        <v>0</v>
      </c>
      <c r="P130" s="14" t="s">
        <v>1448</v>
      </c>
      <c r="Q130" s="14" t="s">
        <v>503</v>
      </c>
      <c r="R130" s="14" t="s">
        <v>108</v>
      </c>
      <c r="S130" s="37" cm="1">
        <f t="array" aca="1" ref="S1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17.270356145070281</v>
      </c>
      <c r="T130" s="346" t="s">
        <v>2120</v>
      </c>
      <c r="U130" s="347">
        <f ca="1">S130*lb2g/Fuel_Specs!$E$48*Fuel_Specs!$B$48*Fuel_Specs!$B$79*BTU2mmBTU/0.911711975329766</f>
        <v>353.04172159785509</v>
      </c>
      <c r="V130" s="347">
        <v>17.270356145070281</v>
      </c>
      <c r="W130" s="347">
        <v>353.04172159785509</v>
      </c>
      <c r="X130" s="14" t="s">
        <v>351</v>
      </c>
      <c r="Y130" s="346" t="s">
        <v>416</v>
      </c>
      <c r="Z130" s="14" t="str">
        <f>IF(ISBLANK(LCI_Table[[#This Row],[Notes for user]])," ",LCI_Table[[#This Row],[Notes for user]])</f>
        <v xml:space="preserve"> </v>
      </c>
      <c r="AA130" s="14"/>
      <c r="AB130" s="14"/>
      <c r="AC130" s="346">
        <f ca="1">LCI_Table[[#This Row],[Default Calculated Value]]-LCI_Table[[#This Row],[Calculated Value]]</f>
        <v>0</v>
      </c>
    </row>
    <row r="131" spans="1:29" x14ac:dyDescent="0.3">
      <c r="A1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Canola/RapeseedHEFAGREETGREET(blank)_Canola_HEFA_ElectricityGrid Electricity</v>
      </c>
      <c r="B131" s="48" t="s">
        <v>1347</v>
      </c>
      <c r="C131" s="14" t="s">
        <v>30</v>
      </c>
      <c r="D131" s="14" t="s">
        <v>29</v>
      </c>
      <c r="E131" s="48" t="s">
        <v>29</v>
      </c>
      <c r="F131" s="14" t="s">
        <v>31</v>
      </c>
      <c r="G131" s="14" t="b">
        <f>OR(LCI_Table[[#This Row],[Feedstock]]="All",LCI_Table[[#This Row],[Feedstock]]=SelectedFeedstock)</f>
        <v>1</v>
      </c>
      <c r="H131" s="14" t="b">
        <f>OR(LCI_Table[[#This Row],[Conversion]]="All",LCI_Table[[#This Row],[Conversion]]=SelectedConversion)</f>
        <v>1</v>
      </c>
      <c r="I131" s="14" t="b">
        <f>OR(LCI_Table[[#This Row],[Data Set]]="all",LCI_Table[[#This Row],[Data Set]]=SelectedDataSet)</f>
        <v>1</v>
      </c>
      <c r="J131" s="14" t="b">
        <f>OR(LCI_Table[[#This Row],[Technology]]="All",LCI_Table[[#This Row],[Technology]]=SelectedTechnology)</f>
        <v>1</v>
      </c>
      <c r="K131" s="14" t="b">
        <f>OR(LCI_Table[[#This Row],[Data Source]]="All",LCI_Table[[#This Row],[Data Source]]=SelectedDataSource)</f>
        <v>1</v>
      </c>
      <c r="L131" s="14" t="b">
        <v>0</v>
      </c>
      <c r="M131" s="14" t="b">
        <f>(LCI_Table[[#This Row],[Dev Notes]]="Do not display")</f>
        <v>0</v>
      </c>
      <c r="N131" s="14" t="b">
        <v>0</v>
      </c>
      <c r="O131" s="14" t="b">
        <f>LCI_Table[[#This Row],[GREET1 Name Range]]=""</f>
        <v>0</v>
      </c>
      <c r="P131" s="14" t="s">
        <v>1448</v>
      </c>
      <c r="Q131" s="14" t="s">
        <v>501</v>
      </c>
      <c r="R131" s="14" t="s">
        <v>1684</v>
      </c>
      <c r="S131" s="37" cm="1">
        <f t="array" aca="1" ref="S1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2.6166903979060168</v>
      </c>
      <c r="T131" s="346" t="s">
        <v>2121</v>
      </c>
      <c r="U131" s="347">
        <f ca="1">S131*lb2g/Fuel_Specs!$E$48*Fuel_Specs!$B$48/BTU2kWh*BTU2mmBTU/0.911711975329766</f>
        <v>185.67379432183486</v>
      </c>
      <c r="V131" s="347">
        <v>2.6166903979060168</v>
      </c>
      <c r="W131" s="347">
        <v>185.67379432183486</v>
      </c>
      <c r="X131" s="14" t="s">
        <v>51</v>
      </c>
      <c r="Y131" s="346" t="s">
        <v>416</v>
      </c>
      <c r="Z131" s="14" t="str">
        <f>IF(ISBLANK(LCI_Table[[#This Row],[Notes for user]])," ",LCI_Table[[#This Row],[Notes for user]])</f>
        <v xml:space="preserve"> </v>
      </c>
      <c r="AA131" s="14"/>
      <c r="AB131" s="14"/>
      <c r="AC131" s="346">
        <f ca="1">LCI_Table[[#This Row],[Default Calculated Value]]-LCI_Table[[#This Row],[Calculated Value]]</f>
        <v>0</v>
      </c>
    </row>
    <row r="132" spans="1:29" x14ac:dyDescent="0.3">
      <c r="A1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Canola/RapeseedHEFAGREETGREET(blank)_Canola_HEFA_HydrogenHydrogen</v>
      </c>
      <c r="B132" s="48" t="s">
        <v>1347</v>
      </c>
      <c r="C132" s="14" t="s">
        <v>30</v>
      </c>
      <c r="D132" s="14" t="s">
        <v>29</v>
      </c>
      <c r="E132" s="48" t="s">
        <v>29</v>
      </c>
      <c r="F132" s="14" t="s">
        <v>31</v>
      </c>
      <c r="G132" s="14" t="b">
        <f>OR(LCI_Table[[#This Row],[Feedstock]]="All",LCI_Table[[#This Row],[Feedstock]]=SelectedFeedstock)</f>
        <v>1</v>
      </c>
      <c r="H132" s="14" t="b">
        <f>OR(LCI_Table[[#This Row],[Conversion]]="All",LCI_Table[[#This Row],[Conversion]]=SelectedConversion)</f>
        <v>1</v>
      </c>
      <c r="I132" s="14" t="b">
        <f>OR(LCI_Table[[#This Row],[Data Set]]="all",LCI_Table[[#This Row],[Data Set]]=SelectedDataSet)</f>
        <v>1</v>
      </c>
      <c r="J132" s="14" t="b">
        <f>OR(LCI_Table[[#This Row],[Technology]]="All",LCI_Table[[#This Row],[Technology]]=SelectedTechnology)</f>
        <v>1</v>
      </c>
      <c r="K132" s="14" t="b">
        <f>OR(LCI_Table[[#This Row],[Data Source]]="All",LCI_Table[[#This Row],[Data Source]]=SelectedDataSource)</f>
        <v>1</v>
      </c>
      <c r="L132" s="14" t="b">
        <v>0</v>
      </c>
      <c r="M132" s="14" t="b">
        <f>(LCI_Table[[#This Row],[Dev Notes]]="Do not display")</f>
        <v>0</v>
      </c>
      <c r="N132" s="14" t="b">
        <v>0</v>
      </c>
      <c r="O132" s="14" t="b">
        <f>LCI_Table[[#This Row],[GREET1 Name Range]]=""</f>
        <v>0</v>
      </c>
      <c r="P132" s="14" t="s">
        <v>1448</v>
      </c>
      <c r="Q132" s="14" t="s">
        <v>502</v>
      </c>
      <c r="R132" s="14" t="s">
        <v>73</v>
      </c>
      <c r="S132" s="37" cm="1">
        <f t="array" aca="1" ref="S1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344.30517271876477</v>
      </c>
      <c r="T132" s="346" t="s">
        <v>2120</v>
      </c>
      <c r="U132" s="347">
        <f ca="1">S132*lb2g/Fuel_Specs!$E$48*Fuel_Specs!$B$48*Fuel_Specs!$B$81*BTU2mmBTU/0.911711975329766</f>
        <v>2076.4083477681247</v>
      </c>
      <c r="V132" s="347">
        <v>344.30517271876477</v>
      </c>
      <c r="W132" s="347">
        <v>2076.4083477681247</v>
      </c>
      <c r="X132" s="14" t="s">
        <v>351</v>
      </c>
      <c r="Y132" s="346" t="s">
        <v>416</v>
      </c>
      <c r="Z132" s="14" t="str">
        <f>IF(ISBLANK(LCI_Table[[#This Row],[Notes for user]])," ",LCI_Table[[#This Row],[Notes for user]])</f>
        <v xml:space="preserve"> </v>
      </c>
      <c r="AA132" s="14"/>
      <c r="AB132" s="14"/>
      <c r="AC132" s="346">
        <f ca="1">LCI_Table[[#This Row],[Default Calculated Value]]-LCI_Table[[#This Row],[Calculated Value]]</f>
        <v>0</v>
      </c>
    </row>
    <row r="133" spans="1:29" x14ac:dyDescent="0.3">
      <c r="A1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Canola/RapeseedHEFAGREETGREET(blank)_Canola_Oil_HEFA_Energy_AllocationAllocation factor</v>
      </c>
      <c r="B133" s="48" t="s">
        <v>1347</v>
      </c>
      <c r="C133" s="14" t="s">
        <v>30</v>
      </c>
      <c r="D133" s="14" t="s">
        <v>29</v>
      </c>
      <c r="E133" s="14" t="s">
        <v>29</v>
      </c>
      <c r="F133" s="48" t="s">
        <v>31</v>
      </c>
      <c r="G133" s="14" t="b">
        <f>OR(LCI_Table[[#This Row],[Feedstock]]="All",LCI_Table[[#This Row],[Feedstock]]=SelectedFeedstock)</f>
        <v>1</v>
      </c>
      <c r="H133" s="14" t="b">
        <f>OR(LCI_Table[[#This Row],[Conversion]]="All",LCI_Table[[#This Row],[Conversion]]=SelectedConversion)</f>
        <v>1</v>
      </c>
      <c r="I133" s="14" t="b">
        <f>OR(LCI_Table[[#This Row],[Data Set]]="all",LCI_Table[[#This Row],[Data Set]]=SelectedDataSet)</f>
        <v>1</v>
      </c>
      <c r="J133" s="14" t="b">
        <f>OR(LCI_Table[[#This Row],[Technology]]="All",LCI_Table[[#This Row],[Technology]]=SelectedTechnology)</f>
        <v>1</v>
      </c>
      <c r="K133" s="14" t="b">
        <f>OR(LCI_Table[[#This Row],[Data Source]]="All",LCI_Table[[#This Row],[Data Source]]=SelectedDataSource)</f>
        <v>1</v>
      </c>
      <c r="L133" s="14" t="b">
        <v>0</v>
      </c>
      <c r="M133" s="14" t="b">
        <f>(LCI_Table[[#This Row],[Dev Notes]]="Do not display")</f>
        <v>0</v>
      </c>
      <c r="N133" s="14" t="b">
        <v>0</v>
      </c>
      <c r="O133" s="14" t="b">
        <f>LCI_Table[[#This Row],[GREET1 Name Range]]=""</f>
        <v>0</v>
      </c>
      <c r="P133" s="14" t="s">
        <v>1448</v>
      </c>
      <c r="Q133" s="14" t="s">
        <v>1117</v>
      </c>
      <c r="R133" s="14" t="s">
        <v>1344</v>
      </c>
      <c r="S133" s="37" cm="1">
        <f t="array" aca="1" ref="S1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91.171197532976606</v>
      </c>
      <c r="T133" s="346" t="s">
        <v>1345</v>
      </c>
      <c r="U133" s="347">
        <f ca="1">LCI_Table[[#This Row],[Dashboard Value]]/100</f>
        <v>0.91171197532976611</v>
      </c>
      <c r="V133" s="351">
        <v>91.171197532976606</v>
      </c>
      <c r="W133" s="351">
        <v>0.91171197532976611</v>
      </c>
      <c r="X133" s="14" t="s">
        <v>1345</v>
      </c>
      <c r="Y133" s="346" t="s">
        <v>416</v>
      </c>
      <c r="Z133" s="14" t="str">
        <f>IF(ISBLANK(LCI_Table[[#This Row],[Notes for user]])," ",LCI_Table[[#This Row],[Notes for user]])</f>
        <v>Allocation to main distillate fuels (energy allocation)</v>
      </c>
      <c r="AA133" s="14" t="s">
        <v>1353</v>
      </c>
      <c r="AB133" s="14"/>
      <c r="AC133" s="346">
        <f ca="1">LCI_Table[[#This Row],[Default Calculated Value]]-LCI_Table[[#This Row],[Calculated Value]]</f>
        <v>0</v>
      </c>
    </row>
    <row r="134" spans="1:29" x14ac:dyDescent="0.3">
      <c r="A1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dash_JatrophaHEFAGREETGREET(blank)_Yield_Farming</v>
      </c>
      <c r="B134" s="48" t="s">
        <v>126</v>
      </c>
      <c r="C134" s="48" t="s">
        <v>30</v>
      </c>
      <c r="D134" s="48" t="s">
        <v>29</v>
      </c>
      <c r="E134" s="48" t="s">
        <v>29</v>
      </c>
      <c r="F134" s="48" t="s">
        <v>31</v>
      </c>
      <c r="G134" s="14" t="b">
        <f>OR(LCI_Table[[#This Row],[Feedstock]]="All",LCI_Table[[#This Row],[Feedstock]]=SelectedFeedstock)</f>
        <v>0</v>
      </c>
      <c r="H134" s="14" t="b">
        <f>OR(LCI_Table[[#This Row],[Conversion]]="All",LCI_Table[[#This Row],[Conversion]]=SelectedConversion)</f>
        <v>1</v>
      </c>
      <c r="I134" s="14" t="b">
        <f>OR(LCI_Table[[#This Row],[Data Set]]="all",LCI_Table[[#This Row],[Data Set]]=SelectedDataSet)</f>
        <v>1</v>
      </c>
      <c r="J134" s="14" t="b">
        <f>OR(LCI_Table[[#This Row],[Technology]]="All",LCI_Table[[#This Row],[Technology]]=SelectedTechnology)</f>
        <v>1</v>
      </c>
      <c r="K134" s="14" t="b">
        <f>OR(LCI_Table[[#This Row],[Data Source]]="All",LCI_Table[[#This Row],[Data Source]]=SelectedDataSource)</f>
        <v>1</v>
      </c>
      <c r="L134" s="14" t="b">
        <f>TRUE</f>
        <v>1</v>
      </c>
      <c r="M134" s="14" t="b">
        <f>(LCI_Table[[#This Row],[Dev Notes]]="Do not display")</f>
        <v>0</v>
      </c>
      <c r="N134" s="14" t="b">
        <f>AND(LCI_Table[[#This Row],[Show Feedstock]:[Conditional]],NOT(LCI_Table[[#This Row],[Hide Row]]))</f>
        <v>0</v>
      </c>
      <c r="O134" s="14" t="b">
        <f>LCI_Table[[#This Row],[GREET1 Name Range]]=""</f>
        <v>1</v>
      </c>
      <c r="P134" s="48" t="s">
        <v>14</v>
      </c>
      <c r="Q134" s="14" t="s">
        <v>361</v>
      </c>
      <c r="R134" s="48" t="s">
        <v>200</v>
      </c>
      <c r="S134" s="37" cm="1">
        <f t="array" aca="1" ref="S1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0.78065793655234927</v>
      </c>
      <c r="T134" s="346" t="s">
        <v>2116</v>
      </c>
      <c r="U134" s="344"/>
      <c r="V134" s="344">
        <v>0.78065793655234927</v>
      </c>
      <c r="W134" s="344"/>
      <c r="X134" s="48" t="s">
        <v>55</v>
      </c>
      <c r="Y134" s="346" t="s">
        <v>413</v>
      </c>
      <c r="Z134" s="14" t="str">
        <f>IF(ISBLANK(LCI_Table[[#This Row],[Notes for user]])," ",LCI_Table[[#This Row],[Notes for user]])</f>
        <v>Plantations International (2022)</v>
      </c>
      <c r="AA134" s="48" t="s">
        <v>1150</v>
      </c>
      <c r="AB134" s="345"/>
      <c r="AC134" s="346">
        <f>LCI_Table[[#This Row],[Default Calculated Value]]-LCI_Table[[#This Row],[Calculated Value]]</f>
        <v>0</v>
      </c>
    </row>
    <row r="135" spans="1:29" x14ac:dyDescent="0.3">
      <c r="A1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JatrophaHEFAGREETGREET(blank)_Jatropha_Farming_Nitrogen_fertilizerNitrogen fertilizer</v>
      </c>
      <c r="B135" s="14" t="s">
        <v>126</v>
      </c>
      <c r="C135" s="14" t="s">
        <v>30</v>
      </c>
      <c r="D135" s="14" t="s">
        <v>29</v>
      </c>
      <c r="E135" s="48" t="s">
        <v>29</v>
      </c>
      <c r="F135" s="14" t="s">
        <v>31</v>
      </c>
      <c r="G135" s="14" t="b">
        <f>OR(LCI_Table[[#This Row],[Feedstock]]="All",LCI_Table[[#This Row],[Feedstock]]=SelectedFeedstock)</f>
        <v>0</v>
      </c>
      <c r="H135" s="14" t="b">
        <f>OR(LCI_Table[[#This Row],[Conversion]]="All",LCI_Table[[#This Row],[Conversion]]=SelectedConversion)</f>
        <v>1</v>
      </c>
      <c r="I135" s="14" t="b">
        <f>OR(LCI_Table[[#This Row],[Data Set]]="all",LCI_Table[[#This Row],[Data Set]]=SelectedDataSet)</f>
        <v>1</v>
      </c>
      <c r="J135" s="14" t="b">
        <f>OR(LCI_Table[[#This Row],[Technology]]="All",LCI_Table[[#This Row],[Technology]]=SelectedTechnology)</f>
        <v>1</v>
      </c>
      <c r="K135" s="14" t="b">
        <f>OR(LCI_Table[[#This Row],[Data Source]]="All",LCI_Table[[#This Row],[Data Source]]=SelectedDataSource)</f>
        <v>1</v>
      </c>
      <c r="L135" s="14" t="b">
        <f>TRUE</f>
        <v>1</v>
      </c>
      <c r="M135" s="14" t="b">
        <f>(LCI_Table[[#This Row],[Dev Notes]]="Do not display")</f>
        <v>0</v>
      </c>
      <c r="N135" s="14" t="b">
        <f>AND(LCI_Table[[#This Row],[Show Feedstock]:[Conditional]],NOT(LCI_Table[[#This Row],[Hide Row]]))</f>
        <v>0</v>
      </c>
      <c r="O135" s="14" t="b">
        <f>LCI_Table[[#This Row],[GREET1 Name Range]]=""</f>
        <v>0</v>
      </c>
      <c r="P135" s="14" t="s">
        <v>14</v>
      </c>
      <c r="Q135" s="14" t="s">
        <v>695</v>
      </c>
      <c r="R135" s="14" t="s">
        <v>111</v>
      </c>
      <c r="S135" s="37" cm="1">
        <f t="array" aca="1" ref="S1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57.111193015541474</v>
      </c>
      <c r="T135" s="346" t="s">
        <v>1485</v>
      </c>
      <c r="U135" s="347">
        <f ca="1">S135/g2lb/S134*kg2ton</f>
        <v>36.578884516158197</v>
      </c>
      <c r="V135" s="347">
        <v>57.111193015541474</v>
      </c>
      <c r="W135" s="347">
        <v>36.578884516158197</v>
      </c>
      <c r="X135" s="14" t="s">
        <v>12</v>
      </c>
      <c r="Y135" s="346" t="s">
        <v>413</v>
      </c>
      <c r="Z135" s="14" t="str">
        <f>IF(ISBLANK(LCI_Table[[#This Row],[Notes for user]])," ",LCI_Table[[#This Row],[Notes for user]])</f>
        <v xml:space="preserve"> </v>
      </c>
      <c r="AA135" s="14"/>
      <c r="AB135" s="14"/>
      <c r="AC135" s="346">
        <f ca="1">LCI_Table[[#This Row],[Default Calculated Value]]-LCI_Table[[#This Row],[Calculated Value]]</f>
        <v>0</v>
      </c>
    </row>
    <row r="136" spans="1:29" x14ac:dyDescent="0.3">
      <c r="A1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JatrophaHEFAGREETGREET(blank)_Jatropha_Farming_P2O5P2O5</v>
      </c>
      <c r="B136" s="14" t="s">
        <v>126</v>
      </c>
      <c r="C136" s="14" t="s">
        <v>30</v>
      </c>
      <c r="D136" s="14" t="s">
        <v>29</v>
      </c>
      <c r="E136" s="48" t="s">
        <v>29</v>
      </c>
      <c r="F136" s="14" t="s">
        <v>31</v>
      </c>
      <c r="G136" s="14" t="b">
        <f>OR(LCI_Table[[#This Row],[Feedstock]]="All",LCI_Table[[#This Row],[Feedstock]]=SelectedFeedstock)</f>
        <v>0</v>
      </c>
      <c r="H136" s="14" t="b">
        <f>OR(LCI_Table[[#This Row],[Conversion]]="All",LCI_Table[[#This Row],[Conversion]]=SelectedConversion)</f>
        <v>1</v>
      </c>
      <c r="I136" s="14" t="b">
        <f>OR(LCI_Table[[#This Row],[Data Set]]="all",LCI_Table[[#This Row],[Data Set]]=SelectedDataSet)</f>
        <v>1</v>
      </c>
      <c r="J136" s="14" t="b">
        <f>OR(LCI_Table[[#This Row],[Technology]]="All",LCI_Table[[#This Row],[Technology]]=SelectedTechnology)</f>
        <v>1</v>
      </c>
      <c r="K136" s="14" t="b">
        <f>OR(LCI_Table[[#This Row],[Data Source]]="All",LCI_Table[[#This Row],[Data Source]]=SelectedDataSource)</f>
        <v>1</v>
      </c>
      <c r="L136" s="14" t="b">
        <f>TRUE</f>
        <v>1</v>
      </c>
      <c r="M136" s="14" t="b">
        <f>(LCI_Table[[#This Row],[Dev Notes]]="Do not display")</f>
        <v>0</v>
      </c>
      <c r="N136" s="14" t="b">
        <f>AND(LCI_Table[[#This Row],[Show Feedstock]:[Conditional]],NOT(LCI_Table[[#This Row],[Hide Row]]))</f>
        <v>0</v>
      </c>
      <c r="O136" s="14" t="b">
        <f>LCI_Table[[#This Row],[GREET1 Name Range]]=""</f>
        <v>0</v>
      </c>
      <c r="P136" s="14" t="s">
        <v>14</v>
      </c>
      <c r="Q136" s="14" t="s">
        <v>696</v>
      </c>
      <c r="R136" s="14" t="s">
        <v>112</v>
      </c>
      <c r="S136" s="37" cm="1">
        <f t="array" aca="1" ref="S1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21.836632623589317</v>
      </c>
      <c r="T136" s="346" t="s">
        <v>1485</v>
      </c>
      <c r="U136" s="347">
        <f ca="1">S136/g2lb/S134*kg2ton</f>
        <v>13.986044079707501</v>
      </c>
      <c r="V136" s="347">
        <v>21.836632623589317</v>
      </c>
      <c r="W136" s="347">
        <v>13.986044079707501</v>
      </c>
      <c r="X136" s="14" t="s">
        <v>12</v>
      </c>
      <c r="Y136" s="346" t="s">
        <v>413</v>
      </c>
      <c r="Z136" s="14" t="str">
        <f>IF(ISBLANK(LCI_Table[[#This Row],[Notes for user]])," ",LCI_Table[[#This Row],[Notes for user]])</f>
        <v xml:space="preserve"> </v>
      </c>
      <c r="AA136" s="14"/>
      <c r="AB136" s="14"/>
      <c r="AC136" s="346">
        <f ca="1">LCI_Table[[#This Row],[Default Calculated Value]]-LCI_Table[[#This Row],[Calculated Value]]</f>
        <v>0</v>
      </c>
    </row>
    <row r="137" spans="1:29" x14ac:dyDescent="0.3">
      <c r="A1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JatrophaHEFAGREETGREET(blank)_Jatropha_Farming_K2OK2O</v>
      </c>
      <c r="B137" s="14" t="s">
        <v>126</v>
      </c>
      <c r="C137" s="14" t="s">
        <v>30</v>
      </c>
      <c r="D137" s="14" t="s">
        <v>29</v>
      </c>
      <c r="E137" s="48" t="s">
        <v>29</v>
      </c>
      <c r="F137" s="14" t="s">
        <v>31</v>
      </c>
      <c r="G137" s="14" t="b">
        <f>OR(LCI_Table[[#This Row],[Feedstock]]="All",LCI_Table[[#This Row],[Feedstock]]=SelectedFeedstock)</f>
        <v>0</v>
      </c>
      <c r="H137" s="14" t="b">
        <f>OR(LCI_Table[[#This Row],[Conversion]]="All",LCI_Table[[#This Row],[Conversion]]=SelectedConversion)</f>
        <v>1</v>
      </c>
      <c r="I137" s="14" t="b">
        <f>OR(LCI_Table[[#This Row],[Data Set]]="all",LCI_Table[[#This Row],[Data Set]]=SelectedDataSet)</f>
        <v>1</v>
      </c>
      <c r="J137" s="14" t="b">
        <f>OR(LCI_Table[[#This Row],[Technology]]="All",LCI_Table[[#This Row],[Technology]]=SelectedTechnology)</f>
        <v>1</v>
      </c>
      <c r="K137" s="14" t="b">
        <f>OR(LCI_Table[[#This Row],[Data Source]]="All",LCI_Table[[#This Row],[Data Source]]=SelectedDataSource)</f>
        <v>1</v>
      </c>
      <c r="L137" s="14" t="b">
        <f>TRUE</f>
        <v>1</v>
      </c>
      <c r="M137" s="14" t="b">
        <f>(LCI_Table[[#This Row],[Dev Notes]]="Do not display")</f>
        <v>0</v>
      </c>
      <c r="N137" s="14" t="b">
        <f>AND(LCI_Table[[#This Row],[Show Feedstock]:[Conditional]],NOT(LCI_Table[[#This Row],[Hide Row]]))</f>
        <v>0</v>
      </c>
      <c r="O137" s="14" t="b">
        <f>LCI_Table[[#This Row],[GREET1 Name Range]]=""</f>
        <v>0</v>
      </c>
      <c r="P137" s="14" t="s">
        <v>14</v>
      </c>
      <c r="Q137" s="14" t="s">
        <v>692</v>
      </c>
      <c r="R137" s="14" t="s">
        <v>113</v>
      </c>
      <c r="S137" s="37" cm="1">
        <f t="array" aca="1" ref="S1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62.822312317095594</v>
      </c>
      <c r="T137" s="346" t="s">
        <v>1485</v>
      </c>
      <c r="U137" s="347">
        <f ca="1">S137/g2lb/S134*kg2ton</f>
        <v>40.236772967773994</v>
      </c>
      <c r="V137" s="347">
        <v>62.822312317095594</v>
      </c>
      <c r="W137" s="347">
        <v>40.236772967773994</v>
      </c>
      <c r="X137" s="14" t="s">
        <v>12</v>
      </c>
      <c r="Y137" s="346" t="s">
        <v>413</v>
      </c>
      <c r="Z137" s="14" t="str">
        <f>IF(ISBLANK(LCI_Table[[#This Row],[Notes for user]])," ",LCI_Table[[#This Row],[Notes for user]])</f>
        <v xml:space="preserve"> </v>
      </c>
      <c r="AA137" s="14"/>
      <c r="AB137" s="14"/>
      <c r="AC137" s="346">
        <f ca="1">LCI_Table[[#This Row],[Default Calculated Value]]-LCI_Table[[#This Row],[Calculated Value]]</f>
        <v>0</v>
      </c>
    </row>
    <row r="138" spans="1:29" x14ac:dyDescent="0.3">
      <c r="A1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JatrophaHEFAGREETGREET(blank)_Jatropha_Farming_CaCO3CaCO3</v>
      </c>
      <c r="B138" s="14" t="s">
        <v>126</v>
      </c>
      <c r="C138" s="14" t="s">
        <v>30</v>
      </c>
      <c r="D138" s="14" t="s">
        <v>29</v>
      </c>
      <c r="E138" s="48" t="s">
        <v>29</v>
      </c>
      <c r="F138" s="14" t="s">
        <v>31</v>
      </c>
      <c r="G138" s="14" t="b">
        <f>OR(LCI_Table[[#This Row],[Feedstock]]="All",LCI_Table[[#This Row],[Feedstock]]=SelectedFeedstock)</f>
        <v>0</v>
      </c>
      <c r="H138" s="14" t="b">
        <f>OR(LCI_Table[[#This Row],[Conversion]]="All",LCI_Table[[#This Row],[Conversion]]=SelectedConversion)</f>
        <v>1</v>
      </c>
      <c r="I138" s="14" t="b">
        <f>OR(LCI_Table[[#This Row],[Data Set]]="all",LCI_Table[[#This Row],[Data Set]]=SelectedDataSet)</f>
        <v>1</v>
      </c>
      <c r="J138" s="14" t="b">
        <f>OR(LCI_Table[[#This Row],[Technology]]="All",LCI_Table[[#This Row],[Technology]]=SelectedTechnology)</f>
        <v>1</v>
      </c>
      <c r="K138" s="14" t="b">
        <f>OR(LCI_Table[[#This Row],[Data Source]]="All",LCI_Table[[#This Row],[Data Source]]=SelectedDataSource)</f>
        <v>1</v>
      </c>
      <c r="L138" s="14" t="b">
        <f>TRUE</f>
        <v>1</v>
      </c>
      <c r="M138" s="14" t="b">
        <f>(LCI_Table[[#This Row],[Dev Notes]]="Do not display")</f>
        <v>0</v>
      </c>
      <c r="N138" s="14" t="b">
        <f>AND(LCI_Table[[#This Row],[Show Feedstock]:[Conditional]],NOT(LCI_Table[[#This Row],[Hide Row]]))</f>
        <v>0</v>
      </c>
      <c r="O138" s="14" t="b">
        <f>LCI_Table[[#This Row],[GREET1 Name Range]]=""</f>
        <v>0</v>
      </c>
      <c r="P138" s="14" t="s">
        <v>14</v>
      </c>
      <c r="Q138" s="14" t="s">
        <v>685</v>
      </c>
      <c r="R138" s="14" t="s">
        <v>141</v>
      </c>
      <c r="S138" s="37" cm="1">
        <f t="array" aca="1" ref="S1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8" s="346" t="s">
        <v>1485</v>
      </c>
      <c r="U138" s="347">
        <f ca="1">S138/g2lb/S134*kg2ton</f>
        <v>0</v>
      </c>
      <c r="V138" s="347">
        <v>0</v>
      </c>
      <c r="W138" s="347">
        <v>0</v>
      </c>
      <c r="X138" s="14" t="s">
        <v>12</v>
      </c>
      <c r="Y138" s="346" t="s">
        <v>413</v>
      </c>
      <c r="Z138" s="14" t="str">
        <f>IF(ISBLANK(LCI_Table[[#This Row],[Notes for user]])," ",LCI_Table[[#This Row],[Notes for user]])</f>
        <v xml:space="preserve"> </v>
      </c>
      <c r="AA138" s="14"/>
      <c r="AB138" s="14"/>
      <c r="AC138" s="346">
        <f ca="1">LCI_Table[[#This Row],[Default Calculated Value]]-LCI_Table[[#This Row],[Calculated Value]]</f>
        <v>0</v>
      </c>
    </row>
    <row r="139" spans="1:29" x14ac:dyDescent="0.3">
      <c r="A1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JatrophaHEFAGREETGREET(blank)_Jatropha_Farming_HerbicidesHerbicides</v>
      </c>
      <c r="B139" s="14" t="s">
        <v>126</v>
      </c>
      <c r="C139" s="14" t="s">
        <v>30</v>
      </c>
      <c r="D139" s="14" t="s">
        <v>29</v>
      </c>
      <c r="E139" s="48" t="s">
        <v>29</v>
      </c>
      <c r="F139" s="14" t="s">
        <v>31</v>
      </c>
      <c r="G139" s="14" t="b">
        <f>OR(LCI_Table[[#This Row],[Feedstock]]="All",LCI_Table[[#This Row],[Feedstock]]=SelectedFeedstock)</f>
        <v>0</v>
      </c>
      <c r="H139" s="14" t="b">
        <f>OR(LCI_Table[[#This Row],[Conversion]]="All",LCI_Table[[#This Row],[Conversion]]=SelectedConversion)</f>
        <v>1</v>
      </c>
      <c r="I139" s="14" t="b">
        <f>OR(LCI_Table[[#This Row],[Data Set]]="all",LCI_Table[[#This Row],[Data Set]]=SelectedDataSet)</f>
        <v>1</v>
      </c>
      <c r="J139" s="14" t="b">
        <f>OR(LCI_Table[[#This Row],[Technology]]="All",LCI_Table[[#This Row],[Technology]]=SelectedTechnology)</f>
        <v>1</v>
      </c>
      <c r="K139" s="14" t="b">
        <f>OR(LCI_Table[[#This Row],[Data Source]]="All",LCI_Table[[#This Row],[Data Source]]=SelectedDataSource)</f>
        <v>1</v>
      </c>
      <c r="L139" s="14" t="b">
        <f>TRUE</f>
        <v>1</v>
      </c>
      <c r="M139" s="14" t="b">
        <f>(LCI_Table[[#This Row],[Dev Notes]]="Do not display")</f>
        <v>0</v>
      </c>
      <c r="N139" s="14" t="b">
        <f>AND(LCI_Table[[#This Row],[Show Feedstock]:[Conditional]],NOT(LCI_Table[[#This Row],[Hide Row]]))</f>
        <v>0</v>
      </c>
      <c r="O139" s="14" t="b">
        <f>LCI_Table[[#This Row],[GREET1 Name Range]]=""</f>
        <v>0</v>
      </c>
      <c r="P139" s="14" t="s">
        <v>14</v>
      </c>
      <c r="Q139" s="14" t="s">
        <v>690</v>
      </c>
      <c r="R139" s="14" t="s">
        <v>356</v>
      </c>
      <c r="S139" s="37" cm="1">
        <f t="array" aca="1" ref="S1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9" s="346" t="s">
        <v>1485</v>
      </c>
      <c r="U139" s="347">
        <f ca="1">S139/g2lb/S134*kg2ton</f>
        <v>0</v>
      </c>
      <c r="V139" s="347">
        <v>0</v>
      </c>
      <c r="W139" s="347">
        <v>0</v>
      </c>
      <c r="X139" s="14" t="s">
        <v>12</v>
      </c>
      <c r="Y139" s="346" t="s">
        <v>413</v>
      </c>
      <c r="Z139" s="14" t="str">
        <f>IF(ISBLANK(LCI_Table[[#This Row],[Notes for user]])," ",LCI_Table[[#This Row],[Notes for user]])</f>
        <v xml:space="preserve"> </v>
      </c>
      <c r="AA139" s="14"/>
      <c r="AB139" s="14"/>
      <c r="AC139" s="346">
        <f ca="1">LCI_Table[[#This Row],[Default Calculated Value]]-LCI_Table[[#This Row],[Calculated Value]]</f>
        <v>0</v>
      </c>
    </row>
    <row r="140" spans="1:29" x14ac:dyDescent="0.3">
      <c r="A1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JatrophaHEFAGREETGREET(blank)_Jatropha_Farming_InsecticideInsecticide</v>
      </c>
      <c r="B140" s="14" t="s">
        <v>126</v>
      </c>
      <c r="C140" s="14" t="s">
        <v>30</v>
      </c>
      <c r="D140" s="14" t="s">
        <v>29</v>
      </c>
      <c r="E140" s="48" t="s">
        <v>29</v>
      </c>
      <c r="F140" s="14" t="s">
        <v>31</v>
      </c>
      <c r="G140" s="14" t="b">
        <f>OR(LCI_Table[[#This Row],[Feedstock]]="All",LCI_Table[[#This Row],[Feedstock]]=SelectedFeedstock)</f>
        <v>0</v>
      </c>
      <c r="H140" s="14" t="b">
        <f>OR(LCI_Table[[#This Row],[Conversion]]="All",LCI_Table[[#This Row],[Conversion]]=SelectedConversion)</f>
        <v>1</v>
      </c>
      <c r="I140" s="14" t="b">
        <f>OR(LCI_Table[[#This Row],[Data Set]]="all",LCI_Table[[#This Row],[Data Set]]=SelectedDataSet)</f>
        <v>1</v>
      </c>
      <c r="J140" s="14" t="b">
        <f>OR(LCI_Table[[#This Row],[Technology]]="All",LCI_Table[[#This Row],[Technology]]=SelectedTechnology)</f>
        <v>1</v>
      </c>
      <c r="K140" s="14" t="b">
        <f>OR(LCI_Table[[#This Row],[Data Source]]="All",LCI_Table[[#This Row],[Data Source]]=SelectedDataSource)</f>
        <v>1</v>
      </c>
      <c r="L140" s="14" t="b">
        <f>TRUE</f>
        <v>1</v>
      </c>
      <c r="M140" s="14" t="b">
        <f>(LCI_Table[[#This Row],[Dev Notes]]="Do not display")</f>
        <v>0</v>
      </c>
      <c r="N140" s="14" t="b">
        <f>AND(LCI_Table[[#This Row],[Show Feedstock]:[Conditional]],NOT(LCI_Table[[#This Row],[Hide Row]]))</f>
        <v>0</v>
      </c>
      <c r="O140" s="14" t="b">
        <f>LCI_Table[[#This Row],[GREET1 Name Range]]=""</f>
        <v>0</v>
      </c>
      <c r="P140" s="14" t="s">
        <v>14</v>
      </c>
      <c r="Q140" s="14" t="s">
        <v>691</v>
      </c>
      <c r="R140" s="14" t="s">
        <v>114</v>
      </c>
      <c r="S140" s="37" cm="1">
        <f t="array" aca="1" ref="S1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0" s="346" t="s">
        <v>1485</v>
      </c>
      <c r="U140" s="347">
        <f ca="1">S140/g2lb/S134*kg2ton</f>
        <v>0</v>
      </c>
      <c r="V140" s="347">
        <v>0</v>
      </c>
      <c r="W140" s="347">
        <v>0</v>
      </c>
      <c r="X140" s="14" t="s">
        <v>12</v>
      </c>
      <c r="Y140" s="346" t="s">
        <v>413</v>
      </c>
      <c r="Z140" s="14" t="str">
        <f>IF(ISBLANK(LCI_Table[[#This Row],[Notes for user]])," ",LCI_Table[[#This Row],[Notes for user]])</f>
        <v xml:space="preserve"> </v>
      </c>
      <c r="AA140" s="14"/>
      <c r="AB140" s="14"/>
      <c r="AC140" s="346">
        <f ca="1">LCI_Table[[#This Row],[Default Calculated Value]]-LCI_Table[[#This Row],[Calculated Value]]</f>
        <v>0</v>
      </c>
    </row>
    <row r="141" spans="1:29" x14ac:dyDescent="0.3">
      <c r="A1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JatrophaHEFAGREETGREET(blank)_Jatropha_Farming_Residual_oilResidual oil</v>
      </c>
      <c r="B141" s="14" t="s">
        <v>126</v>
      </c>
      <c r="C141" s="14" t="s">
        <v>30</v>
      </c>
      <c r="D141" s="14" t="s">
        <v>29</v>
      </c>
      <c r="E141" s="48" t="s">
        <v>29</v>
      </c>
      <c r="F141" s="14" t="s">
        <v>31</v>
      </c>
      <c r="G141" s="14" t="b">
        <f>OR(LCI_Table[[#This Row],[Feedstock]]="All",LCI_Table[[#This Row],[Feedstock]]=SelectedFeedstock)</f>
        <v>0</v>
      </c>
      <c r="H141" s="14" t="b">
        <f>OR(LCI_Table[[#This Row],[Conversion]]="All",LCI_Table[[#This Row],[Conversion]]=SelectedConversion)</f>
        <v>1</v>
      </c>
      <c r="I141" s="14" t="b">
        <f>OR(LCI_Table[[#This Row],[Data Set]]="all",LCI_Table[[#This Row],[Data Set]]=SelectedDataSet)</f>
        <v>1</v>
      </c>
      <c r="J141" s="14" t="b">
        <f>OR(LCI_Table[[#This Row],[Technology]]="All",LCI_Table[[#This Row],[Technology]]=SelectedTechnology)</f>
        <v>1</v>
      </c>
      <c r="K141" s="14" t="b">
        <f>OR(LCI_Table[[#This Row],[Data Source]]="All",LCI_Table[[#This Row],[Data Source]]=SelectedDataSource)</f>
        <v>1</v>
      </c>
      <c r="L141" s="14" t="b">
        <f>TRUE</f>
        <v>1</v>
      </c>
      <c r="M141" s="14" t="b">
        <f>(LCI_Table[[#This Row],[Dev Notes]]="Do not display")</f>
        <v>0</v>
      </c>
      <c r="N141" s="14" t="b">
        <f>AND(LCI_Table[[#This Row],[Show Feedstock]:[Conditional]],NOT(LCI_Table[[#This Row],[Hide Row]]))</f>
        <v>0</v>
      </c>
      <c r="O141" s="14" t="b">
        <f>LCI_Table[[#This Row],[GREET1 Name Range]]=""</f>
        <v>0</v>
      </c>
      <c r="P141" s="14" t="s">
        <v>14</v>
      </c>
      <c r="Q141" s="14" t="s">
        <v>697</v>
      </c>
      <c r="R141" s="14" t="s">
        <v>115</v>
      </c>
      <c r="S141" s="37" cm="1">
        <f t="array" aca="1" ref="S1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1" s="346" t="s">
        <v>1484</v>
      </c>
      <c r="U141" s="347">
        <f ca="1">S141*Fuel_Specs!$B$28/S134*kg2ton</f>
        <v>0</v>
      </c>
      <c r="V141" s="347">
        <v>0</v>
      </c>
      <c r="W141" s="347">
        <v>0</v>
      </c>
      <c r="X141" s="14" t="s">
        <v>5</v>
      </c>
      <c r="Y141" s="346" t="s">
        <v>413</v>
      </c>
      <c r="Z141" s="14" t="str">
        <f>IF(ISBLANK(LCI_Table[[#This Row],[Notes for user]])," ",LCI_Table[[#This Row],[Notes for user]])</f>
        <v xml:space="preserve"> </v>
      </c>
      <c r="AA141" s="14"/>
      <c r="AB141" s="14"/>
      <c r="AC141" s="346">
        <f ca="1">LCI_Table[[#This Row],[Default Calculated Value]]-LCI_Table[[#This Row],[Calculated Value]]</f>
        <v>0</v>
      </c>
    </row>
    <row r="142" spans="1:29" x14ac:dyDescent="0.3">
      <c r="A1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JatrophaHEFAGREETGREET(blank)_Jatropha_Farming_DieselDiesel</v>
      </c>
      <c r="B142" s="14" t="s">
        <v>126</v>
      </c>
      <c r="C142" s="14" t="s">
        <v>30</v>
      </c>
      <c r="D142" s="14" t="s">
        <v>29</v>
      </c>
      <c r="E142" s="48" t="s">
        <v>29</v>
      </c>
      <c r="F142" s="14" t="s">
        <v>31</v>
      </c>
      <c r="G142" s="14" t="b">
        <f>OR(LCI_Table[[#This Row],[Feedstock]]="All",LCI_Table[[#This Row],[Feedstock]]=SelectedFeedstock)</f>
        <v>0</v>
      </c>
      <c r="H142" s="14" t="b">
        <f>OR(LCI_Table[[#This Row],[Conversion]]="All",LCI_Table[[#This Row],[Conversion]]=SelectedConversion)</f>
        <v>1</v>
      </c>
      <c r="I142" s="14" t="b">
        <f>OR(LCI_Table[[#This Row],[Data Set]]="all",LCI_Table[[#This Row],[Data Set]]=SelectedDataSet)</f>
        <v>1</v>
      </c>
      <c r="J142" s="14" t="b">
        <f>OR(LCI_Table[[#This Row],[Technology]]="All",LCI_Table[[#This Row],[Technology]]=SelectedTechnology)</f>
        <v>1</v>
      </c>
      <c r="K142" s="14" t="b">
        <f>OR(LCI_Table[[#This Row],[Data Source]]="All",LCI_Table[[#This Row],[Data Source]]=SelectedDataSource)</f>
        <v>1</v>
      </c>
      <c r="L142" s="14" t="b">
        <f>TRUE</f>
        <v>1</v>
      </c>
      <c r="M142" s="14" t="b">
        <f>(LCI_Table[[#This Row],[Dev Notes]]="Do not display")</f>
        <v>0</v>
      </c>
      <c r="N142" s="14" t="b">
        <f>AND(LCI_Table[[#This Row],[Show Feedstock]:[Conditional]],NOT(LCI_Table[[#This Row],[Hide Row]]))</f>
        <v>0</v>
      </c>
      <c r="O142" s="14" t="b">
        <f>LCI_Table[[#This Row],[GREET1 Name Range]]=""</f>
        <v>0</v>
      </c>
      <c r="P142" s="14" t="s">
        <v>14</v>
      </c>
      <c r="Q142" s="14" t="s">
        <v>687</v>
      </c>
      <c r="R142" s="14" t="s">
        <v>106</v>
      </c>
      <c r="S142" s="37" cm="1">
        <f t="array" aca="1" ref="S1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7.829749694170272</v>
      </c>
      <c r="T142" s="346" t="s">
        <v>1484</v>
      </c>
      <c r="U142" s="347">
        <f ca="1">S142*Fuel_Specs!$B$19/S134*kg2ton</f>
        <v>1420.1213988626116</v>
      </c>
      <c r="V142" s="347">
        <v>7.829749694170272</v>
      </c>
      <c r="W142" s="347">
        <v>1420.1213988626116</v>
      </c>
      <c r="X142" s="14" t="s">
        <v>5</v>
      </c>
      <c r="Y142" s="346" t="s">
        <v>413</v>
      </c>
      <c r="Z142" s="14" t="str">
        <f>IF(ISBLANK(LCI_Table[[#This Row],[Notes for user]])," ",LCI_Table[[#This Row],[Notes for user]])</f>
        <v xml:space="preserve"> </v>
      </c>
      <c r="AA142" s="14"/>
      <c r="AB142" s="14"/>
      <c r="AC142" s="346">
        <f ca="1">LCI_Table[[#This Row],[Default Calculated Value]]-LCI_Table[[#This Row],[Calculated Value]]</f>
        <v>0</v>
      </c>
    </row>
    <row r="143" spans="1:29" x14ac:dyDescent="0.3">
      <c r="A1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JatrophaHEFAGREETGREET(blank)_Jatropha_Farming_GasolineGasoline</v>
      </c>
      <c r="B143" s="14" t="s">
        <v>126</v>
      </c>
      <c r="C143" s="14" t="s">
        <v>30</v>
      </c>
      <c r="D143" s="14" t="s">
        <v>29</v>
      </c>
      <c r="E143" s="48" t="s">
        <v>29</v>
      </c>
      <c r="F143" s="14" t="s">
        <v>31</v>
      </c>
      <c r="G143" s="14" t="b">
        <f>OR(LCI_Table[[#This Row],[Feedstock]]="All",LCI_Table[[#This Row],[Feedstock]]=SelectedFeedstock)</f>
        <v>0</v>
      </c>
      <c r="H143" s="14" t="b">
        <f>OR(LCI_Table[[#This Row],[Conversion]]="All",LCI_Table[[#This Row],[Conversion]]=SelectedConversion)</f>
        <v>1</v>
      </c>
      <c r="I143" s="14" t="b">
        <f>OR(LCI_Table[[#This Row],[Data Set]]="all",LCI_Table[[#This Row],[Data Set]]=SelectedDataSet)</f>
        <v>1</v>
      </c>
      <c r="J143" s="14" t="b">
        <f>OR(LCI_Table[[#This Row],[Technology]]="All",LCI_Table[[#This Row],[Technology]]=SelectedTechnology)</f>
        <v>1</v>
      </c>
      <c r="K143" s="14" t="b">
        <f>OR(LCI_Table[[#This Row],[Data Source]]="All",LCI_Table[[#This Row],[Data Source]]=SelectedDataSource)</f>
        <v>1</v>
      </c>
      <c r="L143" s="14" t="b">
        <f>TRUE</f>
        <v>1</v>
      </c>
      <c r="M143" s="14" t="b">
        <f>(LCI_Table[[#This Row],[Dev Notes]]="Do not display")</f>
        <v>0</v>
      </c>
      <c r="N143" s="14" t="b">
        <f>AND(LCI_Table[[#This Row],[Show Feedstock]:[Conditional]],NOT(LCI_Table[[#This Row],[Hide Row]]))</f>
        <v>0</v>
      </c>
      <c r="O143" s="14" t="b">
        <f>LCI_Table[[#This Row],[GREET1 Name Range]]=""</f>
        <v>0</v>
      </c>
      <c r="P143" s="14" t="s">
        <v>14</v>
      </c>
      <c r="Q143" s="14" t="s">
        <v>689</v>
      </c>
      <c r="R143" s="14" t="s">
        <v>107</v>
      </c>
      <c r="S143" s="37" cm="1">
        <f t="array" aca="1" ref="S1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3" s="346" t="s">
        <v>1484</v>
      </c>
      <c r="U143" s="347">
        <f ca="1">S143*Fuel_Specs!$B$15/S134*kg2ton</f>
        <v>0</v>
      </c>
      <c r="V143" s="347">
        <v>0</v>
      </c>
      <c r="W143" s="347">
        <v>0</v>
      </c>
      <c r="X143" s="14" t="s">
        <v>5</v>
      </c>
      <c r="Y143" s="346" t="s">
        <v>413</v>
      </c>
      <c r="Z143" s="14" t="str">
        <f>IF(ISBLANK(LCI_Table[[#This Row],[Notes for user]])," ",LCI_Table[[#This Row],[Notes for user]])</f>
        <v xml:space="preserve"> </v>
      </c>
      <c r="AA143" s="14"/>
      <c r="AB143" s="14"/>
      <c r="AC143" s="346">
        <f ca="1">LCI_Table[[#This Row],[Default Calculated Value]]-LCI_Table[[#This Row],[Calculated Value]]</f>
        <v>0</v>
      </c>
    </row>
    <row r="144" spans="1:29" x14ac:dyDescent="0.3">
      <c r="A1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JatrophaHEFAGREETGREET(blank)_Jatropha_Farming_Natural_gasNatural gas</v>
      </c>
      <c r="B144" s="14" t="s">
        <v>126</v>
      </c>
      <c r="C144" s="14" t="s">
        <v>30</v>
      </c>
      <c r="D144" s="14" t="s">
        <v>29</v>
      </c>
      <c r="E144" s="48" t="s">
        <v>29</v>
      </c>
      <c r="F144" s="14" t="s">
        <v>31</v>
      </c>
      <c r="G144" s="14" t="b">
        <f>OR(LCI_Table[[#This Row],[Feedstock]]="All",LCI_Table[[#This Row],[Feedstock]]=SelectedFeedstock)</f>
        <v>0</v>
      </c>
      <c r="H144" s="14" t="b">
        <f>OR(LCI_Table[[#This Row],[Conversion]]="All",LCI_Table[[#This Row],[Conversion]]=SelectedConversion)</f>
        <v>1</v>
      </c>
      <c r="I144" s="14" t="b">
        <f>OR(LCI_Table[[#This Row],[Data Set]]="all",LCI_Table[[#This Row],[Data Set]]=SelectedDataSet)</f>
        <v>1</v>
      </c>
      <c r="J144" s="14" t="b">
        <f>OR(LCI_Table[[#This Row],[Technology]]="All",LCI_Table[[#This Row],[Technology]]=SelectedTechnology)</f>
        <v>1</v>
      </c>
      <c r="K144" s="14" t="b">
        <f>OR(LCI_Table[[#This Row],[Data Source]]="All",LCI_Table[[#This Row],[Data Source]]=SelectedDataSource)</f>
        <v>1</v>
      </c>
      <c r="L144" s="14" t="b">
        <f>TRUE</f>
        <v>1</v>
      </c>
      <c r="M144" s="14" t="b">
        <f>(LCI_Table[[#This Row],[Dev Notes]]="Do not display")</f>
        <v>0</v>
      </c>
      <c r="N144" s="14" t="b">
        <f>AND(LCI_Table[[#This Row],[Show Feedstock]:[Conditional]],NOT(LCI_Table[[#This Row],[Hide Row]]))</f>
        <v>0</v>
      </c>
      <c r="O144" s="14" t="b">
        <f>LCI_Table[[#This Row],[GREET1 Name Range]]=""</f>
        <v>0</v>
      </c>
      <c r="P144" s="14" t="s">
        <v>14</v>
      </c>
      <c r="Q144" s="14" t="s">
        <v>694</v>
      </c>
      <c r="R144" s="14" t="s">
        <v>108</v>
      </c>
      <c r="S144" s="37" cm="1">
        <f t="array" aca="1" ref="S1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4" s="346" t="s">
        <v>2109</v>
      </c>
      <c r="U144" s="347">
        <f ca="1">S144*Fuel_Specs!$B$79/S134*kg2ton</f>
        <v>0</v>
      </c>
      <c r="V144" s="347">
        <v>0</v>
      </c>
      <c r="W144" s="347">
        <v>0</v>
      </c>
      <c r="X144" s="14" t="s">
        <v>351</v>
      </c>
      <c r="Y144" s="346" t="s">
        <v>413</v>
      </c>
      <c r="Z144" s="14" t="str">
        <f>IF(ISBLANK(LCI_Table[[#This Row],[Notes for user]])," ",LCI_Table[[#This Row],[Notes for user]])</f>
        <v xml:space="preserve"> </v>
      </c>
      <c r="AA144" s="14"/>
      <c r="AB144" s="14"/>
      <c r="AC144" s="346">
        <f ca="1">LCI_Table[[#This Row],[Default Calculated Value]]-LCI_Table[[#This Row],[Calculated Value]]</f>
        <v>0</v>
      </c>
    </row>
    <row r="145" spans="1:29" x14ac:dyDescent="0.3">
      <c r="A1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JatrophaHEFAGREETGREET(blank)_Jatropha_Farming_CoalCoal</v>
      </c>
      <c r="B145" s="14" t="s">
        <v>126</v>
      </c>
      <c r="C145" s="14" t="s">
        <v>30</v>
      </c>
      <c r="D145" s="14" t="s">
        <v>29</v>
      </c>
      <c r="E145" s="48" t="s">
        <v>29</v>
      </c>
      <c r="F145" s="14" t="s">
        <v>31</v>
      </c>
      <c r="G145" s="14" t="b">
        <f>OR(LCI_Table[[#This Row],[Feedstock]]="All",LCI_Table[[#This Row],[Feedstock]]=SelectedFeedstock)</f>
        <v>0</v>
      </c>
      <c r="H145" s="14" t="b">
        <f>OR(LCI_Table[[#This Row],[Conversion]]="All",LCI_Table[[#This Row],[Conversion]]=SelectedConversion)</f>
        <v>1</v>
      </c>
      <c r="I145" s="14" t="b">
        <f>OR(LCI_Table[[#This Row],[Data Set]]="all",LCI_Table[[#This Row],[Data Set]]=SelectedDataSet)</f>
        <v>1</v>
      </c>
      <c r="J145" s="14" t="b">
        <f>OR(LCI_Table[[#This Row],[Technology]]="All",LCI_Table[[#This Row],[Technology]]=SelectedTechnology)</f>
        <v>1</v>
      </c>
      <c r="K145" s="14" t="b">
        <f>OR(LCI_Table[[#This Row],[Data Source]]="All",LCI_Table[[#This Row],[Data Source]]=SelectedDataSource)</f>
        <v>1</v>
      </c>
      <c r="L145" s="14" t="b">
        <f>TRUE</f>
        <v>1</v>
      </c>
      <c r="M145" s="14" t="b">
        <f>(LCI_Table[[#This Row],[Dev Notes]]="Do not display")</f>
        <v>0</v>
      </c>
      <c r="N145" s="14" t="b">
        <f>AND(LCI_Table[[#This Row],[Show Feedstock]:[Conditional]],NOT(LCI_Table[[#This Row],[Hide Row]]))</f>
        <v>0</v>
      </c>
      <c r="O145" s="14" t="b">
        <f>LCI_Table[[#This Row],[GREET1 Name Range]]=""</f>
        <v>0</v>
      </c>
      <c r="P145" s="14" t="s">
        <v>14</v>
      </c>
      <c r="Q145" s="14" t="s">
        <v>686</v>
      </c>
      <c r="R145" s="14" t="s">
        <v>9</v>
      </c>
      <c r="S145" s="37" cm="1">
        <f t="array" aca="1" ref="S1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5" s="346" t="s">
        <v>2110</v>
      </c>
      <c r="U145" s="347">
        <f ca="1">S145/S134*kg2ton</f>
        <v>0</v>
      </c>
      <c r="V145" s="347">
        <v>0</v>
      </c>
      <c r="W145" s="347">
        <v>0</v>
      </c>
      <c r="X145" s="14" t="s">
        <v>117</v>
      </c>
      <c r="Y145" s="346" t="s">
        <v>413</v>
      </c>
      <c r="Z145" s="14" t="str">
        <f>IF(ISBLANK(LCI_Table[[#This Row],[Notes for user]])," ",LCI_Table[[#This Row],[Notes for user]])</f>
        <v xml:space="preserve"> </v>
      </c>
      <c r="AA145" s="14"/>
      <c r="AB145" s="14"/>
      <c r="AC145" s="346">
        <f ca="1">LCI_Table[[#This Row],[Default Calculated Value]]-LCI_Table[[#This Row],[Calculated Value]]</f>
        <v>0</v>
      </c>
    </row>
    <row r="146" spans="1:29" x14ac:dyDescent="0.3">
      <c r="A1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JatrophaHEFAGREETGREET(blank)_Jatropha_Farming_LPGLPG</v>
      </c>
      <c r="B146" s="14" t="s">
        <v>126</v>
      </c>
      <c r="C146" s="14" t="s">
        <v>30</v>
      </c>
      <c r="D146" s="14" t="s">
        <v>29</v>
      </c>
      <c r="E146" s="48" t="s">
        <v>29</v>
      </c>
      <c r="F146" s="14" t="s">
        <v>31</v>
      </c>
      <c r="G146" s="14" t="b">
        <f>OR(LCI_Table[[#This Row],[Feedstock]]="All",LCI_Table[[#This Row],[Feedstock]]=SelectedFeedstock)</f>
        <v>0</v>
      </c>
      <c r="H146" s="14" t="b">
        <f>OR(LCI_Table[[#This Row],[Conversion]]="All",LCI_Table[[#This Row],[Conversion]]=SelectedConversion)</f>
        <v>1</v>
      </c>
      <c r="I146" s="14" t="b">
        <f>OR(LCI_Table[[#This Row],[Data Set]]="all",LCI_Table[[#This Row],[Data Set]]=SelectedDataSet)</f>
        <v>1</v>
      </c>
      <c r="J146" s="14" t="b">
        <f>OR(LCI_Table[[#This Row],[Technology]]="All",LCI_Table[[#This Row],[Technology]]=SelectedTechnology)</f>
        <v>1</v>
      </c>
      <c r="K146" s="14" t="b">
        <f>OR(LCI_Table[[#This Row],[Data Source]]="All",LCI_Table[[#This Row],[Data Source]]=SelectedDataSource)</f>
        <v>1</v>
      </c>
      <c r="L146" s="14" t="b">
        <f>TRUE</f>
        <v>1</v>
      </c>
      <c r="M146" s="14" t="b">
        <f>(LCI_Table[[#This Row],[Dev Notes]]="Do not display")</f>
        <v>0</v>
      </c>
      <c r="N146" s="14" t="b">
        <f>AND(LCI_Table[[#This Row],[Show Feedstock]:[Conditional]],NOT(LCI_Table[[#This Row],[Hide Row]]))</f>
        <v>0</v>
      </c>
      <c r="O146" s="14" t="b">
        <f>LCI_Table[[#This Row],[GREET1 Name Range]]=""</f>
        <v>0</v>
      </c>
      <c r="P146" s="14" t="s">
        <v>14</v>
      </c>
      <c r="Q146" s="14" t="s">
        <v>693</v>
      </c>
      <c r="R146" s="14" t="s">
        <v>109</v>
      </c>
      <c r="S146" s="37" cm="1">
        <f t="array" aca="1" ref="S1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6" s="346" t="s">
        <v>1484</v>
      </c>
      <c r="U146" s="347">
        <f ca="1">S146*Fuel_Specs!$B$35/S134*kg2ton</f>
        <v>0</v>
      </c>
      <c r="V146" s="347">
        <v>0</v>
      </c>
      <c r="W146" s="347">
        <v>0</v>
      </c>
      <c r="X146" s="14" t="s">
        <v>5</v>
      </c>
      <c r="Y146" s="346" t="s">
        <v>413</v>
      </c>
      <c r="Z146" s="14" t="str">
        <f>IF(ISBLANK(LCI_Table[[#This Row],[Notes for user]])," ",LCI_Table[[#This Row],[Notes for user]])</f>
        <v xml:space="preserve"> </v>
      </c>
      <c r="AA146" s="14"/>
      <c r="AB146" s="14"/>
      <c r="AC146" s="346">
        <f ca="1">LCI_Table[[#This Row],[Default Calculated Value]]-LCI_Table[[#This Row],[Calculated Value]]</f>
        <v>0</v>
      </c>
    </row>
    <row r="147" spans="1:29" x14ac:dyDescent="0.3">
      <c r="A1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JatrophaHEFAGREETGREET(blank)_Jatropha_Farming_ElectricityElectricity</v>
      </c>
      <c r="B147" s="14" t="s">
        <v>126</v>
      </c>
      <c r="C147" s="14" t="s">
        <v>30</v>
      </c>
      <c r="D147" s="14" t="s">
        <v>29</v>
      </c>
      <c r="E147" s="48" t="s">
        <v>29</v>
      </c>
      <c r="F147" s="14" t="s">
        <v>31</v>
      </c>
      <c r="G147" s="14" t="b">
        <f>OR(LCI_Table[[#This Row],[Feedstock]]="All",LCI_Table[[#This Row],[Feedstock]]=SelectedFeedstock)</f>
        <v>0</v>
      </c>
      <c r="H147" s="14" t="b">
        <f>OR(LCI_Table[[#This Row],[Conversion]]="All",LCI_Table[[#This Row],[Conversion]]=SelectedConversion)</f>
        <v>1</v>
      </c>
      <c r="I147" s="14" t="b">
        <f>OR(LCI_Table[[#This Row],[Data Set]]="all",LCI_Table[[#This Row],[Data Set]]=SelectedDataSet)</f>
        <v>1</v>
      </c>
      <c r="J147" s="14" t="b">
        <f>OR(LCI_Table[[#This Row],[Technology]]="All",LCI_Table[[#This Row],[Technology]]=SelectedTechnology)</f>
        <v>1</v>
      </c>
      <c r="K147" s="14" t="b">
        <f>OR(LCI_Table[[#This Row],[Data Source]]="All",LCI_Table[[#This Row],[Data Source]]=SelectedDataSource)</f>
        <v>1</v>
      </c>
      <c r="L147" s="14" t="b">
        <f>TRUE</f>
        <v>1</v>
      </c>
      <c r="M147" s="14" t="b">
        <f>(LCI_Table[[#This Row],[Dev Notes]]="Do not display")</f>
        <v>0</v>
      </c>
      <c r="N147" s="14" t="b">
        <f>AND(LCI_Table[[#This Row],[Show Feedstock]:[Conditional]],NOT(LCI_Table[[#This Row],[Hide Row]]))</f>
        <v>0</v>
      </c>
      <c r="O147" s="14" t="b">
        <f>LCI_Table[[#This Row],[GREET1 Name Range]]=""</f>
        <v>0</v>
      </c>
      <c r="P147" s="14" t="s">
        <v>14</v>
      </c>
      <c r="Q147" s="14" t="s">
        <v>688</v>
      </c>
      <c r="R147" s="14" t="s">
        <v>110</v>
      </c>
      <c r="S147" s="37" cm="1">
        <f t="array" aca="1" ref="S1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7" s="346" t="s">
        <v>1561</v>
      </c>
      <c r="U147" s="347">
        <f ca="1">S147/BTU2kWh/S134*kg2ton</f>
        <v>0</v>
      </c>
      <c r="V147" s="347">
        <v>0</v>
      </c>
      <c r="W147" s="347">
        <v>0</v>
      </c>
      <c r="X147" s="14" t="s">
        <v>51</v>
      </c>
      <c r="Y147" s="346" t="s">
        <v>413</v>
      </c>
      <c r="Z147" s="14" t="str">
        <f>IF(ISBLANK(LCI_Table[[#This Row],[Notes for user]])," ",LCI_Table[[#This Row],[Notes for user]])</f>
        <v xml:space="preserve"> </v>
      </c>
      <c r="AA147" s="14"/>
      <c r="AB147" s="14"/>
      <c r="AC147" s="346">
        <f ca="1">LCI_Table[[#This Row],[Default Calculated Value]]-LCI_Table[[#This Row],[Calculated Value]]</f>
        <v>0</v>
      </c>
    </row>
    <row r="148" spans="1:29" x14ac:dyDescent="0.3">
      <c r="A1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dash_JatrophaHEFAGREETGREET(blank)_Jatropha_Extraction</v>
      </c>
      <c r="B148" s="14" t="s">
        <v>126</v>
      </c>
      <c r="C148" s="14" t="s">
        <v>30</v>
      </c>
      <c r="D148" s="14" t="s">
        <v>29</v>
      </c>
      <c r="E148" s="48" t="s">
        <v>29</v>
      </c>
      <c r="F148" s="14" t="s">
        <v>31</v>
      </c>
      <c r="G148" s="14" t="b">
        <f>OR(LCI_Table[[#This Row],[Feedstock]]="All",LCI_Table[[#This Row],[Feedstock]]=SelectedFeedstock)</f>
        <v>0</v>
      </c>
      <c r="H148" s="14" t="b">
        <f>OR(LCI_Table[[#This Row],[Conversion]]="All",LCI_Table[[#This Row],[Conversion]]=SelectedConversion)</f>
        <v>1</v>
      </c>
      <c r="I148" s="14" t="b">
        <f>OR(LCI_Table[[#This Row],[Data Set]]="all",LCI_Table[[#This Row],[Data Set]]=SelectedDataSet)</f>
        <v>1</v>
      </c>
      <c r="J148" s="14" t="b">
        <f>OR(LCI_Table[[#This Row],[Technology]]="All",LCI_Table[[#This Row],[Technology]]=SelectedTechnology)</f>
        <v>1</v>
      </c>
      <c r="K148" s="14" t="b">
        <f>OR(LCI_Table[[#This Row],[Data Source]]="All",LCI_Table[[#This Row],[Data Source]]=SelectedDataSource)</f>
        <v>1</v>
      </c>
      <c r="L148" s="14" t="b">
        <f>TRUE</f>
        <v>1</v>
      </c>
      <c r="M148" s="14" t="b">
        <f>(LCI_Table[[#This Row],[Dev Notes]]="Do not display")</f>
        <v>1</v>
      </c>
      <c r="N148" s="14" t="b">
        <f>AND(LCI_Table[[#This Row],[Show Feedstock]:[Conditional]],NOT(LCI_Table[[#This Row],[Hide Row]]))</f>
        <v>0</v>
      </c>
      <c r="O148" s="14" t="b">
        <f>LCI_Table[[#This Row],[GREET1 Name Range]]=""</f>
        <v>1</v>
      </c>
      <c r="P148" s="14" t="s">
        <v>15</v>
      </c>
      <c r="Q148" s="14" t="s">
        <v>361</v>
      </c>
      <c r="R148" s="14" t="s">
        <v>126</v>
      </c>
      <c r="S148" s="37" cm="1">
        <f t="array" aca="1" ref="S1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2.7663630952380931</v>
      </c>
      <c r="T148" s="346" t="s">
        <v>2111</v>
      </c>
      <c r="U148" s="347">
        <f ca="1">S148/kg2lb</f>
        <v>1.2548011926495799</v>
      </c>
      <c r="V148" s="347">
        <v>2.7663630952380931</v>
      </c>
      <c r="W148" s="347">
        <v>1.2548011926495799</v>
      </c>
      <c r="X148" s="14" t="s">
        <v>12</v>
      </c>
      <c r="Y148" s="346" t="s">
        <v>891</v>
      </c>
      <c r="Z148" s="14" t="str">
        <f>IF(ISBLANK(LCI_Table[[#This Row],[Notes for user]])," ",LCI_Table[[#This Row],[Notes for user]])</f>
        <v xml:space="preserve"> </v>
      </c>
      <c r="AA148" s="348"/>
      <c r="AB148" s="348" t="s">
        <v>1138</v>
      </c>
      <c r="AC148" s="346">
        <f ca="1">LCI_Table[[#This Row],[Default Calculated Value]]-LCI_Table[[#This Row],[Calculated Value]]</f>
        <v>0</v>
      </c>
    </row>
    <row r="149" spans="1:29" x14ac:dyDescent="0.3">
      <c r="A1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JatrophaHEFAGREETGREET(blank)_Jatropha_Extraction_Residual_oilResidual oil</v>
      </c>
      <c r="B149" s="14" t="s">
        <v>126</v>
      </c>
      <c r="C149" s="14" t="s">
        <v>30</v>
      </c>
      <c r="D149" s="14" t="s">
        <v>29</v>
      </c>
      <c r="E149" s="48" t="s">
        <v>29</v>
      </c>
      <c r="F149" s="14" t="s">
        <v>31</v>
      </c>
      <c r="G149" s="14" t="b">
        <f>OR(LCI_Table[[#This Row],[Feedstock]]="All",LCI_Table[[#This Row],[Feedstock]]=SelectedFeedstock)</f>
        <v>0</v>
      </c>
      <c r="H149" s="14" t="b">
        <f>OR(LCI_Table[[#This Row],[Conversion]]="All",LCI_Table[[#This Row],[Conversion]]=SelectedConversion)</f>
        <v>1</v>
      </c>
      <c r="I149" s="14" t="b">
        <f>OR(LCI_Table[[#This Row],[Data Set]]="all",LCI_Table[[#This Row],[Data Set]]=SelectedDataSet)</f>
        <v>1</v>
      </c>
      <c r="J149" s="14" t="b">
        <f>OR(LCI_Table[[#This Row],[Technology]]="All",LCI_Table[[#This Row],[Technology]]=SelectedTechnology)</f>
        <v>1</v>
      </c>
      <c r="K149" s="14" t="b">
        <f>OR(LCI_Table[[#This Row],[Data Source]]="All",LCI_Table[[#This Row],[Data Source]]=SelectedDataSource)</f>
        <v>1</v>
      </c>
      <c r="L149" s="14" t="b">
        <f>TRUE</f>
        <v>1</v>
      </c>
      <c r="M149" s="14" t="b">
        <f>(LCI_Table[[#This Row],[Dev Notes]]="Do not display")</f>
        <v>0</v>
      </c>
      <c r="N149" s="14" t="b">
        <f>AND(LCI_Table[[#This Row],[Show Feedstock]:[Conditional]],NOT(LCI_Table[[#This Row],[Hide Row]]))</f>
        <v>0</v>
      </c>
      <c r="O149" s="14" t="b">
        <f>LCI_Table[[#This Row],[GREET1 Name Range]]=""</f>
        <v>0</v>
      </c>
      <c r="P149" s="14" t="s">
        <v>15</v>
      </c>
      <c r="Q149" s="14" t="s">
        <v>684</v>
      </c>
      <c r="R149" s="14" t="s">
        <v>115</v>
      </c>
      <c r="S149" s="37" cm="1">
        <f t="array" aca="1" ref="S1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9" s="346" t="s">
        <v>2112</v>
      </c>
      <c r="U149" s="347">
        <f ca="1">S149*Fuel_Specs!$B$28</f>
        <v>0</v>
      </c>
      <c r="V149" s="347">
        <v>0</v>
      </c>
      <c r="W149" s="347">
        <v>0</v>
      </c>
      <c r="X149" s="14" t="s">
        <v>5</v>
      </c>
      <c r="Y149" s="346" t="s">
        <v>891</v>
      </c>
      <c r="Z149" s="14" t="str">
        <f>IF(ISBLANK(LCI_Table[[#This Row],[Notes for user]])," ",LCI_Table[[#This Row],[Notes for user]])</f>
        <v xml:space="preserve"> </v>
      </c>
      <c r="AA149" s="14"/>
      <c r="AB149" s="14"/>
      <c r="AC149" s="346">
        <f ca="1">LCI_Table[[#This Row],[Default Calculated Value]]-LCI_Table[[#This Row],[Calculated Value]]</f>
        <v>0</v>
      </c>
    </row>
    <row r="150" spans="1:29" x14ac:dyDescent="0.3">
      <c r="A1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JatrophaHEFAGREETGREET(blank)_Jatropha_Extraction_DieselDiesel</v>
      </c>
      <c r="B150" s="14" t="s">
        <v>126</v>
      </c>
      <c r="C150" s="14" t="s">
        <v>30</v>
      </c>
      <c r="D150" s="14" t="s">
        <v>29</v>
      </c>
      <c r="E150" s="48" t="s">
        <v>29</v>
      </c>
      <c r="F150" s="14" t="s">
        <v>31</v>
      </c>
      <c r="G150" s="14" t="b">
        <f>OR(LCI_Table[[#This Row],[Feedstock]]="All",LCI_Table[[#This Row],[Feedstock]]=SelectedFeedstock)</f>
        <v>0</v>
      </c>
      <c r="H150" s="14" t="b">
        <f>OR(LCI_Table[[#This Row],[Conversion]]="All",LCI_Table[[#This Row],[Conversion]]=SelectedConversion)</f>
        <v>1</v>
      </c>
      <c r="I150" s="14" t="b">
        <f>OR(LCI_Table[[#This Row],[Data Set]]="all",LCI_Table[[#This Row],[Data Set]]=SelectedDataSet)</f>
        <v>1</v>
      </c>
      <c r="J150" s="14" t="b">
        <f>OR(LCI_Table[[#This Row],[Technology]]="All",LCI_Table[[#This Row],[Technology]]=SelectedTechnology)</f>
        <v>1</v>
      </c>
      <c r="K150" s="14" t="b">
        <f>OR(LCI_Table[[#This Row],[Data Source]]="All",LCI_Table[[#This Row],[Data Source]]=SelectedDataSource)</f>
        <v>1</v>
      </c>
      <c r="L150" s="14" t="b">
        <f>TRUE</f>
        <v>1</v>
      </c>
      <c r="M150" s="14" t="b">
        <f>(LCI_Table[[#This Row],[Dev Notes]]="Do not display")</f>
        <v>0</v>
      </c>
      <c r="N150" s="14" t="b">
        <f>AND(LCI_Table[[#This Row],[Show Feedstock]:[Conditional]],NOT(LCI_Table[[#This Row],[Hide Row]]))</f>
        <v>0</v>
      </c>
      <c r="O150" s="14" t="b">
        <f>LCI_Table[[#This Row],[GREET1 Name Range]]=""</f>
        <v>0</v>
      </c>
      <c r="P150" s="14" t="s">
        <v>15</v>
      </c>
      <c r="Q150" s="14" t="s">
        <v>676</v>
      </c>
      <c r="R150" s="14" t="s">
        <v>106</v>
      </c>
      <c r="S150" s="37" cm="1">
        <f t="array" aca="1" ref="S1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0" s="346" t="s">
        <v>2112</v>
      </c>
      <c r="U150" s="347">
        <f ca="1">S150*Fuel_Specs!$B$19</f>
        <v>0</v>
      </c>
      <c r="V150" s="347">
        <v>0</v>
      </c>
      <c r="W150" s="347">
        <v>0</v>
      </c>
      <c r="X150" s="14" t="s">
        <v>5</v>
      </c>
      <c r="Y150" s="346" t="s">
        <v>891</v>
      </c>
      <c r="Z150" s="14" t="str">
        <f>IF(ISBLANK(LCI_Table[[#This Row],[Notes for user]])," ",LCI_Table[[#This Row],[Notes for user]])</f>
        <v xml:space="preserve"> </v>
      </c>
      <c r="AA150" s="14"/>
      <c r="AB150" s="14"/>
      <c r="AC150" s="346">
        <f ca="1">LCI_Table[[#This Row],[Default Calculated Value]]-LCI_Table[[#This Row],[Calculated Value]]</f>
        <v>0</v>
      </c>
    </row>
    <row r="151" spans="1:29" x14ac:dyDescent="0.3">
      <c r="A1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JatrophaHEFAGREETGREET(blank)_Jatropha_Extraction_GasolineGasoline</v>
      </c>
      <c r="B151" s="14" t="s">
        <v>126</v>
      </c>
      <c r="C151" s="14" t="s">
        <v>30</v>
      </c>
      <c r="D151" s="14" t="s">
        <v>29</v>
      </c>
      <c r="E151" s="48" t="s">
        <v>29</v>
      </c>
      <c r="F151" s="14" t="s">
        <v>31</v>
      </c>
      <c r="G151" s="14" t="b">
        <f>OR(LCI_Table[[#This Row],[Feedstock]]="All",LCI_Table[[#This Row],[Feedstock]]=SelectedFeedstock)</f>
        <v>0</v>
      </c>
      <c r="H151" s="14" t="b">
        <f>OR(LCI_Table[[#This Row],[Conversion]]="All",LCI_Table[[#This Row],[Conversion]]=SelectedConversion)</f>
        <v>1</v>
      </c>
      <c r="I151" s="14" t="b">
        <f>OR(LCI_Table[[#This Row],[Data Set]]="all",LCI_Table[[#This Row],[Data Set]]=SelectedDataSet)</f>
        <v>1</v>
      </c>
      <c r="J151" s="14" t="b">
        <f>OR(LCI_Table[[#This Row],[Technology]]="All",LCI_Table[[#This Row],[Technology]]=SelectedTechnology)</f>
        <v>1</v>
      </c>
      <c r="K151" s="14" t="b">
        <f>OR(LCI_Table[[#This Row],[Data Source]]="All",LCI_Table[[#This Row],[Data Source]]=SelectedDataSource)</f>
        <v>1</v>
      </c>
      <c r="L151" s="14" t="b">
        <f>TRUE</f>
        <v>1</v>
      </c>
      <c r="M151" s="14" t="b">
        <f>(LCI_Table[[#This Row],[Dev Notes]]="Do not display")</f>
        <v>0</v>
      </c>
      <c r="N151" s="14" t="b">
        <f>AND(LCI_Table[[#This Row],[Show Feedstock]:[Conditional]],NOT(LCI_Table[[#This Row],[Hide Row]]))</f>
        <v>0</v>
      </c>
      <c r="O151" s="14" t="b">
        <f>LCI_Table[[#This Row],[GREET1 Name Range]]=""</f>
        <v>0</v>
      </c>
      <c r="P151" s="14" t="s">
        <v>15</v>
      </c>
      <c r="Q151" s="14" t="s">
        <v>679</v>
      </c>
      <c r="R151" s="14" t="s">
        <v>107</v>
      </c>
      <c r="S151" s="37" cm="1">
        <f t="array" aca="1" ref="S1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1" s="346" t="s">
        <v>2112</v>
      </c>
      <c r="U151" s="347">
        <f ca="1">S151*Fuel_Specs!$B$15</f>
        <v>0</v>
      </c>
      <c r="V151" s="347">
        <v>0</v>
      </c>
      <c r="W151" s="347">
        <v>0</v>
      </c>
      <c r="X151" s="14" t="s">
        <v>5</v>
      </c>
      <c r="Y151" s="346" t="s">
        <v>891</v>
      </c>
      <c r="Z151" s="14" t="str">
        <f>IF(ISBLANK(LCI_Table[[#This Row],[Notes for user]])," ",LCI_Table[[#This Row],[Notes for user]])</f>
        <v xml:space="preserve"> </v>
      </c>
      <c r="AA151" s="14"/>
      <c r="AB151" s="14"/>
      <c r="AC151" s="346">
        <f ca="1">LCI_Table[[#This Row],[Default Calculated Value]]-LCI_Table[[#This Row],[Calculated Value]]</f>
        <v>0</v>
      </c>
    </row>
    <row r="152" spans="1:29" x14ac:dyDescent="0.3">
      <c r="A1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JatrophaHEFAGREETGREET(blank)_Jatropha_Extraction_Natural_gasNatural gas</v>
      </c>
      <c r="B152" s="14" t="s">
        <v>126</v>
      </c>
      <c r="C152" s="14" t="s">
        <v>30</v>
      </c>
      <c r="D152" s="14" t="s">
        <v>29</v>
      </c>
      <c r="E152" s="48" t="s">
        <v>29</v>
      </c>
      <c r="F152" s="14" t="s">
        <v>31</v>
      </c>
      <c r="G152" s="14" t="b">
        <f>OR(LCI_Table[[#This Row],[Feedstock]]="All",LCI_Table[[#This Row],[Feedstock]]=SelectedFeedstock)</f>
        <v>0</v>
      </c>
      <c r="H152" s="14" t="b">
        <f>OR(LCI_Table[[#This Row],[Conversion]]="All",LCI_Table[[#This Row],[Conversion]]=SelectedConversion)</f>
        <v>1</v>
      </c>
      <c r="I152" s="14" t="b">
        <f>OR(LCI_Table[[#This Row],[Data Set]]="all",LCI_Table[[#This Row],[Data Set]]=SelectedDataSet)</f>
        <v>1</v>
      </c>
      <c r="J152" s="14" t="b">
        <f>OR(LCI_Table[[#This Row],[Technology]]="All",LCI_Table[[#This Row],[Technology]]=SelectedTechnology)</f>
        <v>1</v>
      </c>
      <c r="K152" s="14" t="b">
        <f>OR(LCI_Table[[#This Row],[Data Source]]="All",LCI_Table[[#This Row],[Data Source]]=SelectedDataSource)</f>
        <v>1</v>
      </c>
      <c r="L152" s="14" t="b">
        <f>TRUE</f>
        <v>1</v>
      </c>
      <c r="M152" s="14" t="b">
        <f>(LCI_Table[[#This Row],[Dev Notes]]="Do not display")</f>
        <v>0</v>
      </c>
      <c r="N152" s="14" t="b">
        <f>AND(LCI_Table[[#This Row],[Show Feedstock]:[Conditional]],NOT(LCI_Table[[#This Row],[Hide Row]]))</f>
        <v>0</v>
      </c>
      <c r="O152" s="14" t="b">
        <f>LCI_Table[[#This Row],[GREET1 Name Range]]=""</f>
        <v>0</v>
      </c>
      <c r="P152" s="14" t="s">
        <v>15</v>
      </c>
      <c r="Q152" s="14" t="s">
        <v>683</v>
      </c>
      <c r="R152" s="14" t="s">
        <v>108</v>
      </c>
      <c r="S152" s="37" cm="1">
        <f t="array" aca="1" ref="S1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0.78972533062054928</v>
      </c>
      <c r="T152" s="346" t="s">
        <v>2113</v>
      </c>
      <c r="U152" s="347">
        <f ca="1">S152*Fuel_Specs!$B$79</f>
        <v>776.3</v>
      </c>
      <c r="V152" s="347">
        <v>0.78972533062054928</v>
      </c>
      <c r="W152" s="347">
        <v>776.3</v>
      </c>
      <c r="X152" s="14" t="s">
        <v>351</v>
      </c>
      <c r="Y152" s="346" t="s">
        <v>891</v>
      </c>
      <c r="Z152" s="14" t="str">
        <f>IF(ISBLANK(LCI_Table[[#This Row],[Notes for user]])," ",LCI_Table[[#This Row],[Notes for user]])</f>
        <v xml:space="preserve"> </v>
      </c>
      <c r="AA152" s="14"/>
      <c r="AB152" s="14"/>
      <c r="AC152" s="346">
        <f ca="1">LCI_Table[[#This Row],[Default Calculated Value]]-LCI_Table[[#This Row],[Calculated Value]]</f>
        <v>0</v>
      </c>
    </row>
    <row r="153" spans="1:29" x14ac:dyDescent="0.3">
      <c r="A1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JatrophaHEFAGREETGREET(blank)_Jatropha_Extraction_CoalCoal</v>
      </c>
      <c r="B153" s="14" t="s">
        <v>126</v>
      </c>
      <c r="C153" s="14" t="s">
        <v>30</v>
      </c>
      <c r="D153" s="14" t="s">
        <v>29</v>
      </c>
      <c r="E153" s="48" t="s">
        <v>29</v>
      </c>
      <c r="F153" s="14" t="s">
        <v>31</v>
      </c>
      <c r="G153" s="14" t="b">
        <f>OR(LCI_Table[[#This Row],[Feedstock]]="All",LCI_Table[[#This Row],[Feedstock]]=SelectedFeedstock)</f>
        <v>0</v>
      </c>
      <c r="H153" s="14" t="b">
        <f>OR(LCI_Table[[#This Row],[Conversion]]="All",LCI_Table[[#This Row],[Conversion]]=SelectedConversion)</f>
        <v>1</v>
      </c>
      <c r="I153" s="14" t="b">
        <f>OR(LCI_Table[[#This Row],[Data Set]]="all",LCI_Table[[#This Row],[Data Set]]=SelectedDataSet)</f>
        <v>1</v>
      </c>
      <c r="J153" s="14" t="b">
        <f>OR(LCI_Table[[#This Row],[Technology]]="All",LCI_Table[[#This Row],[Technology]]=SelectedTechnology)</f>
        <v>1</v>
      </c>
      <c r="K153" s="14" t="b">
        <f>OR(LCI_Table[[#This Row],[Data Source]]="All",LCI_Table[[#This Row],[Data Source]]=SelectedDataSource)</f>
        <v>1</v>
      </c>
      <c r="L153" s="14" t="b">
        <f>TRUE</f>
        <v>1</v>
      </c>
      <c r="M153" s="14" t="b">
        <f>(LCI_Table[[#This Row],[Dev Notes]]="Do not display")</f>
        <v>0</v>
      </c>
      <c r="N153" s="14" t="b">
        <f>AND(LCI_Table[[#This Row],[Show Feedstock]:[Conditional]],NOT(LCI_Table[[#This Row],[Hide Row]]))</f>
        <v>0</v>
      </c>
      <c r="O153" s="14" t="b">
        <f>LCI_Table[[#This Row],[GREET1 Name Range]]=""</f>
        <v>0</v>
      </c>
      <c r="P153" s="14" t="s">
        <v>15</v>
      </c>
      <c r="Q153" s="14" t="s">
        <v>675</v>
      </c>
      <c r="R153" s="14" t="s">
        <v>9</v>
      </c>
      <c r="S153" s="37" cm="1">
        <f t="array" aca="1" ref="S1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3" s="346" t="s">
        <v>2114</v>
      </c>
      <c r="U153" s="347">
        <f ca="1">S153</f>
        <v>0</v>
      </c>
      <c r="V153" s="347">
        <v>0</v>
      </c>
      <c r="W153" s="347">
        <v>0</v>
      </c>
      <c r="X153" s="14" t="s">
        <v>117</v>
      </c>
      <c r="Y153" s="346" t="s">
        <v>891</v>
      </c>
      <c r="Z153" s="14" t="str">
        <f>IF(ISBLANK(LCI_Table[[#This Row],[Notes for user]])," ",LCI_Table[[#This Row],[Notes for user]])</f>
        <v xml:space="preserve"> </v>
      </c>
      <c r="AA153" s="14"/>
      <c r="AB153" s="14"/>
      <c r="AC153" s="346">
        <f ca="1">LCI_Table[[#This Row],[Default Calculated Value]]-LCI_Table[[#This Row],[Calculated Value]]</f>
        <v>0</v>
      </c>
    </row>
    <row r="154" spans="1:29" x14ac:dyDescent="0.3">
      <c r="A1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JatrophaHEFAGREETGREET(blank)_Jatropha_Extraction_LPGLPG</v>
      </c>
      <c r="B154" s="14" t="s">
        <v>126</v>
      </c>
      <c r="C154" s="14" t="s">
        <v>30</v>
      </c>
      <c r="D154" s="14" t="s">
        <v>29</v>
      </c>
      <c r="E154" s="48" t="s">
        <v>29</v>
      </c>
      <c r="F154" s="14" t="s">
        <v>31</v>
      </c>
      <c r="G154" s="14" t="b">
        <f>OR(LCI_Table[[#This Row],[Feedstock]]="All",LCI_Table[[#This Row],[Feedstock]]=SelectedFeedstock)</f>
        <v>0</v>
      </c>
      <c r="H154" s="14" t="b">
        <f>OR(LCI_Table[[#This Row],[Conversion]]="All",LCI_Table[[#This Row],[Conversion]]=SelectedConversion)</f>
        <v>1</v>
      </c>
      <c r="I154" s="14" t="b">
        <f>OR(LCI_Table[[#This Row],[Data Set]]="all",LCI_Table[[#This Row],[Data Set]]=SelectedDataSet)</f>
        <v>1</v>
      </c>
      <c r="J154" s="14" t="b">
        <f>OR(LCI_Table[[#This Row],[Technology]]="All",LCI_Table[[#This Row],[Technology]]=SelectedTechnology)</f>
        <v>1</v>
      </c>
      <c r="K154" s="14" t="b">
        <f>OR(LCI_Table[[#This Row],[Data Source]]="All",LCI_Table[[#This Row],[Data Source]]=SelectedDataSource)</f>
        <v>1</v>
      </c>
      <c r="L154" s="14" t="b">
        <f>TRUE</f>
        <v>1</v>
      </c>
      <c r="M154" s="14" t="b">
        <f>(LCI_Table[[#This Row],[Dev Notes]]="Do not display")</f>
        <v>0</v>
      </c>
      <c r="N154" s="14" t="b">
        <f>AND(LCI_Table[[#This Row],[Show Feedstock]:[Conditional]],NOT(LCI_Table[[#This Row],[Hide Row]]))</f>
        <v>0</v>
      </c>
      <c r="O154" s="14" t="b">
        <f>LCI_Table[[#This Row],[GREET1 Name Range]]=""</f>
        <v>0</v>
      </c>
      <c r="P154" s="14" t="s">
        <v>15</v>
      </c>
      <c r="Q154" s="14" t="s">
        <v>681</v>
      </c>
      <c r="R154" s="14" t="s">
        <v>109</v>
      </c>
      <c r="S154" s="37" cm="1">
        <f t="array" aca="1" ref="S1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4" s="346" t="s">
        <v>2112</v>
      </c>
      <c r="U154" s="347">
        <f ca="1">S154*Fuel_Specs!$B$35</f>
        <v>0</v>
      </c>
      <c r="V154" s="347">
        <v>0</v>
      </c>
      <c r="W154" s="347">
        <v>0</v>
      </c>
      <c r="X154" s="14" t="s">
        <v>5</v>
      </c>
      <c r="Y154" s="346" t="s">
        <v>891</v>
      </c>
      <c r="Z154" s="14" t="str">
        <f>IF(ISBLANK(LCI_Table[[#This Row],[Notes for user]])," ",LCI_Table[[#This Row],[Notes for user]])</f>
        <v xml:space="preserve"> </v>
      </c>
      <c r="AA154" s="14"/>
      <c r="AB154" s="14"/>
      <c r="AC154" s="346">
        <f ca="1">LCI_Table[[#This Row],[Default Calculated Value]]-LCI_Table[[#This Row],[Calculated Value]]</f>
        <v>0</v>
      </c>
    </row>
    <row r="155" spans="1:29" x14ac:dyDescent="0.3">
      <c r="A1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JatrophaHEFAGREETGREET(blank)_Jatropha_Extraction_ElectricityElectricity</v>
      </c>
      <c r="B155" s="14" t="s">
        <v>126</v>
      </c>
      <c r="C155" s="14" t="s">
        <v>30</v>
      </c>
      <c r="D155" s="14" t="s">
        <v>29</v>
      </c>
      <c r="E155" s="48" t="s">
        <v>29</v>
      </c>
      <c r="F155" s="14" t="s">
        <v>31</v>
      </c>
      <c r="G155" s="14" t="b">
        <f>OR(LCI_Table[[#This Row],[Feedstock]]="All",LCI_Table[[#This Row],[Feedstock]]=SelectedFeedstock)</f>
        <v>0</v>
      </c>
      <c r="H155" s="14" t="b">
        <f>OR(LCI_Table[[#This Row],[Conversion]]="All",LCI_Table[[#This Row],[Conversion]]=SelectedConversion)</f>
        <v>1</v>
      </c>
      <c r="I155" s="14" t="b">
        <f>OR(LCI_Table[[#This Row],[Data Set]]="all",LCI_Table[[#This Row],[Data Set]]=SelectedDataSet)</f>
        <v>1</v>
      </c>
      <c r="J155" s="14" t="b">
        <f>OR(LCI_Table[[#This Row],[Technology]]="All",LCI_Table[[#This Row],[Technology]]=SelectedTechnology)</f>
        <v>1</v>
      </c>
      <c r="K155" s="14" t="b">
        <f>OR(LCI_Table[[#This Row],[Data Source]]="All",LCI_Table[[#This Row],[Data Source]]=SelectedDataSource)</f>
        <v>1</v>
      </c>
      <c r="L155" s="14" t="b">
        <f>TRUE</f>
        <v>1</v>
      </c>
      <c r="M155" s="14" t="b">
        <f>(LCI_Table[[#This Row],[Dev Notes]]="Do not display")</f>
        <v>0</v>
      </c>
      <c r="N155" s="14" t="b">
        <f>AND(LCI_Table[[#This Row],[Show Feedstock]:[Conditional]],NOT(LCI_Table[[#This Row],[Hide Row]]))</f>
        <v>0</v>
      </c>
      <c r="O155" s="14" t="b">
        <f>LCI_Table[[#This Row],[GREET1 Name Range]]=""</f>
        <v>0</v>
      </c>
      <c r="P155" s="14" t="s">
        <v>15</v>
      </c>
      <c r="Q155" s="14" t="s">
        <v>677</v>
      </c>
      <c r="R155" s="14" t="s">
        <v>110</v>
      </c>
      <c r="S155" s="37" cm="1">
        <f t="array" aca="1" ref="S1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5" s="346" t="s">
        <v>2115</v>
      </c>
      <c r="U155" s="347">
        <f ca="1">S155/BTU2kWh</f>
        <v>0</v>
      </c>
      <c r="V155" s="347">
        <v>0</v>
      </c>
      <c r="W155" s="347">
        <v>0</v>
      </c>
      <c r="X155" s="14" t="s">
        <v>51</v>
      </c>
      <c r="Y155" s="346" t="s">
        <v>891</v>
      </c>
      <c r="Z155" s="14" t="str">
        <f>IF(ISBLANK(LCI_Table[[#This Row],[Notes for user]])," ",LCI_Table[[#This Row],[Notes for user]])</f>
        <v xml:space="preserve"> </v>
      </c>
      <c r="AA155" s="14"/>
      <c r="AB155" s="14"/>
      <c r="AC155" s="346">
        <f ca="1">LCI_Table[[#This Row],[Default Calculated Value]]-LCI_Table[[#This Row],[Calculated Value]]</f>
        <v>0</v>
      </c>
    </row>
    <row r="156" spans="1:29" x14ac:dyDescent="0.3">
      <c r="A1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JatrophaHEFAGREETGREET(blank)_Jatropha_Extraction_N_hexaneN-hexane</v>
      </c>
      <c r="B156" s="14" t="s">
        <v>126</v>
      </c>
      <c r="C156" s="14" t="s">
        <v>30</v>
      </c>
      <c r="D156" s="14" t="s">
        <v>29</v>
      </c>
      <c r="E156" s="48" t="s">
        <v>29</v>
      </c>
      <c r="F156" s="14" t="s">
        <v>31</v>
      </c>
      <c r="G156" s="14" t="b">
        <f>OR(LCI_Table[[#This Row],[Feedstock]]="All",LCI_Table[[#This Row],[Feedstock]]=SelectedFeedstock)</f>
        <v>0</v>
      </c>
      <c r="H156" s="14" t="b">
        <f>OR(LCI_Table[[#This Row],[Conversion]]="All",LCI_Table[[#This Row],[Conversion]]=SelectedConversion)</f>
        <v>1</v>
      </c>
      <c r="I156" s="14" t="b">
        <f>OR(LCI_Table[[#This Row],[Data Set]]="all",LCI_Table[[#This Row],[Data Set]]=SelectedDataSet)</f>
        <v>1</v>
      </c>
      <c r="J156" s="14" t="b">
        <f>OR(LCI_Table[[#This Row],[Technology]]="All",LCI_Table[[#This Row],[Technology]]=SelectedTechnology)</f>
        <v>1</v>
      </c>
      <c r="K156" s="14" t="b">
        <f>OR(LCI_Table[[#This Row],[Data Source]]="All",LCI_Table[[#This Row],[Data Source]]=SelectedDataSource)</f>
        <v>1</v>
      </c>
      <c r="L156" s="14" t="b">
        <f>TRUE</f>
        <v>1</v>
      </c>
      <c r="M156" s="14" t="b">
        <f>(LCI_Table[[#This Row],[Dev Notes]]="Do not display")</f>
        <v>0</v>
      </c>
      <c r="N156" s="14" t="b">
        <f>AND(LCI_Table[[#This Row],[Show Feedstock]:[Conditional]],NOT(LCI_Table[[#This Row],[Hide Row]]))</f>
        <v>0</v>
      </c>
      <c r="O156" s="14" t="b">
        <f>LCI_Table[[#This Row],[GREET1 Name Range]]=""</f>
        <v>0</v>
      </c>
      <c r="P156" s="14" t="s">
        <v>15</v>
      </c>
      <c r="Q156" s="14" t="s">
        <v>682</v>
      </c>
      <c r="R156" s="14" t="s">
        <v>116</v>
      </c>
      <c r="S156" s="37" cm="1">
        <f t="array" aca="1" ref="S1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3.6004824741640414E-7</v>
      </c>
      <c r="T156" s="346" t="s">
        <v>2111</v>
      </c>
      <c r="U156" s="347">
        <f ca="1">S156*Fuel_Specs!$B$58*ton2lb</f>
        <v>75.7</v>
      </c>
      <c r="V156" s="347">
        <v>3.6004824741640414E-7</v>
      </c>
      <c r="W156" s="347">
        <v>75.7</v>
      </c>
      <c r="X156" s="14" t="s">
        <v>12</v>
      </c>
      <c r="Y156" s="346" t="s">
        <v>891</v>
      </c>
      <c r="Z156" s="14" t="str">
        <f>IF(ISBLANK(LCI_Table[[#This Row],[Notes for user]])," ",LCI_Table[[#This Row],[Notes for user]])</f>
        <v xml:space="preserve"> </v>
      </c>
      <c r="AA156" s="14"/>
      <c r="AB156" s="14"/>
      <c r="AC156" s="346">
        <f ca="1">LCI_Table[[#This Row],[Default Calculated Value]]-LCI_Table[[#This Row],[Calculated Value]]</f>
        <v>0</v>
      </c>
    </row>
    <row r="157" spans="1:29" x14ac:dyDescent="0.3">
      <c r="A1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JatrophaHEFAGREETGREET(blank)_Jatropha_Extraction_Forest_residueForest residue</v>
      </c>
      <c r="B157" s="14" t="s">
        <v>126</v>
      </c>
      <c r="C157" s="14" t="s">
        <v>30</v>
      </c>
      <c r="D157" s="14" t="s">
        <v>29</v>
      </c>
      <c r="E157" s="48" t="s">
        <v>29</v>
      </c>
      <c r="F157" s="14" t="s">
        <v>31</v>
      </c>
      <c r="G157" s="14" t="b">
        <f>OR(LCI_Table[[#This Row],[Feedstock]]="All",LCI_Table[[#This Row],[Feedstock]]=SelectedFeedstock)</f>
        <v>0</v>
      </c>
      <c r="H157" s="14" t="b">
        <f>OR(LCI_Table[[#This Row],[Conversion]]="All",LCI_Table[[#This Row],[Conversion]]=SelectedConversion)</f>
        <v>1</v>
      </c>
      <c r="I157" s="14" t="b">
        <f>OR(LCI_Table[[#This Row],[Data Set]]="all",LCI_Table[[#This Row],[Data Set]]=SelectedDataSet)</f>
        <v>1</v>
      </c>
      <c r="J157" s="14" t="b">
        <f>OR(LCI_Table[[#This Row],[Technology]]="All",LCI_Table[[#This Row],[Technology]]=SelectedTechnology)</f>
        <v>1</v>
      </c>
      <c r="K157" s="14" t="b">
        <f>OR(LCI_Table[[#This Row],[Data Source]]="All",LCI_Table[[#This Row],[Data Source]]=SelectedDataSource)</f>
        <v>1</v>
      </c>
      <c r="L157" s="14" t="b">
        <f>TRUE</f>
        <v>1</v>
      </c>
      <c r="M157" s="14" t="b">
        <f>(LCI_Table[[#This Row],[Dev Notes]]="Do not display")</f>
        <v>0</v>
      </c>
      <c r="N157" s="14" t="b">
        <f>AND(LCI_Table[[#This Row],[Show Feedstock]:[Conditional]],NOT(LCI_Table[[#This Row],[Hide Row]]))</f>
        <v>0</v>
      </c>
      <c r="O157" s="14" t="b">
        <f>LCI_Table[[#This Row],[GREET1 Name Range]]=""</f>
        <v>0</v>
      </c>
      <c r="P157" s="14" t="s">
        <v>15</v>
      </c>
      <c r="Q157" s="14" t="s">
        <v>678</v>
      </c>
      <c r="R157" s="14" t="s">
        <v>316</v>
      </c>
      <c r="S157" s="37" cm="1">
        <f t="array" aca="1" ref="S1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7" s="346" t="s">
        <v>2111</v>
      </c>
      <c r="U157" s="347">
        <f ca="1">S157*Fuel_Specs!$B$100*ton2lb</f>
        <v>0</v>
      </c>
      <c r="V157" s="347">
        <v>0</v>
      </c>
      <c r="W157" s="347">
        <v>0</v>
      </c>
      <c r="X157" s="14" t="s">
        <v>12</v>
      </c>
      <c r="Y157" s="346" t="s">
        <v>891</v>
      </c>
      <c r="Z157" s="14" t="str">
        <f>IF(ISBLANK(LCI_Table[[#This Row],[Notes for user]])," ",LCI_Table[[#This Row],[Notes for user]])</f>
        <v xml:space="preserve"> </v>
      </c>
      <c r="AA157" s="14"/>
      <c r="AB157" s="14"/>
      <c r="AC157" s="346">
        <f ca="1">LCI_Table[[#This Row],[Default Calculated Value]]-LCI_Table[[#This Row],[Calculated Value]]</f>
        <v>0</v>
      </c>
    </row>
    <row r="158" spans="1:29" x14ac:dyDescent="0.3">
      <c r="A1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JatrophaHEFAGREETGREET(blank)_Jatropha_Extraction_Landfill_gasLandfill gas</v>
      </c>
      <c r="B158" s="14" t="s">
        <v>126</v>
      </c>
      <c r="C158" s="14" t="s">
        <v>30</v>
      </c>
      <c r="D158" s="14" t="s">
        <v>29</v>
      </c>
      <c r="E158" s="48" t="s">
        <v>29</v>
      </c>
      <c r="F158" s="14" t="s">
        <v>31</v>
      </c>
      <c r="G158" s="14" t="b">
        <f>OR(LCI_Table[[#This Row],[Feedstock]]="All",LCI_Table[[#This Row],[Feedstock]]=SelectedFeedstock)</f>
        <v>0</v>
      </c>
      <c r="H158" s="14" t="b">
        <f>OR(LCI_Table[[#This Row],[Conversion]]="All",LCI_Table[[#This Row],[Conversion]]=SelectedConversion)</f>
        <v>1</v>
      </c>
      <c r="I158" s="14" t="b">
        <f>OR(LCI_Table[[#This Row],[Data Set]]="all",LCI_Table[[#This Row],[Data Set]]=SelectedDataSet)</f>
        <v>1</v>
      </c>
      <c r="J158" s="14" t="b">
        <f>OR(LCI_Table[[#This Row],[Technology]]="All",LCI_Table[[#This Row],[Technology]]=SelectedTechnology)</f>
        <v>1</v>
      </c>
      <c r="K158" s="14" t="b">
        <f>OR(LCI_Table[[#This Row],[Data Source]]="All",LCI_Table[[#This Row],[Data Source]]=SelectedDataSource)</f>
        <v>1</v>
      </c>
      <c r="L158" s="14" t="b">
        <f>TRUE</f>
        <v>1</v>
      </c>
      <c r="M158" s="14" t="b">
        <f>(LCI_Table[[#This Row],[Dev Notes]]="Do not display")</f>
        <v>0</v>
      </c>
      <c r="N158" s="14" t="b">
        <f>AND(LCI_Table[[#This Row],[Show Feedstock]:[Conditional]],NOT(LCI_Table[[#This Row],[Hide Row]]))</f>
        <v>0</v>
      </c>
      <c r="O158" s="14" t="b">
        <f>LCI_Table[[#This Row],[GREET1 Name Range]]=""</f>
        <v>0</v>
      </c>
      <c r="P158" s="14" t="s">
        <v>15</v>
      </c>
      <c r="Q158" s="14" t="s">
        <v>680</v>
      </c>
      <c r="R158" s="14" t="s">
        <v>130</v>
      </c>
      <c r="S158" s="37" cm="1">
        <f t="array" aca="1" ref="S1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8" s="346" t="s">
        <v>2113</v>
      </c>
      <c r="U158" s="347">
        <f ca="1">S158*Fuel_Specs!$B$79</f>
        <v>0</v>
      </c>
      <c r="V158" s="347">
        <v>0</v>
      </c>
      <c r="W158" s="347">
        <v>0</v>
      </c>
      <c r="X158" s="14" t="s">
        <v>351</v>
      </c>
      <c r="Y158" s="346" t="s">
        <v>891</v>
      </c>
      <c r="Z158" s="14" t="str">
        <f>IF(ISBLANK(LCI_Table[[#This Row],[Notes for user]])," ",LCI_Table[[#This Row],[Notes for user]])</f>
        <v xml:space="preserve"> </v>
      </c>
      <c r="AA158" s="14"/>
      <c r="AB158" s="14"/>
      <c r="AC158" s="346">
        <f ca="1">LCI_Table[[#This Row],[Default Calculated Value]]-LCI_Table[[#This Row],[Calculated Value]]</f>
        <v>0</v>
      </c>
    </row>
    <row r="159" spans="1:29" x14ac:dyDescent="0.3">
      <c r="A1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JatrophaHEFAGREETGREET(blank)_Jatropha_Oil_Extraction_Energy_AllocationAllocation factor</v>
      </c>
      <c r="B159" s="14" t="s">
        <v>126</v>
      </c>
      <c r="C159" s="14" t="s">
        <v>30</v>
      </c>
      <c r="D159" s="14" t="s">
        <v>29</v>
      </c>
      <c r="E159" s="178" t="s">
        <v>29</v>
      </c>
      <c r="F159" s="48" t="s">
        <v>31</v>
      </c>
      <c r="G159" s="14" t="b">
        <f>OR(LCI_Table[[#This Row],[Feedstock]]="All",LCI_Table[[#This Row],[Feedstock]]=SelectedFeedstock)</f>
        <v>0</v>
      </c>
      <c r="H159" s="14" t="b">
        <f>OR(LCI_Table[[#This Row],[Conversion]]="All",LCI_Table[[#This Row],[Conversion]]=SelectedConversion)</f>
        <v>1</v>
      </c>
      <c r="I159" s="14" t="b">
        <f>OR(LCI_Table[[#This Row],[Data Set]]="all",LCI_Table[[#This Row],[Data Set]]=SelectedDataSet)</f>
        <v>1</v>
      </c>
      <c r="J159" s="14" t="b">
        <f>OR(LCI_Table[[#This Row],[Technology]]="All",LCI_Table[[#This Row],[Technology]]=SelectedTechnology)</f>
        <v>1</v>
      </c>
      <c r="K159" s="14" t="b">
        <f>OR(LCI_Table[[#This Row],[Data Source]]="All",LCI_Table[[#This Row],[Data Source]]=SelectedDataSource)</f>
        <v>1</v>
      </c>
      <c r="L159" s="14" t="b">
        <f>TRUE</f>
        <v>1</v>
      </c>
      <c r="M159" s="14" t="b">
        <f>(LCI_Table[[#This Row],[Dev Notes]]="Do not display")</f>
        <v>0</v>
      </c>
      <c r="N159" s="14" t="b">
        <f>AND(LCI_Table[[#This Row],[Show Feedstock]:[Conditional]],NOT(LCI_Table[[#This Row],[Hide Row]]))</f>
        <v>0</v>
      </c>
      <c r="O159" s="14" t="b">
        <f>LCI_Table[[#This Row],[GREET1 Name Range]]=""</f>
        <v>0</v>
      </c>
      <c r="P159" s="14" t="s">
        <v>15</v>
      </c>
      <c r="Q159" s="14" t="s">
        <v>1108</v>
      </c>
      <c r="R159" s="14" t="s">
        <v>1344</v>
      </c>
      <c r="S159" s="37" cm="1">
        <f t="array" aca="1" ref="S1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75.883476071715904</v>
      </c>
      <c r="T159" s="346" t="s">
        <v>1345</v>
      </c>
      <c r="U159" s="347">
        <f ca="1">LCI_Table[[#This Row],[Dashboard Value]]/100</f>
        <v>0.75883476071715905</v>
      </c>
      <c r="V159" s="347">
        <v>75.883476071715904</v>
      </c>
      <c r="W159" s="347">
        <v>0.75883476071715905</v>
      </c>
      <c r="X159" s="14" t="s">
        <v>1345</v>
      </c>
      <c r="Y159" s="346" t="s">
        <v>891</v>
      </c>
      <c r="Z159" s="14" t="str">
        <f>IF(ISBLANK(LCI_Table[[#This Row],[Notes for user]])," ",LCI_Table[[#This Row],[Notes for user]])</f>
        <v>Allocation to jatropha oil (energy allocation); there's co-produced electricity from husk and shell</v>
      </c>
      <c r="AA159" s="14" t="s">
        <v>1364</v>
      </c>
      <c r="AB159" s="14"/>
      <c r="AC159" s="346">
        <f ca="1">LCI_Table[[#This Row],[Default Calculated Value]]-LCI_Table[[#This Row],[Calculated Value]]</f>
        <v>0</v>
      </c>
    </row>
    <row r="160" spans="1:29" x14ac:dyDescent="0.3">
      <c r="A1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JatrophaHEFAGREETGREET(blank)_HEFA_feed_usageJatropha oil</v>
      </c>
      <c r="B160" s="14" t="s">
        <v>126</v>
      </c>
      <c r="C160" s="14" t="s">
        <v>30</v>
      </c>
      <c r="D160" s="14" t="s">
        <v>29</v>
      </c>
      <c r="E160" s="48" t="s">
        <v>29</v>
      </c>
      <c r="F160" s="14" t="s">
        <v>31</v>
      </c>
      <c r="G160" s="14" t="b">
        <f>OR(LCI_Table[[#This Row],[Feedstock]]="All",LCI_Table[[#This Row],[Feedstock]]=SelectedFeedstock)</f>
        <v>0</v>
      </c>
      <c r="H160" s="14" t="b">
        <f>OR(LCI_Table[[#This Row],[Conversion]]="All",LCI_Table[[#This Row],[Conversion]]=SelectedConversion)</f>
        <v>1</v>
      </c>
      <c r="I160" s="14" t="b">
        <f>OR(LCI_Table[[#This Row],[Data Set]]="all",LCI_Table[[#This Row],[Data Set]]=SelectedDataSet)</f>
        <v>1</v>
      </c>
      <c r="J160" s="14" t="b">
        <f>OR(LCI_Table[[#This Row],[Technology]]="All",LCI_Table[[#This Row],[Technology]]=SelectedTechnology)</f>
        <v>1</v>
      </c>
      <c r="K160" s="14" t="b">
        <f>OR(LCI_Table[[#This Row],[Data Source]]="All",LCI_Table[[#This Row],[Data Source]]=SelectedDataSource)</f>
        <v>1</v>
      </c>
      <c r="L160" s="14" t="b">
        <f>TRUE</f>
        <v>1</v>
      </c>
      <c r="M160" s="14" t="b">
        <f>(LCI_Table[[#This Row],[Dev Notes]]="Do not display")</f>
        <v>0</v>
      </c>
      <c r="N160" s="14" t="b">
        <f>AND(LCI_Table[[#This Row],[Show Feedstock]:[Conditional]],NOT(LCI_Table[[#This Row],[Hide Row]]))</f>
        <v>0</v>
      </c>
      <c r="O160" s="14" t="b">
        <f>LCI_Table[[#This Row],[GREET1 Name Range]]=""</f>
        <v>0</v>
      </c>
      <c r="P160" s="14" t="s">
        <v>1448</v>
      </c>
      <c r="Q160" s="14" t="s">
        <v>933</v>
      </c>
      <c r="R160" s="14" t="s">
        <v>362</v>
      </c>
      <c r="S160" s="37" cm="1">
        <f t="array" aca="1" ref="S1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66.858287441247398</v>
      </c>
      <c r="T160" s="346" t="s">
        <v>2122</v>
      </c>
      <c r="U160" s="347">
        <f ca="1">S160*lb2g/Fuel_Specs!$E$48*Fuel_Specs!$B$48*BTU2mmBTU</f>
        <v>1.26760553889976</v>
      </c>
      <c r="V160" s="347">
        <v>66.858287441247398</v>
      </c>
      <c r="W160" s="347">
        <v>1.26760553889976</v>
      </c>
      <c r="X160" s="14" t="s">
        <v>12</v>
      </c>
      <c r="Y160" s="346" t="s">
        <v>1348</v>
      </c>
      <c r="Z160" s="14" t="str">
        <f>IF(ISBLANK(LCI_Table[[#This Row],[Notes for user]])," ",LCI_Table[[#This Row],[Notes for user]])</f>
        <v xml:space="preserve"> </v>
      </c>
      <c r="AA160" s="14"/>
      <c r="AB160" s="14"/>
      <c r="AC160" s="346">
        <f ca="1">LCI_Table[[#This Row],[Default Calculated Value]]-LCI_Table[[#This Row],[Calculated Value]]</f>
        <v>0</v>
      </c>
    </row>
    <row r="161" spans="1:29" x14ac:dyDescent="0.3">
      <c r="A1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JatrophaHEFAGREETGREET(blank)_Jatropha_HEFA_Natural_gasNatural gas</v>
      </c>
      <c r="B161" s="14" t="s">
        <v>126</v>
      </c>
      <c r="C161" s="14" t="s">
        <v>30</v>
      </c>
      <c r="D161" s="14" t="s">
        <v>29</v>
      </c>
      <c r="E161" s="48" t="s">
        <v>29</v>
      </c>
      <c r="F161" s="14" t="s">
        <v>31</v>
      </c>
      <c r="G161" s="14" t="b">
        <f>OR(LCI_Table[[#This Row],[Feedstock]]="All",LCI_Table[[#This Row],[Feedstock]]=SelectedFeedstock)</f>
        <v>0</v>
      </c>
      <c r="H161" s="14" t="b">
        <f>OR(LCI_Table[[#This Row],[Conversion]]="All",LCI_Table[[#This Row],[Conversion]]=SelectedConversion)</f>
        <v>1</v>
      </c>
      <c r="I161" s="14" t="b">
        <f>OR(LCI_Table[[#This Row],[Data Set]]="all",LCI_Table[[#This Row],[Data Set]]=SelectedDataSet)</f>
        <v>1</v>
      </c>
      <c r="J161" s="14" t="b">
        <f>OR(LCI_Table[[#This Row],[Technology]]="All",LCI_Table[[#This Row],[Technology]]=SelectedTechnology)</f>
        <v>1</v>
      </c>
      <c r="K161" s="14" t="b">
        <f>OR(LCI_Table[[#This Row],[Data Source]]="All",LCI_Table[[#This Row],[Data Source]]=SelectedDataSource)</f>
        <v>1</v>
      </c>
      <c r="L161" s="14" t="b">
        <f>TRUE</f>
        <v>1</v>
      </c>
      <c r="M161" s="14" t="b">
        <f>(LCI_Table[[#This Row],[Dev Notes]]="Do not display")</f>
        <v>0</v>
      </c>
      <c r="N161" s="14" t="b">
        <f>AND(LCI_Table[[#This Row],[Show Feedstock]:[Conditional]],NOT(LCI_Table[[#This Row],[Hide Row]]))</f>
        <v>0</v>
      </c>
      <c r="O161" s="14" t="b">
        <f>LCI_Table[[#This Row],[GREET1 Name Range]]=""</f>
        <v>0</v>
      </c>
      <c r="P161" s="14" t="s">
        <v>1448</v>
      </c>
      <c r="Q161" s="14" t="s">
        <v>700</v>
      </c>
      <c r="R161" s="14" t="s">
        <v>108</v>
      </c>
      <c r="S161" s="37" cm="1">
        <f t="array" aca="1" ref="S1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18.942776460541271</v>
      </c>
      <c r="T161" s="346" t="s">
        <v>2123</v>
      </c>
      <c r="U161" s="347">
        <f ca="1">S161*lb2g/Fuel_Specs!$E$48*Fuel_Specs!$B$48*Fuel_Specs!$B$79*BTU2mmBTU</f>
        <v>353.04172159785497</v>
      </c>
      <c r="V161" s="347">
        <v>18.942776460541271</v>
      </c>
      <c r="W161" s="347">
        <v>353.04172159785497</v>
      </c>
      <c r="X161" s="14" t="s">
        <v>351</v>
      </c>
      <c r="Y161" s="346" t="s">
        <v>1348</v>
      </c>
      <c r="Z161" s="14" t="str">
        <f>IF(ISBLANK(LCI_Table[[#This Row],[Notes for user]])," ",LCI_Table[[#This Row],[Notes for user]])</f>
        <v xml:space="preserve"> </v>
      </c>
      <c r="AA161" s="14"/>
      <c r="AB161" s="14"/>
      <c r="AC161" s="346">
        <f ca="1">LCI_Table[[#This Row],[Default Calculated Value]]-LCI_Table[[#This Row],[Calculated Value]]</f>
        <v>0</v>
      </c>
    </row>
    <row r="162" spans="1:29" x14ac:dyDescent="0.3">
      <c r="A1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JatrophaHEFAGREETGREET(blank)_Jatropha_HEFA_ElectricityGrid Electricity</v>
      </c>
      <c r="B162" s="14" t="s">
        <v>126</v>
      </c>
      <c r="C162" s="14" t="s">
        <v>30</v>
      </c>
      <c r="D162" s="14" t="s">
        <v>29</v>
      </c>
      <c r="E162" s="48" t="s">
        <v>29</v>
      </c>
      <c r="F162" s="14" t="s">
        <v>31</v>
      </c>
      <c r="G162" s="14" t="b">
        <f>OR(LCI_Table[[#This Row],[Feedstock]]="All",LCI_Table[[#This Row],[Feedstock]]=SelectedFeedstock)</f>
        <v>0</v>
      </c>
      <c r="H162" s="14" t="b">
        <f>OR(LCI_Table[[#This Row],[Conversion]]="All",LCI_Table[[#This Row],[Conversion]]=SelectedConversion)</f>
        <v>1</v>
      </c>
      <c r="I162" s="14" t="b">
        <f>OR(LCI_Table[[#This Row],[Data Set]]="all",LCI_Table[[#This Row],[Data Set]]=SelectedDataSet)</f>
        <v>1</v>
      </c>
      <c r="J162" s="14" t="b">
        <f>OR(LCI_Table[[#This Row],[Technology]]="All",LCI_Table[[#This Row],[Technology]]=SelectedTechnology)</f>
        <v>1</v>
      </c>
      <c r="K162" s="14" t="b">
        <f>OR(LCI_Table[[#This Row],[Data Source]]="All",LCI_Table[[#This Row],[Data Source]]=SelectedDataSource)</f>
        <v>1</v>
      </c>
      <c r="L162" s="14" t="b">
        <f>TRUE</f>
        <v>1</v>
      </c>
      <c r="M162" s="14" t="b">
        <f>(LCI_Table[[#This Row],[Dev Notes]]="Do not display")</f>
        <v>0</v>
      </c>
      <c r="N162" s="14" t="b">
        <f>AND(LCI_Table[[#This Row],[Show Feedstock]:[Conditional]],NOT(LCI_Table[[#This Row],[Hide Row]]))</f>
        <v>0</v>
      </c>
      <c r="O162" s="14" t="b">
        <f>LCI_Table[[#This Row],[GREET1 Name Range]]=""</f>
        <v>0</v>
      </c>
      <c r="P162" s="14" t="s">
        <v>1448</v>
      </c>
      <c r="Q162" s="14" t="s">
        <v>698</v>
      </c>
      <c r="R162" s="14" t="s">
        <v>1684</v>
      </c>
      <c r="S162" s="37" cm="1">
        <f t="array" aca="1" ref="S1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2.8700844879870777</v>
      </c>
      <c r="T162" s="346" t="s">
        <v>2124</v>
      </c>
      <c r="U162" s="347">
        <f ca="1">S162*lb2g/Fuel_Specs!$E$48*Fuel_Specs!$B$48/BTU2kWh*BTU2mmBTU</f>
        <v>185.673794321835</v>
      </c>
      <c r="V162" s="347">
        <v>2.8700844879870777</v>
      </c>
      <c r="W162" s="347">
        <v>185.673794321835</v>
      </c>
      <c r="X162" s="14" t="s">
        <v>51</v>
      </c>
      <c r="Y162" s="346" t="s">
        <v>1348</v>
      </c>
      <c r="Z162" s="14" t="str">
        <f>IF(ISBLANK(LCI_Table[[#This Row],[Notes for user]])," ",LCI_Table[[#This Row],[Notes for user]])</f>
        <v xml:space="preserve"> </v>
      </c>
      <c r="AA162" s="14"/>
      <c r="AB162" s="14"/>
      <c r="AC162" s="346">
        <f ca="1">LCI_Table[[#This Row],[Default Calculated Value]]-LCI_Table[[#This Row],[Calculated Value]]</f>
        <v>0</v>
      </c>
    </row>
    <row r="163" spans="1:29" x14ac:dyDescent="0.3">
      <c r="A1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JatrophaHEFAGREETGREET(blank)_Jatropha_HEFA_HydrogenHydrogen</v>
      </c>
      <c r="B163" s="14" t="s">
        <v>126</v>
      </c>
      <c r="C163" s="14" t="s">
        <v>30</v>
      </c>
      <c r="D163" s="14" t="s">
        <v>29</v>
      </c>
      <c r="E163" s="48" t="s">
        <v>29</v>
      </c>
      <c r="F163" s="14" t="s">
        <v>31</v>
      </c>
      <c r="G163" s="14" t="b">
        <f>OR(LCI_Table[[#This Row],[Feedstock]]="All",LCI_Table[[#This Row],[Feedstock]]=SelectedFeedstock)</f>
        <v>0</v>
      </c>
      <c r="H163" s="14" t="b">
        <f>OR(LCI_Table[[#This Row],[Conversion]]="All",LCI_Table[[#This Row],[Conversion]]=SelectedConversion)</f>
        <v>1</v>
      </c>
      <c r="I163" s="14" t="b">
        <f>OR(LCI_Table[[#This Row],[Data Set]]="all",LCI_Table[[#This Row],[Data Set]]=SelectedDataSet)</f>
        <v>1</v>
      </c>
      <c r="J163" s="14" t="b">
        <f>OR(LCI_Table[[#This Row],[Technology]]="All",LCI_Table[[#This Row],[Technology]]=SelectedTechnology)</f>
        <v>1</v>
      </c>
      <c r="K163" s="14" t="b">
        <f>OR(LCI_Table[[#This Row],[Data Source]]="All",LCI_Table[[#This Row],[Data Source]]=SelectedDataSource)</f>
        <v>1</v>
      </c>
      <c r="L163" s="14" t="b">
        <f>TRUE</f>
        <v>1</v>
      </c>
      <c r="M163" s="14" t="b">
        <f>(LCI_Table[[#This Row],[Dev Notes]]="Do not display")</f>
        <v>0</v>
      </c>
      <c r="N163" s="14" t="b">
        <f>AND(LCI_Table[[#This Row],[Show Feedstock]:[Conditional]],NOT(LCI_Table[[#This Row],[Hide Row]]))</f>
        <v>0</v>
      </c>
      <c r="O163" s="14" t="b">
        <f>LCI_Table[[#This Row],[GREET1 Name Range]]=""</f>
        <v>0</v>
      </c>
      <c r="P163" s="14" t="s">
        <v>1448</v>
      </c>
      <c r="Q163" s="14" t="s">
        <v>699</v>
      </c>
      <c r="R163" s="14" t="s">
        <v>73</v>
      </c>
      <c r="S163" s="37" cm="1">
        <f t="array" aca="1" ref="S1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377.6468687868562</v>
      </c>
      <c r="T163" s="346" t="s">
        <v>2123</v>
      </c>
      <c r="U163" s="347">
        <f ca="1">S163*lb2g/Fuel_Specs!$E$48*Fuel_Specs!$B$48*Fuel_Specs!$B$81*BTU2mmBTU</f>
        <v>2076.4083477681302</v>
      </c>
      <c r="V163" s="347">
        <v>377.6468687868562</v>
      </c>
      <c r="W163" s="347">
        <v>2076.4083477681302</v>
      </c>
      <c r="X163" s="14" t="s">
        <v>351</v>
      </c>
      <c r="Y163" s="346" t="s">
        <v>1348</v>
      </c>
      <c r="Z163" s="14" t="str">
        <f>IF(ISBLANK(LCI_Table[[#This Row],[Notes for user]])," ",LCI_Table[[#This Row],[Notes for user]])</f>
        <v xml:space="preserve"> </v>
      </c>
      <c r="AA163" s="14"/>
      <c r="AB163" s="14"/>
      <c r="AC163" s="346">
        <f ca="1">LCI_Table[[#This Row],[Default Calculated Value]]-LCI_Table[[#This Row],[Calculated Value]]</f>
        <v>0</v>
      </c>
    </row>
    <row r="164" spans="1:29" x14ac:dyDescent="0.3">
      <c r="A1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JatrophaHEFAGREETGREET(blank)_Carinata_Oil_HEFA_Energy_AllocationAllocation factor</v>
      </c>
      <c r="B164" s="14" t="s">
        <v>126</v>
      </c>
      <c r="C164" s="14" t="s">
        <v>30</v>
      </c>
      <c r="D164" s="14" t="s">
        <v>29</v>
      </c>
      <c r="E164" s="178" t="s">
        <v>29</v>
      </c>
      <c r="F164" s="48" t="s">
        <v>31</v>
      </c>
      <c r="G164" s="14" t="b">
        <f>OR(LCI_Table[[#This Row],[Feedstock]]="All",LCI_Table[[#This Row],[Feedstock]]=SelectedFeedstock)</f>
        <v>0</v>
      </c>
      <c r="H164" s="14" t="b">
        <f>OR(LCI_Table[[#This Row],[Conversion]]="All",LCI_Table[[#This Row],[Conversion]]=SelectedConversion)</f>
        <v>1</v>
      </c>
      <c r="I164" s="14" t="b">
        <f>OR(LCI_Table[[#This Row],[Data Set]]="all",LCI_Table[[#This Row],[Data Set]]=SelectedDataSet)</f>
        <v>1</v>
      </c>
      <c r="J164" s="14" t="b">
        <f>OR(LCI_Table[[#This Row],[Technology]]="All",LCI_Table[[#This Row],[Technology]]=SelectedTechnology)</f>
        <v>1</v>
      </c>
      <c r="K164" s="14" t="b">
        <f>OR(LCI_Table[[#This Row],[Data Source]]="All",LCI_Table[[#This Row],[Data Source]]=SelectedDataSource)</f>
        <v>1</v>
      </c>
      <c r="L164" s="14" t="b">
        <f>TRUE</f>
        <v>1</v>
      </c>
      <c r="M164" s="14" t="b">
        <f>(LCI_Table[[#This Row],[Dev Notes]]="Do not display")</f>
        <v>0</v>
      </c>
      <c r="N164" s="14" t="b">
        <f>AND(LCI_Table[[#This Row],[Show Feedstock]:[Conditional]],NOT(LCI_Table[[#This Row],[Hide Row]]))</f>
        <v>0</v>
      </c>
      <c r="O164" s="14" t="b">
        <f>LCI_Table[[#This Row],[GREET1 Name Range]]=""</f>
        <v>0</v>
      </c>
      <c r="P164" s="14" t="s">
        <v>1448</v>
      </c>
      <c r="Q164" s="14" t="s">
        <v>1120</v>
      </c>
      <c r="R164" s="14" t="s">
        <v>1344</v>
      </c>
      <c r="S164" s="37" cm="1">
        <f t="array" aca="1" ref="S1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91.171197532976606</v>
      </c>
      <c r="T164" s="346" t="s">
        <v>1345</v>
      </c>
      <c r="U164" s="347">
        <f ca="1">LCI_Table[[#This Row],[Dashboard Value]]/100</f>
        <v>0.91171197532976611</v>
      </c>
      <c r="V164" s="351">
        <v>91.171197532976606</v>
      </c>
      <c r="W164" s="351">
        <v>0.91171197532976611</v>
      </c>
      <c r="X164" s="14" t="s">
        <v>1345</v>
      </c>
      <c r="Y164" s="346" t="s">
        <v>1348</v>
      </c>
      <c r="Z164" s="14" t="str">
        <f>IF(ISBLANK(LCI_Table[[#This Row],[Notes for user]])," ",LCI_Table[[#This Row],[Notes for user]])</f>
        <v>Allocation to main distillate fuels (energy allocation)</v>
      </c>
      <c r="AA164" s="14" t="s">
        <v>1353</v>
      </c>
      <c r="AB164" s="14"/>
      <c r="AC164" s="346">
        <f ca="1">LCI_Table[[#This Row],[Default Calculated Value]]-LCI_Table[[#This Row],[Calculated Value]]</f>
        <v>0</v>
      </c>
    </row>
    <row r="165" spans="1:29" x14ac:dyDescent="0.3">
      <c r="A1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dash_CamelinaHEFAGREETGREET(blank)_Yield_Farming</v>
      </c>
      <c r="B165" s="48" t="s">
        <v>127</v>
      </c>
      <c r="C165" s="48" t="s">
        <v>30</v>
      </c>
      <c r="D165" s="48" t="s">
        <v>29</v>
      </c>
      <c r="E165" s="48" t="s">
        <v>29</v>
      </c>
      <c r="F165" s="48" t="s">
        <v>31</v>
      </c>
      <c r="G165" s="14" t="b">
        <f>OR(LCI_Table[[#This Row],[Feedstock]]="All",LCI_Table[[#This Row],[Feedstock]]=SelectedFeedstock)</f>
        <v>0</v>
      </c>
      <c r="H165" s="14" t="b">
        <f>OR(LCI_Table[[#This Row],[Conversion]]="All",LCI_Table[[#This Row],[Conversion]]=SelectedConversion)</f>
        <v>1</v>
      </c>
      <c r="I165" s="14" t="b">
        <f>OR(LCI_Table[[#This Row],[Data Set]]="all",LCI_Table[[#This Row],[Data Set]]=SelectedDataSet)</f>
        <v>1</v>
      </c>
      <c r="J165" s="14" t="b">
        <f>OR(LCI_Table[[#This Row],[Technology]]="All",LCI_Table[[#This Row],[Technology]]=SelectedTechnology)</f>
        <v>1</v>
      </c>
      <c r="K165" s="14" t="b">
        <f>OR(LCI_Table[[#This Row],[Data Source]]="All",LCI_Table[[#This Row],[Data Source]]=SelectedDataSource)</f>
        <v>1</v>
      </c>
      <c r="L165" s="14" t="b">
        <f>TRUE</f>
        <v>1</v>
      </c>
      <c r="M165" s="14" t="b">
        <f>(LCI_Table[[#This Row],[Dev Notes]]="Do not display")</f>
        <v>0</v>
      </c>
      <c r="N165" s="14" t="b">
        <f>AND(LCI_Table[[#This Row],[Show Feedstock]:[Conditional]],NOT(LCI_Table[[#This Row],[Hide Row]]))</f>
        <v>0</v>
      </c>
      <c r="O165" s="14" t="b">
        <f>LCI_Table[[#This Row],[GREET1 Name Range]]=""</f>
        <v>1</v>
      </c>
      <c r="P165" s="48" t="s">
        <v>14</v>
      </c>
      <c r="Q165" s="14" t="s">
        <v>361</v>
      </c>
      <c r="R165" s="48" t="s">
        <v>200</v>
      </c>
      <c r="S165" s="37" cm="1">
        <f t="array" aca="1" ref="S1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0.6289872517364643</v>
      </c>
      <c r="T165" s="346" t="s">
        <v>2116</v>
      </c>
      <c r="U165" s="344"/>
      <c r="V165" s="344">
        <v>0.6289872517364643</v>
      </c>
      <c r="W165" s="344"/>
      <c r="X165" s="48" t="s">
        <v>55</v>
      </c>
      <c r="Y165" s="346" t="s">
        <v>413</v>
      </c>
      <c r="Z165" s="14" t="str">
        <f>IF(ISBLANK(LCI_Table[[#This Row],[Notes for user]])," ",LCI_Table[[#This Row],[Notes for user]])</f>
        <v>Neupane et al. (2022); Dangol et al. (2015)</v>
      </c>
      <c r="AA165" s="48" t="s">
        <v>916</v>
      </c>
      <c r="AB165" s="345"/>
      <c r="AC165" s="346">
        <f>LCI_Table[[#This Row],[Default Calculated Value]]-LCI_Table[[#This Row],[Calculated Value]]</f>
        <v>0</v>
      </c>
    </row>
    <row r="166" spans="1:29" x14ac:dyDescent="0.3">
      <c r="A1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CamelinaHEFAGREETGREET(blank)_Camelina_Farming_Nitrogen_fertilizerNitrogen fertilizer</v>
      </c>
      <c r="B166" s="14" t="s">
        <v>127</v>
      </c>
      <c r="C166" s="14" t="s">
        <v>30</v>
      </c>
      <c r="D166" s="14" t="s">
        <v>29</v>
      </c>
      <c r="E166" s="48" t="s">
        <v>29</v>
      </c>
      <c r="F166" s="14" t="s">
        <v>31</v>
      </c>
      <c r="G166" s="14" t="b">
        <f>OR(LCI_Table[[#This Row],[Feedstock]]="All",LCI_Table[[#This Row],[Feedstock]]=SelectedFeedstock)</f>
        <v>0</v>
      </c>
      <c r="H166" s="14" t="b">
        <f>OR(LCI_Table[[#This Row],[Conversion]]="All",LCI_Table[[#This Row],[Conversion]]=SelectedConversion)</f>
        <v>1</v>
      </c>
      <c r="I166" s="14" t="b">
        <f>OR(LCI_Table[[#This Row],[Data Set]]="all",LCI_Table[[#This Row],[Data Set]]=SelectedDataSet)</f>
        <v>1</v>
      </c>
      <c r="J166" s="14" t="b">
        <f>OR(LCI_Table[[#This Row],[Technology]]="All",LCI_Table[[#This Row],[Technology]]=SelectedTechnology)</f>
        <v>1</v>
      </c>
      <c r="K166" s="14" t="b">
        <f>OR(LCI_Table[[#This Row],[Data Source]]="All",LCI_Table[[#This Row],[Data Source]]=SelectedDataSource)</f>
        <v>1</v>
      </c>
      <c r="L166" s="14" t="b">
        <f>TRUE</f>
        <v>1</v>
      </c>
      <c r="M166" s="14" t="b">
        <f>(LCI_Table[[#This Row],[Dev Notes]]="Do not display")</f>
        <v>0</v>
      </c>
      <c r="N166" s="14" t="b">
        <f>AND(LCI_Table[[#This Row],[Show Feedstock]:[Conditional]],NOT(LCI_Table[[#This Row],[Hide Row]]))</f>
        <v>0</v>
      </c>
      <c r="O166" s="14" t="b">
        <f>LCI_Table[[#This Row],[GREET1 Name Range]]=""</f>
        <v>0</v>
      </c>
      <c r="P166" s="14" t="s">
        <v>14</v>
      </c>
      <c r="Q166" s="14" t="s">
        <v>471</v>
      </c>
      <c r="R166" s="14" t="s">
        <v>111</v>
      </c>
      <c r="S166" s="37" cm="1">
        <f t="array" aca="1" ref="S1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54.122158870346944</v>
      </c>
      <c r="T166" s="346" t="s">
        <v>1485</v>
      </c>
      <c r="U166" s="347">
        <f ca="1">S166/g2lb/S165*kg2ton</f>
        <v>43.023255813953497</v>
      </c>
      <c r="V166" s="347">
        <v>54.122158870346944</v>
      </c>
      <c r="W166" s="347">
        <v>43.023255813953497</v>
      </c>
      <c r="X166" s="14" t="s">
        <v>12</v>
      </c>
      <c r="Y166" s="346" t="s">
        <v>413</v>
      </c>
      <c r="Z166" s="14" t="str">
        <f>IF(ISBLANK(LCI_Table[[#This Row],[Notes for user]])," ",LCI_Table[[#This Row],[Notes for user]])</f>
        <v xml:space="preserve"> </v>
      </c>
      <c r="AA166" s="14"/>
      <c r="AB166" s="14"/>
      <c r="AC166" s="346">
        <f ca="1">LCI_Table[[#This Row],[Default Calculated Value]]-LCI_Table[[#This Row],[Calculated Value]]</f>
        <v>0</v>
      </c>
    </row>
    <row r="167" spans="1:29" x14ac:dyDescent="0.3">
      <c r="A1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CamelinaHEFAGREETGREET(blank)_Camelina_Farming_P2O5P2O5</v>
      </c>
      <c r="B167" s="14" t="s">
        <v>127</v>
      </c>
      <c r="C167" s="14" t="s">
        <v>30</v>
      </c>
      <c r="D167" s="14" t="s">
        <v>29</v>
      </c>
      <c r="E167" s="48" t="s">
        <v>29</v>
      </c>
      <c r="F167" s="14" t="s">
        <v>31</v>
      </c>
      <c r="G167" s="14" t="b">
        <f>OR(LCI_Table[[#This Row],[Feedstock]]="All",LCI_Table[[#This Row],[Feedstock]]=SelectedFeedstock)</f>
        <v>0</v>
      </c>
      <c r="H167" s="14" t="b">
        <f>OR(LCI_Table[[#This Row],[Conversion]]="All",LCI_Table[[#This Row],[Conversion]]=SelectedConversion)</f>
        <v>1</v>
      </c>
      <c r="I167" s="14" t="b">
        <f>OR(LCI_Table[[#This Row],[Data Set]]="all",LCI_Table[[#This Row],[Data Set]]=SelectedDataSet)</f>
        <v>1</v>
      </c>
      <c r="J167" s="14" t="b">
        <f>OR(LCI_Table[[#This Row],[Technology]]="All",LCI_Table[[#This Row],[Technology]]=SelectedTechnology)</f>
        <v>1</v>
      </c>
      <c r="K167" s="14" t="b">
        <f>OR(LCI_Table[[#This Row],[Data Source]]="All",LCI_Table[[#This Row],[Data Source]]=SelectedDataSource)</f>
        <v>1</v>
      </c>
      <c r="L167" s="14" t="b">
        <f>TRUE</f>
        <v>1</v>
      </c>
      <c r="M167" s="14" t="b">
        <f>(LCI_Table[[#This Row],[Dev Notes]]="Do not display")</f>
        <v>0</v>
      </c>
      <c r="N167" s="14" t="b">
        <f>AND(LCI_Table[[#This Row],[Show Feedstock]:[Conditional]],NOT(LCI_Table[[#This Row],[Hide Row]]))</f>
        <v>0</v>
      </c>
      <c r="O167" s="14" t="b">
        <f>LCI_Table[[#This Row],[GREET1 Name Range]]=""</f>
        <v>0</v>
      </c>
      <c r="P167" s="14" t="s">
        <v>14</v>
      </c>
      <c r="Q167" s="14" t="s">
        <v>472</v>
      </c>
      <c r="R167" s="14" t="s">
        <v>112</v>
      </c>
      <c r="S167" s="37" cm="1">
        <f t="array" aca="1" ref="S1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21.941415758248777</v>
      </c>
      <c r="T167" s="346" t="s">
        <v>1485</v>
      </c>
      <c r="U167" s="347">
        <f ca="1">S167/g2lb/S165*kg2ton</f>
        <v>17.441860465116296</v>
      </c>
      <c r="V167" s="347">
        <v>21.941415758248777</v>
      </c>
      <c r="W167" s="347">
        <v>17.441860465116296</v>
      </c>
      <c r="X167" s="14" t="s">
        <v>12</v>
      </c>
      <c r="Y167" s="346" t="s">
        <v>413</v>
      </c>
      <c r="Z167" s="14" t="str">
        <f>IF(ISBLANK(LCI_Table[[#This Row],[Notes for user]])," ",LCI_Table[[#This Row],[Notes for user]])</f>
        <v xml:space="preserve"> </v>
      </c>
      <c r="AA167" s="14"/>
      <c r="AB167" s="14"/>
      <c r="AC167" s="346">
        <f ca="1">LCI_Table[[#This Row],[Default Calculated Value]]-LCI_Table[[#This Row],[Calculated Value]]</f>
        <v>0</v>
      </c>
    </row>
    <row r="168" spans="1:29" x14ac:dyDescent="0.3">
      <c r="A1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CamelinaHEFAGREETGREET(blank)_Camelina_Farming_K2OK2O</v>
      </c>
      <c r="B168" s="14" t="s">
        <v>127</v>
      </c>
      <c r="C168" s="14" t="s">
        <v>30</v>
      </c>
      <c r="D168" s="14" t="s">
        <v>29</v>
      </c>
      <c r="E168" s="48" t="s">
        <v>29</v>
      </c>
      <c r="F168" s="14" t="s">
        <v>31</v>
      </c>
      <c r="G168" s="14" t="b">
        <f>OR(LCI_Table[[#This Row],[Feedstock]]="All",LCI_Table[[#This Row],[Feedstock]]=SelectedFeedstock)</f>
        <v>0</v>
      </c>
      <c r="H168" s="14" t="b">
        <f>OR(LCI_Table[[#This Row],[Conversion]]="All",LCI_Table[[#This Row],[Conversion]]=SelectedConversion)</f>
        <v>1</v>
      </c>
      <c r="I168" s="14" t="b">
        <f>OR(LCI_Table[[#This Row],[Data Set]]="all",LCI_Table[[#This Row],[Data Set]]=SelectedDataSet)</f>
        <v>1</v>
      </c>
      <c r="J168" s="14" t="b">
        <f>OR(LCI_Table[[#This Row],[Technology]]="All",LCI_Table[[#This Row],[Technology]]=SelectedTechnology)</f>
        <v>1</v>
      </c>
      <c r="K168" s="14" t="b">
        <f>OR(LCI_Table[[#This Row],[Data Source]]="All",LCI_Table[[#This Row],[Data Source]]=SelectedDataSource)</f>
        <v>1</v>
      </c>
      <c r="L168" s="14" t="b">
        <f>TRUE</f>
        <v>1</v>
      </c>
      <c r="M168" s="14" t="b">
        <f>(LCI_Table[[#This Row],[Dev Notes]]="Do not display")</f>
        <v>0</v>
      </c>
      <c r="N168" s="14" t="b">
        <f>AND(LCI_Table[[#This Row],[Show Feedstock]:[Conditional]],NOT(LCI_Table[[#This Row],[Hide Row]]))</f>
        <v>0</v>
      </c>
      <c r="O168" s="14" t="b">
        <f>LCI_Table[[#This Row],[GREET1 Name Range]]=""</f>
        <v>0</v>
      </c>
      <c r="P168" s="14" t="s">
        <v>14</v>
      </c>
      <c r="Q168" s="14" t="s">
        <v>468</v>
      </c>
      <c r="R168" s="14" t="s">
        <v>113</v>
      </c>
      <c r="S168" s="37" cm="1">
        <f t="array" aca="1" ref="S1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14.627610505499188</v>
      </c>
      <c r="T168" s="346" t="s">
        <v>1485</v>
      </c>
      <c r="U168" s="347">
        <f ca="1">S168/g2lb/S165*kg2ton</f>
        <v>11.6279069767442</v>
      </c>
      <c r="V168" s="347">
        <v>14.627610505499188</v>
      </c>
      <c r="W168" s="347">
        <v>11.6279069767442</v>
      </c>
      <c r="X168" s="14" t="s">
        <v>12</v>
      </c>
      <c r="Y168" s="346" t="s">
        <v>413</v>
      </c>
      <c r="Z168" s="14" t="str">
        <f>IF(ISBLANK(LCI_Table[[#This Row],[Notes for user]])," ",LCI_Table[[#This Row],[Notes for user]])</f>
        <v xml:space="preserve"> </v>
      </c>
      <c r="AA168" s="14"/>
      <c r="AB168" s="14"/>
      <c r="AC168" s="346">
        <f ca="1">LCI_Table[[#This Row],[Default Calculated Value]]-LCI_Table[[#This Row],[Calculated Value]]</f>
        <v>0</v>
      </c>
    </row>
    <row r="169" spans="1:29" x14ac:dyDescent="0.3">
      <c r="A1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CamelinaHEFAGREETGREET(blank)_Camelina_Farming_CaCO3CaCO3</v>
      </c>
      <c r="B169" s="14" t="s">
        <v>127</v>
      </c>
      <c r="C169" s="14" t="s">
        <v>30</v>
      </c>
      <c r="D169" s="14" t="s">
        <v>29</v>
      </c>
      <c r="E169" s="48" t="s">
        <v>29</v>
      </c>
      <c r="F169" s="14" t="s">
        <v>31</v>
      </c>
      <c r="G169" s="14" t="b">
        <f>OR(LCI_Table[[#This Row],[Feedstock]]="All",LCI_Table[[#This Row],[Feedstock]]=SelectedFeedstock)</f>
        <v>0</v>
      </c>
      <c r="H169" s="14" t="b">
        <f>OR(LCI_Table[[#This Row],[Conversion]]="All",LCI_Table[[#This Row],[Conversion]]=SelectedConversion)</f>
        <v>1</v>
      </c>
      <c r="I169" s="14" t="b">
        <f>OR(LCI_Table[[#This Row],[Data Set]]="all",LCI_Table[[#This Row],[Data Set]]=SelectedDataSet)</f>
        <v>1</v>
      </c>
      <c r="J169" s="14" t="b">
        <f>OR(LCI_Table[[#This Row],[Technology]]="All",LCI_Table[[#This Row],[Technology]]=SelectedTechnology)</f>
        <v>1</v>
      </c>
      <c r="K169" s="14" t="b">
        <f>OR(LCI_Table[[#This Row],[Data Source]]="All",LCI_Table[[#This Row],[Data Source]]=SelectedDataSource)</f>
        <v>1</v>
      </c>
      <c r="L169" s="14" t="b">
        <f>TRUE</f>
        <v>1</v>
      </c>
      <c r="M169" s="14" t="b">
        <f>(LCI_Table[[#This Row],[Dev Notes]]="Do not display")</f>
        <v>0</v>
      </c>
      <c r="N169" s="14" t="b">
        <f>AND(LCI_Table[[#This Row],[Show Feedstock]:[Conditional]],NOT(LCI_Table[[#This Row],[Hide Row]]))</f>
        <v>0</v>
      </c>
      <c r="O169" s="14" t="b">
        <f>LCI_Table[[#This Row],[GREET1 Name Range]]=""</f>
        <v>0</v>
      </c>
      <c r="P169" s="14" t="s">
        <v>14</v>
      </c>
      <c r="Q169" s="14" t="s">
        <v>461</v>
      </c>
      <c r="R169" s="14" t="s">
        <v>141</v>
      </c>
      <c r="S169" s="37" cm="1">
        <f t="array" aca="1" ref="S1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9" s="346" t="s">
        <v>1485</v>
      </c>
      <c r="U169" s="347">
        <f ca="1">S169/g2lb/S165*kg2ton</f>
        <v>0</v>
      </c>
      <c r="V169" s="347">
        <v>0</v>
      </c>
      <c r="W169" s="347">
        <v>0</v>
      </c>
      <c r="X169" s="14" t="s">
        <v>12</v>
      </c>
      <c r="Y169" s="346" t="s">
        <v>413</v>
      </c>
      <c r="Z169" s="14" t="str">
        <f>IF(ISBLANK(LCI_Table[[#This Row],[Notes for user]])," ",LCI_Table[[#This Row],[Notes for user]])</f>
        <v xml:space="preserve"> </v>
      </c>
      <c r="AA169" s="14"/>
      <c r="AB169" s="14"/>
      <c r="AC169" s="346">
        <f ca="1">LCI_Table[[#This Row],[Default Calculated Value]]-LCI_Table[[#This Row],[Calculated Value]]</f>
        <v>0</v>
      </c>
    </row>
    <row r="170" spans="1:29" x14ac:dyDescent="0.3">
      <c r="A1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CamelinaHEFAGREETGREET(blank)_Camelina_Farming_HerbicidesHerbicides</v>
      </c>
      <c r="B170" s="14" t="s">
        <v>127</v>
      </c>
      <c r="C170" s="14" t="s">
        <v>30</v>
      </c>
      <c r="D170" s="14" t="s">
        <v>29</v>
      </c>
      <c r="E170" s="48" t="s">
        <v>29</v>
      </c>
      <c r="F170" s="14" t="s">
        <v>31</v>
      </c>
      <c r="G170" s="14" t="b">
        <f>OR(LCI_Table[[#This Row],[Feedstock]]="All",LCI_Table[[#This Row],[Feedstock]]=SelectedFeedstock)</f>
        <v>0</v>
      </c>
      <c r="H170" s="14" t="b">
        <f>OR(LCI_Table[[#This Row],[Conversion]]="All",LCI_Table[[#This Row],[Conversion]]=SelectedConversion)</f>
        <v>1</v>
      </c>
      <c r="I170" s="14" t="b">
        <f>OR(LCI_Table[[#This Row],[Data Set]]="all",LCI_Table[[#This Row],[Data Set]]=SelectedDataSet)</f>
        <v>1</v>
      </c>
      <c r="J170" s="14" t="b">
        <f>OR(LCI_Table[[#This Row],[Technology]]="All",LCI_Table[[#This Row],[Technology]]=SelectedTechnology)</f>
        <v>1</v>
      </c>
      <c r="K170" s="14" t="b">
        <f>OR(LCI_Table[[#This Row],[Data Source]]="All",LCI_Table[[#This Row],[Data Source]]=SelectedDataSource)</f>
        <v>1</v>
      </c>
      <c r="L170" s="14" t="b">
        <f>TRUE</f>
        <v>1</v>
      </c>
      <c r="M170" s="14" t="b">
        <f>(LCI_Table[[#This Row],[Dev Notes]]="Do not display")</f>
        <v>0</v>
      </c>
      <c r="N170" s="14" t="b">
        <f>AND(LCI_Table[[#This Row],[Show Feedstock]:[Conditional]],NOT(LCI_Table[[#This Row],[Hide Row]]))</f>
        <v>0</v>
      </c>
      <c r="O170" s="14" t="b">
        <f>LCI_Table[[#This Row],[GREET1 Name Range]]=""</f>
        <v>0</v>
      </c>
      <c r="P170" s="14" t="s">
        <v>14</v>
      </c>
      <c r="Q170" s="14" t="s">
        <v>466</v>
      </c>
      <c r="R170" s="14" t="s">
        <v>356</v>
      </c>
      <c r="S170" s="37" cm="1">
        <f t="array" aca="1" ref="S1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0" s="346" t="s">
        <v>1485</v>
      </c>
      <c r="U170" s="347">
        <f ca="1">S170/g2lb/S165*kg2ton</f>
        <v>0</v>
      </c>
      <c r="V170" s="347">
        <v>0</v>
      </c>
      <c r="W170" s="347">
        <v>0</v>
      </c>
      <c r="X170" s="14" t="s">
        <v>12</v>
      </c>
      <c r="Y170" s="346" t="s">
        <v>413</v>
      </c>
      <c r="Z170" s="14" t="str">
        <f>IF(ISBLANK(LCI_Table[[#This Row],[Notes for user]])," ",LCI_Table[[#This Row],[Notes for user]])</f>
        <v xml:space="preserve"> </v>
      </c>
      <c r="AA170" s="14"/>
      <c r="AB170" s="14"/>
      <c r="AC170" s="346">
        <f ca="1">LCI_Table[[#This Row],[Default Calculated Value]]-LCI_Table[[#This Row],[Calculated Value]]</f>
        <v>0</v>
      </c>
    </row>
    <row r="171" spans="1:29" x14ac:dyDescent="0.3">
      <c r="A1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CamelinaHEFAGREETGREET(blank)_Camelina_Farming_InsecticideInsecticide</v>
      </c>
      <c r="B171" s="14" t="s">
        <v>127</v>
      </c>
      <c r="C171" s="14" t="s">
        <v>30</v>
      </c>
      <c r="D171" s="14" t="s">
        <v>29</v>
      </c>
      <c r="E171" s="48" t="s">
        <v>29</v>
      </c>
      <c r="F171" s="14" t="s">
        <v>31</v>
      </c>
      <c r="G171" s="14" t="b">
        <f>OR(LCI_Table[[#This Row],[Feedstock]]="All",LCI_Table[[#This Row],[Feedstock]]=SelectedFeedstock)</f>
        <v>0</v>
      </c>
      <c r="H171" s="14" t="b">
        <f>OR(LCI_Table[[#This Row],[Conversion]]="All",LCI_Table[[#This Row],[Conversion]]=SelectedConversion)</f>
        <v>1</v>
      </c>
      <c r="I171" s="14" t="b">
        <f>OR(LCI_Table[[#This Row],[Data Set]]="all",LCI_Table[[#This Row],[Data Set]]=SelectedDataSet)</f>
        <v>1</v>
      </c>
      <c r="J171" s="14" t="b">
        <f>OR(LCI_Table[[#This Row],[Technology]]="All",LCI_Table[[#This Row],[Technology]]=SelectedTechnology)</f>
        <v>1</v>
      </c>
      <c r="K171" s="14" t="b">
        <f>OR(LCI_Table[[#This Row],[Data Source]]="All",LCI_Table[[#This Row],[Data Source]]=SelectedDataSource)</f>
        <v>1</v>
      </c>
      <c r="L171" s="14" t="b">
        <f>TRUE</f>
        <v>1</v>
      </c>
      <c r="M171" s="14" t="b">
        <f>(LCI_Table[[#This Row],[Dev Notes]]="Do not display")</f>
        <v>0</v>
      </c>
      <c r="N171" s="14" t="b">
        <f>AND(LCI_Table[[#This Row],[Show Feedstock]:[Conditional]],NOT(LCI_Table[[#This Row],[Hide Row]]))</f>
        <v>0</v>
      </c>
      <c r="O171" s="14" t="b">
        <f>LCI_Table[[#This Row],[GREET1 Name Range]]=""</f>
        <v>0</v>
      </c>
      <c r="P171" s="14" t="s">
        <v>14</v>
      </c>
      <c r="Q171" s="14" t="s">
        <v>467</v>
      </c>
      <c r="R171" s="14" t="s">
        <v>114</v>
      </c>
      <c r="S171" s="37" cm="1">
        <f t="array" aca="1" ref="S1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1" s="346" t="s">
        <v>1485</v>
      </c>
      <c r="U171" s="347">
        <f ca="1">S171/g2lb/S165*kg2ton</f>
        <v>0</v>
      </c>
      <c r="V171" s="347">
        <v>0</v>
      </c>
      <c r="W171" s="347">
        <v>0</v>
      </c>
      <c r="X171" s="14" t="s">
        <v>12</v>
      </c>
      <c r="Y171" s="346" t="s">
        <v>413</v>
      </c>
      <c r="Z171" s="14" t="str">
        <f>IF(ISBLANK(LCI_Table[[#This Row],[Notes for user]])," ",LCI_Table[[#This Row],[Notes for user]])</f>
        <v xml:space="preserve"> </v>
      </c>
      <c r="AA171" s="14"/>
      <c r="AB171" s="14"/>
      <c r="AC171" s="346">
        <f ca="1">LCI_Table[[#This Row],[Default Calculated Value]]-LCI_Table[[#This Row],[Calculated Value]]</f>
        <v>0</v>
      </c>
    </row>
    <row r="172" spans="1:29" x14ac:dyDescent="0.3">
      <c r="A1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CamelinaHEFAGREETGREET(blank)_Camelina_Farming_Residual_oilResidual oil</v>
      </c>
      <c r="B172" s="14" t="s">
        <v>127</v>
      </c>
      <c r="C172" s="14" t="s">
        <v>30</v>
      </c>
      <c r="D172" s="14" t="s">
        <v>29</v>
      </c>
      <c r="E172" s="48" t="s">
        <v>29</v>
      </c>
      <c r="F172" s="14" t="s">
        <v>31</v>
      </c>
      <c r="G172" s="14" t="b">
        <f>OR(LCI_Table[[#This Row],[Feedstock]]="All",LCI_Table[[#This Row],[Feedstock]]=SelectedFeedstock)</f>
        <v>0</v>
      </c>
      <c r="H172" s="14" t="b">
        <f>OR(LCI_Table[[#This Row],[Conversion]]="All",LCI_Table[[#This Row],[Conversion]]=SelectedConversion)</f>
        <v>1</v>
      </c>
      <c r="I172" s="14" t="b">
        <f>OR(LCI_Table[[#This Row],[Data Set]]="all",LCI_Table[[#This Row],[Data Set]]=SelectedDataSet)</f>
        <v>1</v>
      </c>
      <c r="J172" s="14" t="b">
        <f>OR(LCI_Table[[#This Row],[Technology]]="All",LCI_Table[[#This Row],[Technology]]=SelectedTechnology)</f>
        <v>1</v>
      </c>
      <c r="K172" s="14" t="b">
        <f>OR(LCI_Table[[#This Row],[Data Source]]="All",LCI_Table[[#This Row],[Data Source]]=SelectedDataSource)</f>
        <v>1</v>
      </c>
      <c r="L172" s="14" t="b">
        <f>TRUE</f>
        <v>1</v>
      </c>
      <c r="M172" s="14" t="b">
        <f>(LCI_Table[[#This Row],[Dev Notes]]="Do not display")</f>
        <v>0</v>
      </c>
      <c r="N172" s="14" t="b">
        <f>AND(LCI_Table[[#This Row],[Show Feedstock]:[Conditional]],NOT(LCI_Table[[#This Row],[Hide Row]]))</f>
        <v>0</v>
      </c>
      <c r="O172" s="14" t="b">
        <f>LCI_Table[[#This Row],[GREET1 Name Range]]=""</f>
        <v>0</v>
      </c>
      <c r="P172" s="14" t="s">
        <v>14</v>
      </c>
      <c r="Q172" s="14" t="s">
        <v>473</v>
      </c>
      <c r="R172" s="14" t="s">
        <v>115</v>
      </c>
      <c r="S172" s="37" cm="1">
        <f t="array" aca="1" ref="S1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2" s="346" t="s">
        <v>1484</v>
      </c>
      <c r="U172" s="347">
        <f ca="1">S172*Fuel_Specs!$B$28/S165*kg2ton</f>
        <v>0</v>
      </c>
      <c r="V172" s="347">
        <v>0</v>
      </c>
      <c r="W172" s="347">
        <v>0</v>
      </c>
      <c r="X172" s="14" t="s">
        <v>5</v>
      </c>
      <c r="Y172" s="346" t="s">
        <v>413</v>
      </c>
      <c r="Z172" s="14" t="str">
        <f>IF(ISBLANK(LCI_Table[[#This Row],[Notes for user]])," ",LCI_Table[[#This Row],[Notes for user]])</f>
        <v xml:space="preserve"> </v>
      </c>
      <c r="AA172" s="14"/>
      <c r="AB172" s="14"/>
      <c r="AC172" s="346">
        <f ca="1">LCI_Table[[#This Row],[Default Calculated Value]]-LCI_Table[[#This Row],[Calculated Value]]</f>
        <v>0</v>
      </c>
    </row>
    <row r="173" spans="1:29" x14ac:dyDescent="0.3">
      <c r="A1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CamelinaHEFAGREETGREET(blank)_Camelina_Farming_DieselDiesel</v>
      </c>
      <c r="B173" s="14" t="s">
        <v>127</v>
      </c>
      <c r="C173" s="14" t="s">
        <v>30</v>
      </c>
      <c r="D173" s="14" t="s">
        <v>29</v>
      </c>
      <c r="E173" s="48" t="s">
        <v>29</v>
      </c>
      <c r="F173" s="14" t="s">
        <v>31</v>
      </c>
      <c r="G173" s="14" t="b">
        <f>OR(LCI_Table[[#This Row],[Feedstock]]="All",LCI_Table[[#This Row],[Feedstock]]=SelectedFeedstock)</f>
        <v>0</v>
      </c>
      <c r="H173" s="14" t="b">
        <f>OR(LCI_Table[[#This Row],[Conversion]]="All",LCI_Table[[#This Row],[Conversion]]=SelectedConversion)</f>
        <v>1</v>
      </c>
      <c r="I173" s="14" t="b">
        <f>OR(LCI_Table[[#This Row],[Data Set]]="all",LCI_Table[[#This Row],[Data Set]]=SelectedDataSet)</f>
        <v>1</v>
      </c>
      <c r="J173" s="14" t="b">
        <f>OR(LCI_Table[[#This Row],[Technology]]="All",LCI_Table[[#This Row],[Technology]]=SelectedTechnology)</f>
        <v>1</v>
      </c>
      <c r="K173" s="14" t="b">
        <f>OR(LCI_Table[[#This Row],[Data Source]]="All",LCI_Table[[#This Row],[Data Source]]=SelectedDataSource)</f>
        <v>1</v>
      </c>
      <c r="L173" s="14" t="b">
        <f>TRUE</f>
        <v>1</v>
      </c>
      <c r="M173" s="14" t="b">
        <f>(LCI_Table[[#This Row],[Dev Notes]]="Do not display")</f>
        <v>0</v>
      </c>
      <c r="N173" s="14" t="b">
        <f>AND(LCI_Table[[#This Row],[Show Feedstock]:[Conditional]],NOT(LCI_Table[[#This Row],[Hide Row]]))</f>
        <v>0</v>
      </c>
      <c r="O173" s="14" t="b">
        <f>LCI_Table[[#This Row],[GREET1 Name Range]]=""</f>
        <v>0</v>
      </c>
      <c r="P173" s="14" t="s">
        <v>14</v>
      </c>
      <c r="Q173" s="14" t="s">
        <v>463</v>
      </c>
      <c r="R173" s="14" t="s">
        <v>106</v>
      </c>
      <c r="S173" s="37" cm="1">
        <f t="array" aca="1" ref="S1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4.9653226047118499</v>
      </c>
      <c r="T173" s="346" t="s">
        <v>1484</v>
      </c>
      <c r="U173" s="347">
        <f ca="1">S173*Fuel_Specs!$B$19/S165*kg2ton</f>
        <v>1117.7482526622978</v>
      </c>
      <c r="V173" s="347">
        <v>4.9653226047118499</v>
      </c>
      <c r="W173" s="347">
        <v>1117.7482526622978</v>
      </c>
      <c r="X173" s="14" t="s">
        <v>5</v>
      </c>
      <c r="Y173" s="346" t="s">
        <v>413</v>
      </c>
      <c r="Z173" s="14" t="str">
        <f>IF(ISBLANK(LCI_Table[[#This Row],[Notes for user]])," ",LCI_Table[[#This Row],[Notes for user]])</f>
        <v xml:space="preserve"> </v>
      </c>
      <c r="AA173" s="14"/>
      <c r="AB173" s="14"/>
      <c r="AC173" s="346">
        <f ca="1">LCI_Table[[#This Row],[Default Calculated Value]]-LCI_Table[[#This Row],[Calculated Value]]</f>
        <v>0</v>
      </c>
    </row>
    <row r="174" spans="1:29" x14ac:dyDescent="0.3">
      <c r="A1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CamelinaHEFAGREETGREET(blank)_Camelina_Farming_GasolineGasoline</v>
      </c>
      <c r="B174" s="14" t="s">
        <v>127</v>
      </c>
      <c r="C174" s="14" t="s">
        <v>30</v>
      </c>
      <c r="D174" s="14" t="s">
        <v>29</v>
      </c>
      <c r="E174" s="48" t="s">
        <v>29</v>
      </c>
      <c r="F174" s="14" t="s">
        <v>31</v>
      </c>
      <c r="G174" s="14" t="b">
        <f>OR(LCI_Table[[#This Row],[Feedstock]]="All",LCI_Table[[#This Row],[Feedstock]]=SelectedFeedstock)</f>
        <v>0</v>
      </c>
      <c r="H174" s="14" t="b">
        <f>OR(LCI_Table[[#This Row],[Conversion]]="All",LCI_Table[[#This Row],[Conversion]]=SelectedConversion)</f>
        <v>1</v>
      </c>
      <c r="I174" s="14" t="b">
        <f>OR(LCI_Table[[#This Row],[Data Set]]="all",LCI_Table[[#This Row],[Data Set]]=SelectedDataSet)</f>
        <v>1</v>
      </c>
      <c r="J174" s="14" t="b">
        <f>OR(LCI_Table[[#This Row],[Technology]]="All",LCI_Table[[#This Row],[Technology]]=SelectedTechnology)</f>
        <v>1</v>
      </c>
      <c r="K174" s="14" t="b">
        <f>OR(LCI_Table[[#This Row],[Data Source]]="All",LCI_Table[[#This Row],[Data Source]]=SelectedDataSource)</f>
        <v>1</v>
      </c>
      <c r="L174" s="14" t="b">
        <f>TRUE</f>
        <v>1</v>
      </c>
      <c r="M174" s="14" t="b">
        <f>(LCI_Table[[#This Row],[Dev Notes]]="Do not display")</f>
        <v>0</v>
      </c>
      <c r="N174" s="14" t="b">
        <f>AND(LCI_Table[[#This Row],[Show Feedstock]:[Conditional]],NOT(LCI_Table[[#This Row],[Hide Row]]))</f>
        <v>0</v>
      </c>
      <c r="O174" s="14" t="b">
        <f>LCI_Table[[#This Row],[GREET1 Name Range]]=""</f>
        <v>0</v>
      </c>
      <c r="P174" s="14" t="s">
        <v>14</v>
      </c>
      <c r="Q174" s="14" t="s">
        <v>465</v>
      </c>
      <c r="R174" s="14" t="s">
        <v>107</v>
      </c>
      <c r="S174" s="37" cm="1">
        <f t="array" aca="1" ref="S1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4" s="346" t="s">
        <v>1484</v>
      </c>
      <c r="U174" s="347">
        <f ca="1">S174*Fuel_Specs!$B$15/S165*kg2ton</f>
        <v>0</v>
      </c>
      <c r="V174" s="347">
        <v>0</v>
      </c>
      <c r="W174" s="347">
        <v>0</v>
      </c>
      <c r="X174" s="14" t="s">
        <v>5</v>
      </c>
      <c r="Y174" s="346" t="s">
        <v>413</v>
      </c>
      <c r="Z174" s="14" t="str">
        <f>IF(ISBLANK(LCI_Table[[#This Row],[Notes for user]])," ",LCI_Table[[#This Row],[Notes for user]])</f>
        <v xml:space="preserve"> </v>
      </c>
      <c r="AA174" s="14"/>
      <c r="AB174" s="14"/>
      <c r="AC174" s="346">
        <f ca="1">LCI_Table[[#This Row],[Default Calculated Value]]-LCI_Table[[#This Row],[Calculated Value]]</f>
        <v>0</v>
      </c>
    </row>
    <row r="175" spans="1:29" x14ac:dyDescent="0.3">
      <c r="A1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CamelinaHEFAGREETGREET(blank)_Camelina_Farming_Natural_gasNatural gas</v>
      </c>
      <c r="B175" s="14" t="s">
        <v>127</v>
      </c>
      <c r="C175" s="14" t="s">
        <v>30</v>
      </c>
      <c r="D175" s="14" t="s">
        <v>29</v>
      </c>
      <c r="E175" s="48" t="s">
        <v>29</v>
      </c>
      <c r="F175" s="14" t="s">
        <v>31</v>
      </c>
      <c r="G175" s="14" t="b">
        <f>OR(LCI_Table[[#This Row],[Feedstock]]="All",LCI_Table[[#This Row],[Feedstock]]=SelectedFeedstock)</f>
        <v>0</v>
      </c>
      <c r="H175" s="14" t="b">
        <f>OR(LCI_Table[[#This Row],[Conversion]]="All",LCI_Table[[#This Row],[Conversion]]=SelectedConversion)</f>
        <v>1</v>
      </c>
      <c r="I175" s="14" t="b">
        <f>OR(LCI_Table[[#This Row],[Data Set]]="all",LCI_Table[[#This Row],[Data Set]]=SelectedDataSet)</f>
        <v>1</v>
      </c>
      <c r="J175" s="14" t="b">
        <f>OR(LCI_Table[[#This Row],[Technology]]="All",LCI_Table[[#This Row],[Technology]]=SelectedTechnology)</f>
        <v>1</v>
      </c>
      <c r="K175" s="14" t="b">
        <f>OR(LCI_Table[[#This Row],[Data Source]]="All",LCI_Table[[#This Row],[Data Source]]=SelectedDataSource)</f>
        <v>1</v>
      </c>
      <c r="L175" s="14" t="b">
        <f>TRUE</f>
        <v>1</v>
      </c>
      <c r="M175" s="14" t="b">
        <f>(LCI_Table[[#This Row],[Dev Notes]]="Do not display")</f>
        <v>0</v>
      </c>
      <c r="N175" s="14" t="b">
        <f>AND(LCI_Table[[#This Row],[Show Feedstock]:[Conditional]],NOT(LCI_Table[[#This Row],[Hide Row]]))</f>
        <v>0</v>
      </c>
      <c r="O175" s="14" t="b">
        <f>LCI_Table[[#This Row],[GREET1 Name Range]]=""</f>
        <v>0</v>
      </c>
      <c r="P175" s="14" t="s">
        <v>14</v>
      </c>
      <c r="Q175" s="14" t="s">
        <v>470</v>
      </c>
      <c r="R175" s="14" t="s">
        <v>108</v>
      </c>
      <c r="S175" s="37" cm="1">
        <f t="array" aca="1" ref="S1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5" s="346" t="s">
        <v>2109</v>
      </c>
      <c r="U175" s="347">
        <f ca="1">S175*Fuel_Specs!$B$79/S165*kg2ton</f>
        <v>0</v>
      </c>
      <c r="V175" s="347">
        <v>0</v>
      </c>
      <c r="W175" s="347">
        <v>0</v>
      </c>
      <c r="X175" s="14" t="s">
        <v>351</v>
      </c>
      <c r="Y175" s="346" t="s">
        <v>413</v>
      </c>
      <c r="Z175" s="14" t="str">
        <f>IF(ISBLANK(LCI_Table[[#This Row],[Notes for user]])," ",LCI_Table[[#This Row],[Notes for user]])</f>
        <v xml:space="preserve"> </v>
      </c>
      <c r="AA175" s="14"/>
      <c r="AB175" s="14"/>
      <c r="AC175" s="346">
        <f ca="1">LCI_Table[[#This Row],[Default Calculated Value]]-LCI_Table[[#This Row],[Calculated Value]]</f>
        <v>0</v>
      </c>
    </row>
    <row r="176" spans="1:29" x14ac:dyDescent="0.3">
      <c r="A1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CamelinaHEFAGREETGREET(blank)_Camelina_Farming_CoalCoal</v>
      </c>
      <c r="B176" s="14" t="s">
        <v>127</v>
      </c>
      <c r="C176" s="14" t="s">
        <v>30</v>
      </c>
      <c r="D176" s="14" t="s">
        <v>29</v>
      </c>
      <c r="E176" s="48" t="s">
        <v>29</v>
      </c>
      <c r="F176" s="14" t="s">
        <v>31</v>
      </c>
      <c r="G176" s="14" t="b">
        <f>OR(LCI_Table[[#This Row],[Feedstock]]="All",LCI_Table[[#This Row],[Feedstock]]=SelectedFeedstock)</f>
        <v>0</v>
      </c>
      <c r="H176" s="14" t="b">
        <f>OR(LCI_Table[[#This Row],[Conversion]]="All",LCI_Table[[#This Row],[Conversion]]=SelectedConversion)</f>
        <v>1</v>
      </c>
      <c r="I176" s="14" t="b">
        <f>OR(LCI_Table[[#This Row],[Data Set]]="all",LCI_Table[[#This Row],[Data Set]]=SelectedDataSet)</f>
        <v>1</v>
      </c>
      <c r="J176" s="14" t="b">
        <f>OR(LCI_Table[[#This Row],[Technology]]="All",LCI_Table[[#This Row],[Technology]]=SelectedTechnology)</f>
        <v>1</v>
      </c>
      <c r="K176" s="14" t="b">
        <f>OR(LCI_Table[[#This Row],[Data Source]]="All",LCI_Table[[#This Row],[Data Source]]=SelectedDataSource)</f>
        <v>1</v>
      </c>
      <c r="L176" s="14" t="b">
        <f>TRUE</f>
        <v>1</v>
      </c>
      <c r="M176" s="14" t="b">
        <f>(LCI_Table[[#This Row],[Dev Notes]]="Do not display")</f>
        <v>0</v>
      </c>
      <c r="N176" s="14" t="b">
        <f>AND(LCI_Table[[#This Row],[Show Feedstock]:[Conditional]],NOT(LCI_Table[[#This Row],[Hide Row]]))</f>
        <v>0</v>
      </c>
      <c r="O176" s="14" t="b">
        <f>LCI_Table[[#This Row],[GREET1 Name Range]]=""</f>
        <v>0</v>
      </c>
      <c r="P176" s="14" t="s">
        <v>14</v>
      </c>
      <c r="Q176" s="14" t="s">
        <v>462</v>
      </c>
      <c r="R176" s="14" t="s">
        <v>9</v>
      </c>
      <c r="S176" s="37" cm="1">
        <f t="array" aca="1" ref="S1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6" s="346" t="s">
        <v>2110</v>
      </c>
      <c r="U176" s="347">
        <f ca="1">S176/S165*kg2ton</f>
        <v>0</v>
      </c>
      <c r="V176" s="347">
        <v>0</v>
      </c>
      <c r="W176" s="347">
        <v>0</v>
      </c>
      <c r="X176" s="14" t="s">
        <v>117</v>
      </c>
      <c r="Y176" s="346" t="s">
        <v>413</v>
      </c>
      <c r="Z176" s="14" t="str">
        <f>IF(ISBLANK(LCI_Table[[#This Row],[Notes for user]])," ",LCI_Table[[#This Row],[Notes for user]])</f>
        <v xml:space="preserve"> </v>
      </c>
      <c r="AA176" s="14"/>
      <c r="AB176" s="14"/>
      <c r="AC176" s="346">
        <f ca="1">LCI_Table[[#This Row],[Default Calculated Value]]-LCI_Table[[#This Row],[Calculated Value]]</f>
        <v>0</v>
      </c>
    </row>
    <row r="177" spans="1:29" x14ac:dyDescent="0.3">
      <c r="A1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CamelinaHEFAGREETGREET(blank)_Camelina_Farming_LPGLPG</v>
      </c>
      <c r="B177" s="14" t="s">
        <v>127</v>
      </c>
      <c r="C177" s="14" t="s">
        <v>30</v>
      </c>
      <c r="D177" s="14" t="s">
        <v>29</v>
      </c>
      <c r="E177" s="48" t="s">
        <v>29</v>
      </c>
      <c r="F177" s="14" t="s">
        <v>31</v>
      </c>
      <c r="G177" s="14" t="b">
        <f>OR(LCI_Table[[#This Row],[Feedstock]]="All",LCI_Table[[#This Row],[Feedstock]]=SelectedFeedstock)</f>
        <v>0</v>
      </c>
      <c r="H177" s="14" t="b">
        <f>OR(LCI_Table[[#This Row],[Conversion]]="All",LCI_Table[[#This Row],[Conversion]]=SelectedConversion)</f>
        <v>1</v>
      </c>
      <c r="I177" s="14" t="b">
        <f>OR(LCI_Table[[#This Row],[Data Set]]="all",LCI_Table[[#This Row],[Data Set]]=SelectedDataSet)</f>
        <v>1</v>
      </c>
      <c r="J177" s="14" t="b">
        <f>OR(LCI_Table[[#This Row],[Technology]]="All",LCI_Table[[#This Row],[Technology]]=SelectedTechnology)</f>
        <v>1</v>
      </c>
      <c r="K177" s="14" t="b">
        <f>OR(LCI_Table[[#This Row],[Data Source]]="All",LCI_Table[[#This Row],[Data Source]]=SelectedDataSource)</f>
        <v>1</v>
      </c>
      <c r="L177" s="14" t="b">
        <f>TRUE</f>
        <v>1</v>
      </c>
      <c r="M177" s="14" t="b">
        <f>(LCI_Table[[#This Row],[Dev Notes]]="Do not display")</f>
        <v>0</v>
      </c>
      <c r="N177" s="14" t="b">
        <f>AND(LCI_Table[[#This Row],[Show Feedstock]:[Conditional]],NOT(LCI_Table[[#This Row],[Hide Row]]))</f>
        <v>0</v>
      </c>
      <c r="O177" s="14" t="b">
        <f>LCI_Table[[#This Row],[GREET1 Name Range]]=""</f>
        <v>0</v>
      </c>
      <c r="P177" s="14" t="s">
        <v>14</v>
      </c>
      <c r="Q177" s="14" t="s">
        <v>469</v>
      </c>
      <c r="R177" s="14" t="s">
        <v>109</v>
      </c>
      <c r="S177" s="37" cm="1">
        <f t="array" aca="1" ref="S1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7" s="346" t="s">
        <v>1484</v>
      </c>
      <c r="U177" s="347">
        <f ca="1">S177*Fuel_Specs!$B$35/S165*kg2ton</f>
        <v>0</v>
      </c>
      <c r="V177" s="347">
        <v>0</v>
      </c>
      <c r="W177" s="347">
        <v>0</v>
      </c>
      <c r="X177" s="14" t="s">
        <v>5</v>
      </c>
      <c r="Y177" s="346" t="s">
        <v>413</v>
      </c>
      <c r="Z177" s="14" t="str">
        <f>IF(ISBLANK(LCI_Table[[#This Row],[Notes for user]])," ",LCI_Table[[#This Row],[Notes for user]])</f>
        <v xml:space="preserve"> </v>
      </c>
      <c r="AA177" s="14"/>
      <c r="AB177" s="14"/>
      <c r="AC177" s="346">
        <f ca="1">LCI_Table[[#This Row],[Default Calculated Value]]-LCI_Table[[#This Row],[Calculated Value]]</f>
        <v>0</v>
      </c>
    </row>
    <row r="178" spans="1:29" x14ac:dyDescent="0.3">
      <c r="A1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CamelinaHEFAGREETGREET(blank)_Camelina_Farming_ElectricityElectricity</v>
      </c>
      <c r="B178" s="14" t="s">
        <v>127</v>
      </c>
      <c r="C178" s="14" t="s">
        <v>30</v>
      </c>
      <c r="D178" s="14" t="s">
        <v>29</v>
      </c>
      <c r="E178" s="48" t="s">
        <v>29</v>
      </c>
      <c r="F178" s="14" t="s">
        <v>31</v>
      </c>
      <c r="G178" s="14" t="b">
        <f>OR(LCI_Table[[#This Row],[Feedstock]]="All",LCI_Table[[#This Row],[Feedstock]]=SelectedFeedstock)</f>
        <v>0</v>
      </c>
      <c r="H178" s="14" t="b">
        <f>OR(LCI_Table[[#This Row],[Conversion]]="All",LCI_Table[[#This Row],[Conversion]]=SelectedConversion)</f>
        <v>1</v>
      </c>
      <c r="I178" s="14" t="b">
        <f>OR(LCI_Table[[#This Row],[Data Set]]="all",LCI_Table[[#This Row],[Data Set]]=SelectedDataSet)</f>
        <v>1</v>
      </c>
      <c r="J178" s="14" t="b">
        <f>OR(LCI_Table[[#This Row],[Technology]]="All",LCI_Table[[#This Row],[Technology]]=SelectedTechnology)</f>
        <v>1</v>
      </c>
      <c r="K178" s="14" t="b">
        <f>OR(LCI_Table[[#This Row],[Data Source]]="All",LCI_Table[[#This Row],[Data Source]]=SelectedDataSource)</f>
        <v>1</v>
      </c>
      <c r="L178" s="14" t="b">
        <f>TRUE</f>
        <v>1</v>
      </c>
      <c r="M178" s="14" t="b">
        <f>(LCI_Table[[#This Row],[Dev Notes]]="Do not display")</f>
        <v>0</v>
      </c>
      <c r="N178" s="14" t="b">
        <f>AND(LCI_Table[[#This Row],[Show Feedstock]:[Conditional]],NOT(LCI_Table[[#This Row],[Hide Row]]))</f>
        <v>0</v>
      </c>
      <c r="O178" s="14" t="b">
        <f>LCI_Table[[#This Row],[GREET1 Name Range]]=""</f>
        <v>0</v>
      </c>
      <c r="P178" s="14" t="s">
        <v>14</v>
      </c>
      <c r="Q178" s="14" t="s">
        <v>464</v>
      </c>
      <c r="R178" s="14" t="s">
        <v>110</v>
      </c>
      <c r="S178" s="37" cm="1">
        <f t="array" aca="1" ref="S1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8" s="346" t="s">
        <v>1561</v>
      </c>
      <c r="U178" s="347">
        <f ca="1">S178/BTU2kWh/S165*kg2ton</f>
        <v>0</v>
      </c>
      <c r="V178" s="347">
        <v>0</v>
      </c>
      <c r="W178" s="347">
        <v>0</v>
      </c>
      <c r="X178" s="14" t="s">
        <v>51</v>
      </c>
      <c r="Y178" s="346" t="s">
        <v>413</v>
      </c>
      <c r="Z178" s="14" t="str">
        <f>IF(ISBLANK(LCI_Table[[#This Row],[Notes for user]])," ",LCI_Table[[#This Row],[Notes for user]])</f>
        <v xml:space="preserve"> </v>
      </c>
      <c r="AA178" s="14"/>
      <c r="AB178" s="14"/>
      <c r="AC178" s="346">
        <f ca="1">LCI_Table[[#This Row],[Default Calculated Value]]-LCI_Table[[#This Row],[Calculated Value]]</f>
        <v>0</v>
      </c>
    </row>
    <row r="179" spans="1:29" x14ac:dyDescent="0.3">
      <c r="A1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dash_CamelinaHEFAGREETGREET(blank)_Camelina_Extraction</v>
      </c>
      <c r="B179" s="14" t="s">
        <v>127</v>
      </c>
      <c r="C179" s="14" t="s">
        <v>30</v>
      </c>
      <c r="D179" s="14" t="s">
        <v>29</v>
      </c>
      <c r="E179" s="48" t="s">
        <v>29</v>
      </c>
      <c r="F179" s="14" t="s">
        <v>31</v>
      </c>
      <c r="G179" s="14" t="b">
        <f>OR(LCI_Table[[#This Row],[Feedstock]]="All",LCI_Table[[#This Row],[Feedstock]]=SelectedFeedstock)</f>
        <v>0</v>
      </c>
      <c r="H179" s="14" t="b">
        <f>OR(LCI_Table[[#This Row],[Conversion]]="All",LCI_Table[[#This Row],[Conversion]]=SelectedConversion)</f>
        <v>1</v>
      </c>
      <c r="I179" s="14" t="b">
        <f>OR(LCI_Table[[#This Row],[Data Set]]="all",LCI_Table[[#This Row],[Data Set]]=SelectedDataSet)</f>
        <v>1</v>
      </c>
      <c r="J179" s="14" t="b">
        <f>OR(LCI_Table[[#This Row],[Technology]]="All",LCI_Table[[#This Row],[Technology]]=SelectedTechnology)</f>
        <v>1</v>
      </c>
      <c r="K179" s="14" t="b">
        <f>OR(LCI_Table[[#This Row],[Data Source]]="All",LCI_Table[[#This Row],[Data Source]]=SelectedDataSource)</f>
        <v>1</v>
      </c>
      <c r="L179" s="14" t="b">
        <f>TRUE</f>
        <v>1</v>
      </c>
      <c r="M179" s="14" t="b">
        <f>(LCI_Table[[#This Row],[Dev Notes]]="Do not display")</f>
        <v>1</v>
      </c>
      <c r="N179" s="14" t="b">
        <f>AND(LCI_Table[[#This Row],[Show Feedstock]:[Conditional]],NOT(LCI_Table[[#This Row],[Hide Row]]))</f>
        <v>0</v>
      </c>
      <c r="O179" s="14" t="b">
        <f>LCI_Table[[#This Row],[GREET1 Name Range]]=""</f>
        <v>1</v>
      </c>
      <c r="P179" s="14" t="s">
        <v>15</v>
      </c>
      <c r="Q179" s="14" t="s">
        <v>361</v>
      </c>
      <c r="R179" s="14" t="s">
        <v>127</v>
      </c>
      <c r="S179" s="37" cm="1">
        <f t="array" aca="1" ref="S1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2.4884259259259416</v>
      </c>
      <c r="T179" s="346" t="s">
        <v>2111</v>
      </c>
      <c r="U179" s="347">
        <f ca="1">S179/kg2lb</f>
        <v>1.12873101331019</v>
      </c>
      <c r="V179" s="347">
        <v>2.4884259259259416</v>
      </c>
      <c r="W179" s="347">
        <v>1.12873101331019</v>
      </c>
      <c r="X179" s="14" t="s">
        <v>12</v>
      </c>
      <c r="Y179" s="346" t="s">
        <v>891</v>
      </c>
      <c r="Z179" s="14" t="str">
        <f>IF(ISBLANK(LCI_Table[[#This Row],[Notes for user]])," ",LCI_Table[[#This Row],[Notes for user]])</f>
        <v xml:space="preserve"> </v>
      </c>
      <c r="AA179" s="348"/>
      <c r="AB179" s="348" t="s">
        <v>1138</v>
      </c>
      <c r="AC179" s="346">
        <f ca="1">LCI_Table[[#This Row],[Default Calculated Value]]-LCI_Table[[#This Row],[Calculated Value]]</f>
        <v>0</v>
      </c>
    </row>
    <row r="180" spans="1:29" x14ac:dyDescent="0.3">
      <c r="A1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CamelinaHEFAGREETGREET(blank)_Camelina_Extraction_Residual_oilResidual oil</v>
      </c>
      <c r="B180" s="14" t="s">
        <v>127</v>
      </c>
      <c r="C180" s="14" t="s">
        <v>30</v>
      </c>
      <c r="D180" s="14" t="s">
        <v>29</v>
      </c>
      <c r="E180" s="48" t="s">
        <v>29</v>
      </c>
      <c r="F180" s="14" t="s">
        <v>31</v>
      </c>
      <c r="G180" s="14" t="b">
        <f>OR(LCI_Table[[#This Row],[Feedstock]]="All",LCI_Table[[#This Row],[Feedstock]]=SelectedFeedstock)</f>
        <v>0</v>
      </c>
      <c r="H180" s="14" t="b">
        <f>OR(LCI_Table[[#This Row],[Conversion]]="All",LCI_Table[[#This Row],[Conversion]]=SelectedConversion)</f>
        <v>1</v>
      </c>
      <c r="I180" s="14" t="b">
        <f>OR(LCI_Table[[#This Row],[Data Set]]="all",LCI_Table[[#This Row],[Data Set]]=SelectedDataSet)</f>
        <v>1</v>
      </c>
      <c r="J180" s="14" t="b">
        <f>OR(LCI_Table[[#This Row],[Technology]]="All",LCI_Table[[#This Row],[Technology]]=SelectedTechnology)</f>
        <v>1</v>
      </c>
      <c r="K180" s="14" t="b">
        <f>OR(LCI_Table[[#This Row],[Data Source]]="All",LCI_Table[[#This Row],[Data Source]]=SelectedDataSource)</f>
        <v>1</v>
      </c>
      <c r="L180" s="14" t="b">
        <f>TRUE</f>
        <v>1</v>
      </c>
      <c r="M180" s="14" t="b">
        <f>(LCI_Table[[#This Row],[Dev Notes]]="Do not display")</f>
        <v>0</v>
      </c>
      <c r="N180" s="14" t="b">
        <f>AND(LCI_Table[[#This Row],[Show Feedstock]:[Conditional]],NOT(LCI_Table[[#This Row],[Hide Row]]))</f>
        <v>0</v>
      </c>
      <c r="O180" s="14" t="b">
        <f>LCI_Table[[#This Row],[GREET1 Name Range]]=""</f>
        <v>0</v>
      </c>
      <c r="P180" s="14" t="s">
        <v>15</v>
      </c>
      <c r="Q180" s="14" t="s">
        <v>460</v>
      </c>
      <c r="R180" s="14" t="s">
        <v>115</v>
      </c>
      <c r="S180" s="37" cm="1">
        <f t="array" aca="1" ref="S1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0" s="346" t="s">
        <v>2112</v>
      </c>
      <c r="U180" s="347">
        <f ca="1">S180*Fuel_Specs!$B$28</f>
        <v>0</v>
      </c>
      <c r="V180" s="347">
        <v>0</v>
      </c>
      <c r="W180" s="347">
        <v>0</v>
      </c>
      <c r="X180" s="14" t="s">
        <v>5</v>
      </c>
      <c r="Y180" s="346" t="s">
        <v>891</v>
      </c>
      <c r="Z180" s="14" t="str">
        <f>IF(ISBLANK(LCI_Table[[#This Row],[Notes for user]])," ",LCI_Table[[#This Row],[Notes for user]])</f>
        <v xml:space="preserve"> </v>
      </c>
      <c r="AA180" s="14"/>
      <c r="AB180" s="14"/>
      <c r="AC180" s="346">
        <f ca="1">LCI_Table[[#This Row],[Default Calculated Value]]-LCI_Table[[#This Row],[Calculated Value]]</f>
        <v>0</v>
      </c>
    </row>
    <row r="181" spans="1:29" x14ac:dyDescent="0.3">
      <c r="A1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CamelinaHEFAGREETGREET(blank)_Camelina_Extraction_DieselDiesel</v>
      </c>
      <c r="B181" s="14" t="s">
        <v>127</v>
      </c>
      <c r="C181" s="14" t="s">
        <v>30</v>
      </c>
      <c r="D181" s="14" t="s">
        <v>29</v>
      </c>
      <c r="E181" s="48" t="s">
        <v>29</v>
      </c>
      <c r="F181" s="14" t="s">
        <v>31</v>
      </c>
      <c r="G181" s="14" t="b">
        <f>OR(LCI_Table[[#This Row],[Feedstock]]="All",LCI_Table[[#This Row],[Feedstock]]=SelectedFeedstock)</f>
        <v>0</v>
      </c>
      <c r="H181" s="14" t="b">
        <f>OR(LCI_Table[[#This Row],[Conversion]]="All",LCI_Table[[#This Row],[Conversion]]=SelectedConversion)</f>
        <v>1</v>
      </c>
      <c r="I181" s="14" t="b">
        <f>OR(LCI_Table[[#This Row],[Data Set]]="all",LCI_Table[[#This Row],[Data Set]]=SelectedDataSet)</f>
        <v>1</v>
      </c>
      <c r="J181" s="14" t="b">
        <f>OR(LCI_Table[[#This Row],[Technology]]="All",LCI_Table[[#This Row],[Technology]]=SelectedTechnology)</f>
        <v>1</v>
      </c>
      <c r="K181" s="14" t="b">
        <f>OR(LCI_Table[[#This Row],[Data Source]]="All",LCI_Table[[#This Row],[Data Source]]=SelectedDataSource)</f>
        <v>1</v>
      </c>
      <c r="L181" s="14" t="b">
        <f>TRUE</f>
        <v>1</v>
      </c>
      <c r="M181" s="14" t="b">
        <f>(LCI_Table[[#This Row],[Dev Notes]]="Do not display")</f>
        <v>0</v>
      </c>
      <c r="N181" s="14" t="b">
        <f>AND(LCI_Table[[#This Row],[Show Feedstock]:[Conditional]],NOT(LCI_Table[[#This Row],[Hide Row]]))</f>
        <v>0</v>
      </c>
      <c r="O181" s="14" t="b">
        <f>LCI_Table[[#This Row],[GREET1 Name Range]]=""</f>
        <v>0</v>
      </c>
      <c r="P181" s="14" t="s">
        <v>15</v>
      </c>
      <c r="Q181" s="14" t="s">
        <v>452</v>
      </c>
      <c r="R181" s="14" t="s">
        <v>106</v>
      </c>
      <c r="S181" s="37" cm="1">
        <f t="array" aca="1" ref="S1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2.1466640716231999E-3</v>
      </c>
      <c r="T181" s="346" t="s">
        <v>2112</v>
      </c>
      <c r="U181" s="347">
        <f ca="1">S181*Fuel_Specs!$B$19</f>
        <v>275.73900000000003</v>
      </c>
      <c r="V181" s="347">
        <v>2.1466640716231999E-3</v>
      </c>
      <c r="W181" s="347">
        <v>275.73900000000003</v>
      </c>
      <c r="X181" s="14" t="s">
        <v>5</v>
      </c>
      <c r="Y181" s="346" t="s">
        <v>891</v>
      </c>
      <c r="Z181" s="14" t="str">
        <f>IF(ISBLANK(LCI_Table[[#This Row],[Notes for user]])," ",LCI_Table[[#This Row],[Notes for user]])</f>
        <v xml:space="preserve"> </v>
      </c>
      <c r="AA181" s="14"/>
      <c r="AB181" s="14"/>
      <c r="AC181" s="346">
        <f ca="1">LCI_Table[[#This Row],[Default Calculated Value]]-LCI_Table[[#This Row],[Calculated Value]]</f>
        <v>0</v>
      </c>
    </row>
    <row r="182" spans="1:29" x14ac:dyDescent="0.3">
      <c r="A1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CamelinaHEFAGREETGREET(blank)_Camelina_Extraction_GasolineGasoline</v>
      </c>
      <c r="B182" s="14" t="s">
        <v>127</v>
      </c>
      <c r="C182" s="14" t="s">
        <v>30</v>
      </c>
      <c r="D182" s="14" t="s">
        <v>29</v>
      </c>
      <c r="E182" s="48" t="s">
        <v>29</v>
      </c>
      <c r="F182" s="14" t="s">
        <v>31</v>
      </c>
      <c r="G182" s="14" t="b">
        <f>OR(LCI_Table[[#This Row],[Feedstock]]="All",LCI_Table[[#This Row],[Feedstock]]=SelectedFeedstock)</f>
        <v>0</v>
      </c>
      <c r="H182" s="14" t="b">
        <f>OR(LCI_Table[[#This Row],[Conversion]]="All",LCI_Table[[#This Row],[Conversion]]=SelectedConversion)</f>
        <v>1</v>
      </c>
      <c r="I182" s="14" t="b">
        <f>OR(LCI_Table[[#This Row],[Data Set]]="all",LCI_Table[[#This Row],[Data Set]]=SelectedDataSet)</f>
        <v>1</v>
      </c>
      <c r="J182" s="14" t="b">
        <f>OR(LCI_Table[[#This Row],[Technology]]="All",LCI_Table[[#This Row],[Technology]]=SelectedTechnology)</f>
        <v>1</v>
      </c>
      <c r="K182" s="14" t="b">
        <f>OR(LCI_Table[[#This Row],[Data Source]]="All",LCI_Table[[#This Row],[Data Source]]=SelectedDataSource)</f>
        <v>1</v>
      </c>
      <c r="L182" s="14" t="b">
        <f>TRUE</f>
        <v>1</v>
      </c>
      <c r="M182" s="14" t="b">
        <f>(LCI_Table[[#This Row],[Dev Notes]]="Do not display")</f>
        <v>0</v>
      </c>
      <c r="N182" s="14" t="b">
        <f>AND(LCI_Table[[#This Row],[Show Feedstock]:[Conditional]],NOT(LCI_Table[[#This Row],[Hide Row]]))</f>
        <v>0</v>
      </c>
      <c r="O182" s="14" t="b">
        <f>LCI_Table[[#This Row],[GREET1 Name Range]]=""</f>
        <v>0</v>
      </c>
      <c r="P182" s="14" t="s">
        <v>15</v>
      </c>
      <c r="Q182" s="14" t="s">
        <v>455</v>
      </c>
      <c r="R182" s="14" t="s">
        <v>107</v>
      </c>
      <c r="S182" s="37" cm="1">
        <f t="array" aca="1" ref="S1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2" s="346" t="s">
        <v>2112</v>
      </c>
      <c r="U182" s="347">
        <f ca="1">S182*Fuel_Specs!$B$15</f>
        <v>0</v>
      </c>
      <c r="V182" s="347">
        <v>0</v>
      </c>
      <c r="W182" s="347">
        <v>0</v>
      </c>
      <c r="X182" s="14" t="s">
        <v>5</v>
      </c>
      <c r="Y182" s="346" t="s">
        <v>891</v>
      </c>
      <c r="Z182" s="14" t="str">
        <f>IF(ISBLANK(LCI_Table[[#This Row],[Notes for user]])," ",LCI_Table[[#This Row],[Notes for user]])</f>
        <v xml:space="preserve"> </v>
      </c>
      <c r="AA182" s="14"/>
      <c r="AB182" s="14"/>
      <c r="AC182" s="346">
        <f ca="1">LCI_Table[[#This Row],[Default Calculated Value]]-LCI_Table[[#This Row],[Calculated Value]]</f>
        <v>0</v>
      </c>
    </row>
    <row r="183" spans="1:29" x14ac:dyDescent="0.3">
      <c r="A1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CamelinaHEFAGREETGREET(blank)_Camelina_Extraction_Natural_gasNatural gas</v>
      </c>
      <c r="B183" s="14" t="s">
        <v>127</v>
      </c>
      <c r="C183" s="14" t="s">
        <v>30</v>
      </c>
      <c r="D183" s="14" t="s">
        <v>29</v>
      </c>
      <c r="E183" s="48" t="s">
        <v>29</v>
      </c>
      <c r="F183" s="14" t="s">
        <v>31</v>
      </c>
      <c r="G183" s="14" t="b">
        <f>OR(LCI_Table[[#This Row],[Feedstock]]="All",LCI_Table[[#This Row],[Feedstock]]=SelectedFeedstock)</f>
        <v>0</v>
      </c>
      <c r="H183" s="14" t="b">
        <f>OR(LCI_Table[[#This Row],[Conversion]]="All",LCI_Table[[#This Row],[Conversion]]=SelectedConversion)</f>
        <v>1</v>
      </c>
      <c r="I183" s="14" t="b">
        <f>OR(LCI_Table[[#This Row],[Data Set]]="all",LCI_Table[[#This Row],[Data Set]]=SelectedDataSet)</f>
        <v>1</v>
      </c>
      <c r="J183" s="14" t="b">
        <f>OR(LCI_Table[[#This Row],[Technology]]="All",LCI_Table[[#This Row],[Technology]]=SelectedTechnology)</f>
        <v>1</v>
      </c>
      <c r="K183" s="14" t="b">
        <f>OR(LCI_Table[[#This Row],[Data Source]]="All",LCI_Table[[#This Row],[Data Source]]=SelectedDataSource)</f>
        <v>1</v>
      </c>
      <c r="L183" s="14" t="b">
        <f>TRUE</f>
        <v>1</v>
      </c>
      <c r="M183" s="14" t="b">
        <f>(LCI_Table[[#This Row],[Dev Notes]]="Do not display")</f>
        <v>0</v>
      </c>
      <c r="N183" s="14" t="b">
        <f>AND(LCI_Table[[#This Row],[Show Feedstock]:[Conditional]],NOT(LCI_Table[[#This Row],[Hide Row]]))</f>
        <v>0</v>
      </c>
      <c r="O183" s="14" t="b">
        <f>LCI_Table[[#This Row],[GREET1 Name Range]]=""</f>
        <v>0</v>
      </c>
      <c r="P183" s="14" t="s">
        <v>15</v>
      </c>
      <c r="Q183" s="14" t="s">
        <v>459</v>
      </c>
      <c r="R183" s="14" t="s">
        <v>108</v>
      </c>
      <c r="S183" s="37" cm="1">
        <f t="array" aca="1" ref="S1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0.51207934893184126</v>
      </c>
      <c r="T183" s="346" t="s">
        <v>2113</v>
      </c>
      <c r="U183" s="347">
        <f ca="1">S183*Fuel_Specs!$B$79</f>
        <v>503.37399999999997</v>
      </c>
      <c r="V183" s="347">
        <v>0.51207934893184126</v>
      </c>
      <c r="W183" s="347">
        <v>503.37399999999997</v>
      </c>
      <c r="X183" s="14" t="s">
        <v>351</v>
      </c>
      <c r="Y183" s="346" t="s">
        <v>891</v>
      </c>
      <c r="Z183" s="14" t="str">
        <f>IF(ISBLANK(LCI_Table[[#This Row],[Notes for user]])," ",LCI_Table[[#This Row],[Notes for user]])</f>
        <v xml:space="preserve"> </v>
      </c>
      <c r="AA183" s="14"/>
      <c r="AB183" s="14"/>
      <c r="AC183" s="346">
        <f ca="1">LCI_Table[[#This Row],[Default Calculated Value]]-LCI_Table[[#This Row],[Calculated Value]]</f>
        <v>0</v>
      </c>
    </row>
    <row r="184" spans="1:29" x14ac:dyDescent="0.3">
      <c r="A1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CamelinaHEFAGREETGREET(blank)_Camelina_Extraction_CoalCoal</v>
      </c>
      <c r="B184" s="14" t="s">
        <v>127</v>
      </c>
      <c r="C184" s="14" t="s">
        <v>30</v>
      </c>
      <c r="D184" s="14" t="s">
        <v>29</v>
      </c>
      <c r="E184" s="48" t="s">
        <v>29</v>
      </c>
      <c r="F184" s="14" t="s">
        <v>31</v>
      </c>
      <c r="G184" s="14" t="b">
        <f>OR(LCI_Table[[#This Row],[Feedstock]]="All",LCI_Table[[#This Row],[Feedstock]]=SelectedFeedstock)</f>
        <v>0</v>
      </c>
      <c r="H184" s="14" t="b">
        <f>OR(LCI_Table[[#This Row],[Conversion]]="All",LCI_Table[[#This Row],[Conversion]]=SelectedConversion)</f>
        <v>1</v>
      </c>
      <c r="I184" s="14" t="b">
        <f>OR(LCI_Table[[#This Row],[Data Set]]="all",LCI_Table[[#This Row],[Data Set]]=SelectedDataSet)</f>
        <v>1</v>
      </c>
      <c r="J184" s="14" t="b">
        <f>OR(LCI_Table[[#This Row],[Technology]]="All",LCI_Table[[#This Row],[Technology]]=SelectedTechnology)</f>
        <v>1</v>
      </c>
      <c r="K184" s="14" t="b">
        <f>OR(LCI_Table[[#This Row],[Data Source]]="All",LCI_Table[[#This Row],[Data Source]]=SelectedDataSource)</f>
        <v>1</v>
      </c>
      <c r="L184" s="14" t="b">
        <f>TRUE</f>
        <v>1</v>
      </c>
      <c r="M184" s="14" t="b">
        <f>(LCI_Table[[#This Row],[Dev Notes]]="Do not display")</f>
        <v>0</v>
      </c>
      <c r="N184" s="14" t="b">
        <f>AND(LCI_Table[[#This Row],[Show Feedstock]:[Conditional]],NOT(LCI_Table[[#This Row],[Hide Row]]))</f>
        <v>0</v>
      </c>
      <c r="O184" s="14" t="b">
        <f>LCI_Table[[#This Row],[GREET1 Name Range]]=""</f>
        <v>0</v>
      </c>
      <c r="P184" s="14" t="s">
        <v>15</v>
      </c>
      <c r="Q184" s="14" t="s">
        <v>451</v>
      </c>
      <c r="R184" s="14" t="s">
        <v>9</v>
      </c>
      <c r="S184" s="37" cm="1">
        <f t="array" aca="1" ref="S1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4" s="346" t="s">
        <v>2114</v>
      </c>
      <c r="U184" s="347">
        <f ca="1">S184</f>
        <v>0</v>
      </c>
      <c r="V184" s="347">
        <v>0</v>
      </c>
      <c r="W184" s="347">
        <v>0</v>
      </c>
      <c r="X184" s="14" t="s">
        <v>117</v>
      </c>
      <c r="Y184" s="346" t="s">
        <v>891</v>
      </c>
      <c r="Z184" s="14" t="str">
        <f>IF(ISBLANK(LCI_Table[[#This Row],[Notes for user]])," ",LCI_Table[[#This Row],[Notes for user]])</f>
        <v xml:space="preserve"> </v>
      </c>
      <c r="AA184" s="14"/>
      <c r="AB184" s="14"/>
      <c r="AC184" s="346">
        <f ca="1">LCI_Table[[#This Row],[Default Calculated Value]]-LCI_Table[[#This Row],[Calculated Value]]</f>
        <v>0</v>
      </c>
    </row>
    <row r="185" spans="1:29" x14ac:dyDescent="0.3">
      <c r="A1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CamelinaHEFAGREETGREET(blank)_Camelina_Extraction_LPGLPG</v>
      </c>
      <c r="B185" s="14" t="s">
        <v>127</v>
      </c>
      <c r="C185" s="14" t="s">
        <v>30</v>
      </c>
      <c r="D185" s="14" t="s">
        <v>29</v>
      </c>
      <c r="E185" s="48" t="s">
        <v>29</v>
      </c>
      <c r="F185" s="14" t="s">
        <v>31</v>
      </c>
      <c r="G185" s="14" t="b">
        <f>OR(LCI_Table[[#This Row],[Feedstock]]="All",LCI_Table[[#This Row],[Feedstock]]=SelectedFeedstock)</f>
        <v>0</v>
      </c>
      <c r="H185" s="14" t="b">
        <f>OR(LCI_Table[[#This Row],[Conversion]]="All",LCI_Table[[#This Row],[Conversion]]=SelectedConversion)</f>
        <v>1</v>
      </c>
      <c r="I185" s="14" t="b">
        <f>OR(LCI_Table[[#This Row],[Data Set]]="all",LCI_Table[[#This Row],[Data Set]]=SelectedDataSet)</f>
        <v>1</v>
      </c>
      <c r="J185" s="14" t="b">
        <f>OR(LCI_Table[[#This Row],[Technology]]="All",LCI_Table[[#This Row],[Technology]]=SelectedTechnology)</f>
        <v>1</v>
      </c>
      <c r="K185" s="14" t="b">
        <f>OR(LCI_Table[[#This Row],[Data Source]]="All",LCI_Table[[#This Row],[Data Source]]=SelectedDataSource)</f>
        <v>1</v>
      </c>
      <c r="L185" s="14" t="b">
        <f>TRUE</f>
        <v>1</v>
      </c>
      <c r="M185" s="14" t="b">
        <f>(LCI_Table[[#This Row],[Dev Notes]]="Do not display")</f>
        <v>0</v>
      </c>
      <c r="N185" s="14" t="b">
        <f>AND(LCI_Table[[#This Row],[Show Feedstock]:[Conditional]],NOT(LCI_Table[[#This Row],[Hide Row]]))</f>
        <v>0</v>
      </c>
      <c r="O185" s="14" t="b">
        <f>LCI_Table[[#This Row],[GREET1 Name Range]]=""</f>
        <v>0</v>
      </c>
      <c r="P185" s="14" t="s">
        <v>15</v>
      </c>
      <c r="Q185" s="14" t="s">
        <v>457</v>
      </c>
      <c r="R185" s="14" t="s">
        <v>109</v>
      </c>
      <c r="S185" s="37" cm="1">
        <f t="array" aca="1" ref="S1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5" s="346" t="s">
        <v>2112</v>
      </c>
      <c r="U185" s="347">
        <f ca="1">S185*Fuel_Specs!$B$35</f>
        <v>0</v>
      </c>
      <c r="V185" s="347">
        <v>0</v>
      </c>
      <c r="W185" s="347">
        <v>0</v>
      </c>
      <c r="X185" s="14" t="s">
        <v>5</v>
      </c>
      <c r="Y185" s="346" t="s">
        <v>891</v>
      </c>
      <c r="Z185" s="14" t="str">
        <f>IF(ISBLANK(LCI_Table[[#This Row],[Notes for user]])," ",LCI_Table[[#This Row],[Notes for user]])</f>
        <v xml:space="preserve"> </v>
      </c>
      <c r="AA185" s="14"/>
      <c r="AB185" s="14"/>
      <c r="AC185" s="346">
        <f ca="1">LCI_Table[[#This Row],[Default Calculated Value]]-LCI_Table[[#This Row],[Calculated Value]]</f>
        <v>0</v>
      </c>
    </row>
    <row r="186" spans="1:29" x14ac:dyDescent="0.3">
      <c r="A1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CamelinaHEFAGREETGREET(blank)_Camelina_Extraction_ElectricityElectricity</v>
      </c>
      <c r="B186" s="14" t="s">
        <v>127</v>
      </c>
      <c r="C186" s="14" t="s">
        <v>30</v>
      </c>
      <c r="D186" s="14" t="s">
        <v>29</v>
      </c>
      <c r="E186" s="48" t="s">
        <v>29</v>
      </c>
      <c r="F186" s="14" t="s">
        <v>31</v>
      </c>
      <c r="G186" s="14" t="b">
        <f>OR(LCI_Table[[#This Row],[Feedstock]]="All",LCI_Table[[#This Row],[Feedstock]]=SelectedFeedstock)</f>
        <v>0</v>
      </c>
      <c r="H186" s="14" t="b">
        <f>OR(LCI_Table[[#This Row],[Conversion]]="All",LCI_Table[[#This Row],[Conversion]]=SelectedConversion)</f>
        <v>1</v>
      </c>
      <c r="I186" s="14" t="b">
        <f>OR(LCI_Table[[#This Row],[Data Set]]="all",LCI_Table[[#This Row],[Data Set]]=SelectedDataSet)</f>
        <v>1</v>
      </c>
      <c r="J186" s="14" t="b">
        <f>OR(LCI_Table[[#This Row],[Technology]]="All",LCI_Table[[#This Row],[Technology]]=SelectedTechnology)</f>
        <v>1</v>
      </c>
      <c r="K186" s="14" t="b">
        <f>OR(LCI_Table[[#This Row],[Data Source]]="All",LCI_Table[[#This Row],[Data Source]]=SelectedDataSource)</f>
        <v>1</v>
      </c>
      <c r="L186" s="14" t="b">
        <f>TRUE</f>
        <v>1</v>
      </c>
      <c r="M186" s="14" t="b">
        <f>(LCI_Table[[#This Row],[Dev Notes]]="Do not display")</f>
        <v>0</v>
      </c>
      <c r="N186" s="14" t="b">
        <f>AND(LCI_Table[[#This Row],[Show Feedstock]:[Conditional]],NOT(LCI_Table[[#This Row],[Hide Row]]))</f>
        <v>0</v>
      </c>
      <c r="O186" s="14" t="b">
        <f>LCI_Table[[#This Row],[GREET1 Name Range]]=""</f>
        <v>0</v>
      </c>
      <c r="P186" s="14" t="s">
        <v>15</v>
      </c>
      <c r="Q186" s="14" t="s">
        <v>453</v>
      </c>
      <c r="R186" s="14" t="s">
        <v>110</v>
      </c>
      <c r="S186" s="37" cm="1">
        <f t="array" aca="1" ref="S1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1.0573418043416667E-2</v>
      </c>
      <c r="T186" s="346" t="s">
        <v>2115</v>
      </c>
      <c r="U186" s="347">
        <f ca="1">S186/BTU2kWh</f>
        <v>36.078000000000003</v>
      </c>
      <c r="V186" s="347">
        <v>1.0573418043416667E-2</v>
      </c>
      <c r="W186" s="347">
        <v>36.078000000000003</v>
      </c>
      <c r="X186" s="14" t="s">
        <v>51</v>
      </c>
      <c r="Y186" s="346" t="s">
        <v>891</v>
      </c>
      <c r="Z186" s="14" t="str">
        <f>IF(ISBLANK(LCI_Table[[#This Row],[Notes for user]])," ",LCI_Table[[#This Row],[Notes for user]])</f>
        <v xml:space="preserve"> </v>
      </c>
      <c r="AA186" s="14"/>
      <c r="AB186" s="14"/>
      <c r="AC186" s="346">
        <f ca="1">LCI_Table[[#This Row],[Default Calculated Value]]-LCI_Table[[#This Row],[Calculated Value]]</f>
        <v>0</v>
      </c>
    </row>
    <row r="187" spans="1:29" x14ac:dyDescent="0.3">
      <c r="A1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CamelinaHEFAGREETGREET(blank)_Camelina_Extraction_N_hexaneN-hexane</v>
      </c>
      <c r="B187" s="14" t="s">
        <v>127</v>
      </c>
      <c r="C187" s="14" t="s">
        <v>30</v>
      </c>
      <c r="D187" s="14" t="s">
        <v>29</v>
      </c>
      <c r="E187" s="48" t="s">
        <v>29</v>
      </c>
      <c r="F187" s="14" t="s">
        <v>31</v>
      </c>
      <c r="G187" s="14" t="b">
        <f>OR(LCI_Table[[#This Row],[Feedstock]]="All",LCI_Table[[#This Row],[Feedstock]]=SelectedFeedstock)</f>
        <v>0</v>
      </c>
      <c r="H187" s="14" t="b">
        <f>OR(LCI_Table[[#This Row],[Conversion]]="All",LCI_Table[[#This Row],[Conversion]]=SelectedConversion)</f>
        <v>1</v>
      </c>
      <c r="I187" s="14" t="b">
        <f>OR(LCI_Table[[#This Row],[Data Set]]="all",LCI_Table[[#This Row],[Data Set]]=SelectedDataSet)</f>
        <v>1</v>
      </c>
      <c r="J187" s="14" t="b">
        <f>OR(LCI_Table[[#This Row],[Technology]]="All",LCI_Table[[#This Row],[Technology]]=SelectedTechnology)</f>
        <v>1</v>
      </c>
      <c r="K187" s="14" t="b">
        <f>OR(LCI_Table[[#This Row],[Data Source]]="All",LCI_Table[[#This Row],[Data Source]]=SelectedDataSource)</f>
        <v>1</v>
      </c>
      <c r="L187" s="14" t="b">
        <f>TRUE</f>
        <v>1</v>
      </c>
      <c r="M187" s="14" t="b">
        <f>(LCI_Table[[#This Row],[Dev Notes]]="Do not display")</f>
        <v>0</v>
      </c>
      <c r="N187" s="14" t="b">
        <f>AND(LCI_Table[[#This Row],[Show Feedstock]:[Conditional]],NOT(LCI_Table[[#This Row],[Hide Row]]))</f>
        <v>0</v>
      </c>
      <c r="O187" s="14" t="b">
        <f>LCI_Table[[#This Row],[GREET1 Name Range]]=""</f>
        <v>0</v>
      </c>
      <c r="P187" s="14" t="s">
        <v>15</v>
      </c>
      <c r="Q187" s="14" t="s">
        <v>458</v>
      </c>
      <c r="R187" s="14" t="s">
        <v>116</v>
      </c>
      <c r="S187" s="37" cm="1">
        <f t="array" aca="1" ref="S1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2.083666270946532E-7</v>
      </c>
      <c r="T187" s="346" t="s">
        <v>2111</v>
      </c>
      <c r="U187" s="347">
        <f ca="1">S187*Fuel_Specs!$B$58*ton2lb</f>
        <v>43.808999999999997</v>
      </c>
      <c r="V187" s="347">
        <v>2.083666270946532E-7</v>
      </c>
      <c r="W187" s="347">
        <v>43.808999999999997</v>
      </c>
      <c r="X187" s="14" t="s">
        <v>12</v>
      </c>
      <c r="Y187" s="346" t="s">
        <v>891</v>
      </c>
      <c r="Z187" s="14" t="str">
        <f>IF(ISBLANK(LCI_Table[[#This Row],[Notes for user]])," ",LCI_Table[[#This Row],[Notes for user]])</f>
        <v xml:space="preserve"> </v>
      </c>
      <c r="AA187" s="14"/>
      <c r="AB187" s="14"/>
      <c r="AC187" s="346">
        <f ca="1">LCI_Table[[#This Row],[Default Calculated Value]]-LCI_Table[[#This Row],[Calculated Value]]</f>
        <v>0</v>
      </c>
    </row>
    <row r="188" spans="1:29" x14ac:dyDescent="0.3">
      <c r="A1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CamelinaHEFAGREETGREET(blank)_Camelina_Extraction_Forest_residueForest residue</v>
      </c>
      <c r="B188" s="14" t="s">
        <v>127</v>
      </c>
      <c r="C188" s="14" t="s">
        <v>30</v>
      </c>
      <c r="D188" s="14" t="s">
        <v>29</v>
      </c>
      <c r="E188" s="48" t="s">
        <v>29</v>
      </c>
      <c r="F188" s="14" t="s">
        <v>31</v>
      </c>
      <c r="G188" s="14" t="b">
        <f>OR(LCI_Table[[#This Row],[Feedstock]]="All",LCI_Table[[#This Row],[Feedstock]]=SelectedFeedstock)</f>
        <v>0</v>
      </c>
      <c r="H188" s="14" t="b">
        <f>OR(LCI_Table[[#This Row],[Conversion]]="All",LCI_Table[[#This Row],[Conversion]]=SelectedConversion)</f>
        <v>1</v>
      </c>
      <c r="I188" s="14" t="b">
        <f>OR(LCI_Table[[#This Row],[Data Set]]="all",LCI_Table[[#This Row],[Data Set]]=SelectedDataSet)</f>
        <v>1</v>
      </c>
      <c r="J188" s="14" t="b">
        <f>OR(LCI_Table[[#This Row],[Technology]]="All",LCI_Table[[#This Row],[Technology]]=SelectedTechnology)</f>
        <v>1</v>
      </c>
      <c r="K188" s="14" t="b">
        <f>OR(LCI_Table[[#This Row],[Data Source]]="All",LCI_Table[[#This Row],[Data Source]]=SelectedDataSource)</f>
        <v>1</v>
      </c>
      <c r="L188" s="14" t="b">
        <f>TRUE</f>
        <v>1</v>
      </c>
      <c r="M188" s="14" t="b">
        <f>(LCI_Table[[#This Row],[Dev Notes]]="Do not display")</f>
        <v>0</v>
      </c>
      <c r="N188" s="14" t="b">
        <f>AND(LCI_Table[[#This Row],[Show Feedstock]:[Conditional]],NOT(LCI_Table[[#This Row],[Hide Row]]))</f>
        <v>0</v>
      </c>
      <c r="O188" s="14" t="b">
        <f>LCI_Table[[#This Row],[GREET1 Name Range]]=""</f>
        <v>0</v>
      </c>
      <c r="P188" s="14" t="s">
        <v>15</v>
      </c>
      <c r="Q188" s="14" t="s">
        <v>454</v>
      </c>
      <c r="R188" s="14" t="s">
        <v>316</v>
      </c>
      <c r="S188" s="37" cm="1">
        <f t="array" aca="1" ref="S1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8" s="346" t="s">
        <v>2111</v>
      </c>
      <c r="U188" s="347">
        <f ca="1">S188*Fuel_Specs!$B$100*ton2lb</f>
        <v>0</v>
      </c>
      <c r="V188" s="347">
        <v>0</v>
      </c>
      <c r="W188" s="347">
        <v>0</v>
      </c>
      <c r="X188" s="14" t="s">
        <v>12</v>
      </c>
      <c r="Y188" s="346" t="s">
        <v>891</v>
      </c>
      <c r="Z188" s="14" t="str">
        <f>IF(ISBLANK(LCI_Table[[#This Row],[Notes for user]])," ",LCI_Table[[#This Row],[Notes for user]])</f>
        <v xml:space="preserve"> </v>
      </c>
      <c r="AA188" s="14"/>
      <c r="AB188" s="14"/>
      <c r="AC188" s="346">
        <f ca="1">LCI_Table[[#This Row],[Default Calculated Value]]-LCI_Table[[#This Row],[Calculated Value]]</f>
        <v>0</v>
      </c>
    </row>
    <row r="189" spans="1:29" x14ac:dyDescent="0.3">
      <c r="A1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CamelinaHEFAGREETGREET(blank)_Camelina_Extraction_Landfill_gasLandfill gas</v>
      </c>
      <c r="B189" s="14" t="s">
        <v>127</v>
      </c>
      <c r="C189" s="14" t="s">
        <v>30</v>
      </c>
      <c r="D189" s="14" t="s">
        <v>29</v>
      </c>
      <c r="E189" s="48" t="s">
        <v>29</v>
      </c>
      <c r="F189" s="14" t="s">
        <v>31</v>
      </c>
      <c r="G189" s="14" t="b">
        <f>OR(LCI_Table[[#This Row],[Feedstock]]="All",LCI_Table[[#This Row],[Feedstock]]=SelectedFeedstock)</f>
        <v>0</v>
      </c>
      <c r="H189" s="14" t="b">
        <f>OR(LCI_Table[[#This Row],[Conversion]]="All",LCI_Table[[#This Row],[Conversion]]=SelectedConversion)</f>
        <v>1</v>
      </c>
      <c r="I189" s="14" t="b">
        <f>OR(LCI_Table[[#This Row],[Data Set]]="all",LCI_Table[[#This Row],[Data Set]]=SelectedDataSet)</f>
        <v>1</v>
      </c>
      <c r="J189" s="14" t="b">
        <f>OR(LCI_Table[[#This Row],[Technology]]="All",LCI_Table[[#This Row],[Technology]]=SelectedTechnology)</f>
        <v>1</v>
      </c>
      <c r="K189" s="14" t="b">
        <f>OR(LCI_Table[[#This Row],[Data Source]]="All",LCI_Table[[#This Row],[Data Source]]=SelectedDataSource)</f>
        <v>1</v>
      </c>
      <c r="L189" s="14" t="b">
        <f>TRUE</f>
        <v>1</v>
      </c>
      <c r="M189" s="14" t="b">
        <f>(LCI_Table[[#This Row],[Dev Notes]]="Do not display")</f>
        <v>0</v>
      </c>
      <c r="N189" s="14" t="b">
        <f>AND(LCI_Table[[#This Row],[Show Feedstock]:[Conditional]],NOT(LCI_Table[[#This Row],[Hide Row]]))</f>
        <v>0</v>
      </c>
      <c r="O189" s="14" t="b">
        <f>LCI_Table[[#This Row],[GREET1 Name Range]]=""</f>
        <v>0</v>
      </c>
      <c r="P189" s="14" t="s">
        <v>15</v>
      </c>
      <c r="Q189" s="14" t="s">
        <v>456</v>
      </c>
      <c r="R189" s="14" t="s">
        <v>130</v>
      </c>
      <c r="S189" s="37" cm="1">
        <f t="array" aca="1" ref="S1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9" s="346" t="s">
        <v>2113</v>
      </c>
      <c r="U189" s="347">
        <f ca="1">S189*Fuel_Specs!$B$79</f>
        <v>0</v>
      </c>
      <c r="V189" s="347">
        <v>0</v>
      </c>
      <c r="W189" s="347">
        <v>0</v>
      </c>
      <c r="X189" s="14" t="s">
        <v>351</v>
      </c>
      <c r="Y189" s="346" t="s">
        <v>891</v>
      </c>
      <c r="Z189" s="14" t="str">
        <f>IF(ISBLANK(LCI_Table[[#This Row],[Notes for user]])," ",LCI_Table[[#This Row],[Notes for user]])</f>
        <v xml:space="preserve"> </v>
      </c>
      <c r="AA189" s="14"/>
      <c r="AB189" s="14"/>
      <c r="AC189" s="346">
        <f ca="1">LCI_Table[[#This Row],[Default Calculated Value]]-LCI_Table[[#This Row],[Calculated Value]]</f>
        <v>0</v>
      </c>
    </row>
    <row r="190" spans="1:29" x14ac:dyDescent="0.3">
      <c r="A1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CamelinaHEFAGREETGREET(blank)_Camelina_Oil_Extraction_Mass_AllocationAllocation factor</v>
      </c>
      <c r="B190" s="14" t="s">
        <v>127</v>
      </c>
      <c r="C190" s="14" t="s">
        <v>30</v>
      </c>
      <c r="D190" s="14" t="s">
        <v>29</v>
      </c>
      <c r="E190" s="178" t="s">
        <v>29</v>
      </c>
      <c r="F190" s="48" t="s">
        <v>31</v>
      </c>
      <c r="G190" s="14" t="b">
        <f>OR(LCI_Table[[#This Row],[Feedstock]]="All",LCI_Table[[#This Row],[Feedstock]]=SelectedFeedstock)</f>
        <v>0</v>
      </c>
      <c r="H190" s="14" t="b">
        <f>OR(LCI_Table[[#This Row],[Conversion]]="All",LCI_Table[[#This Row],[Conversion]]=SelectedConversion)</f>
        <v>1</v>
      </c>
      <c r="I190" s="14" t="b">
        <f>OR(LCI_Table[[#This Row],[Data Set]]="all",LCI_Table[[#This Row],[Data Set]]=SelectedDataSet)</f>
        <v>1</v>
      </c>
      <c r="J190" s="14" t="b">
        <f>OR(LCI_Table[[#This Row],[Technology]]="All",LCI_Table[[#This Row],[Technology]]=SelectedTechnology)</f>
        <v>1</v>
      </c>
      <c r="K190" s="14" t="b">
        <f>OR(LCI_Table[[#This Row],[Data Source]]="All",LCI_Table[[#This Row],[Data Source]]=SelectedDataSource)</f>
        <v>1</v>
      </c>
      <c r="L190" s="14" t="b">
        <f>TRUE</f>
        <v>1</v>
      </c>
      <c r="M190" s="14" t="b">
        <f>(LCI_Table[[#This Row],[Dev Notes]]="Do not display")</f>
        <v>0</v>
      </c>
      <c r="N190" s="14" t="b">
        <f>AND(LCI_Table[[#This Row],[Show Feedstock]:[Conditional]],NOT(LCI_Table[[#This Row],[Hide Row]]))</f>
        <v>0</v>
      </c>
      <c r="O190" s="14" t="b">
        <f>LCI_Table[[#This Row],[GREET1 Name Range]]=""</f>
        <v>0</v>
      </c>
      <c r="P190" s="14" t="s">
        <v>15</v>
      </c>
      <c r="Q190" s="14" t="s">
        <v>1113</v>
      </c>
      <c r="R190" s="14" t="s">
        <v>1344</v>
      </c>
      <c r="S190" s="37" cm="1">
        <f t="array" aca="1" ref="S1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40.870387890255401</v>
      </c>
      <c r="T190" s="346" t="s">
        <v>1345</v>
      </c>
      <c r="U190" s="347">
        <f ca="1">LCI_Table[[#This Row],[Dashboard Value]]/100</f>
        <v>0.408703878902554</v>
      </c>
      <c r="V190" s="347">
        <v>40.870387890255401</v>
      </c>
      <c r="W190" s="347">
        <v>0.408703878902554</v>
      </c>
      <c r="X190" s="14" t="s">
        <v>1345</v>
      </c>
      <c r="Y190" s="346" t="s">
        <v>891</v>
      </c>
      <c r="Z190" s="14" t="str">
        <f>IF(ISBLANK(LCI_Table[[#This Row],[Notes for user]])," ",LCI_Table[[#This Row],[Notes for user]])</f>
        <v>Allocation to camelina oil (energy allocation)</v>
      </c>
      <c r="AA190" s="14" t="s">
        <v>1356</v>
      </c>
      <c r="AB190" s="14"/>
      <c r="AC190" s="346">
        <f ca="1">LCI_Table[[#This Row],[Default Calculated Value]]-LCI_Table[[#This Row],[Calculated Value]]</f>
        <v>0</v>
      </c>
    </row>
    <row r="191" spans="1:29" x14ac:dyDescent="0.3">
      <c r="A1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CamelinaHEFAGREETGREET(blank)_HEFA_feed_usageCamelina oil</v>
      </c>
      <c r="B191" s="14" t="s">
        <v>127</v>
      </c>
      <c r="C191" s="14" t="s">
        <v>30</v>
      </c>
      <c r="D191" s="14" t="s">
        <v>29</v>
      </c>
      <c r="E191" s="48" t="s">
        <v>29</v>
      </c>
      <c r="F191" s="14" t="s">
        <v>31</v>
      </c>
      <c r="G191" s="14" t="b">
        <f>OR(LCI_Table[[#This Row],[Feedstock]]="All",LCI_Table[[#This Row],[Feedstock]]=SelectedFeedstock)</f>
        <v>0</v>
      </c>
      <c r="H191" s="14" t="b">
        <f>OR(LCI_Table[[#This Row],[Conversion]]="All",LCI_Table[[#This Row],[Conversion]]=SelectedConversion)</f>
        <v>1</v>
      </c>
      <c r="I191" s="14" t="b">
        <f>OR(LCI_Table[[#This Row],[Data Set]]="all",LCI_Table[[#This Row],[Data Set]]=SelectedDataSet)</f>
        <v>1</v>
      </c>
      <c r="J191" s="14" t="b">
        <f>OR(LCI_Table[[#This Row],[Technology]]="All",LCI_Table[[#This Row],[Technology]]=SelectedTechnology)</f>
        <v>1</v>
      </c>
      <c r="K191" s="14" t="b">
        <f>OR(LCI_Table[[#This Row],[Data Source]]="All",LCI_Table[[#This Row],[Data Source]]=SelectedDataSource)</f>
        <v>1</v>
      </c>
      <c r="L191" s="14" t="b">
        <f>TRUE</f>
        <v>1</v>
      </c>
      <c r="M191" s="14" t="b">
        <f>(LCI_Table[[#This Row],[Dev Notes]]="Do not display")</f>
        <v>0</v>
      </c>
      <c r="N191" s="14" t="b">
        <f>AND(LCI_Table[[#This Row],[Show Feedstock]:[Conditional]],NOT(LCI_Table[[#This Row],[Hide Row]]))</f>
        <v>0</v>
      </c>
      <c r="O191" s="14" t="b">
        <f>LCI_Table[[#This Row],[GREET1 Name Range]]=""</f>
        <v>0</v>
      </c>
      <c r="P191" s="14" t="s">
        <v>1448</v>
      </c>
      <c r="Q191" s="14" t="s">
        <v>933</v>
      </c>
      <c r="R191" s="14" t="s">
        <v>380</v>
      </c>
      <c r="S191" s="37" cm="1">
        <f t="array" aca="1" ref="S1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66.858287441247398</v>
      </c>
      <c r="T191" s="346" t="s">
        <v>2119</v>
      </c>
      <c r="U191" s="347">
        <f ca="1">S191*lb2g/Fuel_Specs!$E$48*Fuel_Specs!$B$48*BTU2mmBTU</f>
        <v>1.26760553889976</v>
      </c>
      <c r="V191" s="347">
        <v>66.858287441247398</v>
      </c>
      <c r="W191" s="347">
        <v>1.26760553889976</v>
      </c>
      <c r="X191" s="14" t="s">
        <v>12</v>
      </c>
      <c r="Y191" s="346" t="s">
        <v>416</v>
      </c>
      <c r="Z191" s="14" t="str">
        <f>IF(ISBLANK(LCI_Table[[#This Row],[Notes for user]])," ",LCI_Table[[#This Row],[Notes for user]])</f>
        <v xml:space="preserve"> </v>
      </c>
      <c r="AA191" s="14"/>
      <c r="AB191" s="14"/>
      <c r="AC191" s="346">
        <f ca="1">LCI_Table[[#This Row],[Default Calculated Value]]-LCI_Table[[#This Row],[Calculated Value]]</f>
        <v>0</v>
      </c>
    </row>
    <row r="192" spans="1:29" x14ac:dyDescent="0.3">
      <c r="A1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CamelinaHEFAGREETGREET(blank)_Camelina_HEFA_Natural_gasNatural gas</v>
      </c>
      <c r="B192" s="14" t="s">
        <v>127</v>
      </c>
      <c r="C192" s="14" t="s">
        <v>30</v>
      </c>
      <c r="D192" s="14" t="s">
        <v>29</v>
      </c>
      <c r="E192" s="48" t="s">
        <v>29</v>
      </c>
      <c r="F192" s="14" t="s">
        <v>31</v>
      </c>
      <c r="G192" s="14" t="b">
        <f>OR(LCI_Table[[#This Row],[Feedstock]]="All",LCI_Table[[#This Row],[Feedstock]]=SelectedFeedstock)</f>
        <v>0</v>
      </c>
      <c r="H192" s="14" t="b">
        <f>OR(LCI_Table[[#This Row],[Conversion]]="All",LCI_Table[[#This Row],[Conversion]]=SelectedConversion)</f>
        <v>1</v>
      </c>
      <c r="I192" s="14" t="b">
        <f>OR(LCI_Table[[#This Row],[Data Set]]="all",LCI_Table[[#This Row],[Data Set]]=SelectedDataSet)</f>
        <v>1</v>
      </c>
      <c r="J192" s="14" t="b">
        <f>OR(LCI_Table[[#This Row],[Technology]]="All",LCI_Table[[#This Row],[Technology]]=SelectedTechnology)</f>
        <v>1</v>
      </c>
      <c r="K192" s="14" t="b">
        <f>OR(LCI_Table[[#This Row],[Data Source]]="All",LCI_Table[[#This Row],[Data Source]]=SelectedDataSource)</f>
        <v>1</v>
      </c>
      <c r="L192" s="14" t="b">
        <f>TRUE</f>
        <v>1</v>
      </c>
      <c r="M192" s="14" t="b">
        <f>(LCI_Table[[#This Row],[Dev Notes]]="Do not display")</f>
        <v>0</v>
      </c>
      <c r="N192" s="14" t="b">
        <f>AND(LCI_Table[[#This Row],[Show Feedstock]:[Conditional]],NOT(LCI_Table[[#This Row],[Hide Row]]))</f>
        <v>0</v>
      </c>
      <c r="O192" s="14" t="b">
        <f>LCI_Table[[#This Row],[GREET1 Name Range]]=""</f>
        <v>0</v>
      </c>
      <c r="P192" s="14" t="s">
        <v>1448</v>
      </c>
      <c r="Q192" s="14" t="s">
        <v>476</v>
      </c>
      <c r="R192" s="14" t="s">
        <v>108</v>
      </c>
      <c r="S192" s="37" cm="1">
        <f t="array" aca="1" ref="S1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18.942776460541271</v>
      </c>
      <c r="T192" s="346" t="s">
        <v>2120</v>
      </c>
      <c r="U192" s="347">
        <f ca="1">S192*lb2g/Fuel_Specs!$E$48*Fuel_Specs!$B$48*Fuel_Specs!$B$79*BTU2mmBTU</f>
        <v>353.04172159785497</v>
      </c>
      <c r="V192" s="347">
        <v>18.942776460541271</v>
      </c>
      <c r="W192" s="347">
        <v>353.04172159785497</v>
      </c>
      <c r="X192" s="14" t="s">
        <v>351</v>
      </c>
      <c r="Y192" s="346" t="s">
        <v>416</v>
      </c>
      <c r="Z192" s="14" t="str">
        <f>IF(ISBLANK(LCI_Table[[#This Row],[Notes for user]])," ",LCI_Table[[#This Row],[Notes for user]])</f>
        <v xml:space="preserve"> </v>
      </c>
      <c r="AA192" s="14"/>
      <c r="AB192" s="14"/>
      <c r="AC192" s="346">
        <f ca="1">LCI_Table[[#This Row],[Default Calculated Value]]-LCI_Table[[#This Row],[Calculated Value]]</f>
        <v>0</v>
      </c>
    </row>
    <row r="193" spans="1:29" x14ac:dyDescent="0.3">
      <c r="A1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CamelinaHEFAGREETGREET(blank)_Camelina_HEFA_ElectricityGrid Electricity</v>
      </c>
      <c r="B193" s="14" t="s">
        <v>127</v>
      </c>
      <c r="C193" s="14" t="s">
        <v>30</v>
      </c>
      <c r="D193" s="14" t="s">
        <v>29</v>
      </c>
      <c r="E193" s="48" t="s">
        <v>29</v>
      </c>
      <c r="F193" s="14" t="s">
        <v>31</v>
      </c>
      <c r="G193" s="14" t="b">
        <f>OR(LCI_Table[[#This Row],[Feedstock]]="All",LCI_Table[[#This Row],[Feedstock]]=SelectedFeedstock)</f>
        <v>0</v>
      </c>
      <c r="H193" s="14" t="b">
        <f>OR(LCI_Table[[#This Row],[Conversion]]="All",LCI_Table[[#This Row],[Conversion]]=SelectedConversion)</f>
        <v>1</v>
      </c>
      <c r="I193" s="14" t="b">
        <f>OR(LCI_Table[[#This Row],[Data Set]]="all",LCI_Table[[#This Row],[Data Set]]=SelectedDataSet)</f>
        <v>1</v>
      </c>
      <c r="J193" s="14" t="b">
        <f>OR(LCI_Table[[#This Row],[Technology]]="All",LCI_Table[[#This Row],[Technology]]=SelectedTechnology)</f>
        <v>1</v>
      </c>
      <c r="K193" s="14" t="b">
        <f>OR(LCI_Table[[#This Row],[Data Source]]="All",LCI_Table[[#This Row],[Data Source]]=SelectedDataSource)</f>
        <v>1</v>
      </c>
      <c r="L193" s="14" t="b">
        <f>TRUE</f>
        <v>1</v>
      </c>
      <c r="M193" s="14" t="b">
        <f>(LCI_Table[[#This Row],[Dev Notes]]="Do not display")</f>
        <v>0</v>
      </c>
      <c r="N193" s="14" t="b">
        <f>AND(LCI_Table[[#This Row],[Show Feedstock]:[Conditional]],NOT(LCI_Table[[#This Row],[Hide Row]]))</f>
        <v>0</v>
      </c>
      <c r="O193" s="14" t="b">
        <f>LCI_Table[[#This Row],[GREET1 Name Range]]=""</f>
        <v>0</v>
      </c>
      <c r="P193" s="14" t="s">
        <v>1448</v>
      </c>
      <c r="Q193" s="14" t="s">
        <v>474</v>
      </c>
      <c r="R193" s="14" t="s">
        <v>1684</v>
      </c>
      <c r="S193" s="37" cm="1">
        <f t="array" aca="1" ref="S1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2.8700844879870777</v>
      </c>
      <c r="T193" s="346" t="s">
        <v>2121</v>
      </c>
      <c r="U193" s="347">
        <f ca="1">S193*lb2g/Fuel_Specs!$E$48*Fuel_Specs!$B$48/BTU2kWh*BTU2mmBTU</f>
        <v>185.673794321835</v>
      </c>
      <c r="V193" s="347">
        <v>2.8700844879870777</v>
      </c>
      <c r="W193" s="347">
        <v>185.673794321835</v>
      </c>
      <c r="X193" s="14" t="s">
        <v>51</v>
      </c>
      <c r="Y193" s="346" t="s">
        <v>416</v>
      </c>
      <c r="Z193" s="14" t="str">
        <f>IF(ISBLANK(LCI_Table[[#This Row],[Notes for user]])," ",LCI_Table[[#This Row],[Notes for user]])</f>
        <v xml:space="preserve"> </v>
      </c>
      <c r="AA193" s="14"/>
      <c r="AB193" s="14"/>
      <c r="AC193" s="346">
        <f ca="1">LCI_Table[[#This Row],[Default Calculated Value]]-LCI_Table[[#This Row],[Calculated Value]]</f>
        <v>0</v>
      </c>
    </row>
    <row r="194" spans="1:29" x14ac:dyDescent="0.3">
      <c r="A1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CamelinaHEFAGREETGREET(blank)_Camelina_HEFA_HydrogenHydrogen</v>
      </c>
      <c r="B194" s="14" t="s">
        <v>127</v>
      </c>
      <c r="C194" s="14" t="s">
        <v>30</v>
      </c>
      <c r="D194" s="14" t="s">
        <v>29</v>
      </c>
      <c r="E194" s="48" t="s">
        <v>29</v>
      </c>
      <c r="F194" s="14" t="s">
        <v>31</v>
      </c>
      <c r="G194" s="14" t="b">
        <f>OR(LCI_Table[[#This Row],[Feedstock]]="All",LCI_Table[[#This Row],[Feedstock]]=SelectedFeedstock)</f>
        <v>0</v>
      </c>
      <c r="H194" s="14" t="b">
        <f>OR(LCI_Table[[#This Row],[Conversion]]="All",LCI_Table[[#This Row],[Conversion]]=SelectedConversion)</f>
        <v>1</v>
      </c>
      <c r="I194" s="14" t="b">
        <f>OR(LCI_Table[[#This Row],[Data Set]]="all",LCI_Table[[#This Row],[Data Set]]=SelectedDataSet)</f>
        <v>1</v>
      </c>
      <c r="J194" s="14" t="b">
        <f>OR(LCI_Table[[#This Row],[Technology]]="All",LCI_Table[[#This Row],[Technology]]=SelectedTechnology)</f>
        <v>1</v>
      </c>
      <c r="K194" s="14" t="b">
        <f>OR(LCI_Table[[#This Row],[Data Source]]="All",LCI_Table[[#This Row],[Data Source]]=SelectedDataSource)</f>
        <v>1</v>
      </c>
      <c r="L194" s="14" t="b">
        <f>TRUE</f>
        <v>1</v>
      </c>
      <c r="M194" s="14" t="b">
        <f>(LCI_Table[[#This Row],[Dev Notes]]="Do not display")</f>
        <v>0</v>
      </c>
      <c r="N194" s="14" t="b">
        <f>AND(LCI_Table[[#This Row],[Show Feedstock]:[Conditional]],NOT(LCI_Table[[#This Row],[Hide Row]]))</f>
        <v>0</v>
      </c>
      <c r="O194" s="14" t="b">
        <f>LCI_Table[[#This Row],[GREET1 Name Range]]=""</f>
        <v>0</v>
      </c>
      <c r="P194" s="14" t="s">
        <v>1448</v>
      </c>
      <c r="Q194" s="14" t="s">
        <v>475</v>
      </c>
      <c r="R194" s="14" t="s">
        <v>73</v>
      </c>
      <c r="S194" s="37" cm="1">
        <f t="array" aca="1" ref="S1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377.6468687868562</v>
      </c>
      <c r="T194" s="346" t="s">
        <v>2120</v>
      </c>
      <c r="U194" s="347">
        <f ca="1">S194*lb2g/Fuel_Specs!$E$48*Fuel_Specs!$B$48*Fuel_Specs!$B$81*BTU2mmBTU</f>
        <v>2076.4083477681302</v>
      </c>
      <c r="V194" s="347">
        <v>377.6468687868562</v>
      </c>
      <c r="W194" s="347">
        <v>2076.4083477681302</v>
      </c>
      <c r="X194" s="14" t="s">
        <v>351</v>
      </c>
      <c r="Y194" s="346" t="s">
        <v>416</v>
      </c>
      <c r="Z194" s="14" t="str">
        <f>IF(ISBLANK(LCI_Table[[#This Row],[Notes for user]])," ",LCI_Table[[#This Row],[Notes for user]])</f>
        <v xml:space="preserve"> </v>
      </c>
      <c r="AA194" s="14"/>
      <c r="AB194" s="14"/>
      <c r="AC194" s="346">
        <f ca="1">LCI_Table[[#This Row],[Default Calculated Value]]-LCI_Table[[#This Row],[Calculated Value]]</f>
        <v>0</v>
      </c>
    </row>
    <row r="195" spans="1:29" x14ac:dyDescent="0.3">
      <c r="A1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CamelinaHEFAGREETGREET(blank)_Camelina_Oil_HEFA_Energy_AllocationAllocation factor</v>
      </c>
      <c r="B195" s="14" t="s">
        <v>127</v>
      </c>
      <c r="C195" s="14" t="s">
        <v>30</v>
      </c>
      <c r="D195" s="14" t="s">
        <v>29</v>
      </c>
      <c r="E195" s="178" t="s">
        <v>29</v>
      </c>
      <c r="F195" s="48" t="s">
        <v>31</v>
      </c>
      <c r="G195" s="14" t="b">
        <f>OR(LCI_Table[[#This Row],[Feedstock]]="All",LCI_Table[[#This Row],[Feedstock]]=SelectedFeedstock)</f>
        <v>0</v>
      </c>
      <c r="H195" s="14" t="b">
        <f>OR(LCI_Table[[#This Row],[Conversion]]="All",LCI_Table[[#This Row],[Conversion]]=SelectedConversion)</f>
        <v>1</v>
      </c>
      <c r="I195" s="14" t="b">
        <f>OR(LCI_Table[[#This Row],[Data Set]]="all",LCI_Table[[#This Row],[Data Set]]=SelectedDataSet)</f>
        <v>1</v>
      </c>
      <c r="J195" s="14" t="b">
        <f>OR(LCI_Table[[#This Row],[Technology]]="All",LCI_Table[[#This Row],[Technology]]=SelectedTechnology)</f>
        <v>1</v>
      </c>
      <c r="K195" s="14" t="b">
        <f>OR(LCI_Table[[#This Row],[Data Source]]="All",LCI_Table[[#This Row],[Data Source]]=SelectedDataSource)</f>
        <v>1</v>
      </c>
      <c r="L195" s="14" t="b">
        <f>TRUE</f>
        <v>1</v>
      </c>
      <c r="M195" s="14" t="b">
        <f>(LCI_Table[[#This Row],[Dev Notes]]="Do not display")</f>
        <v>0</v>
      </c>
      <c r="N195" s="14" t="b">
        <f>AND(LCI_Table[[#This Row],[Show Feedstock]:[Conditional]],NOT(LCI_Table[[#This Row],[Hide Row]]))</f>
        <v>0</v>
      </c>
      <c r="O195" s="14" t="b">
        <f>LCI_Table[[#This Row],[GREET1 Name Range]]=""</f>
        <v>0</v>
      </c>
      <c r="P195" s="14" t="s">
        <v>1448</v>
      </c>
      <c r="Q195" s="14" t="s">
        <v>1119</v>
      </c>
      <c r="R195" s="14" t="s">
        <v>1344</v>
      </c>
      <c r="S195" s="37" cm="1">
        <f t="array" aca="1" ref="S1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91.171197532976606</v>
      </c>
      <c r="T195" s="346" t="s">
        <v>1345</v>
      </c>
      <c r="U195" s="347">
        <f ca="1">LCI_Table[[#This Row],[Dashboard Value]]/100</f>
        <v>0.91171197532976611</v>
      </c>
      <c r="V195" s="351">
        <v>91.171197532976606</v>
      </c>
      <c r="W195" s="351">
        <v>0.91171197532976611</v>
      </c>
      <c r="X195" s="14" t="s">
        <v>1345</v>
      </c>
      <c r="Y195" s="346" t="s">
        <v>416</v>
      </c>
      <c r="Z195" s="14" t="str">
        <f>IF(ISBLANK(LCI_Table[[#This Row],[Notes for user]])," ",LCI_Table[[#This Row],[Notes for user]])</f>
        <v>Allocation to main distillate fuels (energy allocation)</v>
      </c>
      <c r="AA195" s="14" t="s">
        <v>1353</v>
      </c>
      <c r="AB195" s="14"/>
      <c r="AC195" s="346">
        <f ca="1">LCI_Table[[#This Row],[Default Calculated Value]]-LCI_Table[[#This Row],[Calculated Value]]</f>
        <v>0</v>
      </c>
    </row>
    <row r="196" spans="1:29" x14ac:dyDescent="0.3">
      <c r="A1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dash_CarinataHEFAGREETGREET(blank)_Yield_Farming</v>
      </c>
      <c r="B196" s="48" t="s">
        <v>128</v>
      </c>
      <c r="C196" s="48" t="s">
        <v>30</v>
      </c>
      <c r="D196" s="48" t="s">
        <v>29</v>
      </c>
      <c r="E196" s="48" t="s">
        <v>29</v>
      </c>
      <c r="F196" s="48" t="s">
        <v>31</v>
      </c>
      <c r="G196" s="14" t="b">
        <f>OR(LCI_Table[[#This Row],[Feedstock]]="All",LCI_Table[[#This Row],[Feedstock]]=SelectedFeedstock)</f>
        <v>0</v>
      </c>
      <c r="H196" s="14" t="b">
        <f>OR(LCI_Table[[#This Row],[Conversion]]="All",LCI_Table[[#This Row],[Conversion]]=SelectedConversion)</f>
        <v>1</v>
      </c>
      <c r="I196" s="14" t="b">
        <f>OR(LCI_Table[[#This Row],[Data Set]]="all",LCI_Table[[#This Row],[Data Set]]=SelectedDataSet)</f>
        <v>1</v>
      </c>
      <c r="J196" s="14" t="b">
        <f>OR(LCI_Table[[#This Row],[Technology]]="All",LCI_Table[[#This Row],[Technology]]=SelectedTechnology)</f>
        <v>1</v>
      </c>
      <c r="K196" s="14" t="b">
        <f>OR(LCI_Table[[#This Row],[Data Source]]="All",LCI_Table[[#This Row],[Data Source]]=SelectedDataSource)</f>
        <v>1</v>
      </c>
      <c r="L196" s="14" t="b">
        <f>TRUE</f>
        <v>1</v>
      </c>
      <c r="M196" s="14" t="b">
        <f>(LCI_Table[[#This Row],[Dev Notes]]="Do not display")</f>
        <v>0</v>
      </c>
      <c r="N196" s="14" t="b">
        <f>AND(LCI_Table[[#This Row],[Show Feedstock]:[Conditional]],NOT(LCI_Table[[#This Row],[Hide Row]]))</f>
        <v>0</v>
      </c>
      <c r="O196" s="14" t="b">
        <f>LCI_Table[[#This Row],[GREET1 Name Range]]=""</f>
        <v>1</v>
      </c>
      <c r="P196" s="48" t="s">
        <v>14</v>
      </c>
      <c r="Q196" s="14" t="s">
        <v>361</v>
      </c>
      <c r="R196" s="48" t="s">
        <v>200</v>
      </c>
      <c r="S196" s="37" cm="1">
        <f t="array" aca="1" ref="S1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1.2503909692321316</v>
      </c>
      <c r="T196" s="346" t="s">
        <v>2116</v>
      </c>
      <c r="U196" s="344"/>
      <c r="V196" s="344">
        <v>1.2503909692321316</v>
      </c>
      <c r="W196" s="344"/>
      <c r="X196" s="48" t="s">
        <v>55</v>
      </c>
      <c r="Y196" s="346" t="s">
        <v>413</v>
      </c>
      <c r="Z196" s="14" t="str">
        <f>IF(ISBLANK(LCI_Table[[#This Row],[Notes for user]])," ",LCI_Table[[#This Row],[Notes for user]])</f>
        <v>Alam &amp; Dwivedi (2019)</v>
      </c>
      <c r="AA196" s="48" t="s">
        <v>917</v>
      </c>
      <c r="AB196" s="345"/>
      <c r="AC196" s="346">
        <f>LCI_Table[[#This Row],[Default Calculated Value]]-LCI_Table[[#This Row],[Calculated Value]]</f>
        <v>0</v>
      </c>
    </row>
    <row r="197" spans="1:29" x14ac:dyDescent="0.3">
      <c r="A1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CarinataHEFAGREETGREET(blank)_Carinata_Farming_Nitrogen_fertilizerNitrogen fertilizer</v>
      </c>
      <c r="B197" s="14" t="s">
        <v>128</v>
      </c>
      <c r="C197" s="14" t="s">
        <v>30</v>
      </c>
      <c r="D197" s="14" t="s">
        <v>29</v>
      </c>
      <c r="E197" s="48" t="s">
        <v>29</v>
      </c>
      <c r="F197" s="14" t="s">
        <v>31</v>
      </c>
      <c r="G197" s="14" t="b">
        <f>OR(LCI_Table[[#This Row],[Feedstock]]="All",LCI_Table[[#This Row],[Feedstock]]=SelectedFeedstock)</f>
        <v>0</v>
      </c>
      <c r="H197" s="14" t="b">
        <f>OR(LCI_Table[[#This Row],[Conversion]]="All",LCI_Table[[#This Row],[Conversion]]=SelectedConversion)</f>
        <v>1</v>
      </c>
      <c r="I197" s="14" t="b">
        <f>OR(LCI_Table[[#This Row],[Data Set]]="all",LCI_Table[[#This Row],[Data Set]]=SelectedDataSet)</f>
        <v>1</v>
      </c>
      <c r="J197" s="14" t="b">
        <f>OR(LCI_Table[[#This Row],[Technology]]="All",LCI_Table[[#This Row],[Technology]]=SelectedTechnology)</f>
        <v>1</v>
      </c>
      <c r="K197" s="14" t="b">
        <f>OR(LCI_Table[[#This Row],[Data Source]]="All",LCI_Table[[#This Row],[Data Source]]=SelectedDataSource)</f>
        <v>1</v>
      </c>
      <c r="L197" s="14" t="b">
        <f>TRUE</f>
        <v>1</v>
      </c>
      <c r="M197" s="14" t="b">
        <f>(LCI_Table[[#This Row],[Dev Notes]]="Do not display")</f>
        <v>0</v>
      </c>
      <c r="N197" s="14" t="b">
        <f>AND(LCI_Table[[#This Row],[Show Feedstock]:[Conditional]],NOT(LCI_Table[[#This Row],[Hide Row]]))</f>
        <v>0</v>
      </c>
      <c r="O197" s="14" t="b">
        <f>LCI_Table[[#This Row],[GREET1 Name Range]]=""</f>
        <v>0</v>
      </c>
      <c r="P197" s="14" t="s">
        <v>14</v>
      </c>
      <c r="Q197" s="14" t="s">
        <v>525</v>
      </c>
      <c r="R197" s="14" t="s">
        <v>111</v>
      </c>
      <c r="S197" s="37" cm="1">
        <f t="array" aca="1" ref="S1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65.229248170918495</v>
      </c>
      <c r="T197" s="346" t="s">
        <v>1485</v>
      </c>
      <c r="U197" s="347">
        <f ca="1">S197/g2lb/S196*kg2ton</f>
        <v>26.083540978777204</v>
      </c>
      <c r="V197" s="347">
        <v>65.229248170918495</v>
      </c>
      <c r="W197" s="347">
        <v>26.083540978777204</v>
      </c>
      <c r="X197" s="14" t="s">
        <v>12</v>
      </c>
      <c r="Y197" s="346" t="s">
        <v>413</v>
      </c>
      <c r="Z197" s="14" t="str">
        <f>IF(ISBLANK(LCI_Table[[#This Row],[Notes for user]])," ",LCI_Table[[#This Row],[Notes for user]])</f>
        <v xml:space="preserve"> </v>
      </c>
      <c r="AA197" s="14"/>
      <c r="AB197" s="14"/>
      <c r="AC197" s="346">
        <f ca="1">LCI_Table[[#This Row],[Default Calculated Value]]-LCI_Table[[#This Row],[Calculated Value]]</f>
        <v>0</v>
      </c>
    </row>
    <row r="198" spans="1:29" x14ac:dyDescent="0.3">
      <c r="A1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CarinataHEFAGREETGREET(blank)_Carinata_Farming_P2O5P2O5</v>
      </c>
      <c r="B198" s="14" t="s">
        <v>128</v>
      </c>
      <c r="C198" s="14" t="s">
        <v>30</v>
      </c>
      <c r="D198" s="14" t="s">
        <v>29</v>
      </c>
      <c r="E198" s="48" t="s">
        <v>29</v>
      </c>
      <c r="F198" s="14" t="s">
        <v>31</v>
      </c>
      <c r="G198" s="14" t="b">
        <f>OR(LCI_Table[[#This Row],[Feedstock]]="All",LCI_Table[[#This Row],[Feedstock]]=SelectedFeedstock)</f>
        <v>0</v>
      </c>
      <c r="H198" s="14" t="b">
        <f>OR(LCI_Table[[#This Row],[Conversion]]="All",LCI_Table[[#This Row],[Conversion]]=SelectedConversion)</f>
        <v>1</v>
      </c>
      <c r="I198" s="14" t="b">
        <f>OR(LCI_Table[[#This Row],[Data Set]]="all",LCI_Table[[#This Row],[Data Set]]=SelectedDataSet)</f>
        <v>1</v>
      </c>
      <c r="J198" s="14" t="b">
        <f>OR(LCI_Table[[#This Row],[Technology]]="All",LCI_Table[[#This Row],[Technology]]=SelectedTechnology)</f>
        <v>1</v>
      </c>
      <c r="K198" s="14" t="b">
        <f>OR(LCI_Table[[#This Row],[Data Source]]="All",LCI_Table[[#This Row],[Data Source]]=SelectedDataSource)</f>
        <v>1</v>
      </c>
      <c r="L198" s="14" t="b">
        <f>TRUE</f>
        <v>1</v>
      </c>
      <c r="M198" s="14" t="b">
        <f>(LCI_Table[[#This Row],[Dev Notes]]="Do not display")</f>
        <v>0</v>
      </c>
      <c r="N198" s="14" t="b">
        <f>AND(LCI_Table[[#This Row],[Show Feedstock]:[Conditional]],NOT(LCI_Table[[#This Row],[Hide Row]]))</f>
        <v>0</v>
      </c>
      <c r="O198" s="14" t="b">
        <f>LCI_Table[[#This Row],[GREET1 Name Range]]=""</f>
        <v>0</v>
      </c>
      <c r="P198" s="14" t="s">
        <v>14</v>
      </c>
      <c r="Q198" s="14" t="s">
        <v>526</v>
      </c>
      <c r="R198" s="14" t="s">
        <v>112</v>
      </c>
      <c r="S198" s="37" cm="1">
        <f t="array" aca="1" ref="S1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8.9530340626750995</v>
      </c>
      <c r="T198" s="346" t="s">
        <v>1485</v>
      </c>
      <c r="U198" s="347">
        <f ca="1">S198/g2lb/S196*kg2ton</f>
        <v>3.5800938598321697</v>
      </c>
      <c r="V198" s="347">
        <v>8.9530340626750995</v>
      </c>
      <c r="W198" s="347">
        <v>3.5800938598321697</v>
      </c>
      <c r="X198" s="14" t="s">
        <v>12</v>
      </c>
      <c r="Y198" s="346" t="s">
        <v>413</v>
      </c>
      <c r="Z198" s="14" t="str">
        <f>IF(ISBLANK(LCI_Table[[#This Row],[Notes for user]])," ",LCI_Table[[#This Row],[Notes for user]])</f>
        <v xml:space="preserve"> </v>
      </c>
      <c r="AA198" s="14"/>
      <c r="AB198" s="14"/>
      <c r="AC198" s="346">
        <f ca="1">LCI_Table[[#This Row],[Default Calculated Value]]-LCI_Table[[#This Row],[Calculated Value]]</f>
        <v>0</v>
      </c>
    </row>
    <row r="199" spans="1:29" x14ac:dyDescent="0.3">
      <c r="A1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CarinataHEFAGREETGREET(blank)_Carinata_Farming_K2OK2O</v>
      </c>
      <c r="B199" s="14" t="s">
        <v>128</v>
      </c>
      <c r="C199" s="14" t="s">
        <v>30</v>
      </c>
      <c r="D199" s="14" t="s">
        <v>29</v>
      </c>
      <c r="E199" s="48" t="s">
        <v>29</v>
      </c>
      <c r="F199" s="14" t="s">
        <v>31</v>
      </c>
      <c r="G199" s="14" t="b">
        <f>OR(LCI_Table[[#This Row],[Feedstock]]="All",LCI_Table[[#This Row],[Feedstock]]=SelectedFeedstock)</f>
        <v>0</v>
      </c>
      <c r="H199" s="14" t="b">
        <f>OR(LCI_Table[[#This Row],[Conversion]]="All",LCI_Table[[#This Row],[Conversion]]=SelectedConversion)</f>
        <v>1</v>
      </c>
      <c r="I199" s="14" t="b">
        <f>OR(LCI_Table[[#This Row],[Data Set]]="all",LCI_Table[[#This Row],[Data Set]]=SelectedDataSet)</f>
        <v>1</v>
      </c>
      <c r="J199" s="14" t="b">
        <f>OR(LCI_Table[[#This Row],[Technology]]="All",LCI_Table[[#This Row],[Technology]]=SelectedTechnology)</f>
        <v>1</v>
      </c>
      <c r="K199" s="14" t="b">
        <f>OR(LCI_Table[[#This Row],[Data Source]]="All",LCI_Table[[#This Row],[Data Source]]=SelectedDataSource)</f>
        <v>1</v>
      </c>
      <c r="L199" s="14" t="b">
        <f>TRUE</f>
        <v>1</v>
      </c>
      <c r="M199" s="14" t="b">
        <f>(LCI_Table[[#This Row],[Dev Notes]]="Do not display")</f>
        <v>0</v>
      </c>
      <c r="N199" s="14" t="b">
        <f>AND(LCI_Table[[#This Row],[Show Feedstock]:[Conditional]],NOT(LCI_Table[[#This Row],[Hide Row]]))</f>
        <v>0</v>
      </c>
      <c r="O199" s="14" t="b">
        <f>LCI_Table[[#This Row],[GREET1 Name Range]]=""</f>
        <v>0</v>
      </c>
      <c r="P199" s="14" t="s">
        <v>14</v>
      </c>
      <c r="Q199" s="14" t="s">
        <v>522</v>
      </c>
      <c r="R199" s="14" t="s">
        <v>113</v>
      </c>
      <c r="S199" s="37" cm="1">
        <f t="array" aca="1" ref="S1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1.2790048660964422</v>
      </c>
      <c r="T199" s="346" t="s">
        <v>1485</v>
      </c>
      <c r="U199" s="347">
        <f ca="1">S199/g2lb/S196*kg2ton</f>
        <v>0.51144197997602392</v>
      </c>
      <c r="V199" s="347">
        <v>1.2790048660964422</v>
      </c>
      <c r="W199" s="347">
        <v>0.51144197997602392</v>
      </c>
      <c r="X199" s="14" t="s">
        <v>12</v>
      </c>
      <c r="Y199" s="346" t="s">
        <v>413</v>
      </c>
      <c r="Z199" s="14" t="str">
        <f>IF(ISBLANK(LCI_Table[[#This Row],[Notes for user]])," ",LCI_Table[[#This Row],[Notes for user]])</f>
        <v xml:space="preserve"> </v>
      </c>
      <c r="AA199" s="14"/>
      <c r="AB199" s="14"/>
      <c r="AC199" s="346">
        <f ca="1">LCI_Table[[#This Row],[Default Calculated Value]]-LCI_Table[[#This Row],[Calculated Value]]</f>
        <v>0</v>
      </c>
    </row>
    <row r="200" spans="1:29" x14ac:dyDescent="0.3">
      <c r="A2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CarinataHEFAGREETGREET(blank)_Carinata_Farming_CaCO3CaCO3</v>
      </c>
      <c r="B200" s="14" t="s">
        <v>128</v>
      </c>
      <c r="C200" s="14" t="s">
        <v>30</v>
      </c>
      <c r="D200" s="14" t="s">
        <v>29</v>
      </c>
      <c r="E200" s="48" t="s">
        <v>29</v>
      </c>
      <c r="F200" s="14" t="s">
        <v>31</v>
      </c>
      <c r="G200" s="14" t="b">
        <f>OR(LCI_Table[[#This Row],[Feedstock]]="All",LCI_Table[[#This Row],[Feedstock]]=SelectedFeedstock)</f>
        <v>0</v>
      </c>
      <c r="H200" s="14" t="b">
        <f>OR(LCI_Table[[#This Row],[Conversion]]="All",LCI_Table[[#This Row],[Conversion]]=SelectedConversion)</f>
        <v>1</v>
      </c>
      <c r="I200" s="14" t="b">
        <f>OR(LCI_Table[[#This Row],[Data Set]]="all",LCI_Table[[#This Row],[Data Set]]=SelectedDataSet)</f>
        <v>1</v>
      </c>
      <c r="J200" s="14" t="b">
        <f>OR(LCI_Table[[#This Row],[Technology]]="All",LCI_Table[[#This Row],[Technology]]=SelectedTechnology)</f>
        <v>1</v>
      </c>
      <c r="K200" s="14" t="b">
        <f>OR(LCI_Table[[#This Row],[Data Source]]="All",LCI_Table[[#This Row],[Data Source]]=SelectedDataSource)</f>
        <v>1</v>
      </c>
      <c r="L200" s="14" t="b">
        <f>TRUE</f>
        <v>1</v>
      </c>
      <c r="M200" s="14" t="b">
        <f>(LCI_Table[[#This Row],[Dev Notes]]="Do not display")</f>
        <v>0</v>
      </c>
      <c r="N200" s="14" t="b">
        <f>AND(LCI_Table[[#This Row],[Show Feedstock]:[Conditional]],NOT(LCI_Table[[#This Row],[Hide Row]]))</f>
        <v>0</v>
      </c>
      <c r="O200" s="14" t="b">
        <f>LCI_Table[[#This Row],[GREET1 Name Range]]=""</f>
        <v>0</v>
      </c>
      <c r="P200" s="14" t="s">
        <v>14</v>
      </c>
      <c r="Q200" s="14" t="s">
        <v>515</v>
      </c>
      <c r="R200" s="14" t="s">
        <v>141</v>
      </c>
      <c r="S200" s="37" cm="1">
        <f t="array" aca="1" ref="S2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0" s="346" t="s">
        <v>1485</v>
      </c>
      <c r="U200" s="347">
        <f ca="1">S200/g2lb/S196*kg2ton</f>
        <v>0</v>
      </c>
      <c r="V200" s="347">
        <v>0</v>
      </c>
      <c r="W200" s="347">
        <v>0</v>
      </c>
      <c r="X200" s="14" t="s">
        <v>12</v>
      </c>
      <c r="Y200" s="346" t="s">
        <v>413</v>
      </c>
      <c r="Z200" s="14" t="str">
        <f>IF(ISBLANK(LCI_Table[[#This Row],[Notes for user]])," ",LCI_Table[[#This Row],[Notes for user]])</f>
        <v xml:space="preserve"> </v>
      </c>
      <c r="AA200" s="14"/>
      <c r="AB200" s="14"/>
      <c r="AC200" s="346">
        <f ca="1">LCI_Table[[#This Row],[Default Calculated Value]]-LCI_Table[[#This Row],[Calculated Value]]</f>
        <v>0</v>
      </c>
    </row>
    <row r="201" spans="1:29" x14ac:dyDescent="0.3">
      <c r="A2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CarinataHEFAGREETGREET(blank)_Carinata_Farming_HerbicidesHerbicides</v>
      </c>
      <c r="B201" s="14" t="s">
        <v>128</v>
      </c>
      <c r="C201" s="14" t="s">
        <v>30</v>
      </c>
      <c r="D201" s="14" t="s">
        <v>29</v>
      </c>
      <c r="E201" s="48" t="s">
        <v>29</v>
      </c>
      <c r="F201" s="14" t="s">
        <v>31</v>
      </c>
      <c r="G201" s="14" t="b">
        <f>OR(LCI_Table[[#This Row],[Feedstock]]="All",LCI_Table[[#This Row],[Feedstock]]=SelectedFeedstock)</f>
        <v>0</v>
      </c>
      <c r="H201" s="14" t="b">
        <f>OR(LCI_Table[[#This Row],[Conversion]]="All",LCI_Table[[#This Row],[Conversion]]=SelectedConversion)</f>
        <v>1</v>
      </c>
      <c r="I201" s="14" t="b">
        <f>OR(LCI_Table[[#This Row],[Data Set]]="all",LCI_Table[[#This Row],[Data Set]]=SelectedDataSet)</f>
        <v>1</v>
      </c>
      <c r="J201" s="14" t="b">
        <f>OR(LCI_Table[[#This Row],[Technology]]="All",LCI_Table[[#This Row],[Technology]]=SelectedTechnology)</f>
        <v>1</v>
      </c>
      <c r="K201" s="14" t="b">
        <f>OR(LCI_Table[[#This Row],[Data Source]]="All",LCI_Table[[#This Row],[Data Source]]=SelectedDataSource)</f>
        <v>1</v>
      </c>
      <c r="L201" s="14" t="b">
        <f>TRUE</f>
        <v>1</v>
      </c>
      <c r="M201" s="14" t="b">
        <f>(LCI_Table[[#This Row],[Dev Notes]]="Do not display")</f>
        <v>0</v>
      </c>
      <c r="N201" s="14" t="b">
        <f>AND(LCI_Table[[#This Row],[Show Feedstock]:[Conditional]],NOT(LCI_Table[[#This Row],[Hide Row]]))</f>
        <v>0</v>
      </c>
      <c r="O201" s="14" t="b">
        <f>LCI_Table[[#This Row],[GREET1 Name Range]]=""</f>
        <v>0</v>
      </c>
      <c r="P201" s="14" t="s">
        <v>14</v>
      </c>
      <c r="Q201" s="14" t="s">
        <v>520</v>
      </c>
      <c r="R201" s="14" t="s">
        <v>356</v>
      </c>
      <c r="S201" s="37" cm="1">
        <f t="array" aca="1" ref="S2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7.2980017659462932</v>
      </c>
      <c r="T201" s="346" t="s">
        <v>1485</v>
      </c>
      <c r="U201" s="347">
        <f ca="1">S201/g2lb/S196*kg2ton</f>
        <v>2.9182879377431905</v>
      </c>
      <c r="V201" s="347">
        <v>7.2980017659462932</v>
      </c>
      <c r="W201" s="347">
        <v>2.9182879377431905</v>
      </c>
      <c r="X201" s="14" t="s">
        <v>12</v>
      </c>
      <c r="Y201" s="346" t="s">
        <v>413</v>
      </c>
      <c r="Z201" s="14" t="str">
        <f>IF(ISBLANK(LCI_Table[[#This Row],[Notes for user]])," ",LCI_Table[[#This Row],[Notes for user]])</f>
        <v xml:space="preserve"> </v>
      </c>
      <c r="AA201" s="14"/>
      <c r="AB201" s="14"/>
      <c r="AC201" s="346">
        <f ca="1">LCI_Table[[#This Row],[Default Calculated Value]]-LCI_Table[[#This Row],[Calculated Value]]</f>
        <v>0</v>
      </c>
    </row>
    <row r="202" spans="1:29" x14ac:dyDescent="0.3">
      <c r="A2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CarinataHEFAGREETGREET(blank)_Carinata_Farming_InsecticideInsecticide</v>
      </c>
      <c r="B202" s="14" t="s">
        <v>128</v>
      </c>
      <c r="C202" s="14" t="s">
        <v>30</v>
      </c>
      <c r="D202" s="14" t="s">
        <v>29</v>
      </c>
      <c r="E202" s="48" t="s">
        <v>29</v>
      </c>
      <c r="F202" s="14" t="s">
        <v>31</v>
      </c>
      <c r="G202" s="14" t="b">
        <f>OR(LCI_Table[[#This Row],[Feedstock]]="All",LCI_Table[[#This Row],[Feedstock]]=SelectedFeedstock)</f>
        <v>0</v>
      </c>
      <c r="H202" s="14" t="b">
        <f>OR(LCI_Table[[#This Row],[Conversion]]="All",LCI_Table[[#This Row],[Conversion]]=SelectedConversion)</f>
        <v>1</v>
      </c>
      <c r="I202" s="14" t="b">
        <f>OR(LCI_Table[[#This Row],[Data Set]]="all",LCI_Table[[#This Row],[Data Set]]=SelectedDataSet)</f>
        <v>1</v>
      </c>
      <c r="J202" s="14" t="b">
        <f>OR(LCI_Table[[#This Row],[Technology]]="All",LCI_Table[[#This Row],[Technology]]=SelectedTechnology)</f>
        <v>1</v>
      </c>
      <c r="K202" s="14" t="b">
        <f>OR(LCI_Table[[#This Row],[Data Source]]="All",LCI_Table[[#This Row],[Data Source]]=SelectedDataSource)</f>
        <v>1</v>
      </c>
      <c r="L202" s="14" t="b">
        <f>TRUE</f>
        <v>1</v>
      </c>
      <c r="M202" s="14" t="b">
        <f>(LCI_Table[[#This Row],[Dev Notes]]="Do not display")</f>
        <v>0</v>
      </c>
      <c r="N202" s="14" t="b">
        <f>AND(LCI_Table[[#This Row],[Show Feedstock]:[Conditional]],NOT(LCI_Table[[#This Row],[Hide Row]]))</f>
        <v>0</v>
      </c>
      <c r="O202" s="14" t="b">
        <f>LCI_Table[[#This Row],[GREET1 Name Range]]=""</f>
        <v>0</v>
      </c>
      <c r="P202" s="14" t="s">
        <v>14</v>
      </c>
      <c r="Q202" s="14" t="s">
        <v>521</v>
      </c>
      <c r="R202" s="14" t="s">
        <v>114</v>
      </c>
      <c r="S202" s="37" cm="1">
        <f t="array" aca="1" ref="S2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0.56267593615445921</v>
      </c>
      <c r="T202" s="346" t="s">
        <v>1485</v>
      </c>
      <c r="U202" s="347">
        <f ca="1">S202/g2lb/S196*kg2ton</f>
        <v>0.22500000000000001</v>
      </c>
      <c r="V202" s="347">
        <v>0.56267593615445921</v>
      </c>
      <c r="W202" s="347">
        <v>0.22500000000000001</v>
      </c>
      <c r="X202" s="14" t="s">
        <v>12</v>
      </c>
      <c r="Y202" s="346" t="s">
        <v>413</v>
      </c>
      <c r="Z202" s="14" t="str">
        <f>IF(ISBLANK(LCI_Table[[#This Row],[Notes for user]])," ",LCI_Table[[#This Row],[Notes for user]])</f>
        <v xml:space="preserve"> </v>
      </c>
      <c r="AA202" s="14"/>
      <c r="AB202" s="14"/>
      <c r="AC202" s="346">
        <f ca="1">LCI_Table[[#This Row],[Default Calculated Value]]-LCI_Table[[#This Row],[Calculated Value]]</f>
        <v>0</v>
      </c>
    </row>
    <row r="203" spans="1:29" x14ac:dyDescent="0.3">
      <c r="A2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CarinataHEFAGREETGREET(blank)_Carinata_Farming_Residual_oilResidual oil</v>
      </c>
      <c r="B203" s="14" t="s">
        <v>128</v>
      </c>
      <c r="C203" s="14" t="s">
        <v>30</v>
      </c>
      <c r="D203" s="14" t="s">
        <v>29</v>
      </c>
      <c r="E203" s="48" t="s">
        <v>29</v>
      </c>
      <c r="F203" s="14" t="s">
        <v>31</v>
      </c>
      <c r="G203" s="14" t="b">
        <f>OR(LCI_Table[[#This Row],[Feedstock]]="All",LCI_Table[[#This Row],[Feedstock]]=SelectedFeedstock)</f>
        <v>0</v>
      </c>
      <c r="H203" s="14" t="b">
        <f>OR(LCI_Table[[#This Row],[Conversion]]="All",LCI_Table[[#This Row],[Conversion]]=SelectedConversion)</f>
        <v>1</v>
      </c>
      <c r="I203" s="14" t="b">
        <f>OR(LCI_Table[[#This Row],[Data Set]]="all",LCI_Table[[#This Row],[Data Set]]=SelectedDataSet)</f>
        <v>1</v>
      </c>
      <c r="J203" s="14" t="b">
        <f>OR(LCI_Table[[#This Row],[Technology]]="All",LCI_Table[[#This Row],[Technology]]=SelectedTechnology)</f>
        <v>1</v>
      </c>
      <c r="K203" s="14" t="b">
        <f>OR(LCI_Table[[#This Row],[Data Source]]="All",LCI_Table[[#This Row],[Data Source]]=SelectedDataSource)</f>
        <v>1</v>
      </c>
      <c r="L203" s="14" t="b">
        <f>TRUE</f>
        <v>1</v>
      </c>
      <c r="M203" s="14" t="b">
        <f>(LCI_Table[[#This Row],[Dev Notes]]="Do not display")</f>
        <v>0</v>
      </c>
      <c r="N203" s="14" t="b">
        <f>AND(LCI_Table[[#This Row],[Show Feedstock]:[Conditional]],NOT(LCI_Table[[#This Row],[Hide Row]]))</f>
        <v>0</v>
      </c>
      <c r="O203" s="14" t="b">
        <f>LCI_Table[[#This Row],[GREET1 Name Range]]=""</f>
        <v>0</v>
      </c>
      <c r="P203" s="14" t="s">
        <v>14</v>
      </c>
      <c r="Q203" s="14" t="s">
        <v>527</v>
      </c>
      <c r="R203" s="14" t="s">
        <v>115</v>
      </c>
      <c r="S203" s="37" cm="1">
        <f t="array" aca="1" ref="S2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3" s="346" t="s">
        <v>1484</v>
      </c>
      <c r="U203" s="347">
        <f ca="1">S203*Fuel_Specs!$B$28/S196*kg2ton</f>
        <v>0</v>
      </c>
      <c r="V203" s="347">
        <v>0</v>
      </c>
      <c r="W203" s="347">
        <v>0</v>
      </c>
      <c r="X203" s="14" t="s">
        <v>5</v>
      </c>
      <c r="Y203" s="346" t="s">
        <v>413</v>
      </c>
      <c r="Z203" s="14" t="str">
        <f>IF(ISBLANK(LCI_Table[[#This Row],[Notes for user]])," ",LCI_Table[[#This Row],[Notes for user]])</f>
        <v xml:space="preserve"> </v>
      </c>
      <c r="AA203" s="14"/>
      <c r="AB203" s="14"/>
      <c r="AC203" s="346">
        <f ca="1">LCI_Table[[#This Row],[Default Calculated Value]]-LCI_Table[[#This Row],[Calculated Value]]</f>
        <v>0</v>
      </c>
    </row>
    <row r="204" spans="1:29" x14ac:dyDescent="0.3">
      <c r="A2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CarinataHEFAGREETGREET(blank)_Carinata_Farming_DieselDiesel</v>
      </c>
      <c r="B204" s="14" t="s">
        <v>128</v>
      </c>
      <c r="C204" s="14" t="s">
        <v>30</v>
      </c>
      <c r="D204" s="14" t="s">
        <v>29</v>
      </c>
      <c r="E204" s="48" t="s">
        <v>29</v>
      </c>
      <c r="F204" s="14" t="s">
        <v>31</v>
      </c>
      <c r="G204" s="14" t="b">
        <f>OR(LCI_Table[[#This Row],[Feedstock]]="All",LCI_Table[[#This Row],[Feedstock]]=SelectedFeedstock)</f>
        <v>0</v>
      </c>
      <c r="H204" s="14" t="b">
        <f>OR(LCI_Table[[#This Row],[Conversion]]="All",LCI_Table[[#This Row],[Conversion]]=SelectedConversion)</f>
        <v>1</v>
      </c>
      <c r="I204" s="14" t="b">
        <f>OR(LCI_Table[[#This Row],[Data Set]]="all",LCI_Table[[#This Row],[Data Set]]=SelectedDataSet)</f>
        <v>1</v>
      </c>
      <c r="J204" s="14" t="b">
        <f>OR(LCI_Table[[#This Row],[Technology]]="All",LCI_Table[[#This Row],[Technology]]=SelectedTechnology)</f>
        <v>1</v>
      </c>
      <c r="K204" s="14" t="b">
        <f>OR(LCI_Table[[#This Row],[Data Source]]="All",LCI_Table[[#This Row],[Data Source]]=SelectedDataSource)</f>
        <v>1</v>
      </c>
      <c r="L204" s="14" t="b">
        <f>TRUE</f>
        <v>1</v>
      </c>
      <c r="M204" s="14" t="b">
        <f>(LCI_Table[[#This Row],[Dev Notes]]="Do not display")</f>
        <v>0</v>
      </c>
      <c r="N204" s="14" t="b">
        <f>AND(LCI_Table[[#This Row],[Show Feedstock]:[Conditional]],NOT(LCI_Table[[#This Row],[Hide Row]]))</f>
        <v>0</v>
      </c>
      <c r="O204" s="14" t="b">
        <f>LCI_Table[[#This Row],[GREET1 Name Range]]=""</f>
        <v>0</v>
      </c>
      <c r="P204" s="14" t="s">
        <v>14</v>
      </c>
      <c r="Q204" s="14" t="s">
        <v>517</v>
      </c>
      <c r="R204" s="14" t="s">
        <v>106</v>
      </c>
      <c r="S204" s="37" cm="1">
        <f t="array" aca="1" ref="S2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14.471613838927412</v>
      </c>
      <c r="T204" s="346" t="s">
        <v>1484</v>
      </c>
      <c r="U204" s="347">
        <f ca="1">S204*Fuel_Specs!$B$19/S196*kg2ton</f>
        <v>1638.7379425025897</v>
      </c>
      <c r="V204" s="347">
        <v>14.471613838927412</v>
      </c>
      <c r="W204" s="347">
        <v>1638.7379425025897</v>
      </c>
      <c r="X204" s="14" t="s">
        <v>5</v>
      </c>
      <c r="Y204" s="346" t="s">
        <v>413</v>
      </c>
      <c r="Z204" s="14" t="str">
        <f>IF(ISBLANK(LCI_Table[[#This Row],[Notes for user]])," ",LCI_Table[[#This Row],[Notes for user]])</f>
        <v xml:space="preserve"> </v>
      </c>
      <c r="AA204" s="14"/>
      <c r="AB204" s="14"/>
      <c r="AC204" s="346">
        <f ca="1">LCI_Table[[#This Row],[Default Calculated Value]]-LCI_Table[[#This Row],[Calculated Value]]</f>
        <v>0</v>
      </c>
    </row>
    <row r="205" spans="1:29" x14ac:dyDescent="0.3">
      <c r="A2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CarinataHEFAGREETGREET(blank)_Carinata_Farming_GasolineGasoline</v>
      </c>
      <c r="B205" s="14" t="s">
        <v>128</v>
      </c>
      <c r="C205" s="14" t="s">
        <v>30</v>
      </c>
      <c r="D205" s="14" t="s">
        <v>29</v>
      </c>
      <c r="E205" s="48" t="s">
        <v>29</v>
      </c>
      <c r="F205" s="14" t="s">
        <v>31</v>
      </c>
      <c r="G205" s="14" t="b">
        <f>OR(LCI_Table[[#This Row],[Feedstock]]="All",LCI_Table[[#This Row],[Feedstock]]=SelectedFeedstock)</f>
        <v>0</v>
      </c>
      <c r="H205" s="14" t="b">
        <f>OR(LCI_Table[[#This Row],[Conversion]]="All",LCI_Table[[#This Row],[Conversion]]=SelectedConversion)</f>
        <v>1</v>
      </c>
      <c r="I205" s="14" t="b">
        <f>OR(LCI_Table[[#This Row],[Data Set]]="all",LCI_Table[[#This Row],[Data Set]]=SelectedDataSet)</f>
        <v>1</v>
      </c>
      <c r="J205" s="14" t="b">
        <f>OR(LCI_Table[[#This Row],[Technology]]="All",LCI_Table[[#This Row],[Technology]]=SelectedTechnology)</f>
        <v>1</v>
      </c>
      <c r="K205" s="14" t="b">
        <f>OR(LCI_Table[[#This Row],[Data Source]]="All",LCI_Table[[#This Row],[Data Source]]=SelectedDataSource)</f>
        <v>1</v>
      </c>
      <c r="L205" s="14" t="b">
        <f>TRUE</f>
        <v>1</v>
      </c>
      <c r="M205" s="14" t="b">
        <f>(LCI_Table[[#This Row],[Dev Notes]]="Do not display")</f>
        <v>0</v>
      </c>
      <c r="N205" s="14" t="b">
        <f>AND(LCI_Table[[#This Row],[Show Feedstock]:[Conditional]],NOT(LCI_Table[[#This Row],[Hide Row]]))</f>
        <v>0</v>
      </c>
      <c r="O205" s="14" t="b">
        <f>LCI_Table[[#This Row],[GREET1 Name Range]]=""</f>
        <v>0</v>
      </c>
      <c r="P205" s="14" t="s">
        <v>14</v>
      </c>
      <c r="Q205" s="14" t="s">
        <v>519</v>
      </c>
      <c r="R205" s="14" t="s">
        <v>107</v>
      </c>
      <c r="S205" s="37" cm="1">
        <f t="array" aca="1" ref="S2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5" s="346" t="s">
        <v>1484</v>
      </c>
      <c r="U205" s="347">
        <f ca="1">S205*Fuel_Specs!$B$15/S196*kg2ton</f>
        <v>0</v>
      </c>
      <c r="V205" s="347">
        <v>0</v>
      </c>
      <c r="W205" s="347">
        <v>0</v>
      </c>
      <c r="X205" s="14" t="s">
        <v>5</v>
      </c>
      <c r="Y205" s="346" t="s">
        <v>413</v>
      </c>
      <c r="Z205" s="14" t="str">
        <f>IF(ISBLANK(LCI_Table[[#This Row],[Notes for user]])," ",LCI_Table[[#This Row],[Notes for user]])</f>
        <v xml:space="preserve"> </v>
      </c>
      <c r="AA205" s="14"/>
      <c r="AB205" s="14"/>
      <c r="AC205" s="346">
        <f ca="1">LCI_Table[[#This Row],[Default Calculated Value]]-LCI_Table[[#This Row],[Calculated Value]]</f>
        <v>0</v>
      </c>
    </row>
    <row r="206" spans="1:29" x14ac:dyDescent="0.3">
      <c r="A2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CarinataHEFAGREETGREET(blank)_Carinata_Farming_Natural_gasNatural gas</v>
      </c>
      <c r="B206" s="14" t="s">
        <v>128</v>
      </c>
      <c r="C206" s="14" t="s">
        <v>30</v>
      </c>
      <c r="D206" s="14" t="s">
        <v>29</v>
      </c>
      <c r="E206" s="48" t="s">
        <v>29</v>
      </c>
      <c r="F206" s="14" t="s">
        <v>31</v>
      </c>
      <c r="G206" s="14" t="b">
        <f>OR(LCI_Table[[#This Row],[Feedstock]]="All",LCI_Table[[#This Row],[Feedstock]]=SelectedFeedstock)</f>
        <v>0</v>
      </c>
      <c r="H206" s="14" t="b">
        <f>OR(LCI_Table[[#This Row],[Conversion]]="All",LCI_Table[[#This Row],[Conversion]]=SelectedConversion)</f>
        <v>1</v>
      </c>
      <c r="I206" s="14" t="b">
        <f>OR(LCI_Table[[#This Row],[Data Set]]="all",LCI_Table[[#This Row],[Data Set]]=SelectedDataSet)</f>
        <v>1</v>
      </c>
      <c r="J206" s="14" t="b">
        <f>OR(LCI_Table[[#This Row],[Technology]]="All",LCI_Table[[#This Row],[Technology]]=SelectedTechnology)</f>
        <v>1</v>
      </c>
      <c r="K206" s="14" t="b">
        <f>OR(LCI_Table[[#This Row],[Data Source]]="All",LCI_Table[[#This Row],[Data Source]]=SelectedDataSource)</f>
        <v>1</v>
      </c>
      <c r="L206" s="14" t="b">
        <f>TRUE</f>
        <v>1</v>
      </c>
      <c r="M206" s="14" t="b">
        <f>(LCI_Table[[#This Row],[Dev Notes]]="Do not display")</f>
        <v>0</v>
      </c>
      <c r="N206" s="14" t="b">
        <f>AND(LCI_Table[[#This Row],[Show Feedstock]:[Conditional]],NOT(LCI_Table[[#This Row],[Hide Row]]))</f>
        <v>0</v>
      </c>
      <c r="O206" s="14" t="b">
        <f>LCI_Table[[#This Row],[GREET1 Name Range]]=""</f>
        <v>0</v>
      </c>
      <c r="P206" s="14" t="s">
        <v>14</v>
      </c>
      <c r="Q206" s="14" t="s">
        <v>524</v>
      </c>
      <c r="R206" s="14" t="s">
        <v>108</v>
      </c>
      <c r="S206" s="37" cm="1">
        <f t="array" aca="1" ref="S2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6" s="346" t="s">
        <v>2109</v>
      </c>
      <c r="U206" s="347">
        <f ca="1">S206*Fuel_Specs!$B$79/S196*kg2ton</f>
        <v>0</v>
      </c>
      <c r="V206" s="347">
        <v>0</v>
      </c>
      <c r="W206" s="347">
        <v>0</v>
      </c>
      <c r="X206" s="14" t="s">
        <v>351</v>
      </c>
      <c r="Y206" s="346" t="s">
        <v>413</v>
      </c>
      <c r="Z206" s="14" t="str">
        <f>IF(ISBLANK(LCI_Table[[#This Row],[Notes for user]])," ",LCI_Table[[#This Row],[Notes for user]])</f>
        <v xml:space="preserve"> </v>
      </c>
      <c r="AA206" s="14"/>
      <c r="AB206" s="14"/>
      <c r="AC206" s="346">
        <f ca="1">LCI_Table[[#This Row],[Default Calculated Value]]-LCI_Table[[#This Row],[Calculated Value]]</f>
        <v>0</v>
      </c>
    </row>
    <row r="207" spans="1:29" x14ac:dyDescent="0.3">
      <c r="A2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CarinataHEFAGREETGREET(blank)_Carinata_Farming_CoalCoal</v>
      </c>
      <c r="B207" s="14" t="s">
        <v>128</v>
      </c>
      <c r="C207" s="14" t="s">
        <v>30</v>
      </c>
      <c r="D207" s="14" t="s">
        <v>29</v>
      </c>
      <c r="E207" s="48" t="s">
        <v>29</v>
      </c>
      <c r="F207" s="14" t="s">
        <v>31</v>
      </c>
      <c r="G207" s="14" t="b">
        <f>OR(LCI_Table[[#This Row],[Feedstock]]="All",LCI_Table[[#This Row],[Feedstock]]=SelectedFeedstock)</f>
        <v>0</v>
      </c>
      <c r="H207" s="14" t="b">
        <f>OR(LCI_Table[[#This Row],[Conversion]]="All",LCI_Table[[#This Row],[Conversion]]=SelectedConversion)</f>
        <v>1</v>
      </c>
      <c r="I207" s="14" t="b">
        <f>OR(LCI_Table[[#This Row],[Data Set]]="all",LCI_Table[[#This Row],[Data Set]]=SelectedDataSet)</f>
        <v>1</v>
      </c>
      <c r="J207" s="14" t="b">
        <f>OR(LCI_Table[[#This Row],[Technology]]="All",LCI_Table[[#This Row],[Technology]]=SelectedTechnology)</f>
        <v>1</v>
      </c>
      <c r="K207" s="14" t="b">
        <f>OR(LCI_Table[[#This Row],[Data Source]]="All",LCI_Table[[#This Row],[Data Source]]=SelectedDataSource)</f>
        <v>1</v>
      </c>
      <c r="L207" s="14" t="b">
        <f>TRUE</f>
        <v>1</v>
      </c>
      <c r="M207" s="14" t="b">
        <f>(LCI_Table[[#This Row],[Dev Notes]]="Do not display")</f>
        <v>0</v>
      </c>
      <c r="N207" s="14" t="b">
        <f>AND(LCI_Table[[#This Row],[Show Feedstock]:[Conditional]],NOT(LCI_Table[[#This Row],[Hide Row]]))</f>
        <v>0</v>
      </c>
      <c r="O207" s="14" t="b">
        <f>LCI_Table[[#This Row],[GREET1 Name Range]]=""</f>
        <v>0</v>
      </c>
      <c r="P207" s="14" t="s">
        <v>14</v>
      </c>
      <c r="Q207" s="14" t="s">
        <v>516</v>
      </c>
      <c r="R207" s="14" t="s">
        <v>9</v>
      </c>
      <c r="S207" s="37" cm="1">
        <f t="array" aca="1" ref="S2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7" s="346" t="s">
        <v>2110</v>
      </c>
      <c r="U207" s="347">
        <f ca="1">S207/S196*kg2ton</f>
        <v>0</v>
      </c>
      <c r="V207" s="347">
        <v>0</v>
      </c>
      <c r="W207" s="347">
        <v>0</v>
      </c>
      <c r="X207" s="14" t="s">
        <v>117</v>
      </c>
      <c r="Y207" s="346" t="s">
        <v>413</v>
      </c>
      <c r="Z207" s="14" t="str">
        <f>IF(ISBLANK(LCI_Table[[#This Row],[Notes for user]])," ",LCI_Table[[#This Row],[Notes for user]])</f>
        <v xml:space="preserve"> </v>
      </c>
      <c r="AA207" s="14"/>
      <c r="AB207" s="14"/>
      <c r="AC207" s="346">
        <f ca="1">LCI_Table[[#This Row],[Default Calculated Value]]-LCI_Table[[#This Row],[Calculated Value]]</f>
        <v>0</v>
      </c>
    </row>
    <row r="208" spans="1:29" x14ac:dyDescent="0.3">
      <c r="A2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CarinataHEFAGREETGREET(blank)_Carinata_Farming_LPGLPG</v>
      </c>
      <c r="B208" s="14" t="s">
        <v>128</v>
      </c>
      <c r="C208" s="14" t="s">
        <v>30</v>
      </c>
      <c r="D208" s="14" t="s">
        <v>29</v>
      </c>
      <c r="E208" s="48" t="s">
        <v>29</v>
      </c>
      <c r="F208" s="14" t="s">
        <v>31</v>
      </c>
      <c r="G208" s="14" t="b">
        <f>OR(LCI_Table[[#This Row],[Feedstock]]="All",LCI_Table[[#This Row],[Feedstock]]=SelectedFeedstock)</f>
        <v>0</v>
      </c>
      <c r="H208" s="14" t="b">
        <f>OR(LCI_Table[[#This Row],[Conversion]]="All",LCI_Table[[#This Row],[Conversion]]=SelectedConversion)</f>
        <v>1</v>
      </c>
      <c r="I208" s="14" t="b">
        <f>OR(LCI_Table[[#This Row],[Data Set]]="all",LCI_Table[[#This Row],[Data Set]]=SelectedDataSet)</f>
        <v>1</v>
      </c>
      <c r="J208" s="14" t="b">
        <f>OR(LCI_Table[[#This Row],[Technology]]="All",LCI_Table[[#This Row],[Technology]]=SelectedTechnology)</f>
        <v>1</v>
      </c>
      <c r="K208" s="14" t="b">
        <f>OR(LCI_Table[[#This Row],[Data Source]]="All",LCI_Table[[#This Row],[Data Source]]=SelectedDataSource)</f>
        <v>1</v>
      </c>
      <c r="L208" s="14" t="b">
        <f>TRUE</f>
        <v>1</v>
      </c>
      <c r="M208" s="14" t="b">
        <f>(LCI_Table[[#This Row],[Dev Notes]]="Do not display")</f>
        <v>0</v>
      </c>
      <c r="N208" s="14" t="b">
        <f>AND(LCI_Table[[#This Row],[Show Feedstock]:[Conditional]],NOT(LCI_Table[[#This Row],[Hide Row]]))</f>
        <v>0</v>
      </c>
      <c r="O208" s="14" t="b">
        <f>LCI_Table[[#This Row],[GREET1 Name Range]]=""</f>
        <v>0</v>
      </c>
      <c r="P208" s="14" t="s">
        <v>14</v>
      </c>
      <c r="Q208" s="14" t="s">
        <v>523</v>
      </c>
      <c r="R208" s="14" t="s">
        <v>109</v>
      </c>
      <c r="S208" s="37" cm="1">
        <f t="array" aca="1" ref="S2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8" s="346" t="s">
        <v>1484</v>
      </c>
      <c r="U208" s="347">
        <f ca="1">S208*Fuel_Specs!$B$35/S196*kg2ton</f>
        <v>0</v>
      </c>
      <c r="V208" s="347">
        <v>0</v>
      </c>
      <c r="W208" s="347">
        <v>0</v>
      </c>
      <c r="X208" s="14" t="s">
        <v>5</v>
      </c>
      <c r="Y208" s="346" t="s">
        <v>413</v>
      </c>
      <c r="Z208" s="14" t="str">
        <f>IF(ISBLANK(LCI_Table[[#This Row],[Notes for user]])," ",LCI_Table[[#This Row],[Notes for user]])</f>
        <v xml:space="preserve"> </v>
      </c>
      <c r="AA208" s="14"/>
      <c r="AB208" s="14"/>
      <c r="AC208" s="346">
        <f ca="1">LCI_Table[[#This Row],[Default Calculated Value]]-LCI_Table[[#This Row],[Calculated Value]]</f>
        <v>0</v>
      </c>
    </row>
    <row r="209" spans="1:29" x14ac:dyDescent="0.3">
      <c r="A2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CarinataHEFAGREETGREET(blank)_Carinata_Farming_ElectricityElectricity</v>
      </c>
      <c r="B209" s="14" t="s">
        <v>128</v>
      </c>
      <c r="C209" s="14" t="s">
        <v>30</v>
      </c>
      <c r="D209" s="14" t="s">
        <v>29</v>
      </c>
      <c r="E209" s="48" t="s">
        <v>29</v>
      </c>
      <c r="F209" s="14" t="s">
        <v>31</v>
      </c>
      <c r="G209" s="14" t="b">
        <f>OR(LCI_Table[[#This Row],[Feedstock]]="All",LCI_Table[[#This Row],[Feedstock]]=SelectedFeedstock)</f>
        <v>0</v>
      </c>
      <c r="H209" s="14" t="b">
        <f>OR(LCI_Table[[#This Row],[Conversion]]="All",LCI_Table[[#This Row],[Conversion]]=SelectedConversion)</f>
        <v>1</v>
      </c>
      <c r="I209" s="14" t="b">
        <f>OR(LCI_Table[[#This Row],[Data Set]]="all",LCI_Table[[#This Row],[Data Set]]=SelectedDataSet)</f>
        <v>1</v>
      </c>
      <c r="J209" s="14" t="b">
        <f>OR(LCI_Table[[#This Row],[Technology]]="All",LCI_Table[[#This Row],[Technology]]=SelectedTechnology)</f>
        <v>1</v>
      </c>
      <c r="K209" s="14" t="b">
        <f>OR(LCI_Table[[#This Row],[Data Source]]="All",LCI_Table[[#This Row],[Data Source]]=SelectedDataSource)</f>
        <v>1</v>
      </c>
      <c r="L209" s="14" t="b">
        <f>TRUE</f>
        <v>1</v>
      </c>
      <c r="M209" s="14" t="b">
        <f>(LCI_Table[[#This Row],[Dev Notes]]="Do not display")</f>
        <v>0</v>
      </c>
      <c r="N209" s="14" t="b">
        <f>AND(LCI_Table[[#This Row],[Show Feedstock]:[Conditional]],NOT(LCI_Table[[#This Row],[Hide Row]]))</f>
        <v>0</v>
      </c>
      <c r="O209" s="14" t="b">
        <f>LCI_Table[[#This Row],[GREET1 Name Range]]=""</f>
        <v>0</v>
      </c>
      <c r="P209" s="14" t="s">
        <v>14</v>
      </c>
      <c r="Q209" s="14" t="s">
        <v>518</v>
      </c>
      <c r="R209" s="14" t="s">
        <v>110</v>
      </c>
      <c r="S209" s="37" cm="1">
        <f t="array" aca="1" ref="S2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9" s="346" t="s">
        <v>1561</v>
      </c>
      <c r="U209" s="347">
        <f ca="1">S209/BTU2kWh/S196*kg2ton</f>
        <v>0</v>
      </c>
      <c r="V209" s="347">
        <v>0</v>
      </c>
      <c r="W209" s="347">
        <v>0</v>
      </c>
      <c r="X209" s="14" t="s">
        <v>51</v>
      </c>
      <c r="Y209" s="346" t="s">
        <v>413</v>
      </c>
      <c r="Z209" s="14" t="str">
        <f>IF(ISBLANK(LCI_Table[[#This Row],[Notes for user]])," ",LCI_Table[[#This Row],[Notes for user]])</f>
        <v xml:space="preserve"> </v>
      </c>
      <c r="AA209" s="14"/>
      <c r="AB209" s="14"/>
      <c r="AC209" s="346">
        <f ca="1">LCI_Table[[#This Row],[Default Calculated Value]]-LCI_Table[[#This Row],[Calculated Value]]</f>
        <v>0</v>
      </c>
    </row>
    <row r="210" spans="1:29" x14ac:dyDescent="0.3">
      <c r="A2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dash_CarinataHEFAGREETGREET(blank)_Carinata_Extraction</v>
      </c>
      <c r="B210" s="14" t="s">
        <v>128</v>
      </c>
      <c r="C210" s="14" t="s">
        <v>30</v>
      </c>
      <c r="D210" s="14" t="s">
        <v>29</v>
      </c>
      <c r="E210" s="48" t="s">
        <v>29</v>
      </c>
      <c r="F210" s="14" t="s">
        <v>31</v>
      </c>
      <c r="G210" s="14" t="b">
        <f>OR(LCI_Table[[#This Row],[Feedstock]]="All",LCI_Table[[#This Row],[Feedstock]]=SelectedFeedstock)</f>
        <v>0</v>
      </c>
      <c r="H210" s="14" t="b">
        <f>OR(LCI_Table[[#This Row],[Conversion]]="All",LCI_Table[[#This Row],[Conversion]]=SelectedConversion)</f>
        <v>1</v>
      </c>
      <c r="I210" s="14" t="b">
        <f>OR(LCI_Table[[#This Row],[Data Set]]="all",LCI_Table[[#This Row],[Data Set]]=SelectedDataSet)</f>
        <v>1</v>
      </c>
      <c r="J210" s="14" t="b">
        <f>OR(LCI_Table[[#This Row],[Technology]]="All",LCI_Table[[#This Row],[Technology]]=SelectedTechnology)</f>
        <v>1</v>
      </c>
      <c r="K210" s="14" t="b">
        <f>OR(LCI_Table[[#This Row],[Data Source]]="All",LCI_Table[[#This Row],[Data Source]]=SelectedDataSource)</f>
        <v>1</v>
      </c>
      <c r="L210" s="14" t="b">
        <f>TRUE</f>
        <v>1</v>
      </c>
      <c r="M210" s="14" t="b">
        <f>(LCI_Table[[#This Row],[Dev Notes]]="Do not display")</f>
        <v>1</v>
      </c>
      <c r="N210" s="14" t="b">
        <f>AND(LCI_Table[[#This Row],[Show Feedstock]:[Conditional]],NOT(LCI_Table[[#This Row],[Hide Row]]))</f>
        <v>0</v>
      </c>
      <c r="O210" s="14" t="b">
        <f>LCI_Table[[#This Row],[GREET1 Name Range]]=""</f>
        <v>1</v>
      </c>
      <c r="P210" s="14" t="s">
        <v>15</v>
      </c>
      <c r="Q210" s="14" t="s">
        <v>361</v>
      </c>
      <c r="R210" s="14" t="s">
        <v>128</v>
      </c>
      <c r="S210" s="37" cm="1">
        <f t="array" aca="1" ref="S2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2.3119918699186934</v>
      </c>
      <c r="T210" s="346" t="s">
        <v>2111</v>
      </c>
      <c r="U210" s="347">
        <f ca="1">S210/kg2lb</f>
        <v>1.0487018716971499</v>
      </c>
      <c r="V210" s="347">
        <v>2.3119918699186934</v>
      </c>
      <c r="W210" s="347">
        <v>1.0487018716971499</v>
      </c>
      <c r="X210" s="14" t="s">
        <v>12</v>
      </c>
      <c r="Y210" s="346" t="s">
        <v>891</v>
      </c>
      <c r="Z210" s="14" t="str">
        <f>IF(ISBLANK(LCI_Table[[#This Row],[Notes for user]])," ",LCI_Table[[#This Row],[Notes for user]])</f>
        <v xml:space="preserve"> </v>
      </c>
      <c r="AA210" s="348"/>
      <c r="AB210" s="348" t="s">
        <v>1138</v>
      </c>
      <c r="AC210" s="346">
        <f ca="1">LCI_Table[[#This Row],[Default Calculated Value]]-LCI_Table[[#This Row],[Calculated Value]]</f>
        <v>0</v>
      </c>
    </row>
    <row r="211" spans="1:29" x14ac:dyDescent="0.3">
      <c r="A2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CarinataHEFAGREETGREET(blank)_Carinata_Extraction_Residual_oilResidual oil</v>
      </c>
      <c r="B211" s="14" t="s">
        <v>128</v>
      </c>
      <c r="C211" s="14" t="s">
        <v>30</v>
      </c>
      <c r="D211" s="14" t="s">
        <v>29</v>
      </c>
      <c r="E211" s="48" t="s">
        <v>29</v>
      </c>
      <c r="F211" s="14" t="s">
        <v>31</v>
      </c>
      <c r="G211" s="14" t="b">
        <f>OR(LCI_Table[[#This Row],[Feedstock]]="All",LCI_Table[[#This Row],[Feedstock]]=SelectedFeedstock)</f>
        <v>0</v>
      </c>
      <c r="H211" s="14" t="b">
        <f>OR(LCI_Table[[#This Row],[Conversion]]="All",LCI_Table[[#This Row],[Conversion]]=SelectedConversion)</f>
        <v>1</v>
      </c>
      <c r="I211" s="14" t="b">
        <f>OR(LCI_Table[[#This Row],[Data Set]]="all",LCI_Table[[#This Row],[Data Set]]=SelectedDataSet)</f>
        <v>1</v>
      </c>
      <c r="J211" s="14" t="b">
        <f>OR(LCI_Table[[#This Row],[Technology]]="All",LCI_Table[[#This Row],[Technology]]=SelectedTechnology)</f>
        <v>1</v>
      </c>
      <c r="K211" s="14" t="b">
        <f>OR(LCI_Table[[#This Row],[Data Source]]="All",LCI_Table[[#This Row],[Data Source]]=SelectedDataSource)</f>
        <v>1</v>
      </c>
      <c r="L211" s="14" t="b">
        <f>TRUE</f>
        <v>1</v>
      </c>
      <c r="M211" s="14" t="b">
        <f>(LCI_Table[[#This Row],[Dev Notes]]="Do not display")</f>
        <v>0</v>
      </c>
      <c r="N211" s="14" t="b">
        <f>AND(LCI_Table[[#This Row],[Show Feedstock]:[Conditional]],NOT(LCI_Table[[#This Row],[Hide Row]]))</f>
        <v>0</v>
      </c>
      <c r="O211" s="14" t="b">
        <f>LCI_Table[[#This Row],[GREET1 Name Range]]=""</f>
        <v>0</v>
      </c>
      <c r="P211" s="14" t="s">
        <v>15</v>
      </c>
      <c r="Q211" s="14" t="s">
        <v>514</v>
      </c>
      <c r="R211" s="14" t="s">
        <v>115</v>
      </c>
      <c r="S211" s="37" cm="1">
        <f t="array" aca="1" ref="S2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1" s="346" t="s">
        <v>2112</v>
      </c>
      <c r="U211" s="347">
        <f ca="1">S211*Fuel_Specs!$B$28</f>
        <v>0</v>
      </c>
      <c r="V211" s="347">
        <v>0</v>
      </c>
      <c r="W211" s="347">
        <v>0</v>
      </c>
      <c r="X211" s="14" t="s">
        <v>5</v>
      </c>
      <c r="Y211" s="346" t="s">
        <v>891</v>
      </c>
      <c r="Z211" s="14" t="str">
        <f>IF(ISBLANK(LCI_Table[[#This Row],[Notes for user]])," ",LCI_Table[[#This Row],[Notes for user]])</f>
        <v xml:space="preserve"> </v>
      </c>
      <c r="AA211" s="14"/>
      <c r="AB211" s="14"/>
      <c r="AC211" s="346">
        <f ca="1">LCI_Table[[#This Row],[Default Calculated Value]]-LCI_Table[[#This Row],[Calculated Value]]</f>
        <v>0</v>
      </c>
    </row>
    <row r="212" spans="1:29" x14ac:dyDescent="0.3">
      <c r="A2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CarinataHEFAGREETGREET(blank)_Carinata_Extraction_DieselDiesel</v>
      </c>
      <c r="B212" s="14" t="s">
        <v>128</v>
      </c>
      <c r="C212" s="14" t="s">
        <v>30</v>
      </c>
      <c r="D212" s="14" t="s">
        <v>29</v>
      </c>
      <c r="E212" s="48" t="s">
        <v>29</v>
      </c>
      <c r="F212" s="14" t="s">
        <v>31</v>
      </c>
      <c r="G212" s="14" t="b">
        <f>OR(LCI_Table[[#This Row],[Feedstock]]="All",LCI_Table[[#This Row],[Feedstock]]=SelectedFeedstock)</f>
        <v>0</v>
      </c>
      <c r="H212" s="14" t="b">
        <f>OR(LCI_Table[[#This Row],[Conversion]]="All",LCI_Table[[#This Row],[Conversion]]=SelectedConversion)</f>
        <v>1</v>
      </c>
      <c r="I212" s="14" t="b">
        <f>OR(LCI_Table[[#This Row],[Data Set]]="all",LCI_Table[[#This Row],[Data Set]]=SelectedDataSet)</f>
        <v>1</v>
      </c>
      <c r="J212" s="14" t="b">
        <f>OR(LCI_Table[[#This Row],[Technology]]="All",LCI_Table[[#This Row],[Technology]]=SelectedTechnology)</f>
        <v>1</v>
      </c>
      <c r="K212" s="14" t="b">
        <f>OR(LCI_Table[[#This Row],[Data Source]]="All",LCI_Table[[#This Row],[Data Source]]=SelectedDataSource)</f>
        <v>1</v>
      </c>
      <c r="L212" s="14" t="b">
        <f>TRUE</f>
        <v>1</v>
      </c>
      <c r="M212" s="14" t="b">
        <f>(LCI_Table[[#This Row],[Dev Notes]]="Do not display")</f>
        <v>0</v>
      </c>
      <c r="N212" s="14" t="b">
        <f>AND(LCI_Table[[#This Row],[Show Feedstock]:[Conditional]],NOT(LCI_Table[[#This Row],[Hide Row]]))</f>
        <v>0</v>
      </c>
      <c r="O212" s="14" t="b">
        <f>LCI_Table[[#This Row],[GREET1 Name Range]]=""</f>
        <v>0</v>
      </c>
      <c r="P212" s="14" t="s">
        <v>15</v>
      </c>
      <c r="Q212" s="14" t="s">
        <v>506</v>
      </c>
      <c r="R212" s="14" t="s">
        <v>106</v>
      </c>
      <c r="S212" s="37" cm="1">
        <f t="array" aca="1" ref="S2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2" s="346" t="s">
        <v>2112</v>
      </c>
      <c r="U212" s="347">
        <f ca="1">S212*Fuel_Specs!$B$19</f>
        <v>0</v>
      </c>
      <c r="V212" s="347">
        <v>0</v>
      </c>
      <c r="W212" s="347">
        <v>0</v>
      </c>
      <c r="X212" s="14" t="s">
        <v>5</v>
      </c>
      <c r="Y212" s="346" t="s">
        <v>891</v>
      </c>
      <c r="Z212" s="14" t="str">
        <f>IF(ISBLANK(LCI_Table[[#This Row],[Notes for user]])," ",LCI_Table[[#This Row],[Notes for user]])</f>
        <v xml:space="preserve"> </v>
      </c>
      <c r="AA212" s="14"/>
      <c r="AB212" s="14"/>
      <c r="AC212" s="346">
        <f ca="1">LCI_Table[[#This Row],[Default Calculated Value]]-LCI_Table[[#This Row],[Calculated Value]]</f>
        <v>0</v>
      </c>
    </row>
    <row r="213" spans="1:29" x14ac:dyDescent="0.3">
      <c r="A2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CarinataHEFAGREETGREET(blank)_Carinata_Extraction_GasolineGasoline</v>
      </c>
      <c r="B213" s="14" t="s">
        <v>128</v>
      </c>
      <c r="C213" s="14" t="s">
        <v>30</v>
      </c>
      <c r="D213" s="14" t="s">
        <v>29</v>
      </c>
      <c r="E213" s="48" t="s">
        <v>29</v>
      </c>
      <c r="F213" s="14" t="s">
        <v>31</v>
      </c>
      <c r="G213" s="14" t="b">
        <f>OR(LCI_Table[[#This Row],[Feedstock]]="All",LCI_Table[[#This Row],[Feedstock]]=SelectedFeedstock)</f>
        <v>0</v>
      </c>
      <c r="H213" s="14" t="b">
        <f>OR(LCI_Table[[#This Row],[Conversion]]="All",LCI_Table[[#This Row],[Conversion]]=SelectedConversion)</f>
        <v>1</v>
      </c>
      <c r="I213" s="14" t="b">
        <f>OR(LCI_Table[[#This Row],[Data Set]]="all",LCI_Table[[#This Row],[Data Set]]=SelectedDataSet)</f>
        <v>1</v>
      </c>
      <c r="J213" s="14" t="b">
        <f>OR(LCI_Table[[#This Row],[Technology]]="All",LCI_Table[[#This Row],[Technology]]=SelectedTechnology)</f>
        <v>1</v>
      </c>
      <c r="K213" s="14" t="b">
        <f>OR(LCI_Table[[#This Row],[Data Source]]="All",LCI_Table[[#This Row],[Data Source]]=SelectedDataSource)</f>
        <v>1</v>
      </c>
      <c r="L213" s="14" t="b">
        <f>TRUE</f>
        <v>1</v>
      </c>
      <c r="M213" s="14" t="b">
        <f>(LCI_Table[[#This Row],[Dev Notes]]="Do not display")</f>
        <v>0</v>
      </c>
      <c r="N213" s="14" t="b">
        <f>AND(LCI_Table[[#This Row],[Show Feedstock]:[Conditional]],NOT(LCI_Table[[#This Row],[Hide Row]]))</f>
        <v>0</v>
      </c>
      <c r="O213" s="14" t="b">
        <f>LCI_Table[[#This Row],[GREET1 Name Range]]=""</f>
        <v>0</v>
      </c>
      <c r="P213" s="14" t="s">
        <v>15</v>
      </c>
      <c r="Q213" s="14" t="s">
        <v>509</v>
      </c>
      <c r="R213" s="14" t="s">
        <v>107</v>
      </c>
      <c r="S213" s="37" cm="1">
        <f t="array" aca="1" ref="S2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3" s="346" t="s">
        <v>2112</v>
      </c>
      <c r="U213" s="347">
        <f ca="1">S213*Fuel_Specs!$B$15</f>
        <v>0</v>
      </c>
      <c r="V213" s="347">
        <v>0</v>
      </c>
      <c r="W213" s="347">
        <v>0</v>
      </c>
      <c r="X213" s="14" t="s">
        <v>5</v>
      </c>
      <c r="Y213" s="346" t="s">
        <v>891</v>
      </c>
      <c r="Z213" s="14" t="str">
        <f>IF(ISBLANK(LCI_Table[[#This Row],[Notes for user]])," ",LCI_Table[[#This Row],[Notes for user]])</f>
        <v xml:space="preserve"> </v>
      </c>
      <c r="AA213" s="14"/>
      <c r="AB213" s="14"/>
      <c r="AC213" s="346">
        <f ca="1">LCI_Table[[#This Row],[Default Calculated Value]]-LCI_Table[[#This Row],[Calculated Value]]</f>
        <v>0</v>
      </c>
    </row>
    <row r="214" spans="1:29" x14ac:dyDescent="0.3">
      <c r="A2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CarinataHEFAGREETGREET(blank)_Carinata_Extraction_Natural_gasNatural gas</v>
      </c>
      <c r="B214" s="14" t="s">
        <v>128</v>
      </c>
      <c r="C214" s="14" t="s">
        <v>30</v>
      </c>
      <c r="D214" s="14" t="s">
        <v>29</v>
      </c>
      <c r="E214" s="48" t="s">
        <v>29</v>
      </c>
      <c r="F214" s="14" t="s">
        <v>31</v>
      </c>
      <c r="G214" s="14" t="b">
        <f>OR(LCI_Table[[#This Row],[Feedstock]]="All",LCI_Table[[#This Row],[Feedstock]]=SelectedFeedstock)</f>
        <v>0</v>
      </c>
      <c r="H214" s="14" t="b">
        <f>OR(LCI_Table[[#This Row],[Conversion]]="All",LCI_Table[[#This Row],[Conversion]]=SelectedConversion)</f>
        <v>1</v>
      </c>
      <c r="I214" s="14" t="b">
        <f>OR(LCI_Table[[#This Row],[Data Set]]="all",LCI_Table[[#This Row],[Data Set]]=SelectedDataSet)</f>
        <v>1</v>
      </c>
      <c r="J214" s="14" t="b">
        <f>OR(LCI_Table[[#This Row],[Technology]]="All",LCI_Table[[#This Row],[Technology]]=SelectedTechnology)</f>
        <v>1</v>
      </c>
      <c r="K214" s="14" t="b">
        <f>OR(LCI_Table[[#This Row],[Data Source]]="All",LCI_Table[[#This Row],[Data Source]]=SelectedDataSource)</f>
        <v>1</v>
      </c>
      <c r="L214" s="14" t="b">
        <f>TRUE</f>
        <v>1</v>
      </c>
      <c r="M214" s="14" t="b">
        <f>(LCI_Table[[#This Row],[Dev Notes]]="Do not display")</f>
        <v>0</v>
      </c>
      <c r="N214" s="14" t="b">
        <f>AND(LCI_Table[[#This Row],[Show Feedstock]:[Conditional]],NOT(LCI_Table[[#This Row],[Hide Row]]))</f>
        <v>0</v>
      </c>
      <c r="O214" s="14" t="b">
        <f>LCI_Table[[#This Row],[GREET1 Name Range]]=""</f>
        <v>0</v>
      </c>
      <c r="P214" s="14" t="s">
        <v>15</v>
      </c>
      <c r="Q214" s="14" t="s">
        <v>513</v>
      </c>
      <c r="R214" s="14" t="s">
        <v>108</v>
      </c>
      <c r="S214" s="37" cm="1">
        <f t="array" aca="1" ref="S2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1.0165942281783171</v>
      </c>
      <c r="T214" s="346" t="s">
        <v>2113</v>
      </c>
      <c r="U214" s="347">
        <f ca="1">S214*Fuel_Specs!$B$79</f>
        <v>999.31212629928575</v>
      </c>
      <c r="V214" s="347">
        <v>1.0165942281783171</v>
      </c>
      <c r="W214" s="347">
        <v>999.31212629928575</v>
      </c>
      <c r="X214" s="14" t="s">
        <v>351</v>
      </c>
      <c r="Y214" s="346" t="s">
        <v>891</v>
      </c>
      <c r="Z214" s="14" t="str">
        <f>IF(ISBLANK(LCI_Table[[#This Row],[Notes for user]])," ",LCI_Table[[#This Row],[Notes for user]])</f>
        <v xml:space="preserve"> </v>
      </c>
      <c r="AA214" s="14"/>
      <c r="AB214" s="14"/>
      <c r="AC214" s="346">
        <f ca="1">LCI_Table[[#This Row],[Default Calculated Value]]-LCI_Table[[#This Row],[Calculated Value]]</f>
        <v>0</v>
      </c>
    </row>
    <row r="215" spans="1:29" x14ac:dyDescent="0.3">
      <c r="A2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CarinataHEFAGREETGREET(blank)_Carinata_Extraction_CoalCoal</v>
      </c>
      <c r="B215" s="14" t="s">
        <v>128</v>
      </c>
      <c r="C215" s="14" t="s">
        <v>30</v>
      </c>
      <c r="D215" s="14" t="s">
        <v>29</v>
      </c>
      <c r="E215" s="48" t="s">
        <v>29</v>
      </c>
      <c r="F215" s="14" t="s">
        <v>31</v>
      </c>
      <c r="G215" s="14" t="b">
        <f>OR(LCI_Table[[#This Row],[Feedstock]]="All",LCI_Table[[#This Row],[Feedstock]]=SelectedFeedstock)</f>
        <v>0</v>
      </c>
      <c r="H215" s="14" t="b">
        <f>OR(LCI_Table[[#This Row],[Conversion]]="All",LCI_Table[[#This Row],[Conversion]]=SelectedConversion)</f>
        <v>1</v>
      </c>
      <c r="I215" s="14" t="b">
        <f>OR(LCI_Table[[#This Row],[Data Set]]="all",LCI_Table[[#This Row],[Data Set]]=SelectedDataSet)</f>
        <v>1</v>
      </c>
      <c r="J215" s="14" t="b">
        <f>OR(LCI_Table[[#This Row],[Technology]]="All",LCI_Table[[#This Row],[Technology]]=SelectedTechnology)</f>
        <v>1</v>
      </c>
      <c r="K215" s="14" t="b">
        <f>OR(LCI_Table[[#This Row],[Data Source]]="All",LCI_Table[[#This Row],[Data Source]]=SelectedDataSource)</f>
        <v>1</v>
      </c>
      <c r="L215" s="14" t="b">
        <f>TRUE</f>
        <v>1</v>
      </c>
      <c r="M215" s="14" t="b">
        <f>(LCI_Table[[#This Row],[Dev Notes]]="Do not display")</f>
        <v>0</v>
      </c>
      <c r="N215" s="14" t="b">
        <f>AND(LCI_Table[[#This Row],[Show Feedstock]:[Conditional]],NOT(LCI_Table[[#This Row],[Hide Row]]))</f>
        <v>0</v>
      </c>
      <c r="O215" s="14" t="b">
        <f>LCI_Table[[#This Row],[GREET1 Name Range]]=""</f>
        <v>0</v>
      </c>
      <c r="P215" s="14" t="s">
        <v>15</v>
      </c>
      <c r="Q215" s="14" t="s">
        <v>505</v>
      </c>
      <c r="R215" s="14" t="s">
        <v>9</v>
      </c>
      <c r="S215" s="37" cm="1">
        <f t="array" aca="1" ref="S2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5" s="346" t="s">
        <v>2114</v>
      </c>
      <c r="U215" s="347">
        <f ca="1">S215</f>
        <v>0</v>
      </c>
      <c r="V215" s="347">
        <v>0</v>
      </c>
      <c r="W215" s="347">
        <v>0</v>
      </c>
      <c r="X215" s="14" t="s">
        <v>117</v>
      </c>
      <c r="Y215" s="346" t="s">
        <v>891</v>
      </c>
      <c r="Z215" s="14" t="str">
        <f>IF(ISBLANK(LCI_Table[[#This Row],[Notes for user]])," ",LCI_Table[[#This Row],[Notes for user]])</f>
        <v xml:space="preserve"> </v>
      </c>
      <c r="AA215" s="14"/>
      <c r="AB215" s="14"/>
      <c r="AC215" s="346">
        <f ca="1">LCI_Table[[#This Row],[Default Calculated Value]]-LCI_Table[[#This Row],[Calculated Value]]</f>
        <v>0</v>
      </c>
    </row>
    <row r="216" spans="1:29" x14ac:dyDescent="0.3">
      <c r="A2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CarinataHEFAGREETGREET(blank)_Carinata_Extraction_LPGLPG</v>
      </c>
      <c r="B216" s="14" t="s">
        <v>128</v>
      </c>
      <c r="C216" s="14" t="s">
        <v>30</v>
      </c>
      <c r="D216" s="14" t="s">
        <v>29</v>
      </c>
      <c r="E216" s="48" t="s">
        <v>29</v>
      </c>
      <c r="F216" s="14" t="s">
        <v>31</v>
      </c>
      <c r="G216" s="14" t="b">
        <f>OR(LCI_Table[[#This Row],[Feedstock]]="All",LCI_Table[[#This Row],[Feedstock]]=SelectedFeedstock)</f>
        <v>0</v>
      </c>
      <c r="H216" s="14" t="b">
        <f>OR(LCI_Table[[#This Row],[Conversion]]="All",LCI_Table[[#This Row],[Conversion]]=SelectedConversion)</f>
        <v>1</v>
      </c>
      <c r="I216" s="14" t="b">
        <f>OR(LCI_Table[[#This Row],[Data Set]]="all",LCI_Table[[#This Row],[Data Set]]=SelectedDataSet)</f>
        <v>1</v>
      </c>
      <c r="J216" s="14" t="b">
        <f>OR(LCI_Table[[#This Row],[Technology]]="All",LCI_Table[[#This Row],[Technology]]=SelectedTechnology)</f>
        <v>1</v>
      </c>
      <c r="K216" s="14" t="b">
        <f>OR(LCI_Table[[#This Row],[Data Source]]="All",LCI_Table[[#This Row],[Data Source]]=SelectedDataSource)</f>
        <v>1</v>
      </c>
      <c r="L216" s="14" t="b">
        <f>TRUE</f>
        <v>1</v>
      </c>
      <c r="M216" s="14" t="b">
        <f>(LCI_Table[[#This Row],[Dev Notes]]="Do not display")</f>
        <v>0</v>
      </c>
      <c r="N216" s="14" t="b">
        <f>AND(LCI_Table[[#This Row],[Show Feedstock]:[Conditional]],NOT(LCI_Table[[#This Row],[Hide Row]]))</f>
        <v>0</v>
      </c>
      <c r="O216" s="14" t="b">
        <f>LCI_Table[[#This Row],[GREET1 Name Range]]=""</f>
        <v>0</v>
      </c>
      <c r="P216" s="14" t="s">
        <v>15</v>
      </c>
      <c r="Q216" s="14" t="s">
        <v>511</v>
      </c>
      <c r="R216" s="14" t="s">
        <v>109</v>
      </c>
      <c r="S216" s="37" cm="1">
        <f t="array" aca="1" ref="S2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6" s="346" t="s">
        <v>2112</v>
      </c>
      <c r="U216" s="347">
        <f ca="1">S216*Fuel_Specs!$B$35</f>
        <v>0</v>
      </c>
      <c r="V216" s="347">
        <v>0</v>
      </c>
      <c r="W216" s="347">
        <v>0</v>
      </c>
      <c r="X216" s="14" t="s">
        <v>5</v>
      </c>
      <c r="Y216" s="346" t="s">
        <v>891</v>
      </c>
      <c r="Z216" s="14" t="str">
        <f>IF(ISBLANK(LCI_Table[[#This Row],[Notes for user]])," ",LCI_Table[[#This Row],[Notes for user]])</f>
        <v xml:space="preserve"> </v>
      </c>
      <c r="AA216" s="14"/>
      <c r="AB216" s="14"/>
      <c r="AC216" s="346">
        <f ca="1">LCI_Table[[#This Row],[Default Calculated Value]]-LCI_Table[[#This Row],[Calculated Value]]</f>
        <v>0</v>
      </c>
    </row>
    <row r="217" spans="1:29" x14ac:dyDescent="0.3">
      <c r="A2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CarinataHEFAGREETGREET(blank)_Carinata_Extraction_ElectricityElectricity</v>
      </c>
      <c r="B217" s="14" t="s">
        <v>128</v>
      </c>
      <c r="C217" s="14" t="s">
        <v>30</v>
      </c>
      <c r="D217" s="14" t="s">
        <v>29</v>
      </c>
      <c r="E217" s="48" t="s">
        <v>29</v>
      </c>
      <c r="F217" s="14" t="s">
        <v>31</v>
      </c>
      <c r="G217" s="14" t="b">
        <f>OR(LCI_Table[[#This Row],[Feedstock]]="All",LCI_Table[[#This Row],[Feedstock]]=SelectedFeedstock)</f>
        <v>0</v>
      </c>
      <c r="H217" s="14" t="b">
        <f>OR(LCI_Table[[#This Row],[Conversion]]="All",LCI_Table[[#This Row],[Conversion]]=SelectedConversion)</f>
        <v>1</v>
      </c>
      <c r="I217" s="14" t="b">
        <f>OR(LCI_Table[[#This Row],[Data Set]]="all",LCI_Table[[#This Row],[Data Set]]=SelectedDataSet)</f>
        <v>1</v>
      </c>
      <c r="J217" s="14" t="b">
        <f>OR(LCI_Table[[#This Row],[Technology]]="All",LCI_Table[[#This Row],[Technology]]=SelectedTechnology)</f>
        <v>1</v>
      </c>
      <c r="K217" s="14" t="b">
        <f>OR(LCI_Table[[#This Row],[Data Source]]="All",LCI_Table[[#This Row],[Data Source]]=SelectedDataSource)</f>
        <v>1</v>
      </c>
      <c r="L217" s="14" t="b">
        <f>TRUE</f>
        <v>1</v>
      </c>
      <c r="M217" s="14" t="b">
        <f>(LCI_Table[[#This Row],[Dev Notes]]="Do not display")</f>
        <v>0</v>
      </c>
      <c r="N217" s="14" t="b">
        <f>AND(LCI_Table[[#This Row],[Show Feedstock]:[Conditional]],NOT(LCI_Table[[#This Row],[Hide Row]]))</f>
        <v>0</v>
      </c>
      <c r="O217" s="14" t="b">
        <f>LCI_Table[[#This Row],[GREET1 Name Range]]=""</f>
        <v>0</v>
      </c>
      <c r="P217" s="14" t="s">
        <v>15</v>
      </c>
      <c r="Q217" s="14" t="s">
        <v>507</v>
      </c>
      <c r="R217" s="14" t="s">
        <v>110</v>
      </c>
      <c r="S217" s="37" cm="1">
        <f t="array" aca="1" ref="S2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5.597329845800008E-2</v>
      </c>
      <c r="T217" s="346" t="s">
        <v>2115</v>
      </c>
      <c r="U217" s="347">
        <f ca="1">S217/BTU2kWh</f>
        <v>190.98882248631699</v>
      </c>
      <c r="V217" s="347">
        <v>5.597329845800008E-2</v>
      </c>
      <c r="W217" s="347">
        <v>190.98882248631699</v>
      </c>
      <c r="X217" s="14" t="s">
        <v>51</v>
      </c>
      <c r="Y217" s="346" t="s">
        <v>891</v>
      </c>
      <c r="Z217" s="14" t="str">
        <f>IF(ISBLANK(LCI_Table[[#This Row],[Notes for user]])," ",LCI_Table[[#This Row],[Notes for user]])</f>
        <v xml:space="preserve"> </v>
      </c>
      <c r="AA217" s="14"/>
      <c r="AB217" s="14"/>
      <c r="AC217" s="346">
        <f ca="1">LCI_Table[[#This Row],[Default Calculated Value]]-LCI_Table[[#This Row],[Calculated Value]]</f>
        <v>0</v>
      </c>
    </row>
    <row r="218" spans="1:29" x14ac:dyDescent="0.3">
      <c r="A2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CarinataHEFAGREETGREET(blank)_Carinata_Extraction_N_hexaneN-hexane</v>
      </c>
      <c r="B218" s="14" t="s">
        <v>128</v>
      </c>
      <c r="C218" s="14" t="s">
        <v>30</v>
      </c>
      <c r="D218" s="14" t="s">
        <v>29</v>
      </c>
      <c r="E218" s="48" t="s">
        <v>29</v>
      </c>
      <c r="F218" s="14" t="s">
        <v>31</v>
      </c>
      <c r="G218" s="14" t="b">
        <f>OR(LCI_Table[[#This Row],[Feedstock]]="All",LCI_Table[[#This Row],[Feedstock]]=SelectedFeedstock)</f>
        <v>0</v>
      </c>
      <c r="H218" s="14" t="b">
        <f>OR(LCI_Table[[#This Row],[Conversion]]="All",LCI_Table[[#This Row],[Conversion]]=SelectedConversion)</f>
        <v>1</v>
      </c>
      <c r="I218" s="14" t="b">
        <f>OR(LCI_Table[[#This Row],[Data Set]]="all",LCI_Table[[#This Row],[Data Set]]=SelectedDataSet)</f>
        <v>1</v>
      </c>
      <c r="J218" s="14" t="b">
        <f>OR(LCI_Table[[#This Row],[Technology]]="All",LCI_Table[[#This Row],[Technology]]=SelectedTechnology)</f>
        <v>1</v>
      </c>
      <c r="K218" s="14" t="b">
        <f>OR(LCI_Table[[#This Row],[Data Source]]="All",LCI_Table[[#This Row],[Data Source]]=SelectedDataSource)</f>
        <v>1</v>
      </c>
      <c r="L218" s="14" t="b">
        <f>TRUE</f>
        <v>1</v>
      </c>
      <c r="M218" s="14" t="b">
        <f>(LCI_Table[[#This Row],[Dev Notes]]="Do not display")</f>
        <v>0</v>
      </c>
      <c r="N218" s="14" t="b">
        <f>AND(LCI_Table[[#This Row],[Show Feedstock]:[Conditional]],NOT(LCI_Table[[#This Row],[Hide Row]]))</f>
        <v>0</v>
      </c>
      <c r="O218" s="14" t="b">
        <f>LCI_Table[[#This Row],[GREET1 Name Range]]=""</f>
        <v>0</v>
      </c>
      <c r="P218" s="14" t="s">
        <v>15</v>
      </c>
      <c r="Q218" s="14" t="s">
        <v>512</v>
      </c>
      <c r="R218" s="14" t="s">
        <v>116</v>
      </c>
      <c r="S218" s="37" cm="1">
        <f t="array" aca="1" ref="S2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1.8894138027246233E-7</v>
      </c>
      <c r="T218" s="346" t="s">
        <v>2111</v>
      </c>
      <c r="U218" s="347">
        <f ca="1">S218*Fuel_Specs!$B$58*ton2lb</f>
        <v>39.7248496257331</v>
      </c>
      <c r="V218" s="347">
        <v>1.8894138027246233E-7</v>
      </c>
      <c r="W218" s="347">
        <v>39.7248496257331</v>
      </c>
      <c r="X218" s="14" t="s">
        <v>12</v>
      </c>
      <c r="Y218" s="346" t="s">
        <v>891</v>
      </c>
      <c r="Z218" s="14" t="str">
        <f>IF(ISBLANK(LCI_Table[[#This Row],[Notes for user]])," ",LCI_Table[[#This Row],[Notes for user]])</f>
        <v xml:space="preserve"> </v>
      </c>
      <c r="AA218" s="14"/>
      <c r="AB218" s="14"/>
      <c r="AC218" s="346">
        <f ca="1">LCI_Table[[#This Row],[Default Calculated Value]]-LCI_Table[[#This Row],[Calculated Value]]</f>
        <v>0</v>
      </c>
    </row>
    <row r="219" spans="1:29" x14ac:dyDescent="0.3">
      <c r="A2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CarinataHEFAGREETGREET(blank)_Carinata_Extraction_Forest_residueForest residue</v>
      </c>
      <c r="B219" s="14" t="s">
        <v>128</v>
      </c>
      <c r="C219" s="14" t="s">
        <v>30</v>
      </c>
      <c r="D219" s="14" t="s">
        <v>29</v>
      </c>
      <c r="E219" s="48" t="s">
        <v>29</v>
      </c>
      <c r="F219" s="14" t="s">
        <v>31</v>
      </c>
      <c r="G219" s="14" t="b">
        <f>OR(LCI_Table[[#This Row],[Feedstock]]="All",LCI_Table[[#This Row],[Feedstock]]=SelectedFeedstock)</f>
        <v>0</v>
      </c>
      <c r="H219" s="14" t="b">
        <f>OR(LCI_Table[[#This Row],[Conversion]]="All",LCI_Table[[#This Row],[Conversion]]=SelectedConversion)</f>
        <v>1</v>
      </c>
      <c r="I219" s="14" t="b">
        <f>OR(LCI_Table[[#This Row],[Data Set]]="all",LCI_Table[[#This Row],[Data Set]]=SelectedDataSet)</f>
        <v>1</v>
      </c>
      <c r="J219" s="14" t="b">
        <f>OR(LCI_Table[[#This Row],[Technology]]="All",LCI_Table[[#This Row],[Technology]]=SelectedTechnology)</f>
        <v>1</v>
      </c>
      <c r="K219" s="14" t="b">
        <f>OR(LCI_Table[[#This Row],[Data Source]]="All",LCI_Table[[#This Row],[Data Source]]=SelectedDataSource)</f>
        <v>1</v>
      </c>
      <c r="L219" s="14" t="b">
        <f>TRUE</f>
        <v>1</v>
      </c>
      <c r="M219" s="14" t="b">
        <f>(LCI_Table[[#This Row],[Dev Notes]]="Do not display")</f>
        <v>0</v>
      </c>
      <c r="N219" s="14" t="b">
        <f>AND(LCI_Table[[#This Row],[Show Feedstock]:[Conditional]],NOT(LCI_Table[[#This Row],[Hide Row]]))</f>
        <v>0</v>
      </c>
      <c r="O219" s="14" t="b">
        <f>LCI_Table[[#This Row],[GREET1 Name Range]]=""</f>
        <v>0</v>
      </c>
      <c r="P219" s="14" t="s">
        <v>15</v>
      </c>
      <c r="Q219" s="14" t="s">
        <v>508</v>
      </c>
      <c r="R219" s="14" t="s">
        <v>316</v>
      </c>
      <c r="S219" s="37" cm="1">
        <f t="array" aca="1" ref="S2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9" s="346" t="s">
        <v>2111</v>
      </c>
      <c r="U219" s="347">
        <f ca="1">S219*Fuel_Specs!$B$100*ton2lb</f>
        <v>0</v>
      </c>
      <c r="V219" s="347">
        <v>0</v>
      </c>
      <c r="W219" s="347">
        <v>0</v>
      </c>
      <c r="X219" s="14" t="s">
        <v>12</v>
      </c>
      <c r="Y219" s="346" t="s">
        <v>891</v>
      </c>
      <c r="Z219" s="14" t="str">
        <f>IF(ISBLANK(LCI_Table[[#This Row],[Notes for user]])," ",LCI_Table[[#This Row],[Notes for user]])</f>
        <v xml:space="preserve"> </v>
      </c>
      <c r="AA219" s="14"/>
      <c r="AB219" s="14"/>
      <c r="AC219" s="346">
        <f ca="1">LCI_Table[[#This Row],[Default Calculated Value]]-LCI_Table[[#This Row],[Calculated Value]]</f>
        <v>0</v>
      </c>
    </row>
    <row r="220" spans="1:29" x14ac:dyDescent="0.3">
      <c r="A2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CarinataHEFAGREETGREET(blank)_Carinata_Extraction_Landfill_gasLandfill gas</v>
      </c>
      <c r="B220" s="14" t="s">
        <v>128</v>
      </c>
      <c r="C220" s="14" t="s">
        <v>30</v>
      </c>
      <c r="D220" s="14" t="s">
        <v>29</v>
      </c>
      <c r="E220" s="48" t="s">
        <v>29</v>
      </c>
      <c r="F220" s="14" t="s">
        <v>31</v>
      </c>
      <c r="G220" s="14" t="b">
        <f>OR(LCI_Table[[#This Row],[Feedstock]]="All",LCI_Table[[#This Row],[Feedstock]]=SelectedFeedstock)</f>
        <v>0</v>
      </c>
      <c r="H220" s="14" t="b">
        <f>OR(LCI_Table[[#This Row],[Conversion]]="All",LCI_Table[[#This Row],[Conversion]]=SelectedConversion)</f>
        <v>1</v>
      </c>
      <c r="I220" s="14" t="b">
        <f>OR(LCI_Table[[#This Row],[Data Set]]="all",LCI_Table[[#This Row],[Data Set]]=SelectedDataSet)</f>
        <v>1</v>
      </c>
      <c r="J220" s="14" t="b">
        <f>OR(LCI_Table[[#This Row],[Technology]]="All",LCI_Table[[#This Row],[Technology]]=SelectedTechnology)</f>
        <v>1</v>
      </c>
      <c r="K220" s="14" t="b">
        <f>OR(LCI_Table[[#This Row],[Data Source]]="All",LCI_Table[[#This Row],[Data Source]]=SelectedDataSource)</f>
        <v>1</v>
      </c>
      <c r="L220" s="14" t="b">
        <f>TRUE</f>
        <v>1</v>
      </c>
      <c r="M220" s="14" t="b">
        <f>(LCI_Table[[#This Row],[Dev Notes]]="Do not display")</f>
        <v>0</v>
      </c>
      <c r="N220" s="14" t="b">
        <f>AND(LCI_Table[[#This Row],[Show Feedstock]:[Conditional]],NOT(LCI_Table[[#This Row],[Hide Row]]))</f>
        <v>0</v>
      </c>
      <c r="O220" s="14" t="b">
        <f>LCI_Table[[#This Row],[GREET1 Name Range]]=""</f>
        <v>0</v>
      </c>
      <c r="P220" s="14" t="s">
        <v>15</v>
      </c>
      <c r="Q220" s="14" t="s">
        <v>510</v>
      </c>
      <c r="R220" s="14" t="s">
        <v>130</v>
      </c>
      <c r="S220" s="37" cm="1">
        <f t="array" aca="1" ref="S2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0" s="346" t="s">
        <v>2113</v>
      </c>
      <c r="U220" s="347">
        <f ca="1">S220*Fuel_Specs!$B$79</f>
        <v>0</v>
      </c>
      <c r="V220" s="347">
        <v>0</v>
      </c>
      <c r="W220" s="347">
        <v>0</v>
      </c>
      <c r="X220" s="14" t="s">
        <v>351</v>
      </c>
      <c r="Y220" s="346" t="s">
        <v>891</v>
      </c>
      <c r="Z220" s="14" t="str">
        <f>IF(ISBLANK(LCI_Table[[#This Row],[Notes for user]])," ",LCI_Table[[#This Row],[Notes for user]])</f>
        <v xml:space="preserve"> </v>
      </c>
      <c r="AA220" s="14"/>
      <c r="AB220" s="14"/>
      <c r="AC220" s="346">
        <f ca="1">LCI_Table[[#This Row],[Default Calculated Value]]-LCI_Table[[#This Row],[Calculated Value]]</f>
        <v>0</v>
      </c>
    </row>
    <row r="221" spans="1:29" x14ac:dyDescent="0.3">
      <c r="A2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CarinataHEFAGREETGREET(blank)_Carinata_Oil_extraction_Mass_AllocationAllocation factor</v>
      </c>
      <c r="B221" s="14" t="s">
        <v>128</v>
      </c>
      <c r="C221" s="14" t="s">
        <v>30</v>
      </c>
      <c r="D221" s="14" t="s">
        <v>29</v>
      </c>
      <c r="E221" s="178" t="s">
        <v>29</v>
      </c>
      <c r="F221" s="48" t="s">
        <v>31</v>
      </c>
      <c r="G221" s="14" t="b">
        <f>OR(LCI_Table[[#This Row],[Feedstock]]="All",LCI_Table[[#This Row],[Feedstock]]=SelectedFeedstock)</f>
        <v>0</v>
      </c>
      <c r="H221" s="14" t="b">
        <f>OR(LCI_Table[[#This Row],[Conversion]]="All",LCI_Table[[#This Row],[Conversion]]=SelectedConversion)</f>
        <v>1</v>
      </c>
      <c r="I221" s="14" t="b">
        <f>OR(LCI_Table[[#This Row],[Data Set]]="all",LCI_Table[[#This Row],[Data Set]]=SelectedDataSet)</f>
        <v>1</v>
      </c>
      <c r="J221" s="14" t="b">
        <f>OR(LCI_Table[[#This Row],[Technology]]="All",LCI_Table[[#This Row],[Technology]]=SelectedTechnology)</f>
        <v>1</v>
      </c>
      <c r="K221" s="14" t="b">
        <f>OR(LCI_Table[[#This Row],[Data Source]]="All",LCI_Table[[#This Row],[Data Source]]=SelectedDataSource)</f>
        <v>1</v>
      </c>
      <c r="L221" s="14" t="b">
        <f>TRUE</f>
        <v>1</v>
      </c>
      <c r="M221" s="14" t="b">
        <f>(LCI_Table[[#This Row],[Dev Notes]]="Do not display")</f>
        <v>0</v>
      </c>
      <c r="N221" s="14" t="b">
        <f>AND(LCI_Table[[#This Row],[Show Feedstock]:[Conditional]],NOT(LCI_Table[[#This Row],[Hide Row]]))</f>
        <v>0</v>
      </c>
      <c r="O221" s="14" t="b">
        <f>LCI_Table[[#This Row],[GREET1 Name Range]]=""</f>
        <v>0</v>
      </c>
      <c r="P221" s="14" t="s">
        <v>15</v>
      </c>
      <c r="Q221" s="14" t="s">
        <v>1114</v>
      </c>
      <c r="R221" s="14" t="s">
        <v>1344</v>
      </c>
      <c r="S221" s="37" cm="1">
        <f t="array" aca="1" ref="S2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44.046553267681297</v>
      </c>
      <c r="T221" s="346" t="s">
        <v>1345</v>
      </c>
      <c r="U221" s="347">
        <f ca="1">LCI_Table[[#This Row],[Dashboard Value]]/100</f>
        <v>0.44046553267681299</v>
      </c>
      <c r="V221" s="347">
        <v>44.046553267681297</v>
      </c>
      <c r="W221" s="347">
        <v>0.44046553267681299</v>
      </c>
      <c r="X221" s="14" t="s">
        <v>1345</v>
      </c>
      <c r="Y221" s="346" t="s">
        <v>891</v>
      </c>
      <c r="Z221" s="14" t="str">
        <f>IF(ISBLANK(LCI_Table[[#This Row],[Notes for user]])," ",LCI_Table[[#This Row],[Notes for user]])</f>
        <v>Allocation to carinata oil (mass allocation)</v>
      </c>
      <c r="AA221" s="14" t="s">
        <v>1363</v>
      </c>
      <c r="AB221" s="14"/>
      <c r="AC221" s="346">
        <f ca="1">LCI_Table[[#This Row],[Default Calculated Value]]-LCI_Table[[#This Row],[Calculated Value]]</f>
        <v>0</v>
      </c>
    </row>
    <row r="222" spans="1:29" x14ac:dyDescent="0.3">
      <c r="A2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CarinataHEFAGREETGREET(blank)_HEFA_feed_usageCarinata oil</v>
      </c>
      <c r="B222" s="14" t="s">
        <v>128</v>
      </c>
      <c r="C222" s="14" t="s">
        <v>30</v>
      </c>
      <c r="D222" s="14" t="s">
        <v>29</v>
      </c>
      <c r="E222" s="48" t="s">
        <v>29</v>
      </c>
      <c r="F222" s="14" t="s">
        <v>31</v>
      </c>
      <c r="G222" s="14" t="b">
        <f>OR(LCI_Table[[#This Row],[Feedstock]]="All",LCI_Table[[#This Row],[Feedstock]]=SelectedFeedstock)</f>
        <v>0</v>
      </c>
      <c r="H222" s="14" t="b">
        <f>OR(LCI_Table[[#This Row],[Conversion]]="All",LCI_Table[[#This Row],[Conversion]]=SelectedConversion)</f>
        <v>1</v>
      </c>
      <c r="I222" s="14" t="b">
        <f>OR(LCI_Table[[#This Row],[Data Set]]="all",LCI_Table[[#This Row],[Data Set]]=SelectedDataSet)</f>
        <v>1</v>
      </c>
      <c r="J222" s="14" t="b">
        <f>OR(LCI_Table[[#This Row],[Technology]]="All",LCI_Table[[#This Row],[Technology]]=SelectedTechnology)</f>
        <v>1</v>
      </c>
      <c r="K222" s="14" t="b">
        <f>OR(LCI_Table[[#This Row],[Data Source]]="All",LCI_Table[[#This Row],[Data Source]]=SelectedDataSource)</f>
        <v>1</v>
      </c>
      <c r="L222" s="14" t="b">
        <f>TRUE</f>
        <v>1</v>
      </c>
      <c r="M222" s="14" t="b">
        <f>(LCI_Table[[#This Row],[Dev Notes]]="Do not display")</f>
        <v>0</v>
      </c>
      <c r="N222" s="14" t="b">
        <f>AND(LCI_Table[[#This Row],[Show Feedstock]:[Conditional]],NOT(LCI_Table[[#This Row],[Hide Row]]))</f>
        <v>0</v>
      </c>
      <c r="O222" s="14" t="b">
        <f>LCI_Table[[#This Row],[GREET1 Name Range]]=""</f>
        <v>0</v>
      </c>
      <c r="P222" s="14" t="s">
        <v>1448</v>
      </c>
      <c r="Q222" s="14" t="s">
        <v>933</v>
      </c>
      <c r="R222" s="14" t="s">
        <v>381</v>
      </c>
      <c r="S222" s="37" cm="1">
        <f t="array" aca="1" ref="S2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66.858287441247398</v>
      </c>
      <c r="T222" s="346" t="s">
        <v>2119</v>
      </c>
      <c r="U222" s="347">
        <f ca="1">S222*lb2g/Fuel_Specs!$E$48*Fuel_Specs!$B$48*BTU2mmBTU</f>
        <v>1.26760553889976</v>
      </c>
      <c r="V222" s="347">
        <v>66.858287441247398</v>
      </c>
      <c r="W222" s="347">
        <v>1.26760553889976</v>
      </c>
      <c r="X222" s="14" t="s">
        <v>12</v>
      </c>
      <c r="Y222" s="346" t="s">
        <v>416</v>
      </c>
      <c r="Z222" s="14" t="str">
        <f>IF(ISBLANK(LCI_Table[[#This Row],[Notes for user]])," ",LCI_Table[[#This Row],[Notes for user]])</f>
        <v xml:space="preserve"> </v>
      </c>
      <c r="AA222" s="14"/>
      <c r="AB222" s="14"/>
      <c r="AC222" s="346">
        <f ca="1">LCI_Table[[#This Row],[Default Calculated Value]]-LCI_Table[[#This Row],[Calculated Value]]</f>
        <v>0</v>
      </c>
    </row>
    <row r="223" spans="1:29" x14ac:dyDescent="0.3">
      <c r="A2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CarinataHEFAGREETGREET(blank)_Carinata_HEFA_Natural_gasNatural gas</v>
      </c>
      <c r="B223" s="14" t="s">
        <v>128</v>
      </c>
      <c r="C223" s="14" t="s">
        <v>30</v>
      </c>
      <c r="D223" s="14" t="s">
        <v>29</v>
      </c>
      <c r="E223" s="48" t="s">
        <v>29</v>
      </c>
      <c r="F223" s="14" t="s">
        <v>31</v>
      </c>
      <c r="G223" s="14" t="b">
        <f>OR(LCI_Table[[#This Row],[Feedstock]]="All",LCI_Table[[#This Row],[Feedstock]]=SelectedFeedstock)</f>
        <v>0</v>
      </c>
      <c r="H223" s="14" t="b">
        <f>OR(LCI_Table[[#This Row],[Conversion]]="All",LCI_Table[[#This Row],[Conversion]]=SelectedConversion)</f>
        <v>1</v>
      </c>
      <c r="I223" s="14" t="b">
        <f>OR(LCI_Table[[#This Row],[Data Set]]="all",LCI_Table[[#This Row],[Data Set]]=SelectedDataSet)</f>
        <v>1</v>
      </c>
      <c r="J223" s="14" t="b">
        <f>OR(LCI_Table[[#This Row],[Technology]]="All",LCI_Table[[#This Row],[Technology]]=SelectedTechnology)</f>
        <v>1</v>
      </c>
      <c r="K223" s="14" t="b">
        <f>OR(LCI_Table[[#This Row],[Data Source]]="All",LCI_Table[[#This Row],[Data Source]]=SelectedDataSource)</f>
        <v>1</v>
      </c>
      <c r="L223" s="14" t="b">
        <f>TRUE</f>
        <v>1</v>
      </c>
      <c r="M223" s="14" t="b">
        <f>(LCI_Table[[#This Row],[Dev Notes]]="Do not display")</f>
        <v>0</v>
      </c>
      <c r="N223" s="14" t="b">
        <f>AND(LCI_Table[[#This Row],[Show Feedstock]:[Conditional]],NOT(LCI_Table[[#This Row],[Hide Row]]))</f>
        <v>0</v>
      </c>
      <c r="O223" s="14" t="b">
        <f>LCI_Table[[#This Row],[GREET1 Name Range]]=""</f>
        <v>0</v>
      </c>
      <c r="P223" s="14" t="s">
        <v>1448</v>
      </c>
      <c r="Q223" s="14" t="s">
        <v>530</v>
      </c>
      <c r="R223" s="14" t="s">
        <v>108</v>
      </c>
      <c r="S223" s="37" cm="1">
        <f t="array" aca="1" ref="S2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18.942776460541271</v>
      </c>
      <c r="T223" s="346" t="s">
        <v>2120</v>
      </c>
      <c r="U223" s="347">
        <f ca="1">S223*lb2g/Fuel_Specs!$E$48*Fuel_Specs!$B$48*Fuel_Specs!$B$79*BTU2mmBTU</f>
        <v>353.04172159785497</v>
      </c>
      <c r="V223" s="347">
        <v>18.942776460541271</v>
      </c>
      <c r="W223" s="347">
        <v>353.04172159785497</v>
      </c>
      <c r="X223" s="14" t="s">
        <v>351</v>
      </c>
      <c r="Y223" s="346" t="s">
        <v>416</v>
      </c>
      <c r="Z223" s="14" t="str">
        <f>IF(ISBLANK(LCI_Table[[#This Row],[Notes for user]])," ",LCI_Table[[#This Row],[Notes for user]])</f>
        <v xml:space="preserve"> </v>
      </c>
      <c r="AA223" s="14"/>
      <c r="AB223" s="14"/>
      <c r="AC223" s="346">
        <f ca="1">LCI_Table[[#This Row],[Default Calculated Value]]-LCI_Table[[#This Row],[Calculated Value]]</f>
        <v>0</v>
      </c>
    </row>
    <row r="224" spans="1:29" x14ac:dyDescent="0.3">
      <c r="A2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CarinataHEFAGREETGREET(blank)_Carinata_HEFA_ElectricityGrid Electricity</v>
      </c>
      <c r="B224" s="14" t="s">
        <v>128</v>
      </c>
      <c r="C224" s="14" t="s">
        <v>30</v>
      </c>
      <c r="D224" s="14" t="s">
        <v>29</v>
      </c>
      <c r="E224" s="48" t="s">
        <v>29</v>
      </c>
      <c r="F224" s="14" t="s">
        <v>31</v>
      </c>
      <c r="G224" s="14" t="b">
        <f>OR(LCI_Table[[#This Row],[Feedstock]]="All",LCI_Table[[#This Row],[Feedstock]]=SelectedFeedstock)</f>
        <v>0</v>
      </c>
      <c r="H224" s="14" t="b">
        <f>OR(LCI_Table[[#This Row],[Conversion]]="All",LCI_Table[[#This Row],[Conversion]]=SelectedConversion)</f>
        <v>1</v>
      </c>
      <c r="I224" s="14" t="b">
        <f>OR(LCI_Table[[#This Row],[Data Set]]="all",LCI_Table[[#This Row],[Data Set]]=SelectedDataSet)</f>
        <v>1</v>
      </c>
      <c r="J224" s="14" t="b">
        <f>OR(LCI_Table[[#This Row],[Technology]]="All",LCI_Table[[#This Row],[Technology]]=SelectedTechnology)</f>
        <v>1</v>
      </c>
      <c r="K224" s="14" t="b">
        <f>OR(LCI_Table[[#This Row],[Data Source]]="All",LCI_Table[[#This Row],[Data Source]]=SelectedDataSource)</f>
        <v>1</v>
      </c>
      <c r="L224" s="14" t="b">
        <f>TRUE</f>
        <v>1</v>
      </c>
      <c r="M224" s="14" t="b">
        <f>(LCI_Table[[#This Row],[Dev Notes]]="Do not display")</f>
        <v>0</v>
      </c>
      <c r="N224" s="14" t="b">
        <f>AND(LCI_Table[[#This Row],[Show Feedstock]:[Conditional]],NOT(LCI_Table[[#This Row],[Hide Row]]))</f>
        <v>0</v>
      </c>
      <c r="O224" s="14" t="b">
        <f>LCI_Table[[#This Row],[GREET1 Name Range]]=""</f>
        <v>0</v>
      </c>
      <c r="P224" s="14" t="s">
        <v>1448</v>
      </c>
      <c r="Q224" s="14" t="s">
        <v>528</v>
      </c>
      <c r="R224" s="14" t="s">
        <v>1684</v>
      </c>
      <c r="S224" s="37" cm="1">
        <f t="array" aca="1" ref="S2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2.8700844879870777</v>
      </c>
      <c r="T224" s="346" t="s">
        <v>2121</v>
      </c>
      <c r="U224" s="347">
        <f ca="1">S224*lb2g/Fuel_Specs!$E$48*Fuel_Specs!$B$48/BTU2kWh*BTU2mmBTU</f>
        <v>185.673794321835</v>
      </c>
      <c r="V224" s="347">
        <v>2.8700844879870777</v>
      </c>
      <c r="W224" s="347">
        <v>185.673794321835</v>
      </c>
      <c r="X224" s="14" t="s">
        <v>51</v>
      </c>
      <c r="Y224" s="346" t="s">
        <v>416</v>
      </c>
      <c r="Z224" s="14" t="str">
        <f>IF(ISBLANK(LCI_Table[[#This Row],[Notes for user]])," ",LCI_Table[[#This Row],[Notes for user]])</f>
        <v xml:space="preserve"> </v>
      </c>
      <c r="AA224" s="14"/>
      <c r="AB224" s="14"/>
      <c r="AC224" s="346">
        <f ca="1">LCI_Table[[#This Row],[Default Calculated Value]]-LCI_Table[[#This Row],[Calculated Value]]</f>
        <v>0</v>
      </c>
    </row>
    <row r="225" spans="1:29" x14ac:dyDescent="0.3">
      <c r="A2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CarinataHEFAGREETGREET(blank)_Carinata_HEFA_HydrogenHydrogen</v>
      </c>
      <c r="B225" s="14" t="s">
        <v>128</v>
      </c>
      <c r="C225" s="14" t="s">
        <v>30</v>
      </c>
      <c r="D225" s="14" t="s">
        <v>29</v>
      </c>
      <c r="E225" s="48" t="s">
        <v>29</v>
      </c>
      <c r="F225" s="14" t="s">
        <v>31</v>
      </c>
      <c r="G225" s="14" t="b">
        <f>OR(LCI_Table[[#This Row],[Feedstock]]="All",LCI_Table[[#This Row],[Feedstock]]=SelectedFeedstock)</f>
        <v>0</v>
      </c>
      <c r="H225" s="14" t="b">
        <f>OR(LCI_Table[[#This Row],[Conversion]]="All",LCI_Table[[#This Row],[Conversion]]=SelectedConversion)</f>
        <v>1</v>
      </c>
      <c r="I225" s="14" t="b">
        <f>OR(LCI_Table[[#This Row],[Data Set]]="all",LCI_Table[[#This Row],[Data Set]]=SelectedDataSet)</f>
        <v>1</v>
      </c>
      <c r="J225" s="14" t="b">
        <f>OR(LCI_Table[[#This Row],[Technology]]="All",LCI_Table[[#This Row],[Technology]]=SelectedTechnology)</f>
        <v>1</v>
      </c>
      <c r="K225" s="14" t="b">
        <f>OR(LCI_Table[[#This Row],[Data Source]]="All",LCI_Table[[#This Row],[Data Source]]=SelectedDataSource)</f>
        <v>1</v>
      </c>
      <c r="L225" s="14" t="b">
        <f>TRUE</f>
        <v>1</v>
      </c>
      <c r="M225" s="14" t="b">
        <f>(LCI_Table[[#This Row],[Dev Notes]]="Do not display")</f>
        <v>0</v>
      </c>
      <c r="N225" s="14" t="b">
        <f>AND(LCI_Table[[#This Row],[Show Feedstock]:[Conditional]],NOT(LCI_Table[[#This Row],[Hide Row]]))</f>
        <v>0</v>
      </c>
      <c r="O225" s="14" t="b">
        <f>LCI_Table[[#This Row],[GREET1 Name Range]]=""</f>
        <v>0</v>
      </c>
      <c r="P225" s="14" t="s">
        <v>1448</v>
      </c>
      <c r="Q225" s="14" t="s">
        <v>529</v>
      </c>
      <c r="R225" s="14" t="s">
        <v>73</v>
      </c>
      <c r="S225" s="37" cm="1">
        <f t="array" aca="1" ref="S2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377.6468687868562</v>
      </c>
      <c r="T225" s="346" t="s">
        <v>2120</v>
      </c>
      <c r="U225" s="347">
        <f ca="1">S225*lb2g/Fuel_Specs!$E$48*Fuel_Specs!$B$48*Fuel_Specs!$B$81*BTU2mmBTU</f>
        <v>2076.4083477681302</v>
      </c>
      <c r="V225" s="347">
        <v>377.6468687868562</v>
      </c>
      <c r="W225" s="347">
        <v>2076.4083477681302</v>
      </c>
      <c r="X225" s="14" t="s">
        <v>351</v>
      </c>
      <c r="Y225" s="346" t="s">
        <v>416</v>
      </c>
      <c r="Z225" s="14" t="str">
        <f>IF(ISBLANK(LCI_Table[[#This Row],[Notes for user]])," ",LCI_Table[[#This Row],[Notes for user]])</f>
        <v xml:space="preserve"> </v>
      </c>
      <c r="AA225" s="14"/>
      <c r="AB225" s="14"/>
      <c r="AC225" s="346">
        <f ca="1">LCI_Table[[#This Row],[Default Calculated Value]]-LCI_Table[[#This Row],[Calculated Value]]</f>
        <v>0</v>
      </c>
    </row>
    <row r="226" spans="1:29" x14ac:dyDescent="0.3">
      <c r="A2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CarinataHEFAGREETGREET(blank)_Carinata_Oil_HEFA_Energy_AllocationAllocation factor</v>
      </c>
      <c r="B226" s="14" t="s">
        <v>128</v>
      </c>
      <c r="C226" s="14" t="s">
        <v>30</v>
      </c>
      <c r="D226" s="14" t="s">
        <v>29</v>
      </c>
      <c r="E226" s="178" t="s">
        <v>29</v>
      </c>
      <c r="F226" s="48" t="s">
        <v>31</v>
      </c>
      <c r="G226" s="14" t="b">
        <f>OR(LCI_Table[[#This Row],[Feedstock]]="All",LCI_Table[[#This Row],[Feedstock]]=SelectedFeedstock)</f>
        <v>0</v>
      </c>
      <c r="H226" s="14" t="b">
        <f>OR(LCI_Table[[#This Row],[Conversion]]="All",LCI_Table[[#This Row],[Conversion]]=SelectedConversion)</f>
        <v>1</v>
      </c>
      <c r="I226" s="14" t="b">
        <f>OR(LCI_Table[[#This Row],[Data Set]]="all",LCI_Table[[#This Row],[Data Set]]=SelectedDataSet)</f>
        <v>1</v>
      </c>
      <c r="J226" s="14" t="b">
        <f>OR(LCI_Table[[#This Row],[Technology]]="All",LCI_Table[[#This Row],[Technology]]=SelectedTechnology)</f>
        <v>1</v>
      </c>
      <c r="K226" s="14" t="b">
        <f>OR(LCI_Table[[#This Row],[Data Source]]="All",LCI_Table[[#This Row],[Data Source]]=SelectedDataSource)</f>
        <v>1</v>
      </c>
      <c r="L226" s="14" t="b">
        <f>TRUE</f>
        <v>1</v>
      </c>
      <c r="M226" s="14" t="b">
        <f>(LCI_Table[[#This Row],[Dev Notes]]="Do not display")</f>
        <v>0</v>
      </c>
      <c r="N226" s="14" t="b">
        <f>AND(LCI_Table[[#This Row],[Show Feedstock]:[Conditional]],NOT(LCI_Table[[#This Row],[Hide Row]]))</f>
        <v>0</v>
      </c>
      <c r="O226" s="14" t="b">
        <f>LCI_Table[[#This Row],[GREET1 Name Range]]=""</f>
        <v>0</v>
      </c>
      <c r="P226" s="14" t="s">
        <v>1448</v>
      </c>
      <c r="Q226" s="14" t="s">
        <v>1120</v>
      </c>
      <c r="R226" s="14" t="s">
        <v>1344</v>
      </c>
      <c r="S226" s="37" cm="1">
        <f t="array" aca="1" ref="S2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91.171197532976606</v>
      </c>
      <c r="T226" s="346" t="s">
        <v>1345</v>
      </c>
      <c r="U226" s="347">
        <f ca="1">LCI_Table[[#This Row],[Dashboard Value]]/100</f>
        <v>0.91171197532976611</v>
      </c>
      <c r="V226" s="351">
        <v>91.171197532976606</v>
      </c>
      <c r="W226" s="351">
        <v>0.91171197532976611</v>
      </c>
      <c r="X226" s="14" t="s">
        <v>1345</v>
      </c>
      <c r="Y226" s="346" t="s">
        <v>416</v>
      </c>
      <c r="Z226" s="14" t="str">
        <f>IF(ISBLANK(LCI_Table[[#This Row],[Notes for user]])," ",LCI_Table[[#This Row],[Notes for user]])</f>
        <v>Allocation to main distillate fuels (energy allocation)</v>
      </c>
      <c r="AA226" s="14" t="s">
        <v>1353</v>
      </c>
      <c r="AB226" s="14"/>
      <c r="AC226" s="346">
        <f ca="1">LCI_Table[[#This Row],[Default Calculated Value]]-LCI_Table[[#This Row],[Calculated Value]]</f>
        <v>0</v>
      </c>
    </row>
    <row r="227" spans="1:29" x14ac:dyDescent="0.3">
      <c r="A2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oilHEFAGREETGREET(blank)_Corn_oil_HEFA_Residual_oilResidual oil</v>
      </c>
      <c r="B227" s="14" t="s">
        <v>374</v>
      </c>
      <c r="C227" s="14" t="s">
        <v>30</v>
      </c>
      <c r="D227" s="14" t="s">
        <v>29</v>
      </c>
      <c r="E227" s="48" t="s">
        <v>29</v>
      </c>
      <c r="F227" s="14" t="s">
        <v>31</v>
      </c>
      <c r="G227" s="14" t="b">
        <f>OR(LCI_Table[[#This Row],[Feedstock]]="All",LCI_Table[[#This Row],[Feedstock]]=SelectedFeedstock)</f>
        <v>0</v>
      </c>
      <c r="H227" s="14" t="b">
        <f>OR(LCI_Table[[#This Row],[Conversion]]="All",LCI_Table[[#This Row],[Conversion]]=SelectedConversion)</f>
        <v>1</v>
      </c>
      <c r="I227" s="14" t="b">
        <f>OR(LCI_Table[[#This Row],[Data Set]]="all",LCI_Table[[#This Row],[Data Set]]=SelectedDataSet)</f>
        <v>1</v>
      </c>
      <c r="J227" s="14" t="b">
        <f>OR(LCI_Table[[#This Row],[Technology]]="All",LCI_Table[[#This Row],[Technology]]=SelectedTechnology)</f>
        <v>1</v>
      </c>
      <c r="K227" s="14" t="b">
        <f>OR(LCI_Table[[#This Row],[Data Source]]="All",LCI_Table[[#This Row],[Data Source]]=SelectedDataSource)</f>
        <v>1</v>
      </c>
      <c r="L227" s="14" t="b">
        <v>0</v>
      </c>
      <c r="M227" s="14" t="b">
        <f>(LCI_Table[[#This Row],[Dev Notes]]="Do not display")</f>
        <v>0</v>
      </c>
      <c r="N227" s="14" t="b">
        <v>0</v>
      </c>
      <c r="O227" s="14" t="b">
        <f>LCI_Table[[#This Row],[GREET1 Name Range]]=""</f>
        <v>0</v>
      </c>
      <c r="P227" s="14" t="s">
        <v>1681</v>
      </c>
      <c r="Q227" s="14" t="s">
        <v>934</v>
      </c>
      <c r="R227" s="14" t="s">
        <v>115</v>
      </c>
      <c r="S227" s="37" cm="1">
        <f t="array" aca="1" ref="S2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7" s="346" t="s">
        <v>2112</v>
      </c>
      <c r="U227" s="347">
        <f ca="1">S227*Fuel_Specs!$B$28/S280</f>
        <v>0</v>
      </c>
      <c r="V227" s="347">
        <v>0</v>
      </c>
      <c r="W227" s="347">
        <v>0</v>
      </c>
      <c r="X227" s="37" t="s">
        <v>5</v>
      </c>
      <c r="Y227" s="346" t="s">
        <v>891</v>
      </c>
      <c r="Z227" s="14" t="str">
        <f>IF(ISBLANK(LCI_Table[[#This Row],[Notes for user]])," ",LCI_Table[[#This Row],[Notes for user]])</f>
        <v xml:space="preserve"> </v>
      </c>
      <c r="AA227" s="14"/>
      <c r="AB227" s="348"/>
      <c r="AC227" s="346">
        <f ca="1">LCI_Table[[#This Row],[Default Calculated Value]]-LCI_Table[[#This Row],[Calculated Value]]</f>
        <v>0</v>
      </c>
    </row>
    <row r="228" spans="1:29" x14ac:dyDescent="0.3">
      <c r="A2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oilHEFAGREETGREET(blank)_CornOil_Extraction_DieselDiesel</v>
      </c>
      <c r="B228" s="14" t="s">
        <v>374</v>
      </c>
      <c r="C228" s="14" t="s">
        <v>30</v>
      </c>
      <c r="D228" s="14" t="s">
        <v>29</v>
      </c>
      <c r="E228" s="48" t="s">
        <v>29</v>
      </c>
      <c r="F228" s="14" t="s">
        <v>31</v>
      </c>
      <c r="G228" s="14" t="b">
        <f>OR(LCI_Table[[#This Row],[Feedstock]]="All",LCI_Table[[#This Row],[Feedstock]]=SelectedFeedstock)</f>
        <v>0</v>
      </c>
      <c r="H228" s="14" t="b">
        <f>OR(LCI_Table[[#This Row],[Conversion]]="All",LCI_Table[[#This Row],[Conversion]]=SelectedConversion)</f>
        <v>1</v>
      </c>
      <c r="I228" s="14" t="b">
        <f>OR(LCI_Table[[#This Row],[Data Set]]="all",LCI_Table[[#This Row],[Data Set]]=SelectedDataSet)</f>
        <v>1</v>
      </c>
      <c r="J228" s="14" t="b">
        <f>OR(LCI_Table[[#This Row],[Technology]]="All",LCI_Table[[#This Row],[Technology]]=SelectedTechnology)</f>
        <v>1</v>
      </c>
      <c r="K228" s="14" t="b">
        <f>OR(LCI_Table[[#This Row],[Data Source]]="All",LCI_Table[[#This Row],[Data Source]]=SelectedDataSource)</f>
        <v>1</v>
      </c>
      <c r="L228" s="14" t="b">
        <v>0</v>
      </c>
      <c r="M228" s="14" t="b">
        <f>(LCI_Table[[#This Row],[Dev Notes]]="Do not display")</f>
        <v>0</v>
      </c>
      <c r="N228" s="14" t="b">
        <v>0</v>
      </c>
      <c r="O228" s="14" t="b">
        <f>LCI_Table[[#This Row],[GREET1 Name Range]]=""</f>
        <v>0</v>
      </c>
      <c r="P228" s="14" t="s">
        <v>1681</v>
      </c>
      <c r="Q228" s="14" t="s">
        <v>593</v>
      </c>
      <c r="R228" s="14" t="s">
        <v>106</v>
      </c>
      <c r="S228" s="37" cm="1">
        <f t="array" aca="1" ref="S2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8" s="346" t="s">
        <v>2112</v>
      </c>
      <c r="U228" s="347">
        <f ca="1">S228*Fuel_Specs!$B$19/S280</f>
        <v>0</v>
      </c>
      <c r="V228" s="347">
        <v>0</v>
      </c>
      <c r="W228" s="347">
        <v>0</v>
      </c>
      <c r="X228" s="37" t="s">
        <v>5</v>
      </c>
      <c r="Y228" s="346" t="s">
        <v>891</v>
      </c>
      <c r="Z228" s="14" t="str">
        <f>IF(ISBLANK(LCI_Table[[#This Row],[Notes for user]])," ",LCI_Table[[#This Row],[Notes for user]])</f>
        <v xml:space="preserve"> </v>
      </c>
      <c r="AA228" s="14"/>
      <c r="AB228" s="348"/>
      <c r="AC228" s="346">
        <f ca="1">LCI_Table[[#This Row],[Default Calculated Value]]-LCI_Table[[#This Row],[Calculated Value]]</f>
        <v>0</v>
      </c>
    </row>
    <row r="229" spans="1:29" x14ac:dyDescent="0.3">
      <c r="A2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oilHEFAGREETGREET(blank)_CornOil_Extraction_GasolineGasoline</v>
      </c>
      <c r="B229" s="14" t="s">
        <v>374</v>
      </c>
      <c r="C229" s="14" t="s">
        <v>30</v>
      </c>
      <c r="D229" s="14" t="s">
        <v>29</v>
      </c>
      <c r="E229" s="48" t="s">
        <v>29</v>
      </c>
      <c r="F229" s="14" t="s">
        <v>31</v>
      </c>
      <c r="G229" s="14" t="b">
        <f>OR(LCI_Table[[#This Row],[Feedstock]]="All",LCI_Table[[#This Row],[Feedstock]]=SelectedFeedstock)</f>
        <v>0</v>
      </c>
      <c r="H229" s="14" t="b">
        <f>OR(LCI_Table[[#This Row],[Conversion]]="All",LCI_Table[[#This Row],[Conversion]]=SelectedConversion)</f>
        <v>1</v>
      </c>
      <c r="I229" s="14" t="b">
        <f>OR(LCI_Table[[#This Row],[Data Set]]="all",LCI_Table[[#This Row],[Data Set]]=SelectedDataSet)</f>
        <v>1</v>
      </c>
      <c r="J229" s="14" t="b">
        <f>OR(LCI_Table[[#This Row],[Technology]]="All",LCI_Table[[#This Row],[Technology]]=SelectedTechnology)</f>
        <v>1</v>
      </c>
      <c r="K229" s="14" t="b">
        <f>OR(LCI_Table[[#This Row],[Data Source]]="All",LCI_Table[[#This Row],[Data Source]]=SelectedDataSource)</f>
        <v>1</v>
      </c>
      <c r="L229" s="14" t="b">
        <v>0</v>
      </c>
      <c r="M229" s="14" t="b">
        <f>(LCI_Table[[#This Row],[Dev Notes]]="Do not display")</f>
        <v>0</v>
      </c>
      <c r="N229" s="14" t="b">
        <v>0</v>
      </c>
      <c r="O229" s="14" t="b">
        <f>LCI_Table[[#This Row],[GREET1 Name Range]]=""</f>
        <v>0</v>
      </c>
      <c r="P229" s="14" t="s">
        <v>1681</v>
      </c>
      <c r="Q229" s="14" t="s">
        <v>596</v>
      </c>
      <c r="R229" s="14" t="s">
        <v>107</v>
      </c>
      <c r="S229" s="37" cm="1">
        <f t="array" aca="1" ref="S2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9" s="346" t="s">
        <v>2112</v>
      </c>
      <c r="U229" s="347">
        <f ca="1">S229*Fuel_Specs!$B$15/S280</f>
        <v>0</v>
      </c>
      <c r="V229" s="347">
        <v>0</v>
      </c>
      <c r="W229" s="347">
        <v>0</v>
      </c>
      <c r="X229" s="37" t="s">
        <v>5</v>
      </c>
      <c r="Y229" s="346" t="s">
        <v>891</v>
      </c>
      <c r="Z229" s="14" t="str">
        <f>IF(ISBLANK(LCI_Table[[#This Row],[Notes for user]])," ",LCI_Table[[#This Row],[Notes for user]])</f>
        <v xml:space="preserve"> </v>
      </c>
      <c r="AA229" s="14"/>
      <c r="AB229" s="348"/>
      <c r="AC229" s="346">
        <f ca="1">LCI_Table[[#This Row],[Default Calculated Value]]-LCI_Table[[#This Row],[Calculated Value]]</f>
        <v>0</v>
      </c>
    </row>
    <row r="230" spans="1:29" x14ac:dyDescent="0.3">
      <c r="A2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oilHEFAGREETGREET(blank)_CornOil_Extraction_Natural_gasNatural gas</v>
      </c>
      <c r="B230" s="14" t="s">
        <v>374</v>
      </c>
      <c r="C230" s="14" t="s">
        <v>30</v>
      </c>
      <c r="D230" s="14" t="s">
        <v>29</v>
      </c>
      <c r="E230" s="48" t="s">
        <v>29</v>
      </c>
      <c r="F230" s="14" t="s">
        <v>31</v>
      </c>
      <c r="G230" s="14" t="b">
        <f>OR(LCI_Table[[#This Row],[Feedstock]]="All",LCI_Table[[#This Row],[Feedstock]]=SelectedFeedstock)</f>
        <v>0</v>
      </c>
      <c r="H230" s="14" t="b">
        <f>OR(LCI_Table[[#This Row],[Conversion]]="All",LCI_Table[[#This Row],[Conversion]]=SelectedConversion)</f>
        <v>1</v>
      </c>
      <c r="I230" s="14" t="b">
        <f>OR(LCI_Table[[#This Row],[Data Set]]="all",LCI_Table[[#This Row],[Data Set]]=SelectedDataSet)</f>
        <v>1</v>
      </c>
      <c r="J230" s="14" t="b">
        <f>OR(LCI_Table[[#This Row],[Technology]]="All",LCI_Table[[#This Row],[Technology]]=SelectedTechnology)</f>
        <v>1</v>
      </c>
      <c r="K230" s="14" t="b">
        <f>OR(LCI_Table[[#This Row],[Data Source]]="All",LCI_Table[[#This Row],[Data Source]]=SelectedDataSource)</f>
        <v>1</v>
      </c>
      <c r="L230" s="14" t="b">
        <v>0</v>
      </c>
      <c r="M230" s="14" t="b">
        <f>(LCI_Table[[#This Row],[Dev Notes]]="Do not display")</f>
        <v>0</v>
      </c>
      <c r="N230" s="14" t="b">
        <v>0</v>
      </c>
      <c r="O230" s="14" t="b">
        <f>LCI_Table[[#This Row],[GREET1 Name Range]]=""</f>
        <v>0</v>
      </c>
      <c r="P230" s="14" t="s">
        <v>1681</v>
      </c>
      <c r="Q230" s="14" t="s">
        <v>598</v>
      </c>
      <c r="R230" s="14" t="s">
        <v>108</v>
      </c>
      <c r="S230" s="37" cm="1">
        <f t="array" aca="1" ref="S2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0" s="346" t="s">
        <v>2113</v>
      </c>
      <c r="U230" s="347">
        <f ca="1">S230*Fuel_Specs!$B$79/S280</f>
        <v>0</v>
      </c>
      <c r="V230" s="347">
        <v>0</v>
      </c>
      <c r="W230" s="347">
        <v>0</v>
      </c>
      <c r="X230" s="37" t="s">
        <v>351</v>
      </c>
      <c r="Y230" s="346" t="s">
        <v>891</v>
      </c>
      <c r="Z230" s="14" t="str">
        <f>IF(ISBLANK(LCI_Table[[#This Row],[Notes for user]])," ",LCI_Table[[#This Row],[Notes for user]])</f>
        <v xml:space="preserve"> </v>
      </c>
      <c r="AA230" s="14"/>
      <c r="AB230" s="348"/>
      <c r="AC230" s="346">
        <f ca="1">LCI_Table[[#This Row],[Default Calculated Value]]-LCI_Table[[#This Row],[Calculated Value]]</f>
        <v>0</v>
      </c>
    </row>
    <row r="231" spans="1:29" x14ac:dyDescent="0.3">
      <c r="A2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oilHEFAGREETGREET(blank)_CornOil_Extraction_CoalCoal</v>
      </c>
      <c r="B231" s="14" t="s">
        <v>374</v>
      </c>
      <c r="C231" s="14" t="s">
        <v>30</v>
      </c>
      <c r="D231" s="14" t="s">
        <v>29</v>
      </c>
      <c r="E231" s="48" t="s">
        <v>29</v>
      </c>
      <c r="F231" s="14" t="s">
        <v>31</v>
      </c>
      <c r="G231" s="14" t="b">
        <f>OR(LCI_Table[[#This Row],[Feedstock]]="All",LCI_Table[[#This Row],[Feedstock]]=SelectedFeedstock)</f>
        <v>0</v>
      </c>
      <c r="H231" s="14" t="b">
        <f>OR(LCI_Table[[#This Row],[Conversion]]="All",LCI_Table[[#This Row],[Conversion]]=SelectedConversion)</f>
        <v>1</v>
      </c>
      <c r="I231" s="14" t="b">
        <f>OR(LCI_Table[[#This Row],[Data Set]]="all",LCI_Table[[#This Row],[Data Set]]=SelectedDataSet)</f>
        <v>1</v>
      </c>
      <c r="J231" s="14" t="b">
        <f>OR(LCI_Table[[#This Row],[Technology]]="All",LCI_Table[[#This Row],[Technology]]=SelectedTechnology)</f>
        <v>1</v>
      </c>
      <c r="K231" s="14" t="b">
        <f>OR(LCI_Table[[#This Row],[Data Source]]="All",LCI_Table[[#This Row],[Data Source]]=SelectedDataSource)</f>
        <v>1</v>
      </c>
      <c r="L231" s="14" t="b">
        <v>0</v>
      </c>
      <c r="M231" s="14" t="b">
        <f>(LCI_Table[[#This Row],[Dev Notes]]="Do not display")</f>
        <v>0</v>
      </c>
      <c r="N231" s="14" t="b">
        <v>0</v>
      </c>
      <c r="O231" s="14" t="b">
        <f>LCI_Table[[#This Row],[GREET1 Name Range]]=""</f>
        <v>0</v>
      </c>
      <c r="P231" s="14" t="s">
        <v>1681</v>
      </c>
      <c r="Q231" s="14" t="s">
        <v>592</v>
      </c>
      <c r="R231" s="14" t="s">
        <v>9</v>
      </c>
      <c r="S231" s="37" cm="1">
        <f t="array" aca="1" ref="S2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1" s="346" t="s">
        <v>2114</v>
      </c>
      <c r="U231" s="347">
        <f ca="1">S231/S280</f>
        <v>0</v>
      </c>
      <c r="V231" s="347">
        <v>0</v>
      </c>
      <c r="W231" s="347">
        <v>0</v>
      </c>
      <c r="X231" s="37" t="s">
        <v>117</v>
      </c>
      <c r="Y231" s="346" t="s">
        <v>891</v>
      </c>
      <c r="Z231" s="14" t="str">
        <f>IF(ISBLANK(LCI_Table[[#This Row],[Notes for user]])," ",LCI_Table[[#This Row],[Notes for user]])</f>
        <v xml:space="preserve"> </v>
      </c>
      <c r="AA231" s="14"/>
      <c r="AB231" s="348"/>
      <c r="AC231" s="346">
        <f ca="1">LCI_Table[[#This Row],[Default Calculated Value]]-LCI_Table[[#This Row],[Calculated Value]]</f>
        <v>0</v>
      </c>
    </row>
    <row r="232" spans="1:29" x14ac:dyDescent="0.3">
      <c r="A2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oilHEFAGREETGREET(blank)_CornOil_Extraction_LPGLPG</v>
      </c>
      <c r="B232" s="14" t="s">
        <v>374</v>
      </c>
      <c r="C232" s="14" t="s">
        <v>30</v>
      </c>
      <c r="D232" s="14" t="s">
        <v>29</v>
      </c>
      <c r="E232" s="48" t="s">
        <v>29</v>
      </c>
      <c r="F232" s="14" t="s">
        <v>31</v>
      </c>
      <c r="G232" s="14" t="b">
        <f>OR(LCI_Table[[#This Row],[Feedstock]]="All",LCI_Table[[#This Row],[Feedstock]]=SelectedFeedstock)</f>
        <v>0</v>
      </c>
      <c r="H232" s="14" t="b">
        <f>OR(LCI_Table[[#This Row],[Conversion]]="All",LCI_Table[[#This Row],[Conversion]]=SelectedConversion)</f>
        <v>1</v>
      </c>
      <c r="I232" s="14" t="b">
        <f>OR(LCI_Table[[#This Row],[Data Set]]="all",LCI_Table[[#This Row],[Data Set]]=SelectedDataSet)</f>
        <v>1</v>
      </c>
      <c r="J232" s="14" t="b">
        <f>OR(LCI_Table[[#This Row],[Technology]]="All",LCI_Table[[#This Row],[Technology]]=SelectedTechnology)</f>
        <v>1</v>
      </c>
      <c r="K232" s="14" t="b">
        <f>OR(LCI_Table[[#This Row],[Data Source]]="All",LCI_Table[[#This Row],[Data Source]]=SelectedDataSource)</f>
        <v>1</v>
      </c>
      <c r="L232" s="14" t="b">
        <v>0</v>
      </c>
      <c r="M232" s="14" t="b">
        <f>(LCI_Table[[#This Row],[Dev Notes]]="Do not display")</f>
        <v>0</v>
      </c>
      <c r="N232" s="14" t="b">
        <v>0</v>
      </c>
      <c r="O232" s="14" t="b">
        <f>LCI_Table[[#This Row],[GREET1 Name Range]]=""</f>
        <v>0</v>
      </c>
      <c r="P232" s="14" t="s">
        <v>1681</v>
      </c>
      <c r="Q232" s="14" t="s">
        <v>597</v>
      </c>
      <c r="R232" s="14" t="s">
        <v>109</v>
      </c>
      <c r="S232" s="37" cm="1">
        <f t="array" aca="1" ref="S2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2" s="346" t="s">
        <v>2112</v>
      </c>
      <c r="U232" s="347">
        <f ca="1">S232*Fuel_Specs!$B$35/S280</f>
        <v>0</v>
      </c>
      <c r="V232" s="347">
        <v>0</v>
      </c>
      <c r="W232" s="347">
        <v>0</v>
      </c>
      <c r="X232" s="37" t="s">
        <v>5</v>
      </c>
      <c r="Y232" s="346" t="s">
        <v>891</v>
      </c>
      <c r="Z232" s="14" t="str">
        <f>IF(ISBLANK(LCI_Table[[#This Row],[Notes for user]])," ",LCI_Table[[#This Row],[Notes for user]])</f>
        <v xml:space="preserve"> </v>
      </c>
      <c r="AA232" s="14"/>
      <c r="AB232" s="348"/>
      <c r="AC232" s="346">
        <f ca="1">LCI_Table[[#This Row],[Default Calculated Value]]-LCI_Table[[#This Row],[Calculated Value]]</f>
        <v>0</v>
      </c>
    </row>
    <row r="233" spans="1:29" x14ac:dyDescent="0.3">
      <c r="A2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oilHEFAGREETGREET(blank)_CornOil_Extraction_Forest_residueForest residue</v>
      </c>
      <c r="B233" s="14" t="s">
        <v>374</v>
      </c>
      <c r="C233" s="14" t="s">
        <v>30</v>
      </c>
      <c r="D233" s="14" t="s">
        <v>29</v>
      </c>
      <c r="E233" s="48" t="s">
        <v>29</v>
      </c>
      <c r="F233" s="14" t="s">
        <v>31</v>
      </c>
      <c r="G233" s="14" t="b">
        <f>OR(LCI_Table[[#This Row],[Feedstock]]="All",LCI_Table[[#This Row],[Feedstock]]=SelectedFeedstock)</f>
        <v>0</v>
      </c>
      <c r="H233" s="14" t="b">
        <f>OR(LCI_Table[[#This Row],[Conversion]]="All",LCI_Table[[#This Row],[Conversion]]=SelectedConversion)</f>
        <v>1</v>
      </c>
      <c r="I233" s="14" t="b">
        <f>OR(LCI_Table[[#This Row],[Data Set]]="all",LCI_Table[[#This Row],[Data Set]]=SelectedDataSet)</f>
        <v>1</v>
      </c>
      <c r="J233" s="14" t="b">
        <f>OR(LCI_Table[[#This Row],[Technology]]="All",LCI_Table[[#This Row],[Technology]]=SelectedTechnology)</f>
        <v>1</v>
      </c>
      <c r="K233" s="14" t="b">
        <f>OR(LCI_Table[[#This Row],[Data Source]]="All",LCI_Table[[#This Row],[Data Source]]=SelectedDataSource)</f>
        <v>1</v>
      </c>
      <c r="L233" s="14" t="b">
        <f ca="1">AND(LCI_Table[[#This Row],[Show Feedstock]:[Conditional]],NOT(LCI_Table[[#This Row],[Hide Row]]))</f>
        <v>0</v>
      </c>
      <c r="M233" s="14" t="b">
        <f>(LCI_Table[[#This Row],[Dev Notes]]="Do not display")</f>
        <v>0</v>
      </c>
      <c r="N233" s="14" t="b">
        <f ca="1">AND(LCI_Table[[#This Row],[Show Feedstock]:[Conditional]],NOT(LCI_Table[[#This Row],[Hide Row]]))</f>
        <v>0</v>
      </c>
      <c r="O233" s="14" t="b">
        <f>LCI_Table[[#This Row],[GREET1 Name Range]]=""</f>
        <v>0</v>
      </c>
      <c r="P233" s="14" t="s">
        <v>1681</v>
      </c>
      <c r="Q233" s="14" t="s">
        <v>595</v>
      </c>
      <c r="R233" s="14" t="s">
        <v>316</v>
      </c>
      <c r="S233" s="37" cm="1">
        <f t="array" aca="1" ref="S2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3" s="346" t="s">
        <v>2111</v>
      </c>
      <c r="U233" s="347">
        <f ca="1">S233*Fuel_Specs!$B$100*ton2lb/S280</f>
        <v>0</v>
      </c>
      <c r="V233" s="347">
        <v>0</v>
      </c>
      <c r="W233" s="347">
        <v>0</v>
      </c>
      <c r="X233" s="37" t="s">
        <v>12</v>
      </c>
      <c r="Y233" s="346" t="s">
        <v>891</v>
      </c>
      <c r="Z233" s="14" t="str">
        <f>IF(ISBLANK(LCI_Table[[#This Row],[Notes for user]])," ",LCI_Table[[#This Row],[Notes for user]])</f>
        <v xml:space="preserve"> </v>
      </c>
      <c r="AA233" s="14"/>
      <c r="AB233" s="14"/>
      <c r="AC233" s="346">
        <f ca="1">LCI_Table[[#This Row],[Default Calculated Value]]-LCI_Table[[#This Row],[Calculated Value]]</f>
        <v>0</v>
      </c>
    </row>
    <row r="234" spans="1:29" x14ac:dyDescent="0.3">
      <c r="A2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oilHEFAGREETGREET(blank)_CornOil_Extraction_ElectricityElectricity</v>
      </c>
      <c r="B234" s="14" t="s">
        <v>374</v>
      </c>
      <c r="C234" s="14" t="s">
        <v>30</v>
      </c>
      <c r="D234" s="14" t="s">
        <v>29</v>
      </c>
      <c r="E234" s="48" t="s">
        <v>29</v>
      </c>
      <c r="F234" s="14" t="s">
        <v>31</v>
      </c>
      <c r="G234" s="14" t="b">
        <f>OR(LCI_Table[[#This Row],[Feedstock]]="All",LCI_Table[[#This Row],[Feedstock]]=SelectedFeedstock)</f>
        <v>0</v>
      </c>
      <c r="H234" s="14" t="b">
        <f>OR(LCI_Table[[#This Row],[Conversion]]="All",LCI_Table[[#This Row],[Conversion]]=SelectedConversion)</f>
        <v>1</v>
      </c>
      <c r="I234" s="14" t="b">
        <f>OR(LCI_Table[[#This Row],[Data Set]]="all",LCI_Table[[#This Row],[Data Set]]=SelectedDataSet)</f>
        <v>1</v>
      </c>
      <c r="J234" s="14" t="b">
        <f>OR(LCI_Table[[#This Row],[Technology]]="All",LCI_Table[[#This Row],[Technology]]=SelectedTechnology)</f>
        <v>1</v>
      </c>
      <c r="K234" s="14" t="b">
        <f>OR(LCI_Table[[#This Row],[Data Source]]="All",LCI_Table[[#This Row],[Data Source]]=SelectedDataSource)</f>
        <v>1</v>
      </c>
      <c r="L234" s="14" t="b">
        <f ca="1">AND(LCI_Table[[#This Row],[Show Feedstock]:[Conditional]],NOT(LCI_Table[[#This Row],[Hide Row]]))</f>
        <v>0</v>
      </c>
      <c r="M234" s="14" t="b">
        <f>(LCI_Table[[#This Row],[Dev Notes]]="Do not display")</f>
        <v>0</v>
      </c>
      <c r="N234" s="14" t="b">
        <f ca="1">AND(LCI_Table[[#This Row],[Show Feedstock]:[Conditional]],NOT(LCI_Table[[#This Row],[Hide Row]]))</f>
        <v>0</v>
      </c>
      <c r="O234" s="14" t="b">
        <f>LCI_Table[[#This Row],[GREET1 Name Range]]=""</f>
        <v>0</v>
      </c>
      <c r="P234" s="14" t="s">
        <v>1681</v>
      </c>
      <c r="Q234" s="14" t="s">
        <v>594</v>
      </c>
      <c r="R234" s="14" t="s">
        <v>110</v>
      </c>
      <c r="S234" s="37" cm="1">
        <f t="array" aca="1" ref="S2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0.31086543576769893</v>
      </c>
      <c r="T234" s="346" t="s">
        <v>2115</v>
      </c>
      <c r="U234" s="347">
        <f ca="1">S234/BTU2kWh/S280</f>
        <v>182.882223847842</v>
      </c>
      <c r="V234" s="347">
        <v>0.31086543576769893</v>
      </c>
      <c r="W234" s="347">
        <v>182.882223847842</v>
      </c>
      <c r="X234" s="37" t="s">
        <v>51</v>
      </c>
      <c r="Y234" s="346" t="s">
        <v>891</v>
      </c>
      <c r="Z234" s="14" t="str">
        <f>IF(ISBLANK(LCI_Table[[#This Row],[Notes for user]])," ",LCI_Table[[#This Row],[Notes for user]])</f>
        <v xml:space="preserve"> </v>
      </c>
      <c r="AA234" s="14"/>
      <c r="AB234" s="14"/>
      <c r="AC234" s="346">
        <f ca="1">LCI_Table[[#This Row],[Default Calculated Value]]-LCI_Table[[#This Row],[Calculated Value]]</f>
        <v>0</v>
      </c>
    </row>
    <row r="235" spans="1:29" x14ac:dyDescent="0.3">
      <c r="A2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oilHEFAGREETGREET(blank)_CornOil_Extraction_RNGRenewable natural gas</v>
      </c>
      <c r="B235" s="14" t="s">
        <v>374</v>
      </c>
      <c r="C235" s="14" t="s">
        <v>30</v>
      </c>
      <c r="D235" s="14" t="s">
        <v>29</v>
      </c>
      <c r="E235" s="48" t="s">
        <v>29</v>
      </c>
      <c r="F235" s="14" t="s">
        <v>31</v>
      </c>
      <c r="G235" s="14" t="b">
        <f>OR(LCI_Table[[#This Row],[Feedstock]]="All",LCI_Table[[#This Row],[Feedstock]]=SelectedFeedstock)</f>
        <v>0</v>
      </c>
      <c r="H235" s="14" t="b">
        <f>OR(LCI_Table[[#This Row],[Conversion]]="All",LCI_Table[[#This Row],[Conversion]]=SelectedConversion)</f>
        <v>1</v>
      </c>
      <c r="I235" s="14" t="b">
        <f>OR(LCI_Table[[#This Row],[Data Set]]="all",LCI_Table[[#This Row],[Data Set]]=SelectedDataSet)</f>
        <v>1</v>
      </c>
      <c r="J235" s="14" t="b">
        <f>OR(LCI_Table[[#This Row],[Technology]]="All",LCI_Table[[#This Row],[Technology]]=SelectedTechnology)</f>
        <v>1</v>
      </c>
      <c r="K235" s="14" t="b">
        <f>OR(LCI_Table[[#This Row],[Data Source]]="All",LCI_Table[[#This Row],[Data Source]]=SelectedDataSource)</f>
        <v>1</v>
      </c>
      <c r="L235" s="14" t="b">
        <v>0</v>
      </c>
      <c r="M235" s="14" t="b">
        <f>(LCI_Table[[#This Row],[Dev Notes]]="Do not display")</f>
        <v>0</v>
      </c>
      <c r="N235" s="14" t="b">
        <v>0</v>
      </c>
      <c r="O235" s="14" t="b">
        <f>LCI_Table[[#This Row],[GREET1 Name Range]]=""</f>
        <v>0</v>
      </c>
      <c r="P235" s="14" t="s">
        <v>1681</v>
      </c>
      <c r="Q235" s="14" t="s">
        <v>599</v>
      </c>
      <c r="R235" s="14" t="s">
        <v>352</v>
      </c>
      <c r="S235" s="37" cm="1">
        <f t="array" aca="1" ref="S2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5" s="346" t="s">
        <v>2113</v>
      </c>
      <c r="U235" s="347">
        <f ca="1">S235*Fuel_Specs!$B$79/S280</f>
        <v>0</v>
      </c>
      <c r="V235" s="347">
        <v>0</v>
      </c>
      <c r="W235" s="347">
        <v>0</v>
      </c>
      <c r="X235" s="37" t="s">
        <v>351</v>
      </c>
      <c r="Y235" s="346" t="s">
        <v>891</v>
      </c>
      <c r="Z235" s="14" t="str">
        <f>IF(ISBLANK(LCI_Table[[#This Row],[Notes for user]])," ",LCI_Table[[#This Row],[Notes for user]])</f>
        <v xml:space="preserve"> </v>
      </c>
      <c r="AA235" s="14"/>
      <c r="AB235" s="14"/>
      <c r="AC235" s="346">
        <f ca="1">LCI_Table[[#This Row],[Default Calculated Value]]-LCI_Table[[#This Row],[Calculated Value]]</f>
        <v>0</v>
      </c>
    </row>
    <row r="236" spans="1:29" x14ac:dyDescent="0.3">
      <c r="A2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oilHEFAGREETGREET(blank)_HEFA_feed_usageDistillers Corn Oil</v>
      </c>
      <c r="B236" s="14" t="s">
        <v>374</v>
      </c>
      <c r="C236" s="14" t="s">
        <v>30</v>
      </c>
      <c r="D236" s="14" t="s">
        <v>29</v>
      </c>
      <c r="E236" s="48" t="s">
        <v>29</v>
      </c>
      <c r="F236" s="14" t="s">
        <v>31</v>
      </c>
      <c r="G236" s="14" t="b">
        <f>OR(LCI_Table[[#This Row],[Feedstock]]="All",LCI_Table[[#This Row],[Feedstock]]=SelectedFeedstock)</f>
        <v>0</v>
      </c>
      <c r="H236" s="14" t="b">
        <f>OR(LCI_Table[[#This Row],[Conversion]]="All",LCI_Table[[#This Row],[Conversion]]=SelectedConversion)</f>
        <v>1</v>
      </c>
      <c r="I236" s="14" t="b">
        <f>OR(LCI_Table[[#This Row],[Data Set]]="all",LCI_Table[[#This Row],[Data Set]]=SelectedDataSet)</f>
        <v>1</v>
      </c>
      <c r="J236" s="14" t="b">
        <f>OR(LCI_Table[[#This Row],[Technology]]="All",LCI_Table[[#This Row],[Technology]]=SelectedTechnology)</f>
        <v>1</v>
      </c>
      <c r="K236" s="14" t="b">
        <f>OR(LCI_Table[[#This Row],[Data Source]]="All",LCI_Table[[#This Row],[Data Source]]=SelectedDataSource)</f>
        <v>1</v>
      </c>
      <c r="L236" s="14" t="b">
        <v>0</v>
      </c>
      <c r="M236" s="14" t="b">
        <f>(LCI_Table[[#This Row],[Dev Notes]]="Do not display")</f>
        <v>0</v>
      </c>
      <c r="N236" s="14" t="b">
        <v>0</v>
      </c>
      <c r="O236" s="14" t="b">
        <f>LCI_Table[[#This Row],[GREET1 Name Range]]=""</f>
        <v>0</v>
      </c>
      <c r="P236" s="14" t="s">
        <v>1448</v>
      </c>
      <c r="Q236" s="14" t="s">
        <v>933</v>
      </c>
      <c r="R236" s="14" t="s">
        <v>1911</v>
      </c>
      <c r="S236" s="37" cm="1">
        <f t="array" aca="1" ref="S2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60.955501310224768</v>
      </c>
      <c r="T236" s="346" t="s">
        <v>2119</v>
      </c>
      <c r="U236" s="354">
        <f ca="1">S236*lb2g/Fuel_Specs!$E$48*Fuel_Specs!$B$48*BTU2mmBTU/0.911711975329766</f>
        <v>1.2676055388997562</v>
      </c>
      <c r="V236" s="347">
        <v>60.955501310224768</v>
      </c>
      <c r="W236" s="347">
        <v>1.2676055388997562</v>
      </c>
      <c r="X236" s="14" t="s">
        <v>12</v>
      </c>
      <c r="Y236" s="346" t="s">
        <v>416</v>
      </c>
      <c r="Z236" s="14" t="str">
        <f>IF(ISBLANK(LCI_Table[[#This Row],[Notes for user]])," ",LCI_Table[[#This Row],[Notes for user]])</f>
        <v xml:space="preserve"> </v>
      </c>
      <c r="AA236" s="14"/>
      <c r="AB236" s="14"/>
      <c r="AC236" s="346">
        <f ca="1">LCI_Table[[#This Row],[Default Calculated Value]]-LCI_Table[[#This Row],[Calculated Value]]</f>
        <v>0</v>
      </c>
    </row>
    <row r="237" spans="1:29" x14ac:dyDescent="0.3">
      <c r="A2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oilHEFAGREETGREET(blank)_CornOil_HEFA_Natural_gasNatural gas</v>
      </c>
      <c r="B237" s="14" t="s">
        <v>374</v>
      </c>
      <c r="C237" s="14" t="s">
        <v>30</v>
      </c>
      <c r="D237" s="14" t="s">
        <v>29</v>
      </c>
      <c r="E237" s="48" t="s">
        <v>29</v>
      </c>
      <c r="F237" s="14" t="s">
        <v>31</v>
      </c>
      <c r="G237" s="14" t="b">
        <f>OR(LCI_Table[[#This Row],[Feedstock]]="All",LCI_Table[[#This Row],[Feedstock]]=SelectedFeedstock)</f>
        <v>0</v>
      </c>
      <c r="H237" s="14" t="b">
        <f>OR(LCI_Table[[#This Row],[Conversion]]="All",LCI_Table[[#This Row],[Conversion]]=SelectedConversion)</f>
        <v>1</v>
      </c>
      <c r="I237" s="14" t="b">
        <f>OR(LCI_Table[[#This Row],[Data Set]]="all",LCI_Table[[#This Row],[Data Set]]=SelectedDataSet)</f>
        <v>1</v>
      </c>
      <c r="J237" s="14" t="b">
        <f>OR(LCI_Table[[#This Row],[Technology]]="All",LCI_Table[[#This Row],[Technology]]=SelectedTechnology)</f>
        <v>1</v>
      </c>
      <c r="K237" s="14" t="b">
        <f>OR(LCI_Table[[#This Row],[Data Source]]="All",LCI_Table[[#This Row],[Data Source]]=SelectedDataSource)</f>
        <v>1</v>
      </c>
      <c r="L237" s="14" t="b">
        <v>0</v>
      </c>
      <c r="M237" s="14" t="b">
        <f>(LCI_Table[[#This Row],[Dev Notes]]="Do not display")</f>
        <v>0</v>
      </c>
      <c r="N237" s="14" t="b">
        <v>0</v>
      </c>
      <c r="O237" s="14" t="b">
        <f>LCI_Table[[#This Row],[GREET1 Name Range]]=""</f>
        <v>0</v>
      </c>
      <c r="P237" s="14" t="s">
        <v>1448</v>
      </c>
      <c r="Q237" s="14" t="s">
        <v>603</v>
      </c>
      <c r="R237" s="14" t="s">
        <v>108</v>
      </c>
      <c r="S237" s="37" cm="1">
        <f t="array" aca="1" ref="S2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17.270356145070281</v>
      </c>
      <c r="T237" s="346" t="s">
        <v>2120</v>
      </c>
      <c r="U237" s="347">
        <f ca="1">S237*lb2g/Fuel_Specs!$E$48*Fuel_Specs!$B$48*Fuel_Specs!$B$79*BTU2mmBTU/0.911711975329766</f>
        <v>353.04172159785509</v>
      </c>
      <c r="V237" s="347">
        <v>17.270356145070281</v>
      </c>
      <c r="W237" s="347">
        <v>353.04172159785509</v>
      </c>
      <c r="X237" s="14" t="s">
        <v>351</v>
      </c>
      <c r="Y237" s="346" t="s">
        <v>416</v>
      </c>
      <c r="Z237" s="14" t="str">
        <f>IF(ISBLANK(LCI_Table[[#This Row],[Notes for user]])," ",LCI_Table[[#This Row],[Notes for user]])</f>
        <v xml:space="preserve"> </v>
      </c>
      <c r="AA237" s="14"/>
      <c r="AB237" s="14"/>
      <c r="AC237" s="346">
        <f ca="1">LCI_Table[[#This Row],[Default Calculated Value]]-LCI_Table[[#This Row],[Calculated Value]]</f>
        <v>0</v>
      </c>
    </row>
    <row r="238" spans="1:29" x14ac:dyDescent="0.3">
      <c r="A2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oilHEFAGREETGREET(blank)_CornOil_HEFA_ElectricityGrid Electricity</v>
      </c>
      <c r="B238" s="14" t="s">
        <v>374</v>
      </c>
      <c r="C238" s="14" t="s">
        <v>30</v>
      </c>
      <c r="D238" s="14" t="s">
        <v>29</v>
      </c>
      <c r="E238" s="48" t="s">
        <v>29</v>
      </c>
      <c r="F238" s="14" t="s">
        <v>31</v>
      </c>
      <c r="G238" s="14" t="b">
        <f>OR(LCI_Table[[#This Row],[Feedstock]]="All",LCI_Table[[#This Row],[Feedstock]]=SelectedFeedstock)</f>
        <v>0</v>
      </c>
      <c r="H238" s="14" t="b">
        <f>OR(LCI_Table[[#This Row],[Conversion]]="All",LCI_Table[[#This Row],[Conversion]]=SelectedConversion)</f>
        <v>1</v>
      </c>
      <c r="I238" s="14" t="b">
        <f>OR(LCI_Table[[#This Row],[Data Set]]="all",LCI_Table[[#This Row],[Data Set]]=SelectedDataSet)</f>
        <v>1</v>
      </c>
      <c r="J238" s="14" t="b">
        <f>OR(LCI_Table[[#This Row],[Technology]]="All",LCI_Table[[#This Row],[Technology]]=SelectedTechnology)</f>
        <v>1</v>
      </c>
      <c r="K238" s="14" t="b">
        <f>OR(LCI_Table[[#This Row],[Data Source]]="All",LCI_Table[[#This Row],[Data Source]]=SelectedDataSource)</f>
        <v>1</v>
      </c>
      <c r="L238" s="14" t="b">
        <v>0</v>
      </c>
      <c r="M238" s="14" t="b">
        <f>(LCI_Table[[#This Row],[Dev Notes]]="Do not display")</f>
        <v>0</v>
      </c>
      <c r="N238" s="14" t="b">
        <v>0</v>
      </c>
      <c r="O238" s="14" t="b">
        <f>LCI_Table[[#This Row],[GREET1 Name Range]]=""</f>
        <v>0</v>
      </c>
      <c r="P238" s="14" t="s">
        <v>1448</v>
      </c>
      <c r="Q238" s="14" t="s">
        <v>601</v>
      </c>
      <c r="R238" s="14" t="s">
        <v>1684</v>
      </c>
      <c r="S238" s="37" cm="1">
        <f t="array" aca="1" ref="S2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2.6166903979060168</v>
      </c>
      <c r="T238" s="346" t="s">
        <v>2121</v>
      </c>
      <c r="U238" s="347">
        <f ca="1">S238*lb2g/Fuel_Specs!$E$48*Fuel_Specs!$B$48/BTU2kWh*BTU2mmBTU/0.911711975329766</f>
        <v>185.67379432183486</v>
      </c>
      <c r="V238" s="347">
        <v>2.6166903979060168</v>
      </c>
      <c r="W238" s="347">
        <v>185.67379432183486</v>
      </c>
      <c r="X238" s="14" t="s">
        <v>51</v>
      </c>
      <c r="Y238" s="346" t="s">
        <v>416</v>
      </c>
      <c r="Z238" s="14" t="str">
        <f>IF(ISBLANK(LCI_Table[[#This Row],[Notes for user]])," ",LCI_Table[[#This Row],[Notes for user]])</f>
        <v xml:space="preserve"> </v>
      </c>
      <c r="AA238" s="14"/>
      <c r="AB238" s="14"/>
      <c r="AC238" s="346">
        <f ca="1">LCI_Table[[#This Row],[Default Calculated Value]]-LCI_Table[[#This Row],[Calculated Value]]</f>
        <v>0</v>
      </c>
    </row>
    <row r="239" spans="1:29" x14ac:dyDescent="0.3">
      <c r="A2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oilHEFAGREETGREET(blank)_CornOil_HEFA_HydrogenHydrogen</v>
      </c>
      <c r="B239" s="14" t="s">
        <v>374</v>
      </c>
      <c r="C239" s="14" t="s">
        <v>30</v>
      </c>
      <c r="D239" s="14" t="s">
        <v>29</v>
      </c>
      <c r="E239" s="48" t="s">
        <v>29</v>
      </c>
      <c r="F239" s="14" t="s">
        <v>31</v>
      </c>
      <c r="G239" s="14" t="b">
        <f>OR(LCI_Table[[#This Row],[Feedstock]]="All",LCI_Table[[#This Row],[Feedstock]]=SelectedFeedstock)</f>
        <v>0</v>
      </c>
      <c r="H239" s="14" t="b">
        <f>OR(LCI_Table[[#This Row],[Conversion]]="All",LCI_Table[[#This Row],[Conversion]]=SelectedConversion)</f>
        <v>1</v>
      </c>
      <c r="I239" s="14" t="b">
        <f>OR(LCI_Table[[#This Row],[Data Set]]="all",LCI_Table[[#This Row],[Data Set]]=SelectedDataSet)</f>
        <v>1</v>
      </c>
      <c r="J239" s="14" t="b">
        <f>OR(LCI_Table[[#This Row],[Technology]]="All",LCI_Table[[#This Row],[Technology]]=SelectedTechnology)</f>
        <v>1</v>
      </c>
      <c r="K239" s="14" t="b">
        <f>OR(LCI_Table[[#This Row],[Data Source]]="All",LCI_Table[[#This Row],[Data Source]]=SelectedDataSource)</f>
        <v>1</v>
      </c>
      <c r="L239" s="14" t="b">
        <v>0</v>
      </c>
      <c r="M239" s="14" t="b">
        <f>(LCI_Table[[#This Row],[Dev Notes]]="Do not display")</f>
        <v>0</v>
      </c>
      <c r="N239" s="14" t="b">
        <v>0</v>
      </c>
      <c r="O239" s="14" t="b">
        <f>LCI_Table[[#This Row],[GREET1 Name Range]]=""</f>
        <v>0</v>
      </c>
      <c r="P239" s="14" t="s">
        <v>1448</v>
      </c>
      <c r="Q239" s="14" t="s">
        <v>602</v>
      </c>
      <c r="R239" s="14" t="s">
        <v>73</v>
      </c>
      <c r="S239" s="37" cm="1">
        <f t="array" aca="1" ref="S2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344.30517271876477</v>
      </c>
      <c r="T239" s="346" t="s">
        <v>2120</v>
      </c>
      <c r="U239" s="347">
        <f ca="1">S239*lb2g/Fuel_Specs!$E$48*Fuel_Specs!$B$48*Fuel_Specs!$B$81*BTU2mmBTU/0.911711975329766</f>
        <v>2076.4083477681247</v>
      </c>
      <c r="V239" s="347">
        <v>344.30517271876477</v>
      </c>
      <c r="W239" s="347">
        <v>2076.4083477681247</v>
      </c>
      <c r="X239" s="14" t="s">
        <v>351</v>
      </c>
      <c r="Y239" s="346" t="s">
        <v>416</v>
      </c>
      <c r="Z239" s="14" t="str">
        <f>IF(ISBLANK(LCI_Table[[#This Row],[Notes for user]])," ",LCI_Table[[#This Row],[Notes for user]])</f>
        <v xml:space="preserve"> </v>
      </c>
      <c r="AA239" s="14"/>
      <c r="AB239" s="14"/>
      <c r="AC239" s="346">
        <f ca="1">LCI_Table[[#This Row],[Default Calculated Value]]-LCI_Table[[#This Row],[Calculated Value]]</f>
        <v>0</v>
      </c>
    </row>
    <row r="240" spans="1:29" x14ac:dyDescent="0.3">
      <c r="A2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dash_Forest residueFTGREETGREET(blank)_Yield_Collection</v>
      </c>
      <c r="B240" s="48" t="s">
        <v>316</v>
      </c>
      <c r="C240" s="48" t="s">
        <v>129</v>
      </c>
      <c r="D240" s="48" t="s">
        <v>29</v>
      </c>
      <c r="E240" s="48" t="s">
        <v>29</v>
      </c>
      <c r="F240" s="48" t="s">
        <v>31</v>
      </c>
      <c r="G240" s="14" t="b">
        <f>OR(LCI_Table[[#This Row],[Feedstock]]="All",LCI_Table[[#This Row],[Feedstock]]=SelectedFeedstock)</f>
        <v>0</v>
      </c>
      <c r="H240" s="14" t="b">
        <f>OR(LCI_Table[[#This Row],[Conversion]]="All",LCI_Table[[#This Row],[Conversion]]=SelectedConversion)</f>
        <v>0</v>
      </c>
      <c r="I240" s="14" t="b">
        <f>OR(LCI_Table[[#This Row],[Data Set]]="all",LCI_Table[[#This Row],[Data Set]]=SelectedDataSet)</f>
        <v>1</v>
      </c>
      <c r="J240" s="14" t="b">
        <f>OR(LCI_Table[[#This Row],[Technology]]="All",LCI_Table[[#This Row],[Technology]]=SelectedTechnology)</f>
        <v>1</v>
      </c>
      <c r="K240" s="14" t="b">
        <f>OR(LCI_Table[[#This Row],[Data Source]]="All",LCI_Table[[#This Row],[Data Source]]=SelectedDataSource)</f>
        <v>1</v>
      </c>
      <c r="L240" s="14" t="b">
        <f>TRUE</f>
        <v>1</v>
      </c>
      <c r="M240" s="14" t="b">
        <f>(LCI_Table[[#This Row],[Dev Notes]]="Do not display")</f>
        <v>0</v>
      </c>
      <c r="N240" s="14" t="b">
        <f>AND(LCI_Table[[#This Row],[Show Feedstock]:[Conditional]],NOT(LCI_Table[[#This Row],[Hide Row]]))</f>
        <v>0</v>
      </c>
      <c r="O240" s="14" t="b">
        <f>LCI_Table[[#This Row],[GREET1 Name Range]]=""</f>
        <v>1</v>
      </c>
      <c r="P240" s="48" t="s">
        <v>147</v>
      </c>
      <c r="Q240" s="14" t="s">
        <v>361</v>
      </c>
      <c r="R240" s="48" t="s">
        <v>200</v>
      </c>
      <c r="S240" s="37" cm="1">
        <f t="array" aca="1" ref="S2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0.22304512472924265</v>
      </c>
      <c r="T240" s="346" t="s">
        <v>2116</v>
      </c>
      <c r="U240" s="344"/>
      <c r="V240" s="344">
        <v>0.22304512472924265</v>
      </c>
      <c r="W240" s="344"/>
      <c r="X240" s="48" t="s">
        <v>55</v>
      </c>
      <c r="Y240" s="346" t="s">
        <v>413</v>
      </c>
      <c r="Z240" s="14" t="str">
        <f>IF(ISBLANK(LCI_Table[[#This Row],[Notes for user]])," ",LCI_Table[[#This Row],[Notes for user]])</f>
        <v xml:space="preserve"> </v>
      </c>
      <c r="AA240" s="48"/>
      <c r="AB240" s="345" t="s">
        <v>920</v>
      </c>
      <c r="AC240" s="346">
        <f>LCI_Table[[#This Row],[Default Calculated Value]]-LCI_Table[[#This Row],[Calculated Value]]</f>
        <v>0</v>
      </c>
    </row>
    <row r="241" spans="1:29" x14ac:dyDescent="0.3">
      <c r="A2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residueFTGREETGREET(blank)_ForestResidue_Collection_Residual_oilResidual oil</v>
      </c>
      <c r="B241" s="14" t="s">
        <v>316</v>
      </c>
      <c r="C241" s="14" t="s">
        <v>129</v>
      </c>
      <c r="D241" s="14" t="s">
        <v>29</v>
      </c>
      <c r="E241" s="48" t="s">
        <v>29</v>
      </c>
      <c r="F241" s="14" t="s">
        <v>31</v>
      </c>
      <c r="G241" s="14" t="b">
        <f>OR(LCI_Table[[#This Row],[Feedstock]]="All",LCI_Table[[#This Row],[Feedstock]]=SelectedFeedstock)</f>
        <v>0</v>
      </c>
      <c r="H241" s="14" t="b">
        <f>OR(LCI_Table[[#This Row],[Conversion]]="All",LCI_Table[[#This Row],[Conversion]]=SelectedConversion)</f>
        <v>0</v>
      </c>
      <c r="I241" s="14" t="b">
        <f>OR(LCI_Table[[#This Row],[Data Set]]="all",LCI_Table[[#This Row],[Data Set]]=SelectedDataSet)</f>
        <v>1</v>
      </c>
      <c r="J241" s="14" t="b">
        <f>OR(LCI_Table[[#This Row],[Technology]]="All",LCI_Table[[#This Row],[Technology]]=SelectedTechnology)</f>
        <v>1</v>
      </c>
      <c r="K241" s="14" t="b">
        <f>OR(LCI_Table[[#This Row],[Data Source]]="All",LCI_Table[[#This Row],[Data Source]]=SelectedDataSource)</f>
        <v>1</v>
      </c>
      <c r="L241" s="14" t="b">
        <f>TRUE</f>
        <v>1</v>
      </c>
      <c r="M241" s="14" t="b">
        <f>(LCI_Table[[#This Row],[Dev Notes]]="Do not display")</f>
        <v>0</v>
      </c>
      <c r="N241" s="14" t="b">
        <f>AND(LCI_Table[[#This Row],[Show Feedstock]:[Conditional]],NOT(LCI_Table[[#This Row],[Hide Row]]))</f>
        <v>0</v>
      </c>
      <c r="O241" s="14" t="b">
        <f>LCI_Table[[#This Row],[GREET1 Name Range]]=""</f>
        <v>0</v>
      </c>
      <c r="P241" s="14" t="s">
        <v>147</v>
      </c>
      <c r="Q241" s="14" t="s">
        <v>651</v>
      </c>
      <c r="R241" s="14" t="s">
        <v>115</v>
      </c>
      <c r="S241" s="37" cm="1">
        <f t="array" aca="1" ref="S2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1" s="346" t="s">
        <v>1484</v>
      </c>
      <c r="U241" s="347">
        <f ca="1">S241*Fuel_Specs!$B$28/S240</f>
        <v>0</v>
      </c>
      <c r="V241" s="347">
        <v>0</v>
      </c>
      <c r="W241" s="347">
        <v>0</v>
      </c>
      <c r="X241" s="37" t="s">
        <v>5</v>
      </c>
      <c r="Y241" s="346" t="s">
        <v>413</v>
      </c>
      <c r="Z241" s="14" t="str">
        <f>IF(ISBLANK(LCI_Table[[#This Row],[Notes for user]])," ",LCI_Table[[#This Row],[Notes for user]])</f>
        <v xml:space="preserve"> </v>
      </c>
      <c r="AA241" s="14"/>
      <c r="AB241" s="14"/>
      <c r="AC241" s="346">
        <f ca="1">LCI_Table[[#This Row],[Default Calculated Value]]-LCI_Table[[#This Row],[Calculated Value]]</f>
        <v>0</v>
      </c>
    </row>
    <row r="242" spans="1:29" x14ac:dyDescent="0.3">
      <c r="A2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residueFTGREETGREET(blank)_ForestResidue_Collection_DieselDiesel</v>
      </c>
      <c r="B242" s="14" t="s">
        <v>316</v>
      </c>
      <c r="C242" s="14" t="s">
        <v>129</v>
      </c>
      <c r="D242" s="14" t="s">
        <v>29</v>
      </c>
      <c r="E242" s="48" t="s">
        <v>29</v>
      </c>
      <c r="F242" s="14" t="s">
        <v>31</v>
      </c>
      <c r="G242" s="14" t="b">
        <f>OR(LCI_Table[[#This Row],[Feedstock]]="All",LCI_Table[[#This Row],[Feedstock]]=SelectedFeedstock)</f>
        <v>0</v>
      </c>
      <c r="H242" s="14" t="b">
        <f>OR(LCI_Table[[#This Row],[Conversion]]="All",LCI_Table[[#This Row],[Conversion]]=SelectedConversion)</f>
        <v>0</v>
      </c>
      <c r="I242" s="14" t="b">
        <f>OR(LCI_Table[[#This Row],[Data Set]]="all",LCI_Table[[#This Row],[Data Set]]=SelectedDataSet)</f>
        <v>1</v>
      </c>
      <c r="J242" s="14" t="b">
        <f>OR(LCI_Table[[#This Row],[Technology]]="All",LCI_Table[[#This Row],[Technology]]=SelectedTechnology)</f>
        <v>1</v>
      </c>
      <c r="K242" s="14" t="b">
        <f>OR(LCI_Table[[#This Row],[Data Source]]="All",LCI_Table[[#This Row],[Data Source]]=SelectedDataSource)</f>
        <v>1</v>
      </c>
      <c r="L242" s="14" t="b">
        <f>TRUE</f>
        <v>1</v>
      </c>
      <c r="M242" s="14" t="b">
        <f>(LCI_Table[[#This Row],[Dev Notes]]="Do not display")</f>
        <v>0</v>
      </c>
      <c r="N242" s="14" t="b">
        <f>AND(LCI_Table[[#This Row],[Show Feedstock]:[Conditional]],NOT(LCI_Table[[#This Row],[Hide Row]]))</f>
        <v>0</v>
      </c>
      <c r="O242" s="14" t="b">
        <f>LCI_Table[[#This Row],[GREET1 Name Range]]=""</f>
        <v>0</v>
      </c>
      <c r="P242" s="14" t="s">
        <v>147</v>
      </c>
      <c r="Q242" s="14" t="s">
        <v>646</v>
      </c>
      <c r="R242" s="14" t="s">
        <v>106</v>
      </c>
      <c r="S242" s="37" cm="1">
        <f t="array" aca="1" ref="S2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0.22952116048383753</v>
      </c>
      <c r="T242" s="346" t="s">
        <v>1484</v>
      </c>
      <c r="U242" s="347">
        <f ca="1">S242*Fuel_Specs!$B$19/S240</f>
        <v>132179.5</v>
      </c>
      <c r="V242" s="347">
        <v>0.22952116048383753</v>
      </c>
      <c r="W242" s="347">
        <v>132179.5</v>
      </c>
      <c r="X242" s="37" t="s">
        <v>5</v>
      </c>
      <c r="Y242" s="346" t="s">
        <v>413</v>
      </c>
      <c r="Z242" s="14" t="str">
        <f>IF(ISBLANK(LCI_Table[[#This Row],[Notes for user]])," ",LCI_Table[[#This Row],[Notes for user]])</f>
        <v xml:space="preserve"> </v>
      </c>
      <c r="AA242" s="14"/>
      <c r="AB242" s="14"/>
      <c r="AC242" s="346">
        <f ca="1">LCI_Table[[#This Row],[Default Calculated Value]]-LCI_Table[[#This Row],[Calculated Value]]</f>
        <v>0</v>
      </c>
    </row>
    <row r="243" spans="1:29" x14ac:dyDescent="0.3">
      <c r="A2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residueFTGREETGREET(blank)_ForestResidue_Collection_GasolineGasoline</v>
      </c>
      <c r="B243" s="14" t="s">
        <v>316</v>
      </c>
      <c r="C243" s="14" t="s">
        <v>129</v>
      </c>
      <c r="D243" s="14" t="s">
        <v>29</v>
      </c>
      <c r="E243" s="48" t="s">
        <v>29</v>
      </c>
      <c r="F243" s="14" t="s">
        <v>31</v>
      </c>
      <c r="G243" s="14" t="b">
        <f>OR(LCI_Table[[#This Row],[Feedstock]]="All",LCI_Table[[#This Row],[Feedstock]]=SelectedFeedstock)</f>
        <v>0</v>
      </c>
      <c r="H243" s="14" t="b">
        <f>OR(LCI_Table[[#This Row],[Conversion]]="All",LCI_Table[[#This Row],[Conversion]]=SelectedConversion)</f>
        <v>0</v>
      </c>
      <c r="I243" s="14" t="b">
        <f>OR(LCI_Table[[#This Row],[Data Set]]="all",LCI_Table[[#This Row],[Data Set]]=SelectedDataSet)</f>
        <v>1</v>
      </c>
      <c r="J243" s="14" t="b">
        <f>OR(LCI_Table[[#This Row],[Technology]]="All",LCI_Table[[#This Row],[Technology]]=SelectedTechnology)</f>
        <v>1</v>
      </c>
      <c r="K243" s="14" t="b">
        <f>OR(LCI_Table[[#This Row],[Data Source]]="All",LCI_Table[[#This Row],[Data Source]]=SelectedDataSource)</f>
        <v>1</v>
      </c>
      <c r="L243" s="14" t="b">
        <f>TRUE</f>
        <v>1</v>
      </c>
      <c r="M243" s="14" t="b">
        <f>(LCI_Table[[#This Row],[Dev Notes]]="Do not display")</f>
        <v>0</v>
      </c>
      <c r="N243" s="14" t="b">
        <f>AND(LCI_Table[[#This Row],[Show Feedstock]:[Conditional]],NOT(LCI_Table[[#This Row],[Hide Row]]))</f>
        <v>0</v>
      </c>
      <c r="O243" s="14" t="b">
        <f>LCI_Table[[#This Row],[GREET1 Name Range]]=""</f>
        <v>0</v>
      </c>
      <c r="P243" s="14" t="s">
        <v>147</v>
      </c>
      <c r="Q243" s="14" t="s">
        <v>648</v>
      </c>
      <c r="R243" s="14" t="s">
        <v>107</v>
      </c>
      <c r="S243" s="37" cm="1">
        <f t="array" aca="1" ref="S2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3" s="346" t="s">
        <v>1484</v>
      </c>
      <c r="U243" s="347">
        <f ca="1">S243*Fuel_Specs!$B$15/S240</f>
        <v>0</v>
      </c>
      <c r="V243" s="347">
        <v>0</v>
      </c>
      <c r="W243" s="347">
        <v>0</v>
      </c>
      <c r="X243" s="37" t="s">
        <v>5</v>
      </c>
      <c r="Y243" s="346" t="s">
        <v>413</v>
      </c>
      <c r="Z243" s="14" t="str">
        <f>IF(ISBLANK(LCI_Table[[#This Row],[Notes for user]])," ",LCI_Table[[#This Row],[Notes for user]])</f>
        <v xml:space="preserve"> </v>
      </c>
      <c r="AA243" s="14"/>
      <c r="AB243" s="14"/>
      <c r="AC243" s="346">
        <f ca="1">LCI_Table[[#This Row],[Default Calculated Value]]-LCI_Table[[#This Row],[Calculated Value]]</f>
        <v>0</v>
      </c>
    </row>
    <row r="244" spans="1:29" x14ac:dyDescent="0.3">
      <c r="A2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residueFTGREETGREET(blank)_ForestResidue_Collection_Natural_gasNatural gas</v>
      </c>
      <c r="B244" s="14" t="s">
        <v>316</v>
      </c>
      <c r="C244" s="14" t="s">
        <v>129</v>
      </c>
      <c r="D244" s="14" t="s">
        <v>29</v>
      </c>
      <c r="E244" s="48" t="s">
        <v>29</v>
      </c>
      <c r="F244" s="14" t="s">
        <v>31</v>
      </c>
      <c r="G244" s="14" t="b">
        <f>OR(LCI_Table[[#This Row],[Feedstock]]="All",LCI_Table[[#This Row],[Feedstock]]=SelectedFeedstock)</f>
        <v>0</v>
      </c>
      <c r="H244" s="14" t="b">
        <f>OR(LCI_Table[[#This Row],[Conversion]]="All",LCI_Table[[#This Row],[Conversion]]=SelectedConversion)</f>
        <v>0</v>
      </c>
      <c r="I244" s="14" t="b">
        <f>OR(LCI_Table[[#This Row],[Data Set]]="all",LCI_Table[[#This Row],[Data Set]]=SelectedDataSet)</f>
        <v>1</v>
      </c>
      <c r="J244" s="14" t="b">
        <f>OR(LCI_Table[[#This Row],[Technology]]="All",LCI_Table[[#This Row],[Technology]]=SelectedTechnology)</f>
        <v>1</v>
      </c>
      <c r="K244" s="14" t="b">
        <f>OR(LCI_Table[[#This Row],[Data Source]]="All",LCI_Table[[#This Row],[Data Source]]=SelectedDataSource)</f>
        <v>1</v>
      </c>
      <c r="L244" s="14" t="b">
        <f>TRUE</f>
        <v>1</v>
      </c>
      <c r="M244" s="14" t="b">
        <f>(LCI_Table[[#This Row],[Dev Notes]]="Do not display")</f>
        <v>0</v>
      </c>
      <c r="N244" s="14" t="b">
        <f>AND(LCI_Table[[#This Row],[Show Feedstock]:[Conditional]],NOT(LCI_Table[[#This Row],[Hide Row]]))</f>
        <v>0</v>
      </c>
      <c r="O244" s="14" t="b">
        <f>LCI_Table[[#This Row],[GREET1 Name Range]]=""</f>
        <v>0</v>
      </c>
      <c r="P244" s="14" t="s">
        <v>147</v>
      </c>
      <c r="Q244" s="14" t="s">
        <v>650</v>
      </c>
      <c r="R244" s="14" t="s">
        <v>108</v>
      </c>
      <c r="S244" s="37" cm="1">
        <f t="array" aca="1" ref="S2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4" s="346" t="s">
        <v>2109</v>
      </c>
      <c r="U244" s="347">
        <f ca="1">S244*Fuel_Specs!$B$79/S240</f>
        <v>0</v>
      </c>
      <c r="V244" s="347">
        <v>0</v>
      </c>
      <c r="W244" s="347">
        <v>0</v>
      </c>
      <c r="X244" s="37" t="s">
        <v>351</v>
      </c>
      <c r="Y244" s="346" t="s">
        <v>413</v>
      </c>
      <c r="Z244" s="14" t="str">
        <f>IF(ISBLANK(LCI_Table[[#This Row],[Notes for user]])," ",LCI_Table[[#This Row],[Notes for user]])</f>
        <v xml:space="preserve"> </v>
      </c>
      <c r="AA244" s="14"/>
      <c r="AB244" s="14"/>
      <c r="AC244" s="346">
        <f ca="1">LCI_Table[[#This Row],[Default Calculated Value]]-LCI_Table[[#This Row],[Calculated Value]]</f>
        <v>0</v>
      </c>
    </row>
    <row r="245" spans="1:29" x14ac:dyDescent="0.3">
      <c r="A2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residueFTGREETGREET(blank)_ForestResidue_Collection_CoalCoal</v>
      </c>
      <c r="B245" s="14" t="s">
        <v>316</v>
      </c>
      <c r="C245" s="14" t="s">
        <v>129</v>
      </c>
      <c r="D245" s="14" t="s">
        <v>29</v>
      </c>
      <c r="E245" s="48" t="s">
        <v>29</v>
      </c>
      <c r="F245" s="14" t="s">
        <v>31</v>
      </c>
      <c r="G245" s="14" t="b">
        <f>OR(LCI_Table[[#This Row],[Feedstock]]="All",LCI_Table[[#This Row],[Feedstock]]=SelectedFeedstock)</f>
        <v>0</v>
      </c>
      <c r="H245" s="14" t="b">
        <f>OR(LCI_Table[[#This Row],[Conversion]]="All",LCI_Table[[#This Row],[Conversion]]=SelectedConversion)</f>
        <v>0</v>
      </c>
      <c r="I245" s="14" t="b">
        <f>OR(LCI_Table[[#This Row],[Data Set]]="all",LCI_Table[[#This Row],[Data Set]]=SelectedDataSet)</f>
        <v>1</v>
      </c>
      <c r="J245" s="14" t="b">
        <f>OR(LCI_Table[[#This Row],[Technology]]="All",LCI_Table[[#This Row],[Technology]]=SelectedTechnology)</f>
        <v>1</v>
      </c>
      <c r="K245" s="14" t="b">
        <f>OR(LCI_Table[[#This Row],[Data Source]]="All",LCI_Table[[#This Row],[Data Source]]=SelectedDataSource)</f>
        <v>1</v>
      </c>
      <c r="L245" s="14" t="b">
        <f>TRUE</f>
        <v>1</v>
      </c>
      <c r="M245" s="14" t="b">
        <f>(LCI_Table[[#This Row],[Dev Notes]]="Do not display")</f>
        <v>0</v>
      </c>
      <c r="N245" s="14" t="b">
        <f>AND(LCI_Table[[#This Row],[Show Feedstock]:[Conditional]],NOT(LCI_Table[[#This Row],[Hide Row]]))</f>
        <v>0</v>
      </c>
      <c r="O245" s="14" t="b">
        <f>LCI_Table[[#This Row],[GREET1 Name Range]]=""</f>
        <v>0</v>
      </c>
      <c r="P245" s="14" t="s">
        <v>147</v>
      </c>
      <c r="Q245" s="14" t="s">
        <v>645</v>
      </c>
      <c r="R245" s="14" t="s">
        <v>9</v>
      </c>
      <c r="S245" s="37" cm="1">
        <f t="array" aca="1" ref="S2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5" s="346" t="s">
        <v>2110</v>
      </c>
      <c r="U245" s="347">
        <f ca="1">S245/S240</f>
        <v>0</v>
      </c>
      <c r="V245" s="347">
        <v>0</v>
      </c>
      <c r="W245" s="347">
        <v>0</v>
      </c>
      <c r="X245" s="37" t="s">
        <v>117</v>
      </c>
      <c r="Y245" s="346" t="s">
        <v>413</v>
      </c>
      <c r="Z245" s="14" t="str">
        <f>IF(ISBLANK(LCI_Table[[#This Row],[Notes for user]])," ",LCI_Table[[#This Row],[Notes for user]])</f>
        <v xml:space="preserve"> </v>
      </c>
      <c r="AA245" s="14"/>
      <c r="AB245" s="14"/>
      <c r="AC245" s="346">
        <f ca="1">LCI_Table[[#This Row],[Default Calculated Value]]-LCI_Table[[#This Row],[Calculated Value]]</f>
        <v>0</v>
      </c>
    </row>
    <row r="246" spans="1:29" x14ac:dyDescent="0.3">
      <c r="A2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residueFTGREETGREET(blank)_ForestResidue_Collection_LPGLPG</v>
      </c>
      <c r="B246" s="14" t="s">
        <v>316</v>
      </c>
      <c r="C246" s="14" t="s">
        <v>129</v>
      </c>
      <c r="D246" s="14" t="s">
        <v>29</v>
      </c>
      <c r="E246" s="48" t="s">
        <v>29</v>
      </c>
      <c r="F246" s="14" t="s">
        <v>31</v>
      </c>
      <c r="G246" s="14" t="b">
        <f>OR(LCI_Table[[#This Row],[Feedstock]]="All",LCI_Table[[#This Row],[Feedstock]]=SelectedFeedstock)</f>
        <v>0</v>
      </c>
      <c r="H246" s="14" t="b">
        <f>OR(LCI_Table[[#This Row],[Conversion]]="All",LCI_Table[[#This Row],[Conversion]]=SelectedConversion)</f>
        <v>0</v>
      </c>
      <c r="I246" s="14" t="b">
        <f>OR(LCI_Table[[#This Row],[Data Set]]="all",LCI_Table[[#This Row],[Data Set]]=SelectedDataSet)</f>
        <v>1</v>
      </c>
      <c r="J246" s="14" t="b">
        <f>OR(LCI_Table[[#This Row],[Technology]]="All",LCI_Table[[#This Row],[Technology]]=SelectedTechnology)</f>
        <v>1</v>
      </c>
      <c r="K246" s="14" t="b">
        <f>OR(LCI_Table[[#This Row],[Data Source]]="All",LCI_Table[[#This Row],[Data Source]]=SelectedDataSource)</f>
        <v>1</v>
      </c>
      <c r="L246" s="14" t="b">
        <f>TRUE</f>
        <v>1</v>
      </c>
      <c r="M246" s="14" t="b">
        <f>(LCI_Table[[#This Row],[Dev Notes]]="Do not display")</f>
        <v>0</v>
      </c>
      <c r="N246" s="14" t="b">
        <f>AND(LCI_Table[[#This Row],[Show Feedstock]:[Conditional]],NOT(LCI_Table[[#This Row],[Hide Row]]))</f>
        <v>0</v>
      </c>
      <c r="O246" s="14" t="b">
        <f>LCI_Table[[#This Row],[GREET1 Name Range]]=""</f>
        <v>0</v>
      </c>
      <c r="P246" s="14" t="s">
        <v>147</v>
      </c>
      <c r="Q246" s="14" t="s">
        <v>649</v>
      </c>
      <c r="R246" s="14" t="s">
        <v>109</v>
      </c>
      <c r="S246" s="37" cm="1">
        <f t="array" aca="1" ref="S2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6" s="346" t="s">
        <v>1484</v>
      </c>
      <c r="U246" s="347">
        <f ca="1">S246*Fuel_Specs!$B$35/S240</f>
        <v>0</v>
      </c>
      <c r="V246" s="347">
        <v>0</v>
      </c>
      <c r="W246" s="347">
        <v>0</v>
      </c>
      <c r="X246" s="37" t="s">
        <v>5</v>
      </c>
      <c r="Y246" s="346" t="s">
        <v>413</v>
      </c>
      <c r="Z246" s="14" t="str">
        <f>IF(ISBLANK(LCI_Table[[#This Row],[Notes for user]])," ",LCI_Table[[#This Row],[Notes for user]])</f>
        <v xml:space="preserve"> </v>
      </c>
      <c r="AA246" s="14"/>
      <c r="AB246" s="14"/>
      <c r="AC246" s="346">
        <f ca="1">LCI_Table[[#This Row],[Default Calculated Value]]-LCI_Table[[#This Row],[Calculated Value]]</f>
        <v>0</v>
      </c>
    </row>
    <row r="247" spans="1:29" x14ac:dyDescent="0.3">
      <c r="A2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residueFTGREETGREET(blank)_ForestResidue_Collection_ElectricityElectricity</v>
      </c>
      <c r="B247" s="14" t="s">
        <v>316</v>
      </c>
      <c r="C247" s="14" t="s">
        <v>129</v>
      </c>
      <c r="D247" s="14" t="s">
        <v>29</v>
      </c>
      <c r="E247" s="48" t="s">
        <v>29</v>
      </c>
      <c r="F247" s="14" t="s">
        <v>31</v>
      </c>
      <c r="G247" s="14" t="b">
        <f>OR(LCI_Table[[#This Row],[Feedstock]]="All",LCI_Table[[#This Row],[Feedstock]]=SelectedFeedstock)</f>
        <v>0</v>
      </c>
      <c r="H247" s="14" t="b">
        <f>OR(LCI_Table[[#This Row],[Conversion]]="All",LCI_Table[[#This Row],[Conversion]]=SelectedConversion)</f>
        <v>0</v>
      </c>
      <c r="I247" s="14" t="b">
        <f>OR(LCI_Table[[#This Row],[Data Set]]="all",LCI_Table[[#This Row],[Data Set]]=SelectedDataSet)</f>
        <v>1</v>
      </c>
      <c r="J247" s="14" t="b">
        <f>OR(LCI_Table[[#This Row],[Technology]]="All",LCI_Table[[#This Row],[Technology]]=SelectedTechnology)</f>
        <v>1</v>
      </c>
      <c r="K247" s="14" t="b">
        <f>OR(LCI_Table[[#This Row],[Data Source]]="All",LCI_Table[[#This Row],[Data Source]]=SelectedDataSource)</f>
        <v>1</v>
      </c>
      <c r="L247" s="14" t="b">
        <f>TRUE</f>
        <v>1</v>
      </c>
      <c r="M247" s="14" t="b">
        <f>(LCI_Table[[#This Row],[Dev Notes]]="Do not display")</f>
        <v>0</v>
      </c>
      <c r="N247" s="14" t="b">
        <f>AND(LCI_Table[[#This Row],[Show Feedstock]:[Conditional]],NOT(LCI_Table[[#This Row],[Hide Row]]))</f>
        <v>0</v>
      </c>
      <c r="O247" s="14" t="b">
        <f>LCI_Table[[#This Row],[GREET1 Name Range]]=""</f>
        <v>0</v>
      </c>
      <c r="P247" s="14" t="s">
        <v>147</v>
      </c>
      <c r="Q247" s="14" t="s">
        <v>647</v>
      </c>
      <c r="R247" s="14" t="s">
        <v>110</v>
      </c>
      <c r="S247" s="37" cm="1">
        <f t="array" aca="1" ref="S2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7" s="346" t="s">
        <v>1561</v>
      </c>
      <c r="U247" s="347">
        <f ca="1">S247/BTU2kWh/S240</f>
        <v>0</v>
      </c>
      <c r="V247" s="347">
        <v>0</v>
      </c>
      <c r="W247" s="347">
        <v>0</v>
      </c>
      <c r="X247" s="37" t="s">
        <v>51</v>
      </c>
      <c r="Y247" s="346" t="s">
        <v>413</v>
      </c>
      <c r="Z247" s="14" t="str">
        <f>IF(ISBLANK(LCI_Table[[#This Row],[Notes for user]])," ",LCI_Table[[#This Row],[Notes for user]])</f>
        <v xml:space="preserve"> </v>
      </c>
      <c r="AA247" s="14"/>
      <c r="AB247" s="14"/>
      <c r="AC247" s="346">
        <f ca="1">LCI_Table[[#This Row],[Default Calculated Value]]-LCI_Table[[#This Row],[Calculated Value]]</f>
        <v>0</v>
      </c>
    </row>
    <row r="248" spans="1:29" x14ac:dyDescent="0.3">
      <c r="A2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residueFTGREETGREET(blank)_Forest_residue_FT_efficiencyForest residue</v>
      </c>
      <c r="B248" s="14" t="s">
        <v>316</v>
      </c>
      <c r="C248" s="14" t="s">
        <v>129</v>
      </c>
      <c r="D248" s="14" t="s">
        <v>29</v>
      </c>
      <c r="E248" s="48" t="s">
        <v>29</v>
      </c>
      <c r="F248" s="14" t="s">
        <v>31</v>
      </c>
      <c r="G248" s="14" t="b">
        <f>OR(LCI_Table[[#This Row],[Feedstock]]="All",LCI_Table[[#This Row],[Feedstock]]=SelectedFeedstock)</f>
        <v>0</v>
      </c>
      <c r="H248" s="14" t="b">
        <f>OR(LCI_Table[[#This Row],[Conversion]]="All",LCI_Table[[#This Row],[Conversion]]=SelectedConversion)</f>
        <v>0</v>
      </c>
      <c r="I248" s="14" t="b">
        <f>OR(LCI_Table[[#This Row],[Data Set]]="all",LCI_Table[[#This Row],[Data Set]]=SelectedDataSet)</f>
        <v>1</v>
      </c>
      <c r="J248" s="14" t="b">
        <f>OR(LCI_Table[[#This Row],[Technology]]="All",LCI_Table[[#This Row],[Technology]]=SelectedTechnology)</f>
        <v>1</v>
      </c>
      <c r="K248" s="14" t="b">
        <f>OR(LCI_Table[[#This Row],[Data Source]]="All",LCI_Table[[#This Row],[Data Source]]=SelectedDataSource)</f>
        <v>1</v>
      </c>
      <c r="L248" s="14" t="b">
        <f>TRUE</f>
        <v>1</v>
      </c>
      <c r="M248" s="14" t="b">
        <f>(LCI_Table[[#This Row],[Dev Notes]]="Do not display")</f>
        <v>0</v>
      </c>
      <c r="N248" s="14" t="b">
        <f>AND(LCI_Table[[#This Row],[Show Feedstock]:[Conditional]],NOT(LCI_Table[[#This Row],[Hide Row]]))</f>
        <v>0</v>
      </c>
      <c r="O248" s="14" t="b">
        <f>LCI_Table[[#This Row],[GREET1 Name Range]]=""</f>
        <v>0</v>
      </c>
      <c r="P248" s="14" t="s">
        <v>1448</v>
      </c>
      <c r="Q248" s="14" t="s">
        <v>941</v>
      </c>
      <c r="R248" s="14" t="s">
        <v>316</v>
      </c>
      <c r="S248" s="37" cm="1">
        <f t="array" aca="1" ref="S2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0.11568049048527966</v>
      </c>
      <c r="T248" s="346" t="s">
        <v>2125</v>
      </c>
      <c r="U248" s="347">
        <f ca="1">1/(S248*Fuel_Specs!$B$100*BTU2mmBTU)</f>
        <v>0.5</v>
      </c>
      <c r="V248" s="347">
        <v>0.11568049048527966</v>
      </c>
      <c r="W248" s="347">
        <v>0.5</v>
      </c>
      <c r="X248" s="14" t="s">
        <v>55</v>
      </c>
      <c r="Y248" s="346" t="s">
        <v>416</v>
      </c>
      <c r="Z248" s="14" t="str">
        <f>IF(ISBLANK(LCI_Table[[#This Row],[Notes for user]])," ",LCI_Table[[#This Row],[Notes for user]])</f>
        <v xml:space="preserve"> </v>
      </c>
      <c r="AA248" s="14"/>
      <c r="AB248" s="14"/>
      <c r="AC248" s="346">
        <f ca="1">LCI_Table[[#This Row],[Default Calculated Value]]-LCI_Table[[#This Row],[Calculated Value]]</f>
        <v>0</v>
      </c>
    </row>
    <row r="249" spans="1:29" x14ac:dyDescent="0.3">
      <c r="A2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dash_WillowFTGREETGREET(blank)_Yield_Farming</v>
      </c>
      <c r="B249" s="48" t="s">
        <v>131</v>
      </c>
      <c r="C249" s="48" t="s">
        <v>129</v>
      </c>
      <c r="D249" s="48" t="s">
        <v>29</v>
      </c>
      <c r="E249" s="48" t="s">
        <v>29</v>
      </c>
      <c r="F249" s="48" t="s">
        <v>31</v>
      </c>
      <c r="G249" s="14" t="b">
        <f>OR(LCI_Table[[#This Row],[Feedstock]]="All",LCI_Table[[#This Row],[Feedstock]]=SelectedFeedstock)</f>
        <v>0</v>
      </c>
      <c r="H249" s="14" t="b">
        <f>OR(LCI_Table[[#This Row],[Conversion]]="All",LCI_Table[[#This Row],[Conversion]]=SelectedConversion)</f>
        <v>0</v>
      </c>
      <c r="I249" s="14" t="b">
        <f>OR(LCI_Table[[#This Row],[Data Set]]="all",LCI_Table[[#This Row],[Data Set]]=SelectedDataSet)</f>
        <v>1</v>
      </c>
      <c r="J249" s="14" t="b">
        <f>OR(LCI_Table[[#This Row],[Technology]]="All",LCI_Table[[#This Row],[Technology]]=SelectedTechnology)</f>
        <v>1</v>
      </c>
      <c r="K249" s="14" t="b">
        <f>OR(LCI_Table[[#This Row],[Data Source]]="All",LCI_Table[[#This Row],[Data Source]]=SelectedDataSource)</f>
        <v>1</v>
      </c>
      <c r="L249" s="14" t="b">
        <f>TRUE</f>
        <v>1</v>
      </c>
      <c r="M249" s="14" t="b">
        <f>(LCI_Table[[#This Row],[Dev Notes]]="Do not display")</f>
        <v>0</v>
      </c>
      <c r="N249" s="14" t="b">
        <f>AND(LCI_Table[[#This Row],[Show Feedstock]:[Conditional]],NOT(LCI_Table[[#This Row],[Hide Row]]))</f>
        <v>0</v>
      </c>
      <c r="O249" s="14" t="b">
        <f>LCI_Table[[#This Row],[GREET1 Name Range]]=""</f>
        <v>1</v>
      </c>
      <c r="P249" s="48" t="s">
        <v>14</v>
      </c>
      <c r="Q249" s="14" t="s">
        <v>361</v>
      </c>
      <c r="R249" s="48" t="s">
        <v>200</v>
      </c>
      <c r="S249" s="37" cm="1">
        <f t="array" aca="1" ref="S2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28.2</v>
      </c>
      <c r="T249" s="346" t="s">
        <v>2116</v>
      </c>
      <c r="U249" s="344"/>
      <c r="V249" s="344">
        <v>28.2</v>
      </c>
      <c r="W249" s="344"/>
      <c r="X249" s="48" t="s">
        <v>55</v>
      </c>
      <c r="Y249" s="346" t="s">
        <v>413</v>
      </c>
      <c r="Z249" s="14" t="str">
        <f>IF(ISBLANK(LCI_Table[[#This Row],[Notes for user]])," ",LCI_Table[[#This Row],[Notes for user]])</f>
        <v xml:space="preserve"> </v>
      </c>
      <c r="AA249" s="48"/>
      <c r="AB249" s="345"/>
      <c r="AC249" s="346">
        <f>LCI_Table[[#This Row],[Default Calculated Value]]-LCI_Table[[#This Row],[Calculated Value]]</f>
        <v>0</v>
      </c>
    </row>
    <row r="250" spans="1:29" x14ac:dyDescent="0.3">
      <c r="A2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WillowFTGREETGREET(blank)_Willow_Farming_Nitrogen_fertilizerNitrogen fertilizer</v>
      </c>
      <c r="B250" s="14" t="s">
        <v>131</v>
      </c>
      <c r="C250" s="14" t="s">
        <v>129</v>
      </c>
      <c r="D250" s="14" t="s">
        <v>29</v>
      </c>
      <c r="E250" s="48" t="s">
        <v>29</v>
      </c>
      <c r="F250" s="14" t="s">
        <v>31</v>
      </c>
      <c r="G250" s="14" t="b">
        <f>OR(LCI_Table[[#This Row],[Feedstock]]="All",LCI_Table[[#This Row],[Feedstock]]=SelectedFeedstock)</f>
        <v>0</v>
      </c>
      <c r="H250" s="14" t="b">
        <f>OR(LCI_Table[[#This Row],[Conversion]]="All",LCI_Table[[#This Row],[Conversion]]=SelectedConversion)</f>
        <v>0</v>
      </c>
      <c r="I250" s="14" t="b">
        <f>OR(LCI_Table[[#This Row],[Data Set]]="all",LCI_Table[[#This Row],[Data Set]]=SelectedDataSet)</f>
        <v>1</v>
      </c>
      <c r="J250" s="14" t="b">
        <f>OR(LCI_Table[[#This Row],[Technology]]="All",LCI_Table[[#This Row],[Technology]]=SelectedTechnology)</f>
        <v>1</v>
      </c>
      <c r="K250" s="14" t="b">
        <f>OR(LCI_Table[[#This Row],[Data Source]]="All",LCI_Table[[#This Row],[Data Source]]=SelectedDataSource)</f>
        <v>1</v>
      </c>
      <c r="L250" s="14" t="b">
        <f>TRUE</f>
        <v>1</v>
      </c>
      <c r="M250" s="14" t="b">
        <f>(LCI_Table[[#This Row],[Dev Notes]]="Do not display")</f>
        <v>0</v>
      </c>
      <c r="N250" s="14" t="b">
        <f>AND(LCI_Table[[#This Row],[Show Feedstock]:[Conditional]],NOT(LCI_Table[[#This Row],[Hide Row]]))</f>
        <v>0</v>
      </c>
      <c r="O250" s="14" t="b">
        <f>LCI_Table[[#This Row],[GREET1 Name Range]]=""</f>
        <v>0</v>
      </c>
      <c r="P250" s="14" t="s">
        <v>14</v>
      </c>
      <c r="Q250" s="14" t="s">
        <v>853</v>
      </c>
      <c r="R250" s="14" t="s">
        <v>111</v>
      </c>
      <c r="S250" s="37" cm="1">
        <f t="array" aca="1" ref="S2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90.878828351189952</v>
      </c>
      <c r="T250" s="346" t="s">
        <v>1485</v>
      </c>
      <c r="U250" s="347">
        <f ca="1">S250/S249*lb2g</f>
        <v>1461.7710331432427</v>
      </c>
      <c r="V250" s="347">
        <v>90.878828351189952</v>
      </c>
      <c r="W250" s="347">
        <v>1461.7710331432427</v>
      </c>
      <c r="X250" s="37" t="s">
        <v>12</v>
      </c>
      <c r="Y250" s="346" t="s">
        <v>413</v>
      </c>
      <c r="Z250" s="14" t="str">
        <f>IF(ISBLANK(LCI_Table[[#This Row],[Notes for user]])," ",LCI_Table[[#This Row],[Notes for user]])</f>
        <v xml:space="preserve"> </v>
      </c>
      <c r="AA250" s="14"/>
      <c r="AB250" s="14"/>
      <c r="AC250" s="346">
        <f ca="1">LCI_Table[[#This Row],[Default Calculated Value]]-LCI_Table[[#This Row],[Calculated Value]]</f>
        <v>0</v>
      </c>
    </row>
    <row r="251" spans="1:29" x14ac:dyDescent="0.3">
      <c r="A2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WillowFTGREETGREET(blank)_Willow_Farming_P2O5P2O5</v>
      </c>
      <c r="B251" s="14" t="s">
        <v>131</v>
      </c>
      <c r="C251" s="14" t="s">
        <v>129</v>
      </c>
      <c r="D251" s="14" t="s">
        <v>29</v>
      </c>
      <c r="E251" s="48" t="s">
        <v>29</v>
      </c>
      <c r="F251" s="14" t="s">
        <v>31</v>
      </c>
      <c r="G251" s="14" t="b">
        <f>OR(LCI_Table[[#This Row],[Feedstock]]="All",LCI_Table[[#This Row],[Feedstock]]=SelectedFeedstock)</f>
        <v>0</v>
      </c>
      <c r="H251" s="14" t="b">
        <f>OR(LCI_Table[[#This Row],[Conversion]]="All",LCI_Table[[#This Row],[Conversion]]=SelectedConversion)</f>
        <v>0</v>
      </c>
      <c r="I251" s="14" t="b">
        <f>OR(LCI_Table[[#This Row],[Data Set]]="all",LCI_Table[[#This Row],[Data Set]]=SelectedDataSet)</f>
        <v>1</v>
      </c>
      <c r="J251" s="14" t="b">
        <f>OR(LCI_Table[[#This Row],[Technology]]="All",LCI_Table[[#This Row],[Technology]]=SelectedTechnology)</f>
        <v>1</v>
      </c>
      <c r="K251" s="14" t="b">
        <f>OR(LCI_Table[[#This Row],[Data Source]]="All",LCI_Table[[#This Row],[Data Source]]=SelectedDataSource)</f>
        <v>1</v>
      </c>
      <c r="L251" s="14" t="b">
        <f>TRUE</f>
        <v>1</v>
      </c>
      <c r="M251" s="14" t="b">
        <f>(LCI_Table[[#This Row],[Dev Notes]]="Do not display")</f>
        <v>0</v>
      </c>
      <c r="N251" s="14" t="b">
        <f>AND(LCI_Table[[#This Row],[Show Feedstock]:[Conditional]],NOT(LCI_Table[[#This Row],[Hide Row]]))</f>
        <v>0</v>
      </c>
      <c r="O251" s="14" t="b">
        <f>LCI_Table[[#This Row],[GREET1 Name Range]]=""</f>
        <v>0</v>
      </c>
      <c r="P251" s="14" t="s">
        <v>14</v>
      </c>
      <c r="Q251" s="14" t="s">
        <v>854</v>
      </c>
      <c r="R251" s="14" t="s">
        <v>112</v>
      </c>
      <c r="S251" s="37" cm="1">
        <f t="array" aca="1" ref="S2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40.390590378306598</v>
      </c>
      <c r="T251" s="346" t="s">
        <v>1485</v>
      </c>
      <c r="U251" s="347">
        <f ca="1">S251/S249*lb2g</f>
        <v>649.67601473032937</v>
      </c>
      <c r="V251" s="347">
        <v>40.390590378306598</v>
      </c>
      <c r="W251" s="347">
        <v>649.67601473032937</v>
      </c>
      <c r="X251" s="37" t="s">
        <v>12</v>
      </c>
      <c r="Y251" s="346" t="s">
        <v>413</v>
      </c>
      <c r="Z251" s="14" t="str">
        <f>IF(ISBLANK(LCI_Table[[#This Row],[Notes for user]])," ",LCI_Table[[#This Row],[Notes for user]])</f>
        <v xml:space="preserve"> </v>
      </c>
      <c r="AA251" s="14"/>
      <c r="AB251" s="14"/>
      <c r="AC251" s="346">
        <f ca="1">LCI_Table[[#This Row],[Default Calculated Value]]-LCI_Table[[#This Row],[Calculated Value]]</f>
        <v>0</v>
      </c>
    </row>
    <row r="252" spans="1:29" x14ac:dyDescent="0.3">
      <c r="A2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WillowFTGREETGREET(blank)_Willow_Farming_K2OK2O</v>
      </c>
      <c r="B252" s="14" t="s">
        <v>131</v>
      </c>
      <c r="C252" s="14" t="s">
        <v>129</v>
      </c>
      <c r="D252" s="14" t="s">
        <v>29</v>
      </c>
      <c r="E252" s="48" t="s">
        <v>29</v>
      </c>
      <c r="F252" s="14" t="s">
        <v>31</v>
      </c>
      <c r="G252" s="14" t="b">
        <f>OR(LCI_Table[[#This Row],[Feedstock]]="All",LCI_Table[[#This Row],[Feedstock]]=SelectedFeedstock)</f>
        <v>0</v>
      </c>
      <c r="H252" s="14" t="b">
        <f>OR(LCI_Table[[#This Row],[Conversion]]="All",LCI_Table[[#This Row],[Conversion]]=SelectedConversion)</f>
        <v>0</v>
      </c>
      <c r="I252" s="14" t="b">
        <f>OR(LCI_Table[[#This Row],[Data Set]]="all",LCI_Table[[#This Row],[Data Set]]=SelectedDataSet)</f>
        <v>1</v>
      </c>
      <c r="J252" s="14" t="b">
        <f>OR(LCI_Table[[#This Row],[Technology]]="All",LCI_Table[[#This Row],[Technology]]=SelectedTechnology)</f>
        <v>1</v>
      </c>
      <c r="K252" s="14" t="b">
        <f>OR(LCI_Table[[#This Row],[Data Source]]="All",LCI_Table[[#This Row],[Data Source]]=SelectedDataSource)</f>
        <v>1</v>
      </c>
      <c r="L252" s="14" t="b">
        <f>TRUE</f>
        <v>1</v>
      </c>
      <c r="M252" s="14" t="b">
        <f>(LCI_Table[[#This Row],[Dev Notes]]="Do not display")</f>
        <v>0</v>
      </c>
      <c r="N252" s="14" t="b">
        <f>AND(LCI_Table[[#This Row],[Show Feedstock]:[Conditional]],NOT(LCI_Table[[#This Row],[Hide Row]]))</f>
        <v>0</v>
      </c>
      <c r="O252" s="14" t="b">
        <f>LCI_Table[[#This Row],[GREET1 Name Range]]=""</f>
        <v>0</v>
      </c>
      <c r="P252" s="14" t="s">
        <v>14</v>
      </c>
      <c r="Q252" s="14" t="s">
        <v>850</v>
      </c>
      <c r="R252" s="14" t="s">
        <v>113</v>
      </c>
      <c r="S252" s="37" cm="1">
        <f t="array" aca="1" ref="S2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62.289440243223993</v>
      </c>
      <c r="T252" s="346" t="s">
        <v>1485</v>
      </c>
      <c r="U252" s="347">
        <f ca="1">S252/S249*lb2g</f>
        <v>1001.915419358062</v>
      </c>
      <c r="V252" s="347">
        <v>62.289440243223993</v>
      </c>
      <c r="W252" s="347">
        <v>1001.915419358062</v>
      </c>
      <c r="X252" s="37" t="s">
        <v>12</v>
      </c>
      <c r="Y252" s="346" t="s">
        <v>413</v>
      </c>
      <c r="Z252" s="14" t="str">
        <f>IF(ISBLANK(LCI_Table[[#This Row],[Notes for user]])," ",LCI_Table[[#This Row],[Notes for user]])</f>
        <v xml:space="preserve"> </v>
      </c>
      <c r="AA252" s="14"/>
      <c r="AB252" s="14"/>
      <c r="AC252" s="346">
        <f ca="1">LCI_Table[[#This Row],[Default Calculated Value]]-LCI_Table[[#This Row],[Calculated Value]]</f>
        <v>0</v>
      </c>
    </row>
    <row r="253" spans="1:29" x14ac:dyDescent="0.3">
      <c r="A2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WillowFTGREETGREET(blank)_Willow_Farming_CaCO3CaCO3</v>
      </c>
      <c r="B253" s="14" t="s">
        <v>131</v>
      </c>
      <c r="C253" s="14" t="s">
        <v>129</v>
      </c>
      <c r="D253" s="14" t="s">
        <v>29</v>
      </c>
      <c r="E253" s="48" t="s">
        <v>29</v>
      </c>
      <c r="F253" s="14" t="s">
        <v>31</v>
      </c>
      <c r="G253" s="14" t="b">
        <f>OR(LCI_Table[[#This Row],[Feedstock]]="All",LCI_Table[[#This Row],[Feedstock]]=SelectedFeedstock)</f>
        <v>0</v>
      </c>
      <c r="H253" s="14" t="b">
        <f>OR(LCI_Table[[#This Row],[Conversion]]="All",LCI_Table[[#This Row],[Conversion]]=SelectedConversion)</f>
        <v>0</v>
      </c>
      <c r="I253" s="14" t="b">
        <f>OR(LCI_Table[[#This Row],[Data Set]]="all",LCI_Table[[#This Row],[Data Set]]=SelectedDataSet)</f>
        <v>1</v>
      </c>
      <c r="J253" s="14" t="b">
        <f>OR(LCI_Table[[#This Row],[Technology]]="All",LCI_Table[[#This Row],[Technology]]=SelectedTechnology)</f>
        <v>1</v>
      </c>
      <c r="K253" s="14" t="b">
        <f>OR(LCI_Table[[#This Row],[Data Source]]="All",LCI_Table[[#This Row],[Data Source]]=SelectedDataSource)</f>
        <v>1</v>
      </c>
      <c r="L253" s="14" t="b">
        <f>TRUE</f>
        <v>1</v>
      </c>
      <c r="M253" s="14" t="b">
        <f>(LCI_Table[[#This Row],[Dev Notes]]="Do not display")</f>
        <v>0</v>
      </c>
      <c r="N253" s="14" t="b">
        <f>AND(LCI_Table[[#This Row],[Show Feedstock]:[Conditional]],NOT(LCI_Table[[#This Row],[Hide Row]]))</f>
        <v>0</v>
      </c>
      <c r="O253" s="14" t="b">
        <f>LCI_Table[[#This Row],[GREET1 Name Range]]=""</f>
        <v>0</v>
      </c>
      <c r="P253" s="14" t="s">
        <v>14</v>
      </c>
      <c r="Q253" s="14" t="s">
        <v>842</v>
      </c>
      <c r="R253" s="14" t="s">
        <v>141</v>
      </c>
      <c r="S253" s="37" cm="1">
        <f t="array" aca="1" ref="S2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3" s="346" t="s">
        <v>1485</v>
      </c>
      <c r="U253" s="347">
        <f ca="1">S253/S249*lb2g</f>
        <v>0</v>
      </c>
      <c r="V253" s="347">
        <v>0</v>
      </c>
      <c r="W253" s="347">
        <v>0</v>
      </c>
      <c r="X253" s="37" t="s">
        <v>12</v>
      </c>
      <c r="Y253" s="346" t="s">
        <v>413</v>
      </c>
      <c r="Z253" s="14" t="str">
        <f>IF(ISBLANK(LCI_Table[[#This Row],[Notes for user]])," ",LCI_Table[[#This Row],[Notes for user]])</f>
        <v xml:space="preserve"> </v>
      </c>
      <c r="AA253" s="14"/>
      <c r="AB253" s="14"/>
      <c r="AC253" s="346">
        <f ca="1">LCI_Table[[#This Row],[Default Calculated Value]]-LCI_Table[[#This Row],[Calculated Value]]</f>
        <v>0</v>
      </c>
    </row>
    <row r="254" spans="1:29" x14ac:dyDescent="0.3">
      <c r="A2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WillowFTGREETGREET(blank)_Willow_Farming_HerbicidesHerbicides</v>
      </c>
      <c r="B254" s="14" t="s">
        <v>131</v>
      </c>
      <c r="C254" s="14" t="s">
        <v>129</v>
      </c>
      <c r="D254" s="14" t="s">
        <v>29</v>
      </c>
      <c r="E254" s="48" t="s">
        <v>29</v>
      </c>
      <c r="F254" s="14" t="s">
        <v>31</v>
      </c>
      <c r="G254" s="14" t="b">
        <f>OR(LCI_Table[[#This Row],[Feedstock]]="All",LCI_Table[[#This Row],[Feedstock]]=SelectedFeedstock)</f>
        <v>0</v>
      </c>
      <c r="H254" s="14" t="b">
        <f>OR(LCI_Table[[#This Row],[Conversion]]="All",LCI_Table[[#This Row],[Conversion]]=SelectedConversion)</f>
        <v>0</v>
      </c>
      <c r="I254" s="14" t="b">
        <f>OR(LCI_Table[[#This Row],[Data Set]]="all",LCI_Table[[#This Row],[Data Set]]=SelectedDataSet)</f>
        <v>1</v>
      </c>
      <c r="J254" s="14" t="b">
        <f>OR(LCI_Table[[#This Row],[Technology]]="All",LCI_Table[[#This Row],[Technology]]=SelectedTechnology)</f>
        <v>1</v>
      </c>
      <c r="K254" s="14" t="b">
        <f>OR(LCI_Table[[#This Row],[Data Source]]="All",LCI_Table[[#This Row],[Data Source]]=SelectedDataSource)</f>
        <v>1</v>
      </c>
      <c r="L254" s="14" t="b">
        <f>TRUE</f>
        <v>1</v>
      </c>
      <c r="M254" s="14" t="b">
        <f>(LCI_Table[[#This Row],[Dev Notes]]="Do not display")</f>
        <v>0</v>
      </c>
      <c r="N254" s="14" t="b">
        <f>AND(LCI_Table[[#This Row],[Show Feedstock]:[Conditional]],NOT(LCI_Table[[#This Row],[Hide Row]]))</f>
        <v>0</v>
      </c>
      <c r="O254" s="14" t="b">
        <f>LCI_Table[[#This Row],[GREET1 Name Range]]=""</f>
        <v>0</v>
      </c>
      <c r="P254" s="14" t="s">
        <v>14</v>
      </c>
      <c r="Q254" s="14" t="s">
        <v>848</v>
      </c>
      <c r="R254" s="14" t="s">
        <v>356</v>
      </c>
      <c r="S254" s="37" cm="1">
        <f t="array" aca="1" ref="S2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0.99950933611942439</v>
      </c>
      <c r="T254" s="346" t="s">
        <v>1485</v>
      </c>
      <c r="U254" s="347">
        <f ca="1">S254/S249*lb2g</f>
        <v>16.076943567643134</v>
      </c>
      <c r="V254" s="347">
        <v>0.99950933611942439</v>
      </c>
      <c r="W254" s="347">
        <v>16.076943567643134</v>
      </c>
      <c r="X254" s="37" t="s">
        <v>12</v>
      </c>
      <c r="Y254" s="346" t="s">
        <v>413</v>
      </c>
      <c r="Z254" s="14" t="str">
        <f>IF(ISBLANK(LCI_Table[[#This Row],[Notes for user]])," ",LCI_Table[[#This Row],[Notes for user]])</f>
        <v xml:space="preserve"> </v>
      </c>
      <c r="AA254" s="14"/>
      <c r="AB254" s="14"/>
      <c r="AC254" s="346">
        <f ca="1">LCI_Table[[#This Row],[Default Calculated Value]]-LCI_Table[[#This Row],[Calculated Value]]</f>
        <v>0</v>
      </c>
    </row>
    <row r="255" spans="1:29" x14ac:dyDescent="0.3">
      <c r="A2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WillowFTGREETGREET(blank)_Willow_Farming_InsecticideInsecticide</v>
      </c>
      <c r="B255" s="14" t="s">
        <v>131</v>
      </c>
      <c r="C255" s="14" t="s">
        <v>129</v>
      </c>
      <c r="D255" s="14" t="s">
        <v>29</v>
      </c>
      <c r="E255" s="48" t="s">
        <v>29</v>
      </c>
      <c r="F255" s="14" t="s">
        <v>31</v>
      </c>
      <c r="G255" s="14" t="b">
        <f>OR(LCI_Table[[#This Row],[Feedstock]]="All",LCI_Table[[#This Row],[Feedstock]]=SelectedFeedstock)</f>
        <v>0</v>
      </c>
      <c r="H255" s="14" t="b">
        <f>OR(LCI_Table[[#This Row],[Conversion]]="All",LCI_Table[[#This Row],[Conversion]]=SelectedConversion)</f>
        <v>0</v>
      </c>
      <c r="I255" s="14" t="b">
        <f>OR(LCI_Table[[#This Row],[Data Set]]="all",LCI_Table[[#This Row],[Data Set]]=SelectedDataSet)</f>
        <v>1</v>
      </c>
      <c r="J255" s="14" t="b">
        <f>OR(LCI_Table[[#This Row],[Technology]]="All",LCI_Table[[#This Row],[Technology]]=SelectedTechnology)</f>
        <v>1</v>
      </c>
      <c r="K255" s="14" t="b">
        <f>OR(LCI_Table[[#This Row],[Data Source]]="All",LCI_Table[[#This Row],[Data Source]]=SelectedDataSource)</f>
        <v>1</v>
      </c>
      <c r="L255" s="14" t="b">
        <f>TRUE</f>
        <v>1</v>
      </c>
      <c r="M255" s="14" t="b">
        <f>(LCI_Table[[#This Row],[Dev Notes]]="Do not display")</f>
        <v>0</v>
      </c>
      <c r="N255" s="14" t="b">
        <f>AND(LCI_Table[[#This Row],[Show Feedstock]:[Conditional]],NOT(LCI_Table[[#This Row],[Hide Row]]))</f>
        <v>0</v>
      </c>
      <c r="O255" s="14" t="b">
        <f>LCI_Table[[#This Row],[GREET1 Name Range]]=""</f>
        <v>0</v>
      </c>
      <c r="P255" s="14" t="s">
        <v>14</v>
      </c>
      <c r="Q255" s="14" t="s">
        <v>849</v>
      </c>
      <c r="R255" s="14" t="s">
        <v>114</v>
      </c>
      <c r="S255" s="37" cm="1">
        <f t="array" aca="1" ref="S2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5" s="346" t="s">
        <v>1485</v>
      </c>
      <c r="U255" s="347">
        <f ca="1">S255/S249*lb2g</f>
        <v>0</v>
      </c>
      <c r="V255" s="347">
        <v>0</v>
      </c>
      <c r="W255" s="347">
        <v>0</v>
      </c>
      <c r="X255" s="37" t="s">
        <v>12</v>
      </c>
      <c r="Y255" s="346" t="s">
        <v>413</v>
      </c>
      <c r="Z255" s="14" t="str">
        <f>IF(ISBLANK(LCI_Table[[#This Row],[Notes for user]])," ",LCI_Table[[#This Row],[Notes for user]])</f>
        <v xml:space="preserve"> </v>
      </c>
      <c r="AA255" s="14"/>
      <c r="AB255" s="14"/>
      <c r="AC255" s="346">
        <f ca="1">LCI_Table[[#This Row],[Default Calculated Value]]-LCI_Table[[#This Row],[Calculated Value]]</f>
        <v>0</v>
      </c>
    </row>
    <row r="256" spans="1:29" x14ac:dyDescent="0.3">
      <c r="A2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WillowFTGREETGREET(blank)_Willow_Farming_Residual_oilResidual oil</v>
      </c>
      <c r="B256" s="14" t="s">
        <v>131</v>
      </c>
      <c r="C256" s="14" t="s">
        <v>129</v>
      </c>
      <c r="D256" s="14" t="s">
        <v>29</v>
      </c>
      <c r="E256" s="48" t="s">
        <v>29</v>
      </c>
      <c r="F256" s="14" t="s">
        <v>31</v>
      </c>
      <c r="G256" s="14" t="b">
        <f>OR(LCI_Table[[#This Row],[Feedstock]]="All",LCI_Table[[#This Row],[Feedstock]]=SelectedFeedstock)</f>
        <v>0</v>
      </c>
      <c r="H256" s="14" t="b">
        <f>OR(LCI_Table[[#This Row],[Conversion]]="All",LCI_Table[[#This Row],[Conversion]]=SelectedConversion)</f>
        <v>0</v>
      </c>
      <c r="I256" s="14" t="b">
        <f>OR(LCI_Table[[#This Row],[Data Set]]="all",LCI_Table[[#This Row],[Data Set]]=SelectedDataSet)</f>
        <v>1</v>
      </c>
      <c r="J256" s="14" t="b">
        <f>OR(LCI_Table[[#This Row],[Technology]]="All",LCI_Table[[#This Row],[Technology]]=SelectedTechnology)</f>
        <v>1</v>
      </c>
      <c r="K256" s="14" t="b">
        <f>OR(LCI_Table[[#This Row],[Data Source]]="All",LCI_Table[[#This Row],[Data Source]]=SelectedDataSource)</f>
        <v>1</v>
      </c>
      <c r="L256" s="14" t="b">
        <f>TRUE</f>
        <v>1</v>
      </c>
      <c r="M256" s="14" t="b">
        <f>(LCI_Table[[#This Row],[Dev Notes]]="Do not display")</f>
        <v>0</v>
      </c>
      <c r="N256" s="14" t="b">
        <f>AND(LCI_Table[[#This Row],[Show Feedstock]:[Conditional]],NOT(LCI_Table[[#This Row],[Hide Row]]))</f>
        <v>0</v>
      </c>
      <c r="O256" s="14" t="b">
        <f>LCI_Table[[#This Row],[GREET1 Name Range]]=""</f>
        <v>0</v>
      </c>
      <c r="P256" s="14" t="s">
        <v>14</v>
      </c>
      <c r="Q256" s="14" t="s">
        <v>855</v>
      </c>
      <c r="R256" s="14" t="s">
        <v>115</v>
      </c>
      <c r="S256" s="37" cm="1">
        <f t="array" aca="1" ref="S2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6" s="346" t="s">
        <v>1484</v>
      </c>
      <c r="U256" s="347">
        <f ca="1">S256*Fuel_Specs!$B$28/S249</f>
        <v>0</v>
      </c>
      <c r="V256" s="347">
        <v>0</v>
      </c>
      <c r="W256" s="347">
        <v>0</v>
      </c>
      <c r="X256" s="37" t="s">
        <v>5</v>
      </c>
      <c r="Y256" s="346" t="s">
        <v>413</v>
      </c>
      <c r="Z256" s="14" t="str">
        <f>IF(ISBLANK(LCI_Table[[#This Row],[Notes for user]])," ",LCI_Table[[#This Row],[Notes for user]])</f>
        <v xml:space="preserve"> </v>
      </c>
      <c r="AA256" s="14"/>
      <c r="AB256" s="14"/>
      <c r="AC256" s="346">
        <f ca="1">LCI_Table[[#This Row],[Default Calculated Value]]-LCI_Table[[#This Row],[Calculated Value]]</f>
        <v>0</v>
      </c>
    </row>
    <row r="257" spans="1:29" x14ac:dyDescent="0.3">
      <c r="A2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WillowFTGREETGREET(blank)_Willow_Farming_DieselDiesel</v>
      </c>
      <c r="B257" s="14" t="s">
        <v>131</v>
      </c>
      <c r="C257" s="14" t="s">
        <v>129</v>
      </c>
      <c r="D257" s="14" t="s">
        <v>29</v>
      </c>
      <c r="E257" s="48" t="s">
        <v>29</v>
      </c>
      <c r="F257" s="14" t="s">
        <v>31</v>
      </c>
      <c r="G257" s="14" t="b">
        <f>OR(LCI_Table[[#This Row],[Feedstock]]="All",LCI_Table[[#This Row],[Feedstock]]=SelectedFeedstock)</f>
        <v>0</v>
      </c>
      <c r="H257" s="14" t="b">
        <f>OR(LCI_Table[[#This Row],[Conversion]]="All",LCI_Table[[#This Row],[Conversion]]=SelectedConversion)</f>
        <v>0</v>
      </c>
      <c r="I257" s="14" t="b">
        <f>OR(LCI_Table[[#This Row],[Data Set]]="all",LCI_Table[[#This Row],[Data Set]]=SelectedDataSet)</f>
        <v>1</v>
      </c>
      <c r="J257" s="14" t="b">
        <f>OR(LCI_Table[[#This Row],[Technology]]="All",LCI_Table[[#This Row],[Technology]]=SelectedTechnology)</f>
        <v>1</v>
      </c>
      <c r="K257" s="14" t="b">
        <f>OR(LCI_Table[[#This Row],[Data Source]]="All",LCI_Table[[#This Row],[Data Source]]=SelectedDataSource)</f>
        <v>1</v>
      </c>
      <c r="L257" s="14" t="b">
        <f>TRUE</f>
        <v>1</v>
      </c>
      <c r="M257" s="14" t="b">
        <f>(LCI_Table[[#This Row],[Dev Notes]]="Do not display")</f>
        <v>0</v>
      </c>
      <c r="N257" s="14" t="b">
        <f>AND(LCI_Table[[#This Row],[Show Feedstock]:[Conditional]],NOT(LCI_Table[[#This Row],[Hide Row]]))</f>
        <v>0</v>
      </c>
      <c r="O257" s="14" t="b">
        <f>LCI_Table[[#This Row],[GREET1 Name Range]]=""</f>
        <v>0</v>
      </c>
      <c r="P257" s="14" t="s">
        <v>14</v>
      </c>
      <c r="Q257" s="14" t="s">
        <v>844</v>
      </c>
      <c r="R257" s="14" t="s">
        <v>106</v>
      </c>
      <c r="S257" s="37" cm="1">
        <f t="array" aca="1" ref="S2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40.615060616502412</v>
      </c>
      <c r="T257" s="346" t="s">
        <v>1484</v>
      </c>
      <c r="U257" s="347">
        <f ca="1">S257*Fuel_Specs!$B$19/S249</f>
        <v>185000.16085779201</v>
      </c>
      <c r="V257" s="347">
        <v>40.615060616502412</v>
      </c>
      <c r="W257" s="347">
        <v>185000.16085779201</v>
      </c>
      <c r="X257" s="37" t="s">
        <v>5</v>
      </c>
      <c r="Y257" s="346" t="s">
        <v>413</v>
      </c>
      <c r="Z257" s="14" t="str">
        <f>IF(ISBLANK(LCI_Table[[#This Row],[Notes for user]])," ",LCI_Table[[#This Row],[Notes for user]])</f>
        <v xml:space="preserve"> </v>
      </c>
      <c r="AA257" s="14"/>
      <c r="AB257" s="14"/>
      <c r="AC257" s="346">
        <f ca="1">LCI_Table[[#This Row],[Default Calculated Value]]-LCI_Table[[#This Row],[Calculated Value]]</f>
        <v>0</v>
      </c>
    </row>
    <row r="258" spans="1:29" x14ac:dyDescent="0.3">
      <c r="A2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WillowFTGREETGREET(blank)_Willow_Farming_GasolineGasoline</v>
      </c>
      <c r="B258" s="14" t="s">
        <v>131</v>
      </c>
      <c r="C258" s="14" t="s">
        <v>129</v>
      </c>
      <c r="D258" s="14" t="s">
        <v>29</v>
      </c>
      <c r="E258" s="48" t="s">
        <v>29</v>
      </c>
      <c r="F258" s="14" t="s">
        <v>31</v>
      </c>
      <c r="G258" s="14" t="b">
        <f>OR(LCI_Table[[#This Row],[Feedstock]]="All",LCI_Table[[#This Row],[Feedstock]]=SelectedFeedstock)</f>
        <v>0</v>
      </c>
      <c r="H258" s="14" t="b">
        <f>OR(LCI_Table[[#This Row],[Conversion]]="All",LCI_Table[[#This Row],[Conversion]]=SelectedConversion)</f>
        <v>0</v>
      </c>
      <c r="I258" s="14" t="b">
        <f>OR(LCI_Table[[#This Row],[Data Set]]="all",LCI_Table[[#This Row],[Data Set]]=SelectedDataSet)</f>
        <v>1</v>
      </c>
      <c r="J258" s="14" t="b">
        <f>OR(LCI_Table[[#This Row],[Technology]]="All",LCI_Table[[#This Row],[Technology]]=SelectedTechnology)</f>
        <v>1</v>
      </c>
      <c r="K258" s="14" t="b">
        <f>OR(LCI_Table[[#This Row],[Data Source]]="All",LCI_Table[[#This Row],[Data Source]]=SelectedDataSource)</f>
        <v>1</v>
      </c>
      <c r="L258" s="14" t="b">
        <f>TRUE</f>
        <v>1</v>
      </c>
      <c r="M258" s="14" t="b">
        <f>(LCI_Table[[#This Row],[Dev Notes]]="Do not display")</f>
        <v>0</v>
      </c>
      <c r="N258" s="14" t="b">
        <f>AND(LCI_Table[[#This Row],[Show Feedstock]:[Conditional]],NOT(LCI_Table[[#This Row],[Hide Row]]))</f>
        <v>0</v>
      </c>
      <c r="O258" s="14" t="b">
        <f>LCI_Table[[#This Row],[GREET1 Name Range]]=""</f>
        <v>0</v>
      </c>
      <c r="P258" s="14" t="s">
        <v>14</v>
      </c>
      <c r="Q258" s="14" t="s">
        <v>847</v>
      </c>
      <c r="R258" s="14" t="s">
        <v>107</v>
      </c>
      <c r="S258" s="37" cm="1">
        <f t="array" aca="1" ref="S2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8" s="346" t="s">
        <v>1484</v>
      </c>
      <c r="U258" s="347">
        <f ca="1">S258*Fuel_Specs!$B$15/S249</f>
        <v>0</v>
      </c>
      <c r="V258" s="347">
        <v>0</v>
      </c>
      <c r="W258" s="347">
        <v>0</v>
      </c>
      <c r="X258" s="37" t="s">
        <v>5</v>
      </c>
      <c r="Y258" s="346" t="s">
        <v>413</v>
      </c>
      <c r="Z258" s="14" t="str">
        <f>IF(ISBLANK(LCI_Table[[#This Row],[Notes for user]])," ",LCI_Table[[#This Row],[Notes for user]])</f>
        <v xml:space="preserve"> </v>
      </c>
      <c r="AA258" s="14"/>
      <c r="AB258" s="14"/>
      <c r="AC258" s="346">
        <f ca="1">LCI_Table[[#This Row],[Default Calculated Value]]-LCI_Table[[#This Row],[Calculated Value]]</f>
        <v>0</v>
      </c>
    </row>
    <row r="259" spans="1:29" x14ac:dyDescent="0.3">
      <c r="A2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WillowFTGREETGREET(blank)_Willow_Farming_Natural_gasNatural gas</v>
      </c>
      <c r="B259" s="14" t="s">
        <v>131</v>
      </c>
      <c r="C259" s="14" t="s">
        <v>129</v>
      </c>
      <c r="D259" s="14" t="s">
        <v>29</v>
      </c>
      <c r="E259" s="48" t="s">
        <v>29</v>
      </c>
      <c r="F259" s="14" t="s">
        <v>31</v>
      </c>
      <c r="G259" s="14" t="b">
        <f>OR(LCI_Table[[#This Row],[Feedstock]]="All",LCI_Table[[#This Row],[Feedstock]]=SelectedFeedstock)</f>
        <v>0</v>
      </c>
      <c r="H259" s="14" t="b">
        <f>OR(LCI_Table[[#This Row],[Conversion]]="All",LCI_Table[[#This Row],[Conversion]]=SelectedConversion)</f>
        <v>0</v>
      </c>
      <c r="I259" s="14" t="b">
        <f>OR(LCI_Table[[#This Row],[Data Set]]="all",LCI_Table[[#This Row],[Data Set]]=SelectedDataSet)</f>
        <v>1</v>
      </c>
      <c r="J259" s="14" t="b">
        <f>OR(LCI_Table[[#This Row],[Technology]]="All",LCI_Table[[#This Row],[Technology]]=SelectedTechnology)</f>
        <v>1</v>
      </c>
      <c r="K259" s="14" t="b">
        <f>OR(LCI_Table[[#This Row],[Data Source]]="All",LCI_Table[[#This Row],[Data Source]]=SelectedDataSource)</f>
        <v>1</v>
      </c>
      <c r="L259" s="14" t="b">
        <f>TRUE</f>
        <v>1</v>
      </c>
      <c r="M259" s="14" t="b">
        <f>(LCI_Table[[#This Row],[Dev Notes]]="Do not display")</f>
        <v>0</v>
      </c>
      <c r="N259" s="14" t="b">
        <f>AND(LCI_Table[[#This Row],[Show Feedstock]:[Conditional]],NOT(LCI_Table[[#This Row],[Hide Row]]))</f>
        <v>0</v>
      </c>
      <c r="O259" s="14" t="b">
        <f>LCI_Table[[#This Row],[GREET1 Name Range]]=""</f>
        <v>0</v>
      </c>
      <c r="P259" s="14" t="s">
        <v>14</v>
      </c>
      <c r="Q259" s="14" t="s">
        <v>852</v>
      </c>
      <c r="R259" s="14" t="s">
        <v>108</v>
      </c>
      <c r="S259" s="37" cm="1">
        <f t="array" aca="1" ref="S2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9" s="346" t="s">
        <v>2109</v>
      </c>
      <c r="U259" s="347">
        <f ca="1">S259*Fuel_Specs!$B$79/S249</f>
        <v>0</v>
      </c>
      <c r="V259" s="347">
        <v>0</v>
      </c>
      <c r="W259" s="347">
        <v>0</v>
      </c>
      <c r="X259" s="37" t="s">
        <v>351</v>
      </c>
      <c r="Y259" s="346" t="s">
        <v>413</v>
      </c>
      <c r="Z259" s="14" t="str">
        <f>IF(ISBLANK(LCI_Table[[#This Row],[Notes for user]])," ",LCI_Table[[#This Row],[Notes for user]])</f>
        <v xml:space="preserve"> </v>
      </c>
      <c r="AA259" s="14"/>
      <c r="AB259" s="14"/>
      <c r="AC259" s="346">
        <f ca="1">LCI_Table[[#This Row],[Default Calculated Value]]-LCI_Table[[#This Row],[Calculated Value]]</f>
        <v>0</v>
      </c>
    </row>
    <row r="260" spans="1:29" x14ac:dyDescent="0.3">
      <c r="A2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WillowFTGREETGREET(blank)_Willow_Farming_CoalCoal</v>
      </c>
      <c r="B260" s="14" t="s">
        <v>131</v>
      </c>
      <c r="C260" s="14" t="s">
        <v>129</v>
      </c>
      <c r="D260" s="14" t="s">
        <v>29</v>
      </c>
      <c r="E260" s="48" t="s">
        <v>29</v>
      </c>
      <c r="F260" s="14" t="s">
        <v>31</v>
      </c>
      <c r="G260" s="14" t="b">
        <f>OR(LCI_Table[[#This Row],[Feedstock]]="All",LCI_Table[[#This Row],[Feedstock]]=SelectedFeedstock)</f>
        <v>0</v>
      </c>
      <c r="H260" s="14" t="b">
        <f>OR(LCI_Table[[#This Row],[Conversion]]="All",LCI_Table[[#This Row],[Conversion]]=SelectedConversion)</f>
        <v>0</v>
      </c>
      <c r="I260" s="14" t="b">
        <f>OR(LCI_Table[[#This Row],[Data Set]]="all",LCI_Table[[#This Row],[Data Set]]=SelectedDataSet)</f>
        <v>1</v>
      </c>
      <c r="J260" s="14" t="b">
        <f>OR(LCI_Table[[#This Row],[Technology]]="All",LCI_Table[[#This Row],[Technology]]=SelectedTechnology)</f>
        <v>1</v>
      </c>
      <c r="K260" s="14" t="b">
        <f>OR(LCI_Table[[#This Row],[Data Source]]="All",LCI_Table[[#This Row],[Data Source]]=SelectedDataSource)</f>
        <v>1</v>
      </c>
      <c r="L260" s="14" t="b">
        <f>TRUE</f>
        <v>1</v>
      </c>
      <c r="M260" s="14" t="b">
        <f>(LCI_Table[[#This Row],[Dev Notes]]="Do not display")</f>
        <v>0</v>
      </c>
      <c r="N260" s="14" t="b">
        <f>AND(LCI_Table[[#This Row],[Show Feedstock]:[Conditional]],NOT(LCI_Table[[#This Row],[Hide Row]]))</f>
        <v>0</v>
      </c>
      <c r="O260" s="14" t="b">
        <f>LCI_Table[[#This Row],[GREET1 Name Range]]=""</f>
        <v>0</v>
      </c>
      <c r="P260" s="14" t="s">
        <v>14</v>
      </c>
      <c r="Q260" s="14" t="s">
        <v>843</v>
      </c>
      <c r="R260" s="14" t="s">
        <v>9</v>
      </c>
      <c r="S260" s="37" cm="1">
        <f t="array" aca="1" ref="S2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0" s="346" t="s">
        <v>2110</v>
      </c>
      <c r="U260" s="347">
        <f ca="1">S260/S249</f>
        <v>0</v>
      </c>
      <c r="V260" s="347">
        <v>0</v>
      </c>
      <c r="W260" s="347">
        <v>0</v>
      </c>
      <c r="X260" s="37" t="s">
        <v>117</v>
      </c>
      <c r="Y260" s="346" t="s">
        <v>413</v>
      </c>
      <c r="Z260" s="14" t="str">
        <f>IF(ISBLANK(LCI_Table[[#This Row],[Notes for user]])," ",LCI_Table[[#This Row],[Notes for user]])</f>
        <v xml:space="preserve"> </v>
      </c>
      <c r="AA260" s="14"/>
      <c r="AB260" s="14"/>
      <c r="AC260" s="346">
        <f ca="1">LCI_Table[[#This Row],[Default Calculated Value]]-LCI_Table[[#This Row],[Calculated Value]]</f>
        <v>0</v>
      </c>
    </row>
    <row r="261" spans="1:29" x14ac:dyDescent="0.3">
      <c r="A2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WillowFTGREETGREET(blank)_Willow_Farming_LPGLPG</v>
      </c>
      <c r="B261" s="14" t="s">
        <v>131</v>
      </c>
      <c r="C261" s="14" t="s">
        <v>129</v>
      </c>
      <c r="D261" s="14" t="s">
        <v>29</v>
      </c>
      <c r="E261" s="48" t="s">
        <v>29</v>
      </c>
      <c r="F261" s="14" t="s">
        <v>31</v>
      </c>
      <c r="G261" s="14" t="b">
        <f>OR(LCI_Table[[#This Row],[Feedstock]]="All",LCI_Table[[#This Row],[Feedstock]]=SelectedFeedstock)</f>
        <v>0</v>
      </c>
      <c r="H261" s="14" t="b">
        <f>OR(LCI_Table[[#This Row],[Conversion]]="All",LCI_Table[[#This Row],[Conversion]]=SelectedConversion)</f>
        <v>0</v>
      </c>
      <c r="I261" s="14" t="b">
        <f>OR(LCI_Table[[#This Row],[Data Set]]="all",LCI_Table[[#This Row],[Data Set]]=SelectedDataSet)</f>
        <v>1</v>
      </c>
      <c r="J261" s="14" t="b">
        <f>OR(LCI_Table[[#This Row],[Technology]]="All",LCI_Table[[#This Row],[Technology]]=SelectedTechnology)</f>
        <v>1</v>
      </c>
      <c r="K261" s="14" t="b">
        <f>OR(LCI_Table[[#This Row],[Data Source]]="All",LCI_Table[[#This Row],[Data Source]]=SelectedDataSource)</f>
        <v>1</v>
      </c>
      <c r="L261" s="14" t="b">
        <f>TRUE</f>
        <v>1</v>
      </c>
      <c r="M261" s="14" t="b">
        <f>(LCI_Table[[#This Row],[Dev Notes]]="Do not display")</f>
        <v>0</v>
      </c>
      <c r="N261" s="14" t="b">
        <f>AND(LCI_Table[[#This Row],[Show Feedstock]:[Conditional]],NOT(LCI_Table[[#This Row],[Hide Row]]))</f>
        <v>0</v>
      </c>
      <c r="O261" s="14" t="b">
        <f>LCI_Table[[#This Row],[GREET1 Name Range]]=""</f>
        <v>0</v>
      </c>
      <c r="P261" s="14" t="s">
        <v>14</v>
      </c>
      <c r="Q261" s="14" t="s">
        <v>851</v>
      </c>
      <c r="R261" s="14" t="s">
        <v>109</v>
      </c>
      <c r="S261" s="37" cm="1">
        <f t="array" aca="1" ref="S2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1" s="346" t="s">
        <v>1484</v>
      </c>
      <c r="U261" s="347">
        <f ca="1">S261*Fuel_Specs!$B$35/S249</f>
        <v>0</v>
      </c>
      <c r="V261" s="347">
        <v>0</v>
      </c>
      <c r="W261" s="347">
        <v>0</v>
      </c>
      <c r="X261" s="37" t="s">
        <v>5</v>
      </c>
      <c r="Y261" s="346" t="s">
        <v>413</v>
      </c>
      <c r="Z261" s="14" t="str">
        <f>IF(ISBLANK(LCI_Table[[#This Row],[Notes for user]])," ",LCI_Table[[#This Row],[Notes for user]])</f>
        <v xml:space="preserve"> </v>
      </c>
      <c r="AA261" s="14"/>
      <c r="AB261" s="14"/>
      <c r="AC261" s="346">
        <f ca="1">LCI_Table[[#This Row],[Default Calculated Value]]-LCI_Table[[#This Row],[Calculated Value]]</f>
        <v>0</v>
      </c>
    </row>
    <row r="262" spans="1:29" x14ac:dyDescent="0.3">
      <c r="A2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WillowFTGREETGREET(blank)_Willow_Farming_Forest_residueForest residue</v>
      </c>
      <c r="B262" s="14" t="s">
        <v>131</v>
      </c>
      <c r="C262" s="14" t="s">
        <v>129</v>
      </c>
      <c r="D262" s="14" t="s">
        <v>29</v>
      </c>
      <c r="E262" s="48" t="s">
        <v>29</v>
      </c>
      <c r="F262" s="14" t="s">
        <v>31</v>
      </c>
      <c r="G262" s="14" t="b">
        <f>OR(LCI_Table[[#This Row],[Feedstock]]="All",LCI_Table[[#This Row],[Feedstock]]=SelectedFeedstock)</f>
        <v>0</v>
      </c>
      <c r="H262" s="14" t="b">
        <f>OR(LCI_Table[[#This Row],[Conversion]]="All",LCI_Table[[#This Row],[Conversion]]=SelectedConversion)</f>
        <v>0</v>
      </c>
      <c r="I262" s="14" t="b">
        <f>OR(LCI_Table[[#This Row],[Data Set]]="all",LCI_Table[[#This Row],[Data Set]]=SelectedDataSet)</f>
        <v>1</v>
      </c>
      <c r="J262" s="14" t="b">
        <f>OR(LCI_Table[[#This Row],[Technology]]="All",LCI_Table[[#This Row],[Technology]]=SelectedTechnology)</f>
        <v>1</v>
      </c>
      <c r="K262" s="14" t="b">
        <f>OR(LCI_Table[[#This Row],[Data Source]]="All",LCI_Table[[#This Row],[Data Source]]=SelectedDataSource)</f>
        <v>1</v>
      </c>
      <c r="L262" s="14" t="b">
        <f>TRUE</f>
        <v>1</v>
      </c>
      <c r="M262" s="14" t="b">
        <f>(LCI_Table[[#This Row],[Dev Notes]]="Do not display")</f>
        <v>0</v>
      </c>
      <c r="N262" s="14" t="b">
        <f>AND(LCI_Table[[#This Row],[Show Feedstock]:[Conditional]],NOT(LCI_Table[[#This Row],[Hide Row]]))</f>
        <v>0</v>
      </c>
      <c r="O262" s="14" t="b">
        <f>LCI_Table[[#This Row],[GREET1 Name Range]]=""</f>
        <v>0</v>
      </c>
      <c r="P262" s="14" t="s">
        <v>14</v>
      </c>
      <c r="Q262" s="14" t="s">
        <v>846</v>
      </c>
      <c r="R262" s="14" t="s">
        <v>316</v>
      </c>
      <c r="S262" s="37" cm="1">
        <f t="array" aca="1" ref="S2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2" s="346" t="s">
        <v>1485</v>
      </c>
      <c r="U262" s="347">
        <f ca="1">S262*Fuel_Specs!$B$100*ton2lb/S249</f>
        <v>0</v>
      </c>
      <c r="V262" s="347">
        <v>0</v>
      </c>
      <c r="W262" s="347">
        <v>0</v>
      </c>
      <c r="X262" s="37" t="s">
        <v>12</v>
      </c>
      <c r="Y262" s="346" t="s">
        <v>413</v>
      </c>
      <c r="Z262" s="14" t="str">
        <f>IF(ISBLANK(LCI_Table[[#This Row],[Notes for user]])," ",LCI_Table[[#This Row],[Notes for user]])</f>
        <v xml:space="preserve"> </v>
      </c>
      <c r="AA262" s="14"/>
      <c r="AB262" s="14"/>
      <c r="AC262" s="346">
        <f ca="1">LCI_Table[[#This Row],[Default Calculated Value]]-LCI_Table[[#This Row],[Calculated Value]]</f>
        <v>0</v>
      </c>
    </row>
    <row r="263" spans="1:29" x14ac:dyDescent="0.3">
      <c r="A2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WillowFTGREETGREET(blank)_Willow_Farming_ElectricityElectricity</v>
      </c>
      <c r="B263" s="14" t="s">
        <v>131</v>
      </c>
      <c r="C263" s="14" t="s">
        <v>129</v>
      </c>
      <c r="D263" s="14" t="s">
        <v>29</v>
      </c>
      <c r="E263" s="48" t="s">
        <v>29</v>
      </c>
      <c r="F263" s="14" t="s">
        <v>31</v>
      </c>
      <c r="G263" s="14" t="b">
        <f>OR(LCI_Table[[#This Row],[Feedstock]]="All",LCI_Table[[#This Row],[Feedstock]]=SelectedFeedstock)</f>
        <v>0</v>
      </c>
      <c r="H263" s="14" t="b">
        <f>OR(LCI_Table[[#This Row],[Conversion]]="All",LCI_Table[[#This Row],[Conversion]]=SelectedConversion)</f>
        <v>0</v>
      </c>
      <c r="I263" s="14" t="b">
        <f>OR(LCI_Table[[#This Row],[Data Set]]="all",LCI_Table[[#This Row],[Data Set]]=SelectedDataSet)</f>
        <v>1</v>
      </c>
      <c r="J263" s="14" t="b">
        <f>OR(LCI_Table[[#This Row],[Technology]]="All",LCI_Table[[#This Row],[Technology]]=SelectedTechnology)</f>
        <v>1</v>
      </c>
      <c r="K263" s="14" t="b">
        <f>OR(LCI_Table[[#This Row],[Data Source]]="All",LCI_Table[[#This Row],[Data Source]]=SelectedDataSource)</f>
        <v>1</v>
      </c>
      <c r="L263" s="14" t="b">
        <f>TRUE</f>
        <v>1</v>
      </c>
      <c r="M263" s="14" t="b">
        <f>(LCI_Table[[#This Row],[Dev Notes]]="Do not display")</f>
        <v>0</v>
      </c>
      <c r="N263" s="14" t="b">
        <f>AND(LCI_Table[[#This Row],[Show Feedstock]:[Conditional]],NOT(LCI_Table[[#This Row],[Hide Row]]))</f>
        <v>0</v>
      </c>
      <c r="O263" s="14" t="b">
        <f>LCI_Table[[#This Row],[GREET1 Name Range]]=""</f>
        <v>0</v>
      </c>
      <c r="P263" s="14" t="s">
        <v>14</v>
      </c>
      <c r="Q263" s="14" t="s">
        <v>845</v>
      </c>
      <c r="R263" s="14" t="s">
        <v>110</v>
      </c>
      <c r="S263" s="37" cm="1">
        <f t="array" aca="1" ref="S2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3.4361703143240527</v>
      </c>
      <c r="T263" s="346" t="s">
        <v>1561</v>
      </c>
      <c r="U263" s="347">
        <f ca="1">S263/BTU2kWh/S249</f>
        <v>415.76949706167198</v>
      </c>
      <c r="V263" s="347">
        <v>3.4361703143240527</v>
      </c>
      <c r="W263" s="347">
        <v>415.76949706167198</v>
      </c>
      <c r="X263" s="37" t="s">
        <v>51</v>
      </c>
      <c r="Y263" s="346" t="s">
        <v>413</v>
      </c>
      <c r="Z263" s="14" t="str">
        <f>IF(ISBLANK(LCI_Table[[#This Row],[Notes for user]])," ",LCI_Table[[#This Row],[Notes for user]])</f>
        <v xml:space="preserve"> </v>
      </c>
      <c r="AA263" s="14"/>
      <c r="AB263" s="14"/>
      <c r="AC263" s="346">
        <f ca="1">LCI_Table[[#This Row],[Default Calculated Value]]-LCI_Table[[#This Row],[Calculated Value]]</f>
        <v>0</v>
      </c>
    </row>
    <row r="264" spans="1:29" x14ac:dyDescent="0.3">
      <c r="A2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WillowFTGREETGREET(blank)_Willow_FT_efficiencyWillow</v>
      </c>
      <c r="B264" s="14" t="s">
        <v>131</v>
      </c>
      <c r="C264" s="14" t="s">
        <v>129</v>
      </c>
      <c r="D264" s="14" t="s">
        <v>29</v>
      </c>
      <c r="E264" s="48" t="s">
        <v>29</v>
      </c>
      <c r="F264" s="14" t="s">
        <v>31</v>
      </c>
      <c r="G264" s="14" t="b">
        <f>OR(LCI_Table[[#This Row],[Feedstock]]="All",LCI_Table[[#This Row],[Feedstock]]=SelectedFeedstock)</f>
        <v>0</v>
      </c>
      <c r="H264" s="14" t="b">
        <f>OR(LCI_Table[[#This Row],[Conversion]]="All",LCI_Table[[#This Row],[Conversion]]=SelectedConversion)</f>
        <v>0</v>
      </c>
      <c r="I264" s="14" t="b">
        <f>OR(LCI_Table[[#This Row],[Data Set]]="all",LCI_Table[[#This Row],[Data Set]]=SelectedDataSet)</f>
        <v>1</v>
      </c>
      <c r="J264" s="14" t="b">
        <f>OR(LCI_Table[[#This Row],[Technology]]="All",LCI_Table[[#This Row],[Technology]]=SelectedTechnology)</f>
        <v>1</v>
      </c>
      <c r="K264" s="14" t="b">
        <f>OR(LCI_Table[[#This Row],[Data Source]]="All",LCI_Table[[#This Row],[Data Source]]=SelectedDataSource)</f>
        <v>1</v>
      </c>
      <c r="L264" s="14" t="b">
        <f>TRUE</f>
        <v>1</v>
      </c>
      <c r="M264" s="14" t="b">
        <f>(LCI_Table[[#This Row],[Dev Notes]]="Do not display")</f>
        <v>0</v>
      </c>
      <c r="N264" s="14" t="b">
        <f>AND(LCI_Table[[#This Row],[Show Feedstock]:[Conditional]],NOT(LCI_Table[[#This Row],[Hide Row]]))</f>
        <v>0</v>
      </c>
      <c r="O264" s="14" t="b">
        <f>LCI_Table[[#This Row],[GREET1 Name Range]]=""</f>
        <v>0</v>
      </c>
      <c r="P264" s="14" t="s">
        <v>1448</v>
      </c>
      <c r="Q264" s="14" t="s">
        <v>939</v>
      </c>
      <c r="R264" s="14" t="s">
        <v>131</v>
      </c>
      <c r="S264" s="37" cm="1">
        <f t="array" aca="1" ref="S2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0.12990387113535984</v>
      </c>
      <c r="T264" s="346" t="s">
        <v>2125</v>
      </c>
      <c r="U264" s="347">
        <f ca="1">1/(S264*Fuel_Specs!$B$95*BTU2mmBTU)</f>
        <v>0.5</v>
      </c>
      <c r="V264" s="347">
        <v>0.12990387113535984</v>
      </c>
      <c r="W264" s="347">
        <v>0.5</v>
      </c>
      <c r="X264" s="37" t="s">
        <v>55</v>
      </c>
      <c r="Y264" s="346" t="s">
        <v>416</v>
      </c>
      <c r="Z264" s="14" t="str">
        <f>IF(ISBLANK(LCI_Table[[#This Row],[Notes for user]])," ",LCI_Table[[#This Row],[Notes for user]])</f>
        <v xml:space="preserve"> </v>
      </c>
      <c r="AA264" s="14"/>
      <c r="AB264" s="14"/>
      <c r="AC264" s="346">
        <f ca="1">LCI_Table[[#This Row],[Default Calculated Value]]-LCI_Table[[#This Row],[Calculated Value]]</f>
        <v>0</v>
      </c>
    </row>
    <row r="265" spans="1:29" x14ac:dyDescent="0.3">
      <c r="A2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dash_PoplarFTGREETGREET(blank)_Yield_Farming</v>
      </c>
      <c r="B265" s="48" t="s">
        <v>132</v>
      </c>
      <c r="C265" s="48" t="s">
        <v>129</v>
      </c>
      <c r="D265" s="48" t="s">
        <v>29</v>
      </c>
      <c r="E265" s="48" t="s">
        <v>29</v>
      </c>
      <c r="F265" s="48" t="s">
        <v>31</v>
      </c>
      <c r="G265" s="14" t="b">
        <f>OR(LCI_Table[[#This Row],[Feedstock]]="All",LCI_Table[[#This Row],[Feedstock]]=SelectedFeedstock)</f>
        <v>0</v>
      </c>
      <c r="H265" s="14" t="b">
        <f>OR(LCI_Table[[#This Row],[Conversion]]="All",LCI_Table[[#This Row],[Conversion]]=SelectedConversion)</f>
        <v>0</v>
      </c>
      <c r="I265" s="14" t="b">
        <f>OR(LCI_Table[[#This Row],[Data Set]]="all",LCI_Table[[#This Row],[Data Set]]=SelectedDataSet)</f>
        <v>1</v>
      </c>
      <c r="J265" s="14" t="b">
        <f>OR(LCI_Table[[#This Row],[Technology]]="All",LCI_Table[[#This Row],[Technology]]=SelectedTechnology)</f>
        <v>1</v>
      </c>
      <c r="K265" s="14" t="b">
        <f>OR(LCI_Table[[#This Row],[Data Source]]="All",LCI_Table[[#This Row],[Data Source]]=SelectedDataSource)</f>
        <v>1</v>
      </c>
      <c r="L265" s="14" t="b">
        <f>TRUE</f>
        <v>1</v>
      </c>
      <c r="M265" s="14" t="b">
        <f>(LCI_Table[[#This Row],[Dev Notes]]="Do not display")</f>
        <v>0</v>
      </c>
      <c r="N265" s="14" t="b">
        <f>AND(LCI_Table[[#This Row],[Show Feedstock]:[Conditional]],NOT(LCI_Table[[#This Row],[Hide Row]]))</f>
        <v>0</v>
      </c>
      <c r="O265" s="14" t="b">
        <f>LCI_Table[[#This Row],[GREET1 Name Range]]=""</f>
        <v>1</v>
      </c>
      <c r="P265" s="48" t="s">
        <v>14</v>
      </c>
      <c r="Q265" s="14" t="s">
        <v>361</v>
      </c>
      <c r="R265" s="48" t="s">
        <v>200</v>
      </c>
      <c r="S265" s="37" cm="1">
        <f t="array" aca="1" ref="S2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42.9</v>
      </c>
      <c r="T265" s="346" t="s">
        <v>2116</v>
      </c>
      <c r="U265" s="344"/>
      <c r="V265" s="344">
        <v>42.9</v>
      </c>
      <c r="W265" s="344"/>
      <c r="X265" s="48" t="s">
        <v>55</v>
      </c>
      <c r="Y265" s="346" t="s">
        <v>413</v>
      </c>
      <c r="Z265" s="14" t="str">
        <f>IF(ISBLANK(LCI_Table[[#This Row],[Notes for user]])," ",LCI_Table[[#This Row],[Notes for user]])</f>
        <v xml:space="preserve"> </v>
      </c>
      <c r="AA265" s="48"/>
      <c r="AB265" s="345"/>
      <c r="AC265" s="346">
        <f>LCI_Table[[#This Row],[Default Calculated Value]]-LCI_Table[[#This Row],[Calculated Value]]</f>
        <v>0</v>
      </c>
    </row>
    <row r="266" spans="1:29" x14ac:dyDescent="0.3">
      <c r="A2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PoplarFTGREETGREET(blank)_Poplar_Farming_Nitrogen_fertilizerNitrogen fertilizer</v>
      </c>
      <c r="B266" s="14" t="s">
        <v>132</v>
      </c>
      <c r="C266" s="14" t="s">
        <v>129</v>
      </c>
      <c r="D266" s="14" t="s">
        <v>29</v>
      </c>
      <c r="E266" s="48" t="s">
        <v>29</v>
      </c>
      <c r="F266" s="14" t="s">
        <v>31</v>
      </c>
      <c r="G266" s="14" t="b">
        <f>OR(LCI_Table[[#This Row],[Feedstock]]="All",LCI_Table[[#This Row],[Feedstock]]=SelectedFeedstock)</f>
        <v>0</v>
      </c>
      <c r="H266" s="14" t="b">
        <f>OR(LCI_Table[[#This Row],[Conversion]]="All",LCI_Table[[#This Row],[Conversion]]=SelectedConversion)</f>
        <v>0</v>
      </c>
      <c r="I266" s="14" t="b">
        <f>OR(LCI_Table[[#This Row],[Data Set]]="all",LCI_Table[[#This Row],[Data Set]]=SelectedDataSet)</f>
        <v>1</v>
      </c>
      <c r="J266" s="14" t="b">
        <f>OR(LCI_Table[[#This Row],[Technology]]="All",LCI_Table[[#This Row],[Technology]]=SelectedTechnology)</f>
        <v>1</v>
      </c>
      <c r="K266" s="14" t="b">
        <f>OR(LCI_Table[[#This Row],[Data Source]]="All",LCI_Table[[#This Row],[Data Source]]=SelectedDataSource)</f>
        <v>1</v>
      </c>
      <c r="L266" s="14" t="b">
        <f>TRUE</f>
        <v>1</v>
      </c>
      <c r="M266" s="14" t="b">
        <f>(LCI_Table[[#This Row],[Dev Notes]]="Do not display")</f>
        <v>0</v>
      </c>
      <c r="N266" s="14" t="b">
        <f>AND(LCI_Table[[#This Row],[Show Feedstock]:[Conditional]],NOT(LCI_Table[[#This Row],[Hide Row]]))</f>
        <v>0</v>
      </c>
      <c r="O266" s="14" t="b">
        <f>LCI_Table[[#This Row],[GREET1 Name Range]]=""</f>
        <v>0</v>
      </c>
      <c r="P266" s="14" t="s">
        <v>14</v>
      </c>
      <c r="Q266" s="14" t="s">
        <v>776</v>
      </c>
      <c r="R266" s="14" t="s">
        <v>111</v>
      </c>
      <c r="S266" s="37" cm="1">
        <f t="array" aca="1" ref="S2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186.27525835114722</v>
      </c>
      <c r="T266" s="346" t="s">
        <v>1485</v>
      </c>
      <c r="U266" s="347">
        <f ca="1">S266/S265*lb2g</f>
        <v>1969.5346365468338</v>
      </c>
      <c r="V266" s="347">
        <v>186.27525835114722</v>
      </c>
      <c r="W266" s="347">
        <v>1969.5346365468338</v>
      </c>
      <c r="X266" s="37" t="s">
        <v>12</v>
      </c>
      <c r="Y266" s="346" t="s">
        <v>413</v>
      </c>
      <c r="Z266" s="14" t="str">
        <f>IF(ISBLANK(LCI_Table[[#This Row],[Notes for user]])," ",LCI_Table[[#This Row],[Notes for user]])</f>
        <v xml:space="preserve"> </v>
      </c>
      <c r="AA266" s="14"/>
      <c r="AB266" s="14"/>
      <c r="AC266" s="346">
        <f ca="1">LCI_Table[[#This Row],[Default Calculated Value]]-LCI_Table[[#This Row],[Calculated Value]]</f>
        <v>0</v>
      </c>
    </row>
    <row r="267" spans="1:29" x14ac:dyDescent="0.3">
      <c r="A2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PoplarFTGREETGREET(blank)_Poplar_Farming_P2O5P2O5</v>
      </c>
      <c r="B267" s="14" t="s">
        <v>132</v>
      </c>
      <c r="C267" s="14" t="s">
        <v>129</v>
      </c>
      <c r="D267" s="14" t="s">
        <v>29</v>
      </c>
      <c r="E267" s="48" t="s">
        <v>29</v>
      </c>
      <c r="F267" s="14" t="s">
        <v>31</v>
      </c>
      <c r="G267" s="14" t="b">
        <f>OR(LCI_Table[[#This Row],[Feedstock]]="All",LCI_Table[[#This Row],[Feedstock]]=SelectedFeedstock)</f>
        <v>0</v>
      </c>
      <c r="H267" s="14" t="b">
        <f>OR(LCI_Table[[#This Row],[Conversion]]="All",LCI_Table[[#This Row],[Conversion]]=SelectedConversion)</f>
        <v>0</v>
      </c>
      <c r="I267" s="14" t="b">
        <f>OR(LCI_Table[[#This Row],[Data Set]]="all",LCI_Table[[#This Row],[Data Set]]=SelectedDataSet)</f>
        <v>1</v>
      </c>
      <c r="J267" s="14" t="b">
        <f>OR(LCI_Table[[#This Row],[Technology]]="All",LCI_Table[[#This Row],[Technology]]=SelectedTechnology)</f>
        <v>1</v>
      </c>
      <c r="K267" s="14" t="b">
        <f>OR(LCI_Table[[#This Row],[Data Source]]="All",LCI_Table[[#This Row],[Data Source]]=SelectedDataSource)</f>
        <v>1</v>
      </c>
      <c r="L267" s="14" t="b">
        <f>TRUE</f>
        <v>1</v>
      </c>
      <c r="M267" s="14" t="b">
        <f>(LCI_Table[[#This Row],[Dev Notes]]="Do not display")</f>
        <v>0</v>
      </c>
      <c r="N267" s="14" t="b">
        <f>AND(LCI_Table[[#This Row],[Show Feedstock]:[Conditional]],NOT(LCI_Table[[#This Row],[Hide Row]]))</f>
        <v>0</v>
      </c>
      <c r="O267" s="14" t="b">
        <f>LCI_Table[[#This Row],[GREET1 Name Range]]=""</f>
        <v>0</v>
      </c>
      <c r="P267" s="14" t="s">
        <v>14</v>
      </c>
      <c r="Q267" s="14" t="s">
        <v>777</v>
      </c>
      <c r="R267" s="14" t="s">
        <v>112</v>
      </c>
      <c r="S267" s="37" cm="1">
        <f t="array" aca="1" ref="S2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55.895441662900694</v>
      </c>
      <c r="T267" s="346" t="s">
        <v>1485</v>
      </c>
      <c r="U267" s="347">
        <f ca="1">S267/S265*lb2g</f>
        <v>590.99640690144224</v>
      </c>
      <c r="V267" s="347">
        <v>55.895441662900694</v>
      </c>
      <c r="W267" s="347">
        <v>590.99640690144224</v>
      </c>
      <c r="X267" s="37" t="s">
        <v>12</v>
      </c>
      <c r="Y267" s="346" t="s">
        <v>413</v>
      </c>
      <c r="Z267" s="14" t="str">
        <f>IF(ISBLANK(LCI_Table[[#This Row],[Notes for user]])," ",LCI_Table[[#This Row],[Notes for user]])</f>
        <v xml:space="preserve"> </v>
      </c>
      <c r="AA267" s="14"/>
      <c r="AB267" s="14"/>
      <c r="AC267" s="346">
        <f ca="1">LCI_Table[[#This Row],[Default Calculated Value]]-LCI_Table[[#This Row],[Calculated Value]]</f>
        <v>0</v>
      </c>
    </row>
    <row r="268" spans="1:29" x14ac:dyDescent="0.3">
      <c r="A2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PoplarFTGREETGREET(blank)_Poplar_Farming_K2OK2O</v>
      </c>
      <c r="B268" s="14" t="s">
        <v>132</v>
      </c>
      <c r="C268" s="14" t="s">
        <v>129</v>
      </c>
      <c r="D268" s="14" t="s">
        <v>29</v>
      </c>
      <c r="E268" s="48" t="s">
        <v>29</v>
      </c>
      <c r="F268" s="14" t="s">
        <v>31</v>
      </c>
      <c r="G268" s="14" t="b">
        <f>OR(LCI_Table[[#This Row],[Feedstock]]="All",LCI_Table[[#This Row],[Feedstock]]=SelectedFeedstock)</f>
        <v>0</v>
      </c>
      <c r="H268" s="14" t="b">
        <f>OR(LCI_Table[[#This Row],[Conversion]]="All",LCI_Table[[#This Row],[Conversion]]=SelectedConversion)</f>
        <v>0</v>
      </c>
      <c r="I268" s="14" t="b">
        <f>OR(LCI_Table[[#This Row],[Data Set]]="all",LCI_Table[[#This Row],[Data Set]]=SelectedDataSet)</f>
        <v>1</v>
      </c>
      <c r="J268" s="14" t="b">
        <f>OR(LCI_Table[[#This Row],[Technology]]="All",LCI_Table[[#This Row],[Technology]]=SelectedTechnology)</f>
        <v>1</v>
      </c>
      <c r="K268" s="14" t="b">
        <f>OR(LCI_Table[[#This Row],[Data Source]]="All",LCI_Table[[#This Row],[Data Source]]=SelectedDataSource)</f>
        <v>1</v>
      </c>
      <c r="L268" s="14" t="b">
        <f>TRUE</f>
        <v>1</v>
      </c>
      <c r="M268" s="14" t="b">
        <f>(LCI_Table[[#This Row],[Dev Notes]]="Do not display")</f>
        <v>0</v>
      </c>
      <c r="N268" s="14" t="b">
        <f>AND(LCI_Table[[#This Row],[Show Feedstock]:[Conditional]],NOT(LCI_Table[[#This Row],[Hide Row]]))</f>
        <v>0</v>
      </c>
      <c r="O268" s="14" t="b">
        <f>LCI_Table[[#This Row],[GREET1 Name Range]]=""</f>
        <v>0</v>
      </c>
      <c r="P268" s="14" t="s">
        <v>14</v>
      </c>
      <c r="Q268" s="14" t="s">
        <v>773</v>
      </c>
      <c r="R268" s="14" t="s">
        <v>113</v>
      </c>
      <c r="S268" s="37" cm="1">
        <f t="array" aca="1" ref="S2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49.414799490679876</v>
      </c>
      <c r="T268" s="346" t="s">
        <v>1485</v>
      </c>
      <c r="U268" s="347">
        <f ca="1">S268/S265*lb2g</f>
        <v>522.47496536252402</v>
      </c>
      <c r="V268" s="347">
        <v>49.414799490679876</v>
      </c>
      <c r="W268" s="347">
        <v>522.47496536252402</v>
      </c>
      <c r="X268" s="37" t="s">
        <v>12</v>
      </c>
      <c r="Y268" s="346" t="s">
        <v>413</v>
      </c>
      <c r="Z268" s="14" t="str">
        <f>IF(ISBLANK(LCI_Table[[#This Row],[Notes for user]])," ",LCI_Table[[#This Row],[Notes for user]])</f>
        <v xml:space="preserve"> </v>
      </c>
      <c r="AA268" s="14"/>
      <c r="AB268" s="14"/>
      <c r="AC268" s="346">
        <f ca="1">LCI_Table[[#This Row],[Default Calculated Value]]-LCI_Table[[#This Row],[Calculated Value]]</f>
        <v>0</v>
      </c>
    </row>
    <row r="269" spans="1:29" x14ac:dyDescent="0.3">
      <c r="A2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PoplarFTGREETGREET(blank)_Poplar_Farming_CaCO3CaCO3</v>
      </c>
      <c r="B269" s="14" t="s">
        <v>132</v>
      </c>
      <c r="C269" s="14" t="s">
        <v>129</v>
      </c>
      <c r="D269" s="14" t="s">
        <v>29</v>
      </c>
      <c r="E269" s="48" t="s">
        <v>29</v>
      </c>
      <c r="F269" s="14" t="s">
        <v>31</v>
      </c>
      <c r="G269" s="14" t="b">
        <f>OR(LCI_Table[[#This Row],[Feedstock]]="All",LCI_Table[[#This Row],[Feedstock]]=SelectedFeedstock)</f>
        <v>0</v>
      </c>
      <c r="H269" s="14" t="b">
        <f>OR(LCI_Table[[#This Row],[Conversion]]="All",LCI_Table[[#This Row],[Conversion]]=SelectedConversion)</f>
        <v>0</v>
      </c>
      <c r="I269" s="14" t="b">
        <f>OR(LCI_Table[[#This Row],[Data Set]]="all",LCI_Table[[#This Row],[Data Set]]=SelectedDataSet)</f>
        <v>1</v>
      </c>
      <c r="J269" s="14" t="b">
        <f>OR(LCI_Table[[#This Row],[Technology]]="All",LCI_Table[[#This Row],[Technology]]=SelectedTechnology)</f>
        <v>1</v>
      </c>
      <c r="K269" s="14" t="b">
        <f>OR(LCI_Table[[#This Row],[Data Source]]="All",LCI_Table[[#This Row],[Data Source]]=SelectedDataSource)</f>
        <v>1</v>
      </c>
      <c r="L269" s="14" t="b">
        <f>TRUE</f>
        <v>1</v>
      </c>
      <c r="M269" s="14" t="b">
        <f>(LCI_Table[[#This Row],[Dev Notes]]="Do not display")</f>
        <v>0</v>
      </c>
      <c r="N269" s="14" t="b">
        <f>AND(LCI_Table[[#This Row],[Show Feedstock]:[Conditional]],NOT(LCI_Table[[#This Row],[Hide Row]]))</f>
        <v>0</v>
      </c>
      <c r="O269" s="14" t="b">
        <f>LCI_Table[[#This Row],[GREET1 Name Range]]=""</f>
        <v>0</v>
      </c>
      <c r="P269" s="14" t="s">
        <v>14</v>
      </c>
      <c r="Q269" s="14" t="s">
        <v>766</v>
      </c>
      <c r="R269" s="14" t="s">
        <v>141</v>
      </c>
      <c r="S269" s="37" cm="1">
        <f t="array" aca="1" ref="S2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2197.7257847655173</v>
      </c>
      <c r="T269" s="346" t="s">
        <v>1485</v>
      </c>
      <c r="U269" s="347">
        <f ca="1">S269/S265*lb2g</f>
        <v>23237.101336174848</v>
      </c>
      <c r="V269" s="347">
        <v>2197.7257847655173</v>
      </c>
      <c r="W269" s="347">
        <v>23237.101336174848</v>
      </c>
      <c r="X269" s="37" t="s">
        <v>12</v>
      </c>
      <c r="Y269" s="346" t="s">
        <v>413</v>
      </c>
      <c r="Z269" s="14" t="str">
        <f>IF(ISBLANK(LCI_Table[[#This Row],[Notes for user]])," ",LCI_Table[[#This Row],[Notes for user]])</f>
        <v xml:space="preserve"> </v>
      </c>
      <c r="AA269" s="14"/>
      <c r="AB269" s="14"/>
      <c r="AC269" s="346">
        <f ca="1">LCI_Table[[#This Row],[Default Calculated Value]]-LCI_Table[[#This Row],[Calculated Value]]</f>
        <v>0</v>
      </c>
    </row>
    <row r="270" spans="1:29" x14ac:dyDescent="0.3">
      <c r="A2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PoplarFTGREETGREET(blank)_Poplar_Farming_HerbicidesHerbicides</v>
      </c>
      <c r="B270" s="14" t="s">
        <v>132</v>
      </c>
      <c r="C270" s="14" t="s">
        <v>129</v>
      </c>
      <c r="D270" s="14" t="s">
        <v>29</v>
      </c>
      <c r="E270" s="48" t="s">
        <v>29</v>
      </c>
      <c r="F270" s="14" t="s">
        <v>31</v>
      </c>
      <c r="G270" s="14" t="b">
        <f>OR(LCI_Table[[#This Row],[Feedstock]]="All",LCI_Table[[#This Row],[Feedstock]]=SelectedFeedstock)</f>
        <v>0</v>
      </c>
      <c r="H270" s="14" t="b">
        <f>OR(LCI_Table[[#This Row],[Conversion]]="All",LCI_Table[[#This Row],[Conversion]]=SelectedConversion)</f>
        <v>0</v>
      </c>
      <c r="I270" s="14" t="b">
        <f>OR(LCI_Table[[#This Row],[Data Set]]="all",LCI_Table[[#This Row],[Data Set]]=SelectedDataSet)</f>
        <v>1</v>
      </c>
      <c r="J270" s="14" t="b">
        <f>OR(LCI_Table[[#This Row],[Technology]]="All",LCI_Table[[#This Row],[Technology]]=SelectedTechnology)</f>
        <v>1</v>
      </c>
      <c r="K270" s="14" t="b">
        <f>OR(LCI_Table[[#This Row],[Data Source]]="All",LCI_Table[[#This Row],[Data Source]]=SelectedDataSource)</f>
        <v>1</v>
      </c>
      <c r="L270" s="14" t="b">
        <f>TRUE</f>
        <v>1</v>
      </c>
      <c r="M270" s="14" t="b">
        <f>(LCI_Table[[#This Row],[Dev Notes]]="Do not display")</f>
        <v>0</v>
      </c>
      <c r="N270" s="14" t="b">
        <f>AND(LCI_Table[[#This Row],[Show Feedstock]:[Conditional]],NOT(LCI_Table[[#This Row],[Hide Row]]))</f>
        <v>0</v>
      </c>
      <c r="O270" s="14" t="b">
        <f>LCI_Table[[#This Row],[GREET1 Name Range]]=""</f>
        <v>0</v>
      </c>
      <c r="P270" s="14" t="s">
        <v>14</v>
      </c>
      <c r="Q270" s="14" t="s">
        <v>771</v>
      </c>
      <c r="R270" s="14" t="s">
        <v>356</v>
      </c>
      <c r="S270" s="37" cm="1">
        <f t="array" aca="1" ref="S2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5.8353457116647274</v>
      </c>
      <c r="T270" s="346" t="s">
        <v>1485</v>
      </c>
      <c r="U270" s="347">
        <f ca="1">S270/S265*lb2g</f>
        <v>61.698561564646631</v>
      </c>
      <c r="V270" s="347">
        <v>5.8353457116647274</v>
      </c>
      <c r="W270" s="347">
        <v>61.698561564646631</v>
      </c>
      <c r="X270" s="37" t="s">
        <v>12</v>
      </c>
      <c r="Y270" s="346" t="s">
        <v>413</v>
      </c>
      <c r="Z270" s="14" t="str">
        <f>IF(ISBLANK(LCI_Table[[#This Row],[Notes for user]])," ",LCI_Table[[#This Row],[Notes for user]])</f>
        <v xml:space="preserve"> </v>
      </c>
      <c r="AA270" s="14"/>
      <c r="AB270" s="14"/>
      <c r="AC270" s="346">
        <f ca="1">LCI_Table[[#This Row],[Default Calculated Value]]-LCI_Table[[#This Row],[Calculated Value]]</f>
        <v>0</v>
      </c>
    </row>
    <row r="271" spans="1:29" x14ac:dyDescent="0.3">
      <c r="A2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PoplarFTGREETGREET(blank)_Poplar_Farming_InsecticideInsecticide</v>
      </c>
      <c r="B271" s="14" t="s">
        <v>132</v>
      </c>
      <c r="C271" s="14" t="s">
        <v>129</v>
      </c>
      <c r="D271" s="14" t="s">
        <v>29</v>
      </c>
      <c r="E271" s="48" t="s">
        <v>29</v>
      </c>
      <c r="F271" s="14" t="s">
        <v>31</v>
      </c>
      <c r="G271" s="14" t="b">
        <f>OR(LCI_Table[[#This Row],[Feedstock]]="All",LCI_Table[[#This Row],[Feedstock]]=SelectedFeedstock)</f>
        <v>0</v>
      </c>
      <c r="H271" s="14" t="b">
        <f>OR(LCI_Table[[#This Row],[Conversion]]="All",LCI_Table[[#This Row],[Conversion]]=SelectedConversion)</f>
        <v>0</v>
      </c>
      <c r="I271" s="14" t="b">
        <f>OR(LCI_Table[[#This Row],[Data Set]]="all",LCI_Table[[#This Row],[Data Set]]=SelectedDataSet)</f>
        <v>1</v>
      </c>
      <c r="J271" s="14" t="b">
        <f>OR(LCI_Table[[#This Row],[Technology]]="All",LCI_Table[[#This Row],[Technology]]=SelectedTechnology)</f>
        <v>1</v>
      </c>
      <c r="K271" s="14" t="b">
        <f>OR(LCI_Table[[#This Row],[Data Source]]="All",LCI_Table[[#This Row],[Data Source]]=SelectedDataSource)</f>
        <v>1</v>
      </c>
      <c r="L271" s="14" t="b">
        <f>TRUE</f>
        <v>1</v>
      </c>
      <c r="M271" s="14" t="b">
        <f>(LCI_Table[[#This Row],[Dev Notes]]="Do not display")</f>
        <v>0</v>
      </c>
      <c r="N271" s="14" t="b">
        <f>AND(LCI_Table[[#This Row],[Show Feedstock]:[Conditional]],NOT(LCI_Table[[#This Row],[Hide Row]]))</f>
        <v>0</v>
      </c>
      <c r="O271" s="14" t="b">
        <f>LCI_Table[[#This Row],[GREET1 Name Range]]=""</f>
        <v>0</v>
      </c>
      <c r="P271" s="14" t="s">
        <v>14</v>
      </c>
      <c r="Q271" s="14" t="s">
        <v>772</v>
      </c>
      <c r="R271" s="14" t="s">
        <v>114</v>
      </c>
      <c r="S271" s="37" cm="1">
        <f t="array" aca="1" ref="S2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1.1124479480821168</v>
      </c>
      <c r="T271" s="346" t="s">
        <v>1485</v>
      </c>
      <c r="U271" s="347">
        <f ca="1">S271/S265*lb2g</f>
        <v>11.762188840843924</v>
      </c>
      <c r="V271" s="347">
        <v>1.1124479480821168</v>
      </c>
      <c r="W271" s="347">
        <v>11.762188840843924</v>
      </c>
      <c r="X271" s="37" t="s">
        <v>12</v>
      </c>
      <c r="Y271" s="346" t="s">
        <v>413</v>
      </c>
      <c r="Z271" s="14" t="str">
        <f>IF(ISBLANK(LCI_Table[[#This Row],[Notes for user]])," ",LCI_Table[[#This Row],[Notes for user]])</f>
        <v xml:space="preserve"> </v>
      </c>
      <c r="AA271" s="14"/>
      <c r="AB271" s="14"/>
      <c r="AC271" s="346">
        <f ca="1">LCI_Table[[#This Row],[Default Calculated Value]]-LCI_Table[[#This Row],[Calculated Value]]</f>
        <v>0</v>
      </c>
    </row>
    <row r="272" spans="1:29" x14ac:dyDescent="0.3">
      <c r="A2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PoplarFTGREETGREET(blank)_Poplar_Farming_Residual_oilResidual oil</v>
      </c>
      <c r="B272" s="14" t="s">
        <v>132</v>
      </c>
      <c r="C272" s="14" t="s">
        <v>129</v>
      </c>
      <c r="D272" s="14" t="s">
        <v>29</v>
      </c>
      <c r="E272" s="48" t="s">
        <v>29</v>
      </c>
      <c r="F272" s="14" t="s">
        <v>31</v>
      </c>
      <c r="G272" s="14" t="b">
        <f>OR(LCI_Table[[#This Row],[Feedstock]]="All",LCI_Table[[#This Row],[Feedstock]]=SelectedFeedstock)</f>
        <v>0</v>
      </c>
      <c r="H272" s="14" t="b">
        <f>OR(LCI_Table[[#This Row],[Conversion]]="All",LCI_Table[[#This Row],[Conversion]]=SelectedConversion)</f>
        <v>0</v>
      </c>
      <c r="I272" s="14" t="b">
        <f>OR(LCI_Table[[#This Row],[Data Set]]="all",LCI_Table[[#This Row],[Data Set]]=SelectedDataSet)</f>
        <v>1</v>
      </c>
      <c r="J272" s="14" t="b">
        <f>OR(LCI_Table[[#This Row],[Technology]]="All",LCI_Table[[#This Row],[Technology]]=SelectedTechnology)</f>
        <v>1</v>
      </c>
      <c r="K272" s="14" t="b">
        <f>OR(LCI_Table[[#This Row],[Data Source]]="All",LCI_Table[[#This Row],[Data Source]]=SelectedDataSource)</f>
        <v>1</v>
      </c>
      <c r="L272" s="14" t="b">
        <f>TRUE</f>
        <v>1</v>
      </c>
      <c r="M272" s="14" t="b">
        <f>(LCI_Table[[#This Row],[Dev Notes]]="Do not display")</f>
        <v>0</v>
      </c>
      <c r="N272" s="14" t="b">
        <f>AND(LCI_Table[[#This Row],[Show Feedstock]:[Conditional]],NOT(LCI_Table[[#This Row],[Hide Row]]))</f>
        <v>0</v>
      </c>
      <c r="O272" s="14" t="b">
        <f>LCI_Table[[#This Row],[GREET1 Name Range]]=""</f>
        <v>0</v>
      </c>
      <c r="P272" s="14" t="s">
        <v>14</v>
      </c>
      <c r="Q272" s="14" t="s">
        <v>778</v>
      </c>
      <c r="R272" s="14" t="s">
        <v>115</v>
      </c>
      <c r="S272" s="37" cm="1">
        <f t="array" aca="1" ref="S2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2" s="346" t="s">
        <v>1484</v>
      </c>
      <c r="U272" s="347">
        <f ca="1">S272*Fuel_Specs!$B$28/S265</f>
        <v>0</v>
      </c>
      <c r="V272" s="347">
        <v>0</v>
      </c>
      <c r="W272" s="347">
        <v>0</v>
      </c>
      <c r="X272" s="37" t="s">
        <v>5</v>
      </c>
      <c r="Y272" s="346" t="s">
        <v>413</v>
      </c>
      <c r="Z272" s="14" t="str">
        <f>IF(ISBLANK(LCI_Table[[#This Row],[Notes for user]])," ",LCI_Table[[#This Row],[Notes for user]])</f>
        <v xml:space="preserve"> </v>
      </c>
      <c r="AA272" s="14"/>
      <c r="AB272" s="14"/>
      <c r="AC272" s="346">
        <f ca="1">LCI_Table[[#This Row],[Default Calculated Value]]-LCI_Table[[#This Row],[Calculated Value]]</f>
        <v>0</v>
      </c>
    </row>
    <row r="273" spans="1:29" x14ac:dyDescent="0.3">
      <c r="A2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PoplarFTGREETGREET(blank)_Poplar_Farming_DieselDiesel</v>
      </c>
      <c r="B273" s="14" t="s">
        <v>132</v>
      </c>
      <c r="C273" s="14" t="s">
        <v>129</v>
      </c>
      <c r="D273" s="14" t="s">
        <v>29</v>
      </c>
      <c r="E273" s="48" t="s">
        <v>29</v>
      </c>
      <c r="F273" s="14" t="s">
        <v>31</v>
      </c>
      <c r="G273" s="14" t="b">
        <f>OR(LCI_Table[[#This Row],[Feedstock]]="All",LCI_Table[[#This Row],[Feedstock]]=SelectedFeedstock)</f>
        <v>0</v>
      </c>
      <c r="H273" s="14" t="b">
        <f>OR(LCI_Table[[#This Row],[Conversion]]="All",LCI_Table[[#This Row],[Conversion]]=SelectedConversion)</f>
        <v>0</v>
      </c>
      <c r="I273" s="14" t="b">
        <f>OR(LCI_Table[[#This Row],[Data Set]]="all",LCI_Table[[#This Row],[Data Set]]=SelectedDataSet)</f>
        <v>1</v>
      </c>
      <c r="J273" s="14" t="b">
        <f>OR(LCI_Table[[#This Row],[Technology]]="All",LCI_Table[[#This Row],[Technology]]=SelectedTechnology)</f>
        <v>1</v>
      </c>
      <c r="K273" s="14" t="b">
        <f>OR(LCI_Table[[#This Row],[Data Source]]="All",LCI_Table[[#This Row],[Data Source]]=SelectedDataSource)</f>
        <v>1</v>
      </c>
      <c r="L273" s="14" t="b">
        <f>TRUE</f>
        <v>1</v>
      </c>
      <c r="M273" s="14" t="b">
        <f>(LCI_Table[[#This Row],[Dev Notes]]="Do not display")</f>
        <v>0</v>
      </c>
      <c r="N273" s="14" t="b">
        <f>AND(LCI_Table[[#This Row],[Show Feedstock]:[Conditional]],NOT(LCI_Table[[#This Row],[Hide Row]]))</f>
        <v>0</v>
      </c>
      <c r="O273" s="14" t="b">
        <f>LCI_Table[[#This Row],[GREET1 Name Range]]=""</f>
        <v>0</v>
      </c>
      <c r="P273" s="14" t="s">
        <v>14</v>
      </c>
      <c r="Q273" s="14" t="s">
        <v>768</v>
      </c>
      <c r="R273" s="14" t="s">
        <v>106</v>
      </c>
      <c r="S273" s="37" cm="1">
        <f t="array" aca="1" ref="S2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89.706602120382115</v>
      </c>
      <c r="T273" s="346" t="s">
        <v>1484</v>
      </c>
      <c r="U273" s="347">
        <f ca="1">S273*Fuel_Specs!$B$19/S265</f>
        <v>268597.0406145241</v>
      </c>
      <c r="V273" s="347">
        <v>89.706602120382115</v>
      </c>
      <c r="W273" s="347">
        <v>268597.0406145241</v>
      </c>
      <c r="X273" s="37" t="s">
        <v>5</v>
      </c>
      <c r="Y273" s="346" t="s">
        <v>413</v>
      </c>
      <c r="Z273" s="14" t="str">
        <f>IF(ISBLANK(LCI_Table[[#This Row],[Notes for user]])," ",LCI_Table[[#This Row],[Notes for user]])</f>
        <v xml:space="preserve"> </v>
      </c>
      <c r="AA273" s="14"/>
      <c r="AB273" s="14"/>
      <c r="AC273" s="346">
        <f ca="1">LCI_Table[[#This Row],[Default Calculated Value]]-LCI_Table[[#This Row],[Calculated Value]]</f>
        <v>0</v>
      </c>
    </row>
    <row r="274" spans="1:29" x14ac:dyDescent="0.3">
      <c r="A2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PoplarFTGREETGREET(blank)_Poplar_Farming_GasolineGasoline</v>
      </c>
      <c r="B274" s="14" t="s">
        <v>132</v>
      </c>
      <c r="C274" s="14" t="s">
        <v>129</v>
      </c>
      <c r="D274" s="14" t="s">
        <v>29</v>
      </c>
      <c r="E274" s="48" t="s">
        <v>29</v>
      </c>
      <c r="F274" s="14" t="s">
        <v>31</v>
      </c>
      <c r="G274" s="14" t="b">
        <f>OR(LCI_Table[[#This Row],[Feedstock]]="All",LCI_Table[[#This Row],[Feedstock]]=SelectedFeedstock)</f>
        <v>0</v>
      </c>
      <c r="H274" s="14" t="b">
        <f>OR(LCI_Table[[#This Row],[Conversion]]="All",LCI_Table[[#This Row],[Conversion]]=SelectedConversion)</f>
        <v>0</v>
      </c>
      <c r="I274" s="14" t="b">
        <f>OR(LCI_Table[[#This Row],[Data Set]]="all",LCI_Table[[#This Row],[Data Set]]=SelectedDataSet)</f>
        <v>1</v>
      </c>
      <c r="J274" s="14" t="b">
        <f>OR(LCI_Table[[#This Row],[Technology]]="All",LCI_Table[[#This Row],[Technology]]=SelectedTechnology)</f>
        <v>1</v>
      </c>
      <c r="K274" s="14" t="b">
        <f>OR(LCI_Table[[#This Row],[Data Source]]="All",LCI_Table[[#This Row],[Data Source]]=SelectedDataSource)</f>
        <v>1</v>
      </c>
      <c r="L274" s="14" t="b">
        <f>TRUE</f>
        <v>1</v>
      </c>
      <c r="M274" s="14" t="b">
        <f>(LCI_Table[[#This Row],[Dev Notes]]="Do not display")</f>
        <v>0</v>
      </c>
      <c r="N274" s="14" t="b">
        <f>AND(LCI_Table[[#This Row],[Show Feedstock]:[Conditional]],NOT(LCI_Table[[#This Row],[Hide Row]]))</f>
        <v>0</v>
      </c>
      <c r="O274" s="14" t="b">
        <f>LCI_Table[[#This Row],[GREET1 Name Range]]=""</f>
        <v>0</v>
      </c>
      <c r="P274" s="14" t="s">
        <v>14</v>
      </c>
      <c r="Q274" s="14" t="s">
        <v>770</v>
      </c>
      <c r="R274" s="14" t="s">
        <v>107</v>
      </c>
      <c r="S274" s="37" cm="1">
        <f t="array" aca="1" ref="S2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4" s="346" t="s">
        <v>1484</v>
      </c>
      <c r="U274" s="347">
        <f ca="1">S274*Fuel_Specs!$B$15/S265</f>
        <v>0</v>
      </c>
      <c r="V274" s="347">
        <v>0</v>
      </c>
      <c r="W274" s="347">
        <v>0</v>
      </c>
      <c r="X274" s="37" t="s">
        <v>5</v>
      </c>
      <c r="Y274" s="346" t="s">
        <v>413</v>
      </c>
      <c r="Z274" s="14" t="str">
        <f>IF(ISBLANK(LCI_Table[[#This Row],[Notes for user]])," ",LCI_Table[[#This Row],[Notes for user]])</f>
        <v xml:space="preserve"> </v>
      </c>
      <c r="AA274" s="14"/>
      <c r="AB274" s="14"/>
      <c r="AC274" s="346">
        <f ca="1">LCI_Table[[#This Row],[Default Calculated Value]]-LCI_Table[[#This Row],[Calculated Value]]</f>
        <v>0</v>
      </c>
    </row>
    <row r="275" spans="1:29" x14ac:dyDescent="0.3">
      <c r="A2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PoplarFTGREETGREET(blank)_Poplar_Farming_Natural_gasNatural gas</v>
      </c>
      <c r="B275" s="14" t="s">
        <v>132</v>
      </c>
      <c r="C275" s="14" t="s">
        <v>129</v>
      </c>
      <c r="D275" s="14" t="s">
        <v>29</v>
      </c>
      <c r="E275" s="48" t="s">
        <v>29</v>
      </c>
      <c r="F275" s="14" t="s">
        <v>31</v>
      </c>
      <c r="G275" s="14" t="b">
        <f>OR(LCI_Table[[#This Row],[Feedstock]]="All",LCI_Table[[#This Row],[Feedstock]]=SelectedFeedstock)</f>
        <v>0</v>
      </c>
      <c r="H275" s="14" t="b">
        <f>OR(LCI_Table[[#This Row],[Conversion]]="All",LCI_Table[[#This Row],[Conversion]]=SelectedConversion)</f>
        <v>0</v>
      </c>
      <c r="I275" s="14" t="b">
        <f>OR(LCI_Table[[#This Row],[Data Set]]="all",LCI_Table[[#This Row],[Data Set]]=SelectedDataSet)</f>
        <v>1</v>
      </c>
      <c r="J275" s="14" t="b">
        <f>OR(LCI_Table[[#This Row],[Technology]]="All",LCI_Table[[#This Row],[Technology]]=SelectedTechnology)</f>
        <v>1</v>
      </c>
      <c r="K275" s="14" t="b">
        <f>OR(LCI_Table[[#This Row],[Data Source]]="All",LCI_Table[[#This Row],[Data Source]]=SelectedDataSource)</f>
        <v>1</v>
      </c>
      <c r="L275" s="14" t="b">
        <f>TRUE</f>
        <v>1</v>
      </c>
      <c r="M275" s="14" t="b">
        <f>(LCI_Table[[#This Row],[Dev Notes]]="Do not display")</f>
        <v>0</v>
      </c>
      <c r="N275" s="14" t="b">
        <f>AND(LCI_Table[[#This Row],[Show Feedstock]:[Conditional]],NOT(LCI_Table[[#This Row],[Hide Row]]))</f>
        <v>0</v>
      </c>
      <c r="O275" s="14" t="b">
        <f>LCI_Table[[#This Row],[GREET1 Name Range]]=""</f>
        <v>0</v>
      </c>
      <c r="P275" s="14" t="s">
        <v>14</v>
      </c>
      <c r="Q275" s="14" t="s">
        <v>775</v>
      </c>
      <c r="R275" s="14" t="s">
        <v>108</v>
      </c>
      <c r="S275" s="37" cm="1">
        <f t="array" aca="1" ref="S2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5" s="346" t="s">
        <v>2109</v>
      </c>
      <c r="U275" s="347">
        <f ca="1">S275*Fuel_Specs!$B$79/S265</f>
        <v>0</v>
      </c>
      <c r="V275" s="347">
        <v>0</v>
      </c>
      <c r="W275" s="347">
        <v>0</v>
      </c>
      <c r="X275" s="37" t="s">
        <v>351</v>
      </c>
      <c r="Y275" s="346" t="s">
        <v>413</v>
      </c>
      <c r="Z275" s="14" t="str">
        <f>IF(ISBLANK(LCI_Table[[#This Row],[Notes for user]])," ",LCI_Table[[#This Row],[Notes for user]])</f>
        <v xml:space="preserve"> </v>
      </c>
      <c r="AA275" s="14"/>
      <c r="AB275" s="14"/>
      <c r="AC275" s="346">
        <f ca="1">LCI_Table[[#This Row],[Default Calculated Value]]-LCI_Table[[#This Row],[Calculated Value]]</f>
        <v>0</v>
      </c>
    </row>
    <row r="276" spans="1:29" x14ac:dyDescent="0.3">
      <c r="A2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PoplarFTGREETGREET(blank)_Poplar_Farming_CoalCoal</v>
      </c>
      <c r="B276" s="14" t="s">
        <v>132</v>
      </c>
      <c r="C276" s="14" t="s">
        <v>129</v>
      </c>
      <c r="D276" s="14" t="s">
        <v>29</v>
      </c>
      <c r="E276" s="48" t="s">
        <v>29</v>
      </c>
      <c r="F276" s="14" t="s">
        <v>31</v>
      </c>
      <c r="G276" s="14" t="b">
        <f>OR(LCI_Table[[#This Row],[Feedstock]]="All",LCI_Table[[#This Row],[Feedstock]]=SelectedFeedstock)</f>
        <v>0</v>
      </c>
      <c r="H276" s="14" t="b">
        <f>OR(LCI_Table[[#This Row],[Conversion]]="All",LCI_Table[[#This Row],[Conversion]]=SelectedConversion)</f>
        <v>0</v>
      </c>
      <c r="I276" s="14" t="b">
        <f>OR(LCI_Table[[#This Row],[Data Set]]="all",LCI_Table[[#This Row],[Data Set]]=SelectedDataSet)</f>
        <v>1</v>
      </c>
      <c r="J276" s="14" t="b">
        <f>OR(LCI_Table[[#This Row],[Technology]]="All",LCI_Table[[#This Row],[Technology]]=SelectedTechnology)</f>
        <v>1</v>
      </c>
      <c r="K276" s="14" t="b">
        <f>OR(LCI_Table[[#This Row],[Data Source]]="All",LCI_Table[[#This Row],[Data Source]]=SelectedDataSource)</f>
        <v>1</v>
      </c>
      <c r="L276" s="14" t="b">
        <f>TRUE</f>
        <v>1</v>
      </c>
      <c r="M276" s="14" t="b">
        <f>(LCI_Table[[#This Row],[Dev Notes]]="Do not display")</f>
        <v>0</v>
      </c>
      <c r="N276" s="14" t="b">
        <f>AND(LCI_Table[[#This Row],[Show Feedstock]:[Conditional]],NOT(LCI_Table[[#This Row],[Hide Row]]))</f>
        <v>0</v>
      </c>
      <c r="O276" s="14" t="b">
        <f>LCI_Table[[#This Row],[GREET1 Name Range]]=""</f>
        <v>0</v>
      </c>
      <c r="P276" s="14" t="s">
        <v>14</v>
      </c>
      <c r="Q276" s="14" t="s">
        <v>767</v>
      </c>
      <c r="R276" s="14" t="s">
        <v>9</v>
      </c>
      <c r="S276" s="37" cm="1">
        <f t="array" aca="1" ref="S2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6" s="346" t="s">
        <v>2110</v>
      </c>
      <c r="U276" s="347">
        <f ca="1">S276/S265</f>
        <v>0</v>
      </c>
      <c r="V276" s="347">
        <v>0</v>
      </c>
      <c r="W276" s="347">
        <v>0</v>
      </c>
      <c r="X276" s="37" t="s">
        <v>117</v>
      </c>
      <c r="Y276" s="346" t="s">
        <v>413</v>
      </c>
      <c r="Z276" s="14" t="str">
        <f>IF(ISBLANK(LCI_Table[[#This Row],[Notes for user]])," ",LCI_Table[[#This Row],[Notes for user]])</f>
        <v xml:space="preserve"> </v>
      </c>
      <c r="AA276" s="14"/>
      <c r="AB276" s="14"/>
      <c r="AC276" s="346">
        <f ca="1">LCI_Table[[#This Row],[Default Calculated Value]]-LCI_Table[[#This Row],[Calculated Value]]</f>
        <v>0</v>
      </c>
    </row>
    <row r="277" spans="1:29" x14ac:dyDescent="0.3">
      <c r="A2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PoplarFTGREETGREET(blank)_Poplar_Farming_LPGLPG</v>
      </c>
      <c r="B277" s="14" t="s">
        <v>132</v>
      </c>
      <c r="C277" s="14" t="s">
        <v>129</v>
      </c>
      <c r="D277" s="14" t="s">
        <v>29</v>
      </c>
      <c r="E277" s="48" t="s">
        <v>29</v>
      </c>
      <c r="F277" s="14" t="s">
        <v>31</v>
      </c>
      <c r="G277" s="14" t="b">
        <f>OR(LCI_Table[[#This Row],[Feedstock]]="All",LCI_Table[[#This Row],[Feedstock]]=SelectedFeedstock)</f>
        <v>0</v>
      </c>
      <c r="H277" s="14" t="b">
        <f>OR(LCI_Table[[#This Row],[Conversion]]="All",LCI_Table[[#This Row],[Conversion]]=SelectedConversion)</f>
        <v>0</v>
      </c>
      <c r="I277" s="14" t="b">
        <f>OR(LCI_Table[[#This Row],[Data Set]]="all",LCI_Table[[#This Row],[Data Set]]=SelectedDataSet)</f>
        <v>1</v>
      </c>
      <c r="J277" s="14" t="b">
        <f>OR(LCI_Table[[#This Row],[Technology]]="All",LCI_Table[[#This Row],[Technology]]=SelectedTechnology)</f>
        <v>1</v>
      </c>
      <c r="K277" s="14" t="b">
        <f>OR(LCI_Table[[#This Row],[Data Source]]="All",LCI_Table[[#This Row],[Data Source]]=SelectedDataSource)</f>
        <v>1</v>
      </c>
      <c r="L277" s="14" t="b">
        <f>TRUE</f>
        <v>1</v>
      </c>
      <c r="M277" s="14" t="b">
        <f>(LCI_Table[[#This Row],[Dev Notes]]="Do not display")</f>
        <v>0</v>
      </c>
      <c r="N277" s="14" t="b">
        <f>AND(LCI_Table[[#This Row],[Show Feedstock]:[Conditional]],NOT(LCI_Table[[#This Row],[Hide Row]]))</f>
        <v>0</v>
      </c>
      <c r="O277" s="14" t="b">
        <f>LCI_Table[[#This Row],[GREET1 Name Range]]=""</f>
        <v>0</v>
      </c>
      <c r="P277" s="14" t="s">
        <v>14</v>
      </c>
      <c r="Q277" s="14" t="s">
        <v>774</v>
      </c>
      <c r="R277" s="14" t="s">
        <v>109</v>
      </c>
      <c r="S277" s="37" cm="1">
        <f t="array" aca="1" ref="S2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7" s="346" t="s">
        <v>1484</v>
      </c>
      <c r="U277" s="347">
        <f ca="1">S277*Fuel_Specs!$B$35/S265</f>
        <v>0</v>
      </c>
      <c r="V277" s="347">
        <v>0</v>
      </c>
      <c r="W277" s="347">
        <v>0</v>
      </c>
      <c r="X277" s="37" t="s">
        <v>5</v>
      </c>
      <c r="Y277" s="346" t="s">
        <v>413</v>
      </c>
      <c r="Z277" s="14" t="str">
        <f>IF(ISBLANK(LCI_Table[[#This Row],[Notes for user]])," ",LCI_Table[[#This Row],[Notes for user]])</f>
        <v xml:space="preserve"> </v>
      </c>
      <c r="AA277" s="14"/>
      <c r="AB277" s="14"/>
      <c r="AC277" s="346">
        <f ca="1">LCI_Table[[#This Row],[Default Calculated Value]]-LCI_Table[[#This Row],[Calculated Value]]</f>
        <v>0</v>
      </c>
    </row>
    <row r="278" spans="1:29" x14ac:dyDescent="0.3">
      <c r="A2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PoplarFTGREETGREET(blank)_Poplar_Farming_ElectricityElectricity</v>
      </c>
      <c r="B278" s="14" t="s">
        <v>132</v>
      </c>
      <c r="C278" s="14" t="s">
        <v>129</v>
      </c>
      <c r="D278" s="14" t="s">
        <v>29</v>
      </c>
      <c r="E278" s="48" t="s">
        <v>29</v>
      </c>
      <c r="F278" s="14" t="s">
        <v>31</v>
      </c>
      <c r="G278" s="14" t="b">
        <f>OR(LCI_Table[[#This Row],[Feedstock]]="All",LCI_Table[[#This Row],[Feedstock]]=SelectedFeedstock)</f>
        <v>0</v>
      </c>
      <c r="H278" s="14" t="b">
        <f>OR(LCI_Table[[#This Row],[Conversion]]="All",LCI_Table[[#This Row],[Conversion]]=SelectedConversion)</f>
        <v>0</v>
      </c>
      <c r="I278" s="14" t="b">
        <f>OR(LCI_Table[[#This Row],[Data Set]]="all",LCI_Table[[#This Row],[Data Set]]=SelectedDataSet)</f>
        <v>1</v>
      </c>
      <c r="J278" s="14" t="b">
        <f>OR(LCI_Table[[#This Row],[Technology]]="All",LCI_Table[[#This Row],[Technology]]=SelectedTechnology)</f>
        <v>1</v>
      </c>
      <c r="K278" s="14" t="b">
        <f>OR(LCI_Table[[#This Row],[Data Source]]="All",LCI_Table[[#This Row],[Data Source]]=SelectedDataSource)</f>
        <v>1</v>
      </c>
      <c r="L278" s="14" t="b">
        <f>TRUE</f>
        <v>1</v>
      </c>
      <c r="M278" s="14" t="b">
        <f>(LCI_Table[[#This Row],[Dev Notes]]="Do not display")</f>
        <v>0</v>
      </c>
      <c r="N278" s="14" t="b">
        <f>AND(LCI_Table[[#This Row],[Show Feedstock]:[Conditional]],NOT(LCI_Table[[#This Row],[Hide Row]]))</f>
        <v>0</v>
      </c>
      <c r="O278" s="14" t="b">
        <f>LCI_Table[[#This Row],[GREET1 Name Range]]=""</f>
        <v>0</v>
      </c>
      <c r="P278" s="14" t="s">
        <v>14</v>
      </c>
      <c r="Q278" s="14" t="s">
        <v>769</v>
      </c>
      <c r="R278" s="14" t="s">
        <v>110</v>
      </c>
      <c r="S278" s="37" cm="1">
        <f t="array" aca="1" ref="S2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8" s="346" t="s">
        <v>1561</v>
      </c>
      <c r="U278" s="347">
        <f ca="1">S278/BTU2kWh/S265</f>
        <v>0</v>
      </c>
      <c r="V278" s="347">
        <v>0</v>
      </c>
      <c r="W278" s="347">
        <v>0</v>
      </c>
      <c r="X278" s="37" t="s">
        <v>51</v>
      </c>
      <c r="Y278" s="346" t="s">
        <v>413</v>
      </c>
      <c r="Z278" s="14" t="str">
        <f>IF(ISBLANK(LCI_Table[[#This Row],[Notes for user]])," ",LCI_Table[[#This Row],[Notes for user]])</f>
        <v xml:space="preserve"> </v>
      </c>
      <c r="AA278" s="14"/>
      <c r="AB278" s="14"/>
      <c r="AC278" s="346">
        <f ca="1">LCI_Table[[#This Row],[Default Calculated Value]]-LCI_Table[[#This Row],[Calculated Value]]</f>
        <v>0</v>
      </c>
    </row>
    <row r="279" spans="1:29" x14ac:dyDescent="0.3">
      <c r="A2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PoplarFTGREETGREET(blank)_Poplar_FT_efficiencyPoplar</v>
      </c>
      <c r="B279" s="14" t="s">
        <v>132</v>
      </c>
      <c r="C279" s="14" t="s">
        <v>129</v>
      </c>
      <c r="D279" s="14" t="s">
        <v>29</v>
      </c>
      <c r="E279" s="48" t="s">
        <v>29</v>
      </c>
      <c r="F279" s="14" t="s">
        <v>31</v>
      </c>
      <c r="G279" s="14" t="b">
        <f>OR(LCI_Table[[#This Row],[Feedstock]]="All",LCI_Table[[#This Row],[Feedstock]]=SelectedFeedstock)</f>
        <v>0</v>
      </c>
      <c r="H279" s="14" t="b">
        <f>OR(LCI_Table[[#This Row],[Conversion]]="All",LCI_Table[[#This Row],[Conversion]]=SelectedConversion)</f>
        <v>0</v>
      </c>
      <c r="I279" s="14" t="b">
        <f>OR(LCI_Table[[#This Row],[Data Set]]="all",LCI_Table[[#This Row],[Data Set]]=SelectedDataSet)</f>
        <v>1</v>
      </c>
      <c r="J279" s="14" t="b">
        <f>OR(LCI_Table[[#This Row],[Technology]]="All",LCI_Table[[#This Row],[Technology]]=SelectedTechnology)</f>
        <v>1</v>
      </c>
      <c r="K279" s="14" t="b">
        <f>OR(LCI_Table[[#This Row],[Data Source]]="All",LCI_Table[[#This Row],[Data Source]]=SelectedDataSource)</f>
        <v>1</v>
      </c>
      <c r="L279" s="14" t="b">
        <f>TRUE</f>
        <v>1</v>
      </c>
      <c r="M279" s="14" t="b">
        <f>(LCI_Table[[#This Row],[Dev Notes]]="Do not display")</f>
        <v>0</v>
      </c>
      <c r="N279" s="14" t="b">
        <f>AND(LCI_Table[[#This Row],[Show Feedstock]:[Conditional]],NOT(LCI_Table[[#This Row],[Hide Row]]))</f>
        <v>0</v>
      </c>
      <c r="O279" s="14" t="b">
        <f>LCI_Table[[#This Row],[GREET1 Name Range]]=""</f>
        <v>0</v>
      </c>
      <c r="P279" s="14" t="s">
        <v>1448</v>
      </c>
      <c r="Q279" s="14" t="s">
        <v>938</v>
      </c>
      <c r="R279" s="14" t="s">
        <v>132</v>
      </c>
      <c r="S279" s="37" cm="1">
        <f t="array" aca="1" ref="S2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0.12555715989704314</v>
      </c>
      <c r="T279" s="346" t="s">
        <v>2125</v>
      </c>
      <c r="U279" s="347">
        <f ca="1">1/(S279*Fuel_Specs!$B$96*BTU2mmBTU)</f>
        <v>0.5</v>
      </c>
      <c r="V279" s="347">
        <v>0.12555715989704314</v>
      </c>
      <c r="W279" s="347">
        <v>0.5</v>
      </c>
      <c r="X279" s="37" t="s">
        <v>55</v>
      </c>
      <c r="Y279" s="346" t="s">
        <v>416</v>
      </c>
      <c r="Z279" s="14" t="str">
        <f>IF(ISBLANK(LCI_Table[[#This Row],[Notes for user]])," ",LCI_Table[[#This Row],[Notes for user]])</f>
        <v xml:space="preserve"> </v>
      </c>
      <c r="AA279" s="14"/>
      <c r="AB279" s="14"/>
      <c r="AC279" s="346">
        <f ca="1">LCI_Table[[#This Row],[Default Calculated Value]]-LCI_Table[[#This Row],[Calculated Value]]</f>
        <v>0</v>
      </c>
    </row>
    <row r="280" spans="1:29" x14ac:dyDescent="0.3">
      <c r="A2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dash_SwitchgrassFTGREETGREET(blank)_Yield_Farming</v>
      </c>
      <c r="B280" s="48" t="s">
        <v>133</v>
      </c>
      <c r="C280" s="48" t="s">
        <v>129</v>
      </c>
      <c r="D280" s="48" t="s">
        <v>29</v>
      </c>
      <c r="E280" s="48" t="s">
        <v>29</v>
      </c>
      <c r="F280" s="48" t="s">
        <v>31</v>
      </c>
      <c r="G280" s="14" t="b">
        <f>OR(LCI_Table[[#This Row],[Feedstock]]="All",LCI_Table[[#This Row],[Feedstock]]=SelectedFeedstock)</f>
        <v>0</v>
      </c>
      <c r="H280" s="14" t="b">
        <f>OR(LCI_Table[[#This Row],[Conversion]]="All",LCI_Table[[#This Row],[Conversion]]=SelectedConversion)</f>
        <v>0</v>
      </c>
      <c r="I280" s="14" t="b">
        <f>OR(LCI_Table[[#This Row],[Data Set]]="all",LCI_Table[[#This Row],[Data Set]]=SelectedDataSet)</f>
        <v>1</v>
      </c>
      <c r="J280" s="14" t="b">
        <f>OR(LCI_Table[[#This Row],[Technology]]="All",LCI_Table[[#This Row],[Technology]]=SelectedTechnology)</f>
        <v>1</v>
      </c>
      <c r="K280" s="14" t="b">
        <f>OR(LCI_Table[[#This Row],[Data Source]]="All",LCI_Table[[#This Row],[Data Source]]=SelectedDataSource)</f>
        <v>1</v>
      </c>
      <c r="L280" s="14" t="b">
        <f>TRUE</f>
        <v>1</v>
      </c>
      <c r="M280" s="14" t="b">
        <f>(LCI_Table[[#This Row],[Dev Notes]]="Do not display")</f>
        <v>0</v>
      </c>
      <c r="N280" s="14" t="b">
        <f>AND(LCI_Table[[#This Row],[Show Feedstock]:[Conditional]],NOT(LCI_Table[[#This Row],[Hide Row]]))</f>
        <v>0</v>
      </c>
      <c r="O280" s="14" t="b">
        <f>LCI_Table[[#This Row],[GREET1 Name Range]]=""</f>
        <v>1</v>
      </c>
      <c r="P280" s="48" t="s">
        <v>14</v>
      </c>
      <c r="Q280" s="14" t="s">
        <v>361</v>
      </c>
      <c r="R280" s="48" t="s">
        <v>200</v>
      </c>
      <c r="S280" s="37" cm="1">
        <f t="array" aca="1" ref="S2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5.8</v>
      </c>
      <c r="T280" s="346" t="s">
        <v>2116</v>
      </c>
      <c r="U280" s="344"/>
      <c r="V280" s="344">
        <v>5.8</v>
      </c>
      <c r="W280" s="344"/>
      <c r="X280" s="48" t="s">
        <v>55</v>
      </c>
      <c r="Y280" s="346" t="s">
        <v>413</v>
      </c>
      <c r="Z280" s="14" t="str">
        <f>IF(ISBLANK(LCI_Table[[#This Row],[Notes for user]])," ",LCI_Table[[#This Row],[Notes for user]])</f>
        <v xml:space="preserve"> </v>
      </c>
      <c r="AA280" s="48"/>
      <c r="AB280" s="345"/>
      <c r="AC280" s="346">
        <f>LCI_Table[[#This Row],[Default Calculated Value]]-LCI_Table[[#This Row],[Calculated Value]]</f>
        <v>0</v>
      </c>
    </row>
    <row r="281" spans="1:29" x14ac:dyDescent="0.3">
      <c r="A2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SwitchgrassFTGREETGREET(blank)_Switchgrass_Farming_Nitrogen_fertilizerNitrogen fertilizer</v>
      </c>
      <c r="B281" s="14" t="s">
        <v>133</v>
      </c>
      <c r="C281" s="14" t="s">
        <v>129</v>
      </c>
      <c r="D281" s="14" t="s">
        <v>29</v>
      </c>
      <c r="E281" s="48" t="s">
        <v>29</v>
      </c>
      <c r="F281" s="14" t="s">
        <v>31</v>
      </c>
      <c r="G281" s="14" t="b">
        <f>OR(LCI_Table[[#This Row],[Feedstock]]="All",LCI_Table[[#This Row],[Feedstock]]=SelectedFeedstock)</f>
        <v>0</v>
      </c>
      <c r="H281" s="14" t="b">
        <f>OR(LCI_Table[[#This Row],[Conversion]]="All",LCI_Table[[#This Row],[Conversion]]=SelectedConversion)</f>
        <v>0</v>
      </c>
      <c r="I281" s="14" t="b">
        <f>OR(LCI_Table[[#This Row],[Data Set]]="all",LCI_Table[[#This Row],[Data Set]]=SelectedDataSet)</f>
        <v>1</v>
      </c>
      <c r="J281" s="14" t="b">
        <f>OR(LCI_Table[[#This Row],[Technology]]="All",LCI_Table[[#This Row],[Technology]]=SelectedTechnology)</f>
        <v>1</v>
      </c>
      <c r="K281" s="14" t="b">
        <f>OR(LCI_Table[[#This Row],[Data Source]]="All",LCI_Table[[#This Row],[Data Source]]=SelectedDataSource)</f>
        <v>1</v>
      </c>
      <c r="L281" s="14" t="b">
        <f>TRUE</f>
        <v>1</v>
      </c>
      <c r="M281" s="14" t="b">
        <f>(LCI_Table[[#This Row],[Dev Notes]]="Do not display")</f>
        <v>0</v>
      </c>
      <c r="N281" s="14" t="b">
        <f>AND(LCI_Table[[#This Row],[Show Feedstock]:[Conditional]],NOT(LCI_Table[[#This Row],[Hide Row]]))</f>
        <v>0</v>
      </c>
      <c r="O281" s="14" t="b">
        <f>LCI_Table[[#This Row],[GREET1 Name Range]]=""</f>
        <v>0</v>
      </c>
      <c r="P281" s="14" t="s">
        <v>14</v>
      </c>
      <c r="Q281" s="14" t="s">
        <v>818</v>
      </c>
      <c r="R281" s="14" t="s">
        <v>111</v>
      </c>
      <c r="S281" s="37" cm="1">
        <f t="array" aca="1" ref="S2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62.365776576701215</v>
      </c>
      <c r="T281" s="346" t="s">
        <v>1485</v>
      </c>
      <c r="U281" s="347">
        <f ca="1">S281/S280*lb2g</f>
        <v>4877.3517938476534</v>
      </c>
      <c r="V281" s="347">
        <v>62.365776576701215</v>
      </c>
      <c r="W281" s="347">
        <v>4877.3517938476534</v>
      </c>
      <c r="X281" s="37" t="s">
        <v>12</v>
      </c>
      <c r="Y281" s="346" t="s">
        <v>413</v>
      </c>
      <c r="Z281" s="14" t="str">
        <f>IF(ISBLANK(LCI_Table[[#This Row],[Notes for user]])," ",LCI_Table[[#This Row],[Notes for user]])</f>
        <v xml:space="preserve"> </v>
      </c>
      <c r="AA281" s="14"/>
      <c r="AB281" s="14"/>
      <c r="AC281" s="346">
        <f ca="1">LCI_Table[[#This Row],[Default Calculated Value]]-LCI_Table[[#This Row],[Calculated Value]]</f>
        <v>0</v>
      </c>
    </row>
    <row r="282" spans="1:29" x14ac:dyDescent="0.3">
      <c r="A2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SwitchgrassFTGREETGREET(blank)_Switchgrass_Farming_P2O5P2O5</v>
      </c>
      <c r="B282" s="14" t="s">
        <v>133</v>
      </c>
      <c r="C282" s="14" t="s">
        <v>129</v>
      </c>
      <c r="D282" s="14" t="s">
        <v>29</v>
      </c>
      <c r="E282" s="48" t="s">
        <v>29</v>
      </c>
      <c r="F282" s="14" t="s">
        <v>31</v>
      </c>
      <c r="G282" s="14" t="b">
        <f>OR(LCI_Table[[#This Row],[Feedstock]]="All",LCI_Table[[#This Row],[Feedstock]]=SelectedFeedstock)</f>
        <v>0</v>
      </c>
      <c r="H282" s="14" t="b">
        <f>OR(LCI_Table[[#This Row],[Conversion]]="All",LCI_Table[[#This Row],[Conversion]]=SelectedConversion)</f>
        <v>0</v>
      </c>
      <c r="I282" s="14" t="b">
        <f>OR(LCI_Table[[#This Row],[Data Set]]="all",LCI_Table[[#This Row],[Data Set]]=SelectedDataSet)</f>
        <v>1</v>
      </c>
      <c r="J282" s="14" t="b">
        <f>OR(LCI_Table[[#This Row],[Technology]]="All",LCI_Table[[#This Row],[Technology]]=SelectedTechnology)</f>
        <v>1</v>
      </c>
      <c r="K282" s="14" t="b">
        <f>OR(LCI_Table[[#This Row],[Data Source]]="All",LCI_Table[[#This Row],[Data Source]]=SelectedDataSource)</f>
        <v>1</v>
      </c>
      <c r="L282" s="14" t="b">
        <f>TRUE</f>
        <v>1</v>
      </c>
      <c r="M282" s="14" t="b">
        <f>(LCI_Table[[#This Row],[Dev Notes]]="Do not display")</f>
        <v>0</v>
      </c>
      <c r="N282" s="14" t="b">
        <f>AND(LCI_Table[[#This Row],[Show Feedstock]:[Conditional]],NOT(LCI_Table[[#This Row],[Hide Row]]))</f>
        <v>0</v>
      </c>
      <c r="O282" s="14" t="b">
        <f>LCI_Table[[#This Row],[GREET1 Name Range]]=""</f>
        <v>0</v>
      </c>
      <c r="P282" s="14" t="s">
        <v>14</v>
      </c>
      <c r="Q282" s="14" t="s">
        <v>819</v>
      </c>
      <c r="R282" s="14" t="s">
        <v>112</v>
      </c>
      <c r="S282" s="37" cm="1">
        <f t="array" aca="1" ref="S2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29.509463992754132</v>
      </c>
      <c r="T282" s="346" t="s">
        <v>1485</v>
      </c>
      <c r="U282" s="347">
        <f ca="1">S282/S280*lb2g</f>
        <v>2307.8047775694845</v>
      </c>
      <c r="V282" s="347">
        <v>29.509463992754132</v>
      </c>
      <c r="W282" s="347">
        <v>2307.8047775694845</v>
      </c>
      <c r="X282" s="37" t="s">
        <v>12</v>
      </c>
      <c r="Y282" s="346" t="s">
        <v>413</v>
      </c>
      <c r="Z282" s="14" t="str">
        <f>IF(ISBLANK(LCI_Table[[#This Row],[Notes for user]])," ",LCI_Table[[#This Row],[Notes for user]])</f>
        <v xml:space="preserve"> </v>
      </c>
      <c r="AA282" s="14"/>
      <c r="AB282" s="14"/>
      <c r="AC282" s="346">
        <f ca="1">LCI_Table[[#This Row],[Default Calculated Value]]-LCI_Table[[#This Row],[Calculated Value]]</f>
        <v>0</v>
      </c>
    </row>
    <row r="283" spans="1:29" x14ac:dyDescent="0.3">
      <c r="A2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SwitchgrassFTGREETGREET(blank)_Switchgrass_Farming_K2OK2O</v>
      </c>
      <c r="B283" s="14" t="s">
        <v>133</v>
      </c>
      <c r="C283" s="14" t="s">
        <v>129</v>
      </c>
      <c r="D283" s="14" t="s">
        <v>29</v>
      </c>
      <c r="E283" s="48" t="s">
        <v>29</v>
      </c>
      <c r="F283" s="14" t="s">
        <v>31</v>
      </c>
      <c r="G283" s="14" t="b">
        <f>OR(LCI_Table[[#This Row],[Feedstock]]="All",LCI_Table[[#This Row],[Feedstock]]=SelectedFeedstock)</f>
        <v>0</v>
      </c>
      <c r="H283" s="14" t="b">
        <f>OR(LCI_Table[[#This Row],[Conversion]]="All",LCI_Table[[#This Row],[Conversion]]=SelectedConversion)</f>
        <v>0</v>
      </c>
      <c r="I283" s="14" t="b">
        <f>OR(LCI_Table[[#This Row],[Data Set]]="all",LCI_Table[[#This Row],[Data Set]]=SelectedDataSet)</f>
        <v>1</v>
      </c>
      <c r="J283" s="14" t="b">
        <f>OR(LCI_Table[[#This Row],[Technology]]="All",LCI_Table[[#This Row],[Technology]]=SelectedTechnology)</f>
        <v>1</v>
      </c>
      <c r="K283" s="14" t="b">
        <f>OR(LCI_Table[[#This Row],[Data Source]]="All",LCI_Table[[#This Row],[Data Source]]=SelectedDataSource)</f>
        <v>1</v>
      </c>
      <c r="L283" s="14" t="b">
        <f>TRUE</f>
        <v>1</v>
      </c>
      <c r="M283" s="14" t="b">
        <f>(LCI_Table[[#This Row],[Dev Notes]]="Do not display")</f>
        <v>0</v>
      </c>
      <c r="N283" s="14" t="b">
        <f>AND(LCI_Table[[#This Row],[Show Feedstock]:[Conditional]],NOT(LCI_Table[[#This Row],[Hide Row]]))</f>
        <v>0</v>
      </c>
      <c r="O283" s="14" t="b">
        <f>LCI_Table[[#This Row],[GREET1 Name Range]]=""</f>
        <v>0</v>
      </c>
      <c r="P283" s="14" t="s">
        <v>14</v>
      </c>
      <c r="Q283" s="14" t="s">
        <v>815</v>
      </c>
      <c r="R283" s="14" t="s">
        <v>113</v>
      </c>
      <c r="S283" s="37" cm="1">
        <f t="array" aca="1" ref="S2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40.923203330302059</v>
      </c>
      <c r="T283" s="346" t="s">
        <v>1485</v>
      </c>
      <c r="U283" s="347">
        <f ca="1">S283/S280*lb2g</f>
        <v>3200.4228942385525</v>
      </c>
      <c r="V283" s="347">
        <v>40.923203330302059</v>
      </c>
      <c r="W283" s="347">
        <v>3200.4228942385525</v>
      </c>
      <c r="X283" s="37" t="s">
        <v>12</v>
      </c>
      <c r="Y283" s="346" t="s">
        <v>413</v>
      </c>
      <c r="Z283" s="14" t="str">
        <f>IF(ISBLANK(LCI_Table[[#This Row],[Notes for user]])," ",LCI_Table[[#This Row],[Notes for user]])</f>
        <v xml:space="preserve"> </v>
      </c>
      <c r="AA283" s="14"/>
      <c r="AB283" s="14"/>
      <c r="AC283" s="346">
        <f ca="1">LCI_Table[[#This Row],[Default Calculated Value]]-LCI_Table[[#This Row],[Calculated Value]]</f>
        <v>0</v>
      </c>
    </row>
    <row r="284" spans="1:29" x14ac:dyDescent="0.3">
      <c r="A2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SwitchgrassFTGREETGREET(blank)_Switchgrass_Farming_CaCO3CaCO3</v>
      </c>
      <c r="B284" s="14" t="s">
        <v>133</v>
      </c>
      <c r="C284" s="14" t="s">
        <v>129</v>
      </c>
      <c r="D284" s="14" t="s">
        <v>29</v>
      </c>
      <c r="E284" s="48" t="s">
        <v>29</v>
      </c>
      <c r="F284" s="14" t="s">
        <v>31</v>
      </c>
      <c r="G284" s="14" t="b">
        <f>OR(LCI_Table[[#This Row],[Feedstock]]="All",LCI_Table[[#This Row],[Feedstock]]=SelectedFeedstock)</f>
        <v>0</v>
      </c>
      <c r="H284" s="14" t="b">
        <f>OR(LCI_Table[[#This Row],[Conversion]]="All",LCI_Table[[#This Row],[Conversion]]=SelectedConversion)</f>
        <v>0</v>
      </c>
      <c r="I284" s="14" t="b">
        <f>OR(LCI_Table[[#This Row],[Data Set]]="all",LCI_Table[[#This Row],[Data Set]]=SelectedDataSet)</f>
        <v>1</v>
      </c>
      <c r="J284" s="14" t="b">
        <f>OR(LCI_Table[[#This Row],[Technology]]="All",LCI_Table[[#This Row],[Technology]]=SelectedTechnology)</f>
        <v>1</v>
      </c>
      <c r="K284" s="14" t="b">
        <f>OR(LCI_Table[[#This Row],[Data Source]]="All",LCI_Table[[#This Row],[Data Source]]=SelectedDataSource)</f>
        <v>1</v>
      </c>
      <c r="L284" s="14" t="b">
        <f>TRUE</f>
        <v>1</v>
      </c>
      <c r="M284" s="14" t="b">
        <f>(LCI_Table[[#This Row],[Dev Notes]]="Do not display")</f>
        <v>0</v>
      </c>
      <c r="N284" s="14" t="b">
        <f>AND(LCI_Table[[#This Row],[Show Feedstock]:[Conditional]],NOT(LCI_Table[[#This Row],[Hide Row]]))</f>
        <v>0</v>
      </c>
      <c r="O284" s="14" t="b">
        <f>LCI_Table[[#This Row],[GREET1 Name Range]]=""</f>
        <v>0</v>
      </c>
      <c r="P284" s="14" t="s">
        <v>14</v>
      </c>
      <c r="Q284" s="14" t="s">
        <v>807</v>
      </c>
      <c r="R284" s="14" t="s">
        <v>141</v>
      </c>
      <c r="S284" s="37" cm="1">
        <f t="array" aca="1" ref="S2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74.763553146278454</v>
      </c>
      <c r="T284" s="346" t="s">
        <v>1485</v>
      </c>
      <c r="U284" s="347">
        <f ca="1">S284/S280*lb2g</f>
        <v>5846.9271140071378</v>
      </c>
      <c r="V284" s="347">
        <v>74.763553146278454</v>
      </c>
      <c r="W284" s="347">
        <v>5846.9271140071378</v>
      </c>
      <c r="X284" s="37" t="s">
        <v>12</v>
      </c>
      <c r="Y284" s="346" t="s">
        <v>413</v>
      </c>
      <c r="Z284" s="14" t="str">
        <f>IF(ISBLANK(LCI_Table[[#This Row],[Notes for user]])," ",LCI_Table[[#This Row],[Notes for user]])</f>
        <v xml:space="preserve"> </v>
      </c>
      <c r="AA284" s="14"/>
      <c r="AB284" s="14"/>
      <c r="AC284" s="346">
        <f ca="1">LCI_Table[[#This Row],[Default Calculated Value]]-LCI_Table[[#This Row],[Calculated Value]]</f>
        <v>0</v>
      </c>
    </row>
    <row r="285" spans="1:29" x14ac:dyDescent="0.3">
      <c r="A2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SwitchgrassFTGREETGREET(blank)_Switchgrass_Farming_HerbicidesHerbicides</v>
      </c>
      <c r="B285" s="14" t="s">
        <v>133</v>
      </c>
      <c r="C285" s="14" t="s">
        <v>129</v>
      </c>
      <c r="D285" s="14" t="s">
        <v>29</v>
      </c>
      <c r="E285" s="48" t="s">
        <v>29</v>
      </c>
      <c r="F285" s="14" t="s">
        <v>31</v>
      </c>
      <c r="G285" s="14" t="b">
        <f>OR(LCI_Table[[#This Row],[Feedstock]]="All",LCI_Table[[#This Row],[Feedstock]]=SelectedFeedstock)</f>
        <v>0</v>
      </c>
      <c r="H285" s="14" t="b">
        <f>OR(LCI_Table[[#This Row],[Conversion]]="All",LCI_Table[[#This Row],[Conversion]]=SelectedConversion)</f>
        <v>0</v>
      </c>
      <c r="I285" s="14" t="b">
        <f>OR(LCI_Table[[#This Row],[Data Set]]="all",LCI_Table[[#This Row],[Data Set]]=SelectedDataSet)</f>
        <v>1</v>
      </c>
      <c r="J285" s="14" t="b">
        <f>OR(LCI_Table[[#This Row],[Technology]]="All",LCI_Table[[#This Row],[Technology]]=SelectedTechnology)</f>
        <v>1</v>
      </c>
      <c r="K285" s="14" t="b">
        <f>OR(LCI_Table[[#This Row],[Data Source]]="All",LCI_Table[[#This Row],[Data Source]]=SelectedDataSource)</f>
        <v>1</v>
      </c>
      <c r="L285" s="14" t="b">
        <f>TRUE</f>
        <v>1</v>
      </c>
      <c r="M285" s="14" t="b">
        <f>(LCI_Table[[#This Row],[Dev Notes]]="Do not display")</f>
        <v>0</v>
      </c>
      <c r="N285" s="14" t="b">
        <f>AND(LCI_Table[[#This Row],[Show Feedstock]:[Conditional]],NOT(LCI_Table[[#This Row],[Hide Row]]))</f>
        <v>0</v>
      </c>
      <c r="O285" s="14" t="b">
        <f>LCI_Table[[#This Row],[GREET1 Name Range]]=""</f>
        <v>0</v>
      </c>
      <c r="P285" s="14" t="s">
        <v>14</v>
      </c>
      <c r="Q285" s="14" t="s">
        <v>813</v>
      </c>
      <c r="R285" s="14" t="s">
        <v>356</v>
      </c>
      <c r="S285" s="37" cm="1">
        <f t="array" aca="1" ref="S2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0.67899722027655607</v>
      </c>
      <c r="T285" s="346" t="s">
        <v>1485</v>
      </c>
      <c r="U285" s="347">
        <f ca="1">S285/S280*lb2g</f>
        <v>53.101372132526748</v>
      </c>
      <c r="V285" s="347">
        <v>0.67899722027655607</v>
      </c>
      <c r="W285" s="347">
        <v>53.101372132526748</v>
      </c>
      <c r="X285" s="37" t="s">
        <v>12</v>
      </c>
      <c r="Y285" s="346" t="s">
        <v>413</v>
      </c>
      <c r="Z285" s="14" t="str">
        <f>IF(ISBLANK(LCI_Table[[#This Row],[Notes for user]])," ",LCI_Table[[#This Row],[Notes for user]])</f>
        <v xml:space="preserve"> </v>
      </c>
      <c r="AA285" s="14"/>
      <c r="AB285" s="14"/>
      <c r="AC285" s="346">
        <f ca="1">LCI_Table[[#This Row],[Default Calculated Value]]-LCI_Table[[#This Row],[Calculated Value]]</f>
        <v>0</v>
      </c>
    </row>
    <row r="286" spans="1:29" x14ac:dyDescent="0.3">
      <c r="A2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SwitchgrassFTGREETGREET(blank)_Switchgrass_Farming_InsecticideInsecticide</v>
      </c>
      <c r="B286" s="14" t="s">
        <v>133</v>
      </c>
      <c r="C286" s="14" t="s">
        <v>129</v>
      </c>
      <c r="D286" s="14" t="s">
        <v>29</v>
      </c>
      <c r="E286" s="48" t="s">
        <v>29</v>
      </c>
      <c r="F286" s="14" t="s">
        <v>31</v>
      </c>
      <c r="G286" s="14" t="b">
        <f>OR(LCI_Table[[#This Row],[Feedstock]]="All",LCI_Table[[#This Row],[Feedstock]]=SelectedFeedstock)</f>
        <v>0</v>
      </c>
      <c r="H286" s="14" t="b">
        <f>OR(LCI_Table[[#This Row],[Conversion]]="All",LCI_Table[[#This Row],[Conversion]]=SelectedConversion)</f>
        <v>0</v>
      </c>
      <c r="I286" s="14" t="b">
        <f>OR(LCI_Table[[#This Row],[Data Set]]="all",LCI_Table[[#This Row],[Data Set]]=SelectedDataSet)</f>
        <v>1</v>
      </c>
      <c r="J286" s="14" t="b">
        <f>OR(LCI_Table[[#This Row],[Technology]]="All",LCI_Table[[#This Row],[Technology]]=SelectedTechnology)</f>
        <v>1</v>
      </c>
      <c r="K286" s="14" t="b">
        <f>OR(LCI_Table[[#This Row],[Data Source]]="All",LCI_Table[[#This Row],[Data Source]]=SelectedDataSource)</f>
        <v>1</v>
      </c>
      <c r="L286" s="14" t="b">
        <f>TRUE</f>
        <v>1</v>
      </c>
      <c r="M286" s="14" t="b">
        <f>(LCI_Table[[#This Row],[Dev Notes]]="Do not display")</f>
        <v>0</v>
      </c>
      <c r="N286" s="14" t="b">
        <f>AND(LCI_Table[[#This Row],[Show Feedstock]:[Conditional]],NOT(LCI_Table[[#This Row],[Hide Row]]))</f>
        <v>0</v>
      </c>
      <c r="O286" s="14" t="b">
        <f>LCI_Table[[#This Row],[GREET1 Name Range]]=""</f>
        <v>0</v>
      </c>
      <c r="P286" s="14" t="s">
        <v>14</v>
      </c>
      <c r="Q286" s="14" t="s">
        <v>814</v>
      </c>
      <c r="R286" s="14" t="s">
        <v>114</v>
      </c>
      <c r="S286" s="37" cm="1">
        <f t="array" aca="1" ref="S2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86" s="346" t="s">
        <v>1485</v>
      </c>
      <c r="U286" s="347">
        <f ca="1">S286/S280*lb2g</f>
        <v>0</v>
      </c>
      <c r="V286" s="347">
        <v>0</v>
      </c>
      <c r="W286" s="347">
        <v>0</v>
      </c>
      <c r="X286" s="37" t="s">
        <v>12</v>
      </c>
      <c r="Y286" s="346" t="s">
        <v>413</v>
      </c>
      <c r="Z286" s="14" t="str">
        <f>IF(ISBLANK(LCI_Table[[#This Row],[Notes for user]])," ",LCI_Table[[#This Row],[Notes for user]])</f>
        <v xml:space="preserve"> </v>
      </c>
      <c r="AA286" s="14"/>
      <c r="AB286" s="14"/>
      <c r="AC286" s="346">
        <f ca="1">LCI_Table[[#This Row],[Default Calculated Value]]-LCI_Table[[#This Row],[Calculated Value]]</f>
        <v>0</v>
      </c>
    </row>
    <row r="287" spans="1:29" x14ac:dyDescent="0.3">
      <c r="A2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SwitchgrassFTGREETGREET(blank)_Switchgrass_Farming_HDPEHDPE</v>
      </c>
      <c r="B287" s="14" t="s">
        <v>133</v>
      </c>
      <c r="C287" s="14" t="s">
        <v>129</v>
      </c>
      <c r="D287" s="14" t="s">
        <v>29</v>
      </c>
      <c r="E287" s="48" t="s">
        <v>29</v>
      </c>
      <c r="F287" s="14" t="s">
        <v>31</v>
      </c>
      <c r="G287" s="14" t="b">
        <f>OR(LCI_Table[[#This Row],[Feedstock]]="All",LCI_Table[[#This Row],[Feedstock]]=SelectedFeedstock)</f>
        <v>0</v>
      </c>
      <c r="H287" s="14" t="b">
        <f>OR(LCI_Table[[#This Row],[Conversion]]="All",LCI_Table[[#This Row],[Conversion]]=SelectedConversion)</f>
        <v>0</v>
      </c>
      <c r="I287" s="14" t="b">
        <f>OR(LCI_Table[[#This Row],[Data Set]]="all",LCI_Table[[#This Row],[Data Set]]=SelectedDataSet)</f>
        <v>1</v>
      </c>
      <c r="J287" s="14" t="b">
        <f>OR(LCI_Table[[#This Row],[Technology]]="All",LCI_Table[[#This Row],[Technology]]=SelectedTechnology)</f>
        <v>1</v>
      </c>
      <c r="K287" s="14" t="b">
        <f>OR(LCI_Table[[#This Row],[Data Source]]="All",LCI_Table[[#This Row],[Data Source]]=SelectedDataSource)</f>
        <v>1</v>
      </c>
      <c r="L287" s="14" t="b">
        <f>TRUE</f>
        <v>1</v>
      </c>
      <c r="M287" s="14" t="b">
        <f>(LCI_Table[[#This Row],[Dev Notes]]="Do not display")</f>
        <v>0</v>
      </c>
      <c r="N287" s="14" t="b">
        <f>AND(LCI_Table[[#This Row],[Show Feedstock]:[Conditional]],NOT(LCI_Table[[#This Row],[Hide Row]]))</f>
        <v>0</v>
      </c>
      <c r="O287" s="14" t="b">
        <f>LCI_Table[[#This Row],[GREET1 Name Range]]=""</f>
        <v>0</v>
      </c>
      <c r="P287" s="14" t="s">
        <v>14</v>
      </c>
      <c r="Q287" s="14" t="s">
        <v>812</v>
      </c>
      <c r="R287" s="14" t="s">
        <v>357</v>
      </c>
      <c r="S287" s="37" cm="1">
        <f t="array" aca="1" ref="S2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9.5133875378018568E-3</v>
      </c>
      <c r="T287" s="346" t="s">
        <v>1485</v>
      </c>
      <c r="U287" s="347">
        <f ca="1">S287/S280*lb2g</f>
        <v>0.74400000000000166</v>
      </c>
      <c r="V287" s="347">
        <v>9.5133875378018568E-3</v>
      </c>
      <c r="W287" s="347">
        <v>0.74400000000000166</v>
      </c>
      <c r="X287" s="37" t="s">
        <v>12</v>
      </c>
      <c r="Y287" s="346" t="s">
        <v>413</v>
      </c>
      <c r="Z287" s="14" t="str">
        <f>IF(ISBLANK(LCI_Table[[#This Row],[Notes for user]])," ",LCI_Table[[#This Row],[Notes for user]])</f>
        <v xml:space="preserve"> </v>
      </c>
      <c r="AA287" s="14"/>
      <c r="AB287" s="14"/>
      <c r="AC287" s="346">
        <f ca="1">LCI_Table[[#This Row],[Default Calculated Value]]-LCI_Table[[#This Row],[Calculated Value]]</f>
        <v>0</v>
      </c>
    </row>
    <row r="288" spans="1:29" x14ac:dyDescent="0.3">
      <c r="A2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SwitchgrassFTGREETGREET(blank)_Switchgrass_Farming_Residual_oilResidual oil</v>
      </c>
      <c r="B288" s="14" t="s">
        <v>133</v>
      </c>
      <c r="C288" s="14" t="s">
        <v>129</v>
      </c>
      <c r="D288" s="14" t="s">
        <v>29</v>
      </c>
      <c r="E288" s="48" t="s">
        <v>29</v>
      </c>
      <c r="F288" s="14" t="s">
        <v>31</v>
      </c>
      <c r="G288" s="14" t="b">
        <f>OR(LCI_Table[[#This Row],[Feedstock]]="All",LCI_Table[[#This Row],[Feedstock]]=SelectedFeedstock)</f>
        <v>0</v>
      </c>
      <c r="H288" s="14" t="b">
        <f>OR(LCI_Table[[#This Row],[Conversion]]="All",LCI_Table[[#This Row],[Conversion]]=SelectedConversion)</f>
        <v>0</v>
      </c>
      <c r="I288" s="14" t="b">
        <f>OR(LCI_Table[[#This Row],[Data Set]]="all",LCI_Table[[#This Row],[Data Set]]=SelectedDataSet)</f>
        <v>1</v>
      </c>
      <c r="J288" s="14" t="b">
        <f>OR(LCI_Table[[#This Row],[Technology]]="All",LCI_Table[[#This Row],[Technology]]=SelectedTechnology)</f>
        <v>1</v>
      </c>
      <c r="K288" s="14" t="b">
        <f>OR(LCI_Table[[#This Row],[Data Source]]="All",LCI_Table[[#This Row],[Data Source]]=SelectedDataSource)</f>
        <v>1</v>
      </c>
      <c r="L288" s="14" t="b">
        <f>TRUE</f>
        <v>1</v>
      </c>
      <c r="M288" s="14" t="b">
        <f>(LCI_Table[[#This Row],[Dev Notes]]="Do not display")</f>
        <v>0</v>
      </c>
      <c r="N288" s="14" t="b">
        <f>AND(LCI_Table[[#This Row],[Show Feedstock]:[Conditional]],NOT(LCI_Table[[#This Row],[Hide Row]]))</f>
        <v>0</v>
      </c>
      <c r="O288" s="14" t="b">
        <f>LCI_Table[[#This Row],[GREET1 Name Range]]=""</f>
        <v>0</v>
      </c>
      <c r="P288" s="14" t="s">
        <v>14</v>
      </c>
      <c r="Q288" s="14" t="s">
        <v>820</v>
      </c>
      <c r="R288" s="14" t="s">
        <v>115</v>
      </c>
      <c r="S288" s="37" cm="1">
        <f t="array" aca="1" ref="S2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88" s="346" t="s">
        <v>1484</v>
      </c>
      <c r="U288" s="347">
        <f ca="1">S288*Fuel_Specs!$B$28/S280</f>
        <v>0</v>
      </c>
      <c r="V288" s="347">
        <v>0</v>
      </c>
      <c r="W288" s="347">
        <v>0</v>
      </c>
      <c r="X288" s="37" t="s">
        <v>5</v>
      </c>
      <c r="Y288" s="346" t="s">
        <v>413</v>
      </c>
      <c r="Z288" s="14" t="str">
        <f>IF(ISBLANK(LCI_Table[[#This Row],[Notes for user]])," ",LCI_Table[[#This Row],[Notes for user]])</f>
        <v xml:space="preserve"> </v>
      </c>
      <c r="AA288" s="14"/>
      <c r="AB288" s="14"/>
      <c r="AC288" s="346">
        <f ca="1">LCI_Table[[#This Row],[Default Calculated Value]]-LCI_Table[[#This Row],[Calculated Value]]</f>
        <v>0</v>
      </c>
    </row>
    <row r="289" spans="1:29" x14ac:dyDescent="0.3">
      <c r="A2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SwitchgrassFTGREETGREET(blank)_Switchgrass_Farming_DieselDiesel</v>
      </c>
      <c r="B289" s="14" t="s">
        <v>133</v>
      </c>
      <c r="C289" s="14" t="s">
        <v>129</v>
      </c>
      <c r="D289" s="14" t="s">
        <v>29</v>
      </c>
      <c r="E289" s="48" t="s">
        <v>29</v>
      </c>
      <c r="F289" s="14" t="s">
        <v>31</v>
      </c>
      <c r="G289" s="14" t="b">
        <f>OR(LCI_Table[[#This Row],[Feedstock]]="All",LCI_Table[[#This Row],[Feedstock]]=SelectedFeedstock)</f>
        <v>0</v>
      </c>
      <c r="H289" s="14" t="b">
        <f>OR(LCI_Table[[#This Row],[Conversion]]="All",LCI_Table[[#This Row],[Conversion]]=SelectedConversion)</f>
        <v>0</v>
      </c>
      <c r="I289" s="14" t="b">
        <f>OR(LCI_Table[[#This Row],[Data Set]]="all",LCI_Table[[#This Row],[Data Set]]=SelectedDataSet)</f>
        <v>1</v>
      </c>
      <c r="J289" s="14" t="b">
        <f>OR(LCI_Table[[#This Row],[Technology]]="All",LCI_Table[[#This Row],[Technology]]=SelectedTechnology)</f>
        <v>1</v>
      </c>
      <c r="K289" s="14" t="b">
        <f>OR(LCI_Table[[#This Row],[Data Source]]="All",LCI_Table[[#This Row],[Data Source]]=SelectedDataSource)</f>
        <v>1</v>
      </c>
      <c r="L289" s="14" t="b">
        <f>TRUE</f>
        <v>1</v>
      </c>
      <c r="M289" s="14" t="b">
        <f>(LCI_Table[[#This Row],[Dev Notes]]="Do not display")</f>
        <v>0</v>
      </c>
      <c r="N289" s="14" t="b">
        <f>AND(LCI_Table[[#This Row],[Show Feedstock]:[Conditional]],NOT(LCI_Table[[#This Row],[Hide Row]]))</f>
        <v>0</v>
      </c>
      <c r="O289" s="14" t="b">
        <f>LCI_Table[[#This Row],[GREET1 Name Range]]=""</f>
        <v>0</v>
      </c>
      <c r="P289" s="14" t="s">
        <v>14</v>
      </c>
      <c r="Q289" s="14" t="s">
        <v>809</v>
      </c>
      <c r="R289" s="14" t="s">
        <v>106</v>
      </c>
      <c r="S289" s="37" cm="1">
        <f t="array" aca="1" ref="S2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2.8274499667405526</v>
      </c>
      <c r="T289" s="346" t="s">
        <v>1484</v>
      </c>
      <c r="U289" s="347">
        <f ca="1">S289*Fuel_Specs!$B$19/S280</f>
        <v>62618.266935831729</v>
      </c>
      <c r="V289" s="347">
        <v>2.8274499667405526</v>
      </c>
      <c r="W289" s="347">
        <v>62618.266935831729</v>
      </c>
      <c r="X289" s="37" t="s">
        <v>5</v>
      </c>
      <c r="Y289" s="346" t="s">
        <v>413</v>
      </c>
      <c r="Z289" s="14" t="str">
        <f>IF(ISBLANK(LCI_Table[[#This Row],[Notes for user]])," ",LCI_Table[[#This Row],[Notes for user]])</f>
        <v xml:space="preserve"> </v>
      </c>
      <c r="AA289" s="14"/>
      <c r="AB289" s="14"/>
      <c r="AC289" s="346">
        <f ca="1">LCI_Table[[#This Row],[Default Calculated Value]]-LCI_Table[[#This Row],[Calculated Value]]</f>
        <v>0</v>
      </c>
    </row>
    <row r="290" spans="1:29" x14ac:dyDescent="0.3">
      <c r="A2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SwitchgrassFTGREETGREET(blank)_Switchgrass_Farming_GasolineGasoline</v>
      </c>
      <c r="B290" s="14" t="s">
        <v>133</v>
      </c>
      <c r="C290" s="14" t="s">
        <v>129</v>
      </c>
      <c r="D290" s="14" t="s">
        <v>29</v>
      </c>
      <c r="E290" s="48" t="s">
        <v>29</v>
      </c>
      <c r="F290" s="14" t="s">
        <v>31</v>
      </c>
      <c r="G290" s="14" t="b">
        <f>OR(LCI_Table[[#This Row],[Feedstock]]="All",LCI_Table[[#This Row],[Feedstock]]=SelectedFeedstock)</f>
        <v>0</v>
      </c>
      <c r="H290" s="14" t="b">
        <f>OR(LCI_Table[[#This Row],[Conversion]]="All",LCI_Table[[#This Row],[Conversion]]=SelectedConversion)</f>
        <v>0</v>
      </c>
      <c r="I290" s="14" t="b">
        <f>OR(LCI_Table[[#This Row],[Data Set]]="all",LCI_Table[[#This Row],[Data Set]]=SelectedDataSet)</f>
        <v>1</v>
      </c>
      <c r="J290" s="14" t="b">
        <f>OR(LCI_Table[[#This Row],[Technology]]="All",LCI_Table[[#This Row],[Technology]]=SelectedTechnology)</f>
        <v>1</v>
      </c>
      <c r="K290" s="14" t="b">
        <f>OR(LCI_Table[[#This Row],[Data Source]]="All",LCI_Table[[#This Row],[Data Source]]=SelectedDataSource)</f>
        <v>1</v>
      </c>
      <c r="L290" s="14" t="b">
        <f>TRUE</f>
        <v>1</v>
      </c>
      <c r="M290" s="14" t="b">
        <f>(LCI_Table[[#This Row],[Dev Notes]]="Do not display")</f>
        <v>0</v>
      </c>
      <c r="N290" s="14" t="b">
        <f>AND(LCI_Table[[#This Row],[Show Feedstock]:[Conditional]],NOT(LCI_Table[[#This Row],[Hide Row]]))</f>
        <v>0</v>
      </c>
      <c r="O290" s="14" t="b">
        <f>LCI_Table[[#This Row],[GREET1 Name Range]]=""</f>
        <v>0</v>
      </c>
      <c r="P290" s="14" t="s">
        <v>14</v>
      </c>
      <c r="Q290" s="14" t="s">
        <v>811</v>
      </c>
      <c r="R290" s="14" t="s">
        <v>107</v>
      </c>
      <c r="S290" s="37" cm="1">
        <f t="array" aca="1" ref="S2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90" s="346" t="s">
        <v>1484</v>
      </c>
      <c r="U290" s="347">
        <f ca="1">S290*Fuel_Specs!$B$15/S280</f>
        <v>0</v>
      </c>
      <c r="V290" s="347">
        <v>0</v>
      </c>
      <c r="W290" s="347">
        <v>0</v>
      </c>
      <c r="X290" s="37" t="s">
        <v>5</v>
      </c>
      <c r="Y290" s="346" t="s">
        <v>413</v>
      </c>
      <c r="Z290" s="14" t="str">
        <f>IF(ISBLANK(LCI_Table[[#This Row],[Notes for user]])," ",LCI_Table[[#This Row],[Notes for user]])</f>
        <v xml:space="preserve"> </v>
      </c>
      <c r="AA290" s="14"/>
      <c r="AB290" s="14"/>
      <c r="AC290" s="346">
        <f ca="1">LCI_Table[[#This Row],[Default Calculated Value]]-LCI_Table[[#This Row],[Calculated Value]]</f>
        <v>0</v>
      </c>
    </row>
    <row r="291" spans="1:29" x14ac:dyDescent="0.3">
      <c r="A2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SwitchgrassFTGREETGREET(blank)_Switchgrass_Farming_Natural_gasNatural gas</v>
      </c>
      <c r="B291" s="14" t="s">
        <v>133</v>
      </c>
      <c r="C291" s="14" t="s">
        <v>129</v>
      </c>
      <c r="D291" s="14" t="s">
        <v>29</v>
      </c>
      <c r="E291" s="48" t="s">
        <v>29</v>
      </c>
      <c r="F291" s="14" t="s">
        <v>31</v>
      </c>
      <c r="G291" s="14" t="b">
        <f>OR(LCI_Table[[#This Row],[Feedstock]]="All",LCI_Table[[#This Row],[Feedstock]]=SelectedFeedstock)</f>
        <v>0</v>
      </c>
      <c r="H291" s="14" t="b">
        <f>OR(LCI_Table[[#This Row],[Conversion]]="All",LCI_Table[[#This Row],[Conversion]]=SelectedConversion)</f>
        <v>0</v>
      </c>
      <c r="I291" s="14" t="b">
        <f>OR(LCI_Table[[#This Row],[Data Set]]="all",LCI_Table[[#This Row],[Data Set]]=SelectedDataSet)</f>
        <v>1</v>
      </c>
      <c r="J291" s="14" t="b">
        <f>OR(LCI_Table[[#This Row],[Technology]]="All",LCI_Table[[#This Row],[Technology]]=SelectedTechnology)</f>
        <v>1</v>
      </c>
      <c r="K291" s="14" t="b">
        <f>OR(LCI_Table[[#This Row],[Data Source]]="All",LCI_Table[[#This Row],[Data Source]]=SelectedDataSource)</f>
        <v>1</v>
      </c>
      <c r="L291" s="14" t="b">
        <f>TRUE</f>
        <v>1</v>
      </c>
      <c r="M291" s="14" t="b">
        <f>(LCI_Table[[#This Row],[Dev Notes]]="Do not display")</f>
        <v>0</v>
      </c>
      <c r="N291" s="14" t="b">
        <f>AND(LCI_Table[[#This Row],[Show Feedstock]:[Conditional]],NOT(LCI_Table[[#This Row],[Hide Row]]))</f>
        <v>0</v>
      </c>
      <c r="O291" s="14" t="b">
        <f>LCI_Table[[#This Row],[GREET1 Name Range]]=""</f>
        <v>0</v>
      </c>
      <c r="P291" s="14" t="s">
        <v>14</v>
      </c>
      <c r="Q291" s="14" t="s">
        <v>817</v>
      </c>
      <c r="R291" s="14" t="s">
        <v>108</v>
      </c>
      <c r="S291" s="37" cm="1">
        <f t="array" aca="1" ref="S2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91" s="346" t="s">
        <v>2109</v>
      </c>
      <c r="U291" s="347">
        <f ca="1">S291*Fuel_Specs!$B$79/S280</f>
        <v>0</v>
      </c>
      <c r="V291" s="347">
        <v>0</v>
      </c>
      <c r="W291" s="347">
        <v>0</v>
      </c>
      <c r="X291" s="37" t="s">
        <v>351</v>
      </c>
      <c r="Y291" s="346" t="s">
        <v>413</v>
      </c>
      <c r="Z291" s="14" t="str">
        <f>IF(ISBLANK(LCI_Table[[#This Row],[Notes for user]])," ",LCI_Table[[#This Row],[Notes for user]])</f>
        <v xml:space="preserve"> </v>
      </c>
      <c r="AA291" s="14"/>
      <c r="AB291" s="14"/>
      <c r="AC291" s="346">
        <f ca="1">LCI_Table[[#This Row],[Default Calculated Value]]-LCI_Table[[#This Row],[Calculated Value]]</f>
        <v>0</v>
      </c>
    </row>
    <row r="292" spans="1:29" x14ac:dyDescent="0.3">
      <c r="A2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SwitchgrassFTGREETGREET(blank)_Switchgrass_Farming_CoalCoal</v>
      </c>
      <c r="B292" s="14" t="s">
        <v>133</v>
      </c>
      <c r="C292" s="14" t="s">
        <v>129</v>
      </c>
      <c r="D292" s="14" t="s">
        <v>29</v>
      </c>
      <c r="E292" s="48" t="s">
        <v>29</v>
      </c>
      <c r="F292" s="14" t="s">
        <v>31</v>
      </c>
      <c r="G292" s="14" t="b">
        <f>OR(LCI_Table[[#This Row],[Feedstock]]="All",LCI_Table[[#This Row],[Feedstock]]=SelectedFeedstock)</f>
        <v>0</v>
      </c>
      <c r="H292" s="14" t="b">
        <f>OR(LCI_Table[[#This Row],[Conversion]]="All",LCI_Table[[#This Row],[Conversion]]=SelectedConversion)</f>
        <v>0</v>
      </c>
      <c r="I292" s="14" t="b">
        <f>OR(LCI_Table[[#This Row],[Data Set]]="all",LCI_Table[[#This Row],[Data Set]]=SelectedDataSet)</f>
        <v>1</v>
      </c>
      <c r="J292" s="14" t="b">
        <f>OR(LCI_Table[[#This Row],[Technology]]="All",LCI_Table[[#This Row],[Technology]]=SelectedTechnology)</f>
        <v>1</v>
      </c>
      <c r="K292" s="14" t="b">
        <f>OR(LCI_Table[[#This Row],[Data Source]]="All",LCI_Table[[#This Row],[Data Source]]=SelectedDataSource)</f>
        <v>1</v>
      </c>
      <c r="L292" s="14" t="b">
        <f>TRUE</f>
        <v>1</v>
      </c>
      <c r="M292" s="14" t="b">
        <f>(LCI_Table[[#This Row],[Dev Notes]]="Do not display")</f>
        <v>0</v>
      </c>
      <c r="N292" s="14" t="b">
        <f>AND(LCI_Table[[#This Row],[Show Feedstock]:[Conditional]],NOT(LCI_Table[[#This Row],[Hide Row]]))</f>
        <v>0</v>
      </c>
      <c r="O292" s="14" t="b">
        <f>LCI_Table[[#This Row],[GREET1 Name Range]]=""</f>
        <v>0</v>
      </c>
      <c r="P292" s="14" t="s">
        <v>14</v>
      </c>
      <c r="Q292" s="14" t="s">
        <v>808</v>
      </c>
      <c r="R292" s="14" t="s">
        <v>9</v>
      </c>
      <c r="S292" s="37" cm="1">
        <f t="array" aca="1" ref="S2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92" s="346" t="s">
        <v>2110</v>
      </c>
      <c r="U292" s="347">
        <f ca="1">S292/S280</f>
        <v>0</v>
      </c>
      <c r="V292" s="347">
        <v>0</v>
      </c>
      <c r="W292" s="347">
        <v>0</v>
      </c>
      <c r="X292" s="37" t="s">
        <v>117</v>
      </c>
      <c r="Y292" s="346" t="s">
        <v>413</v>
      </c>
      <c r="Z292" s="14" t="str">
        <f>IF(ISBLANK(LCI_Table[[#This Row],[Notes for user]])," ",LCI_Table[[#This Row],[Notes for user]])</f>
        <v xml:space="preserve"> </v>
      </c>
      <c r="AA292" s="14"/>
      <c r="AB292" s="14"/>
      <c r="AC292" s="346">
        <f ca="1">LCI_Table[[#This Row],[Default Calculated Value]]-LCI_Table[[#This Row],[Calculated Value]]</f>
        <v>0</v>
      </c>
    </row>
    <row r="293" spans="1:29" x14ac:dyDescent="0.3">
      <c r="A2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SwitchgrassFTGREETGREET(blank)_Switchgrass_Farming_LPGLPG</v>
      </c>
      <c r="B293" s="14" t="s">
        <v>133</v>
      </c>
      <c r="C293" s="14" t="s">
        <v>129</v>
      </c>
      <c r="D293" s="14" t="s">
        <v>29</v>
      </c>
      <c r="E293" s="48" t="s">
        <v>29</v>
      </c>
      <c r="F293" s="14" t="s">
        <v>31</v>
      </c>
      <c r="G293" s="14" t="b">
        <f>OR(LCI_Table[[#This Row],[Feedstock]]="All",LCI_Table[[#This Row],[Feedstock]]=SelectedFeedstock)</f>
        <v>0</v>
      </c>
      <c r="H293" s="14" t="b">
        <f>OR(LCI_Table[[#This Row],[Conversion]]="All",LCI_Table[[#This Row],[Conversion]]=SelectedConversion)</f>
        <v>0</v>
      </c>
      <c r="I293" s="14" t="b">
        <f>OR(LCI_Table[[#This Row],[Data Set]]="all",LCI_Table[[#This Row],[Data Set]]=SelectedDataSet)</f>
        <v>1</v>
      </c>
      <c r="J293" s="14" t="b">
        <f>OR(LCI_Table[[#This Row],[Technology]]="All",LCI_Table[[#This Row],[Technology]]=SelectedTechnology)</f>
        <v>1</v>
      </c>
      <c r="K293" s="14" t="b">
        <f>OR(LCI_Table[[#This Row],[Data Source]]="All",LCI_Table[[#This Row],[Data Source]]=SelectedDataSource)</f>
        <v>1</v>
      </c>
      <c r="L293" s="14" t="b">
        <f>TRUE</f>
        <v>1</v>
      </c>
      <c r="M293" s="14" t="b">
        <f>(LCI_Table[[#This Row],[Dev Notes]]="Do not display")</f>
        <v>0</v>
      </c>
      <c r="N293" s="14" t="b">
        <f>AND(LCI_Table[[#This Row],[Show Feedstock]:[Conditional]],NOT(LCI_Table[[#This Row],[Hide Row]]))</f>
        <v>0</v>
      </c>
      <c r="O293" s="14" t="b">
        <f>LCI_Table[[#This Row],[GREET1 Name Range]]=""</f>
        <v>0</v>
      </c>
      <c r="P293" s="14" t="s">
        <v>14</v>
      </c>
      <c r="Q293" s="14" t="s">
        <v>816</v>
      </c>
      <c r="R293" s="14" t="s">
        <v>109</v>
      </c>
      <c r="S293" s="37" cm="1">
        <f t="array" aca="1" ref="S2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93" s="346" t="s">
        <v>1484</v>
      </c>
      <c r="U293" s="347">
        <f ca="1">S293*Fuel_Specs!$B$35/S280</f>
        <v>0</v>
      </c>
      <c r="V293" s="347">
        <v>0</v>
      </c>
      <c r="W293" s="347">
        <v>0</v>
      </c>
      <c r="X293" s="37" t="s">
        <v>5</v>
      </c>
      <c r="Y293" s="346" t="s">
        <v>413</v>
      </c>
      <c r="Z293" s="14" t="str">
        <f>IF(ISBLANK(LCI_Table[[#This Row],[Notes for user]])," ",LCI_Table[[#This Row],[Notes for user]])</f>
        <v xml:space="preserve"> </v>
      </c>
      <c r="AA293" s="14"/>
      <c r="AB293" s="14"/>
      <c r="AC293" s="346">
        <f ca="1">LCI_Table[[#This Row],[Default Calculated Value]]-LCI_Table[[#This Row],[Calculated Value]]</f>
        <v>0</v>
      </c>
    </row>
    <row r="294" spans="1:29" x14ac:dyDescent="0.3">
      <c r="A2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SwitchgrassFTGREETGREET(blank)_Switchgrass_Farming_ElectricityElectricity</v>
      </c>
      <c r="B294" s="14" t="s">
        <v>133</v>
      </c>
      <c r="C294" s="14" t="s">
        <v>129</v>
      </c>
      <c r="D294" s="14" t="s">
        <v>29</v>
      </c>
      <c r="E294" s="48" t="s">
        <v>29</v>
      </c>
      <c r="F294" s="14" t="s">
        <v>31</v>
      </c>
      <c r="G294" s="14" t="b">
        <f>OR(LCI_Table[[#This Row],[Feedstock]]="All",LCI_Table[[#This Row],[Feedstock]]=SelectedFeedstock)</f>
        <v>0</v>
      </c>
      <c r="H294" s="14" t="b">
        <f>OR(LCI_Table[[#This Row],[Conversion]]="All",LCI_Table[[#This Row],[Conversion]]=SelectedConversion)</f>
        <v>0</v>
      </c>
      <c r="I294" s="14" t="b">
        <f>OR(LCI_Table[[#This Row],[Data Set]]="all",LCI_Table[[#This Row],[Data Set]]=SelectedDataSet)</f>
        <v>1</v>
      </c>
      <c r="J294" s="14" t="b">
        <f>OR(LCI_Table[[#This Row],[Technology]]="All",LCI_Table[[#This Row],[Technology]]=SelectedTechnology)</f>
        <v>1</v>
      </c>
      <c r="K294" s="14" t="b">
        <f>OR(LCI_Table[[#This Row],[Data Source]]="All",LCI_Table[[#This Row],[Data Source]]=SelectedDataSource)</f>
        <v>1</v>
      </c>
      <c r="L294" s="14" t="b">
        <f>TRUE</f>
        <v>1</v>
      </c>
      <c r="M294" s="14" t="b">
        <f>(LCI_Table[[#This Row],[Dev Notes]]="Do not display")</f>
        <v>0</v>
      </c>
      <c r="N294" s="14" t="b">
        <f>AND(LCI_Table[[#This Row],[Show Feedstock]:[Conditional]],NOT(LCI_Table[[#This Row],[Hide Row]]))</f>
        <v>0</v>
      </c>
      <c r="O294" s="14" t="b">
        <f>LCI_Table[[#This Row],[GREET1 Name Range]]=""</f>
        <v>0</v>
      </c>
      <c r="P294" s="14" t="s">
        <v>14</v>
      </c>
      <c r="Q294" s="14" t="s">
        <v>810</v>
      </c>
      <c r="R294" s="14" t="s">
        <v>110</v>
      </c>
      <c r="S294" s="37" cm="1">
        <f t="array" aca="1" ref="S2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8.2585639276448628</v>
      </c>
      <c r="T294" s="346" t="s">
        <v>1561</v>
      </c>
      <c r="U294" s="347">
        <f ca="1">S294/BTU2kWh/S280</f>
        <v>4858.5154960936197</v>
      </c>
      <c r="V294" s="347">
        <v>8.2585639276448628</v>
      </c>
      <c r="W294" s="347">
        <v>4858.5154960936197</v>
      </c>
      <c r="X294" s="37" t="s">
        <v>51</v>
      </c>
      <c r="Y294" s="346" t="s">
        <v>413</v>
      </c>
      <c r="Z294" s="14" t="str">
        <f>IF(ISBLANK(LCI_Table[[#This Row],[Notes for user]])," ",LCI_Table[[#This Row],[Notes for user]])</f>
        <v xml:space="preserve"> </v>
      </c>
      <c r="AA294" s="14"/>
      <c r="AB294" s="14"/>
      <c r="AC294" s="346">
        <f ca="1">LCI_Table[[#This Row],[Default Calculated Value]]-LCI_Table[[#This Row],[Calculated Value]]</f>
        <v>0</v>
      </c>
    </row>
    <row r="295" spans="1:29" x14ac:dyDescent="0.3">
      <c r="A2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SwitchgrassFTGREETGREET(blank)_Switchgrass_FT_efficiencySwitchgrass</v>
      </c>
      <c r="B295" s="14" t="s">
        <v>133</v>
      </c>
      <c r="C295" s="14" t="s">
        <v>129</v>
      </c>
      <c r="D295" s="14" t="s">
        <v>29</v>
      </c>
      <c r="E295" s="48" t="s">
        <v>29</v>
      </c>
      <c r="F295" s="14" t="s">
        <v>31</v>
      </c>
      <c r="G295" s="14" t="b">
        <f>OR(LCI_Table[[#This Row],[Feedstock]]="All",LCI_Table[[#This Row],[Feedstock]]=SelectedFeedstock)</f>
        <v>0</v>
      </c>
      <c r="H295" s="14" t="b">
        <f>OR(LCI_Table[[#This Row],[Conversion]]="All",LCI_Table[[#This Row],[Conversion]]=SelectedConversion)</f>
        <v>0</v>
      </c>
      <c r="I295" s="14" t="b">
        <f>OR(LCI_Table[[#This Row],[Data Set]]="all",LCI_Table[[#This Row],[Data Set]]=SelectedDataSet)</f>
        <v>1</v>
      </c>
      <c r="J295" s="14" t="b">
        <f>OR(LCI_Table[[#This Row],[Technology]]="All",LCI_Table[[#This Row],[Technology]]=SelectedTechnology)</f>
        <v>1</v>
      </c>
      <c r="K295" s="14" t="b">
        <f>OR(LCI_Table[[#This Row],[Data Source]]="All",LCI_Table[[#This Row],[Data Source]]=SelectedDataSource)</f>
        <v>1</v>
      </c>
      <c r="L295" s="14" t="b">
        <f>TRUE</f>
        <v>1</v>
      </c>
      <c r="M295" s="14" t="b">
        <f>(LCI_Table[[#This Row],[Dev Notes]]="Do not display")</f>
        <v>0</v>
      </c>
      <c r="N295" s="14" t="b">
        <f>AND(LCI_Table[[#This Row],[Show Feedstock]:[Conditional]],NOT(LCI_Table[[#This Row],[Hide Row]]))</f>
        <v>0</v>
      </c>
      <c r="O295" s="14" t="b">
        <f>LCI_Table[[#This Row],[GREET1 Name Range]]=""</f>
        <v>0</v>
      </c>
      <c r="P295" s="14" t="s">
        <v>1448</v>
      </c>
      <c r="Q295" s="14" t="s">
        <v>936</v>
      </c>
      <c r="R295" s="14" t="s">
        <v>133</v>
      </c>
      <c r="S295" s="37" cm="1">
        <f t="array" aca="1" ref="S2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0.13843704575344362</v>
      </c>
      <c r="T295" s="346" t="s">
        <v>2125</v>
      </c>
      <c r="U295" s="347">
        <f ca="1">1/(S295*Fuel_Specs!$B$97*BTU2mmBTU)</f>
        <v>0.5</v>
      </c>
      <c r="V295" s="347">
        <v>0.13843704575344362</v>
      </c>
      <c r="W295" s="347">
        <v>0.5</v>
      </c>
      <c r="X295" s="37" t="s">
        <v>55</v>
      </c>
      <c r="Y295" s="346" t="s">
        <v>416</v>
      </c>
      <c r="Z295" s="14" t="str">
        <f>IF(ISBLANK(LCI_Table[[#This Row],[Notes for user]])," ",LCI_Table[[#This Row],[Notes for user]])</f>
        <v xml:space="preserve"> </v>
      </c>
      <c r="AA295" s="14"/>
      <c r="AB295" s="14"/>
      <c r="AC295" s="346">
        <f ca="1">LCI_Table[[#This Row],[Default Calculated Value]]-LCI_Table[[#This Row],[Calculated Value]]</f>
        <v>0</v>
      </c>
    </row>
    <row r="296" spans="1:29" x14ac:dyDescent="0.3">
      <c r="A2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dash_MiscanthusFTGREETGREET(blank)_Yield_Farming</v>
      </c>
      <c r="B296" s="48" t="s">
        <v>134</v>
      </c>
      <c r="C296" s="48" t="s">
        <v>129</v>
      </c>
      <c r="D296" s="48" t="s">
        <v>29</v>
      </c>
      <c r="E296" s="48" t="s">
        <v>29</v>
      </c>
      <c r="F296" s="48" t="s">
        <v>31</v>
      </c>
      <c r="G296" s="14" t="b">
        <f>OR(LCI_Table[[#This Row],[Feedstock]]="All",LCI_Table[[#This Row],[Feedstock]]=SelectedFeedstock)</f>
        <v>0</v>
      </c>
      <c r="H296" s="14" t="b">
        <f>OR(LCI_Table[[#This Row],[Conversion]]="All",LCI_Table[[#This Row],[Conversion]]=SelectedConversion)</f>
        <v>0</v>
      </c>
      <c r="I296" s="14" t="b">
        <f>OR(LCI_Table[[#This Row],[Data Set]]="all",LCI_Table[[#This Row],[Data Set]]=SelectedDataSet)</f>
        <v>1</v>
      </c>
      <c r="J296" s="14" t="b">
        <f>OR(LCI_Table[[#This Row],[Technology]]="All",LCI_Table[[#This Row],[Technology]]=SelectedTechnology)</f>
        <v>1</v>
      </c>
      <c r="K296" s="14" t="b">
        <f>OR(LCI_Table[[#This Row],[Data Source]]="All",LCI_Table[[#This Row],[Data Source]]=SelectedDataSource)</f>
        <v>1</v>
      </c>
      <c r="L296" s="14" t="b">
        <f>TRUE</f>
        <v>1</v>
      </c>
      <c r="M296" s="14" t="b">
        <f>(LCI_Table[[#This Row],[Dev Notes]]="Do not display")</f>
        <v>0</v>
      </c>
      <c r="N296" s="14" t="b">
        <f>AND(LCI_Table[[#This Row],[Show Feedstock]:[Conditional]],NOT(LCI_Table[[#This Row],[Hide Row]]))</f>
        <v>0</v>
      </c>
      <c r="O296" s="14" t="b">
        <f>LCI_Table[[#This Row],[GREET1 Name Range]]=""</f>
        <v>1</v>
      </c>
      <c r="P296" s="48" t="s">
        <v>14</v>
      </c>
      <c r="Q296" s="14" t="s">
        <v>361</v>
      </c>
      <c r="R296" s="48" t="s">
        <v>200</v>
      </c>
      <c r="S296" s="37" cm="1">
        <f t="array" aca="1" ref="S2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8.6139205449999992</v>
      </c>
      <c r="T296" s="346" t="s">
        <v>2116</v>
      </c>
      <c r="U296" s="344"/>
      <c r="V296" s="344">
        <v>8.6139205449999992</v>
      </c>
      <c r="W296" s="344"/>
      <c r="X296" s="48" t="s">
        <v>55</v>
      </c>
      <c r="Y296" s="346" t="s">
        <v>413</v>
      </c>
      <c r="Z296" s="14" t="str">
        <f>IF(ISBLANK(LCI_Table[[#This Row],[Notes for user]])," ",LCI_Table[[#This Row],[Notes for user]])</f>
        <v xml:space="preserve"> </v>
      </c>
      <c r="AA296" s="48"/>
      <c r="AB296" s="345"/>
      <c r="AC296" s="346">
        <f>LCI_Table[[#This Row],[Default Calculated Value]]-LCI_Table[[#This Row],[Calculated Value]]</f>
        <v>0</v>
      </c>
    </row>
    <row r="297" spans="1:29" x14ac:dyDescent="0.3">
      <c r="A2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MiscanthusFTGREETGREET(blank)_Miscanthus_Farming_Nitrogen_fertilizerNitrogen fertilizer</v>
      </c>
      <c r="B297" s="14" t="s">
        <v>134</v>
      </c>
      <c r="C297" s="14" t="s">
        <v>129</v>
      </c>
      <c r="D297" s="14" t="s">
        <v>29</v>
      </c>
      <c r="E297" s="48" t="s">
        <v>29</v>
      </c>
      <c r="F297" s="14" t="s">
        <v>31</v>
      </c>
      <c r="G297" s="14" t="b">
        <f>OR(LCI_Table[[#This Row],[Feedstock]]="All",LCI_Table[[#This Row],[Feedstock]]=SelectedFeedstock)</f>
        <v>0</v>
      </c>
      <c r="H297" s="14" t="b">
        <f>OR(LCI_Table[[#This Row],[Conversion]]="All",LCI_Table[[#This Row],[Conversion]]=SelectedConversion)</f>
        <v>0</v>
      </c>
      <c r="I297" s="14" t="b">
        <f>OR(LCI_Table[[#This Row],[Data Set]]="all",LCI_Table[[#This Row],[Data Set]]=SelectedDataSet)</f>
        <v>1</v>
      </c>
      <c r="J297" s="14" t="b">
        <f>OR(LCI_Table[[#This Row],[Technology]]="All",LCI_Table[[#This Row],[Technology]]=SelectedTechnology)</f>
        <v>1</v>
      </c>
      <c r="K297" s="14" t="b">
        <f>OR(LCI_Table[[#This Row],[Data Source]]="All",LCI_Table[[#This Row],[Data Source]]=SelectedDataSource)</f>
        <v>1</v>
      </c>
      <c r="L297" s="14" t="b">
        <f>TRUE</f>
        <v>1</v>
      </c>
      <c r="M297" s="14" t="b">
        <f>(LCI_Table[[#This Row],[Dev Notes]]="Do not display")</f>
        <v>0</v>
      </c>
      <c r="N297" s="14" t="b">
        <f>AND(LCI_Table[[#This Row],[Show Feedstock]:[Conditional]],NOT(LCI_Table[[#This Row],[Hide Row]]))</f>
        <v>0</v>
      </c>
      <c r="O297" s="14" t="b">
        <f>LCI_Table[[#This Row],[GREET1 Name Range]]=""</f>
        <v>0</v>
      </c>
      <c r="P297" s="14" t="s">
        <v>14</v>
      </c>
      <c r="Q297" s="14" t="s">
        <v>713</v>
      </c>
      <c r="R297" s="14" t="s">
        <v>111</v>
      </c>
      <c r="S297" s="37" cm="1">
        <f t="array" aca="1" ref="S2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88.124241430996591</v>
      </c>
      <c r="T297" s="346" t="s">
        <v>1485</v>
      </c>
      <c r="U297" s="347">
        <f ca="1">S297/S296*lb2g</f>
        <v>4640.4518495750699</v>
      </c>
      <c r="V297" s="347">
        <v>88.124241430996591</v>
      </c>
      <c r="W297" s="347">
        <v>4640.4518495750699</v>
      </c>
      <c r="X297" s="37" t="s">
        <v>12</v>
      </c>
      <c r="Y297" s="346" t="s">
        <v>413</v>
      </c>
      <c r="Z297" s="14" t="str">
        <f>IF(ISBLANK(LCI_Table[[#This Row],[Notes for user]])," ",LCI_Table[[#This Row],[Notes for user]])</f>
        <v xml:space="preserve"> </v>
      </c>
      <c r="AA297" s="14"/>
      <c r="AB297" s="14"/>
      <c r="AC297" s="346">
        <f ca="1">LCI_Table[[#This Row],[Default Calculated Value]]-LCI_Table[[#This Row],[Calculated Value]]</f>
        <v>0</v>
      </c>
    </row>
    <row r="298" spans="1:29" x14ac:dyDescent="0.3">
      <c r="A2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MiscanthusFTGREETGREET(blank)_Miscanthus_Farming_P2O5P2O5</v>
      </c>
      <c r="B298" s="14" t="s">
        <v>134</v>
      </c>
      <c r="C298" s="14" t="s">
        <v>129</v>
      </c>
      <c r="D298" s="14" t="s">
        <v>29</v>
      </c>
      <c r="E298" s="48" t="s">
        <v>29</v>
      </c>
      <c r="F298" s="14" t="s">
        <v>31</v>
      </c>
      <c r="G298" s="14" t="b">
        <f>OR(LCI_Table[[#This Row],[Feedstock]]="All",LCI_Table[[#This Row],[Feedstock]]=SelectedFeedstock)</f>
        <v>0</v>
      </c>
      <c r="H298" s="14" t="b">
        <f>OR(LCI_Table[[#This Row],[Conversion]]="All",LCI_Table[[#This Row],[Conversion]]=SelectedConversion)</f>
        <v>0</v>
      </c>
      <c r="I298" s="14" t="b">
        <f>OR(LCI_Table[[#This Row],[Data Set]]="all",LCI_Table[[#This Row],[Data Set]]=SelectedDataSet)</f>
        <v>1</v>
      </c>
      <c r="J298" s="14" t="b">
        <f>OR(LCI_Table[[#This Row],[Technology]]="All",LCI_Table[[#This Row],[Technology]]=SelectedTechnology)</f>
        <v>1</v>
      </c>
      <c r="K298" s="14" t="b">
        <f>OR(LCI_Table[[#This Row],[Data Source]]="All",LCI_Table[[#This Row],[Data Source]]=SelectedDataSource)</f>
        <v>1</v>
      </c>
      <c r="L298" s="14" t="b">
        <f>TRUE</f>
        <v>1</v>
      </c>
      <c r="M298" s="14" t="b">
        <f>(LCI_Table[[#This Row],[Dev Notes]]="Do not display")</f>
        <v>0</v>
      </c>
      <c r="N298" s="14" t="b">
        <f>AND(LCI_Table[[#This Row],[Show Feedstock]:[Conditional]],NOT(LCI_Table[[#This Row],[Hide Row]]))</f>
        <v>0</v>
      </c>
      <c r="O298" s="14" t="b">
        <f>LCI_Table[[#This Row],[GREET1 Name Range]]=""</f>
        <v>0</v>
      </c>
      <c r="P298" s="14" t="s">
        <v>14</v>
      </c>
      <c r="Q298" s="14" t="s">
        <v>714</v>
      </c>
      <c r="R298" s="14" t="s">
        <v>112</v>
      </c>
      <c r="S298" s="37" cm="1">
        <f t="array" aca="1" ref="S2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19.884729242998674</v>
      </c>
      <c r="T298" s="346" t="s">
        <v>1485</v>
      </c>
      <c r="U298" s="347">
        <f ca="1">S298/S296*lb2g</f>
        <v>1047.0913235176672</v>
      </c>
      <c r="V298" s="347">
        <v>19.884729242998674</v>
      </c>
      <c r="W298" s="347">
        <v>1047.0913235176672</v>
      </c>
      <c r="X298" s="37" t="s">
        <v>12</v>
      </c>
      <c r="Y298" s="346" t="s">
        <v>413</v>
      </c>
      <c r="Z298" s="14" t="str">
        <f>IF(ISBLANK(LCI_Table[[#This Row],[Notes for user]])," ",LCI_Table[[#This Row],[Notes for user]])</f>
        <v xml:space="preserve"> </v>
      </c>
      <c r="AA298" s="14"/>
      <c r="AB298" s="14"/>
      <c r="AC298" s="346">
        <f ca="1">LCI_Table[[#This Row],[Default Calculated Value]]-LCI_Table[[#This Row],[Calculated Value]]</f>
        <v>0</v>
      </c>
    </row>
    <row r="299" spans="1:29" x14ac:dyDescent="0.3">
      <c r="A2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MiscanthusFTGREETGREET(blank)_Miscanthus_Farming_K2OK2O</v>
      </c>
      <c r="B299" s="14" t="s">
        <v>134</v>
      </c>
      <c r="C299" s="14" t="s">
        <v>129</v>
      </c>
      <c r="D299" s="14" t="s">
        <v>29</v>
      </c>
      <c r="E299" s="48" t="s">
        <v>29</v>
      </c>
      <c r="F299" s="14" t="s">
        <v>31</v>
      </c>
      <c r="G299" s="14" t="b">
        <f>OR(LCI_Table[[#This Row],[Feedstock]]="All",LCI_Table[[#This Row],[Feedstock]]=SelectedFeedstock)</f>
        <v>0</v>
      </c>
      <c r="H299" s="14" t="b">
        <f>OR(LCI_Table[[#This Row],[Conversion]]="All",LCI_Table[[#This Row],[Conversion]]=SelectedConversion)</f>
        <v>0</v>
      </c>
      <c r="I299" s="14" t="b">
        <f>OR(LCI_Table[[#This Row],[Data Set]]="all",LCI_Table[[#This Row],[Data Set]]=SelectedDataSet)</f>
        <v>1</v>
      </c>
      <c r="J299" s="14" t="b">
        <f>OR(LCI_Table[[#This Row],[Technology]]="All",LCI_Table[[#This Row],[Technology]]=SelectedTechnology)</f>
        <v>1</v>
      </c>
      <c r="K299" s="14" t="b">
        <f>OR(LCI_Table[[#This Row],[Data Source]]="All",LCI_Table[[#This Row],[Data Source]]=SelectedDataSource)</f>
        <v>1</v>
      </c>
      <c r="L299" s="14" t="b">
        <f>TRUE</f>
        <v>1</v>
      </c>
      <c r="M299" s="14" t="b">
        <f>(LCI_Table[[#This Row],[Dev Notes]]="Do not display")</f>
        <v>0</v>
      </c>
      <c r="N299" s="14" t="b">
        <f>AND(LCI_Table[[#This Row],[Show Feedstock]:[Conditional]],NOT(LCI_Table[[#This Row],[Hide Row]]))</f>
        <v>0</v>
      </c>
      <c r="O299" s="14" t="b">
        <f>LCI_Table[[#This Row],[GREET1 Name Range]]=""</f>
        <v>0</v>
      </c>
      <c r="P299" s="14" t="s">
        <v>14</v>
      </c>
      <c r="Q299" s="14" t="s">
        <v>710</v>
      </c>
      <c r="R299" s="14" t="s">
        <v>113</v>
      </c>
      <c r="S299" s="37" cm="1">
        <f t="array" aca="1" ref="S2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54.462165800868</v>
      </c>
      <c r="T299" s="346" t="s">
        <v>1485</v>
      </c>
      <c r="U299" s="347">
        <f ca="1">S299/S296*lb2g</f>
        <v>2867.8721532076388</v>
      </c>
      <c r="V299" s="347">
        <v>54.462165800868</v>
      </c>
      <c r="W299" s="347">
        <v>2867.8721532076388</v>
      </c>
      <c r="X299" s="37" t="s">
        <v>12</v>
      </c>
      <c r="Y299" s="346" t="s">
        <v>413</v>
      </c>
      <c r="Z299" s="14" t="str">
        <f>IF(ISBLANK(LCI_Table[[#This Row],[Notes for user]])," ",LCI_Table[[#This Row],[Notes for user]])</f>
        <v xml:space="preserve"> </v>
      </c>
      <c r="AA299" s="14"/>
      <c r="AB299" s="14"/>
      <c r="AC299" s="346">
        <f ca="1">LCI_Table[[#This Row],[Default Calculated Value]]-LCI_Table[[#This Row],[Calculated Value]]</f>
        <v>0</v>
      </c>
    </row>
    <row r="300" spans="1:29" x14ac:dyDescent="0.3">
      <c r="A3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MiscanthusFTGREETGREET(blank)_Miscanthus_Farming_CaCO3CaCO3</v>
      </c>
      <c r="B300" s="14" t="s">
        <v>134</v>
      </c>
      <c r="C300" s="14" t="s">
        <v>129</v>
      </c>
      <c r="D300" s="14" t="s">
        <v>29</v>
      </c>
      <c r="E300" s="48" t="s">
        <v>29</v>
      </c>
      <c r="F300" s="14" t="s">
        <v>31</v>
      </c>
      <c r="G300" s="14" t="b">
        <f>OR(LCI_Table[[#This Row],[Feedstock]]="All",LCI_Table[[#This Row],[Feedstock]]=SelectedFeedstock)</f>
        <v>0</v>
      </c>
      <c r="H300" s="14" t="b">
        <f>OR(LCI_Table[[#This Row],[Conversion]]="All",LCI_Table[[#This Row],[Conversion]]=SelectedConversion)</f>
        <v>0</v>
      </c>
      <c r="I300" s="14" t="b">
        <f>OR(LCI_Table[[#This Row],[Data Set]]="all",LCI_Table[[#This Row],[Data Set]]=SelectedDataSet)</f>
        <v>1</v>
      </c>
      <c r="J300" s="14" t="b">
        <f>OR(LCI_Table[[#This Row],[Technology]]="All",LCI_Table[[#This Row],[Technology]]=SelectedTechnology)</f>
        <v>1</v>
      </c>
      <c r="K300" s="14" t="b">
        <f>OR(LCI_Table[[#This Row],[Data Source]]="All",LCI_Table[[#This Row],[Data Source]]=SelectedDataSource)</f>
        <v>1</v>
      </c>
      <c r="L300" s="14" t="b">
        <f>TRUE</f>
        <v>1</v>
      </c>
      <c r="M300" s="14" t="b">
        <f>(LCI_Table[[#This Row],[Dev Notes]]="Do not display")</f>
        <v>0</v>
      </c>
      <c r="N300" s="14" t="b">
        <f>AND(LCI_Table[[#This Row],[Show Feedstock]:[Conditional]],NOT(LCI_Table[[#This Row],[Hide Row]]))</f>
        <v>0</v>
      </c>
      <c r="O300" s="14" t="b">
        <f>LCI_Table[[#This Row],[GREET1 Name Range]]=""</f>
        <v>0</v>
      </c>
      <c r="P300" s="14" t="s">
        <v>14</v>
      </c>
      <c r="Q300" s="14" t="s">
        <v>702</v>
      </c>
      <c r="R300" s="14" t="s">
        <v>141</v>
      </c>
      <c r="S300" s="37" cm="1">
        <f t="array" aca="1" ref="S3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98.419350248104237</v>
      </c>
      <c r="T300" s="346" t="s">
        <v>1485</v>
      </c>
      <c r="U300" s="347">
        <f ca="1">S300/S296*lb2g</f>
        <v>5182.572337379007</v>
      </c>
      <c r="V300" s="347">
        <v>98.419350248104237</v>
      </c>
      <c r="W300" s="347">
        <v>5182.572337379007</v>
      </c>
      <c r="X300" s="37" t="s">
        <v>12</v>
      </c>
      <c r="Y300" s="346" t="s">
        <v>413</v>
      </c>
      <c r="Z300" s="14" t="str">
        <f>IF(ISBLANK(LCI_Table[[#This Row],[Notes for user]])," ",LCI_Table[[#This Row],[Notes for user]])</f>
        <v xml:space="preserve"> </v>
      </c>
      <c r="AA300" s="14"/>
      <c r="AB300" s="14"/>
      <c r="AC300" s="346">
        <f ca="1">LCI_Table[[#This Row],[Default Calculated Value]]-LCI_Table[[#This Row],[Calculated Value]]</f>
        <v>0</v>
      </c>
    </row>
    <row r="301" spans="1:29" x14ac:dyDescent="0.3">
      <c r="A3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MiscanthusFTGREETGREET(blank)_Miscanthus_Farming_HerbicidesHerbicides</v>
      </c>
      <c r="B301" s="14" t="s">
        <v>134</v>
      </c>
      <c r="C301" s="14" t="s">
        <v>129</v>
      </c>
      <c r="D301" s="14" t="s">
        <v>29</v>
      </c>
      <c r="E301" s="48" t="s">
        <v>29</v>
      </c>
      <c r="F301" s="14" t="s">
        <v>31</v>
      </c>
      <c r="G301" s="14" t="b">
        <f>OR(LCI_Table[[#This Row],[Feedstock]]="All",LCI_Table[[#This Row],[Feedstock]]=SelectedFeedstock)</f>
        <v>0</v>
      </c>
      <c r="H301" s="14" t="b">
        <f>OR(LCI_Table[[#This Row],[Conversion]]="All",LCI_Table[[#This Row],[Conversion]]=SelectedConversion)</f>
        <v>0</v>
      </c>
      <c r="I301" s="14" t="b">
        <f>OR(LCI_Table[[#This Row],[Data Set]]="all",LCI_Table[[#This Row],[Data Set]]=SelectedDataSet)</f>
        <v>1</v>
      </c>
      <c r="J301" s="14" t="b">
        <f>OR(LCI_Table[[#This Row],[Technology]]="All",LCI_Table[[#This Row],[Technology]]=SelectedTechnology)</f>
        <v>1</v>
      </c>
      <c r="K301" s="14" t="b">
        <f>OR(LCI_Table[[#This Row],[Data Source]]="All",LCI_Table[[#This Row],[Data Source]]=SelectedDataSource)</f>
        <v>1</v>
      </c>
      <c r="L301" s="14" t="b">
        <f>TRUE</f>
        <v>1</v>
      </c>
      <c r="M301" s="14" t="b">
        <f>(LCI_Table[[#This Row],[Dev Notes]]="Do not display")</f>
        <v>0</v>
      </c>
      <c r="N301" s="14" t="b">
        <f>AND(LCI_Table[[#This Row],[Show Feedstock]:[Conditional]],NOT(LCI_Table[[#This Row],[Hide Row]]))</f>
        <v>0</v>
      </c>
      <c r="O301" s="14" t="b">
        <f>LCI_Table[[#This Row],[GREET1 Name Range]]=""</f>
        <v>0</v>
      </c>
      <c r="P301" s="14" t="s">
        <v>14</v>
      </c>
      <c r="Q301" s="14" t="s">
        <v>708</v>
      </c>
      <c r="R301" s="14" t="s">
        <v>356</v>
      </c>
      <c r="S301" s="37" cm="1">
        <f t="array" aca="1" ref="S3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0.54538703220331441</v>
      </c>
      <c r="T301" s="346" t="s">
        <v>1485</v>
      </c>
      <c r="U301" s="347">
        <f ca="1">S301/S296*lb2g</f>
        <v>28.71902465457066</v>
      </c>
      <c r="V301" s="347">
        <v>0.54538703220331441</v>
      </c>
      <c r="W301" s="347">
        <v>28.71902465457066</v>
      </c>
      <c r="X301" s="37" t="s">
        <v>12</v>
      </c>
      <c r="Y301" s="346" t="s">
        <v>413</v>
      </c>
      <c r="Z301" s="14" t="str">
        <f>IF(ISBLANK(LCI_Table[[#This Row],[Notes for user]])," ",LCI_Table[[#This Row],[Notes for user]])</f>
        <v xml:space="preserve"> </v>
      </c>
      <c r="AA301" s="14"/>
      <c r="AB301" s="14"/>
      <c r="AC301" s="346">
        <f ca="1">LCI_Table[[#This Row],[Default Calculated Value]]-LCI_Table[[#This Row],[Calculated Value]]</f>
        <v>0</v>
      </c>
    </row>
    <row r="302" spans="1:29" x14ac:dyDescent="0.3">
      <c r="A3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MiscanthusFTGREETGREET(blank)_Miscanthus_Farming_InsecticideInsecticide</v>
      </c>
      <c r="B302" s="14" t="s">
        <v>134</v>
      </c>
      <c r="C302" s="14" t="s">
        <v>129</v>
      </c>
      <c r="D302" s="14" t="s">
        <v>29</v>
      </c>
      <c r="E302" s="48" t="s">
        <v>29</v>
      </c>
      <c r="F302" s="14" t="s">
        <v>31</v>
      </c>
      <c r="G302" s="14" t="b">
        <f>OR(LCI_Table[[#This Row],[Feedstock]]="All",LCI_Table[[#This Row],[Feedstock]]=SelectedFeedstock)</f>
        <v>0</v>
      </c>
      <c r="H302" s="14" t="b">
        <f>OR(LCI_Table[[#This Row],[Conversion]]="All",LCI_Table[[#This Row],[Conversion]]=SelectedConversion)</f>
        <v>0</v>
      </c>
      <c r="I302" s="14" t="b">
        <f>OR(LCI_Table[[#This Row],[Data Set]]="all",LCI_Table[[#This Row],[Data Set]]=SelectedDataSet)</f>
        <v>1</v>
      </c>
      <c r="J302" s="14" t="b">
        <f>OR(LCI_Table[[#This Row],[Technology]]="All",LCI_Table[[#This Row],[Technology]]=SelectedTechnology)</f>
        <v>1</v>
      </c>
      <c r="K302" s="14" t="b">
        <f>OR(LCI_Table[[#This Row],[Data Source]]="All",LCI_Table[[#This Row],[Data Source]]=SelectedDataSource)</f>
        <v>1</v>
      </c>
      <c r="L302" s="14" t="b">
        <f>TRUE</f>
        <v>1</v>
      </c>
      <c r="M302" s="14" t="b">
        <f>(LCI_Table[[#This Row],[Dev Notes]]="Do not display")</f>
        <v>0</v>
      </c>
      <c r="N302" s="14" t="b">
        <f>AND(LCI_Table[[#This Row],[Show Feedstock]:[Conditional]],NOT(LCI_Table[[#This Row],[Hide Row]]))</f>
        <v>0</v>
      </c>
      <c r="O302" s="14" t="b">
        <f>LCI_Table[[#This Row],[GREET1 Name Range]]=""</f>
        <v>0</v>
      </c>
      <c r="P302" s="14" t="s">
        <v>14</v>
      </c>
      <c r="Q302" s="14" t="s">
        <v>709</v>
      </c>
      <c r="R302" s="14" t="s">
        <v>114</v>
      </c>
      <c r="S302" s="37" cm="1">
        <f t="array" aca="1" ref="S3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02" s="346" t="s">
        <v>1485</v>
      </c>
      <c r="U302" s="347">
        <f ca="1">S302/S296*lb2g</f>
        <v>0</v>
      </c>
      <c r="V302" s="347">
        <v>0</v>
      </c>
      <c r="W302" s="347">
        <v>0</v>
      </c>
      <c r="X302" s="37" t="s">
        <v>12</v>
      </c>
      <c r="Y302" s="346" t="s">
        <v>413</v>
      </c>
      <c r="Z302" s="14" t="str">
        <f>IF(ISBLANK(LCI_Table[[#This Row],[Notes for user]])," ",LCI_Table[[#This Row],[Notes for user]])</f>
        <v xml:space="preserve"> </v>
      </c>
      <c r="AA302" s="14"/>
      <c r="AB302" s="14"/>
      <c r="AC302" s="346">
        <f ca="1">LCI_Table[[#This Row],[Default Calculated Value]]-LCI_Table[[#This Row],[Calculated Value]]</f>
        <v>0</v>
      </c>
    </row>
    <row r="303" spans="1:29" x14ac:dyDescent="0.3">
      <c r="A3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MiscanthusFTGREETGREET(blank)_Miscanthus_Farming_HDPEHDPE</v>
      </c>
      <c r="B303" s="14" t="s">
        <v>134</v>
      </c>
      <c r="C303" s="14" t="s">
        <v>129</v>
      </c>
      <c r="D303" s="14" t="s">
        <v>29</v>
      </c>
      <c r="E303" s="48" t="s">
        <v>29</v>
      </c>
      <c r="F303" s="14" t="s">
        <v>31</v>
      </c>
      <c r="G303" s="14" t="b">
        <f>OR(LCI_Table[[#This Row],[Feedstock]]="All",LCI_Table[[#This Row],[Feedstock]]=SelectedFeedstock)</f>
        <v>0</v>
      </c>
      <c r="H303" s="14" t="b">
        <f>OR(LCI_Table[[#This Row],[Conversion]]="All",LCI_Table[[#This Row],[Conversion]]=SelectedConversion)</f>
        <v>0</v>
      </c>
      <c r="I303" s="14" t="b">
        <f>OR(LCI_Table[[#This Row],[Data Set]]="all",LCI_Table[[#This Row],[Data Set]]=SelectedDataSet)</f>
        <v>1</v>
      </c>
      <c r="J303" s="14" t="b">
        <f>OR(LCI_Table[[#This Row],[Technology]]="All",LCI_Table[[#This Row],[Technology]]=SelectedTechnology)</f>
        <v>1</v>
      </c>
      <c r="K303" s="14" t="b">
        <f>OR(LCI_Table[[#This Row],[Data Source]]="All",LCI_Table[[#This Row],[Data Source]]=SelectedDataSource)</f>
        <v>1</v>
      </c>
      <c r="L303" s="14" t="b">
        <f>TRUE</f>
        <v>1</v>
      </c>
      <c r="M303" s="14" t="b">
        <f>(LCI_Table[[#This Row],[Dev Notes]]="Do not display")</f>
        <v>0</v>
      </c>
      <c r="N303" s="14" t="b">
        <f>AND(LCI_Table[[#This Row],[Show Feedstock]:[Conditional]],NOT(LCI_Table[[#This Row],[Hide Row]]))</f>
        <v>0</v>
      </c>
      <c r="O303" s="14" t="b">
        <f>LCI_Table[[#This Row],[GREET1 Name Range]]=""</f>
        <v>0</v>
      </c>
      <c r="P303" s="14" t="s">
        <v>14</v>
      </c>
      <c r="Q303" s="14" t="s">
        <v>707</v>
      </c>
      <c r="R303" s="14" t="s">
        <v>357</v>
      </c>
      <c r="S303" s="37" cm="1">
        <f t="array" aca="1" ref="S3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1.4128890407658339E-2</v>
      </c>
      <c r="T303" s="346" t="s">
        <v>1485</v>
      </c>
      <c r="U303" s="347">
        <f ca="1">S303/S296*lb2g</f>
        <v>0.74400000000000155</v>
      </c>
      <c r="V303" s="347">
        <v>1.4128890407658339E-2</v>
      </c>
      <c r="W303" s="347">
        <v>0.74400000000000155</v>
      </c>
      <c r="X303" s="37" t="s">
        <v>12</v>
      </c>
      <c r="Y303" s="346" t="s">
        <v>413</v>
      </c>
      <c r="Z303" s="14" t="str">
        <f>IF(ISBLANK(LCI_Table[[#This Row],[Notes for user]])," ",LCI_Table[[#This Row],[Notes for user]])</f>
        <v xml:space="preserve"> </v>
      </c>
      <c r="AA303" s="14"/>
      <c r="AB303" s="14"/>
      <c r="AC303" s="346">
        <f ca="1">LCI_Table[[#This Row],[Default Calculated Value]]-LCI_Table[[#This Row],[Calculated Value]]</f>
        <v>0</v>
      </c>
    </row>
    <row r="304" spans="1:29" x14ac:dyDescent="0.3">
      <c r="A3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MiscanthusFTGREETGREET(blank)_Miscanthus_Farming_Residual_oilResidual oil</v>
      </c>
      <c r="B304" s="14" t="s">
        <v>134</v>
      </c>
      <c r="C304" s="14" t="s">
        <v>129</v>
      </c>
      <c r="D304" s="14" t="s">
        <v>29</v>
      </c>
      <c r="E304" s="48" t="s">
        <v>29</v>
      </c>
      <c r="F304" s="14" t="s">
        <v>31</v>
      </c>
      <c r="G304" s="14" t="b">
        <f>OR(LCI_Table[[#This Row],[Feedstock]]="All",LCI_Table[[#This Row],[Feedstock]]=SelectedFeedstock)</f>
        <v>0</v>
      </c>
      <c r="H304" s="14" t="b">
        <f>OR(LCI_Table[[#This Row],[Conversion]]="All",LCI_Table[[#This Row],[Conversion]]=SelectedConversion)</f>
        <v>0</v>
      </c>
      <c r="I304" s="14" t="b">
        <f>OR(LCI_Table[[#This Row],[Data Set]]="all",LCI_Table[[#This Row],[Data Set]]=SelectedDataSet)</f>
        <v>1</v>
      </c>
      <c r="J304" s="14" t="b">
        <f>OR(LCI_Table[[#This Row],[Technology]]="All",LCI_Table[[#This Row],[Technology]]=SelectedTechnology)</f>
        <v>1</v>
      </c>
      <c r="K304" s="14" t="b">
        <f>OR(LCI_Table[[#This Row],[Data Source]]="All",LCI_Table[[#This Row],[Data Source]]=SelectedDataSource)</f>
        <v>1</v>
      </c>
      <c r="L304" s="14" t="b">
        <f>TRUE</f>
        <v>1</v>
      </c>
      <c r="M304" s="14" t="b">
        <f>(LCI_Table[[#This Row],[Dev Notes]]="Do not display")</f>
        <v>0</v>
      </c>
      <c r="N304" s="14" t="b">
        <f>AND(LCI_Table[[#This Row],[Show Feedstock]:[Conditional]],NOT(LCI_Table[[#This Row],[Hide Row]]))</f>
        <v>0</v>
      </c>
      <c r="O304" s="14" t="b">
        <f>LCI_Table[[#This Row],[GREET1 Name Range]]=""</f>
        <v>0</v>
      </c>
      <c r="P304" s="14" t="s">
        <v>14</v>
      </c>
      <c r="Q304" s="14" t="s">
        <v>715</v>
      </c>
      <c r="R304" s="14" t="s">
        <v>115</v>
      </c>
      <c r="S304" s="37" cm="1">
        <f t="array" aca="1" ref="S3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04" s="346" t="s">
        <v>1484</v>
      </c>
      <c r="U304" s="347">
        <f ca="1">S304*Fuel_Specs!$B$28/S296</f>
        <v>0</v>
      </c>
      <c r="V304" s="347">
        <v>0</v>
      </c>
      <c r="W304" s="347">
        <v>0</v>
      </c>
      <c r="X304" s="37" t="s">
        <v>5</v>
      </c>
      <c r="Y304" s="346" t="s">
        <v>413</v>
      </c>
      <c r="Z304" s="14" t="str">
        <f>IF(ISBLANK(LCI_Table[[#This Row],[Notes for user]])," ",LCI_Table[[#This Row],[Notes for user]])</f>
        <v xml:space="preserve"> </v>
      </c>
      <c r="AA304" s="14"/>
      <c r="AB304" s="14"/>
      <c r="AC304" s="346">
        <f ca="1">LCI_Table[[#This Row],[Default Calculated Value]]-LCI_Table[[#This Row],[Calculated Value]]</f>
        <v>0</v>
      </c>
    </row>
    <row r="305" spans="1:29" x14ac:dyDescent="0.3">
      <c r="A3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MiscanthusFTGREETGREET(blank)_Miscanthus_Farming_DieselDiesel</v>
      </c>
      <c r="B305" s="14" t="s">
        <v>134</v>
      </c>
      <c r="C305" s="14" t="s">
        <v>129</v>
      </c>
      <c r="D305" s="14" t="s">
        <v>29</v>
      </c>
      <c r="E305" s="48" t="s">
        <v>29</v>
      </c>
      <c r="F305" s="14" t="s">
        <v>31</v>
      </c>
      <c r="G305" s="14" t="b">
        <f>OR(LCI_Table[[#This Row],[Feedstock]]="All",LCI_Table[[#This Row],[Feedstock]]=SelectedFeedstock)</f>
        <v>0</v>
      </c>
      <c r="H305" s="14" t="b">
        <f>OR(LCI_Table[[#This Row],[Conversion]]="All",LCI_Table[[#This Row],[Conversion]]=SelectedConversion)</f>
        <v>0</v>
      </c>
      <c r="I305" s="14" t="b">
        <f>OR(LCI_Table[[#This Row],[Data Set]]="all",LCI_Table[[#This Row],[Data Set]]=SelectedDataSet)</f>
        <v>1</v>
      </c>
      <c r="J305" s="14" t="b">
        <f>OR(LCI_Table[[#This Row],[Technology]]="All",LCI_Table[[#This Row],[Technology]]=SelectedTechnology)</f>
        <v>1</v>
      </c>
      <c r="K305" s="14" t="b">
        <f>OR(LCI_Table[[#This Row],[Data Source]]="All",LCI_Table[[#This Row],[Data Source]]=SelectedDataSource)</f>
        <v>1</v>
      </c>
      <c r="L305" s="14" t="b">
        <f>TRUE</f>
        <v>1</v>
      </c>
      <c r="M305" s="14" t="b">
        <f>(LCI_Table[[#This Row],[Dev Notes]]="Do not display")</f>
        <v>0</v>
      </c>
      <c r="N305" s="14" t="b">
        <f>AND(LCI_Table[[#This Row],[Show Feedstock]:[Conditional]],NOT(LCI_Table[[#This Row],[Hide Row]]))</f>
        <v>0</v>
      </c>
      <c r="O305" s="14" t="b">
        <f>LCI_Table[[#This Row],[GREET1 Name Range]]=""</f>
        <v>0</v>
      </c>
      <c r="P305" s="14" t="s">
        <v>14</v>
      </c>
      <c r="Q305" s="14" t="s">
        <v>704</v>
      </c>
      <c r="R305" s="14" t="s">
        <v>106</v>
      </c>
      <c r="S305" s="37" cm="1">
        <f t="array" aca="1" ref="S3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3.2139324221297554</v>
      </c>
      <c r="T305" s="346" t="s">
        <v>1484</v>
      </c>
      <c r="U305" s="347">
        <f ca="1">S305*Fuel_Specs!$B$19/S296</f>
        <v>47925.868072024008</v>
      </c>
      <c r="V305" s="347">
        <v>3.2139324221297554</v>
      </c>
      <c r="W305" s="347">
        <v>47925.868072024008</v>
      </c>
      <c r="X305" s="37" t="s">
        <v>5</v>
      </c>
      <c r="Y305" s="346" t="s">
        <v>413</v>
      </c>
      <c r="Z305" s="14" t="str">
        <f>IF(ISBLANK(LCI_Table[[#This Row],[Notes for user]])," ",LCI_Table[[#This Row],[Notes for user]])</f>
        <v xml:space="preserve"> </v>
      </c>
      <c r="AA305" s="14"/>
      <c r="AB305" s="14"/>
      <c r="AC305" s="346">
        <f ca="1">LCI_Table[[#This Row],[Default Calculated Value]]-LCI_Table[[#This Row],[Calculated Value]]</f>
        <v>0</v>
      </c>
    </row>
    <row r="306" spans="1:29" x14ac:dyDescent="0.3">
      <c r="A3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MiscanthusFTGREETGREET(blank)_Miscanthus_Farming_GasolineGasoline</v>
      </c>
      <c r="B306" s="14" t="s">
        <v>134</v>
      </c>
      <c r="C306" s="14" t="s">
        <v>129</v>
      </c>
      <c r="D306" s="14" t="s">
        <v>29</v>
      </c>
      <c r="E306" s="48" t="s">
        <v>29</v>
      </c>
      <c r="F306" s="14" t="s">
        <v>31</v>
      </c>
      <c r="G306" s="14" t="b">
        <f>OR(LCI_Table[[#This Row],[Feedstock]]="All",LCI_Table[[#This Row],[Feedstock]]=SelectedFeedstock)</f>
        <v>0</v>
      </c>
      <c r="H306" s="14" t="b">
        <f>OR(LCI_Table[[#This Row],[Conversion]]="All",LCI_Table[[#This Row],[Conversion]]=SelectedConversion)</f>
        <v>0</v>
      </c>
      <c r="I306" s="14" t="b">
        <f>OR(LCI_Table[[#This Row],[Data Set]]="all",LCI_Table[[#This Row],[Data Set]]=SelectedDataSet)</f>
        <v>1</v>
      </c>
      <c r="J306" s="14" t="b">
        <f>OR(LCI_Table[[#This Row],[Technology]]="All",LCI_Table[[#This Row],[Technology]]=SelectedTechnology)</f>
        <v>1</v>
      </c>
      <c r="K306" s="14" t="b">
        <f>OR(LCI_Table[[#This Row],[Data Source]]="All",LCI_Table[[#This Row],[Data Source]]=SelectedDataSource)</f>
        <v>1</v>
      </c>
      <c r="L306" s="14" t="b">
        <f>TRUE</f>
        <v>1</v>
      </c>
      <c r="M306" s="14" t="b">
        <f>(LCI_Table[[#This Row],[Dev Notes]]="Do not display")</f>
        <v>0</v>
      </c>
      <c r="N306" s="14" t="b">
        <f>AND(LCI_Table[[#This Row],[Show Feedstock]:[Conditional]],NOT(LCI_Table[[#This Row],[Hide Row]]))</f>
        <v>0</v>
      </c>
      <c r="O306" s="14" t="b">
        <f>LCI_Table[[#This Row],[GREET1 Name Range]]=""</f>
        <v>0</v>
      </c>
      <c r="P306" s="14" t="s">
        <v>14</v>
      </c>
      <c r="Q306" s="14" t="s">
        <v>706</v>
      </c>
      <c r="R306" s="14" t="s">
        <v>107</v>
      </c>
      <c r="S306" s="37" cm="1">
        <f t="array" aca="1" ref="S3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06" s="346" t="s">
        <v>1484</v>
      </c>
      <c r="U306" s="347">
        <f ca="1">S306*Fuel_Specs!$B$15/S296</f>
        <v>0</v>
      </c>
      <c r="V306" s="347">
        <v>0</v>
      </c>
      <c r="W306" s="347">
        <v>0</v>
      </c>
      <c r="X306" s="37" t="s">
        <v>5</v>
      </c>
      <c r="Y306" s="346" t="s">
        <v>413</v>
      </c>
      <c r="Z306" s="14" t="str">
        <f>IF(ISBLANK(LCI_Table[[#This Row],[Notes for user]])," ",LCI_Table[[#This Row],[Notes for user]])</f>
        <v xml:space="preserve"> </v>
      </c>
      <c r="AA306" s="14"/>
      <c r="AB306" s="14"/>
      <c r="AC306" s="346">
        <f ca="1">LCI_Table[[#This Row],[Default Calculated Value]]-LCI_Table[[#This Row],[Calculated Value]]</f>
        <v>0</v>
      </c>
    </row>
    <row r="307" spans="1:29" x14ac:dyDescent="0.3">
      <c r="A3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MiscanthusFTGREETGREET(blank)_Miscanthus_Farming_Natural_gasNatural gas</v>
      </c>
      <c r="B307" s="14" t="s">
        <v>134</v>
      </c>
      <c r="C307" s="14" t="s">
        <v>129</v>
      </c>
      <c r="D307" s="14" t="s">
        <v>29</v>
      </c>
      <c r="E307" s="48" t="s">
        <v>29</v>
      </c>
      <c r="F307" s="14" t="s">
        <v>31</v>
      </c>
      <c r="G307" s="14" t="b">
        <f>OR(LCI_Table[[#This Row],[Feedstock]]="All",LCI_Table[[#This Row],[Feedstock]]=SelectedFeedstock)</f>
        <v>0</v>
      </c>
      <c r="H307" s="14" t="b">
        <f>OR(LCI_Table[[#This Row],[Conversion]]="All",LCI_Table[[#This Row],[Conversion]]=SelectedConversion)</f>
        <v>0</v>
      </c>
      <c r="I307" s="14" t="b">
        <f>OR(LCI_Table[[#This Row],[Data Set]]="all",LCI_Table[[#This Row],[Data Set]]=SelectedDataSet)</f>
        <v>1</v>
      </c>
      <c r="J307" s="14" t="b">
        <f>OR(LCI_Table[[#This Row],[Technology]]="All",LCI_Table[[#This Row],[Technology]]=SelectedTechnology)</f>
        <v>1</v>
      </c>
      <c r="K307" s="14" t="b">
        <f>OR(LCI_Table[[#This Row],[Data Source]]="All",LCI_Table[[#This Row],[Data Source]]=SelectedDataSource)</f>
        <v>1</v>
      </c>
      <c r="L307" s="14" t="b">
        <f>TRUE</f>
        <v>1</v>
      </c>
      <c r="M307" s="14" t="b">
        <f>(LCI_Table[[#This Row],[Dev Notes]]="Do not display")</f>
        <v>0</v>
      </c>
      <c r="N307" s="14" t="b">
        <f>AND(LCI_Table[[#This Row],[Show Feedstock]:[Conditional]],NOT(LCI_Table[[#This Row],[Hide Row]]))</f>
        <v>0</v>
      </c>
      <c r="O307" s="14" t="b">
        <f>LCI_Table[[#This Row],[GREET1 Name Range]]=""</f>
        <v>0</v>
      </c>
      <c r="P307" s="14" t="s">
        <v>14</v>
      </c>
      <c r="Q307" s="14" t="s">
        <v>712</v>
      </c>
      <c r="R307" s="14" t="s">
        <v>108</v>
      </c>
      <c r="S307" s="37" cm="1">
        <f t="array" aca="1" ref="S3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07" s="346" t="s">
        <v>2109</v>
      </c>
      <c r="U307" s="347">
        <f ca="1">S307*Fuel_Specs!$B$79/S296</f>
        <v>0</v>
      </c>
      <c r="V307" s="347">
        <v>0</v>
      </c>
      <c r="W307" s="347">
        <v>0</v>
      </c>
      <c r="X307" s="37" t="s">
        <v>351</v>
      </c>
      <c r="Y307" s="346" t="s">
        <v>413</v>
      </c>
      <c r="Z307" s="14" t="str">
        <f>IF(ISBLANK(LCI_Table[[#This Row],[Notes for user]])," ",LCI_Table[[#This Row],[Notes for user]])</f>
        <v xml:space="preserve"> </v>
      </c>
      <c r="AA307" s="14"/>
      <c r="AB307" s="14"/>
      <c r="AC307" s="346">
        <f ca="1">LCI_Table[[#This Row],[Default Calculated Value]]-LCI_Table[[#This Row],[Calculated Value]]</f>
        <v>0</v>
      </c>
    </row>
    <row r="308" spans="1:29" x14ac:dyDescent="0.3">
      <c r="A3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MiscanthusFTGREETGREET(blank)_Miscanthus_Farming_CoalCoal</v>
      </c>
      <c r="B308" s="14" t="s">
        <v>134</v>
      </c>
      <c r="C308" s="14" t="s">
        <v>129</v>
      </c>
      <c r="D308" s="14" t="s">
        <v>29</v>
      </c>
      <c r="E308" s="48" t="s">
        <v>29</v>
      </c>
      <c r="F308" s="14" t="s">
        <v>31</v>
      </c>
      <c r="G308" s="14" t="b">
        <f>OR(LCI_Table[[#This Row],[Feedstock]]="All",LCI_Table[[#This Row],[Feedstock]]=SelectedFeedstock)</f>
        <v>0</v>
      </c>
      <c r="H308" s="14" t="b">
        <f>OR(LCI_Table[[#This Row],[Conversion]]="All",LCI_Table[[#This Row],[Conversion]]=SelectedConversion)</f>
        <v>0</v>
      </c>
      <c r="I308" s="14" t="b">
        <f>OR(LCI_Table[[#This Row],[Data Set]]="all",LCI_Table[[#This Row],[Data Set]]=SelectedDataSet)</f>
        <v>1</v>
      </c>
      <c r="J308" s="14" t="b">
        <f>OR(LCI_Table[[#This Row],[Technology]]="All",LCI_Table[[#This Row],[Technology]]=SelectedTechnology)</f>
        <v>1</v>
      </c>
      <c r="K308" s="14" t="b">
        <f>OR(LCI_Table[[#This Row],[Data Source]]="All",LCI_Table[[#This Row],[Data Source]]=SelectedDataSource)</f>
        <v>1</v>
      </c>
      <c r="L308" s="14" t="b">
        <f>TRUE</f>
        <v>1</v>
      </c>
      <c r="M308" s="14" t="b">
        <f>(LCI_Table[[#This Row],[Dev Notes]]="Do not display")</f>
        <v>0</v>
      </c>
      <c r="N308" s="14" t="b">
        <f>AND(LCI_Table[[#This Row],[Show Feedstock]:[Conditional]],NOT(LCI_Table[[#This Row],[Hide Row]]))</f>
        <v>0</v>
      </c>
      <c r="O308" s="14" t="b">
        <f>LCI_Table[[#This Row],[GREET1 Name Range]]=""</f>
        <v>0</v>
      </c>
      <c r="P308" s="14" t="s">
        <v>14</v>
      </c>
      <c r="Q308" s="14" t="s">
        <v>703</v>
      </c>
      <c r="R308" s="14" t="s">
        <v>9</v>
      </c>
      <c r="S308" s="37" cm="1">
        <f t="array" aca="1" ref="S3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08" s="346" t="s">
        <v>2110</v>
      </c>
      <c r="U308" s="347">
        <f ca="1">S308/S296</f>
        <v>0</v>
      </c>
      <c r="V308" s="347">
        <v>0</v>
      </c>
      <c r="W308" s="347">
        <v>0</v>
      </c>
      <c r="X308" s="37" t="s">
        <v>117</v>
      </c>
      <c r="Y308" s="346" t="s">
        <v>413</v>
      </c>
      <c r="Z308" s="14" t="str">
        <f>IF(ISBLANK(LCI_Table[[#This Row],[Notes for user]])," ",LCI_Table[[#This Row],[Notes for user]])</f>
        <v xml:space="preserve"> </v>
      </c>
      <c r="AA308" s="14"/>
      <c r="AB308" s="14"/>
      <c r="AC308" s="346">
        <f ca="1">LCI_Table[[#This Row],[Default Calculated Value]]-LCI_Table[[#This Row],[Calculated Value]]</f>
        <v>0</v>
      </c>
    </row>
    <row r="309" spans="1:29" x14ac:dyDescent="0.3">
      <c r="A3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MiscanthusFTGREETGREET(blank)_Miscanthus_Farming_LPGLPG</v>
      </c>
      <c r="B309" s="14" t="s">
        <v>134</v>
      </c>
      <c r="C309" s="14" t="s">
        <v>129</v>
      </c>
      <c r="D309" s="14" t="s">
        <v>29</v>
      </c>
      <c r="E309" s="48" t="s">
        <v>29</v>
      </c>
      <c r="F309" s="14" t="s">
        <v>31</v>
      </c>
      <c r="G309" s="14" t="b">
        <f>OR(LCI_Table[[#This Row],[Feedstock]]="All",LCI_Table[[#This Row],[Feedstock]]=SelectedFeedstock)</f>
        <v>0</v>
      </c>
      <c r="H309" s="14" t="b">
        <f>OR(LCI_Table[[#This Row],[Conversion]]="All",LCI_Table[[#This Row],[Conversion]]=SelectedConversion)</f>
        <v>0</v>
      </c>
      <c r="I309" s="14" t="b">
        <f>OR(LCI_Table[[#This Row],[Data Set]]="all",LCI_Table[[#This Row],[Data Set]]=SelectedDataSet)</f>
        <v>1</v>
      </c>
      <c r="J309" s="14" t="b">
        <f>OR(LCI_Table[[#This Row],[Technology]]="All",LCI_Table[[#This Row],[Technology]]=SelectedTechnology)</f>
        <v>1</v>
      </c>
      <c r="K309" s="14" t="b">
        <f>OR(LCI_Table[[#This Row],[Data Source]]="All",LCI_Table[[#This Row],[Data Source]]=SelectedDataSource)</f>
        <v>1</v>
      </c>
      <c r="L309" s="14" t="b">
        <f>TRUE</f>
        <v>1</v>
      </c>
      <c r="M309" s="14" t="b">
        <f>(LCI_Table[[#This Row],[Dev Notes]]="Do not display")</f>
        <v>0</v>
      </c>
      <c r="N309" s="14" t="b">
        <f>AND(LCI_Table[[#This Row],[Show Feedstock]:[Conditional]],NOT(LCI_Table[[#This Row],[Hide Row]]))</f>
        <v>0</v>
      </c>
      <c r="O309" s="14" t="b">
        <f>LCI_Table[[#This Row],[GREET1 Name Range]]=""</f>
        <v>0</v>
      </c>
      <c r="P309" s="14" t="s">
        <v>14</v>
      </c>
      <c r="Q309" s="14" t="s">
        <v>711</v>
      </c>
      <c r="R309" s="14" t="s">
        <v>109</v>
      </c>
      <c r="S309" s="37" cm="1">
        <f t="array" aca="1" ref="S3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09" s="346" t="s">
        <v>1484</v>
      </c>
      <c r="U309" s="347">
        <f ca="1">S309*Fuel_Specs!$B$35/S296</f>
        <v>0</v>
      </c>
      <c r="V309" s="347">
        <v>0</v>
      </c>
      <c r="W309" s="347">
        <v>0</v>
      </c>
      <c r="X309" s="37" t="s">
        <v>5</v>
      </c>
      <c r="Y309" s="346" t="s">
        <v>413</v>
      </c>
      <c r="Z309" s="14" t="str">
        <f>IF(ISBLANK(LCI_Table[[#This Row],[Notes for user]])," ",LCI_Table[[#This Row],[Notes for user]])</f>
        <v xml:space="preserve"> </v>
      </c>
      <c r="AA309" s="14"/>
      <c r="AB309" s="14"/>
      <c r="AC309" s="346">
        <f ca="1">LCI_Table[[#This Row],[Default Calculated Value]]-LCI_Table[[#This Row],[Calculated Value]]</f>
        <v>0</v>
      </c>
    </row>
    <row r="310" spans="1:29" x14ac:dyDescent="0.3">
      <c r="A3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MiscanthusFTGREETGREET(blank)_Miscanthus_Farming_ElectricityElectricity</v>
      </c>
      <c r="B310" s="14" t="s">
        <v>134</v>
      </c>
      <c r="C310" s="14" t="s">
        <v>129</v>
      </c>
      <c r="D310" s="14" t="s">
        <v>29</v>
      </c>
      <c r="E310" s="48" t="s">
        <v>29</v>
      </c>
      <c r="F310" s="14" t="s">
        <v>31</v>
      </c>
      <c r="G310" s="14" t="b">
        <f>OR(LCI_Table[[#This Row],[Feedstock]]="All",LCI_Table[[#This Row],[Feedstock]]=SelectedFeedstock)</f>
        <v>0</v>
      </c>
      <c r="H310" s="14" t="b">
        <f>OR(LCI_Table[[#This Row],[Conversion]]="All",LCI_Table[[#This Row],[Conversion]]=SelectedConversion)</f>
        <v>0</v>
      </c>
      <c r="I310" s="14" t="b">
        <f>OR(LCI_Table[[#This Row],[Data Set]]="all",LCI_Table[[#This Row],[Data Set]]=SelectedDataSet)</f>
        <v>1</v>
      </c>
      <c r="J310" s="14" t="b">
        <f>OR(LCI_Table[[#This Row],[Technology]]="All",LCI_Table[[#This Row],[Technology]]=SelectedTechnology)</f>
        <v>1</v>
      </c>
      <c r="K310" s="14" t="b">
        <f>OR(LCI_Table[[#This Row],[Data Source]]="All",LCI_Table[[#This Row],[Data Source]]=SelectedDataSource)</f>
        <v>1</v>
      </c>
      <c r="L310" s="14" t="b">
        <f>TRUE</f>
        <v>1</v>
      </c>
      <c r="M310" s="14" t="b">
        <f>(LCI_Table[[#This Row],[Dev Notes]]="Do not display")</f>
        <v>0</v>
      </c>
      <c r="N310" s="14" t="b">
        <f>AND(LCI_Table[[#This Row],[Show Feedstock]:[Conditional]],NOT(LCI_Table[[#This Row],[Hide Row]]))</f>
        <v>0</v>
      </c>
      <c r="O310" s="14" t="b">
        <f>LCI_Table[[#This Row],[GREET1 Name Range]]=""</f>
        <v>0</v>
      </c>
      <c r="P310" s="14" t="s">
        <v>14</v>
      </c>
      <c r="Q310" s="14" t="s">
        <v>705</v>
      </c>
      <c r="R310" s="14" t="s">
        <v>110</v>
      </c>
      <c r="S310" s="37" cm="1">
        <f t="array" aca="1" ref="S3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9.387422122233648</v>
      </c>
      <c r="T310" s="346" t="s">
        <v>1561</v>
      </c>
      <c r="U310" s="347">
        <f ca="1">S310/BTU2kWh/S296</f>
        <v>3718.5406764815002</v>
      </c>
      <c r="V310" s="347">
        <v>9.387422122233648</v>
      </c>
      <c r="W310" s="347">
        <v>3718.5406764815002</v>
      </c>
      <c r="X310" s="37" t="s">
        <v>51</v>
      </c>
      <c r="Y310" s="346" t="s">
        <v>413</v>
      </c>
      <c r="Z310" s="14" t="str">
        <f>IF(ISBLANK(LCI_Table[[#This Row],[Notes for user]])," ",LCI_Table[[#This Row],[Notes for user]])</f>
        <v xml:space="preserve"> </v>
      </c>
      <c r="AA310" s="14"/>
      <c r="AB310" s="14"/>
      <c r="AC310" s="346">
        <f ca="1">LCI_Table[[#This Row],[Default Calculated Value]]-LCI_Table[[#This Row],[Calculated Value]]</f>
        <v>0</v>
      </c>
    </row>
    <row r="311" spans="1:29" x14ac:dyDescent="0.3">
      <c r="A3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MiscanthusFTGREETGREET(blank)_Miscanthus_FT_efficiencyMiscanthus</v>
      </c>
      <c r="B311" s="14" t="s">
        <v>134</v>
      </c>
      <c r="C311" s="14" t="s">
        <v>129</v>
      </c>
      <c r="D311" s="14" t="s">
        <v>29</v>
      </c>
      <c r="E311" s="48" t="s">
        <v>29</v>
      </c>
      <c r="F311" s="14" t="s">
        <v>31</v>
      </c>
      <c r="G311" s="14" t="b">
        <f>OR(LCI_Table[[#This Row],[Feedstock]]="All",LCI_Table[[#This Row],[Feedstock]]=SelectedFeedstock)</f>
        <v>0</v>
      </c>
      <c r="H311" s="14" t="b">
        <f>OR(LCI_Table[[#This Row],[Conversion]]="All",LCI_Table[[#This Row],[Conversion]]=SelectedConversion)</f>
        <v>0</v>
      </c>
      <c r="I311" s="14" t="b">
        <f>OR(LCI_Table[[#This Row],[Data Set]]="all",LCI_Table[[#This Row],[Data Set]]=SelectedDataSet)</f>
        <v>1</v>
      </c>
      <c r="J311" s="14" t="b">
        <f>OR(LCI_Table[[#This Row],[Technology]]="All",LCI_Table[[#This Row],[Technology]]=SelectedTechnology)</f>
        <v>1</v>
      </c>
      <c r="K311" s="14" t="b">
        <f>OR(LCI_Table[[#This Row],[Data Source]]="All",LCI_Table[[#This Row],[Data Source]]=SelectedDataSource)</f>
        <v>1</v>
      </c>
      <c r="L311" s="14" t="b">
        <f>TRUE</f>
        <v>1</v>
      </c>
      <c r="M311" s="14" t="b">
        <f>(LCI_Table[[#This Row],[Dev Notes]]="Do not display")</f>
        <v>0</v>
      </c>
      <c r="N311" s="14" t="b">
        <f>AND(LCI_Table[[#This Row],[Show Feedstock]:[Conditional]],NOT(LCI_Table[[#This Row],[Hide Row]]))</f>
        <v>0</v>
      </c>
      <c r="O311" s="14" t="b">
        <f>LCI_Table[[#This Row],[GREET1 Name Range]]=""</f>
        <v>0</v>
      </c>
      <c r="P311" s="14" t="s">
        <v>1448</v>
      </c>
      <c r="Q311" s="14" t="s">
        <v>937</v>
      </c>
      <c r="R311" s="14" t="s">
        <v>134</v>
      </c>
      <c r="S311" s="37" cm="1">
        <f t="array" aca="1" ref="S3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0.1303611002476861</v>
      </c>
      <c r="T311" s="346" t="s">
        <v>2125</v>
      </c>
      <c r="U311" s="347">
        <f ca="1">1/(S311*Fuel_Specs!$B$98*BTU2mmBTU)</f>
        <v>0.5</v>
      </c>
      <c r="V311" s="347">
        <v>0.1303611002476861</v>
      </c>
      <c r="W311" s="347">
        <v>0.5</v>
      </c>
      <c r="X311" s="37" t="s">
        <v>55</v>
      </c>
      <c r="Y311" s="346" t="s">
        <v>416</v>
      </c>
      <c r="Z311" s="14" t="str">
        <f>IF(ISBLANK(LCI_Table[[#This Row],[Notes for user]])," ",LCI_Table[[#This Row],[Notes for user]])</f>
        <v xml:space="preserve"> </v>
      </c>
      <c r="AA311" s="14"/>
      <c r="AB311" s="14"/>
      <c r="AC311" s="346">
        <f ca="1">LCI_Table[[#This Row],[Default Calculated Value]]-LCI_Table[[#This Row],[Calculated Value]]</f>
        <v>0</v>
      </c>
    </row>
    <row r="312" spans="1:29" x14ac:dyDescent="0.3">
      <c r="A3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stoverFTGREETGREET(blank)_Yield_Collection</v>
      </c>
      <c r="B312" s="48" t="s">
        <v>135</v>
      </c>
      <c r="C312" s="48" t="s">
        <v>129</v>
      </c>
      <c r="D312" s="48" t="s">
        <v>29</v>
      </c>
      <c r="E312" s="48" t="s">
        <v>29</v>
      </c>
      <c r="F312" s="48" t="s">
        <v>31</v>
      </c>
      <c r="G312" s="14" t="b">
        <f>OR(LCI_Table[[#This Row],[Feedstock]]="All",LCI_Table[[#This Row],[Feedstock]]=SelectedFeedstock)</f>
        <v>0</v>
      </c>
      <c r="H312" s="14" t="b">
        <f>OR(LCI_Table[[#This Row],[Conversion]]="All",LCI_Table[[#This Row],[Conversion]]=SelectedConversion)</f>
        <v>0</v>
      </c>
      <c r="I312" s="14" t="b">
        <f>OR(LCI_Table[[#This Row],[Data Set]]="all",LCI_Table[[#This Row],[Data Set]]=SelectedDataSet)</f>
        <v>1</v>
      </c>
      <c r="J312" s="14" t="b">
        <f>OR(LCI_Table[[#This Row],[Technology]]="All",LCI_Table[[#This Row],[Technology]]=SelectedTechnology)</f>
        <v>1</v>
      </c>
      <c r="K312" s="14" t="b">
        <f>OR(LCI_Table[[#This Row],[Data Source]]="All",LCI_Table[[#This Row],[Data Source]]=SelectedDataSource)</f>
        <v>1</v>
      </c>
      <c r="L312" s="14" t="b">
        <f>TRUE</f>
        <v>1</v>
      </c>
      <c r="M312" s="14" t="b">
        <f>(LCI_Table[[#This Row],[Dev Notes]]="Do not display")</f>
        <v>0</v>
      </c>
      <c r="N312" s="14" t="b">
        <f>AND(LCI_Table[[#This Row],[Show Feedstock]:[Conditional]],NOT(LCI_Table[[#This Row],[Hide Row]]))</f>
        <v>0</v>
      </c>
      <c r="O312" s="14" t="b">
        <f>LCI_Table[[#This Row],[GREET1 Name Range]]=""</f>
        <v>1</v>
      </c>
      <c r="P312" s="48" t="s">
        <v>147</v>
      </c>
      <c r="Q312" s="14" t="s">
        <v>361</v>
      </c>
      <c r="R312" s="48" t="s">
        <v>200</v>
      </c>
      <c r="S312" s="37" cm="1">
        <f t="array" aca="1" ref="S3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1.2844800000000001</v>
      </c>
      <c r="T312" s="346" t="s">
        <v>2116</v>
      </c>
      <c r="U312" s="344">
        <f>LCI_Table[[#This Row],[Default Displayed Value]]</f>
        <v>1.2844800000000001</v>
      </c>
      <c r="V312" s="344">
        <v>1.2844800000000001</v>
      </c>
      <c r="W312" s="344">
        <v>1.2844800000000001</v>
      </c>
      <c r="X312" s="48" t="s">
        <v>55</v>
      </c>
      <c r="Y312" s="346" t="s">
        <v>413</v>
      </c>
      <c r="Z312" s="14" t="str">
        <f>IF(ISBLANK(LCI_Table[[#This Row],[Notes for user]])," ",LCI_Table[[#This Row],[Notes for user]])</f>
        <v xml:space="preserve"> </v>
      </c>
      <c r="AA312" s="48"/>
      <c r="AB312" s="345"/>
      <c r="AC312" s="346">
        <f>LCI_Table[[#This Row],[Default Calculated Value]]-LCI_Table[[#This Row],[Calculated Value]]</f>
        <v>0</v>
      </c>
    </row>
    <row r="313" spans="1:29" x14ac:dyDescent="0.3">
      <c r="A3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stoverFTGREETGREET(blank)_CornStover_Farming_Nitrogen_fertilizerNitrogen fertilizer</v>
      </c>
      <c r="B313" s="14" t="s">
        <v>135</v>
      </c>
      <c r="C313" s="14" t="s">
        <v>129</v>
      </c>
      <c r="D313" s="14" t="s">
        <v>29</v>
      </c>
      <c r="E313" s="48" t="s">
        <v>29</v>
      </c>
      <c r="F313" s="14" t="s">
        <v>31</v>
      </c>
      <c r="G313" s="14" t="b">
        <f>OR(LCI_Table[[#This Row],[Feedstock]]="All",LCI_Table[[#This Row],[Feedstock]]=SelectedFeedstock)</f>
        <v>0</v>
      </c>
      <c r="H313" s="14" t="b">
        <f>OR(LCI_Table[[#This Row],[Conversion]]="All",LCI_Table[[#This Row],[Conversion]]=SelectedConversion)</f>
        <v>0</v>
      </c>
      <c r="I313" s="14" t="b">
        <f>OR(LCI_Table[[#This Row],[Data Set]]="all",LCI_Table[[#This Row],[Data Set]]=SelectedDataSet)</f>
        <v>1</v>
      </c>
      <c r="J313" s="14" t="b">
        <f>OR(LCI_Table[[#This Row],[Technology]]="All",LCI_Table[[#This Row],[Technology]]=SelectedTechnology)</f>
        <v>1</v>
      </c>
      <c r="K313" s="14" t="b">
        <f>OR(LCI_Table[[#This Row],[Data Source]]="All",LCI_Table[[#This Row],[Data Source]]=SelectedDataSource)</f>
        <v>1</v>
      </c>
      <c r="L313" s="14" t="b">
        <f>TRUE</f>
        <v>1</v>
      </c>
      <c r="M313" s="14" t="b">
        <f>(LCI_Table[[#This Row],[Dev Notes]]="Do not display")</f>
        <v>0</v>
      </c>
      <c r="N313" s="14" t="b">
        <f>AND(LCI_Table[[#This Row],[Show Feedstock]:[Conditional]],NOT(LCI_Table[[#This Row],[Hide Row]]))</f>
        <v>0</v>
      </c>
      <c r="O313" s="14" t="b">
        <f>LCI_Table[[#This Row],[GREET1 Name Range]]=""</f>
        <v>0</v>
      </c>
      <c r="P313" s="14" t="s">
        <v>147</v>
      </c>
      <c r="Q313" s="14" t="s">
        <v>614</v>
      </c>
      <c r="R313" s="14" t="s">
        <v>111</v>
      </c>
      <c r="S313" s="37" cm="1">
        <f t="array" aca="1" ref="S3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9.0130548121262457</v>
      </c>
      <c r="T313" s="346" t="s">
        <v>1485</v>
      </c>
      <c r="U313" s="347">
        <f ca="1">S313/S312*lb2g</f>
        <v>3182.8077456809356</v>
      </c>
      <c r="V313" s="347">
        <v>9.0130548121262457</v>
      </c>
      <c r="W313" s="347">
        <v>3182.8077456809356</v>
      </c>
      <c r="X313" s="37" t="s">
        <v>12</v>
      </c>
      <c r="Y313" s="346" t="s">
        <v>413</v>
      </c>
      <c r="Z313" s="14" t="str">
        <f>IF(ISBLANK(LCI_Table[[#This Row],[Notes for user]])," ",LCI_Table[[#This Row],[Notes for user]])</f>
        <v xml:space="preserve"> </v>
      </c>
      <c r="AA313" s="14"/>
      <c r="AB313" s="14"/>
      <c r="AC313" s="346">
        <f ca="1">LCI_Table[[#This Row],[Default Calculated Value]]-LCI_Table[[#This Row],[Calculated Value]]</f>
        <v>0</v>
      </c>
    </row>
    <row r="314" spans="1:29" x14ac:dyDescent="0.3">
      <c r="A3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stoverFTGREETGREET(blank)_CornStover_Farming_P2O5P2O5</v>
      </c>
      <c r="B314" s="14" t="s">
        <v>135</v>
      </c>
      <c r="C314" s="14" t="s">
        <v>129</v>
      </c>
      <c r="D314" s="14" t="s">
        <v>29</v>
      </c>
      <c r="E314" s="48" t="s">
        <v>29</v>
      </c>
      <c r="F314" s="14" t="s">
        <v>31</v>
      </c>
      <c r="G314" s="14" t="b">
        <f>OR(LCI_Table[[#This Row],[Feedstock]]="All",LCI_Table[[#This Row],[Feedstock]]=SelectedFeedstock)</f>
        <v>0</v>
      </c>
      <c r="H314" s="14" t="b">
        <f>OR(LCI_Table[[#This Row],[Conversion]]="All",LCI_Table[[#This Row],[Conversion]]=SelectedConversion)</f>
        <v>0</v>
      </c>
      <c r="I314" s="14" t="b">
        <f>OR(LCI_Table[[#This Row],[Data Set]]="all",LCI_Table[[#This Row],[Data Set]]=SelectedDataSet)</f>
        <v>1</v>
      </c>
      <c r="J314" s="14" t="b">
        <f>OR(LCI_Table[[#This Row],[Technology]]="All",LCI_Table[[#This Row],[Technology]]=SelectedTechnology)</f>
        <v>1</v>
      </c>
      <c r="K314" s="14" t="b">
        <f>OR(LCI_Table[[#This Row],[Data Source]]="All",LCI_Table[[#This Row],[Data Source]]=SelectedDataSource)</f>
        <v>1</v>
      </c>
      <c r="L314" s="14" t="b">
        <f>TRUE</f>
        <v>1</v>
      </c>
      <c r="M314" s="14" t="b">
        <f>(LCI_Table[[#This Row],[Dev Notes]]="Do not display")</f>
        <v>0</v>
      </c>
      <c r="N314" s="14" t="b">
        <f>AND(LCI_Table[[#This Row],[Show Feedstock]:[Conditional]],NOT(LCI_Table[[#This Row],[Hide Row]]))</f>
        <v>0</v>
      </c>
      <c r="O314" s="14" t="b">
        <f>LCI_Table[[#This Row],[GREET1 Name Range]]=""</f>
        <v>0</v>
      </c>
      <c r="P314" s="14" t="s">
        <v>147</v>
      </c>
      <c r="Q314" s="14" t="s">
        <v>615</v>
      </c>
      <c r="R314" s="14" t="s">
        <v>112</v>
      </c>
      <c r="S314" s="37" cm="1">
        <f t="array" aca="1" ref="S3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6.4378962943758911</v>
      </c>
      <c r="T314" s="346" t="s">
        <v>1485</v>
      </c>
      <c r="U314" s="347">
        <f ca="1">S314/S312*lb2g</f>
        <v>2273.434104057812</v>
      </c>
      <c r="V314" s="347">
        <v>6.4378962943758911</v>
      </c>
      <c r="W314" s="347">
        <v>2273.434104057812</v>
      </c>
      <c r="X314" s="37" t="s">
        <v>12</v>
      </c>
      <c r="Y314" s="346" t="s">
        <v>413</v>
      </c>
      <c r="Z314" s="14" t="str">
        <f>IF(ISBLANK(LCI_Table[[#This Row],[Notes for user]])," ",LCI_Table[[#This Row],[Notes for user]])</f>
        <v xml:space="preserve"> </v>
      </c>
      <c r="AA314" s="14"/>
      <c r="AB314" s="14"/>
      <c r="AC314" s="346">
        <f ca="1">LCI_Table[[#This Row],[Default Calculated Value]]-LCI_Table[[#This Row],[Calculated Value]]</f>
        <v>0</v>
      </c>
    </row>
    <row r="315" spans="1:29" x14ac:dyDescent="0.3">
      <c r="A3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stoverFTGREETGREET(blank)_CornStover_Farming_K2OK2O</v>
      </c>
      <c r="B315" s="14" t="s">
        <v>135</v>
      </c>
      <c r="C315" s="14" t="s">
        <v>129</v>
      </c>
      <c r="D315" s="14" t="s">
        <v>29</v>
      </c>
      <c r="E315" s="48" t="s">
        <v>29</v>
      </c>
      <c r="F315" s="14" t="s">
        <v>31</v>
      </c>
      <c r="G315" s="14" t="b">
        <f>OR(LCI_Table[[#This Row],[Feedstock]]="All",LCI_Table[[#This Row],[Feedstock]]=SelectedFeedstock)</f>
        <v>0</v>
      </c>
      <c r="H315" s="14" t="b">
        <f>OR(LCI_Table[[#This Row],[Conversion]]="All",LCI_Table[[#This Row],[Conversion]]=SelectedConversion)</f>
        <v>0</v>
      </c>
      <c r="I315" s="14" t="b">
        <f>OR(LCI_Table[[#This Row],[Data Set]]="all",LCI_Table[[#This Row],[Data Set]]=SelectedDataSet)</f>
        <v>1</v>
      </c>
      <c r="J315" s="14" t="b">
        <f>OR(LCI_Table[[#This Row],[Technology]]="All",LCI_Table[[#This Row],[Technology]]=SelectedTechnology)</f>
        <v>1</v>
      </c>
      <c r="K315" s="14" t="b">
        <f>OR(LCI_Table[[#This Row],[Data Source]]="All",LCI_Table[[#This Row],[Data Source]]=SelectedDataSource)</f>
        <v>1</v>
      </c>
      <c r="L315" s="14" t="b">
        <f>TRUE</f>
        <v>1</v>
      </c>
      <c r="M315" s="14" t="b">
        <f>(LCI_Table[[#This Row],[Dev Notes]]="Do not display")</f>
        <v>0</v>
      </c>
      <c r="N315" s="14" t="b">
        <f>AND(LCI_Table[[#This Row],[Show Feedstock]:[Conditional]],NOT(LCI_Table[[#This Row],[Hide Row]]))</f>
        <v>0</v>
      </c>
      <c r="O315" s="14" t="b">
        <f>LCI_Table[[#This Row],[GREET1 Name Range]]=""</f>
        <v>0</v>
      </c>
      <c r="P315" s="14" t="s">
        <v>147</v>
      </c>
      <c r="Q315" s="14" t="s">
        <v>611</v>
      </c>
      <c r="R315" s="14" t="s">
        <v>113</v>
      </c>
      <c r="S315" s="37" cm="1">
        <f t="array" aca="1" ref="S3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38.627377766255343</v>
      </c>
      <c r="T315" s="346" t="s">
        <v>1485</v>
      </c>
      <c r="U315" s="347">
        <f ca="1">S315/S312*lb2g</f>
        <v>13640.60462434687</v>
      </c>
      <c r="V315" s="347">
        <v>38.627377766255343</v>
      </c>
      <c r="W315" s="347">
        <v>13640.60462434687</v>
      </c>
      <c r="X315" s="37" t="s">
        <v>12</v>
      </c>
      <c r="Y315" s="346" t="s">
        <v>413</v>
      </c>
      <c r="Z315" s="14" t="str">
        <f>IF(ISBLANK(LCI_Table[[#This Row],[Notes for user]])," ",LCI_Table[[#This Row],[Notes for user]])</f>
        <v xml:space="preserve"> </v>
      </c>
      <c r="AA315" s="14"/>
      <c r="AB315" s="14"/>
      <c r="AC315" s="346">
        <f ca="1">LCI_Table[[#This Row],[Default Calculated Value]]-LCI_Table[[#This Row],[Calculated Value]]</f>
        <v>0</v>
      </c>
    </row>
    <row r="316" spans="1:29" x14ac:dyDescent="0.3">
      <c r="A3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stoverFTGREETGREET(blank)_CornStover_Farming_HerbicidesHerbicides</v>
      </c>
      <c r="B316" s="14" t="s">
        <v>135</v>
      </c>
      <c r="C316" s="14" t="s">
        <v>129</v>
      </c>
      <c r="D316" s="14" t="s">
        <v>29</v>
      </c>
      <c r="E316" s="48" t="s">
        <v>29</v>
      </c>
      <c r="F316" s="14" t="s">
        <v>31</v>
      </c>
      <c r="G316" s="14" t="b">
        <f>OR(LCI_Table[[#This Row],[Feedstock]]="All",LCI_Table[[#This Row],[Feedstock]]=SelectedFeedstock)</f>
        <v>0</v>
      </c>
      <c r="H316" s="14" t="b">
        <f>OR(LCI_Table[[#This Row],[Conversion]]="All",LCI_Table[[#This Row],[Conversion]]=SelectedConversion)</f>
        <v>0</v>
      </c>
      <c r="I316" s="14" t="b">
        <f>OR(LCI_Table[[#This Row],[Data Set]]="all",LCI_Table[[#This Row],[Data Set]]=SelectedDataSet)</f>
        <v>1</v>
      </c>
      <c r="J316" s="14" t="b">
        <f>OR(LCI_Table[[#This Row],[Technology]]="All",LCI_Table[[#This Row],[Technology]]=SelectedTechnology)</f>
        <v>1</v>
      </c>
      <c r="K316" s="14" t="b">
        <f>OR(LCI_Table[[#This Row],[Data Source]]="All",LCI_Table[[#This Row],[Data Source]]=SelectedDataSource)</f>
        <v>1</v>
      </c>
      <c r="L316" s="14" t="b">
        <f>TRUE</f>
        <v>1</v>
      </c>
      <c r="M316" s="14" t="b">
        <f>(LCI_Table[[#This Row],[Dev Notes]]="Do not display")</f>
        <v>0</v>
      </c>
      <c r="N316" s="14" t="b">
        <f>AND(LCI_Table[[#This Row],[Show Feedstock]:[Conditional]],NOT(LCI_Table[[#This Row],[Hide Row]]))</f>
        <v>0</v>
      </c>
      <c r="O316" s="14" t="b">
        <f>LCI_Table[[#This Row],[GREET1 Name Range]]=""</f>
        <v>0</v>
      </c>
      <c r="P316" s="14" t="s">
        <v>147</v>
      </c>
      <c r="Q316" s="14" t="s">
        <v>609</v>
      </c>
      <c r="R316" s="14" t="s">
        <v>356</v>
      </c>
      <c r="S316" s="37" cm="1">
        <f t="array" aca="1" ref="S3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16" s="346" t="s">
        <v>1485</v>
      </c>
      <c r="U316" s="347">
        <f ca="1">S316/S312*lb2g</f>
        <v>0</v>
      </c>
      <c r="V316" s="347">
        <v>0</v>
      </c>
      <c r="W316" s="347">
        <v>0</v>
      </c>
      <c r="X316" s="37" t="s">
        <v>12</v>
      </c>
      <c r="Y316" s="346" t="s">
        <v>413</v>
      </c>
      <c r="Z316" s="14" t="str">
        <f>IF(ISBLANK(LCI_Table[[#This Row],[Notes for user]])," ",LCI_Table[[#This Row],[Notes for user]])</f>
        <v xml:space="preserve"> </v>
      </c>
      <c r="AA316" s="14"/>
      <c r="AB316" s="14"/>
      <c r="AC316" s="346">
        <f ca="1">LCI_Table[[#This Row],[Default Calculated Value]]-LCI_Table[[#This Row],[Calculated Value]]</f>
        <v>0</v>
      </c>
    </row>
    <row r="317" spans="1:29" x14ac:dyDescent="0.3">
      <c r="A3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stoverFTGREETGREET(blank)_CornStover_Farming_InsecticideInsecticide</v>
      </c>
      <c r="B317" s="14" t="s">
        <v>135</v>
      </c>
      <c r="C317" s="14" t="s">
        <v>129</v>
      </c>
      <c r="D317" s="14" t="s">
        <v>29</v>
      </c>
      <c r="E317" s="48" t="s">
        <v>29</v>
      </c>
      <c r="F317" s="14" t="s">
        <v>31</v>
      </c>
      <c r="G317" s="14" t="b">
        <f>OR(LCI_Table[[#This Row],[Feedstock]]="All",LCI_Table[[#This Row],[Feedstock]]=SelectedFeedstock)</f>
        <v>0</v>
      </c>
      <c r="H317" s="14" t="b">
        <f>OR(LCI_Table[[#This Row],[Conversion]]="All",LCI_Table[[#This Row],[Conversion]]=SelectedConversion)</f>
        <v>0</v>
      </c>
      <c r="I317" s="14" t="b">
        <f>OR(LCI_Table[[#This Row],[Data Set]]="all",LCI_Table[[#This Row],[Data Set]]=SelectedDataSet)</f>
        <v>1</v>
      </c>
      <c r="J317" s="14" t="b">
        <f>OR(LCI_Table[[#This Row],[Technology]]="All",LCI_Table[[#This Row],[Technology]]=SelectedTechnology)</f>
        <v>1</v>
      </c>
      <c r="K317" s="14" t="b">
        <f>OR(LCI_Table[[#This Row],[Data Source]]="All",LCI_Table[[#This Row],[Data Source]]=SelectedDataSource)</f>
        <v>1</v>
      </c>
      <c r="L317" s="14" t="b">
        <f>TRUE</f>
        <v>1</v>
      </c>
      <c r="M317" s="14" t="b">
        <f>(LCI_Table[[#This Row],[Dev Notes]]="Do not display")</f>
        <v>0</v>
      </c>
      <c r="N317" s="14" t="b">
        <f>AND(LCI_Table[[#This Row],[Show Feedstock]:[Conditional]],NOT(LCI_Table[[#This Row],[Hide Row]]))</f>
        <v>0</v>
      </c>
      <c r="O317" s="14" t="b">
        <f>LCI_Table[[#This Row],[GREET1 Name Range]]=""</f>
        <v>0</v>
      </c>
      <c r="P317" s="14" t="s">
        <v>147</v>
      </c>
      <c r="Q317" s="14" t="s">
        <v>610</v>
      </c>
      <c r="R317" s="14" t="s">
        <v>114</v>
      </c>
      <c r="S317" s="37" cm="1">
        <f t="array" aca="1" ref="S3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17" s="346" t="s">
        <v>1485</v>
      </c>
      <c r="U317" s="347">
        <f ca="1">S317/S312*lb2g</f>
        <v>0</v>
      </c>
      <c r="V317" s="347">
        <v>0</v>
      </c>
      <c r="W317" s="347">
        <v>0</v>
      </c>
      <c r="X317" s="37" t="s">
        <v>12</v>
      </c>
      <c r="Y317" s="346" t="s">
        <v>413</v>
      </c>
      <c r="Z317" s="14" t="str">
        <f>IF(ISBLANK(LCI_Table[[#This Row],[Notes for user]])," ",LCI_Table[[#This Row],[Notes for user]])</f>
        <v xml:space="preserve"> </v>
      </c>
      <c r="AA317" s="14"/>
      <c r="AB317" s="14"/>
      <c r="AC317" s="346">
        <f ca="1">LCI_Table[[#This Row],[Default Calculated Value]]-LCI_Table[[#This Row],[Calculated Value]]</f>
        <v>0</v>
      </c>
    </row>
    <row r="318" spans="1:29" x14ac:dyDescent="0.3">
      <c r="A3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stoverFTGREETGREET(blank)_CornStover_Farming_HDPEHDPE</v>
      </c>
      <c r="B318" s="14" t="s">
        <v>135</v>
      </c>
      <c r="C318" s="14" t="s">
        <v>129</v>
      </c>
      <c r="D318" s="14" t="s">
        <v>29</v>
      </c>
      <c r="E318" s="48" t="s">
        <v>29</v>
      </c>
      <c r="F318" s="14" t="s">
        <v>31</v>
      </c>
      <c r="G318" s="14" t="b">
        <f>OR(LCI_Table[[#This Row],[Feedstock]]="All",LCI_Table[[#This Row],[Feedstock]]=SelectedFeedstock)</f>
        <v>0</v>
      </c>
      <c r="H318" s="14" t="b">
        <f>OR(LCI_Table[[#This Row],[Conversion]]="All",LCI_Table[[#This Row],[Conversion]]=SelectedConversion)</f>
        <v>0</v>
      </c>
      <c r="I318" s="14" t="b">
        <f>OR(LCI_Table[[#This Row],[Data Set]]="all",LCI_Table[[#This Row],[Data Set]]=SelectedDataSet)</f>
        <v>1</v>
      </c>
      <c r="J318" s="14" t="b">
        <f>OR(LCI_Table[[#This Row],[Technology]]="All",LCI_Table[[#This Row],[Technology]]=SelectedTechnology)</f>
        <v>1</v>
      </c>
      <c r="K318" s="14" t="b">
        <f>OR(LCI_Table[[#This Row],[Data Source]]="All",LCI_Table[[#This Row],[Data Source]]=SelectedDataSource)</f>
        <v>1</v>
      </c>
      <c r="L318" s="14" t="b">
        <f>TRUE</f>
        <v>1</v>
      </c>
      <c r="M318" s="14" t="b">
        <f>(LCI_Table[[#This Row],[Dev Notes]]="Do not display")</f>
        <v>0</v>
      </c>
      <c r="N318" s="14" t="b">
        <f>AND(LCI_Table[[#This Row],[Show Feedstock]:[Conditional]],NOT(LCI_Table[[#This Row],[Hide Row]]))</f>
        <v>0</v>
      </c>
      <c r="O318" s="14" t="b">
        <f>LCI_Table[[#This Row],[GREET1 Name Range]]=""</f>
        <v>0</v>
      </c>
      <c r="P318" s="14" t="s">
        <v>147</v>
      </c>
      <c r="Q318" s="14" t="s">
        <v>608</v>
      </c>
      <c r="R318" s="14" t="s">
        <v>357</v>
      </c>
      <c r="S318" s="37" cm="1">
        <f t="array" aca="1" ref="S3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2.106854486992367E-3</v>
      </c>
      <c r="T318" s="346" t="s">
        <v>1485</v>
      </c>
      <c r="U318" s="347">
        <f ca="1">S318/S312*lb2g</f>
        <v>0.74400000000000155</v>
      </c>
      <c r="V318" s="347">
        <v>2.106854486992367E-3</v>
      </c>
      <c r="W318" s="347">
        <v>0.74400000000000155</v>
      </c>
      <c r="X318" s="37" t="s">
        <v>12</v>
      </c>
      <c r="Y318" s="346" t="s">
        <v>413</v>
      </c>
      <c r="Z318" s="14" t="str">
        <f>IF(ISBLANK(LCI_Table[[#This Row],[Notes for user]])," ",LCI_Table[[#This Row],[Notes for user]])</f>
        <v xml:space="preserve"> </v>
      </c>
      <c r="AA318" s="14"/>
      <c r="AB318" s="14"/>
      <c r="AC318" s="346">
        <f ca="1">LCI_Table[[#This Row],[Default Calculated Value]]-LCI_Table[[#This Row],[Calculated Value]]</f>
        <v>0</v>
      </c>
    </row>
    <row r="319" spans="1:29" x14ac:dyDescent="0.3">
      <c r="A3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stoverFTGREETGREET(blank)_CornStover_Farming_Residual_oilResidual oil</v>
      </c>
      <c r="B319" s="14" t="s">
        <v>135</v>
      </c>
      <c r="C319" s="14" t="s">
        <v>129</v>
      </c>
      <c r="D319" s="14" t="s">
        <v>29</v>
      </c>
      <c r="E319" s="48" t="s">
        <v>29</v>
      </c>
      <c r="F319" s="14" t="s">
        <v>31</v>
      </c>
      <c r="G319" s="14" t="b">
        <f>OR(LCI_Table[[#This Row],[Feedstock]]="All",LCI_Table[[#This Row],[Feedstock]]=SelectedFeedstock)</f>
        <v>0</v>
      </c>
      <c r="H319" s="14" t="b">
        <f>OR(LCI_Table[[#This Row],[Conversion]]="All",LCI_Table[[#This Row],[Conversion]]=SelectedConversion)</f>
        <v>0</v>
      </c>
      <c r="I319" s="14" t="b">
        <f>OR(LCI_Table[[#This Row],[Data Set]]="all",LCI_Table[[#This Row],[Data Set]]=SelectedDataSet)</f>
        <v>1</v>
      </c>
      <c r="J319" s="14" t="b">
        <f>OR(LCI_Table[[#This Row],[Technology]]="All",LCI_Table[[#This Row],[Technology]]=SelectedTechnology)</f>
        <v>1</v>
      </c>
      <c r="K319" s="14" t="b">
        <f>OR(LCI_Table[[#This Row],[Data Source]]="All",LCI_Table[[#This Row],[Data Source]]=SelectedDataSource)</f>
        <v>1</v>
      </c>
      <c r="L319" s="14" t="b">
        <f>TRUE</f>
        <v>1</v>
      </c>
      <c r="M319" s="14" t="b">
        <f>(LCI_Table[[#This Row],[Dev Notes]]="Do not display")</f>
        <v>0</v>
      </c>
      <c r="N319" s="14" t="b">
        <f>AND(LCI_Table[[#This Row],[Show Feedstock]:[Conditional]],NOT(LCI_Table[[#This Row],[Hide Row]]))</f>
        <v>0</v>
      </c>
      <c r="O319" s="14" t="b">
        <f>LCI_Table[[#This Row],[GREET1 Name Range]]=""</f>
        <v>0</v>
      </c>
      <c r="P319" s="14" t="s">
        <v>147</v>
      </c>
      <c r="Q319" s="14" t="s">
        <v>616</v>
      </c>
      <c r="R319" s="14" t="s">
        <v>115</v>
      </c>
      <c r="S319" s="37" cm="1">
        <f t="array" aca="1" ref="S3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19" s="346" t="s">
        <v>1484</v>
      </c>
      <c r="U319" s="347">
        <f ca="1">S319*Fuel_Specs!$B$28/S312</f>
        <v>0</v>
      </c>
      <c r="V319" s="347">
        <v>0</v>
      </c>
      <c r="W319" s="347">
        <v>0</v>
      </c>
      <c r="X319" s="37" t="s">
        <v>5</v>
      </c>
      <c r="Y319" s="346" t="s">
        <v>413</v>
      </c>
      <c r="Z319" s="14" t="str">
        <f>IF(ISBLANK(LCI_Table[[#This Row],[Notes for user]])," ",LCI_Table[[#This Row],[Notes for user]])</f>
        <v xml:space="preserve"> </v>
      </c>
      <c r="AA319" s="14"/>
      <c r="AB319" s="14"/>
      <c r="AC319" s="346">
        <f ca="1">LCI_Table[[#This Row],[Default Calculated Value]]-LCI_Table[[#This Row],[Calculated Value]]</f>
        <v>0</v>
      </c>
    </row>
    <row r="320" spans="1:29" x14ac:dyDescent="0.3">
      <c r="A3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stoverFTGREETGREET(blank)_CornStover_Farming_DieselDiesel</v>
      </c>
      <c r="B320" s="14" t="s">
        <v>135</v>
      </c>
      <c r="C320" s="14" t="s">
        <v>129</v>
      </c>
      <c r="D320" s="14" t="s">
        <v>29</v>
      </c>
      <c r="E320" s="48" t="s">
        <v>29</v>
      </c>
      <c r="F320" s="14" t="s">
        <v>31</v>
      </c>
      <c r="G320" s="14" t="b">
        <f>OR(LCI_Table[[#This Row],[Feedstock]]="All",LCI_Table[[#This Row],[Feedstock]]=SelectedFeedstock)</f>
        <v>0</v>
      </c>
      <c r="H320" s="14" t="b">
        <f>OR(LCI_Table[[#This Row],[Conversion]]="All",LCI_Table[[#This Row],[Conversion]]=SelectedConversion)</f>
        <v>0</v>
      </c>
      <c r="I320" s="14" t="b">
        <f>OR(LCI_Table[[#This Row],[Data Set]]="all",LCI_Table[[#This Row],[Data Set]]=SelectedDataSet)</f>
        <v>1</v>
      </c>
      <c r="J320" s="14" t="b">
        <f>OR(LCI_Table[[#This Row],[Technology]]="All",LCI_Table[[#This Row],[Technology]]=SelectedTechnology)</f>
        <v>1</v>
      </c>
      <c r="K320" s="14" t="b">
        <f>OR(LCI_Table[[#This Row],[Data Source]]="All",LCI_Table[[#This Row],[Data Source]]=SelectedDataSource)</f>
        <v>1</v>
      </c>
      <c r="L320" s="14" t="b">
        <f>TRUE</f>
        <v>1</v>
      </c>
      <c r="M320" s="14" t="b">
        <f>(LCI_Table[[#This Row],[Dev Notes]]="Do not display")</f>
        <v>0</v>
      </c>
      <c r="N320" s="14" t="b">
        <f>AND(LCI_Table[[#This Row],[Show Feedstock]:[Conditional]],NOT(LCI_Table[[#This Row],[Hide Row]]))</f>
        <v>0</v>
      </c>
      <c r="O320" s="14" t="b">
        <f>LCI_Table[[#This Row],[GREET1 Name Range]]=""</f>
        <v>0</v>
      </c>
      <c r="P320" s="14" t="s">
        <v>147</v>
      </c>
      <c r="Q320" s="14" t="s">
        <v>605</v>
      </c>
      <c r="R320" s="14" t="s">
        <v>106</v>
      </c>
      <c r="S320" s="37" cm="1">
        <f t="array" aca="1" ref="S3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2.2358876274453086</v>
      </c>
      <c r="T320" s="346" t="s">
        <v>1484</v>
      </c>
      <c r="U320" s="347">
        <f ca="1">S320*Fuel_Specs!$B$19/S312</f>
        <v>223592.24413408528</v>
      </c>
      <c r="V320" s="347">
        <v>2.2358876274453086</v>
      </c>
      <c r="W320" s="347">
        <v>223592.24413408528</v>
      </c>
      <c r="X320" s="37" t="s">
        <v>5</v>
      </c>
      <c r="Y320" s="346" t="s">
        <v>413</v>
      </c>
      <c r="Z320" s="14" t="str">
        <f>IF(ISBLANK(LCI_Table[[#This Row],[Notes for user]])," ",LCI_Table[[#This Row],[Notes for user]])</f>
        <v xml:space="preserve"> </v>
      </c>
      <c r="AA320" s="14"/>
      <c r="AB320" s="14"/>
      <c r="AC320" s="346">
        <f ca="1">LCI_Table[[#This Row],[Default Calculated Value]]-LCI_Table[[#This Row],[Calculated Value]]</f>
        <v>0</v>
      </c>
    </row>
    <row r="321" spans="1:29" x14ac:dyDescent="0.3">
      <c r="A3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stoverFTGREETGREET(blank)_CornStover_Farming_GasolineGasoline</v>
      </c>
      <c r="B321" s="14" t="s">
        <v>135</v>
      </c>
      <c r="C321" s="14" t="s">
        <v>129</v>
      </c>
      <c r="D321" s="14" t="s">
        <v>29</v>
      </c>
      <c r="E321" s="48" t="s">
        <v>29</v>
      </c>
      <c r="F321" s="14" t="s">
        <v>31</v>
      </c>
      <c r="G321" s="14" t="b">
        <f>OR(LCI_Table[[#This Row],[Feedstock]]="All",LCI_Table[[#This Row],[Feedstock]]=SelectedFeedstock)</f>
        <v>0</v>
      </c>
      <c r="H321" s="14" t="b">
        <f>OR(LCI_Table[[#This Row],[Conversion]]="All",LCI_Table[[#This Row],[Conversion]]=SelectedConversion)</f>
        <v>0</v>
      </c>
      <c r="I321" s="14" t="b">
        <f>OR(LCI_Table[[#This Row],[Data Set]]="all",LCI_Table[[#This Row],[Data Set]]=SelectedDataSet)</f>
        <v>1</v>
      </c>
      <c r="J321" s="14" t="b">
        <f>OR(LCI_Table[[#This Row],[Technology]]="All",LCI_Table[[#This Row],[Technology]]=SelectedTechnology)</f>
        <v>1</v>
      </c>
      <c r="K321" s="14" t="b">
        <f>OR(LCI_Table[[#This Row],[Data Source]]="All",LCI_Table[[#This Row],[Data Source]]=SelectedDataSource)</f>
        <v>1</v>
      </c>
      <c r="L321" s="14" t="b">
        <f>TRUE</f>
        <v>1</v>
      </c>
      <c r="M321" s="14" t="b">
        <f>(LCI_Table[[#This Row],[Dev Notes]]="Do not display")</f>
        <v>0</v>
      </c>
      <c r="N321" s="14" t="b">
        <f>AND(LCI_Table[[#This Row],[Show Feedstock]:[Conditional]],NOT(LCI_Table[[#This Row],[Hide Row]]))</f>
        <v>0</v>
      </c>
      <c r="O321" s="14" t="b">
        <f>LCI_Table[[#This Row],[GREET1 Name Range]]=""</f>
        <v>0</v>
      </c>
      <c r="P321" s="14" t="s">
        <v>147</v>
      </c>
      <c r="Q321" s="14" t="s">
        <v>607</v>
      </c>
      <c r="R321" s="14" t="s">
        <v>107</v>
      </c>
      <c r="S321" s="37" cm="1">
        <f t="array" aca="1" ref="S3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21" s="346" t="s">
        <v>1484</v>
      </c>
      <c r="U321" s="347">
        <f ca="1">S321*Fuel_Specs!$B$15/S312</f>
        <v>0</v>
      </c>
      <c r="V321" s="347">
        <v>0</v>
      </c>
      <c r="W321" s="347">
        <v>0</v>
      </c>
      <c r="X321" s="37" t="s">
        <v>5</v>
      </c>
      <c r="Y321" s="346" t="s">
        <v>413</v>
      </c>
      <c r="Z321" s="14" t="str">
        <f>IF(ISBLANK(LCI_Table[[#This Row],[Notes for user]])," ",LCI_Table[[#This Row],[Notes for user]])</f>
        <v xml:space="preserve"> </v>
      </c>
      <c r="AA321" s="14"/>
      <c r="AB321" s="14"/>
      <c r="AC321" s="346">
        <f ca="1">LCI_Table[[#This Row],[Default Calculated Value]]-LCI_Table[[#This Row],[Calculated Value]]</f>
        <v>0</v>
      </c>
    </row>
    <row r="322" spans="1:29" x14ac:dyDescent="0.3">
      <c r="A3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stoverFTGREETGREET(blank)_CornStover_Farming_Natural_gasNatural gas</v>
      </c>
      <c r="B322" s="14" t="s">
        <v>135</v>
      </c>
      <c r="C322" s="14" t="s">
        <v>129</v>
      </c>
      <c r="D322" s="14" t="s">
        <v>29</v>
      </c>
      <c r="E322" s="48" t="s">
        <v>29</v>
      </c>
      <c r="F322" s="14" t="s">
        <v>31</v>
      </c>
      <c r="G322" s="14" t="b">
        <f>OR(LCI_Table[[#This Row],[Feedstock]]="All",LCI_Table[[#This Row],[Feedstock]]=SelectedFeedstock)</f>
        <v>0</v>
      </c>
      <c r="H322" s="14" t="b">
        <f>OR(LCI_Table[[#This Row],[Conversion]]="All",LCI_Table[[#This Row],[Conversion]]=SelectedConversion)</f>
        <v>0</v>
      </c>
      <c r="I322" s="14" t="b">
        <f>OR(LCI_Table[[#This Row],[Data Set]]="all",LCI_Table[[#This Row],[Data Set]]=SelectedDataSet)</f>
        <v>1</v>
      </c>
      <c r="J322" s="14" t="b">
        <f>OR(LCI_Table[[#This Row],[Technology]]="All",LCI_Table[[#This Row],[Technology]]=SelectedTechnology)</f>
        <v>1</v>
      </c>
      <c r="K322" s="14" t="b">
        <f>OR(LCI_Table[[#This Row],[Data Source]]="All",LCI_Table[[#This Row],[Data Source]]=SelectedDataSource)</f>
        <v>1</v>
      </c>
      <c r="L322" s="14" t="b">
        <f>TRUE</f>
        <v>1</v>
      </c>
      <c r="M322" s="14" t="b">
        <f>(LCI_Table[[#This Row],[Dev Notes]]="Do not display")</f>
        <v>0</v>
      </c>
      <c r="N322" s="14" t="b">
        <f>AND(LCI_Table[[#This Row],[Show Feedstock]:[Conditional]],NOT(LCI_Table[[#This Row],[Hide Row]]))</f>
        <v>0</v>
      </c>
      <c r="O322" s="14" t="b">
        <f>LCI_Table[[#This Row],[GREET1 Name Range]]=""</f>
        <v>0</v>
      </c>
      <c r="P322" s="14" t="s">
        <v>147</v>
      </c>
      <c r="Q322" s="14" t="s">
        <v>613</v>
      </c>
      <c r="R322" s="14" t="s">
        <v>108</v>
      </c>
      <c r="S322" s="37" cm="1">
        <f t="array" aca="1" ref="S3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22" s="346" t="s">
        <v>2109</v>
      </c>
      <c r="U322" s="347">
        <f ca="1">S322*Fuel_Specs!$B$79/S312</f>
        <v>0</v>
      </c>
      <c r="V322" s="347">
        <v>0</v>
      </c>
      <c r="W322" s="347">
        <v>0</v>
      </c>
      <c r="X322" s="37" t="s">
        <v>351</v>
      </c>
      <c r="Y322" s="346" t="s">
        <v>413</v>
      </c>
      <c r="Z322" s="14" t="str">
        <f>IF(ISBLANK(LCI_Table[[#This Row],[Notes for user]])," ",LCI_Table[[#This Row],[Notes for user]])</f>
        <v xml:space="preserve"> </v>
      </c>
      <c r="AA322" s="14"/>
      <c r="AB322" s="14"/>
      <c r="AC322" s="346">
        <f ca="1">LCI_Table[[#This Row],[Default Calculated Value]]-LCI_Table[[#This Row],[Calculated Value]]</f>
        <v>0</v>
      </c>
    </row>
    <row r="323" spans="1:29" x14ac:dyDescent="0.3">
      <c r="A3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stoverFTGREETGREET(blank)_CornStover_Farming_CoalCoal</v>
      </c>
      <c r="B323" s="14" t="s">
        <v>135</v>
      </c>
      <c r="C323" s="14" t="s">
        <v>129</v>
      </c>
      <c r="D323" s="14" t="s">
        <v>29</v>
      </c>
      <c r="E323" s="48" t="s">
        <v>29</v>
      </c>
      <c r="F323" s="14" t="s">
        <v>31</v>
      </c>
      <c r="G323" s="14" t="b">
        <f>OR(LCI_Table[[#This Row],[Feedstock]]="All",LCI_Table[[#This Row],[Feedstock]]=SelectedFeedstock)</f>
        <v>0</v>
      </c>
      <c r="H323" s="14" t="b">
        <f>OR(LCI_Table[[#This Row],[Conversion]]="All",LCI_Table[[#This Row],[Conversion]]=SelectedConversion)</f>
        <v>0</v>
      </c>
      <c r="I323" s="14" t="b">
        <f>OR(LCI_Table[[#This Row],[Data Set]]="all",LCI_Table[[#This Row],[Data Set]]=SelectedDataSet)</f>
        <v>1</v>
      </c>
      <c r="J323" s="14" t="b">
        <f>OR(LCI_Table[[#This Row],[Technology]]="All",LCI_Table[[#This Row],[Technology]]=SelectedTechnology)</f>
        <v>1</v>
      </c>
      <c r="K323" s="14" t="b">
        <f>OR(LCI_Table[[#This Row],[Data Source]]="All",LCI_Table[[#This Row],[Data Source]]=SelectedDataSource)</f>
        <v>1</v>
      </c>
      <c r="L323" s="14" t="b">
        <f>TRUE</f>
        <v>1</v>
      </c>
      <c r="M323" s="14" t="b">
        <f>(LCI_Table[[#This Row],[Dev Notes]]="Do not display")</f>
        <v>0</v>
      </c>
      <c r="N323" s="14" t="b">
        <f>AND(LCI_Table[[#This Row],[Show Feedstock]:[Conditional]],NOT(LCI_Table[[#This Row],[Hide Row]]))</f>
        <v>0</v>
      </c>
      <c r="O323" s="14" t="b">
        <f>LCI_Table[[#This Row],[GREET1 Name Range]]=""</f>
        <v>0</v>
      </c>
      <c r="P323" s="14" t="s">
        <v>147</v>
      </c>
      <c r="Q323" s="14" t="s">
        <v>604</v>
      </c>
      <c r="R323" s="14" t="s">
        <v>9</v>
      </c>
      <c r="S323" s="37" cm="1">
        <f t="array" aca="1" ref="S3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23" s="346" t="s">
        <v>2110</v>
      </c>
      <c r="U323" s="347">
        <f ca="1">S323/S312</f>
        <v>0</v>
      </c>
      <c r="V323" s="347">
        <v>0</v>
      </c>
      <c r="W323" s="347">
        <v>0</v>
      </c>
      <c r="X323" s="37" t="s">
        <v>117</v>
      </c>
      <c r="Y323" s="346" t="s">
        <v>413</v>
      </c>
      <c r="Z323" s="14" t="str">
        <f>IF(ISBLANK(LCI_Table[[#This Row],[Notes for user]])," ",LCI_Table[[#This Row],[Notes for user]])</f>
        <v xml:space="preserve"> </v>
      </c>
      <c r="AA323" s="14"/>
      <c r="AB323" s="14"/>
      <c r="AC323" s="346">
        <f ca="1">LCI_Table[[#This Row],[Default Calculated Value]]-LCI_Table[[#This Row],[Calculated Value]]</f>
        <v>0</v>
      </c>
    </row>
    <row r="324" spans="1:29" x14ac:dyDescent="0.3">
      <c r="A3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stoverFTGREETGREET(blank)_CornStover_Farming_LPGLPG</v>
      </c>
      <c r="B324" s="14" t="s">
        <v>135</v>
      </c>
      <c r="C324" s="14" t="s">
        <v>129</v>
      </c>
      <c r="D324" s="14" t="s">
        <v>29</v>
      </c>
      <c r="E324" s="48" t="s">
        <v>29</v>
      </c>
      <c r="F324" s="14" t="s">
        <v>31</v>
      </c>
      <c r="G324" s="14" t="b">
        <f>OR(LCI_Table[[#This Row],[Feedstock]]="All",LCI_Table[[#This Row],[Feedstock]]=SelectedFeedstock)</f>
        <v>0</v>
      </c>
      <c r="H324" s="14" t="b">
        <f>OR(LCI_Table[[#This Row],[Conversion]]="All",LCI_Table[[#This Row],[Conversion]]=SelectedConversion)</f>
        <v>0</v>
      </c>
      <c r="I324" s="14" t="b">
        <f>OR(LCI_Table[[#This Row],[Data Set]]="all",LCI_Table[[#This Row],[Data Set]]=SelectedDataSet)</f>
        <v>1</v>
      </c>
      <c r="J324" s="14" t="b">
        <f>OR(LCI_Table[[#This Row],[Technology]]="All",LCI_Table[[#This Row],[Technology]]=SelectedTechnology)</f>
        <v>1</v>
      </c>
      <c r="K324" s="14" t="b">
        <f>OR(LCI_Table[[#This Row],[Data Source]]="All",LCI_Table[[#This Row],[Data Source]]=SelectedDataSource)</f>
        <v>1</v>
      </c>
      <c r="L324" s="14" t="b">
        <f>TRUE</f>
        <v>1</v>
      </c>
      <c r="M324" s="14" t="b">
        <f>(LCI_Table[[#This Row],[Dev Notes]]="Do not display")</f>
        <v>0</v>
      </c>
      <c r="N324" s="14" t="b">
        <f>AND(LCI_Table[[#This Row],[Show Feedstock]:[Conditional]],NOT(LCI_Table[[#This Row],[Hide Row]]))</f>
        <v>0</v>
      </c>
      <c r="O324" s="14" t="b">
        <f>LCI_Table[[#This Row],[GREET1 Name Range]]=""</f>
        <v>0</v>
      </c>
      <c r="P324" s="14" t="s">
        <v>147</v>
      </c>
      <c r="Q324" s="14" t="s">
        <v>612</v>
      </c>
      <c r="R324" s="14" t="s">
        <v>109</v>
      </c>
      <c r="S324" s="37" cm="1">
        <f t="array" aca="1" ref="S3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24" s="346" t="s">
        <v>1484</v>
      </c>
      <c r="U324" s="347">
        <f ca="1">S324*Fuel_Specs!$B$35/S312</f>
        <v>0</v>
      </c>
      <c r="V324" s="347">
        <v>0</v>
      </c>
      <c r="W324" s="347">
        <v>0</v>
      </c>
      <c r="X324" s="37" t="s">
        <v>5</v>
      </c>
      <c r="Y324" s="346" t="s">
        <v>413</v>
      </c>
      <c r="Z324" s="14" t="str">
        <f>IF(ISBLANK(LCI_Table[[#This Row],[Notes for user]])," ",LCI_Table[[#This Row],[Notes for user]])</f>
        <v xml:space="preserve"> </v>
      </c>
      <c r="AA324" s="14"/>
      <c r="AB324" s="14"/>
      <c r="AC324" s="346">
        <f ca="1">LCI_Table[[#This Row],[Default Calculated Value]]-LCI_Table[[#This Row],[Calculated Value]]</f>
        <v>0</v>
      </c>
    </row>
    <row r="325" spans="1:29" x14ac:dyDescent="0.3">
      <c r="A3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stoverFTGREETGREET(blank)_CornStover_Farming_ElectricityElectricity</v>
      </c>
      <c r="B325" s="14" t="s">
        <v>135</v>
      </c>
      <c r="C325" s="14" t="s">
        <v>129</v>
      </c>
      <c r="D325" s="14" t="s">
        <v>29</v>
      </c>
      <c r="E325" s="48" t="s">
        <v>29</v>
      </c>
      <c r="F325" s="14" t="s">
        <v>31</v>
      </c>
      <c r="G325" s="14" t="b">
        <f>OR(LCI_Table[[#This Row],[Feedstock]]="All",LCI_Table[[#This Row],[Feedstock]]=SelectedFeedstock)</f>
        <v>0</v>
      </c>
      <c r="H325" s="14" t="b">
        <f>OR(LCI_Table[[#This Row],[Conversion]]="All",LCI_Table[[#This Row],[Conversion]]=SelectedConversion)</f>
        <v>0</v>
      </c>
      <c r="I325" s="14" t="b">
        <f>OR(LCI_Table[[#This Row],[Data Set]]="all",LCI_Table[[#This Row],[Data Set]]=SelectedDataSet)</f>
        <v>1</v>
      </c>
      <c r="J325" s="14" t="b">
        <f>OR(LCI_Table[[#This Row],[Technology]]="All",LCI_Table[[#This Row],[Technology]]=SelectedTechnology)</f>
        <v>1</v>
      </c>
      <c r="K325" s="14" t="b">
        <f>OR(LCI_Table[[#This Row],[Data Source]]="All",LCI_Table[[#This Row],[Data Source]]=SelectedDataSource)</f>
        <v>1</v>
      </c>
      <c r="L325" s="14" t="b">
        <f>TRUE</f>
        <v>1</v>
      </c>
      <c r="M325" s="14" t="b">
        <f>(LCI_Table[[#This Row],[Dev Notes]]="Do not display")</f>
        <v>0</v>
      </c>
      <c r="N325" s="14" t="b">
        <f>AND(LCI_Table[[#This Row],[Show Feedstock]:[Conditional]],NOT(LCI_Table[[#This Row],[Hide Row]]))</f>
        <v>0</v>
      </c>
      <c r="O325" s="14" t="b">
        <f>LCI_Table[[#This Row],[GREET1 Name Range]]=""</f>
        <v>0</v>
      </c>
      <c r="P325" s="14" t="s">
        <v>147</v>
      </c>
      <c r="Q325" s="14" t="s">
        <v>606</v>
      </c>
      <c r="R325" s="14" t="s">
        <v>110</v>
      </c>
      <c r="S325" s="37" cm="1">
        <f t="array" aca="1" ref="S3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25" s="346" t="s">
        <v>1561</v>
      </c>
      <c r="U325" s="347">
        <f ca="1">S325/BTU2kWh/S312</f>
        <v>0</v>
      </c>
      <c r="V325" s="347">
        <v>0</v>
      </c>
      <c r="W325" s="347">
        <v>0</v>
      </c>
      <c r="X325" s="37" t="s">
        <v>51</v>
      </c>
      <c r="Y325" s="346" t="s">
        <v>413</v>
      </c>
      <c r="Z325" s="14" t="str">
        <f>IF(ISBLANK(LCI_Table[[#This Row],[Notes for user]])," ",LCI_Table[[#This Row],[Notes for user]])</f>
        <v xml:space="preserve"> </v>
      </c>
      <c r="AA325" s="14"/>
      <c r="AB325" s="14"/>
      <c r="AC325" s="346">
        <f ca="1">LCI_Table[[#This Row],[Default Calculated Value]]-LCI_Table[[#This Row],[Calculated Value]]</f>
        <v>0</v>
      </c>
    </row>
    <row r="326" spans="1:29" x14ac:dyDescent="0.3">
      <c r="A3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stoverFTGREETGREET(blank)_Corn_stover_FT_efficiencyCorn stover</v>
      </c>
      <c r="B326" s="14" t="s">
        <v>135</v>
      </c>
      <c r="C326" s="14" t="s">
        <v>129</v>
      </c>
      <c r="D326" s="14" t="s">
        <v>29</v>
      </c>
      <c r="E326" s="48" t="s">
        <v>29</v>
      </c>
      <c r="F326" s="14" t="s">
        <v>31</v>
      </c>
      <c r="G326" s="14" t="b">
        <f>OR(LCI_Table[[#This Row],[Feedstock]]="All",LCI_Table[[#This Row],[Feedstock]]=SelectedFeedstock)</f>
        <v>0</v>
      </c>
      <c r="H326" s="14" t="b">
        <f>OR(LCI_Table[[#This Row],[Conversion]]="All",LCI_Table[[#This Row],[Conversion]]=SelectedConversion)</f>
        <v>0</v>
      </c>
      <c r="I326" s="14" t="b">
        <f>OR(LCI_Table[[#This Row],[Data Set]]="all",LCI_Table[[#This Row],[Data Set]]=SelectedDataSet)</f>
        <v>1</v>
      </c>
      <c r="J326" s="14" t="b">
        <f>OR(LCI_Table[[#This Row],[Technology]]="All",LCI_Table[[#This Row],[Technology]]=SelectedTechnology)</f>
        <v>1</v>
      </c>
      <c r="K326" s="14" t="b">
        <f>OR(LCI_Table[[#This Row],[Data Source]]="All",LCI_Table[[#This Row],[Data Source]]=SelectedDataSource)</f>
        <v>1</v>
      </c>
      <c r="L326" s="14" t="b">
        <f>TRUE</f>
        <v>1</v>
      </c>
      <c r="M326" s="14" t="b">
        <f>(LCI_Table[[#This Row],[Dev Notes]]="Do not display")</f>
        <v>0</v>
      </c>
      <c r="N326" s="14" t="b">
        <f>AND(LCI_Table[[#This Row],[Show Feedstock]:[Conditional]],NOT(LCI_Table[[#This Row],[Hide Row]]))</f>
        <v>0</v>
      </c>
      <c r="O326" s="14" t="b">
        <f>LCI_Table[[#This Row],[GREET1 Name Range]]=""</f>
        <v>0</v>
      </c>
      <c r="P326" s="14" t="s">
        <v>1448</v>
      </c>
      <c r="Q326" s="14" t="s">
        <v>940</v>
      </c>
      <c r="R326" s="14" t="s">
        <v>135</v>
      </c>
      <c r="S326" s="37" cm="1">
        <f t="array" aca="1" ref="S3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0.1359064963305246</v>
      </c>
      <c r="T326" s="346" t="s">
        <v>2125</v>
      </c>
      <c r="U326" s="347">
        <f ca="1">1/(S326*Fuel_Specs!$B$99*BTU2mmBTU)</f>
        <v>0.5</v>
      </c>
      <c r="V326" s="347">
        <v>0.1359064963305246</v>
      </c>
      <c r="W326" s="347">
        <v>0.5</v>
      </c>
      <c r="X326" s="37" t="s">
        <v>55</v>
      </c>
      <c r="Y326" s="346" t="s">
        <v>416</v>
      </c>
      <c r="Z326" s="14" t="str">
        <f>IF(ISBLANK(LCI_Table[[#This Row],[Notes for user]])," ",LCI_Table[[#This Row],[Notes for user]])</f>
        <v xml:space="preserve"> </v>
      </c>
      <c r="AA326" s="14"/>
      <c r="AB326" s="14"/>
      <c r="AC326" s="346">
        <f ca="1">LCI_Table[[#This Row],[Default Calculated Value]]-LCI_Table[[#This Row],[Calculated Value]]</f>
        <v>0</v>
      </c>
    </row>
    <row r="327" spans="1:29" x14ac:dyDescent="0.3">
      <c r="A3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dash_CornATJ-ethanolGREETGREETCo-located facilities_Yield_Farming</v>
      </c>
      <c r="B327" s="48" t="s">
        <v>136</v>
      </c>
      <c r="C327" s="48" t="s">
        <v>1964</v>
      </c>
      <c r="D327" s="48" t="s">
        <v>29</v>
      </c>
      <c r="E327" s="48" t="s">
        <v>29</v>
      </c>
      <c r="F327" s="48" t="s">
        <v>911</v>
      </c>
      <c r="G327" s="14" t="b">
        <f>OR(LCI_Table[[#This Row],[Feedstock]]="All",LCI_Table[[#This Row],[Feedstock]]=SelectedFeedstock)</f>
        <v>0</v>
      </c>
      <c r="H327" s="14" t="b">
        <f>OR(LCI_Table[[#This Row],[Conversion]]="All",LCI_Table[[#This Row],[Conversion]]=SelectedConversion)</f>
        <v>0</v>
      </c>
      <c r="I327" s="14" t="b">
        <f>OR(LCI_Table[[#This Row],[Data Set]]="all",LCI_Table[[#This Row],[Data Set]]=SelectedDataSet)</f>
        <v>1</v>
      </c>
      <c r="J327" s="14" t="b">
        <f>OR(LCI_Table[[#This Row],[Technology]]="All",LCI_Table[[#This Row],[Technology]]=SelectedTechnology)</f>
        <v>0</v>
      </c>
      <c r="K327" s="14" t="b">
        <f>OR(LCI_Table[[#This Row],[Data Source]]="All",LCI_Table[[#This Row],[Data Source]]=SelectedDataSource)</f>
        <v>1</v>
      </c>
      <c r="L327" s="14" t="b">
        <f>TRUE</f>
        <v>1</v>
      </c>
      <c r="M327" s="14" t="b">
        <f>(LCI_Table[[#This Row],[Dev Notes]]="Do not display")</f>
        <v>0</v>
      </c>
      <c r="N327" s="14" t="b">
        <f>AND(LCI_Table[[#This Row],[Show Feedstock]:[Conditional]],NOT(LCI_Table[[#This Row],[Hide Row]]))</f>
        <v>0</v>
      </c>
      <c r="O327" s="14" t="b">
        <f>LCI_Table[[#This Row],[GREET1 Name Range]]=""</f>
        <v>1</v>
      </c>
      <c r="P327" s="48" t="s">
        <v>14</v>
      </c>
      <c r="Q327" s="14" t="s">
        <v>361</v>
      </c>
      <c r="R327" s="48" t="s">
        <v>200</v>
      </c>
      <c r="S327" s="37" cm="1">
        <f t="array" aca="1" ref="S3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176.7</v>
      </c>
      <c r="T327" s="346" t="s">
        <v>2126</v>
      </c>
      <c r="U327" s="344"/>
      <c r="V327" s="355">
        <v>176.7</v>
      </c>
      <c r="W327" s="344"/>
      <c r="X327" s="48" t="s">
        <v>70</v>
      </c>
      <c r="Y327" s="346" t="s">
        <v>413</v>
      </c>
      <c r="Z327" s="14" t="str">
        <f>IF(ISBLANK(LCI_Table[[#This Row],[Notes for user]])," ",LCI_Table[[#This Row],[Notes for user]])</f>
        <v xml:space="preserve"> </v>
      </c>
      <c r="AA327" s="48"/>
      <c r="AB327" s="345"/>
      <c r="AC327" s="346">
        <f>LCI_Table[[#This Row],[Default Calculated Value]]-LCI_Table[[#This Row],[Calculated Value]]</f>
        <v>0</v>
      </c>
    </row>
    <row r="328" spans="1:29" x14ac:dyDescent="0.3">
      <c r="A3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facilities_Corn_Farming_Nitrogen_fertilizerNitrogen fertilizer</v>
      </c>
      <c r="B328" s="14" t="s">
        <v>136</v>
      </c>
      <c r="C328" s="14" t="s">
        <v>1964</v>
      </c>
      <c r="D328" s="14" t="s">
        <v>29</v>
      </c>
      <c r="E328" s="48" t="s">
        <v>29</v>
      </c>
      <c r="F328" s="14" t="s">
        <v>911</v>
      </c>
      <c r="G328" s="14" t="b">
        <f>OR(LCI_Table[[#This Row],[Feedstock]]="All",LCI_Table[[#This Row],[Feedstock]]=SelectedFeedstock)</f>
        <v>0</v>
      </c>
      <c r="H328" s="14" t="b">
        <f>OR(LCI_Table[[#This Row],[Conversion]]="All",LCI_Table[[#This Row],[Conversion]]=SelectedConversion)</f>
        <v>0</v>
      </c>
      <c r="I328" s="14" t="b">
        <f>OR(LCI_Table[[#This Row],[Data Set]]="all",LCI_Table[[#This Row],[Data Set]]=SelectedDataSet)</f>
        <v>1</v>
      </c>
      <c r="J328" s="14" t="b">
        <f>OR(LCI_Table[[#This Row],[Technology]]="All",LCI_Table[[#This Row],[Technology]]=SelectedTechnology)</f>
        <v>0</v>
      </c>
      <c r="K328" s="14" t="b">
        <f>OR(LCI_Table[[#This Row],[Data Source]]="All",LCI_Table[[#This Row],[Data Source]]=SelectedDataSource)</f>
        <v>1</v>
      </c>
      <c r="L328" s="14" t="b">
        <f>TRUE</f>
        <v>1</v>
      </c>
      <c r="M328" s="14" t="b">
        <f>(LCI_Table[[#This Row],[Dev Notes]]="Do not display")</f>
        <v>0</v>
      </c>
      <c r="N328" s="14" t="b">
        <f>AND(LCI_Table[[#This Row],[Show Feedstock]:[Conditional]],NOT(LCI_Table[[#This Row],[Hide Row]]))</f>
        <v>0</v>
      </c>
      <c r="O328" s="14" t="b">
        <f>LCI_Table[[#This Row],[GREET1 Name Range]]=""</f>
        <v>0</v>
      </c>
      <c r="P328" s="14" t="s">
        <v>14</v>
      </c>
      <c r="Q328" s="14" t="s">
        <v>589</v>
      </c>
      <c r="R328" s="14" t="s">
        <v>111</v>
      </c>
      <c r="S328" s="37" cm="1">
        <f t="array" aca="1" ref="S3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154.2906371129481</v>
      </c>
      <c r="T328" s="346" t="s">
        <v>1485</v>
      </c>
      <c r="U328" s="347">
        <f ca="1">IF(Selections!R$93=2, V328/V327*lb2g*(1-Selections!R$95), S328/S327*lb2g)</f>
        <v>396.06709539825749</v>
      </c>
      <c r="V328" s="347">
        <v>154.2906371129481</v>
      </c>
      <c r="W328" s="347">
        <v>396.06709539825749</v>
      </c>
      <c r="X328" s="14" t="s">
        <v>12</v>
      </c>
      <c r="Y328" s="346" t="s">
        <v>413</v>
      </c>
      <c r="Z328" s="14" t="str">
        <f>IF(ISBLANK(LCI_Table[[#This Row],[Notes for user]])," ",LCI_Table[[#This Row],[Notes for user]])</f>
        <v xml:space="preserve"> </v>
      </c>
      <c r="AA328" s="14"/>
      <c r="AB328" s="14"/>
      <c r="AC328" s="346">
        <f ca="1">LCI_Table[[#This Row],[Default Calculated Value]]-LCI_Table[[#This Row],[Calculated Value]]</f>
        <v>0</v>
      </c>
    </row>
    <row r="329" spans="1:29" x14ac:dyDescent="0.3">
      <c r="A3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facilities_Corn_Farming_P2O5P2O5</v>
      </c>
      <c r="B329" s="14" t="s">
        <v>136</v>
      </c>
      <c r="C329" s="14" t="s">
        <v>1964</v>
      </c>
      <c r="D329" s="14" t="s">
        <v>29</v>
      </c>
      <c r="E329" s="48" t="s">
        <v>29</v>
      </c>
      <c r="F329" s="14" t="s">
        <v>911</v>
      </c>
      <c r="G329" s="14" t="b">
        <f>OR(LCI_Table[[#This Row],[Feedstock]]="All",LCI_Table[[#This Row],[Feedstock]]=SelectedFeedstock)</f>
        <v>0</v>
      </c>
      <c r="H329" s="14" t="b">
        <f>OR(LCI_Table[[#This Row],[Conversion]]="All",LCI_Table[[#This Row],[Conversion]]=SelectedConversion)</f>
        <v>0</v>
      </c>
      <c r="I329" s="14" t="b">
        <f>OR(LCI_Table[[#This Row],[Data Set]]="all",LCI_Table[[#This Row],[Data Set]]=SelectedDataSet)</f>
        <v>1</v>
      </c>
      <c r="J329" s="14" t="b">
        <f>OR(LCI_Table[[#This Row],[Technology]]="All",LCI_Table[[#This Row],[Technology]]=SelectedTechnology)</f>
        <v>0</v>
      </c>
      <c r="K329" s="14" t="b">
        <f>OR(LCI_Table[[#This Row],[Data Source]]="All",LCI_Table[[#This Row],[Data Source]]=SelectedDataSource)</f>
        <v>1</v>
      </c>
      <c r="L329" s="14" t="b">
        <f>TRUE</f>
        <v>1</v>
      </c>
      <c r="M329" s="14" t="b">
        <f>(LCI_Table[[#This Row],[Dev Notes]]="Do not display")</f>
        <v>0</v>
      </c>
      <c r="N329" s="14" t="b">
        <f>AND(LCI_Table[[#This Row],[Show Feedstock]:[Conditional]],NOT(LCI_Table[[#This Row],[Hide Row]]))</f>
        <v>0</v>
      </c>
      <c r="O329" s="14" t="b">
        <f>LCI_Table[[#This Row],[GREET1 Name Range]]=""</f>
        <v>0</v>
      </c>
      <c r="P329" s="14" t="s">
        <v>14</v>
      </c>
      <c r="Q329" s="14" t="s">
        <v>590</v>
      </c>
      <c r="R329" s="14" t="s">
        <v>112</v>
      </c>
      <c r="S329" s="37" cm="1">
        <f t="array" aca="1" ref="S3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51.841684177643685</v>
      </c>
      <c r="T329" s="346" t="s">
        <v>1485</v>
      </c>
      <c r="U329" s="347">
        <f ca="1">S329/S327*lb2g</f>
        <v>133.078621340854</v>
      </c>
      <c r="V329" s="347">
        <v>51.841684177643685</v>
      </c>
      <c r="W329" s="347">
        <v>133.078621340854</v>
      </c>
      <c r="X329" s="14" t="s">
        <v>12</v>
      </c>
      <c r="Y329" s="346" t="s">
        <v>413</v>
      </c>
      <c r="Z329" s="14" t="str">
        <f>IF(ISBLANK(LCI_Table[[#This Row],[Notes for user]])," ",LCI_Table[[#This Row],[Notes for user]])</f>
        <v xml:space="preserve"> </v>
      </c>
      <c r="AA329" s="14"/>
      <c r="AB329" s="14"/>
      <c r="AC329" s="346">
        <f ca="1">LCI_Table[[#This Row],[Default Calculated Value]]-LCI_Table[[#This Row],[Calculated Value]]</f>
        <v>0</v>
      </c>
    </row>
    <row r="330" spans="1:29" x14ac:dyDescent="0.3">
      <c r="A3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facilities_Corn_Farming_K2OK2O</v>
      </c>
      <c r="B330" s="14" t="s">
        <v>136</v>
      </c>
      <c r="C330" s="14" t="s">
        <v>1964</v>
      </c>
      <c r="D330" s="14" t="s">
        <v>29</v>
      </c>
      <c r="E330" s="48" t="s">
        <v>29</v>
      </c>
      <c r="F330" s="14" t="s">
        <v>911</v>
      </c>
      <c r="G330" s="14" t="b">
        <f>OR(LCI_Table[[#This Row],[Feedstock]]="All",LCI_Table[[#This Row],[Feedstock]]=SelectedFeedstock)</f>
        <v>0</v>
      </c>
      <c r="H330" s="14" t="b">
        <f>OR(LCI_Table[[#This Row],[Conversion]]="All",LCI_Table[[#This Row],[Conversion]]=SelectedConversion)</f>
        <v>0</v>
      </c>
      <c r="I330" s="14" t="b">
        <f>OR(LCI_Table[[#This Row],[Data Set]]="all",LCI_Table[[#This Row],[Data Set]]=SelectedDataSet)</f>
        <v>1</v>
      </c>
      <c r="J330" s="14" t="b">
        <f>OR(LCI_Table[[#This Row],[Technology]]="All",LCI_Table[[#This Row],[Technology]]=SelectedTechnology)</f>
        <v>0</v>
      </c>
      <c r="K330" s="14" t="b">
        <f>OR(LCI_Table[[#This Row],[Data Source]]="All",LCI_Table[[#This Row],[Data Source]]=SelectedDataSource)</f>
        <v>1</v>
      </c>
      <c r="L330" s="14" t="b">
        <f>TRUE</f>
        <v>1</v>
      </c>
      <c r="M330" s="14" t="b">
        <f>(LCI_Table[[#This Row],[Dev Notes]]="Do not display")</f>
        <v>0</v>
      </c>
      <c r="N330" s="14" t="b">
        <f>AND(LCI_Table[[#This Row],[Show Feedstock]:[Conditional]],NOT(LCI_Table[[#This Row],[Hide Row]]))</f>
        <v>0</v>
      </c>
      <c r="O330" s="14" t="b">
        <f>LCI_Table[[#This Row],[GREET1 Name Range]]=""</f>
        <v>0</v>
      </c>
      <c r="P330" s="14" t="s">
        <v>14</v>
      </c>
      <c r="Q330" s="14" t="s">
        <v>588</v>
      </c>
      <c r="R330" s="14" t="s">
        <v>113</v>
      </c>
      <c r="S330" s="37" cm="1">
        <f t="array" aca="1" ref="S3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53.830046414100181</v>
      </c>
      <c r="T330" s="346" t="s">
        <v>1485</v>
      </c>
      <c r="U330" s="347">
        <f ca="1">S330/S327*lb2g</f>
        <v>138.18278624890607</v>
      </c>
      <c r="V330" s="347">
        <v>53.830046414100181</v>
      </c>
      <c r="W330" s="347">
        <v>138.18278624890607</v>
      </c>
      <c r="X330" s="14" t="s">
        <v>12</v>
      </c>
      <c r="Y330" s="346" t="s">
        <v>413</v>
      </c>
      <c r="Z330" s="14" t="str">
        <f>IF(ISBLANK(LCI_Table[[#This Row],[Notes for user]])," ",LCI_Table[[#This Row],[Notes for user]])</f>
        <v xml:space="preserve"> </v>
      </c>
      <c r="AA330" s="14"/>
      <c r="AB330" s="14"/>
      <c r="AC330" s="346">
        <f ca="1">LCI_Table[[#This Row],[Default Calculated Value]]-LCI_Table[[#This Row],[Calculated Value]]</f>
        <v>0</v>
      </c>
    </row>
    <row r="331" spans="1:29" x14ac:dyDescent="0.3">
      <c r="A3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facilities_Corn_Farming_CaCO3CaCO3</v>
      </c>
      <c r="B331" s="14" t="s">
        <v>136</v>
      </c>
      <c r="C331" s="14" t="s">
        <v>1964</v>
      </c>
      <c r="D331" s="14" t="s">
        <v>29</v>
      </c>
      <c r="E331" s="48" t="s">
        <v>29</v>
      </c>
      <c r="F331" s="14" t="s">
        <v>911</v>
      </c>
      <c r="G331" s="14" t="b">
        <f>OR(LCI_Table[[#This Row],[Feedstock]]="All",LCI_Table[[#This Row],[Feedstock]]=SelectedFeedstock)</f>
        <v>0</v>
      </c>
      <c r="H331" s="14" t="b">
        <f>OR(LCI_Table[[#This Row],[Conversion]]="All",LCI_Table[[#This Row],[Conversion]]=SelectedConversion)</f>
        <v>0</v>
      </c>
      <c r="I331" s="14" t="b">
        <f>OR(LCI_Table[[#This Row],[Data Set]]="all",LCI_Table[[#This Row],[Data Set]]=SelectedDataSet)</f>
        <v>1</v>
      </c>
      <c r="J331" s="14" t="b">
        <f>OR(LCI_Table[[#This Row],[Technology]]="All",LCI_Table[[#This Row],[Technology]]=SelectedTechnology)</f>
        <v>0</v>
      </c>
      <c r="K331" s="14" t="b">
        <f>OR(LCI_Table[[#This Row],[Data Source]]="All",LCI_Table[[#This Row],[Data Source]]=SelectedDataSource)</f>
        <v>1</v>
      </c>
      <c r="L331" s="14" t="b">
        <f>TRUE</f>
        <v>1</v>
      </c>
      <c r="M331" s="14" t="b">
        <f>(LCI_Table[[#This Row],[Dev Notes]]="Do not display")</f>
        <v>0</v>
      </c>
      <c r="N331" s="14" t="b">
        <f>AND(LCI_Table[[#This Row],[Show Feedstock]:[Conditional]],NOT(LCI_Table[[#This Row],[Hide Row]]))</f>
        <v>0</v>
      </c>
      <c r="O331" s="14" t="b">
        <f>LCI_Table[[#This Row],[GREET1 Name Range]]=""</f>
        <v>0</v>
      </c>
      <c r="P331" s="14" t="s">
        <v>14</v>
      </c>
      <c r="Q331" s="14" t="s">
        <v>584</v>
      </c>
      <c r="R331" s="14" t="s">
        <v>141</v>
      </c>
      <c r="S331" s="37" cm="1">
        <f t="array" aca="1" ref="S3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573.03062038387066</v>
      </c>
      <c r="T331" s="346" t="s">
        <v>1485</v>
      </c>
      <c r="U331" s="347">
        <f ca="1">S331/S327*lb2g</f>
        <v>1470.9808555885129</v>
      </c>
      <c r="V331" s="347">
        <v>573.03062038387066</v>
      </c>
      <c r="W331" s="347">
        <v>1470.9808555885129</v>
      </c>
      <c r="X331" s="14" t="s">
        <v>12</v>
      </c>
      <c r="Y331" s="346" t="s">
        <v>413</v>
      </c>
      <c r="Z331" s="14" t="str">
        <f>IF(ISBLANK(LCI_Table[[#This Row],[Notes for user]])," ",LCI_Table[[#This Row],[Notes for user]])</f>
        <v xml:space="preserve"> </v>
      </c>
      <c r="AA331" s="14"/>
      <c r="AB331" s="14"/>
      <c r="AC331" s="346">
        <f ca="1">LCI_Table[[#This Row],[Default Calculated Value]]-LCI_Table[[#This Row],[Calculated Value]]</f>
        <v>0</v>
      </c>
    </row>
    <row r="332" spans="1:29" x14ac:dyDescent="0.3">
      <c r="A3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facilities_Corn_Farming_HerbicidesHerbicides</v>
      </c>
      <c r="B332" s="14" t="s">
        <v>136</v>
      </c>
      <c r="C332" s="14" t="s">
        <v>1964</v>
      </c>
      <c r="D332" s="14" t="s">
        <v>29</v>
      </c>
      <c r="E332" s="48" t="s">
        <v>29</v>
      </c>
      <c r="F332" s="14" t="s">
        <v>911</v>
      </c>
      <c r="G332" s="14" t="b">
        <f>OR(LCI_Table[[#This Row],[Feedstock]]="All",LCI_Table[[#This Row],[Feedstock]]=SelectedFeedstock)</f>
        <v>0</v>
      </c>
      <c r="H332" s="14" t="b">
        <f>OR(LCI_Table[[#This Row],[Conversion]]="All",LCI_Table[[#This Row],[Conversion]]=SelectedConversion)</f>
        <v>0</v>
      </c>
      <c r="I332" s="14" t="b">
        <f>OR(LCI_Table[[#This Row],[Data Set]]="all",LCI_Table[[#This Row],[Data Set]]=SelectedDataSet)</f>
        <v>1</v>
      </c>
      <c r="J332" s="14" t="b">
        <f>OR(LCI_Table[[#This Row],[Technology]]="All",LCI_Table[[#This Row],[Technology]]=SelectedTechnology)</f>
        <v>0</v>
      </c>
      <c r="K332" s="14" t="b">
        <f>OR(LCI_Table[[#This Row],[Data Source]]="All",LCI_Table[[#This Row],[Data Source]]=SelectedDataSource)</f>
        <v>1</v>
      </c>
      <c r="L332" s="14" t="b">
        <f>TRUE</f>
        <v>1</v>
      </c>
      <c r="M332" s="14" t="b">
        <f>(LCI_Table[[#This Row],[Dev Notes]]="Do not display")</f>
        <v>0</v>
      </c>
      <c r="N332" s="14" t="b">
        <f>AND(LCI_Table[[#This Row],[Show Feedstock]:[Conditional]],NOT(LCI_Table[[#This Row],[Hide Row]]))</f>
        <v>0</v>
      </c>
      <c r="O332" s="14" t="b">
        <f>LCI_Table[[#This Row],[GREET1 Name Range]]=""</f>
        <v>0</v>
      </c>
      <c r="P332" s="14" t="s">
        <v>14</v>
      </c>
      <c r="Q332" s="14" t="s">
        <v>586</v>
      </c>
      <c r="R332" s="14" t="s">
        <v>356</v>
      </c>
      <c r="S332" s="37" cm="1">
        <f t="array" aca="1" ref="S3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2.9833838611191146</v>
      </c>
      <c r="T332" s="346" t="s">
        <v>1485</v>
      </c>
      <c r="U332" s="347">
        <f ca="1">(S332+IF(Selections!R$97=1, 0, Selections!R$100)*0.680045342833666)/S327*lb2g</f>
        <v>7.6584049586008502</v>
      </c>
      <c r="V332" s="347">
        <v>2.9833838611191146</v>
      </c>
      <c r="W332" s="347">
        <v>7.6584049586008502</v>
      </c>
      <c r="X332" s="14" t="s">
        <v>12</v>
      </c>
      <c r="Y332" s="346" t="s">
        <v>413</v>
      </c>
      <c r="Z332" s="14" t="str">
        <f>IF(ISBLANK(LCI_Table[[#This Row],[Notes for user]])," ",LCI_Table[[#This Row],[Notes for user]])</f>
        <v xml:space="preserve"> </v>
      </c>
      <c r="AA332" s="14"/>
      <c r="AB332" s="14"/>
      <c r="AC332" s="346">
        <f ca="1">LCI_Table[[#This Row],[Default Calculated Value]]-LCI_Table[[#This Row],[Calculated Value]]</f>
        <v>0</v>
      </c>
    </row>
    <row r="333" spans="1:29" x14ac:dyDescent="0.3">
      <c r="A3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facilities_Corn_Farming_InsecticideInsecticide</v>
      </c>
      <c r="B333" s="14" t="s">
        <v>136</v>
      </c>
      <c r="C333" s="14" t="s">
        <v>1964</v>
      </c>
      <c r="D333" s="14" t="s">
        <v>29</v>
      </c>
      <c r="E333" s="48" t="s">
        <v>29</v>
      </c>
      <c r="F333" s="14" t="s">
        <v>911</v>
      </c>
      <c r="G333" s="14" t="b">
        <f>OR(LCI_Table[[#This Row],[Feedstock]]="All",LCI_Table[[#This Row],[Feedstock]]=SelectedFeedstock)</f>
        <v>0</v>
      </c>
      <c r="H333" s="14" t="b">
        <f>OR(LCI_Table[[#This Row],[Conversion]]="All",LCI_Table[[#This Row],[Conversion]]=SelectedConversion)</f>
        <v>0</v>
      </c>
      <c r="I333" s="14" t="b">
        <f>OR(LCI_Table[[#This Row],[Data Set]]="all",LCI_Table[[#This Row],[Data Set]]=SelectedDataSet)</f>
        <v>1</v>
      </c>
      <c r="J333" s="14" t="b">
        <f>OR(LCI_Table[[#This Row],[Technology]]="All",LCI_Table[[#This Row],[Technology]]=SelectedTechnology)</f>
        <v>0</v>
      </c>
      <c r="K333" s="14" t="b">
        <f>OR(LCI_Table[[#This Row],[Data Source]]="All",LCI_Table[[#This Row],[Data Source]]=SelectedDataSource)</f>
        <v>1</v>
      </c>
      <c r="L333" s="14" t="b">
        <f>TRUE</f>
        <v>1</v>
      </c>
      <c r="M333" s="14" t="b">
        <f>(LCI_Table[[#This Row],[Dev Notes]]="Do not display")</f>
        <v>0</v>
      </c>
      <c r="N333" s="14" t="b">
        <f>AND(LCI_Table[[#This Row],[Show Feedstock]:[Conditional]],NOT(LCI_Table[[#This Row],[Hide Row]]))</f>
        <v>0</v>
      </c>
      <c r="O333" s="14" t="b">
        <f>LCI_Table[[#This Row],[GREET1 Name Range]]=""</f>
        <v>0</v>
      </c>
      <c r="P333" s="14" t="s">
        <v>14</v>
      </c>
      <c r="Q333" s="14" t="s">
        <v>587</v>
      </c>
      <c r="R333" s="14" t="s">
        <v>114</v>
      </c>
      <c r="S333" s="37" cm="1">
        <f t="array" aca="1" ref="S3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1.4312668156423685E-2</v>
      </c>
      <c r="T333" s="346" t="s">
        <v>1485</v>
      </c>
      <c r="U333" s="347">
        <f ca="1">S333/S327*lb2g</f>
        <v>3.6740900226914265E-2</v>
      </c>
      <c r="V333" s="347">
        <v>1.4312668156423685E-2</v>
      </c>
      <c r="W333" s="347">
        <v>3.6740900226914265E-2</v>
      </c>
      <c r="X333" s="14" t="s">
        <v>12</v>
      </c>
      <c r="Y333" s="346" t="s">
        <v>413</v>
      </c>
      <c r="Z333" s="14" t="str">
        <f>IF(ISBLANK(LCI_Table[[#This Row],[Notes for user]])," ",LCI_Table[[#This Row],[Notes for user]])</f>
        <v xml:space="preserve"> </v>
      </c>
      <c r="AA333" s="14"/>
      <c r="AB333" s="14"/>
      <c r="AC333" s="346">
        <f ca="1">LCI_Table[[#This Row],[Default Calculated Value]]-LCI_Table[[#This Row],[Calculated Value]]</f>
        <v>0</v>
      </c>
    </row>
    <row r="334" spans="1:29" x14ac:dyDescent="0.3">
      <c r="A3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facilities_Corn_Farming_Residual_oilResidual oil</v>
      </c>
      <c r="B334" s="14" t="s">
        <v>136</v>
      </c>
      <c r="C334" s="14" t="s">
        <v>1964</v>
      </c>
      <c r="D334" s="14" t="s">
        <v>29</v>
      </c>
      <c r="E334" s="48" t="s">
        <v>29</v>
      </c>
      <c r="F334" s="14" t="s">
        <v>911</v>
      </c>
      <c r="G334" s="14" t="b">
        <f>OR(LCI_Table[[#This Row],[Feedstock]]="All",LCI_Table[[#This Row],[Feedstock]]=SelectedFeedstock)</f>
        <v>0</v>
      </c>
      <c r="H334" s="14" t="b">
        <f>OR(LCI_Table[[#This Row],[Conversion]]="All",LCI_Table[[#This Row],[Conversion]]=SelectedConversion)</f>
        <v>0</v>
      </c>
      <c r="I334" s="14" t="b">
        <f>OR(LCI_Table[[#This Row],[Data Set]]="all",LCI_Table[[#This Row],[Data Set]]=SelectedDataSet)</f>
        <v>1</v>
      </c>
      <c r="J334" s="14" t="b">
        <f>OR(LCI_Table[[#This Row],[Technology]]="All",LCI_Table[[#This Row],[Technology]]=SelectedTechnology)</f>
        <v>0</v>
      </c>
      <c r="K334" s="14" t="b">
        <f>OR(LCI_Table[[#This Row],[Data Source]]="All",LCI_Table[[#This Row],[Data Source]]=SelectedDataSource)</f>
        <v>1</v>
      </c>
      <c r="L334" s="14" t="b">
        <f>TRUE</f>
        <v>1</v>
      </c>
      <c r="M334" s="14" t="b">
        <f>(LCI_Table[[#This Row],[Dev Notes]]="Do not display")</f>
        <v>0</v>
      </c>
      <c r="N334" s="14" t="b">
        <f>AND(LCI_Table[[#This Row],[Show Feedstock]:[Conditional]],NOT(LCI_Table[[#This Row],[Hide Row]]))</f>
        <v>0</v>
      </c>
      <c r="O334" s="14" t="b">
        <f>LCI_Table[[#This Row],[GREET1 Name Range]]=""</f>
        <v>0</v>
      </c>
      <c r="P334" s="14" t="s">
        <v>14</v>
      </c>
      <c r="Q334" s="14" t="s">
        <v>591</v>
      </c>
      <c r="R334" s="14" t="s">
        <v>115</v>
      </c>
      <c r="S334" s="37" cm="1">
        <f t="array" aca="1" ref="S3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34" s="346" t="s">
        <v>1484</v>
      </c>
      <c r="U334" s="347">
        <f ca="1">S334*Fuel_Specs!$B$28/S327</f>
        <v>0</v>
      </c>
      <c r="V334" s="347">
        <v>0</v>
      </c>
      <c r="W334" s="347">
        <v>0</v>
      </c>
      <c r="X334" s="14" t="s">
        <v>5</v>
      </c>
      <c r="Y334" s="346" t="s">
        <v>413</v>
      </c>
      <c r="Z334" s="14" t="str">
        <f>IF(ISBLANK(LCI_Table[[#This Row],[Notes for user]])," ",LCI_Table[[#This Row],[Notes for user]])</f>
        <v xml:space="preserve"> </v>
      </c>
      <c r="AA334" s="14"/>
      <c r="AB334" s="14"/>
      <c r="AC334" s="346">
        <f ca="1">LCI_Table[[#This Row],[Default Calculated Value]]-LCI_Table[[#This Row],[Calculated Value]]</f>
        <v>0</v>
      </c>
    </row>
    <row r="335" spans="1:29" x14ac:dyDescent="0.3">
      <c r="A3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facilities_Diesel_CornFarmingDiesel - Conventional Tillage</v>
      </c>
      <c r="B335" s="14" t="s">
        <v>136</v>
      </c>
      <c r="C335" s="14" t="s">
        <v>1964</v>
      </c>
      <c r="D335" s="14" t="s">
        <v>29</v>
      </c>
      <c r="E335" s="48" t="s">
        <v>29</v>
      </c>
      <c r="F335" s="14" t="s">
        <v>911</v>
      </c>
      <c r="G335" s="14" t="b">
        <f>OR(LCI_Table[[#This Row],[Feedstock]]="All",LCI_Table[[#This Row],[Feedstock]]=SelectedFeedstock)</f>
        <v>0</v>
      </c>
      <c r="H335" s="14" t="b">
        <f>OR(LCI_Table[[#This Row],[Conversion]]="All",LCI_Table[[#This Row],[Conversion]]=SelectedConversion)</f>
        <v>0</v>
      </c>
      <c r="I335" s="14" t="b">
        <f>OR(LCI_Table[[#This Row],[Data Set]]="all",LCI_Table[[#This Row],[Data Set]]=SelectedDataSet)</f>
        <v>1</v>
      </c>
      <c r="J335" s="14" t="b">
        <f>OR(LCI_Table[[#This Row],[Technology]]="All",LCI_Table[[#This Row],[Technology]]=SelectedTechnology)</f>
        <v>0</v>
      </c>
      <c r="K335" s="14" t="b">
        <f>OR(LCI_Table[[#This Row],[Data Source]]="All",LCI_Table[[#This Row],[Data Source]]=SelectedDataSource)</f>
        <v>1</v>
      </c>
      <c r="L335" s="14" t="b">
        <f ca="1">AND(Selections!$R$64=1,VALUE(Selections!R$96)=1)</f>
        <v>0</v>
      </c>
      <c r="M335" s="14" t="b">
        <f>(LCI_Table[[#This Row],[Dev Notes]]="Do not display")</f>
        <v>0</v>
      </c>
      <c r="N335" s="14" t="b">
        <f ca="1">AND(LCI_Table[[#This Row],[Show Feedstock]:[Conditional]],NOT(LCI_Table[[#This Row],[Hide Row]]))</f>
        <v>0</v>
      </c>
      <c r="O335" s="14" t="b">
        <f>LCI_Table[[#This Row],[GREET1 Name Range]]=""</f>
        <v>0</v>
      </c>
      <c r="P335" s="14" t="s">
        <v>14</v>
      </c>
      <c r="Q335" s="14" t="s">
        <v>75</v>
      </c>
      <c r="R335" s="14" t="s">
        <v>1558</v>
      </c>
      <c r="S335" s="37" cm="1">
        <f t="array" aca="1" ref="S3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11.983544837111177</v>
      </c>
      <c r="T335" s="346" t="s">
        <v>1484</v>
      </c>
      <c r="U335" s="347">
        <f ca="1">IF(Selections!R$64=1,(S335+IF(Selections!R$97=1,0,Selections!R$99)*0.680045342833666+IF(Selections!R$102=1,0,Selections!R$107*Selections!R$110*Selections!R$111+Selections!R$108)*0.680045342833666)*('GREET Connection'!S$172*Fuel_Specs!B$21+'GREET Connection'!S$173*Fuel_Specs!B$39+'GREET Connection'!S$174*Fuel_Specs!B$42)/S327,0)</f>
        <v>8711.2978739498049</v>
      </c>
      <c r="V335" s="347">
        <v>11.983544837111177</v>
      </c>
      <c r="W335" s="347">
        <v>8711.2978739498049</v>
      </c>
      <c r="X335" s="14" t="s">
        <v>5</v>
      </c>
      <c r="Y335" s="346" t="s">
        <v>413</v>
      </c>
      <c r="Z335" s="14" t="str">
        <f>IF(ISBLANK(LCI_Table[[#This Row],[Notes for user]])," ",LCI_Table[[#This Row],[Notes for user]])</f>
        <v xml:space="preserve"> </v>
      </c>
      <c r="AA335" s="346"/>
      <c r="AB335" s="14"/>
      <c r="AC335" s="346">
        <f ca="1">LCI_Table[[#This Row],[Default Calculated Value]]-LCI_Table[[#This Row],[Calculated Value]]</f>
        <v>0</v>
      </c>
    </row>
    <row r="336" spans="1:29" x14ac:dyDescent="0.3">
      <c r="A3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facilities_Diesel_CornFarmingDiesel - Reduced Tillage</v>
      </c>
      <c r="B336" s="14" t="s">
        <v>136</v>
      </c>
      <c r="C336" s="14" t="s">
        <v>1964</v>
      </c>
      <c r="D336" s="14" t="s">
        <v>29</v>
      </c>
      <c r="E336" s="48" t="s">
        <v>29</v>
      </c>
      <c r="F336" s="14" t="s">
        <v>911</v>
      </c>
      <c r="G336" s="14" t="b">
        <f>OR(LCI_Table[[#This Row],[Feedstock]]="All",LCI_Table[[#This Row],[Feedstock]]=SelectedFeedstock)</f>
        <v>0</v>
      </c>
      <c r="H336" s="14" t="b">
        <f>OR(LCI_Table[[#This Row],[Conversion]]="All",LCI_Table[[#This Row],[Conversion]]=SelectedConversion)</f>
        <v>0</v>
      </c>
      <c r="I336" s="14" t="b">
        <f>OR(LCI_Table[[#This Row],[Data Set]]="all",LCI_Table[[#This Row],[Data Set]]=SelectedDataSet)</f>
        <v>1</v>
      </c>
      <c r="J336" s="14" t="b">
        <f>OR(LCI_Table[[#This Row],[Technology]]="All",LCI_Table[[#This Row],[Technology]]=SelectedTechnology)</f>
        <v>0</v>
      </c>
      <c r="K336" s="14" t="b">
        <f>OR(LCI_Table[[#This Row],[Data Source]]="All",LCI_Table[[#This Row],[Data Source]]=SelectedDataSource)</f>
        <v>1</v>
      </c>
      <c r="L336" s="14" t="b">
        <f ca="1">AND(Selections!$R$64=1,VALUE(Selections!R$96)=2)</f>
        <v>0</v>
      </c>
      <c r="M336" s="14" t="b">
        <f>(LCI_Table[[#This Row],[Dev Notes]]="Do not display")</f>
        <v>0</v>
      </c>
      <c r="N336" s="14" t="b">
        <f ca="1">AND(LCI_Table[[#This Row],[Show Feedstock]:[Conditional]],NOT(LCI_Table[[#This Row],[Hide Row]]))</f>
        <v>0</v>
      </c>
      <c r="O336" s="14" t="b">
        <f>LCI_Table[[#This Row],[GREET1 Name Range]]=""</f>
        <v>0</v>
      </c>
      <c r="P336" s="14" t="s">
        <v>14</v>
      </c>
      <c r="Q336" s="14" t="s">
        <v>75</v>
      </c>
      <c r="R336" s="14" t="s">
        <v>1559</v>
      </c>
      <c r="S336" s="37" cm="1">
        <f t="array" aca="1" ref="S3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6.6121326942141225</v>
      </c>
      <c r="T336" s="346" t="s">
        <v>1484</v>
      </c>
      <c r="U336" s="347">
        <f ca="1">IF(Selections!R$64=1,(S336+IF(Selections!R$97=1,0,Selections!R$99)*0.680045342833666+IF(Selections!R$102=1,0,Selections!R$107*Selections!R$110*Selections!R$111+Selections!R$108)*0.680045342833666)*('GREET Connection'!S$172*Fuel_Specs!B$21+'GREET Connection'!S$173*Fuel_Specs!B$39+'GREET Connection'!S$174*Fuel_Specs!B$42)/S327,0)</f>
        <v>4806.6125895404875</v>
      </c>
      <c r="V336" s="347">
        <v>6.6121326942141225</v>
      </c>
      <c r="W336" s="347">
        <v>4806.6125895404875</v>
      </c>
      <c r="X336" s="14" t="s">
        <v>5</v>
      </c>
      <c r="Y336" s="346" t="s">
        <v>413</v>
      </c>
      <c r="Z336" s="14" t="str">
        <f>IF(ISBLANK(LCI_Table[[#This Row],[Notes for user]])," ",LCI_Table[[#This Row],[Notes for user]])</f>
        <v xml:space="preserve"> </v>
      </c>
      <c r="AA336" s="14"/>
      <c r="AB336" s="14"/>
      <c r="AC336" s="346">
        <f ca="1">LCI_Table[[#This Row],[Default Calculated Value]]-LCI_Table[[#This Row],[Calculated Value]]</f>
        <v>0</v>
      </c>
    </row>
    <row r="337" spans="1:29" x14ac:dyDescent="0.3">
      <c r="A3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facilities_Diesel_CornFarmingDiesel - No Tillage</v>
      </c>
      <c r="B337" s="14" t="s">
        <v>136</v>
      </c>
      <c r="C337" s="14" t="s">
        <v>1964</v>
      </c>
      <c r="D337" s="14" t="s">
        <v>29</v>
      </c>
      <c r="E337" s="48" t="s">
        <v>29</v>
      </c>
      <c r="F337" s="14" t="s">
        <v>911</v>
      </c>
      <c r="G337" s="14" t="b">
        <f>OR(LCI_Table[[#This Row],[Feedstock]]="All",LCI_Table[[#This Row],[Feedstock]]=SelectedFeedstock)</f>
        <v>0</v>
      </c>
      <c r="H337" s="14" t="b">
        <f>OR(LCI_Table[[#This Row],[Conversion]]="All",LCI_Table[[#This Row],[Conversion]]=SelectedConversion)</f>
        <v>0</v>
      </c>
      <c r="I337" s="14" t="b">
        <f>OR(LCI_Table[[#This Row],[Data Set]]="all",LCI_Table[[#This Row],[Data Set]]=SelectedDataSet)</f>
        <v>1</v>
      </c>
      <c r="J337" s="14" t="b">
        <f>OR(LCI_Table[[#This Row],[Technology]]="All",LCI_Table[[#This Row],[Technology]]=SelectedTechnology)</f>
        <v>0</v>
      </c>
      <c r="K337" s="14" t="b">
        <f>OR(LCI_Table[[#This Row],[Data Source]]="All",LCI_Table[[#This Row],[Data Source]]=SelectedDataSource)</f>
        <v>1</v>
      </c>
      <c r="L337" s="14" t="b">
        <f ca="1">AND(Selections!$R$64=1,VALUE(Selections!R$96)=3)</f>
        <v>0</v>
      </c>
      <c r="M337" s="14" t="b">
        <f>(LCI_Table[[#This Row],[Dev Notes]]="Do not display")</f>
        <v>0</v>
      </c>
      <c r="N337" s="14" t="b">
        <f ca="1">AND(LCI_Table[[#This Row],[Show Feedstock]:[Conditional]],NOT(LCI_Table[[#This Row],[Hide Row]]))</f>
        <v>0</v>
      </c>
      <c r="O337" s="14" t="b">
        <f>LCI_Table[[#This Row],[GREET1 Name Range]]=""</f>
        <v>0</v>
      </c>
      <c r="P337" s="14" t="s">
        <v>14</v>
      </c>
      <c r="Q337" s="14" t="s">
        <v>75</v>
      </c>
      <c r="R337" s="14" t="s">
        <v>1560</v>
      </c>
      <c r="S337" s="37" cm="1">
        <f t="array" aca="1" ref="S3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3.5178966851368036</v>
      </c>
      <c r="T337" s="346" t="s">
        <v>1484</v>
      </c>
      <c r="U337" s="347">
        <f ca="1">IF(Selections!R$64=1,(S337+IF(Selections!R$97=1,0,Selections!R$99)*0.680045342833666+IF(Selections!R$102=1,0,Selections!R$107*Selections!R$110*Selections!R$111+Selections!R$108)*0.680045342833666)*('GREET Connection'!S$172*Fuel_Specs!B$21+'GREET Connection'!S$173*Fuel_Specs!B$39+'GREET Connection'!S$174*Fuel_Specs!B$42)/S327,0)</f>
        <v>2557.2938834511742</v>
      </c>
      <c r="V337" s="347">
        <v>3.5178966851368036</v>
      </c>
      <c r="W337" s="347">
        <v>2557.2938834511742</v>
      </c>
      <c r="X337" s="14" t="s">
        <v>5</v>
      </c>
      <c r="Y337" s="346" t="s">
        <v>413</v>
      </c>
      <c r="Z337" s="14" t="str">
        <f>IF(ISBLANK(LCI_Table[[#This Row],[Notes for user]])," ",LCI_Table[[#This Row],[Notes for user]])</f>
        <v xml:space="preserve"> </v>
      </c>
      <c r="AA337" s="14"/>
      <c r="AB337" s="14"/>
      <c r="AC337" s="346">
        <f ca="1">LCI_Table[[#This Row],[Default Calculated Value]]-LCI_Table[[#This Row],[Calculated Value]]</f>
        <v>0</v>
      </c>
    </row>
    <row r="338" spans="1:29" x14ac:dyDescent="0.3">
      <c r="A3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facilities_Diesel_CornFarmingDiesel - Average Tillage</v>
      </c>
      <c r="B338" s="14" t="s">
        <v>136</v>
      </c>
      <c r="C338" s="14" t="s">
        <v>1964</v>
      </c>
      <c r="D338" s="14" t="s">
        <v>29</v>
      </c>
      <c r="E338" s="48" t="s">
        <v>29</v>
      </c>
      <c r="F338" s="14" t="s">
        <v>911</v>
      </c>
      <c r="G338" s="14" t="b">
        <f>OR(LCI_Table[[#This Row],[Feedstock]]="All",LCI_Table[[#This Row],[Feedstock]]=SelectedFeedstock)</f>
        <v>0</v>
      </c>
      <c r="H338" s="14" t="b">
        <f>OR(LCI_Table[[#This Row],[Conversion]]="All",LCI_Table[[#This Row],[Conversion]]=SelectedConversion)</f>
        <v>0</v>
      </c>
      <c r="I338" s="14" t="b">
        <f>OR(LCI_Table[[#This Row],[Data Set]]="all",LCI_Table[[#This Row],[Data Set]]=SelectedDataSet)</f>
        <v>1</v>
      </c>
      <c r="J338" s="14" t="b">
        <f>OR(LCI_Table[[#This Row],[Technology]]="All",LCI_Table[[#This Row],[Technology]]=SelectedTechnology)</f>
        <v>0</v>
      </c>
      <c r="K338" s="14" t="b">
        <f>OR(LCI_Table[[#This Row],[Data Source]]="All",LCI_Table[[#This Row],[Data Source]]=SelectedDataSource)</f>
        <v>1</v>
      </c>
      <c r="L338" s="14" t="b">
        <f ca="1">AND(Selections!$R$64=1,VALUE(Selections!R$96)=4)</f>
        <v>1</v>
      </c>
      <c r="M338" s="14" t="b">
        <f>(LCI_Table[[#This Row],[Dev Notes]]="Do not display")</f>
        <v>0</v>
      </c>
      <c r="N338" s="14" t="b">
        <f ca="1">AND(LCI_Table[[#This Row],[Show Feedstock]:[Conditional]],NOT(LCI_Table[[#This Row],[Hide Row]]))</f>
        <v>0</v>
      </c>
      <c r="O338" s="14" t="b">
        <f>LCI_Table[[#This Row],[GREET1 Name Range]]=""</f>
        <v>0</v>
      </c>
      <c r="P338" s="14" t="s">
        <v>14</v>
      </c>
      <c r="Q338" s="14" t="s">
        <v>75</v>
      </c>
      <c r="R338" s="14" t="s">
        <v>1579</v>
      </c>
      <c r="S338" s="37" cm="1">
        <f t="array" aca="1" ref="S3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7.2216825542862999</v>
      </c>
      <c r="T338" s="346" t="s">
        <v>1484</v>
      </c>
      <c r="U338" s="347">
        <f ca="1">IF(Selections!R$64=1,(S338+IF(Selections!R$97=1,0,Selections!R$99)*0.680045342833666+IF(Selections!R$102=1,0,Selections!R$107*Selections!R$110*Selections!R$111+Selections!R$108)*0.680045342833666)*('GREET Connection'!S$172*Fuel_Specs!B$21+'GREET Connection'!S$173*Fuel_Specs!B$39+'GREET Connection'!S$174*Fuel_Specs!B$42)/S327,0)</f>
        <v>5249.7177368312123</v>
      </c>
      <c r="V338" s="347">
        <v>7.2216825542862999</v>
      </c>
      <c r="W338" s="347">
        <v>5249.7177368312123</v>
      </c>
      <c r="X338" s="14" t="s">
        <v>5</v>
      </c>
      <c r="Y338" s="346" t="s">
        <v>413</v>
      </c>
      <c r="Z338" s="14" t="str">
        <f>IF(ISBLANK(LCI_Table[[#This Row],[Notes for user]])," ",LCI_Table[[#This Row],[Notes for user]])</f>
        <v xml:space="preserve"> </v>
      </c>
      <c r="AA338" s="14"/>
      <c r="AB338" s="14"/>
      <c r="AC338" s="346">
        <f ca="1">LCI_Table[[#This Row],[Default Calculated Value]]-LCI_Table[[#This Row],[Calculated Value]]</f>
        <v>0</v>
      </c>
    </row>
    <row r="339" spans="1:29" x14ac:dyDescent="0.3">
      <c r="A3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dash_CornATJ-ethanolGREETGREETCo-located facilities_Ag tractor electriciy use - Conventional Tillage_Farming</v>
      </c>
      <c r="B339" s="14" t="s">
        <v>136</v>
      </c>
      <c r="C339" s="14" t="s">
        <v>1964</v>
      </c>
      <c r="D339" s="14" t="s">
        <v>29</v>
      </c>
      <c r="E339" s="48" t="s">
        <v>29</v>
      </c>
      <c r="F339" s="14" t="s">
        <v>911</v>
      </c>
      <c r="G339" s="14" t="b">
        <f>OR(LCI_Table[[#This Row],[Feedstock]]="All",LCI_Table[[#This Row],[Feedstock]]=SelectedFeedstock)</f>
        <v>0</v>
      </c>
      <c r="H339" s="14" t="b">
        <f>OR(LCI_Table[[#This Row],[Conversion]]="All",LCI_Table[[#This Row],[Conversion]]=SelectedConversion)</f>
        <v>0</v>
      </c>
      <c r="I339" s="14" t="b">
        <f>OR(LCI_Table[[#This Row],[Data Set]]="all",LCI_Table[[#This Row],[Data Set]]=SelectedDataSet)</f>
        <v>1</v>
      </c>
      <c r="J339" s="14" t="b">
        <f>OR(LCI_Table[[#This Row],[Technology]]="All",LCI_Table[[#This Row],[Technology]]=SelectedTechnology)</f>
        <v>0</v>
      </c>
      <c r="K339" s="14" t="b">
        <f>OR(LCI_Table[[#This Row],[Data Source]]="All",LCI_Table[[#This Row],[Data Source]]=SelectedDataSource)</f>
        <v>1</v>
      </c>
      <c r="L339" s="14" t="b">
        <f ca="1">AND(Selections!$R$64=2,VALUE(Selections!R$96)=1)</f>
        <v>0</v>
      </c>
      <c r="M339" s="14" t="b">
        <f ca="1">(LCI_Table[[#This Row],[Dev Notes]]="Do not display")</f>
        <v>0</v>
      </c>
      <c r="N339" s="14" t="b">
        <f ca="1">AND(LCI_Table[[#This Row],[Show Feedstock]:[Conditional]],NOT(LCI_Table[[#This Row],[Hide Row]]))</f>
        <v>0</v>
      </c>
      <c r="O339" s="14" t="b">
        <f>LCI_Table[[#This Row],[GREET1 Name Range]]=""</f>
        <v>1</v>
      </c>
      <c r="P339" s="14" t="s">
        <v>14</v>
      </c>
      <c r="Q339" s="14"/>
      <c r="R339" s="14" t="s">
        <v>1562</v>
      </c>
      <c r="S339" s="37" cm="1">
        <f t="array" aca="1" ref="S3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216.29967399608705</v>
      </c>
      <c r="T339" s="346" t="s">
        <v>1561</v>
      </c>
      <c r="U339" s="347">
        <f ca="1">LCI_Table[[#This Row],[Dashboard Value]]</f>
        <v>216.29967399608705</v>
      </c>
      <c r="V339" s="347">
        <v>216.29967399608705</v>
      </c>
      <c r="W339" s="347">
        <v>216.29967399608705</v>
      </c>
      <c r="X339" s="14" t="s">
        <v>51</v>
      </c>
      <c r="Y339" s="346" t="s">
        <v>413</v>
      </c>
      <c r="Z339" s="14" t="str">
        <f>IF(ISBLANK(LCI_Table[[#This Row],[Notes for user]])," ",LCI_Table[[#This Row],[Notes for user]])</f>
        <v xml:space="preserve"> </v>
      </c>
      <c r="AA339" s="14"/>
      <c r="AB339" s="14" cm="1">
        <f t="array" aca="1" ref="AB339" ca="1">IFERROR(INDEX(LCIFarm_UD_BeforeCalc, MATCH(LCI_Table[[#This Row],[LCI ID]], LCIFarm_ID_BeforeCalc, 0)),LCI_Table[[#This Row],[Default Displayed Value]])</f>
        <v>216.29967399608705</v>
      </c>
      <c r="AC339" s="346">
        <f ca="1">LCI_Table[[#This Row],[Default Calculated Value]]-LCI_Table[[#This Row],[Calculated Value]]</f>
        <v>0</v>
      </c>
    </row>
    <row r="340" spans="1:29" x14ac:dyDescent="0.3">
      <c r="A3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dash_CornATJ-ethanolGREETGREETCo-located facilities_Ag tractor electriciy use - Reduced Tillage_Farming</v>
      </c>
      <c r="B340" s="14" t="s">
        <v>136</v>
      </c>
      <c r="C340" s="14" t="s">
        <v>1964</v>
      </c>
      <c r="D340" s="14" t="s">
        <v>29</v>
      </c>
      <c r="E340" s="48" t="s">
        <v>29</v>
      </c>
      <c r="F340" s="14" t="s">
        <v>911</v>
      </c>
      <c r="G340" s="14" t="b">
        <f>OR(LCI_Table[[#This Row],[Feedstock]]="All",LCI_Table[[#This Row],[Feedstock]]=SelectedFeedstock)</f>
        <v>0</v>
      </c>
      <c r="H340" s="14" t="b">
        <f>OR(LCI_Table[[#This Row],[Conversion]]="All",LCI_Table[[#This Row],[Conversion]]=SelectedConversion)</f>
        <v>0</v>
      </c>
      <c r="I340" s="14" t="b">
        <f>OR(LCI_Table[[#This Row],[Data Set]]="all",LCI_Table[[#This Row],[Data Set]]=SelectedDataSet)</f>
        <v>1</v>
      </c>
      <c r="J340" s="14" t="b">
        <f>OR(LCI_Table[[#This Row],[Technology]]="All",LCI_Table[[#This Row],[Technology]]=SelectedTechnology)</f>
        <v>0</v>
      </c>
      <c r="K340" s="14" t="b">
        <f>OR(LCI_Table[[#This Row],[Data Source]]="All",LCI_Table[[#This Row],[Data Source]]=SelectedDataSource)</f>
        <v>1</v>
      </c>
      <c r="L340" s="14" t="b">
        <f ca="1">AND(Selections!$R$64=2,VALUE(Selections!R$96)=2)</f>
        <v>0</v>
      </c>
      <c r="M340" s="14" t="b">
        <f ca="1">(LCI_Table[[#This Row],[Dev Notes]]="Do not display")</f>
        <v>0</v>
      </c>
      <c r="N340" s="14" t="b">
        <f ca="1">AND(LCI_Table[[#This Row],[Show Feedstock]:[Conditional]],NOT(LCI_Table[[#This Row],[Hide Row]]))</f>
        <v>0</v>
      </c>
      <c r="O340" s="14" t="b">
        <f>LCI_Table[[#This Row],[GREET1 Name Range]]=""</f>
        <v>1</v>
      </c>
      <c r="P340" s="14" t="s">
        <v>14</v>
      </c>
      <c r="Q340" s="14"/>
      <c r="R340" s="14" t="s">
        <v>1563</v>
      </c>
      <c r="S340" s="37" cm="1">
        <f t="array" aca="1" ref="S3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119.34716860642683</v>
      </c>
      <c r="T340" s="346" t="s">
        <v>1561</v>
      </c>
      <c r="U340" s="347">
        <f ca="1">LCI_Table[[#This Row],[Dashboard Value]]</f>
        <v>119.34716860642683</v>
      </c>
      <c r="V340" s="347">
        <v>119.34716860642683</v>
      </c>
      <c r="W340" s="347">
        <v>119.34716860642683</v>
      </c>
      <c r="X340" s="14" t="s">
        <v>51</v>
      </c>
      <c r="Y340" s="346" t="s">
        <v>413</v>
      </c>
      <c r="Z340" s="14" t="str">
        <f>IF(ISBLANK(LCI_Table[[#This Row],[Notes for user]])," ",LCI_Table[[#This Row],[Notes for user]])</f>
        <v xml:space="preserve"> </v>
      </c>
      <c r="AA340" s="14"/>
      <c r="AB340" s="14" cm="1">
        <f t="array" aca="1" ref="AB340" ca="1">IFERROR(INDEX(LCIFarm_UD_BeforeCalc, MATCH(LCI_Table[[#This Row],[LCI ID]], LCIFarm_ID_BeforeCalc, 0)),LCI_Table[[#This Row],[Default Displayed Value]])</f>
        <v>119.34716860642683</v>
      </c>
      <c r="AC340" s="346">
        <f ca="1">LCI_Table[[#This Row],[Default Calculated Value]]-LCI_Table[[#This Row],[Calculated Value]]</f>
        <v>0</v>
      </c>
    </row>
    <row r="341" spans="1:29" x14ac:dyDescent="0.3">
      <c r="A3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dash_CornATJ-ethanolGREETGREETCo-located facilities_Ag tractor electriciy use - No Tillage_Farming</v>
      </c>
      <c r="B341" s="14" t="s">
        <v>136</v>
      </c>
      <c r="C341" s="14" t="s">
        <v>1964</v>
      </c>
      <c r="D341" s="14" t="s">
        <v>29</v>
      </c>
      <c r="E341" s="48" t="s">
        <v>29</v>
      </c>
      <c r="F341" s="14" t="s">
        <v>911</v>
      </c>
      <c r="G341" s="14" t="b">
        <f>OR(LCI_Table[[#This Row],[Feedstock]]="All",LCI_Table[[#This Row],[Feedstock]]=SelectedFeedstock)</f>
        <v>0</v>
      </c>
      <c r="H341" s="14" t="b">
        <f>OR(LCI_Table[[#This Row],[Conversion]]="All",LCI_Table[[#This Row],[Conversion]]=SelectedConversion)</f>
        <v>0</v>
      </c>
      <c r="I341" s="14" t="b">
        <f>OR(LCI_Table[[#This Row],[Data Set]]="all",LCI_Table[[#This Row],[Data Set]]=SelectedDataSet)</f>
        <v>1</v>
      </c>
      <c r="J341" s="14" t="b">
        <f>OR(LCI_Table[[#This Row],[Technology]]="All",LCI_Table[[#This Row],[Technology]]=SelectedTechnology)</f>
        <v>0</v>
      </c>
      <c r="K341" s="14" t="b">
        <f>OR(LCI_Table[[#This Row],[Data Source]]="All",LCI_Table[[#This Row],[Data Source]]=SelectedDataSource)</f>
        <v>1</v>
      </c>
      <c r="L341" s="14" t="b">
        <f ca="1">AND(Selections!$R$64=2,VALUE(Selections!R$96)=3)</f>
        <v>0</v>
      </c>
      <c r="M341" s="14" t="b">
        <f ca="1">(LCI_Table[[#This Row],[Dev Notes]]="Do not display")</f>
        <v>0</v>
      </c>
      <c r="N341" s="14" t="b">
        <f ca="1">AND(LCI_Table[[#This Row],[Show Feedstock]:[Conditional]],NOT(LCI_Table[[#This Row],[Hide Row]]))</f>
        <v>0</v>
      </c>
      <c r="O341" s="14" t="b">
        <f>LCI_Table[[#This Row],[GREET1 Name Range]]=""</f>
        <v>1</v>
      </c>
      <c r="P341" s="14" t="s">
        <v>14</v>
      </c>
      <c r="Q341" s="14"/>
      <c r="R341" s="14" t="s">
        <v>1564</v>
      </c>
      <c r="S341" s="37" cm="1">
        <f t="array" aca="1" ref="S3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63.497063389002825</v>
      </c>
      <c r="T341" s="346" t="s">
        <v>1561</v>
      </c>
      <c r="U341" s="347">
        <f ca="1">LCI_Table[[#This Row],[Dashboard Value]]</f>
        <v>63.497063389002825</v>
      </c>
      <c r="V341" s="347">
        <v>63.497063389002825</v>
      </c>
      <c r="W341" s="347">
        <v>63.497063389002825</v>
      </c>
      <c r="X341" s="14" t="s">
        <v>51</v>
      </c>
      <c r="Y341" s="346" t="s">
        <v>413</v>
      </c>
      <c r="Z341" s="14" t="str">
        <f>IF(ISBLANK(LCI_Table[[#This Row],[Notes for user]])," ",LCI_Table[[#This Row],[Notes for user]])</f>
        <v xml:space="preserve"> </v>
      </c>
      <c r="AA341" s="14"/>
      <c r="AB341" s="14" cm="1">
        <f t="array" aca="1" ref="AB341" ca="1">IFERROR(INDEX(LCIFarm_UD_BeforeCalc, MATCH(LCI_Table[[#This Row],[LCI ID]], LCIFarm_ID_BeforeCalc, 0)),LCI_Table[[#This Row],[Default Displayed Value]])</f>
        <v>63.497063389002825</v>
      </c>
      <c r="AC341" s="346">
        <f ca="1">LCI_Table[[#This Row],[Default Calculated Value]]-LCI_Table[[#This Row],[Calculated Value]]</f>
        <v>0</v>
      </c>
    </row>
    <row r="342" spans="1:29" x14ac:dyDescent="0.3">
      <c r="A3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dash_CornATJ-ethanolGREETGREETCo-located facilities_Ag tractor electriciy use - Average Tillage_Farming</v>
      </c>
      <c r="B342" s="14" t="s">
        <v>136</v>
      </c>
      <c r="C342" s="14" t="s">
        <v>1964</v>
      </c>
      <c r="D342" s="14" t="s">
        <v>29</v>
      </c>
      <c r="E342" s="48" t="s">
        <v>29</v>
      </c>
      <c r="F342" s="14" t="s">
        <v>911</v>
      </c>
      <c r="G342" s="14" t="b">
        <f>OR(LCI_Table[[#This Row],[Feedstock]]="All",LCI_Table[[#This Row],[Feedstock]]=SelectedFeedstock)</f>
        <v>0</v>
      </c>
      <c r="H342" s="14" t="b">
        <f>OR(LCI_Table[[#This Row],[Conversion]]="All",LCI_Table[[#This Row],[Conversion]]=SelectedConversion)</f>
        <v>0</v>
      </c>
      <c r="I342" s="14" t="b">
        <f>OR(LCI_Table[[#This Row],[Data Set]]="all",LCI_Table[[#This Row],[Data Set]]=SelectedDataSet)</f>
        <v>1</v>
      </c>
      <c r="J342" s="14" t="b">
        <f>OR(LCI_Table[[#This Row],[Technology]]="All",LCI_Table[[#This Row],[Technology]]=SelectedTechnology)</f>
        <v>0</v>
      </c>
      <c r="K342" s="14" t="b">
        <f>OR(LCI_Table[[#This Row],[Data Source]]="All",LCI_Table[[#This Row],[Data Source]]=SelectedDataSource)</f>
        <v>1</v>
      </c>
      <c r="L342" s="14" t="b">
        <f ca="1">AND(Selections!$R$64=2,VALUE(Selections!R$96)=4)</f>
        <v>0</v>
      </c>
      <c r="M342" s="14" t="b">
        <f ca="1">(LCI_Table[[#This Row],[Dev Notes]]="Do not display")</f>
        <v>0</v>
      </c>
      <c r="N342" s="14" t="b">
        <f ca="1">AND(LCI_Table[[#This Row],[Show Feedstock]:[Conditional]],NOT(LCI_Table[[#This Row],[Hide Row]]))</f>
        <v>0</v>
      </c>
      <c r="O342" s="14" t="b">
        <f>LCI_Table[[#This Row],[GREET1 Name Range]]=""</f>
        <v>1</v>
      </c>
      <c r="P342" s="14" t="s">
        <v>14</v>
      </c>
      <c r="Q342" s="14"/>
      <c r="R342" s="14" t="s">
        <v>1578</v>
      </c>
      <c r="S342" s="37" cm="1">
        <f t="array" aca="1" ref="S3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130.34937519972698</v>
      </c>
      <c r="T342" s="346" t="s">
        <v>1561</v>
      </c>
      <c r="U342" s="347">
        <f ca="1">LCI_Table[[#This Row],[Dashboard Value]]</f>
        <v>130.34937519972698</v>
      </c>
      <c r="V342" s="347">
        <v>130.34937519972698</v>
      </c>
      <c r="W342" s="347">
        <v>130.34937519972698</v>
      </c>
      <c r="X342" s="14" t="s">
        <v>51</v>
      </c>
      <c r="Y342" s="346" t="s">
        <v>413</v>
      </c>
      <c r="Z342" s="14" t="str">
        <f>IF(ISBLANK(LCI_Table[[#This Row],[Notes for user]])," ",LCI_Table[[#This Row],[Notes for user]])</f>
        <v xml:space="preserve"> </v>
      </c>
      <c r="AA342" s="14"/>
      <c r="AB342" s="14" cm="1">
        <f t="array" aca="1" ref="AB342" ca="1">IFERROR(INDEX(LCIFarm_UD_BeforeCalc, MATCH(LCI_Table[[#This Row],[LCI ID]], LCIFarm_ID_BeforeCalc, 0)),LCI_Table[[#This Row],[Default Displayed Value]])</f>
        <v>130.34937519972698</v>
      </c>
      <c r="AC342" s="346">
        <f ca="1">LCI_Table[[#This Row],[Default Calculated Value]]-LCI_Table[[#This Row],[Calculated Value]]</f>
        <v>0</v>
      </c>
    </row>
    <row r="343" spans="1:29" x14ac:dyDescent="0.3">
      <c r="A3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facilities_Gasoline_CornFarmingGasoline</v>
      </c>
      <c r="B343" s="14" t="s">
        <v>136</v>
      </c>
      <c r="C343" s="14" t="s">
        <v>1964</v>
      </c>
      <c r="D343" s="14" t="s">
        <v>29</v>
      </c>
      <c r="E343" s="48" t="s">
        <v>29</v>
      </c>
      <c r="F343" s="14" t="s">
        <v>911</v>
      </c>
      <c r="G343" s="14" t="b">
        <f>OR(LCI_Table[[#This Row],[Feedstock]]="All",LCI_Table[[#This Row],[Feedstock]]=SelectedFeedstock)</f>
        <v>0</v>
      </c>
      <c r="H343" s="14" t="b">
        <f>OR(LCI_Table[[#This Row],[Conversion]]="All",LCI_Table[[#This Row],[Conversion]]=SelectedConversion)</f>
        <v>0</v>
      </c>
      <c r="I343" s="14" t="b">
        <f>OR(LCI_Table[[#This Row],[Data Set]]="all",LCI_Table[[#This Row],[Data Set]]=SelectedDataSet)</f>
        <v>1</v>
      </c>
      <c r="J343" s="14" t="b">
        <f>OR(LCI_Table[[#This Row],[Technology]]="All",LCI_Table[[#This Row],[Technology]]=SelectedTechnology)</f>
        <v>0</v>
      </c>
      <c r="K343" s="14" t="b">
        <f>OR(LCI_Table[[#This Row],[Data Source]]="All",LCI_Table[[#This Row],[Data Source]]=SelectedDataSource)</f>
        <v>1</v>
      </c>
      <c r="L343" s="14" t="b">
        <f>TRUE</f>
        <v>1</v>
      </c>
      <c r="M343" s="14" t="b">
        <f>(LCI_Table[[#This Row],[Dev Notes]]="Do not display")</f>
        <v>0</v>
      </c>
      <c r="N343" s="14" t="b">
        <f>AND(LCI_Table[[#This Row],[Show Feedstock]:[Conditional]],NOT(LCI_Table[[#This Row],[Hide Row]]))</f>
        <v>0</v>
      </c>
      <c r="O343" s="14" t="b">
        <f>LCI_Table[[#This Row],[GREET1 Name Range]]=""</f>
        <v>0</v>
      </c>
      <c r="P343" s="14" t="s">
        <v>14</v>
      </c>
      <c r="Q343" s="14" t="s">
        <v>85</v>
      </c>
      <c r="R343" s="14" t="s">
        <v>107</v>
      </c>
      <c r="S343" s="37" cm="1">
        <f t="array" aca="1" ref="S3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1.2759649055653903</v>
      </c>
      <c r="T343" s="346" t="s">
        <v>1484</v>
      </c>
      <c r="U343" s="347">
        <f ca="1">S343*Fuel_Specs!$B$15/S327</f>
        <v>810.15842757130031</v>
      </c>
      <c r="V343" s="347">
        <v>1.2759649055653903</v>
      </c>
      <c r="W343" s="347">
        <v>810.15842757130031</v>
      </c>
      <c r="X343" s="14" t="s">
        <v>5</v>
      </c>
      <c r="Y343" s="346" t="s">
        <v>413</v>
      </c>
      <c r="Z343" s="14" t="str">
        <f>IF(ISBLANK(LCI_Table[[#This Row],[Notes for user]])," ",LCI_Table[[#This Row],[Notes for user]])</f>
        <v xml:space="preserve"> </v>
      </c>
      <c r="AA343" s="14"/>
      <c r="AB343" s="14"/>
      <c r="AC343" s="346">
        <f ca="1">LCI_Table[[#This Row],[Default Calculated Value]]-LCI_Table[[#This Row],[Calculated Value]]</f>
        <v>0</v>
      </c>
    </row>
    <row r="344" spans="1:29" x14ac:dyDescent="0.3">
      <c r="A3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facilities_NG_CornFarmingNatural gas</v>
      </c>
      <c r="B344" s="14" t="s">
        <v>136</v>
      </c>
      <c r="C344" s="14" t="s">
        <v>1964</v>
      </c>
      <c r="D344" s="14" t="s">
        <v>29</v>
      </c>
      <c r="E344" s="48" t="s">
        <v>29</v>
      </c>
      <c r="F344" s="14" t="s">
        <v>911</v>
      </c>
      <c r="G344" s="14" t="b">
        <f>OR(LCI_Table[[#This Row],[Feedstock]]="All",LCI_Table[[#This Row],[Feedstock]]=SelectedFeedstock)</f>
        <v>0</v>
      </c>
      <c r="H344" s="14" t="b">
        <f>OR(LCI_Table[[#This Row],[Conversion]]="All",LCI_Table[[#This Row],[Conversion]]=SelectedConversion)</f>
        <v>0</v>
      </c>
      <c r="I344" s="14" t="b">
        <f>OR(LCI_Table[[#This Row],[Data Set]]="all",LCI_Table[[#This Row],[Data Set]]=SelectedDataSet)</f>
        <v>1</v>
      </c>
      <c r="J344" s="14" t="b">
        <f>OR(LCI_Table[[#This Row],[Technology]]="All",LCI_Table[[#This Row],[Technology]]=SelectedTechnology)</f>
        <v>0</v>
      </c>
      <c r="K344" s="14" t="b">
        <f>OR(LCI_Table[[#This Row],[Data Source]]="All",LCI_Table[[#This Row],[Data Source]]=SelectedDataSource)</f>
        <v>1</v>
      </c>
      <c r="L344" s="14" t="b">
        <f>TRUE</f>
        <v>1</v>
      </c>
      <c r="M344" s="14" t="b">
        <f>(LCI_Table[[#This Row],[Dev Notes]]="Do not display")</f>
        <v>0</v>
      </c>
      <c r="N344" s="14" t="b">
        <f>AND(LCI_Table[[#This Row],[Show Feedstock]:[Conditional]],NOT(LCI_Table[[#This Row],[Hide Row]]))</f>
        <v>0</v>
      </c>
      <c r="O344" s="14" t="b">
        <f>LCI_Table[[#This Row],[GREET1 Name Range]]=""</f>
        <v>0</v>
      </c>
      <c r="P344" s="14" t="s">
        <v>14</v>
      </c>
      <c r="Q344" s="14" t="s">
        <v>90</v>
      </c>
      <c r="R344" s="14" t="s">
        <v>108</v>
      </c>
      <c r="S344" s="37" cm="1">
        <f t="array" aca="1" ref="S3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86.154045985586208</v>
      </c>
      <c r="T344" s="346" t="s">
        <v>2109</v>
      </c>
      <c r="U344" s="347">
        <f ca="1">S344*Fuel_Specs!$B$79/S327</f>
        <v>479.28368536407049</v>
      </c>
      <c r="V344" s="347">
        <v>86.154045985586208</v>
      </c>
      <c r="W344" s="347">
        <v>479.28368536407049</v>
      </c>
      <c r="X344" s="14" t="s">
        <v>351</v>
      </c>
      <c r="Y344" s="346" t="s">
        <v>413</v>
      </c>
      <c r="Z344" s="14" t="str">
        <f>IF(ISBLANK(LCI_Table[[#This Row],[Notes for user]])," ",LCI_Table[[#This Row],[Notes for user]])</f>
        <v xml:space="preserve"> </v>
      </c>
      <c r="AA344" s="14"/>
      <c r="AB344" s="14"/>
      <c r="AC344" s="346">
        <f ca="1">LCI_Table[[#This Row],[Default Calculated Value]]-LCI_Table[[#This Row],[Calculated Value]]</f>
        <v>0</v>
      </c>
    </row>
    <row r="345" spans="1:29" x14ac:dyDescent="0.3">
      <c r="A3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facilities_Corn_Farming_CoalCoal</v>
      </c>
      <c r="B345" s="14" t="s">
        <v>136</v>
      </c>
      <c r="C345" s="14" t="s">
        <v>1964</v>
      </c>
      <c r="D345" s="14" t="s">
        <v>29</v>
      </c>
      <c r="E345" s="48" t="s">
        <v>29</v>
      </c>
      <c r="F345" s="14" t="s">
        <v>911</v>
      </c>
      <c r="G345" s="14" t="b">
        <f>OR(LCI_Table[[#This Row],[Feedstock]]="All",LCI_Table[[#This Row],[Feedstock]]=SelectedFeedstock)</f>
        <v>0</v>
      </c>
      <c r="H345" s="14" t="b">
        <f>OR(LCI_Table[[#This Row],[Conversion]]="All",LCI_Table[[#This Row],[Conversion]]=SelectedConversion)</f>
        <v>0</v>
      </c>
      <c r="I345" s="14" t="b">
        <f>OR(LCI_Table[[#This Row],[Data Set]]="all",LCI_Table[[#This Row],[Data Set]]=SelectedDataSet)</f>
        <v>1</v>
      </c>
      <c r="J345" s="14" t="b">
        <f>OR(LCI_Table[[#This Row],[Technology]]="All",LCI_Table[[#This Row],[Technology]]=SelectedTechnology)</f>
        <v>0</v>
      </c>
      <c r="K345" s="14" t="b">
        <f>OR(LCI_Table[[#This Row],[Data Source]]="All",LCI_Table[[#This Row],[Data Source]]=SelectedDataSource)</f>
        <v>1</v>
      </c>
      <c r="L345" s="14" t="b">
        <f>TRUE</f>
        <v>1</v>
      </c>
      <c r="M345" s="14" t="b">
        <f>(LCI_Table[[#This Row],[Dev Notes]]="Do not display")</f>
        <v>0</v>
      </c>
      <c r="N345" s="14" t="b">
        <f>AND(LCI_Table[[#This Row],[Show Feedstock]:[Conditional]],NOT(LCI_Table[[#This Row],[Hide Row]]))</f>
        <v>0</v>
      </c>
      <c r="O345" s="14" t="b">
        <f>LCI_Table[[#This Row],[GREET1 Name Range]]=""</f>
        <v>0</v>
      </c>
      <c r="P345" s="14" t="s">
        <v>14</v>
      </c>
      <c r="Q345" s="14" t="s">
        <v>585</v>
      </c>
      <c r="R345" s="14" t="s">
        <v>9</v>
      </c>
      <c r="S345" s="37" cm="1">
        <f t="array" aca="1" ref="S3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45" s="346" t="s">
        <v>2110</v>
      </c>
      <c r="U345" s="347">
        <f ca="1">S345/S327</f>
        <v>0</v>
      </c>
      <c r="V345" s="347">
        <v>0</v>
      </c>
      <c r="W345" s="347">
        <v>0</v>
      </c>
      <c r="X345" s="14" t="s">
        <v>117</v>
      </c>
      <c r="Y345" s="346" t="s">
        <v>413</v>
      </c>
      <c r="Z345" s="14" t="str">
        <f>IF(ISBLANK(LCI_Table[[#This Row],[Notes for user]])," ",LCI_Table[[#This Row],[Notes for user]])</f>
        <v xml:space="preserve"> </v>
      </c>
      <c r="AA345" s="14"/>
      <c r="AB345" s="14"/>
      <c r="AC345" s="346">
        <f ca="1">LCI_Table[[#This Row],[Default Calculated Value]]-LCI_Table[[#This Row],[Calculated Value]]</f>
        <v>0</v>
      </c>
    </row>
    <row r="346" spans="1:29" x14ac:dyDescent="0.3">
      <c r="A3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facilities_LPG_CornFarmingLPG</v>
      </c>
      <c r="B346" s="14" t="s">
        <v>136</v>
      </c>
      <c r="C346" s="14" t="s">
        <v>1964</v>
      </c>
      <c r="D346" s="14" t="s">
        <v>29</v>
      </c>
      <c r="E346" s="48" t="s">
        <v>29</v>
      </c>
      <c r="F346" s="14" t="s">
        <v>911</v>
      </c>
      <c r="G346" s="14" t="b">
        <f>OR(LCI_Table[[#This Row],[Feedstock]]="All",LCI_Table[[#This Row],[Feedstock]]=SelectedFeedstock)</f>
        <v>0</v>
      </c>
      <c r="H346" s="14" t="b">
        <f>OR(LCI_Table[[#This Row],[Conversion]]="All",LCI_Table[[#This Row],[Conversion]]=SelectedConversion)</f>
        <v>0</v>
      </c>
      <c r="I346" s="14" t="b">
        <f>OR(LCI_Table[[#This Row],[Data Set]]="all",LCI_Table[[#This Row],[Data Set]]=SelectedDataSet)</f>
        <v>1</v>
      </c>
      <c r="J346" s="14" t="b">
        <f>OR(LCI_Table[[#This Row],[Technology]]="All",LCI_Table[[#This Row],[Technology]]=SelectedTechnology)</f>
        <v>0</v>
      </c>
      <c r="K346" s="14" t="b">
        <f>OR(LCI_Table[[#This Row],[Data Source]]="All",LCI_Table[[#This Row],[Data Source]]=SelectedDataSource)</f>
        <v>1</v>
      </c>
      <c r="L346" s="14" t="b">
        <f>TRUE</f>
        <v>1</v>
      </c>
      <c r="M346" s="14" t="b">
        <f>(LCI_Table[[#This Row],[Dev Notes]]="Do not display")</f>
        <v>0</v>
      </c>
      <c r="N346" s="14" t="b">
        <f>AND(LCI_Table[[#This Row],[Show Feedstock]:[Conditional]],NOT(LCI_Table[[#This Row],[Hide Row]]))</f>
        <v>0</v>
      </c>
      <c r="O346" s="14" t="b">
        <f>LCI_Table[[#This Row],[GREET1 Name Range]]=""</f>
        <v>0</v>
      </c>
      <c r="P346" s="14" t="s">
        <v>14</v>
      </c>
      <c r="Q346" s="14" t="s">
        <v>89</v>
      </c>
      <c r="R346" s="14" t="s">
        <v>109</v>
      </c>
      <c r="S346" s="37" cm="1">
        <f t="array" aca="1" ref="S3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2.1337216632787808</v>
      </c>
      <c r="T346" s="346" t="s">
        <v>1484</v>
      </c>
      <c r="U346" s="347">
        <f ca="1">S346*Fuel_Specs!$B$35/S327</f>
        <v>1025.8045008236131</v>
      </c>
      <c r="V346" s="347">
        <v>2.1337216632787808</v>
      </c>
      <c r="W346" s="347">
        <v>1025.8045008236131</v>
      </c>
      <c r="X346" s="14" t="s">
        <v>5</v>
      </c>
      <c r="Y346" s="346" t="s">
        <v>413</v>
      </c>
      <c r="Z346" s="14" t="str">
        <f>IF(ISBLANK(LCI_Table[[#This Row],[Notes for user]])," ",LCI_Table[[#This Row],[Notes for user]])</f>
        <v xml:space="preserve"> </v>
      </c>
      <c r="AA346" s="14"/>
      <c r="AB346" s="14"/>
      <c r="AC346" s="346">
        <f ca="1">LCI_Table[[#This Row],[Default Calculated Value]]-LCI_Table[[#This Row],[Calculated Value]]</f>
        <v>0</v>
      </c>
    </row>
    <row r="347" spans="1:29" x14ac:dyDescent="0.3">
      <c r="A3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facilities_Electricity_CornFarmingElectricity</v>
      </c>
      <c r="B347" s="14" t="s">
        <v>136</v>
      </c>
      <c r="C347" s="14" t="s">
        <v>1964</v>
      </c>
      <c r="D347" s="14" t="s">
        <v>29</v>
      </c>
      <c r="E347" s="48" t="s">
        <v>29</v>
      </c>
      <c r="F347" s="14" t="s">
        <v>911</v>
      </c>
      <c r="G347" s="14" t="b">
        <f>OR(LCI_Table[[#This Row],[Feedstock]]="All",LCI_Table[[#This Row],[Feedstock]]=SelectedFeedstock)</f>
        <v>0</v>
      </c>
      <c r="H347" s="14" t="b">
        <f>OR(LCI_Table[[#This Row],[Conversion]]="All",LCI_Table[[#This Row],[Conversion]]=SelectedConversion)</f>
        <v>0</v>
      </c>
      <c r="I347" s="14" t="b">
        <f>OR(LCI_Table[[#This Row],[Data Set]]="all",LCI_Table[[#This Row],[Data Set]]=SelectedDataSet)</f>
        <v>1</v>
      </c>
      <c r="J347" s="14" t="b">
        <f>OR(LCI_Table[[#This Row],[Technology]]="All",LCI_Table[[#This Row],[Technology]]=SelectedTechnology)</f>
        <v>0</v>
      </c>
      <c r="K347" s="14" t="b">
        <f>OR(LCI_Table[[#This Row],[Data Source]]="All",LCI_Table[[#This Row],[Data Source]]=SelectedDataSource)</f>
        <v>1</v>
      </c>
      <c r="L347" s="14" t="b">
        <f>TRUE</f>
        <v>1</v>
      </c>
      <c r="M347" s="14" t="b">
        <f>(LCI_Table[[#This Row],[Dev Notes]]="Do not display")</f>
        <v>0</v>
      </c>
      <c r="N347" s="14" t="b">
        <f>AND(LCI_Table[[#This Row],[Show Feedstock]:[Conditional]],NOT(LCI_Table[[#This Row],[Hide Row]]))</f>
        <v>0</v>
      </c>
      <c r="O347" s="14" t="b">
        <f>LCI_Table[[#This Row],[GREET1 Name Range]]=""</f>
        <v>0</v>
      </c>
      <c r="P347" s="14" t="s">
        <v>14</v>
      </c>
      <c r="Q347" s="14" t="s">
        <v>76</v>
      </c>
      <c r="R347" s="14" t="s">
        <v>110</v>
      </c>
      <c r="S347" s="37" cm="1">
        <f t="array" aca="1" ref="S3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68.664627154059303</v>
      </c>
      <c r="T347" s="346" t="s">
        <v>1561</v>
      </c>
      <c r="U347" s="347">
        <f ca="1">S347/BTU2kWh/S327 + IF(Selections!R$64 = 1, 0, (IF(Selections!R$96=1, S339, IF(Selections!R$96=2, S340, IF(Selections!R$96=3, S341, S342))) +IF(Selections!R$97=1,0,Selections!R$98)*0.680045342833666+IF(Selections!R$102=1,0,Selections!R$107*Selections!R$110*Selections!R$112+Selections!R$109)*0.680045342833666)/BTU2kWh/S327)</f>
        <v>1325.9390697079205</v>
      </c>
      <c r="V347" s="347">
        <v>68.664627154059303</v>
      </c>
      <c r="W347" s="347">
        <v>1325.9390697079205</v>
      </c>
      <c r="X347" s="14" t="s">
        <v>51</v>
      </c>
      <c r="Y347" s="346" t="s">
        <v>413</v>
      </c>
      <c r="Z347" s="14" t="str">
        <f>IF(ISBLANK(LCI_Table[[#This Row],[Notes for user]])," ",LCI_Table[[#This Row],[Notes for user]])</f>
        <v xml:space="preserve"> </v>
      </c>
      <c r="AA347" s="14"/>
      <c r="AB347" s="14"/>
      <c r="AC347" s="346">
        <f ca="1">LCI_Table[[#This Row],[Default Calculated Value]]-LCI_Table[[#This Row],[Calculated Value]]</f>
        <v>0</v>
      </c>
    </row>
    <row r="348" spans="1:29" x14ac:dyDescent="0.3">
      <c r="A3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facilities_Corn_ETJ_CornCorn</v>
      </c>
      <c r="B348" s="14" t="s">
        <v>136</v>
      </c>
      <c r="C348" s="14" t="s">
        <v>1964</v>
      </c>
      <c r="D348" s="14" t="s">
        <v>29</v>
      </c>
      <c r="E348" s="48" t="s">
        <v>29</v>
      </c>
      <c r="F348" s="14" t="s">
        <v>911</v>
      </c>
      <c r="G348" s="14" t="b">
        <f>OR(LCI_Table[[#This Row],[Feedstock]]="All",LCI_Table[[#This Row],[Feedstock]]=SelectedFeedstock)</f>
        <v>0</v>
      </c>
      <c r="H348" s="14" t="b">
        <f>OR(LCI_Table[[#This Row],[Conversion]]="All",LCI_Table[[#This Row],[Conversion]]=SelectedConversion)</f>
        <v>0</v>
      </c>
      <c r="I348" s="14" t="b">
        <f>OR(LCI_Table[[#This Row],[Data Set]]="all",LCI_Table[[#This Row],[Data Set]]=SelectedDataSet)</f>
        <v>1</v>
      </c>
      <c r="J348" s="14" t="b">
        <f>OR(LCI_Table[[#This Row],[Technology]]="All",LCI_Table[[#This Row],[Technology]]=SelectedTechnology)</f>
        <v>0</v>
      </c>
      <c r="K348" s="14" t="b">
        <f>OR(LCI_Table[[#This Row],[Data Source]]="All",LCI_Table[[#This Row],[Data Source]]=SelectedDataSource)</f>
        <v>1</v>
      </c>
      <c r="L348" s="14" t="b">
        <f>TRUE</f>
        <v>1</v>
      </c>
      <c r="M348" s="14" t="b">
        <f>(LCI_Table[[#This Row],[Dev Notes]]="Do not display")</f>
        <v>0</v>
      </c>
      <c r="N348" s="14" t="b">
        <f>AND(LCI_Table[[#This Row],[Show Feedstock]:[Conditional]],NOT(LCI_Table[[#This Row],[Hide Row]]))</f>
        <v>0</v>
      </c>
      <c r="O348" s="14" t="b">
        <f>LCI_Table[[#This Row],[GREET1 Name Range]]=""</f>
        <v>0</v>
      </c>
      <c r="P348" s="14" t="s">
        <v>1448</v>
      </c>
      <c r="Q348" s="14" t="s">
        <v>573</v>
      </c>
      <c r="R348" s="14" t="s">
        <v>136</v>
      </c>
      <c r="S348" s="37" cm="1">
        <f t="array" aca="1" ref="S3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259.04701763036502</v>
      </c>
      <c r="T348" s="346" t="s">
        <v>2119</v>
      </c>
      <c r="U348" s="347">
        <f ca="1">S348/kg2lb/Allocations!$O$38*MJ2mmBTU</f>
        <v>0.14734605606525339</v>
      </c>
      <c r="V348" s="347">
        <v>259.04701763036502</v>
      </c>
      <c r="W348" s="347">
        <v>0.14734605606525339</v>
      </c>
      <c r="X348" s="37" t="s">
        <v>12</v>
      </c>
      <c r="Y348" s="346" t="s">
        <v>416</v>
      </c>
      <c r="Z348" s="14" t="str">
        <f>IF(ISBLANK(LCI_Table[[#This Row],[Notes for user]])," ",LCI_Table[[#This Row],[Notes for user]])</f>
        <v xml:space="preserve"> </v>
      </c>
      <c r="AA348" s="14"/>
      <c r="AB348" s="14"/>
      <c r="AC348" s="346">
        <f ca="1">LCI_Table[[#This Row],[Default Calculated Value]]-LCI_Table[[#This Row],[Calculated Value]]</f>
        <v>0</v>
      </c>
    </row>
    <row r="349" spans="1:29" x14ac:dyDescent="0.3">
      <c r="A3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facilities_Corn_ETJ_Alpha_amylaseAlpha-amylase</v>
      </c>
      <c r="B349" s="14" t="s">
        <v>136</v>
      </c>
      <c r="C349" s="14" t="s">
        <v>1964</v>
      </c>
      <c r="D349" s="14" t="s">
        <v>29</v>
      </c>
      <c r="E349" s="48" t="s">
        <v>29</v>
      </c>
      <c r="F349" s="14" t="s">
        <v>911</v>
      </c>
      <c r="G349" s="14" t="b">
        <f>OR(LCI_Table[[#This Row],[Feedstock]]="All",LCI_Table[[#This Row],[Feedstock]]=SelectedFeedstock)</f>
        <v>0</v>
      </c>
      <c r="H349" s="14" t="b">
        <f>OR(LCI_Table[[#This Row],[Conversion]]="All",LCI_Table[[#This Row],[Conversion]]=SelectedConversion)</f>
        <v>0</v>
      </c>
      <c r="I349" s="14" t="b">
        <f>OR(LCI_Table[[#This Row],[Data Set]]="all",LCI_Table[[#This Row],[Data Set]]=SelectedDataSet)</f>
        <v>1</v>
      </c>
      <c r="J349" s="14" t="b">
        <f>OR(LCI_Table[[#This Row],[Technology]]="All",LCI_Table[[#This Row],[Technology]]=SelectedTechnology)</f>
        <v>0</v>
      </c>
      <c r="K349" s="14" t="b">
        <f>OR(LCI_Table[[#This Row],[Data Source]]="All",LCI_Table[[#This Row],[Data Source]]=SelectedDataSource)</f>
        <v>1</v>
      </c>
      <c r="L349" s="14" t="b">
        <f>TRUE</f>
        <v>1</v>
      </c>
      <c r="M349" s="14" t="b">
        <f>(LCI_Table[[#This Row],[Dev Notes]]="Do not display")</f>
        <v>0</v>
      </c>
      <c r="N349" s="14" t="b">
        <f>AND(LCI_Table[[#This Row],[Show Feedstock]:[Conditional]],NOT(LCI_Table[[#This Row],[Hide Row]]))</f>
        <v>0</v>
      </c>
      <c r="O349" s="14" t="b">
        <f>LCI_Table[[#This Row],[GREET1 Name Range]]=""</f>
        <v>0</v>
      </c>
      <c r="P349" s="14" t="s">
        <v>1448</v>
      </c>
      <c r="Q349" s="14" t="s">
        <v>571</v>
      </c>
      <c r="R349" s="14" t="s">
        <v>353</v>
      </c>
      <c r="S349" s="37" cm="1">
        <f t="array" aca="1" ref="S3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96.539159596505073</v>
      </c>
      <c r="T349" s="346" t="s">
        <v>2127</v>
      </c>
      <c r="U349" s="347">
        <f ca="1">S349/kg2g/Allocations!$O$38*MJ2mmBTU</f>
        <v>1.2105917011010036E-4</v>
      </c>
      <c r="V349" s="347">
        <v>96.539159596505073</v>
      </c>
      <c r="W349" s="347">
        <v>1.2105917011010036E-4</v>
      </c>
      <c r="X349" s="37" t="s">
        <v>6</v>
      </c>
      <c r="Y349" s="346" t="s">
        <v>416</v>
      </c>
      <c r="Z349" s="14" t="str">
        <f>IF(ISBLANK(LCI_Table[[#This Row],[Notes for user]])," ",LCI_Table[[#This Row],[Notes for user]])</f>
        <v xml:space="preserve"> </v>
      </c>
      <c r="AA349" s="14"/>
      <c r="AB349" s="14"/>
      <c r="AC349" s="346">
        <f ca="1">LCI_Table[[#This Row],[Default Calculated Value]]-LCI_Table[[#This Row],[Calculated Value]]</f>
        <v>0</v>
      </c>
    </row>
    <row r="350" spans="1:29" x14ac:dyDescent="0.3">
      <c r="A3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facilities_Corn_ETJ_CatalystsCatalysts</v>
      </c>
      <c r="B350" s="14" t="s">
        <v>136</v>
      </c>
      <c r="C350" s="14" t="s">
        <v>1964</v>
      </c>
      <c r="D350" s="14" t="s">
        <v>29</v>
      </c>
      <c r="E350" s="48" t="s">
        <v>29</v>
      </c>
      <c r="F350" s="14" t="s">
        <v>911</v>
      </c>
      <c r="G350" s="14" t="b">
        <f>OR(LCI_Table[[#This Row],[Feedstock]]="All",LCI_Table[[#This Row],[Feedstock]]=SelectedFeedstock)</f>
        <v>0</v>
      </c>
      <c r="H350" s="14" t="b">
        <f>OR(LCI_Table[[#This Row],[Conversion]]="All",LCI_Table[[#This Row],[Conversion]]=SelectedConversion)</f>
        <v>0</v>
      </c>
      <c r="I350" s="14" t="b">
        <f>OR(LCI_Table[[#This Row],[Data Set]]="all",LCI_Table[[#This Row],[Data Set]]=SelectedDataSet)</f>
        <v>1</v>
      </c>
      <c r="J350" s="14" t="b">
        <f>OR(LCI_Table[[#This Row],[Technology]]="All",LCI_Table[[#This Row],[Technology]]=SelectedTechnology)</f>
        <v>0</v>
      </c>
      <c r="K350" s="14" t="b">
        <f>OR(LCI_Table[[#This Row],[Data Source]]="All",LCI_Table[[#This Row],[Data Source]]=SelectedDataSource)</f>
        <v>1</v>
      </c>
      <c r="L350" s="14" t="b">
        <f>TRUE</f>
        <v>1</v>
      </c>
      <c r="M350" s="14" t="b">
        <f>(LCI_Table[[#This Row],[Dev Notes]]="Do not display")</f>
        <v>0</v>
      </c>
      <c r="N350" s="14" t="b">
        <f>AND(LCI_Table[[#This Row],[Show Feedstock]:[Conditional]],NOT(LCI_Table[[#This Row],[Hide Row]]))</f>
        <v>0</v>
      </c>
      <c r="O350" s="14" t="b">
        <f>LCI_Table[[#This Row],[GREET1 Name Range]]=""</f>
        <v>0</v>
      </c>
      <c r="P350" s="14" t="s">
        <v>1448</v>
      </c>
      <c r="Q350" s="14" t="s">
        <v>572</v>
      </c>
      <c r="R350" s="14" t="s">
        <v>142</v>
      </c>
      <c r="S350" s="37" cm="1">
        <f t="array" aca="1" ref="S3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74.739994526326512</v>
      </c>
      <c r="T350" s="346" t="s">
        <v>2127</v>
      </c>
      <c r="U350" s="347">
        <f ca="1">S350/kg2g/Allocations!$O$38*MJ2mmBTU</f>
        <v>9.3723228472335787E-5</v>
      </c>
      <c r="V350" s="347">
        <v>74.739994526326512</v>
      </c>
      <c r="W350" s="347">
        <v>9.3723228472335787E-5</v>
      </c>
      <c r="X350" s="37" t="s">
        <v>6</v>
      </c>
      <c r="Y350" s="346" t="s">
        <v>416</v>
      </c>
      <c r="Z350" s="14" t="str">
        <f>IF(ISBLANK(LCI_Table[[#This Row],[Notes for user]])," ",LCI_Table[[#This Row],[Notes for user]])</f>
        <v xml:space="preserve"> </v>
      </c>
      <c r="AA350" s="14"/>
      <c r="AB350" s="14"/>
      <c r="AC350" s="346">
        <f ca="1">LCI_Table[[#This Row],[Default Calculated Value]]-LCI_Table[[#This Row],[Calculated Value]]</f>
        <v>0</v>
      </c>
    </row>
    <row r="351" spans="1:29" x14ac:dyDescent="0.3">
      <c r="A3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facilities_Corn_ETJ_Gluco_amylaseGluco-amylase</v>
      </c>
      <c r="B351" s="14" t="s">
        <v>136</v>
      </c>
      <c r="C351" s="14" t="s">
        <v>1964</v>
      </c>
      <c r="D351" s="14" t="s">
        <v>29</v>
      </c>
      <c r="E351" s="48" t="s">
        <v>29</v>
      </c>
      <c r="F351" s="14" t="s">
        <v>911</v>
      </c>
      <c r="G351" s="14" t="b">
        <f>OR(LCI_Table[[#This Row],[Feedstock]]="All",LCI_Table[[#This Row],[Feedstock]]=SelectedFeedstock)</f>
        <v>0</v>
      </c>
      <c r="H351" s="14" t="b">
        <f>OR(LCI_Table[[#This Row],[Conversion]]="All",LCI_Table[[#This Row],[Conversion]]=SelectedConversion)</f>
        <v>0</v>
      </c>
      <c r="I351" s="14" t="b">
        <f>OR(LCI_Table[[#This Row],[Data Set]]="all",LCI_Table[[#This Row],[Data Set]]=SelectedDataSet)</f>
        <v>1</v>
      </c>
      <c r="J351" s="14" t="b">
        <f>OR(LCI_Table[[#This Row],[Technology]]="All",LCI_Table[[#This Row],[Technology]]=SelectedTechnology)</f>
        <v>0</v>
      </c>
      <c r="K351" s="14" t="b">
        <f>OR(LCI_Table[[#This Row],[Data Source]]="All",LCI_Table[[#This Row],[Data Source]]=SelectedDataSource)</f>
        <v>1</v>
      </c>
      <c r="L351" s="14" t="b">
        <f>TRUE</f>
        <v>1</v>
      </c>
      <c r="M351" s="14" t="b">
        <f>(LCI_Table[[#This Row],[Dev Notes]]="Do not display")</f>
        <v>0</v>
      </c>
      <c r="N351" s="14" t="b">
        <f>AND(LCI_Table[[#This Row],[Show Feedstock]:[Conditional]],NOT(LCI_Table[[#This Row],[Hide Row]]))</f>
        <v>0</v>
      </c>
      <c r="O351" s="14" t="b">
        <f>LCI_Table[[#This Row],[GREET1 Name Range]]=""</f>
        <v>0</v>
      </c>
      <c r="P351" s="14" t="s">
        <v>1448</v>
      </c>
      <c r="Q351" s="14" t="s">
        <v>576</v>
      </c>
      <c r="R351" s="14" t="s">
        <v>354</v>
      </c>
      <c r="S351" s="37" cm="1">
        <f t="array" aca="1" ref="S3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138.58040651756374</v>
      </c>
      <c r="T351" s="346" t="s">
        <v>2127</v>
      </c>
      <c r="U351" s="347">
        <f ca="1">S351/kg2g/Allocations!$O$38*MJ2mmBTU</f>
        <v>1.7377848612578926E-4</v>
      </c>
      <c r="V351" s="347">
        <v>138.58040651756374</v>
      </c>
      <c r="W351" s="347">
        <v>1.7377848612578926E-4</v>
      </c>
      <c r="X351" s="37" t="s">
        <v>6</v>
      </c>
      <c r="Y351" s="346" t="s">
        <v>416</v>
      </c>
      <c r="Z351" s="14" t="str">
        <f>IF(ISBLANK(LCI_Table[[#This Row],[Notes for user]])," ",LCI_Table[[#This Row],[Notes for user]])</f>
        <v xml:space="preserve"> </v>
      </c>
      <c r="AA351" s="14"/>
      <c r="AB351" s="14"/>
      <c r="AC351" s="346">
        <f ca="1">LCI_Table[[#This Row],[Default Calculated Value]]-LCI_Table[[#This Row],[Calculated Value]]</f>
        <v>0</v>
      </c>
    </row>
    <row r="352" spans="1:29" x14ac:dyDescent="0.3">
      <c r="A3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facilities_Corn_ETJ_LimeLime</v>
      </c>
      <c r="B352" s="14" t="s">
        <v>136</v>
      </c>
      <c r="C352" s="14" t="s">
        <v>1964</v>
      </c>
      <c r="D352" s="14" t="s">
        <v>29</v>
      </c>
      <c r="E352" s="48" t="s">
        <v>29</v>
      </c>
      <c r="F352" s="14" t="s">
        <v>911</v>
      </c>
      <c r="G352" s="14" t="b">
        <f>OR(LCI_Table[[#This Row],[Feedstock]]="All",LCI_Table[[#This Row],[Feedstock]]=SelectedFeedstock)</f>
        <v>0</v>
      </c>
      <c r="H352" s="14" t="b">
        <f>OR(LCI_Table[[#This Row],[Conversion]]="All",LCI_Table[[#This Row],[Conversion]]=SelectedConversion)</f>
        <v>0</v>
      </c>
      <c r="I352" s="14" t="b">
        <f>OR(LCI_Table[[#This Row],[Data Set]]="all",LCI_Table[[#This Row],[Data Set]]=SelectedDataSet)</f>
        <v>1</v>
      </c>
      <c r="J352" s="14" t="b">
        <f>OR(LCI_Table[[#This Row],[Technology]]="All",LCI_Table[[#This Row],[Technology]]=SelectedTechnology)</f>
        <v>0</v>
      </c>
      <c r="K352" s="14" t="b">
        <f>OR(LCI_Table[[#This Row],[Data Source]]="All",LCI_Table[[#This Row],[Data Source]]=SelectedDataSource)</f>
        <v>1</v>
      </c>
      <c r="L352" s="14" t="b">
        <f>TRUE</f>
        <v>1</v>
      </c>
      <c r="M352" s="14" t="b">
        <f>(LCI_Table[[#This Row],[Dev Notes]]="Do not display")</f>
        <v>0</v>
      </c>
      <c r="N352" s="14" t="b">
        <f>AND(LCI_Table[[#This Row],[Show Feedstock]:[Conditional]],NOT(LCI_Table[[#This Row],[Hide Row]]))</f>
        <v>0</v>
      </c>
      <c r="O352" s="14" t="b">
        <f>LCI_Table[[#This Row],[GREET1 Name Range]]=""</f>
        <v>0</v>
      </c>
      <c r="P352" s="14" t="s">
        <v>1448</v>
      </c>
      <c r="Q352" s="14" t="s">
        <v>578</v>
      </c>
      <c r="R352" s="14" t="s">
        <v>143</v>
      </c>
      <c r="S352" s="37" cm="1">
        <f t="array" aca="1" ref="S3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163.49373802633923</v>
      </c>
      <c r="T352" s="346" t="s">
        <v>2127</v>
      </c>
      <c r="U352" s="347">
        <f ca="1">S352/kg2g/Allocations!$O$38*MJ2mmBTU</f>
        <v>2.0501956228323451E-4</v>
      </c>
      <c r="V352" s="347">
        <v>163.49373802633923</v>
      </c>
      <c r="W352" s="347">
        <v>2.0501956228323451E-4</v>
      </c>
      <c r="X352" s="37" t="s">
        <v>6</v>
      </c>
      <c r="Y352" s="346" t="s">
        <v>416</v>
      </c>
      <c r="Z352" s="14" t="str">
        <f>IF(ISBLANK(LCI_Table[[#This Row],[Notes for user]])," ",LCI_Table[[#This Row],[Notes for user]])</f>
        <v xml:space="preserve"> </v>
      </c>
      <c r="AA352" s="14"/>
      <c r="AB352" s="14"/>
      <c r="AC352" s="346">
        <f ca="1">LCI_Table[[#This Row],[Default Calculated Value]]-LCI_Table[[#This Row],[Calculated Value]]</f>
        <v>0</v>
      </c>
    </row>
    <row r="353" spans="1:29" x14ac:dyDescent="0.3">
      <c r="A3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facilities_Corn_ETJ_Sulfuric_acidSulfuric acid</v>
      </c>
      <c r="B353" s="14" t="s">
        <v>136</v>
      </c>
      <c r="C353" s="14" t="s">
        <v>1964</v>
      </c>
      <c r="D353" s="14" t="s">
        <v>29</v>
      </c>
      <c r="E353" s="48" t="s">
        <v>29</v>
      </c>
      <c r="F353" s="14" t="s">
        <v>911</v>
      </c>
      <c r="G353" s="14" t="b">
        <f>OR(LCI_Table[[#This Row],[Feedstock]]="All",LCI_Table[[#This Row],[Feedstock]]=SelectedFeedstock)</f>
        <v>0</v>
      </c>
      <c r="H353" s="14" t="b">
        <f>OR(LCI_Table[[#This Row],[Conversion]]="All",LCI_Table[[#This Row],[Conversion]]=SelectedConversion)</f>
        <v>0</v>
      </c>
      <c r="I353" s="14" t="b">
        <f>OR(LCI_Table[[#This Row],[Data Set]]="all",LCI_Table[[#This Row],[Data Set]]=SelectedDataSet)</f>
        <v>1</v>
      </c>
      <c r="J353" s="14" t="b">
        <f>OR(LCI_Table[[#This Row],[Technology]]="All",LCI_Table[[#This Row],[Technology]]=SelectedTechnology)</f>
        <v>0</v>
      </c>
      <c r="K353" s="14" t="b">
        <f>OR(LCI_Table[[#This Row],[Data Source]]="All",LCI_Table[[#This Row],[Data Source]]=SelectedDataSource)</f>
        <v>1</v>
      </c>
      <c r="L353" s="14" t="b">
        <f>TRUE</f>
        <v>1</v>
      </c>
      <c r="M353" s="14" t="b">
        <f>(LCI_Table[[#This Row],[Dev Notes]]="Do not display")</f>
        <v>0</v>
      </c>
      <c r="N353" s="14" t="b">
        <f>AND(LCI_Table[[#This Row],[Show Feedstock]:[Conditional]],NOT(LCI_Table[[#This Row],[Hide Row]]))</f>
        <v>0</v>
      </c>
      <c r="O353" s="14" t="b">
        <f>LCI_Table[[#This Row],[GREET1 Name Range]]=""</f>
        <v>0</v>
      </c>
      <c r="P353" s="14" t="s">
        <v>1448</v>
      </c>
      <c r="Q353" s="14" t="s">
        <v>580</v>
      </c>
      <c r="R353" s="14" t="s">
        <v>384</v>
      </c>
      <c r="S353" s="37" cm="1">
        <f t="array" aca="1" ref="S3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274.04664659653048</v>
      </c>
      <c r="T353" s="346" t="s">
        <v>2127</v>
      </c>
      <c r="U353" s="347">
        <f ca="1">S353/kg2g/Allocations!$O$38*MJ2mmBTU</f>
        <v>3.4365183773189784E-4</v>
      </c>
      <c r="V353" s="347">
        <v>274.04664659653048</v>
      </c>
      <c r="W353" s="347">
        <v>3.4365183773189784E-4</v>
      </c>
      <c r="X353" s="37" t="s">
        <v>6</v>
      </c>
      <c r="Y353" s="346" t="s">
        <v>416</v>
      </c>
      <c r="Z353" s="14" t="str">
        <f>IF(ISBLANK(LCI_Table[[#This Row],[Notes for user]])," ",LCI_Table[[#This Row],[Notes for user]])</f>
        <v xml:space="preserve"> </v>
      </c>
      <c r="AA353" s="14"/>
      <c r="AB353" s="14"/>
      <c r="AC353" s="346">
        <f ca="1">LCI_Table[[#This Row],[Default Calculated Value]]-LCI_Table[[#This Row],[Calculated Value]]</f>
        <v>0</v>
      </c>
    </row>
    <row r="354" spans="1:29" x14ac:dyDescent="0.3">
      <c r="A3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facilities_Corn_ETJ_UreaUrea</v>
      </c>
      <c r="B354" s="14" t="s">
        <v>136</v>
      </c>
      <c r="C354" s="14" t="s">
        <v>1964</v>
      </c>
      <c r="D354" s="14" t="s">
        <v>29</v>
      </c>
      <c r="E354" s="48" t="s">
        <v>29</v>
      </c>
      <c r="F354" s="14" t="s">
        <v>911</v>
      </c>
      <c r="G354" s="14" t="b">
        <f>OR(LCI_Table[[#This Row],[Feedstock]]="All",LCI_Table[[#This Row],[Feedstock]]=SelectedFeedstock)</f>
        <v>0</v>
      </c>
      <c r="H354" s="14" t="b">
        <f>OR(LCI_Table[[#This Row],[Conversion]]="All",LCI_Table[[#This Row],[Conversion]]=SelectedConversion)</f>
        <v>0</v>
      </c>
      <c r="I354" s="14" t="b">
        <f>OR(LCI_Table[[#This Row],[Data Set]]="all",LCI_Table[[#This Row],[Data Set]]=SelectedDataSet)</f>
        <v>1</v>
      </c>
      <c r="J354" s="14" t="b">
        <f>OR(LCI_Table[[#This Row],[Technology]]="All",LCI_Table[[#This Row],[Technology]]=SelectedTechnology)</f>
        <v>0</v>
      </c>
      <c r="K354" s="14" t="b">
        <f>OR(LCI_Table[[#This Row],[Data Source]]="All",LCI_Table[[#This Row],[Data Source]]=SelectedDataSource)</f>
        <v>1</v>
      </c>
      <c r="L354" s="14" t="b">
        <f>TRUE</f>
        <v>1</v>
      </c>
      <c r="M354" s="14" t="b">
        <f>(LCI_Table[[#This Row],[Dev Notes]]="Do not display")</f>
        <v>0</v>
      </c>
      <c r="N354" s="14" t="b">
        <f>AND(LCI_Table[[#This Row],[Show Feedstock]:[Conditional]],NOT(LCI_Table[[#This Row],[Hide Row]]))</f>
        <v>0</v>
      </c>
      <c r="O354" s="14" t="b">
        <f>LCI_Table[[#This Row],[GREET1 Name Range]]=""</f>
        <v>0</v>
      </c>
      <c r="P354" s="14" t="s">
        <v>1448</v>
      </c>
      <c r="Q354" s="14" t="s">
        <v>581</v>
      </c>
      <c r="R354" s="14" t="s">
        <v>144</v>
      </c>
      <c r="S354" s="37" cm="1">
        <f t="array" aca="1" ref="S3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274.04664659653048</v>
      </c>
      <c r="T354" s="346" t="s">
        <v>2127</v>
      </c>
      <c r="U354" s="347">
        <f ca="1">S354/kg2g/Allocations!$O$38*MJ2mmBTU</f>
        <v>3.4365183773189784E-4</v>
      </c>
      <c r="V354" s="347">
        <v>274.04664659653048</v>
      </c>
      <c r="W354" s="347">
        <v>3.4365183773189784E-4</v>
      </c>
      <c r="X354" s="37" t="s">
        <v>6</v>
      </c>
      <c r="Y354" s="346" t="s">
        <v>416</v>
      </c>
      <c r="Z354" s="14" t="str">
        <f>IF(ISBLANK(LCI_Table[[#This Row],[Notes for user]])," ",LCI_Table[[#This Row],[Notes for user]])</f>
        <v xml:space="preserve"> </v>
      </c>
      <c r="AA354" s="14"/>
      <c r="AB354" s="14"/>
      <c r="AC354" s="346">
        <f ca="1">LCI_Table[[#This Row],[Default Calculated Value]]-LCI_Table[[#This Row],[Calculated Value]]</f>
        <v>0</v>
      </c>
    </row>
    <row r="355" spans="1:29" x14ac:dyDescent="0.3">
      <c r="A3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facilities_Corn_ETJ_YeastYeast</v>
      </c>
      <c r="B355" s="14" t="s">
        <v>136</v>
      </c>
      <c r="C355" s="14" t="s">
        <v>1964</v>
      </c>
      <c r="D355" s="14" t="s">
        <v>29</v>
      </c>
      <c r="E355" s="48" t="s">
        <v>29</v>
      </c>
      <c r="F355" s="14" t="s">
        <v>911</v>
      </c>
      <c r="G355" s="14" t="b">
        <f>OR(LCI_Table[[#This Row],[Feedstock]]="All",LCI_Table[[#This Row],[Feedstock]]=SelectedFeedstock)</f>
        <v>0</v>
      </c>
      <c r="H355" s="14" t="b">
        <f>OR(LCI_Table[[#This Row],[Conversion]]="All",LCI_Table[[#This Row],[Conversion]]=SelectedConversion)</f>
        <v>0</v>
      </c>
      <c r="I355" s="14" t="b">
        <f>OR(LCI_Table[[#This Row],[Data Set]]="all",LCI_Table[[#This Row],[Data Set]]=SelectedDataSet)</f>
        <v>1</v>
      </c>
      <c r="J355" s="14" t="b">
        <f>OR(LCI_Table[[#This Row],[Technology]]="All",LCI_Table[[#This Row],[Technology]]=SelectedTechnology)</f>
        <v>0</v>
      </c>
      <c r="K355" s="14" t="b">
        <f>OR(LCI_Table[[#This Row],[Data Source]]="All",LCI_Table[[#This Row],[Data Source]]=SelectedDataSource)</f>
        <v>1</v>
      </c>
      <c r="L355" s="14" t="b">
        <f>TRUE</f>
        <v>1</v>
      </c>
      <c r="M355" s="14" t="b">
        <f>(LCI_Table[[#This Row],[Dev Notes]]="Do not display")</f>
        <v>0</v>
      </c>
      <c r="N355" s="14" t="b">
        <f>AND(LCI_Table[[#This Row],[Show Feedstock]:[Conditional]],NOT(LCI_Table[[#This Row],[Hide Row]]))</f>
        <v>0</v>
      </c>
      <c r="O355" s="14" t="b">
        <f>LCI_Table[[#This Row],[GREET1 Name Range]]=""</f>
        <v>0</v>
      </c>
      <c r="P355" s="14" t="s">
        <v>1448</v>
      </c>
      <c r="Q355" s="14" t="s">
        <v>583</v>
      </c>
      <c r="R355" s="14" t="s">
        <v>145</v>
      </c>
      <c r="S355" s="37" cm="1">
        <f t="array" aca="1" ref="S3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40.484163701760188</v>
      </c>
      <c r="T355" s="346" t="s">
        <v>2127</v>
      </c>
      <c r="U355" s="347">
        <f ca="1">S355/kg2g/Allocations!$O$38*MJ2mmBTU</f>
        <v>5.0766748755848537E-5</v>
      </c>
      <c r="V355" s="347">
        <v>40.484163701760188</v>
      </c>
      <c r="W355" s="347">
        <v>5.0766748755848537E-5</v>
      </c>
      <c r="X355" s="37" t="s">
        <v>6</v>
      </c>
      <c r="Y355" s="346" t="s">
        <v>416</v>
      </c>
      <c r="Z355" s="14" t="str">
        <f>IF(ISBLANK(LCI_Table[[#This Row],[Notes for user]])," ",LCI_Table[[#This Row],[Notes for user]])</f>
        <v xml:space="preserve"> </v>
      </c>
      <c r="AA355" s="14"/>
      <c r="AB355" s="14"/>
      <c r="AC355" s="346">
        <f ca="1">LCI_Table[[#This Row],[Default Calculated Value]]-LCI_Table[[#This Row],[Calculated Value]]</f>
        <v>0</v>
      </c>
    </row>
    <row r="356" spans="1:29" x14ac:dyDescent="0.3">
      <c r="A3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facilities_Corn_ETJ_AmmoniaAmmonia</v>
      </c>
      <c r="B356" s="14" t="s">
        <v>136</v>
      </c>
      <c r="C356" s="14" t="s">
        <v>1964</v>
      </c>
      <c r="D356" s="14" t="s">
        <v>29</v>
      </c>
      <c r="E356" s="48" t="s">
        <v>29</v>
      </c>
      <c r="F356" s="14" t="s">
        <v>911</v>
      </c>
      <c r="G356" s="14" t="b">
        <f>OR(LCI_Table[[#This Row],[Feedstock]]="All",LCI_Table[[#This Row],[Feedstock]]=SelectedFeedstock)</f>
        <v>0</v>
      </c>
      <c r="H356" s="14" t="b">
        <f>OR(LCI_Table[[#This Row],[Conversion]]="All",LCI_Table[[#This Row],[Conversion]]=SelectedConversion)</f>
        <v>0</v>
      </c>
      <c r="I356" s="14" t="b">
        <f>OR(LCI_Table[[#This Row],[Data Set]]="all",LCI_Table[[#This Row],[Data Set]]=SelectedDataSet)</f>
        <v>1</v>
      </c>
      <c r="J356" s="14" t="b">
        <f>OR(LCI_Table[[#This Row],[Technology]]="All",LCI_Table[[#This Row],[Technology]]=SelectedTechnology)</f>
        <v>0</v>
      </c>
      <c r="K356" s="14" t="b">
        <f>OR(LCI_Table[[#This Row],[Data Source]]="All",LCI_Table[[#This Row],[Data Source]]=SelectedDataSource)</f>
        <v>1</v>
      </c>
      <c r="L356" s="14" t="b">
        <f>TRUE</f>
        <v>1</v>
      </c>
      <c r="M356" s="14" t="b">
        <f>(LCI_Table[[#This Row],[Dev Notes]]="Do not display")</f>
        <v>0</v>
      </c>
      <c r="N356" s="14" t="b">
        <f>AND(LCI_Table[[#This Row],[Show Feedstock]:[Conditional]],NOT(LCI_Table[[#This Row],[Hide Row]]))</f>
        <v>0</v>
      </c>
      <c r="O356" s="14" t="b">
        <f>LCI_Table[[#This Row],[GREET1 Name Range]]=""</f>
        <v>0</v>
      </c>
      <c r="P356" s="14" t="s">
        <v>1448</v>
      </c>
      <c r="Q356" s="14" t="s">
        <v>1395</v>
      </c>
      <c r="R356" s="14" t="s">
        <v>382</v>
      </c>
      <c r="S356" s="37" cm="1">
        <f t="array" aca="1" ref="S3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56" s="346" t="s">
        <v>2127</v>
      </c>
      <c r="U356" s="347">
        <f ca="1">S356/kg2g/Allocations!$O$38*MJ2mmBTU</f>
        <v>0</v>
      </c>
      <c r="V356" s="347">
        <v>0</v>
      </c>
      <c r="W356" s="347">
        <v>0</v>
      </c>
      <c r="X356" s="37" t="s">
        <v>6</v>
      </c>
      <c r="Y356" s="346" t="s">
        <v>416</v>
      </c>
      <c r="Z356" s="14" t="str">
        <f>IF(ISBLANK(LCI_Table[[#This Row],[Notes for user]])," ",LCI_Table[[#This Row],[Notes for user]])</f>
        <v xml:space="preserve"> </v>
      </c>
      <c r="AA356" s="14"/>
      <c r="AB356" s="14"/>
      <c r="AC356" s="346">
        <f ca="1">LCI_Table[[#This Row],[Default Calculated Value]]-LCI_Table[[#This Row],[Calculated Value]]</f>
        <v>0</v>
      </c>
    </row>
    <row r="357" spans="1:29" x14ac:dyDescent="0.3">
      <c r="A3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facilities_Corn_ETJ_WaterWater</v>
      </c>
      <c r="B357" s="14" t="s">
        <v>136</v>
      </c>
      <c r="C357" s="14" t="s">
        <v>1964</v>
      </c>
      <c r="D357" s="14" t="s">
        <v>29</v>
      </c>
      <c r="E357" s="48" t="s">
        <v>29</v>
      </c>
      <c r="F357" s="14" t="s">
        <v>911</v>
      </c>
      <c r="G357" s="14" t="b">
        <f>OR(LCI_Table[[#This Row],[Feedstock]]="All",LCI_Table[[#This Row],[Feedstock]]=SelectedFeedstock)</f>
        <v>0</v>
      </c>
      <c r="H357" s="14" t="b">
        <f>OR(LCI_Table[[#This Row],[Conversion]]="All",LCI_Table[[#This Row],[Conversion]]=SelectedConversion)</f>
        <v>0</v>
      </c>
      <c r="I357" s="14" t="b">
        <f>OR(LCI_Table[[#This Row],[Data Set]]="all",LCI_Table[[#This Row],[Data Set]]=SelectedDataSet)</f>
        <v>1</v>
      </c>
      <c r="J357" s="14" t="b">
        <f>OR(LCI_Table[[#This Row],[Technology]]="All",LCI_Table[[#This Row],[Technology]]=SelectedTechnology)</f>
        <v>0</v>
      </c>
      <c r="K357" s="14" t="b">
        <f>OR(LCI_Table[[#This Row],[Data Source]]="All",LCI_Table[[#This Row],[Data Source]]=SelectedDataSource)</f>
        <v>1</v>
      </c>
      <c r="L357" s="14" t="b">
        <f>TRUE</f>
        <v>1</v>
      </c>
      <c r="M357" s="14" t="b">
        <f>(LCI_Table[[#This Row],[Dev Notes]]="Do not display")</f>
        <v>0</v>
      </c>
      <c r="N357" s="14" t="b">
        <f>AND(LCI_Table[[#This Row],[Show Feedstock]:[Conditional]],NOT(LCI_Table[[#This Row],[Hide Row]]))</f>
        <v>0</v>
      </c>
      <c r="O357" s="14" t="b">
        <f>LCI_Table[[#This Row],[GREET1 Name Range]]=""</f>
        <v>0</v>
      </c>
      <c r="P357" s="14" t="s">
        <v>1448</v>
      </c>
      <c r="Q357" s="14" t="s">
        <v>582</v>
      </c>
      <c r="R357" s="14" t="s">
        <v>146</v>
      </c>
      <c r="S357" s="37" cm="1">
        <f t="array" aca="1" ref="S3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53.639470444387257</v>
      </c>
      <c r="T357" s="346" t="s">
        <v>2128</v>
      </c>
      <c r="U357" s="347">
        <f ca="1">S357/kg2lb*Fuel_Specs!$K$4/Allocations!$O$38*MJ2mmBTU</f>
        <v>0.25386888998991991</v>
      </c>
      <c r="V357" s="347">
        <v>53.639470444387257</v>
      </c>
      <c r="W357" s="347">
        <v>0.25386888998991991</v>
      </c>
      <c r="X357" s="14" t="s">
        <v>5</v>
      </c>
      <c r="Y357" s="346" t="s">
        <v>416</v>
      </c>
      <c r="Z357" s="14" t="str">
        <f>IF(ISBLANK(LCI_Table[[#This Row],[Notes for user]])," ",LCI_Table[[#This Row],[Notes for user]])</f>
        <v xml:space="preserve"> </v>
      </c>
      <c r="AA357" s="14"/>
      <c r="AB357" s="14"/>
      <c r="AC357" s="346">
        <f ca="1">LCI_Table[[#This Row],[Default Calculated Value]]-LCI_Table[[#This Row],[Calculated Value]]</f>
        <v>0</v>
      </c>
    </row>
    <row r="358" spans="1:29" x14ac:dyDescent="0.3">
      <c r="A3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facilities_Corn_ETJ_Natural_gasNatural gas</v>
      </c>
      <c r="B358" s="14" t="s">
        <v>136</v>
      </c>
      <c r="C358" s="14" t="s">
        <v>1964</v>
      </c>
      <c r="D358" s="14" t="s">
        <v>29</v>
      </c>
      <c r="E358" s="48" t="s">
        <v>29</v>
      </c>
      <c r="F358" s="14" t="s">
        <v>911</v>
      </c>
      <c r="G358" s="14" t="b">
        <f>OR(LCI_Table[[#This Row],[Feedstock]]="All",LCI_Table[[#This Row],[Feedstock]]=SelectedFeedstock)</f>
        <v>0</v>
      </c>
      <c r="H358" s="14" t="b">
        <f>OR(LCI_Table[[#This Row],[Conversion]]="All",LCI_Table[[#This Row],[Conversion]]=SelectedConversion)</f>
        <v>0</v>
      </c>
      <c r="I358" s="14" t="b">
        <f>OR(LCI_Table[[#This Row],[Data Set]]="all",LCI_Table[[#This Row],[Data Set]]=SelectedDataSet)</f>
        <v>1</v>
      </c>
      <c r="J358" s="14" t="b">
        <f>OR(LCI_Table[[#This Row],[Technology]]="All",LCI_Table[[#This Row],[Technology]]=SelectedTechnology)</f>
        <v>0</v>
      </c>
      <c r="K358" s="14" t="b">
        <f>OR(LCI_Table[[#This Row],[Data Source]]="All",LCI_Table[[#This Row],[Data Source]]=SelectedDataSource)</f>
        <v>1</v>
      </c>
      <c r="L358" s="14" t="b">
        <f>TRUE</f>
        <v>1</v>
      </c>
      <c r="M358" s="14" t="b">
        <f>(LCI_Table[[#This Row],[Dev Notes]]="Do not display")</f>
        <v>0</v>
      </c>
      <c r="N358" s="14" t="b">
        <f>AND(LCI_Table[[#This Row],[Show Feedstock]:[Conditional]],NOT(LCI_Table[[#This Row],[Hide Row]]))</f>
        <v>0</v>
      </c>
      <c r="O358" s="14" t="b">
        <f>LCI_Table[[#This Row],[GREET1 Name Range]]=""</f>
        <v>0</v>
      </c>
      <c r="P358" s="14" t="s">
        <v>1448</v>
      </c>
      <c r="Q358" s="14" t="s">
        <v>579</v>
      </c>
      <c r="R358" s="14" t="s">
        <v>108</v>
      </c>
      <c r="S358" s="37" cm="1">
        <f t="array" aca="1" ref="S3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337.60395254789529</v>
      </c>
      <c r="T358" s="346" t="s">
        <v>2120</v>
      </c>
      <c r="U358" s="347">
        <f ca="1">S358/Allocations!$O$38*MJ2mmBTU*Fuel_Specs!$E$79*g2kg</f>
        <v>9.3137458294383687E-3</v>
      </c>
      <c r="V358" s="347">
        <v>337.60395254789529</v>
      </c>
      <c r="W358" s="347">
        <v>9.3137458294383687E-3</v>
      </c>
      <c r="X358" s="37" t="s">
        <v>351</v>
      </c>
      <c r="Y358" s="346" t="s">
        <v>416</v>
      </c>
      <c r="Z358" s="14" t="str">
        <f>IF(ISBLANK(LCI_Table[[#This Row],[Notes for user]])," ",LCI_Table[[#This Row],[Notes for user]])</f>
        <v xml:space="preserve"> </v>
      </c>
      <c r="AA358" s="14"/>
      <c r="AB358" s="14"/>
      <c r="AC358" s="346">
        <f ca="1">LCI_Table[[#This Row],[Default Calculated Value]]-LCI_Table[[#This Row],[Calculated Value]]</f>
        <v>0</v>
      </c>
    </row>
    <row r="359" spans="1:29" x14ac:dyDescent="0.3">
      <c r="A3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facilities_Corn_ETJ_ElectricityGrid Electricity</v>
      </c>
      <c r="B359" s="14" t="s">
        <v>136</v>
      </c>
      <c r="C359" s="14" t="s">
        <v>1964</v>
      </c>
      <c r="D359" s="14" t="s">
        <v>29</v>
      </c>
      <c r="E359" s="48" t="s">
        <v>29</v>
      </c>
      <c r="F359" s="14" t="s">
        <v>911</v>
      </c>
      <c r="G359" s="14" t="b">
        <f>OR(LCI_Table[[#This Row],[Feedstock]]="All",LCI_Table[[#This Row],[Feedstock]]=SelectedFeedstock)</f>
        <v>0</v>
      </c>
      <c r="H359" s="14" t="b">
        <f>OR(LCI_Table[[#This Row],[Conversion]]="All",LCI_Table[[#This Row],[Conversion]]=SelectedConversion)</f>
        <v>0</v>
      </c>
      <c r="I359" s="14" t="b">
        <f>OR(LCI_Table[[#This Row],[Data Set]]="all",LCI_Table[[#This Row],[Data Set]]=SelectedDataSet)</f>
        <v>1</v>
      </c>
      <c r="J359" s="14" t="b">
        <f>OR(LCI_Table[[#This Row],[Technology]]="All",LCI_Table[[#This Row],[Technology]]=SelectedTechnology)</f>
        <v>0</v>
      </c>
      <c r="K359" s="14" t="b">
        <f>OR(LCI_Table[[#This Row],[Data Source]]="All",LCI_Table[[#This Row],[Data Source]]=SelectedDataSource)</f>
        <v>1</v>
      </c>
      <c r="L359" s="14" t="b">
        <f>TRUE</f>
        <v>1</v>
      </c>
      <c r="M359" s="14" t="b">
        <f>(LCI_Table[[#This Row],[Dev Notes]]="Do not display")</f>
        <v>0</v>
      </c>
      <c r="N359" s="14" t="b">
        <f>AND(LCI_Table[[#This Row],[Show Feedstock]:[Conditional]],NOT(LCI_Table[[#This Row],[Hide Row]]))</f>
        <v>0</v>
      </c>
      <c r="O359" s="14" t="b">
        <f>LCI_Table[[#This Row],[GREET1 Name Range]]=""</f>
        <v>0</v>
      </c>
      <c r="P359" s="14" t="s">
        <v>1448</v>
      </c>
      <c r="Q359" s="14" t="s">
        <v>575</v>
      </c>
      <c r="R359" s="14" t="s">
        <v>1684</v>
      </c>
      <c r="S359" s="37" cm="1">
        <f t="array" aca="1" ref="S3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21.739995907845223</v>
      </c>
      <c r="T359" s="346" t="s">
        <v>2121</v>
      </c>
      <c r="U359" s="347">
        <f ca="1">S359/Allocations!$O$38*MJ2mmBTU</f>
        <v>2.7261744081890669E-2</v>
      </c>
      <c r="V359" s="347">
        <v>21.739995907845223</v>
      </c>
      <c r="W359" s="347">
        <v>2.7261744081890669E-2</v>
      </c>
      <c r="X359" s="37" t="s">
        <v>51</v>
      </c>
      <c r="Y359" s="346" t="s">
        <v>416</v>
      </c>
      <c r="Z359" s="14" t="str">
        <f>IF(ISBLANK(LCI_Table[[#This Row],[Notes for user]])," ",LCI_Table[[#This Row],[Notes for user]])</f>
        <v xml:space="preserve"> </v>
      </c>
      <c r="AA359" s="14"/>
      <c r="AB359" s="14"/>
      <c r="AC359" s="346">
        <f ca="1">LCI_Table[[#This Row],[Default Calculated Value]]-LCI_Table[[#This Row],[Calculated Value]]</f>
        <v>0</v>
      </c>
    </row>
    <row r="360" spans="1:29" x14ac:dyDescent="0.3">
      <c r="A3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facilities_Corn_ETJ_HydrogenHydrogen</v>
      </c>
      <c r="B360" s="14" t="s">
        <v>136</v>
      </c>
      <c r="C360" s="14" t="s">
        <v>1964</v>
      </c>
      <c r="D360" s="14" t="s">
        <v>29</v>
      </c>
      <c r="E360" s="48" t="s">
        <v>29</v>
      </c>
      <c r="F360" s="14" t="s">
        <v>911</v>
      </c>
      <c r="G360" s="14" t="b">
        <f>OR(LCI_Table[[#This Row],[Feedstock]]="All",LCI_Table[[#This Row],[Feedstock]]=SelectedFeedstock)</f>
        <v>0</v>
      </c>
      <c r="H360" s="14" t="b">
        <f>OR(LCI_Table[[#This Row],[Conversion]]="All",LCI_Table[[#This Row],[Conversion]]=SelectedConversion)</f>
        <v>0</v>
      </c>
      <c r="I360" s="14" t="b">
        <f>OR(LCI_Table[[#This Row],[Data Set]]="all",LCI_Table[[#This Row],[Data Set]]=SelectedDataSet)</f>
        <v>1</v>
      </c>
      <c r="J360" s="14" t="b">
        <f>OR(LCI_Table[[#This Row],[Technology]]="All",LCI_Table[[#This Row],[Technology]]=SelectedTechnology)</f>
        <v>0</v>
      </c>
      <c r="K360" s="14" t="b">
        <f>OR(LCI_Table[[#This Row],[Data Source]]="All",LCI_Table[[#This Row],[Data Source]]=SelectedDataSource)</f>
        <v>1</v>
      </c>
      <c r="L360" s="14" t="b">
        <f>TRUE</f>
        <v>1</v>
      </c>
      <c r="M360" s="14" t="b">
        <f>(LCI_Table[[#This Row],[Dev Notes]]="Do not display")</f>
        <v>0</v>
      </c>
      <c r="N360" s="14" t="b">
        <f>AND(LCI_Table[[#This Row],[Show Feedstock]:[Conditional]],NOT(LCI_Table[[#This Row],[Hide Row]]))</f>
        <v>0</v>
      </c>
      <c r="O360" s="14" t="b">
        <f>LCI_Table[[#This Row],[GREET1 Name Range]]=""</f>
        <v>0</v>
      </c>
      <c r="P360" s="14" t="s">
        <v>1448</v>
      </c>
      <c r="Q360" s="14" t="s">
        <v>577</v>
      </c>
      <c r="R360" s="14" t="s">
        <v>73</v>
      </c>
      <c r="S360" s="37" cm="1">
        <f t="array" aca="1" ref="S3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211.88544199865441</v>
      </c>
      <c r="T360" s="346" t="s">
        <v>2120</v>
      </c>
      <c r="U360" s="347">
        <f ca="1">S360/kg2g*Fuel_Specs!$E$81/Allocations!$O$38*MJ2mmBTU</f>
        <v>6.7754083916459406E-4</v>
      </c>
      <c r="V360" s="347">
        <v>211.88544199865441</v>
      </c>
      <c r="W360" s="347">
        <v>6.7754083916459406E-4</v>
      </c>
      <c r="X360" s="37" t="s">
        <v>351</v>
      </c>
      <c r="Y360" s="346" t="s">
        <v>416</v>
      </c>
      <c r="Z360" s="14" t="str">
        <f>IF(ISBLANK(LCI_Table[[#This Row],[Notes for user]])," ",LCI_Table[[#This Row],[Notes for user]])</f>
        <v xml:space="preserve"> </v>
      </c>
      <c r="AA360" s="14"/>
      <c r="AB360" s="14"/>
      <c r="AC360" s="346">
        <f ca="1">LCI_Table[[#This Row],[Default Calculated Value]]-LCI_Table[[#This Row],[Calculated Value]]</f>
        <v>0</v>
      </c>
    </row>
    <row r="361" spans="1:29" x14ac:dyDescent="0.3">
      <c r="A3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CornATJ-ethanolGREETGREETCo-located facilities_Corn_ETJ_DDGS_displacedDDGS (displacement)</v>
      </c>
      <c r="B361" s="14" t="s">
        <v>136</v>
      </c>
      <c r="C361" s="14" t="s">
        <v>1964</v>
      </c>
      <c r="D361" s="14" t="s">
        <v>29</v>
      </c>
      <c r="E361" s="48" t="s">
        <v>29</v>
      </c>
      <c r="F361" s="14" t="s">
        <v>911</v>
      </c>
      <c r="G361" s="14" t="b">
        <f>OR(LCI_Table[[#This Row],[Feedstock]]="All",LCI_Table[[#This Row],[Feedstock]]=SelectedFeedstock)</f>
        <v>0</v>
      </c>
      <c r="H361" s="14" t="b">
        <f>OR(LCI_Table[[#This Row],[Conversion]]="All",LCI_Table[[#This Row],[Conversion]]=SelectedConversion)</f>
        <v>0</v>
      </c>
      <c r="I361" s="14" t="b">
        <f>OR(LCI_Table[[#This Row],[Data Set]]="all",LCI_Table[[#This Row],[Data Set]]=SelectedDataSet)</f>
        <v>1</v>
      </c>
      <c r="J361" s="14" t="b">
        <f>OR(LCI_Table[[#This Row],[Technology]]="All",LCI_Table[[#This Row],[Technology]]=SelectedTechnology)</f>
        <v>0</v>
      </c>
      <c r="K361" s="14" t="b">
        <f>OR(LCI_Table[[#This Row],[Data Source]]="All",LCI_Table[[#This Row],[Data Source]]=SelectedDataSource)</f>
        <v>1</v>
      </c>
      <c r="L361" s="14" t="b">
        <f>TRUE</f>
        <v>1</v>
      </c>
      <c r="M361" s="14" t="b">
        <f>(LCI_Table[[#This Row],[Dev Notes]]="Do not display")</f>
        <v>0</v>
      </c>
      <c r="N361" s="14" t="b">
        <f>AND(LCI_Table[[#This Row],[Show Feedstock]:[Conditional]],NOT(LCI_Table[[#This Row],[Hide Row]]))</f>
        <v>0</v>
      </c>
      <c r="O361" s="14" t="b">
        <f>LCI_Table[[#This Row],[GREET1 Name Range]]=""</f>
        <v>0</v>
      </c>
      <c r="P361" s="14" t="s">
        <v>1448</v>
      </c>
      <c r="Q361" s="14" t="s">
        <v>574</v>
      </c>
      <c r="R361" s="14" t="s">
        <v>385</v>
      </c>
      <c r="S361" s="37" cm="1">
        <f t="array" aca="1" ref="S3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100.75211910290757</v>
      </c>
      <c r="T361" s="346" t="s">
        <v>2119</v>
      </c>
      <c r="U361" s="347">
        <f ca="1">S361/kg2lb/Allocations!$O$38*MJ2mmBTU</f>
        <v>5.7307849076313609E-2</v>
      </c>
      <c r="V361" s="347">
        <v>100.75211910290757</v>
      </c>
      <c r="W361" s="347">
        <v>5.7307849076313609E-2</v>
      </c>
      <c r="X361" s="37" t="s">
        <v>12</v>
      </c>
      <c r="Y361" s="346" t="s">
        <v>416</v>
      </c>
      <c r="Z361" s="14" t="str">
        <f>IF(ISBLANK(LCI_Table[[#This Row],[Notes for user]])," ",LCI_Table[[#This Row],[Notes for user]])</f>
        <v>Co-produced DDGS</v>
      </c>
      <c r="AA361" s="14" t="s">
        <v>1397</v>
      </c>
      <c r="AB361" s="14"/>
      <c r="AC361" s="346">
        <f ca="1">LCI_Table[[#This Row],[Default Calculated Value]]-LCI_Table[[#This Row],[Calculated Value]]</f>
        <v>0</v>
      </c>
    </row>
    <row r="362" spans="1:29" x14ac:dyDescent="0.3">
      <c r="A3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stoverATJ-ethanolGREETGREETCo-located facilities_Yield_Collection</v>
      </c>
      <c r="B362" s="48" t="s">
        <v>135</v>
      </c>
      <c r="C362" s="48" t="s">
        <v>1964</v>
      </c>
      <c r="D362" s="48" t="s">
        <v>29</v>
      </c>
      <c r="E362" s="48" t="s">
        <v>29</v>
      </c>
      <c r="F362" s="48" t="s">
        <v>911</v>
      </c>
      <c r="G362" s="14" t="b">
        <f>OR(LCI_Table[[#This Row],[Feedstock]]="All",LCI_Table[[#This Row],[Feedstock]]=SelectedFeedstock)</f>
        <v>0</v>
      </c>
      <c r="H362" s="14" t="b">
        <f>OR(LCI_Table[[#This Row],[Conversion]]="All",LCI_Table[[#This Row],[Conversion]]=SelectedConversion)</f>
        <v>0</v>
      </c>
      <c r="I362" s="14" t="b">
        <f>OR(LCI_Table[[#This Row],[Data Set]]="all",LCI_Table[[#This Row],[Data Set]]=SelectedDataSet)</f>
        <v>1</v>
      </c>
      <c r="J362" s="14" t="b">
        <f>OR(LCI_Table[[#This Row],[Technology]]="All",LCI_Table[[#This Row],[Technology]]=SelectedTechnology)</f>
        <v>0</v>
      </c>
      <c r="K362" s="14" t="b">
        <f>OR(LCI_Table[[#This Row],[Data Source]]="All",LCI_Table[[#This Row],[Data Source]]=SelectedDataSource)</f>
        <v>1</v>
      </c>
      <c r="L362" s="14" t="b">
        <f>TRUE</f>
        <v>1</v>
      </c>
      <c r="M362" s="14" t="b">
        <f>(LCI_Table[[#This Row],[Dev Notes]]="Do not display")</f>
        <v>0</v>
      </c>
      <c r="N362" s="14" t="b">
        <f>AND(LCI_Table[[#This Row],[Show Feedstock]:[Conditional]],NOT(LCI_Table[[#This Row],[Hide Row]]))</f>
        <v>0</v>
      </c>
      <c r="O362" s="14" t="b">
        <f>LCI_Table[[#This Row],[GREET1 Name Range]]=""</f>
        <v>1</v>
      </c>
      <c r="P362" s="48" t="s">
        <v>147</v>
      </c>
      <c r="Q362" s="14" t="s">
        <v>361</v>
      </c>
      <c r="R362" s="48" t="s">
        <v>200</v>
      </c>
      <c r="S362" s="37" cm="1">
        <f t="array" aca="1" ref="S3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1.2844800000000001</v>
      </c>
      <c r="T362" s="346" t="s">
        <v>2116</v>
      </c>
      <c r="U362" s="344"/>
      <c r="V362" s="344">
        <v>1.2844800000000001</v>
      </c>
      <c r="W362" s="344"/>
      <c r="X362" s="48" t="s">
        <v>55</v>
      </c>
      <c r="Y362" s="346" t="s">
        <v>413</v>
      </c>
      <c r="Z362" s="14" t="str">
        <f>IF(ISBLANK(LCI_Table[[#This Row],[Notes for user]])," ",LCI_Table[[#This Row],[Notes for user]])</f>
        <v xml:space="preserve"> </v>
      </c>
      <c r="AA362" s="48"/>
      <c r="AB362" s="345"/>
      <c r="AC362" s="346">
        <f>LCI_Table[[#This Row],[Default Calculated Value]]-LCI_Table[[#This Row],[Calculated Value]]</f>
        <v>0</v>
      </c>
    </row>
    <row r="363" spans="1:29" x14ac:dyDescent="0.3">
      <c r="A3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facilities_CornStover_Farming_Nitrogen_fertilizerNitrogen fertilizer</v>
      </c>
      <c r="B363" s="14" t="s">
        <v>135</v>
      </c>
      <c r="C363" s="14" t="s">
        <v>1964</v>
      </c>
      <c r="D363" s="14" t="s">
        <v>29</v>
      </c>
      <c r="E363" s="48" t="s">
        <v>29</v>
      </c>
      <c r="F363" s="14" t="s">
        <v>911</v>
      </c>
      <c r="G363" s="14" t="b">
        <f>OR(LCI_Table[[#This Row],[Feedstock]]="All",LCI_Table[[#This Row],[Feedstock]]=SelectedFeedstock)</f>
        <v>0</v>
      </c>
      <c r="H363" s="14" t="b">
        <f>OR(LCI_Table[[#This Row],[Conversion]]="All",LCI_Table[[#This Row],[Conversion]]=SelectedConversion)</f>
        <v>0</v>
      </c>
      <c r="I363" s="14" t="b">
        <f>OR(LCI_Table[[#This Row],[Data Set]]="all",LCI_Table[[#This Row],[Data Set]]=SelectedDataSet)</f>
        <v>1</v>
      </c>
      <c r="J363" s="14" t="b">
        <f>OR(LCI_Table[[#This Row],[Technology]]="All",LCI_Table[[#This Row],[Technology]]=SelectedTechnology)</f>
        <v>0</v>
      </c>
      <c r="K363" s="14" t="b">
        <f>OR(LCI_Table[[#This Row],[Data Source]]="All",LCI_Table[[#This Row],[Data Source]]=SelectedDataSource)</f>
        <v>1</v>
      </c>
      <c r="L363" s="14" t="b">
        <f>TRUE</f>
        <v>1</v>
      </c>
      <c r="M363" s="14" t="b">
        <f>(LCI_Table[[#This Row],[Dev Notes]]="Do not display")</f>
        <v>0</v>
      </c>
      <c r="N363" s="14" t="b">
        <f>AND(LCI_Table[[#This Row],[Show Feedstock]:[Conditional]],NOT(LCI_Table[[#This Row],[Hide Row]]))</f>
        <v>0</v>
      </c>
      <c r="O363" s="14" t="b">
        <f>LCI_Table[[#This Row],[GREET1 Name Range]]=""</f>
        <v>0</v>
      </c>
      <c r="P363" s="14" t="s">
        <v>147</v>
      </c>
      <c r="Q363" s="14" t="s">
        <v>614</v>
      </c>
      <c r="R363" s="14" t="s">
        <v>111</v>
      </c>
      <c r="S363" s="37" cm="1">
        <f t="array" aca="1" ref="S3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9.0130548121262457</v>
      </c>
      <c r="T363" s="346" t="s">
        <v>1485</v>
      </c>
      <c r="U363" s="347">
        <f ca="1">S363/S362*lb2g</f>
        <v>3182.8077456809356</v>
      </c>
      <c r="V363" s="347">
        <v>9.0130548121262457</v>
      </c>
      <c r="W363" s="347">
        <v>3182.8077456809356</v>
      </c>
      <c r="X363" s="14" t="s">
        <v>12</v>
      </c>
      <c r="Y363" s="346" t="s">
        <v>413</v>
      </c>
      <c r="Z363" s="14" t="str">
        <f>IF(ISBLANK(LCI_Table[[#This Row],[Notes for user]])," ",LCI_Table[[#This Row],[Notes for user]])</f>
        <v xml:space="preserve"> </v>
      </c>
      <c r="AA363" s="14"/>
      <c r="AB363" s="14"/>
      <c r="AC363" s="346">
        <f ca="1">LCI_Table[[#This Row],[Default Calculated Value]]-LCI_Table[[#This Row],[Calculated Value]]</f>
        <v>0</v>
      </c>
    </row>
    <row r="364" spans="1:29" x14ac:dyDescent="0.3">
      <c r="A3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facilities_CornStover_Farming_P2O5P2O5</v>
      </c>
      <c r="B364" s="14" t="s">
        <v>135</v>
      </c>
      <c r="C364" s="14" t="s">
        <v>1964</v>
      </c>
      <c r="D364" s="14" t="s">
        <v>29</v>
      </c>
      <c r="E364" s="48" t="s">
        <v>29</v>
      </c>
      <c r="F364" s="14" t="s">
        <v>911</v>
      </c>
      <c r="G364" s="14" t="b">
        <f>OR(LCI_Table[[#This Row],[Feedstock]]="All",LCI_Table[[#This Row],[Feedstock]]=SelectedFeedstock)</f>
        <v>0</v>
      </c>
      <c r="H364" s="14" t="b">
        <f>OR(LCI_Table[[#This Row],[Conversion]]="All",LCI_Table[[#This Row],[Conversion]]=SelectedConversion)</f>
        <v>0</v>
      </c>
      <c r="I364" s="14" t="b">
        <f>OR(LCI_Table[[#This Row],[Data Set]]="all",LCI_Table[[#This Row],[Data Set]]=SelectedDataSet)</f>
        <v>1</v>
      </c>
      <c r="J364" s="14" t="b">
        <f>OR(LCI_Table[[#This Row],[Technology]]="All",LCI_Table[[#This Row],[Technology]]=SelectedTechnology)</f>
        <v>0</v>
      </c>
      <c r="K364" s="14" t="b">
        <f>OR(LCI_Table[[#This Row],[Data Source]]="All",LCI_Table[[#This Row],[Data Source]]=SelectedDataSource)</f>
        <v>1</v>
      </c>
      <c r="L364" s="14" t="b">
        <f>TRUE</f>
        <v>1</v>
      </c>
      <c r="M364" s="14" t="b">
        <f>(LCI_Table[[#This Row],[Dev Notes]]="Do not display")</f>
        <v>0</v>
      </c>
      <c r="N364" s="14" t="b">
        <f>AND(LCI_Table[[#This Row],[Show Feedstock]:[Conditional]],NOT(LCI_Table[[#This Row],[Hide Row]]))</f>
        <v>0</v>
      </c>
      <c r="O364" s="14" t="b">
        <f>LCI_Table[[#This Row],[GREET1 Name Range]]=""</f>
        <v>0</v>
      </c>
      <c r="P364" s="14" t="s">
        <v>147</v>
      </c>
      <c r="Q364" s="14" t="s">
        <v>615</v>
      </c>
      <c r="R364" s="14" t="s">
        <v>112</v>
      </c>
      <c r="S364" s="37" cm="1">
        <f t="array" aca="1" ref="S3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6.4378962943758911</v>
      </c>
      <c r="T364" s="346" t="s">
        <v>1485</v>
      </c>
      <c r="U364" s="347">
        <f ca="1">S364/S362*lb2g</f>
        <v>2273.434104057812</v>
      </c>
      <c r="V364" s="347">
        <v>6.4378962943758911</v>
      </c>
      <c r="W364" s="347">
        <v>2273.434104057812</v>
      </c>
      <c r="X364" s="14" t="s">
        <v>12</v>
      </c>
      <c r="Y364" s="346" t="s">
        <v>413</v>
      </c>
      <c r="Z364" s="14" t="str">
        <f>IF(ISBLANK(LCI_Table[[#This Row],[Notes for user]])," ",LCI_Table[[#This Row],[Notes for user]])</f>
        <v xml:space="preserve"> </v>
      </c>
      <c r="AA364" s="14"/>
      <c r="AB364" s="14"/>
      <c r="AC364" s="346">
        <f ca="1">LCI_Table[[#This Row],[Default Calculated Value]]-LCI_Table[[#This Row],[Calculated Value]]</f>
        <v>0</v>
      </c>
    </row>
    <row r="365" spans="1:29" x14ac:dyDescent="0.3">
      <c r="A3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facilities_CornStover_Farming_K2OK2O</v>
      </c>
      <c r="B365" s="14" t="s">
        <v>135</v>
      </c>
      <c r="C365" s="14" t="s">
        <v>1964</v>
      </c>
      <c r="D365" s="14" t="s">
        <v>29</v>
      </c>
      <c r="E365" s="48" t="s">
        <v>29</v>
      </c>
      <c r="F365" s="14" t="s">
        <v>911</v>
      </c>
      <c r="G365" s="14" t="b">
        <f>OR(LCI_Table[[#This Row],[Feedstock]]="All",LCI_Table[[#This Row],[Feedstock]]=SelectedFeedstock)</f>
        <v>0</v>
      </c>
      <c r="H365" s="14" t="b">
        <f>OR(LCI_Table[[#This Row],[Conversion]]="All",LCI_Table[[#This Row],[Conversion]]=SelectedConversion)</f>
        <v>0</v>
      </c>
      <c r="I365" s="14" t="b">
        <f>OR(LCI_Table[[#This Row],[Data Set]]="all",LCI_Table[[#This Row],[Data Set]]=SelectedDataSet)</f>
        <v>1</v>
      </c>
      <c r="J365" s="14" t="b">
        <f>OR(LCI_Table[[#This Row],[Technology]]="All",LCI_Table[[#This Row],[Technology]]=SelectedTechnology)</f>
        <v>0</v>
      </c>
      <c r="K365" s="14" t="b">
        <f>OR(LCI_Table[[#This Row],[Data Source]]="All",LCI_Table[[#This Row],[Data Source]]=SelectedDataSource)</f>
        <v>1</v>
      </c>
      <c r="L365" s="14" t="b">
        <f>TRUE</f>
        <v>1</v>
      </c>
      <c r="M365" s="14" t="b">
        <f>(LCI_Table[[#This Row],[Dev Notes]]="Do not display")</f>
        <v>0</v>
      </c>
      <c r="N365" s="14" t="b">
        <f>AND(LCI_Table[[#This Row],[Show Feedstock]:[Conditional]],NOT(LCI_Table[[#This Row],[Hide Row]]))</f>
        <v>0</v>
      </c>
      <c r="O365" s="14" t="b">
        <f>LCI_Table[[#This Row],[GREET1 Name Range]]=""</f>
        <v>0</v>
      </c>
      <c r="P365" s="14" t="s">
        <v>147</v>
      </c>
      <c r="Q365" s="14" t="s">
        <v>611</v>
      </c>
      <c r="R365" s="14" t="s">
        <v>113</v>
      </c>
      <c r="S365" s="37" cm="1">
        <f t="array" aca="1" ref="S3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38.627377766255343</v>
      </c>
      <c r="T365" s="346" t="s">
        <v>1485</v>
      </c>
      <c r="U365" s="347">
        <f ca="1">S365/S362*lb2g</f>
        <v>13640.60462434687</v>
      </c>
      <c r="V365" s="347">
        <v>38.627377766255343</v>
      </c>
      <c r="W365" s="347">
        <v>13640.60462434687</v>
      </c>
      <c r="X365" s="14" t="s">
        <v>12</v>
      </c>
      <c r="Y365" s="346" t="s">
        <v>413</v>
      </c>
      <c r="Z365" s="14" t="str">
        <f>IF(ISBLANK(LCI_Table[[#This Row],[Notes for user]])," ",LCI_Table[[#This Row],[Notes for user]])</f>
        <v xml:space="preserve"> </v>
      </c>
      <c r="AA365" s="14"/>
      <c r="AB365" s="14"/>
      <c r="AC365" s="346">
        <f ca="1">LCI_Table[[#This Row],[Default Calculated Value]]-LCI_Table[[#This Row],[Calculated Value]]</f>
        <v>0</v>
      </c>
    </row>
    <row r="366" spans="1:29" x14ac:dyDescent="0.3">
      <c r="A3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facilities_CornStover_Farming_HerbicidesHerbicides</v>
      </c>
      <c r="B366" s="14" t="s">
        <v>135</v>
      </c>
      <c r="C366" s="14" t="s">
        <v>1964</v>
      </c>
      <c r="D366" s="14" t="s">
        <v>29</v>
      </c>
      <c r="E366" s="48" t="s">
        <v>29</v>
      </c>
      <c r="F366" s="14" t="s">
        <v>911</v>
      </c>
      <c r="G366" s="14" t="b">
        <f>OR(LCI_Table[[#This Row],[Feedstock]]="All",LCI_Table[[#This Row],[Feedstock]]=SelectedFeedstock)</f>
        <v>0</v>
      </c>
      <c r="H366" s="14" t="b">
        <f>OR(LCI_Table[[#This Row],[Conversion]]="All",LCI_Table[[#This Row],[Conversion]]=SelectedConversion)</f>
        <v>0</v>
      </c>
      <c r="I366" s="14" t="b">
        <f>OR(LCI_Table[[#This Row],[Data Set]]="all",LCI_Table[[#This Row],[Data Set]]=SelectedDataSet)</f>
        <v>1</v>
      </c>
      <c r="J366" s="14" t="b">
        <f>OR(LCI_Table[[#This Row],[Technology]]="All",LCI_Table[[#This Row],[Technology]]=SelectedTechnology)</f>
        <v>0</v>
      </c>
      <c r="K366" s="14" t="b">
        <f>OR(LCI_Table[[#This Row],[Data Source]]="All",LCI_Table[[#This Row],[Data Source]]=SelectedDataSource)</f>
        <v>1</v>
      </c>
      <c r="L366" s="14" t="b">
        <f>TRUE</f>
        <v>1</v>
      </c>
      <c r="M366" s="14" t="b">
        <f>(LCI_Table[[#This Row],[Dev Notes]]="Do not display")</f>
        <v>0</v>
      </c>
      <c r="N366" s="14" t="b">
        <f>AND(LCI_Table[[#This Row],[Show Feedstock]:[Conditional]],NOT(LCI_Table[[#This Row],[Hide Row]]))</f>
        <v>0</v>
      </c>
      <c r="O366" s="14" t="b">
        <f>LCI_Table[[#This Row],[GREET1 Name Range]]=""</f>
        <v>0</v>
      </c>
      <c r="P366" s="14" t="s">
        <v>147</v>
      </c>
      <c r="Q366" s="14" t="s">
        <v>609</v>
      </c>
      <c r="R366" s="14" t="s">
        <v>356</v>
      </c>
      <c r="S366" s="37" cm="1">
        <f t="array" aca="1" ref="S3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66" s="346" t="s">
        <v>1485</v>
      </c>
      <c r="U366" s="347">
        <f ca="1">S366/S362*lb2g</f>
        <v>0</v>
      </c>
      <c r="V366" s="347">
        <v>0</v>
      </c>
      <c r="W366" s="347">
        <v>0</v>
      </c>
      <c r="X366" s="14" t="s">
        <v>12</v>
      </c>
      <c r="Y366" s="346" t="s">
        <v>413</v>
      </c>
      <c r="Z366" s="14" t="str">
        <f>IF(ISBLANK(LCI_Table[[#This Row],[Notes for user]])," ",LCI_Table[[#This Row],[Notes for user]])</f>
        <v xml:space="preserve"> </v>
      </c>
      <c r="AA366" s="14"/>
      <c r="AB366" s="14"/>
      <c r="AC366" s="346">
        <f ca="1">LCI_Table[[#This Row],[Default Calculated Value]]-LCI_Table[[#This Row],[Calculated Value]]</f>
        <v>0</v>
      </c>
    </row>
    <row r="367" spans="1:29" x14ac:dyDescent="0.3">
      <c r="A3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facilities_CornStover_Farming_InsecticideInsecticide</v>
      </c>
      <c r="B367" s="14" t="s">
        <v>135</v>
      </c>
      <c r="C367" s="14" t="s">
        <v>1964</v>
      </c>
      <c r="D367" s="14" t="s">
        <v>29</v>
      </c>
      <c r="E367" s="48" t="s">
        <v>29</v>
      </c>
      <c r="F367" s="14" t="s">
        <v>911</v>
      </c>
      <c r="G367" s="14" t="b">
        <f>OR(LCI_Table[[#This Row],[Feedstock]]="All",LCI_Table[[#This Row],[Feedstock]]=SelectedFeedstock)</f>
        <v>0</v>
      </c>
      <c r="H367" s="14" t="b">
        <f>OR(LCI_Table[[#This Row],[Conversion]]="All",LCI_Table[[#This Row],[Conversion]]=SelectedConversion)</f>
        <v>0</v>
      </c>
      <c r="I367" s="14" t="b">
        <f>OR(LCI_Table[[#This Row],[Data Set]]="all",LCI_Table[[#This Row],[Data Set]]=SelectedDataSet)</f>
        <v>1</v>
      </c>
      <c r="J367" s="14" t="b">
        <f>OR(LCI_Table[[#This Row],[Technology]]="All",LCI_Table[[#This Row],[Technology]]=SelectedTechnology)</f>
        <v>0</v>
      </c>
      <c r="K367" s="14" t="b">
        <f>OR(LCI_Table[[#This Row],[Data Source]]="All",LCI_Table[[#This Row],[Data Source]]=SelectedDataSource)</f>
        <v>1</v>
      </c>
      <c r="L367" s="14" t="b">
        <f>TRUE</f>
        <v>1</v>
      </c>
      <c r="M367" s="14" t="b">
        <f>(LCI_Table[[#This Row],[Dev Notes]]="Do not display")</f>
        <v>0</v>
      </c>
      <c r="N367" s="14" t="b">
        <f>AND(LCI_Table[[#This Row],[Show Feedstock]:[Conditional]],NOT(LCI_Table[[#This Row],[Hide Row]]))</f>
        <v>0</v>
      </c>
      <c r="O367" s="14" t="b">
        <f>LCI_Table[[#This Row],[GREET1 Name Range]]=""</f>
        <v>0</v>
      </c>
      <c r="P367" s="14" t="s">
        <v>147</v>
      </c>
      <c r="Q367" s="14" t="s">
        <v>610</v>
      </c>
      <c r="R367" s="14" t="s">
        <v>114</v>
      </c>
      <c r="S367" s="37" cm="1">
        <f t="array" aca="1" ref="S3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67" s="346" t="s">
        <v>1485</v>
      </c>
      <c r="U367" s="347">
        <f ca="1">S367/S362*lb2g</f>
        <v>0</v>
      </c>
      <c r="V367" s="347">
        <v>0</v>
      </c>
      <c r="W367" s="347">
        <v>0</v>
      </c>
      <c r="X367" s="14" t="s">
        <v>12</v>
      </c>
      <c r="Y367" s="346" t="s">
        <v>413</v>
      </c>
      <c r="Z367" s="14" t="str">
        <f>IF(ISBLANK(LCI_Table[[#This Row],[Notes for user]])," ",LCI_Table[[#This Row],[Notes for user]])</f>
        <v xml:space="preserve"> </v>
      </c>
      <c r="AA367" s="14"/>
      <c r="AB367" s="14"/>
      <c r="AC367" s="346">
        <f ca="1">LCI_Table[[#This Row],[Default Calculated Value]]-LCI_Table[[#This Row],[Calculated Value]]</f>
        <v>0</v>
      </c>
    </row>
    <row r="368" spans="1:29" x14ac:dyDescent="0.3">
      <c r="A3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facilities_CornStover_Farming_HDPEHDPE</v>
      </c>
      <c r="B368" s="14" t="s">
        <v>135</v>
      </c>
      <c r="C368" s="14" t="s">
        <v>1964</v>
      </c>
      <c r="D368" s="14" t="s">
        <v>29</v>
      </c>
      <c r="E368" s="48" t="s">
        <v>29</v>
      </c>
      <c r="F368" s="14" t="s">
        <v>911</v>
      </c>
      <c r="G368" s="14" t="b">
        <f>OR(LCI_Table[[#This Row],[Feedstock]]="All",LCI_Table[[#This Row],[Feedstock]]=SelectedFeedstock)</f>
        <v>0</v>
      </c>
      <c r="H368" s="14" t="b">
        <f>OR(LCI_Table[[#This Row],[Conversion]]="All",LCI_Table[[#This Row],[Conversion]]=SelectedConversion)</f>
        <v>0</v>
      </c>
      <c r="I368" s="14" t="b">
        <f>OR(LCI_Table[[#This Row],[Data Set]]="all",LCI_Table[[#This Row],[Data Set]]=SelectedDataSet)</f>
        <v>1</v>
      </c>
      <c r="J368" s="14" t="b">
        <f>OR(LCI_Table[[#This Row],[Technology]]="All",LCI_Table[[#This Row],[Technology]]=SelectedTechnology)</f>
        <v>0</v>
      </c>
      <c r="K368" s="14" t="b">
        <f>OR(LCI_Table[[#This Row],[Data Source]]="All",LCI_Table[[#This Row],[Data Source]]=SelectedDataSource)</f>
        <v>1</v>
      </c>
      <c r="L368" s="14" t="b">
        <f>TRUE</f>
        <v>1</v>
      </c>
      <c r="M368" s="14" t="b">
        <f>(LCI_Table[[#This Row],[Dev Notes]]="Do not display")</f>
        <v>0</v>
      </c>
      <c r="N368" s="14" t="b">
        <f>AND(LCI_Table[[#This Row],[Show Feedstock]:[Conditional]],NOT(LCI_Table[[#This Row],[Hide Row]]))</f>
        <v>0</v>
      </c>
      <c r="O368" s="14" t="b">
        <f>LCI_Table[[#This Row],[GREET1 Name Range]]=""</f>
        <v>0</v>
      </c>
      <c r="P368" s="14" t="s">
        <v>147</v>
      </c>
      <c r="Q368" s="14" t="s">
        <v>608</v>
      </c>
      <c r="R368" s="14" t="s">
        <v>357</v>
      </c>
      <c r="S368" s="37" cm="1">
        <f t="array" aca="1" ref="S3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2.106854486992367E-3</v>
      </c>
      <c r="T368" s="346" t="s">
        <v>1485</v>
      </c>
      <c r="U368" s="347">
        <f ca="1">S368/S362*lb2g</f>
        <v>0.74400000000000155</v>
      </c>
      <c r="V368" s="347">
        <v>2.106854486992367E-3</v>
      </c>
      <c r="W368" s="347">
        <v>0.74400000000000155</v>
      </c>
      <c r="X368" s="14" t="s">
        <v>12</v>
      </c>
      <c r="Y368" s="346" t="s">
        <v>413</v>
      </c>
      <c r="Z368" s="14" t="str">
        <f>IF(ISBLANK(LCI_Table[[#This Row],[Notes for user]])," ",LCI_Table[[#This Row],[Notes for user]])</f>
        <v xml:space="preserve"> </v>
      </c>
      <c r="AA368" s="14"/>
      <c r="AB368" s="14"/>
      <c r="AC368" s="346">
        <f ca="1">LCI_Table[[#This Row],[Default Calculated Value]]-LCI_Table[[#This Row],[Calculated Value]]</f>
        <v>0</v>
      </c>
    </row>
    <row r="369" spans="1:29" x14ac:dyDescent="0.3">
      <c r="A3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facilities_CornStover_Farming_Residual_oilResidual oil</v>
      </c>
      <c r="B369" s="14" t="s">
        <v>135</v>
      </c>
      <c r="C369" s="14" t="s">
        <v>1964</v>
      </c>
      <c r="D369" s="14" t="s">
        <v>29</v>
      </c>
      <c r="E369" s="48" t="s">
        <v>29</v>
      </c>
      <c r="F369" s="14" t="s">
        <v>911</v>
      </c>
      <c r="G369" s="14" t="b">
        <f>OR(LCI_Table[[#This Row],[Feedstock]]="All",LCI_Table[[#This Row],[Feedstock]]=SelectedFeedstock)</f>
        <v>0</v>
      </c>
      <c r="H369" s="14" t="b">
        <f>OR(LCI_Table[[#This Row],[Conversion]]="All",LCI_Table[[#This Row],[Conversion]]=SelectedConversion)</f>
        <v>0</v>
      </c>
      <c r="I369" s="14" t="b">
        <f>OR(LCI_Table[[#This Row],[Data Set]]="all",LCI_Table[[#This Row],[Data Set]]=SelectedDataSet)</f>
        <v>1</v>
      </c>
      <c r="J369" s="14" t="b">
        <f>OR(LCI_Table[[#This Row],[Technology]]="All",LCI_Table[[#This Row],[Technology]]=SelectedTechnology)</f>
        <v>0</v>
      </c>
      <c r="K369" s="14" t="b">
        <f>OR(LCI_Table[[#This Row],[Data Source]]="All",LCI_Table[[#This Row],[Data Source]]=SelectedDataSource)</f>
        <v>1</v>
      </c>
      <c r="L369" s="14" t="b">
        <f>TRUE</f>
        <v>1</v>
      </c>
      <c r="M369" s="14" t="b">
        <f>(LCI_Table[[#This Row],[Dev Notes]]="Do not display")</f>
        <v>0</v>
      </c>
      <c r="N369" s="14" t="b">
        <f>AND(LCI_Table[[#This Row],[Show Feedstock]:[Conditional]],NOT(LCI_Table[[#This Row],[Hide Row]]))</f>
        <v>0</v>
      </c>
      <c r="O369" s="14" t="b">
        <f>LCI_Table[[#This Row],[GREET1 Name Range]]=""</f>
        <v>0</v>
      </c>
      <c r="P369" s="14" t="s">
        <v>147</v>
      </c>
      <c r="Q369" s="14" t="s">
        <v>616</v>
      </c>
      <c r="R369" s="14" t="s">
        <v>115</v>
      </c>
      <c r="S369" s="37" cm="1">
        <f t="array" aca="1" ref="S3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69" s="346" t="s">
        <v>1484</v>
      </c>
      <c r="U369" s="347">
        <f ca="1">S369*Fuel_Specs!$B$28/S362</f>
        <v>0</v>
      </c>
      <c r="V369" s="347">
        <v>0</v>
      </c>
      <c r="W369" s="347">
        <v>0</v>
      </c>
      <c r="X369" s="14" t="s">
        <v>5</v>
      </c>
      <c r="Y369" s="346" t="s">
        <v>413</v>
      </c>
      <c r="Z369" s="14" t="str">
        <f>IF(ISBLANK(LCI_Table[[#This Row],[Notes for user]])," ",LCI_Table[[#This Row],[Notes for user]])</f>
        <v xml:space="preserve"> </v>
      </c>
      <c r="AA369" s="14"/>
      <c r="AB369" s="14"/>
      <c r="AC369" s="346">
        <f ca="1">LCI_Table[[#This Row],[Default Calculated Value]]-LCI_Table[[#This Row],[Calculated Value]]</f>
        <v>0</v>
      </c>
    </row>
    <row r="370" spans="1:29" x14ac:dyDescent="0.3">
      <c r="A3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facilities_CornStover_Farming_DieselDiesel</v>
      </c>
      <c r="B370" s="14" t="s">
        <v>135</v>
      </c>
      <c r="C370" s="14" t="s">
        <v>1964</v>
      </c>
      <c r="D370" s="14" t="s">
        <v>29</v>
      </c>
      <c r="E370" s="48" t="s">
        <v>29</v>
      </c>
      <c r="F370" s="14" t="s">
        <v>911</v>
      </c>
      <c r="G370" s="14" t="b">
        <f>OR(LCI_Table[[#This Row],[Feedstock]]="All",LCI_Table[[#This Row],[Feedstock]]=SelectedFeedstock)</f>
        <v>0</v>
      </c>
      <c r="H370" s="14" t="b">
        <f>OR(LCI_Table[[#This Row],[Conversion]]="All",LCI_Table[[#This Row],[Conversion]]=SelectedConversion)</f>
        <v>0</v>
      </c>
      <c r="I370" s="14" t="b">
        <f>OR(LCI_Table[[#This Row],[Data Set]]="all",LCI_Table[[#This Row],[Data Set]]=SelectedDataSet)</f>
        <v>1</v>
      </c>
      <c r="J370" s="14" t="b">
        <f>OR(LCI_Table[[#This Row],[Technology]]="All",LCI_Table[[#This Row],[Technology]]=SelectedTechnology)</f>
        <v>0</v>
      </c>
      <c r="K370" s="14" t="b">
        <f>OR(LCI_Table[[#This Row],[Data Source]]="All",LCI_Table[[#This Row],[Data Source]]=SelectedDataSource)</f>
        <v>1</v>
      </c>
      <c r="L370" s="14" t="b">
        <f>TRUE</f>
        <v>1</v>
      </c>
      <c r="M370" s="14" t="b">
        <f>(LCI_Table[[#This Row],[Dev Notes]]="Do not display")</f>
        <v>0</v>
      </c>
      <c r="N370" s="14" t="b">
        <f>AND(LCI_Table[[#This Row],[Show Feedstock]:[Conditional]],NOT(LCI_Table[[#This Row],[Hide Row]]))</f>
        <v>0</v>
      </c>
      <c r="O370" s="14" t="b">
        <f>LCI_Table[[#This Row],[GREET1 Name Range]]=""</f>
        <v>0</v>
      </c>
      <c r="P370" s="14" t="s">
        <v>147</v>
      </c>
      <c r="Q370" s="14" t="s">
        <v>605</v>
      </c>
      <c r="R370" s="14" t="s">
        <v>106</v>
      </c>
      <c r="S370" s="37" cm="1">
        <f t="array" aca="1" ref="S3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2.2358876274453086</v>
      </c>
      <c r="T370" s="346" t="s">
        <v>1484</v>
      </c>
      <c r="U370" s="347">
        <f ca="1">S370*Fuel_Specs!$B$19/S362</f>
        <v>223592.24413408528</v>
      </c>
      <c r="V370" s="347">
        <v>2.2358876274453086</v>
      </c>
      <c r="W370" s="347">
        <v>223592.24413408528</v>
      </c>
      <c r="X370" s="14" t="s">
        <v>5</v>
      </c>
      <c r="Y370" s="346" t="s">
        <v>413</v>
      </c>
      <c r="Z370" s="14" t="str">
        <f>IF(ISBLANK(LCI_Table[[#This Row],[Notes for user]])," ",LCI_Table[[#This Row],[Notes for user]])</f>
        <v xml:space="preserve"> </v>
      </c>
      <c r="AA370" s="14"/>
      <c r="AB370" s="14"/>
      <c r="AC370" s="346">
        <f ca="1">LCI_Table[[#This Row],[Default Calculated Value]]-LCI_Table[[#This Row],[Calculated Value]]</f>
        <v>0</v>
      </c>
    </row>
    <row r="371" spans="1:29" x14ac:dyDescent="0.3">
      <c r="A3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facilities_CornStover_Farming_GasolineGasoline</v>
      </c>
      <c r="B371" s="14" t="s">
        <v>135</v>
      </c>
      <c r="C371" s="14" t="s">
        <v>1964</v>
      </c>
      <c r="D371" s="14" t="s">
        <v>29</v>
      </c>
      <c r="E371" s="48" t="s">
        <v>29</v>
      </c>
      <c r="F371" s="14" t="s">
        <v>911</v>
      </c>
      <c r="G371" s="14" t="b">
        <f>OR(LCI_Table[[#This Row],[Feedstock]]="All",LCI_Table[[#This Row],[Feedstock]]=SelectedFeedstock)</f>
        <v>0</v>
      </c>
      <c r="H371" s="14" t="b">
        <f>OR(LCI_Table[[#This Row],[Conversion]]="All",LCI_Table[[#This Row],[Conversion]]=SelectedConversion)</f>
        <v>0</v>
      </c>
      <c r="I371" s="14" t="b">
        <f>OR(LCI_Table[[#This Row],[Data Set]]="all",LCI_Table[[#This Row],[Data Set]]=SelectedDataSet)</f>
        <v>1</v>
      </c>
      <c r="J371" s="14" t="b">
        <f>OR(LCI_Table[[#This Row],[Technology]]="All",LCI_Table[[#This Row],[Technology]]=SelectedTechnology)</f>
        <v>0</v>
      </c>
      <c r="K371" s="14" t="b">
        <f>OR(LCI_Table[[#This Row],[Data Source]]="All",LCI_Table[[#This Row],[Data Source]]=SelectedDataSource)</f>
        <v>1</v>
      </c>
      <c r="L371" s="14" t="b">
        <f>TRUE</f>
        <v>1</v>
      </c>
      <c r="M371" s="14" t="b">
        <f>(LCI_Table[[#This Row],[Dev Notes]]="Do not display")</f>
        <v>0</v>
      </c>
      <c r="N371" s="14" t="b">
        <f>AND(LCI_Table[[#This Row],[Show Feedstock]:[Conditional]],NOT(LCI_Table[[#This Row],[Hide Row]]))</f>
        <v>0</v>
      </c>
      <c r="O371" s="14" t="b">
        <f>LCI_Table[[#This Row],[GREET1 Name Range]]=""</f>
        <v>0</v>
      </c>
      <c r="P371" s="14" t="s">
        <v>147</v>
      </c>
      <c r="Q371" s="14" t="s">
        <v>607</v>
      </c>
      <c r="R371" s="14" t="s">
        <v>107</v>
      </c>
      <c r="S371" s="37" cm="1">
        <f t="array" aca="1" ref="S3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71" s="346" t="s">
        <v>1484</v>
      </c>
      <c r="U371" s="347">
        <f ca="1">S371*Fuel_Specs!$B$15/S362</f>
        <v>0</v>
      </c>
      <c r="V371" s="347">
        <v>0</v>
      </c>
      <c r="W371" s="347">
        <v>0</v>
      </c>
      <c r="X371" s="14" t="s">
        <v>5</v>
      </c>
      <c r="Y371" s="346" t="s">
        <v>413</v>
      </c>
      <c r="Z371" s="14" t="str">
        <f>IF(ISBLANK(LCI_Table[[#This Row],[Notes for user]])," ",LCI_Table[[#This Row],[Notes for user]])</f>
        <v xml:space="preserve"> </v>
      </c>
      <c r="AA371" s="14"/>
      <c r="AB371" s="14"/>
      <c r="AC371" s="346">
        <f ca="1">LCI_Table[[#This Row],[Default Calculated Value]]-LCI_Table[[#This Row],[Calculated Value]]</f>
        <v>0</v>
      </c>
    </row>
    <row r="372" spans="1:29" x14ac:dyDescent="0.3">
      <c r="A3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facilities_CornStover_Farming_Natural_gasNatural gas</v>
      </c>
      <c r="B372" s="14" t="s">
        <v>135</v>
      </c>
      <c r="C372" s="14" t="s">
        <v>1964</v>
      </c>
      <c r="D372" s="14" t="s">
        <v>29</v>
      </c>
      <c r="E372" s="48" t="s">
        <v>29</v>
      </c>
      <c r="F372" s="14" t="s">
        <v>911</v>
      </c>
      <c r="G372" s="14" t="b">
        <f>OR(LCI_Table[[#This Row],[Feedstock]]="All",LCI_Table[[#This Row],[Feedstock]]=SelectedFeedstock)</f>
        <v>0</v>
      </c>
      <c r="H372" s="14" t="b">
        <f>OR(LCI_Table[[#This Row],[Conversion]]="All",LCI_Table[[#This Row],[Conversion]]=SelectedConversion)</f>
        <v>0</v>
      </c>
      <c r="I372" s="14" t="b">
        <f>OR(LCI_Table[[#This Row],[Data Set]]="all",LCI_Table[[#This Row],[Data Set]]=SelectedDataSet)</f>
        <v>1</v>
      </c>
      <c r="J372" s="14" t="b">
        <f>OR(LCI_Table[[#This Row],[Technology]]="All",LCI_Table[[#This Row],[Technology]]=SelectedTechnology)</f>
        <v>0</v>
      </c>
      <c r="K372" s="14" t="b">
        <f>OR(LCI_Table[[#This Row],[Data Source]]="All",LCI_Table[[#This Row],[Data Source]]=SelectedDataSource)</f>
        <v>1</v>
      </c>
      <c r="L372" s="14" t="b">
        <f>TRUE</f>
        <v>1</v>
      </c>
      <c r="M372" s="14" t="b">
        <f>(LCI_Table[[#This Row],[Dev Notes]]="Do not display")</f>
        <v>0</v>
      </c>
      <c r="N372" s="14" t="b">
        <f>AND(LCI_Table[[#This Row],[Show Feedstock]:[Conditional]],NOT(LCI_Table[[#This Row],[Hide Row]]))</f>
        <v>0</v>
      </c>
      <c r="O372" s="14" t="b">
        <f>LCI_Table[[#This Row],[GREET1 Name Range]]=""</f>
        <v>0</v>
      </c>
      <c r="P372" s="14" t="s">
        <v>147</v>
      </c>
      <c r="Q372" s="14" t="s">
        <v>613</v>
      </c>
      <c r="R372" s="14" t="s">
        <v>108</v>
      </c>
      <c r="S372" s="37" cm="1">
        <f t="array" aca="1" ref="S3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72" s="346" t="s">
        <v>2109</v>
      </c>
      <c r="U372" s="347">
        <f ca="1">S372*Fuel_Specs!$B$79/S362</f>
        <v>0</v>
      </c>
      <c r="V372" s="347">
        <v>0</v>
      </c>
      <c r="W372" s="347">
        <v>0</v>
      </c>
      <c r="X372" s="14" t="s">
        <v>351</v>
      </c>
      <c r="Y372" s="346" t="s">
        <v>413</v>
      </c>
      <c r="Z372" s="14" t="str">
        <f>IF(ISBLANK(LCI_Table[[#This Row],[Notes for user]])," ",LCI_Table[[#This Row],[Notes for user]])</f>
        <v xml:space="preserve"> </v>
      </c>
      <c r="AA372" s="14"/>
      <c r="AB372" s="14"/>
      <c r="AC372" s="346">
        <f ca="1">LCI_Table[[#This Row],[Default Calculated Value]]-LCI_Table[[#This Row],[Calculated Value]]</f>
        <v>0</v>
      </c>
    </row>
    <row r="373" spans="1:29" x14ac:dyDescent="0.3">
      <c r="A3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facilities_CornStover_Farming_CoalCoal</v>
      </c>
      <c r="B373" s="14" t="s">
        <v>135</v>
      </c>
      <c r="C373" s="14" t="s">
        <v>1964</v>
      </c>
      <c r="D373" s="14" t="s">
        <v>29</v>
      </c>
      <c r="E373" s="48" t="s">
        <v>29</v>
      </c>
      <c r="F373" s="14" t="s">
        <v>911</v>
      </c>
      <c r="G373" s="14" t="b">
        <f>OR(LCI_Table[[#This Row],[Feedstock]]="All",LCI_Table[[#This Row],[Feedstock]]=SelectedFeedstock)</f>
        <v>0</v>
      </c>
      <c r="H373" s="14" t="b">
        <f>OR(LCI_Table[[#This Row],[Conversion]]="All",LCI_Table[[#This Row],[Conversion]]=SelectedConversion)</f>
        <v>0</v>
      </c>
      <c r="I373" s="14" t="b">
        <f>OR(LCI_Table[[#This Row],[Data Set]]="all",LCI_Table[[#This Row],[Data Set]]=SelectedDataSet)</f>
        <v>1</v>
      </c>
      <c r="J373" s="14" t="b">
        <f>OR(LCI_Table[[#This Row],[Technology]]="All",LCI_Table[[#This Row],[Technology]]=SelectedTechnology)</f>
        <v>0</v>
      </c>
      <c r="K373" s="14" t="b">
        <f>OR(LCI_Table[[#This Row],[Data Source]]="All",LCI_Table[[#This Row],[Data Source]]=SelectedDataSource)</f>
        <v>1</v>
      </c>
      <c r="L373" s="14" t="b">
        <f>TRUE</f>
        <v>1</v>
      </c>
      <c r="M373" s="14" t="b">
        <f>(LCI_Table[[#This Row],[Dev Notes]]="Do not display")</f>
        <v>0</v>
      </c>
      <c r="N373" s="14" t="b">
        <f>AND(LCI_Table[[#This Row],[Show Feedstock]:[Conditional]],NOT(LCI_Table[[#This Row],[Hide Row]]))</f>
        <v>0</v>
      </c>
      <c r="O373" s="14" t="b">
        <f>LCI_Table[[#This Row],[GREET1 Name Range]]=""</f>
        <v>0</v>
      </c>
      <c r="P373" s="14" t="s">
        <v>147</v>
      </c>
      <c r="Q373" s="14" t="s">
        <v>604</v>
      </c>
      <c r="R373" s="14" t="s">
        <v>9</v>
      </c>
      <c r="S373" s="37" cm="1">
        <f t="array" aca="1" ref="S3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73" s="346" t="s">
        <v>2110</v>
      </c>
      <c r="U373" s="347">
        <f ca="1">S373/S362</f>
        <v>0</v>
      </c>
      <c r="V373" s="347">
        <v>0</v>
      </c>
      <c r="W373" s="347">
        <v>0</v>
      </c>
      <c r="X373" s="14" t="s">
        <v>117</v>
      </c>
      <c r="Y373" s="346" t="s">
        <v>413</v>
      </c>
      <c r="Z373" s="14" t="str">
        <f>IF(ISBLANK(LCI_Table[[#This Row],[Notes for user]])," ",LCI_Table[[#This Row],[Notes for user]])</f>
        <v xml:space="preserve"> </v>
      </c>
      <c r="AA373" s="14"/>
      <c r="AB373" s="14"/>
      <c r="AC373" s="346">
        <f ca="1">LCI_Table[[#This Row],[Default Calculated Value]]-LCI_Table[[#This Row],[Calculated Value]]</f>
        <v>0</v>
      </c>
    </row>
    <row r="374" spans="1:29" x14ac:dyDescent="0.3">
      <c r="A3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facilities_CornStover_Farming_LPGLPG</v>
      </c>
      <c r="B374" s="14" t="s">
        <v>135</v>
      </c>
      <c r="C374" s="14" t="s">
        <v>1964</v>
      </c>
      <c r="D374" s="14" t="s">
        <v>29</v>
      </c>
      <c r="E374" s="48" t="s">
        <v>29</v>
      </c>
      <c r="F374" s="14" t="s">
        <v>911</v>
      </c>
      <c r="G374" s="14" t="b">
        <f>OR(LCI_Table[[#This Row],[Feedstock]]="All",LCI_Table[[#This Row],[Feedstock]]=SelectedFeedstock)</f>
        <v>0</v>
      </c>
      <c r="H374" s="14" t="b">
        <f>OR(LCI_Table[[#This Row],[Conversion]]="All",LCI_Table[[#This Row],[Conversion]]=SelectedConversion)</f>
        <v>0</v>
      </c>
      <c r="I374" s="14" t="b">
        <f>OR(LCI_Table[[#This Row],[Data Set]]="all",LCI_Table[[#This Row],[Data Set]]=SelectedDataSet)</f>
        <v>1</v>
      </c>
      <c r="J374" s="14" t="b">
        <f>OR(LCI_Table[[#This Row],[Technology]]="All",LCI_Table[[#This Row],[Technology]]=SelectedTechnology)</f>
        <v>0</v>
      </c>
      <c r="K374" s="14" t="b">
        <f>OR(LCI_Table[[#This Row],[Data Source]]="All",LCI_Table[[#This Row],[Data Source]]=SelectedDataSource)</f>
        <v>1</v>
      </c>
      <c r="L374" s="14" t="b">
        <f>TRUE</f>
        <v>1</v>
      </c>
      <c r="M374" s="14" t="b">
        <f>(LCI_Table[[#This Row],[Dev Notes]]="Do not display")</f>
        <v>0</v>
      </c>
      <c r="N374" s="14" t="b">
        <f>AND(LCI_Table[[#This Row],[Show Feedstock]:[Conditional]],NOT(LCI_Table[[#This Row],[Hide Row]]))</f>
        <v>0</v>
      </c>
      <c r="O374" s="14" t="b">
        <f>LCI_Table[[#This Row],[GREET1 Name Range]]=""</f>
        <v>0</v>
      </c>
      <c r="P374" s="14" t="s">
        <v>147</v>
      </c>
      <c r="Q374" s="14" t="s">
        <v>612</v>
      </c>
      <c r="R374" s="14" t="s">
        <v>109</v>
      </c>
      <c r="S374" s="37" cm="1">
        <f t="array" aca="1" ref="S3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74" s="346" t="s">
        <v>1484</v>
      </c>
      <c r="U374" s="347">
        <f ca="1">S374*Fuel_Specs!$B$35/S362</f>
        <v>0</v>
      </c>
      <c r="V374" s="347">
        <v>0</v>
      </c>
      <c r="W374" s="347">
        <v>0</v>
      </c>
      <c r="X374" s="14" t="s">
        <v>5</v>
      </c>
      <c r="Y374" s="346" t="s">
        <v>413</v>
      </c>
      <c r="Z374" s="14" t="str">
        <f>IF(ISBLANK(LCI_Table[[#This Row],[Notes for user]])," ",LCI_Table[[#This Row],[Notes for user]])</f>
        <v xml:space="preserve"> </v>
      </c>
      <c r="AA374" s="14"/>
      <c r="AB374" s="14"/>
      <c r="AC374" s="346">
        <f ca="1">LCI_Table[[#This Row],[Default Calculated Value]]-LCI_Table[[#This Row],[Calculated Value]]</f>
        <v>0</v>
      </c>
    </row>
    <row r="375" spans="1:29" x14ac:dyDescent="0.3">
      <c r="A3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facilities_CornStover_Farming_ElectricityElectricity</v>
      </c>
      <c r="B375" s="14" t="s">
        <v>135</v>
      </c>
      <c r="C375" s="14" t="s">
        <v>1964</v>
      </c>
      <c r="D375" s="14" t="s">
        <v>29</v>
      </c>
      <c r="E375" s="48" t="s">
        <v>29</v>
      </c>
      <c r="F375" s="14" t="s">
        <v>911</v>
      </c>
      <c r="G375" s="14" t="b">
        <f>OR(LCI_Table[[#This Row],[Feedstock]]="All",LCI_Table[[#This Row],[Feedstock]]=SelectedFeedstock)</f>
        <v>0</v>
      </c>
      <c r="H375" s="14" t="b">
        <f>OR(LCI_Table[[#This Row],[Conversion]]="All",LCI_Table[[#This Row],[Conversion]]=SelectedConversion)</f>
        <v>0</v>
      </c>
      <c r="I375" s="14" t="b">
        <f>OR(LCI_Table[[#This Row],[Data Set]]="all",LCI_Table[[#This Row],[Data Set]]=SelectedDataSet)</f>
        <v>1</v>
      </c>
      <c r="J375" s="14" t="b">
        <f>OR(LCI_Table[[#This Row],[Technology]]="All",LCI_Table[[#This Row],[Technology]]=SelectedTechnology)</f>
        <v>0</v>
      </c>
      <c r="K375" s="14" t="b">
        <f>OR(LCI_Table[[#This Row],[Data Source]]="All",LCI_Table[[#This Row],[Data Source]]=SelectedDataSource)</f>
        <v>1</v>
      </c>
      <c r="L375" s="14" t="b">
        <f>TRUE</f>
        <v>1</v>
      </c>
      <c r="M375" s="14" t="b">
        <f>(LCI_Table[[#This Row],[Dev Notes]]="Do not display")</f>
        <v>0</v>
      </c>
      <c r="N375" s="14" t="b">
        <f>AND(LCI_Table[[#This Row],[Show Feedstock]:[Conditional]],NOT(LCI_Table[[#This Row],[Hide Row]]))</f>
        <v>0</v>
      </c>
      <c r="O375" s="14" t="b">
        <f>LCI_Table[[#This Row],[GREET1 Name Range]]=""</f>
        <v>0</v>
      </c>
      <c r="P375" s="14" t="s">
        <v>147</v>
      </c>
      <c r="Q375" s="14" t="s">
        <v>606</v>
      </c>
      <c r="R375" s="14" t="s">
        <v>110</v>
      </c>
      <c r="S375" s="37" cm="1">
        <f t="array" aca="1" ref="S3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75" s="346" t="s">
        <v>1561</v>
      </c>
      <c r="U375" s="347">
        <f ca="1">S375/BTU2kWh/S362</f>
        <v>0</v>
      </c>
      <c r="V375" s="347">
        <v>0</v>
      </c>
      <c r="W375" s="347">
        <v>0</v>
      </c>
      <c r="X375" s="14" t="s">
        <v>51</v>
      </c>
      <c r="Y375" s="346" t="s">
        <v>413</v>
      </c>
      <c r="Z375" s="14" t="str">
        <f>IF(ISBLANK(LCI_Table[[#This Row],[Notes for user]])," ",LCI_Table[[#This Row],[Notes for user]])</f>
        <v xml:space="preserve"> </v>
      </c>
      <c r="AA375" s="14"/>
      <c r="AB375" s="14"/>
      <c r="AC375" s="346">
        <f ca="1">LCI_Table[[#This Row],[Default Calculated Value]]-LCI_Table[[#This Row],[Calculated Value]]</f>
        <v>0</v>
      </c>
    </row>
    <row r="376" spans="1:29" x14ac:dyDescent="0.3">
      <c r="A3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facilities_Cellulosic_ETJ_FeedCorn stover</v>
      </c>
      <c r="B376" s="14" t="s">
        <v>135</v>
      </c>
      <c r="C376" s="14" t="s">
        <v>1964</v>
      </c>
      <c r="D376" s="14" t="s">
        <v>29</v>
      </c>
      <c r="E376" s="48" t="s">
        <v>29</v>
      </c>
      <c r="F376" s="14" t="s">
        <v>911</v>
      </c>
      <c r="G376" s="14" t="b">
        <f>OR(LCI_Table[[#This Row],[Feedstock]]="All",LCI_Table[[#This Row],[Feedstock]]=SelectedFeedstock)</f>
        <v>0</v>
      </c>
      <c r="H376" s="14" t="b">
        <f>OR(LCI_Table[[#This Row],[Conversion]]="All",LCI_Table[[#This Row],[Conversion]]=SelectedConversion)</f>
        <v>0</v>
      </c>
      <c r="I376" s="14" t="b">
        <f>OR(LCI_Table[[#This Row],[Data Set]]="all",LCI_Table[[#This Row],[Data Set]]=SelectedDataSet)</f>
        <v>1</v>
      </c>
      <c r="J376" s="14" t="b">
        <f>OR(LCI_Table[[#This Row],[Technology]]="All",LCI_Table[[#This Row],[Technology]]=SelectedTechnology)</f>
        <v>0</v>
      </c>
      <c r="K376" s="14" t="b">
        <f>OR(LCI_Table[[#This Row],[Data Source]]="All",LCI_Table[[#This Row],[Data Source]]=SelectedDataSource)</f>
        <v>1</v>
      </c>
      <c r="L376" s="14" t="b">
        <f>TRUE</f>
        <v>1</v>
      </c>
      <c r="M376" s="14" t="b">
        <f>(LCI_Table[[#This Row],[Dev Notes]]="Do not display")</f>
        <v>0</v>
      </c>
      <c r="N376" s="14" t="b">
        <f>AND(LCI_Table[[#This Row],[Show Feedstock]:[Conditional]],NOT(LCI_Table[[#This Row],[Hide Row]]))</f>
        <v>0</v>
      </c>
      <c r="O376" s="14" t="b">
        <f>LCI_Table[[#This Row],[GREET1 Name Range]]=""</f>
        <v>0</v>
      </c>
      <c r="P376" s="14" t="s">
        <v>1448</v>
      </c>
      <c r="Q376" s="14" t="s">
        <v>562</v>
      </c>
      <c r="R376" s="14" t="s">
        <v>135</v>
      </c>
      <c r="S376" s="37" cm="1">
        <f t="array" aca="1" ref="S3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371.68307673106648</v>
      </c>
      <c r="T376" s="346" t="s">
        <v>2119</v>
      </c>
      <c r="U376" s="347">
        <f ca="1">S376/kg2lb/Allocations!$O$40*MJ2mmBTU</f>
        <v>0.2121312525054751</v>
      </c>
      <c r="V376" s="347">
        <v>371.68307673106648</v>
      </c>
      <c r="W376" s="347">
        <v>0.2121312525054751</v>
      </c>
      <c r="X376" s="37" t="s">
        <v>12</v>
      </c>
      <c r="Y376" s="346" t="s">
        <v>416</v>
      </c>
      <c r="Z376" s="14" t="str">
        <f>IF(ISBLANK(LCI_Table[[#This Row],[Notes for user]])," ",LCI_Table[[#This Row],[Notes for user]])</f>
        <v xml:space="preserve"> </v>
      </c>
      <c r="AA376" s="14"/>
      <c r="AB376" s="14"/>
      <c r="AC376" s="346">
        <f ca="1">LCI_Table[[#This Row],[Default Calculated Value]]-LCI_Table[[#This Row],[Calculated Value]]</f>
        <v>0</v>
      </c>
    </row>
    <row r="377" spans="1:29" x14ac:dyDescent="0.3">
      <c r="A3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facilities_Cellulosic_ETJ_HydrogenHydrogen</v>
      </c>
      <c r="B377" s="14" t="s">
        <v>135</v>
      </c>
      <c r="C377" s="14" t="s">
        <v>1964</v>
      </c>
      <c r="D377" s="14" t="s">
        <v>29</v>
      </c>
      <c r="E377" s="48" t="s">
        <v>29</v>
      </c>
      <c r="F377" s="14" t="s">
        <v>911</v>
      </c>
      <c r="G377" s="14" t="b">
        <f>OR(LCI_Table[[#This Row],[Feedstock]]="All",LCI_Table[[#This Row],[Feedstock]]=SelectedFeedstock)</f>
        <v>0</v>
      </c>
      <c r="H377" s="14" t="b">
        <f>OR(LCI_Table[[#This Row],[Conversion]]="All",LCI_Table[[#This Row],[Conversion]]=SelectedConversion)</f>
        <v>0</v>
      </c>
      <c r="I377" s="14" t="b">
        <f>OR(LCI_Table[[#This Row],[Data Set]]="all",LCI_Table[[#This Row],[Data Set]]=SelectedDataSet)</f>
        <v>1</v>
      </c>
      <c r="J377" s="14" t="b">
        <f>OR(LCI_Table[[#This Row],[Technology]]="All",LCI_Table[[#This Row],[Technology]]=SelectedTechnology)</f>
        <v>0</v>
      </c>
      <c r="K377" s="14" t="b">
        <f>OR(LCI_Table[[#This Row],[Data Source]]="All",LCI_Table[[#This Row],[Data Source]]=SelectedDataSource)</f>
        <v>1</v>
      </c>
      <c r="L377" s="14" t="b">
        <f>TRUE</f>
        <v>1</v>
      </c>
      <c r="M377" s="14" t="b">
        <f>(LCI_Table[[#This Row],[Dev Notes]]="Do not display")</f>
        <v>0</v>
      </c>
      <c r="N377" s="14" t="b">
        <f>AND(LCI_Table[[#This Row],[Show Feedstock]:[Conditional]],NOT(LCI_Table[[#This Row],[Hide Row]]))</f>
        <v>0</v>
      </c>
      <c r="O377" s="14" t="b">
        <f>LCI_Table[[#This Row],[GREET1 Name Range]]=""</f>
        <v>0</v>
      </c>
      <c r="P377" s="14" t="s">
        <v>1448</v>
      </c>
      <c r="Q377" s="14" t="s">
        <v>565</v>
      </c>
      <c r="R377" s="14" t="s">
        <v>73</v>
      </c>
      <c r="S377" s="37" cm="1">
        <f t="array" aca="1" ref="S3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210.24598998652542</v>
      </c>
      <c r="T377" s="346" t="s">
        <v>2120</v>
      </c>
      <c r="U377" s="347">
        <f ca="1">S377/kg2g*Fuel_Specs!$E$81/Allocations!$O$40*MJ2mmBTU</f>
        <v>6.745808835334578E-4</v>
      </c>
      <c r="V377" s="347">
        <v>210.24598998652542</v>
      </c>
      <c r="W377" s="347">
        <v>6.745808835334578E-4</v>
      </c>
      <c r="X377" s="37" t="s">
        <v>351</v>
      </c>
      <c r="Y377" s="346" t="s">
        <v>416</v>
      </c>
      <c r="Z377" s="14" t="str">
        <f>IF(ISBLANK(LCI_Table[[#This Row],[Notes for user]])," ",LCI_Table[[#This Row],[Notes for user]])</f>
        <v xml:space="preserve"> </v>
      </c>
      <c r="AA377" s="14"/>
      <c r="AB377" s="14"/>
      <c r="AC377" s="346">
        <f ca="1">LCI_Table[[#This Row],[Default Calculated Value]]-LCI_Table[[#This Row],[Calculated Value]]</f>
        <v>0</v>
      </c>
    </row>
    <row r="378" spans="1:29" x14ac:dyDescent="0.3">
      <c r="A3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facilities_Cellulosic_ETJ_AmmoniaAmmonia</v>
      </c>
      <c r="B378" s="14" t="s">
        <v>135</v>
      </c>
      <c r="C378" s="14" t="s">
        <v>1964</v>
      </c>
      <c r="D378" s="14" t="s">
        <v>29</v>
      </c>
      <c r="E378" s="48" t="s">
        <v>29</v>
      </c>
      <c r="F378" s="14" t="s">
        <v>911</v>
      </c>
      <c r="G378" s="14" t="b">
        <f>OR(LCI_Table[[#This Row],[Feedstock]]="All",LCI_Table[[#This Row],[Feedstock]]=SelectedFeedstock)</f>
        <v>0</v>
      </c>
      <c r="H378" s="14" t="b">
        <f>OR(LCI_Table[[#This Row],[Conversion]]="All",LCI_Table[[#This Row],[Conversion]]=SelectedConversion)</f>
        <v>0</v>
      </c>
      <c r="I378" s="14" t="b">
        <f>OR(LCI_Table[[#This Row],[Data Set]]="all",LCI_Table[[#This Row],[Data Set]]=SelectedDataSet)</f>
        <v>1</v>
      </c>
      <c r="J378" s="14" t="b">
        <f>OR(LCI_Table[[#This Row],[Technology]]="All",LCI_Table[[#This Row],[Technology]]=SelectedTechnology)</f>
        <v>0</v>
      </c>
      <c r="K378" s="14" t="b">
        <f>OR(LCI_Table[[#This Row],[Data Source]]="All",LCI_Table[[#This Row],[Data Source]]=SelectedDataSource)</f>
        <v>1</v>
      </c>
      <c r="L378" s="14" t="b">
        <f>TRUE</f>
        <v>1</v>
      </c>
      <c r="M378" s="14" t="b">
        <f>(LCI_Table[[#This Row],[Dev Notes]]="Do not display")</f>
        <v>0</v>
      </c>
      <c r="N378" s="14" t="b">
        <f>AND(LCI_Table[[#This Row],[Show Feedstock]:[Conditional]],NOT(LCI_Table[[#This Row],[Hide Row]]))</f>
        <v>0</v>
      </c>
      <c r="O378" s="14" t="b">
        <f>LCI_Table[[#This Row],[GREET1 Name Range]]=""</f>
        <v>0</v>
      </c>
      <c r="P378" s="14" t="s">
        <v>1448</v>
      </c>
      <c r="Q378" s="14" t="s">
        <v>557</v>
      </c>
      <c r="R378" s="14" t="s">
        <v>382</v>
      </c>
      <c r="S378" s="37" cm="1">
        <f t="array" aca="1" ref="S3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617.69707425785418</v>
      </c>
      <c r="T378" s="346" t="s">
        <v>2127</v>
      </c>
      <c r="U378" s="347">
        <f ca="1">S378/kg2g/Allocations!$O$40*MJ2mmBTU</f>
        <v>7.7721589248412777E-4</v>
      </c>
      <c r="V378" s="347">
        <v>617.69707425785418</v>
      </c>
      <c r="W378" s="347">
        <v>7.7721589248412777E-4</v>
      </c>
      <c r="X378" s="37" t="s">
        <v>6</v>
      </c>
      <c r="Y378" s="346" t="s">
        <v>416</v>
      </c>
      <c r="Z378" s="14" t="str">
        <f>IF(ISBLANK(LCI_Table[[#This Row],[Notes for user]])," ",LCI_Table[[#This Row],[Notes for user]])</f>
        <v xml:space="preserve"> </v>
      </c>
      <c r="AA378" s="14"/>
      <c r="AB378" s="14"/>
      <c r="AC378" s="346">
        <f ca="1">LCI_Table[[#This Row],[Default Calculated Value]]-LCI_Table[[#This Row],[Calculated Value]]</f>
        <v>0</v>
      </c>
    </row>
    <row r="379" spans="1:29" x14ac:dyDescent="0.3">
      <c r="A3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facilities_Cellulosic_ETJ_CatalystsCatalysts</v>
      </c>
      <c r="B379" s="14" t="s">
        <v>135</v>
      </c>
      <c r="C379" s="14" t="s">
        <v>1964</v>
      </c>
      <c r="D379" s="14" t="s">
        <v>29</v>
      </c>
      <c r="E379" s="48" t="s">
        <v>29</v>
      </c>
      <c r="F379" s="14" t="s">
        <v>911</v>
      </c>
      <c r="G379" s="14" t="b">
        <f>OR(LCI_Table[[#This Row],[Feedstock]]="All",LCI_Table[[#This Row],[Feedstock]]=SelectedFeedstock)</f>
        <v>0</v>
      </c>
      <c r="H379" s="14" t="b">
        <f>OR(LCI_Table[[#This Row],[Conversion]]="All",LCI_Table[[#This Row],[Conversion]]=SelectedConversion)</f>
        <v>0</v>
      </c>
      <c r="I379" s="14" t="b">
        <f>OR(LCI_Table[[#This Row],[Data Set]]="all",LCI_Table[[#This Row],[Data Set]]=SelectedDataSet)</f>
        <v>1</v>
      </c>
      <c r="J379" s="14" t="b">
        <f>OR(LCI_Table[[#This Row],[Technology]]="All",LCI_Table[[#This Row],[Technology]]=SelectedTechnology)</f>
        <v>0</v>
      </c>
      <c r="K379" s="14" t="b">
        <f>OR(LCI_Table[[#This Row],[Data Source]]="All",LCI_Table[[#This Row],[Data Source]]=SelectedDataSource)</f>
        <v>1</v>
      </c>
      <c r="L379" s="14" t="b">
        <f>TRUE</f>
        <v>1</v>
      </c>
      <c r="M379" s="14" t="b">
        <f>(LCI_Table[[#This Row],[Dev Notes]]="Do not display")</f>
        <v>0</v>
      </c>
      <c r="N379" s="14" t="b">
        <f>AND(LCI_Table[[#This Row],[Show Feedstock]:[Conditional]],NOT(LCI_Table[[#This Row],[Hide Row]]))</f>
        <v>0</v>
      </c>
      <c r="O379" s="14" t="b">
        <f>LCI_Table[[#This Row],[GREET1 Name Range]]=""</f>
        <v>0</v>
      </c>
      <c r="P379" s="14" t="s">
        <v>1448</v>
      </c>
      <c r="Q379" s="14" t="s">
        <v>558</v>
      </c>
      <c r="R379" s="14" t="s">
        <v>142</v>
      </c>
      <c r="S379" s="37" cm="1">
        <f t="array" aca="1" ref="S3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84.971115198327823</v>
      </c>
      <c r="T379" s="346" t="s">
        <v>2127</v>
      </c>
      <c r="U379" s="347">
        <f ca="1">S379/kg2g/Allocations!$O$40*MJ2mmBTU</f>
        <v>1.0691470606945369E-4</v>
      </c>
      <c r="V379" s="347">
        <v>84.971115198327823</v>
      </c>
      <c r="W379" s="347">
        <v>1.0691470606945369E-4</v>
      </c>
      <c r="X379" s="37" t="s">
        <v>6</v>
      </c>
      <c r="Y379" s="346" t="s">
        <v>416</v>
      </c>
      <c r="Z379" s="14" t="str">
        <f>IF(ISBLANK(LCI_Table[[#This Row],[Notes for user]])," ",LCI_Table[[#This Row],[Notes for user]])</f>
        <v xml:space="preserve"> </v>
      </c>
      <c r="AA379" s="14"/>
      <c r="AB379" s="14"/>
      <c r="AC379" s="346">
        <f ca="1">LCI_Table[[#This Row],[Default Calculated Value]]-LCI_Table[[#This Row],[Calculated Value]]</f>
        <v>0</v>
      </c>
    </row>
    <row r="380" spans="1:29" x14ac:dyDescent="0.3">
      <c r="A3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facilities_Cellulosic_ETJ_Corn_steep_liquorCorn steep liquor</v>
      </c>
      <c r="B380" s="14" t="s">
        <v>135</v>
      </c>
      <c r="C380" s="14" t="s">
        <v>1964</v>
      </c>
      <c r="D380" s="14" t="s">
        <v>29</v>
      </c>
      <c r="E380" s="48" t="s">
        <v>29</v>
      </c>
      <c r="F380" s="14" t="s">
        <v>911</v>
      </c>
      <c r="G380" s="14" t="b">
        <f>OR(LCI_Table[[#This Row],[Feedstock]]="All",LCI_Table[[#This Row],[Feedstock]]=SelectedFeedstock)</f>
        <v>0</v>
      </c>
      <c r="H380" s="14" t="b">
        <f>OR(LCI_Table[[#This Row],[Conversion]]="All",LCI_Table[[#This Row],[Conversion]]=SelectedConversion)</f>
        <v>0</v>
      </c>
      <c r="I380" s="14" t="b">
        <f>OR(LCI_Table[[#This Row],[Data Set]]="all",LCI_Table[[#This Row],[Data Set]]=SelectedDataSet)</f>
        <v>1</v>
      </c>
      <c r="J380" s="14" t="b">
        <f>OR(LCI_Table[[#This Row],[Technology]]="All",LCI_Table[[#This Row],[Technology]]=SelectedTechnology)</f>
        <v>0</v>
      </c>
      <c r="K380" s="14" t="b">
        <f>OR(LCI_Table[[#This Row],[Data Source]]="All",LCI_Table[[#This Row],[Data Source]]=SelectedDataSource)</f>
        <v>1</v>
      </c>
      <c r="L380" s="14" t="b">
        <f>TRUE</f>
        <v>1</v>
      </c>
      <c r="M380" s="14" t="b">
        <f>(LCI_Table[[#This Row],[Dev Notes]]="Do not display")</f>
        <v>0</v>
      </c>
      <c r="N380" s="14" t="b">
        <f>AND(LCI_Table[[#This Row],[Show Feedstock]:[Conditional]],NOT(LCI_Table[[#This Row],[Hide Row]]))</f>
        <v>0</v>
      </c>
      <c r="O380" s="14" t="b">
        <f>LCI_Table[[#This Row],[GREET1 Name Range]]=""</f>
        <v>0</v>
      </c>
      <c r="P380" s="14" t="s">
        <v>1448</v>
      </c>
      <c r="Q380" s="14" t="s">
        <v>559</v>
      </c>
      <c r="R380" s="14" t="s">
        <v>386</v>
      </c>
      <c r="S380" s="37" cm="1">
        <f t="array" aca="1" ref="S3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2678.6132505377623</v>
      </c>
      <c r="T380" s="346" t="s">
        <v>2127</v>
      </c>
      <c r="U380" s="347">
        <f ca="1">S380/kg2g/Allocations!$O$40*MJ2mmBTU</f>
        <v>3.3703588294275401E-3</v>
      </c>
      <c r="V380" s="347">
        <v>2678.6132505377623</v>
      </c>
      <c r="W380" s="347">
        <v>3.3703588294275401E-3</v>
      </c>
      <c r="X380" s="37" t="s">
        <v>6</v>
      </c>
      <c r="Y380" s="346" t="s">
        <v>416</v>
      </c>
      <c r="Z380" s="14" t="str">
        <f>IF(ISBLANK(LCI_Table[[#This Row],[Notes for user]])," ",LCI_Table[[#This Row],[Notes for user]])</f>
        <v xml:space="preserve"> </v>
      </c>
      <c r="AA380" s="14"/>
      <c r="AB380" s="14"/>
      <c r="AC380" s="346">
        <f ca="1">LCI_Table[[#This Row],[Default Calculated Value]]-LCI_Table[[#This Row],[Calculated Value]]</f>
        <v>0</v>
      </c>
    </row>
    <row r="381" spans="1:29" x14ac:dyDescent="0.3">
      <c r="A3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facilities_Cellulosic_ETJ_DAPDAP</v>
      </c>
      <c r="B381" s="14" t="s">
        <v>135</v>
      </c>
      <c r="C381" s="14" t="s">
        <v>1964</v>
      </c>
      <c r="D381" s="14" t="s">
        <v>29</v>
      </c>
      <c r="E381" s="48" t="s">
        <v>29</v>
      </c>
      <c r="F381" s="14" t="s">
        <v>911</v>
      </c>
      <c r="G381" s="14" t="b">
        <f>OR(LCI_Table[[#This Row],[Feedstock]]="All",LCI_Table[[#This Row],[Feedstock]]=SelectedFeedstock)</f>
        <v>0</v>
      </c>
      <c r="H381" s="14" t="b">
        <f>OR(LCI_Table[[#This Row],[Conversion]]="All",LCI_Table[[#This Row],[Conversion]]=SelectedConversion)</f>
        <v>0</v>
      </c>
      <c r="I381" s="14" t="b">
        <f>OR(LCI_Table[[#This Row],[Data Set]]="all",LCI_Table[[#This Row],[Data Set]]=SelectedDataSet)</f>
        <v>1</v>
      </c>
      <c r="J381" s="14" t="b">
        <f>OR(LCI_Table[[#This Row],[Technology]]="All",LCI_Table[[#This Row],[Technology]]=SelectedTechnology)</f>
        <v>0</v>
      </c>
      <c r="K381" s="14" t="b">
        <f>OR(LCI_Table[[#This Row],[Data Source]]="All",LCI_Table[[#This Row],[Data Source]]=SelectedDataSource)</f>
        <v>1</v>
      </c>
      <c r="L381" s="14" t="b">
        <f>TRUE</f>
        <v>1</v>
      </c>
      <c r="M381" s="14" t="b">
        <f>(LCI_Table[[#This Row],[Dev Notes]]="Do not display")</f>
        <v>0</v>
      </c>
      <c r="N381" s="14" t="b">
        <f>AND(LCI_Table[[#This Row],[Show Feedstock]:[Conditional]],NOT(LCI_Table[[#This Row],[Hide Row]]))</f>
        <v>0</v>
      </c>
      <c r="O381" s="14" t="b">
        <f>LCI_Table[[#This Row],[GREET1 Name Range]]=""</f>
        <v>0</v>
      </c>
      <c r="P381" s="14" t="s">
        <v>1448</v>
      </c>
      <c r="Q381" s="14" t="s">
        <v>560</v>
      </c>
      <c r="R381" s="14" t="s">
        <v>383</v>
      </c>
      <c r="S381" s="37" cm="1">
        <f t="array" aca="1" ref="S3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287.28329424196545</v>
      </c>
      <c r="T381" s="346" t="s">
        <v>2127</v>
      </c>
      <c r="U381" s="347">
        <f ca="1">S381/kg2g/Allocations!$O$40*MJ2mmBTU</f>
        <v>3.6147353004434345E-4</v>
      </c>
      <c r="V381" s="347">
        <v>287.28329424196545</v>
      </c>
      <c r="W381" s="347">
        <v>3.6147353004434345E-4</v>
      </c>
      <c r="X381" s="37" t="s">
        <v>6</v>
      </c>
      <c r="Y381" s="346" t="s">
        <v>416</v>
      </c>
      <c r="Z381" s="14" t="str">
        <f>IF(ISBLANK(LCI_Table[[#This Row],[Notes for user]])," ",LCI_Table[[#This Row],[Notes for user]])</f>
        <v xml:space="preserve"> </v>
      </c>
      <c r="AA381" s="14"/>
      <c r="AB381" s="14"/>
      <c r="AC381" s="346">
        <f ca="1">LCI_Table[[#This Row],[Default Calculated Value]]-LCI_Table[[#This Row],[Calculated Value]]</f>
        <v>0</v>
      </c>
    </row>
    <row r="382" spans="1:29" x14ac:dyDescent="0.3">
      <c r="A3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facilities_Cellulosic_ETJ_GlucoseGlucose</v>
      </c>
      <c r="B382" s="14" t="s">
        <v>135</v>
      </c>
      <c r="C382" s="14" t="s">
        <v>1964</v>
      </c>
      <c r="D382" s="14" t="s">
        <v>29</v>
      </c>
      <c r="E382" s="48" t="s">
        <v>29</v>
      </c>
      <c r="F382" s="14" t="s">
        <v>911</v>
      </c>
      <c r="G382" s="14" t="b">
        <f>OR(LCI_Table[[#This Row],[Feedstock]]="All",LCI_Table[[#This Row],[Feedstock]]=SelectedFeedstock)</f>
        <v>0</v>
      </c>
      <c r="H382" s="14" t="b">
        <f>OR(LCI_Table[[#This Row],[Conversion]]="All",LCI_Table[[#This Row],[Conversion]]=SelectedConversion)</f>
        <v>0</v>
      </c>
      <c r="I382" s="14" t="b">
        <f>OR(LCI_Table[[#This Row],[Data Set]]="all",LCI_Table[[#This Row],[Data Set]]=SelectedDataSet)</f>
        <v>1</v>
      </c>
      <c r="J382" s="14" t="b">
        <f>OR(LCI_Table[[#This Row],[Technology]]="All",LCI_Table[[#This Row],[Technology]]=SelectedTechnology)</f>
        <v>0</v>
      </c>
      <c r="K382" s="14" t="b">
        <f>OR(LCI_Table[[#This Row],[Data Source]]="All",LCI_Table[[#This Row],[Data Source]]=SelectedDataSource)</f>
        <v>1</v>
      </c>
      <c r="L382" s="14" t="b">
        <f>TRUE</f>
        <v>1</v>
      </c>
      <c r="M382" s="14" t="b">
        <f>(LCI_Table[[#This Row],[Dev Notes]]="Do not display")</f>
        <v>0</v>
      </c>
      <c r="N382" s="14" t="b">
        <f>AND(LCI_Table[[#This Row],[Show Feedstock]:[Conditional]],NOT(LCI_Table[[#This Row],[Hide Row]]))</f>
        <v>0</v>
      </c>
      <c r="O382" s="14" t="b">
        <f>LCI_Table[[#This Row],[GREET1 Name Range]]=""</f>
        <v>0</v>
      </c>
      <c r="P382" s="14" t="s">
        <v>1448</v>
      </c>
      <c r="Q382" s="14" t="s">
        <v>563</v>
      </c>
      <c r="R382" s="14" t="s">
        <v>387</v>
      </c>
      <c r="S382" s="37" cm="1">
        <f t="array" aca="1" ref="S3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4891.908489275158</v>
      </c>
      <c r="T382" s="346" t="s">
        <v>2127</v>
      </c>
      <c r="U382" s="347">
        <f ca="1">S382/kg2g/Allocations!$O$40*MJ2mmBTU</f>
        <v>6.1552323637128334E-3</v>
      </c>
      <c r="V382" s="347">
        <v>4891.908489275158</v>
      </c>
      <c r="W382" s="347">
        <v>6.1552323637128334E-3</v>
      </c>
      <c r="X382" s="37" t="s">
        <v>6</v>
      </c>
      <c r="Y382" s="346" t="s">
        <v>416</v>
      </c>
      <c r="Z382" s="14" t="str">
        <f>IF(ISBLANK(LCI_Table[[#This Row],[Notes for user]])," ",LCI_Table[[#This Row],[Notes for user]])</f>
        <v xml:space="preserve"> </v>
      </c>
      <c r="AA382" s="14"/>
      <c r="AB382" s="14"/>
      <c r="AC382" s="346">
        <f ca="1">LCI_Table[[#This Row],[Default Calculated Value]]-LCI_Table[[#This Row],[Calculated Value]]</f>
        <v>0</v>
      </c>
    </row>
    <row r="383" spans="1:29" x14ac:dyDescent="0.3">
      <c r="A3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facilities_Cellulosic_ETJ_Host_nutrientsHost nutrients</v>
      </c>
      <c r="B383" s="14" t="s">
        <v>135</v>
      </c>
      <c r="C383" s="14" t="s">
        <v>1964</v>
      </c>
      <c r="D383" s="14" t="s">
        <v>29</v>
      </c>
      <c r="E383" s="48" t="s">
        <v>29</v>
      </c>
      <c r="F383" s="14" t="s">
        <v>911</v>
      </c>
      <c r="G383" s="14" t="b">
        <f>OR(LCI_Table[[#This Row],[Feedstock]]="All",LCI_Table[[#This Row],[Feedstock]]=SelectedFeedstock)</f>
        <v>0</v>
      </c>
      <c r="H383" s="14" t="b">
        <f>OR(LCI_Table[[#This Row],[Conversion]]="All",LCI_Table[[#This Row],[Conversion]]=SelectedConversion)</f>
        <v>0</v>
      </c>
      <c r="I383" s="14" t="b">
        <f>OR(LCI_Table[[#This Row],[Data Set]]="all",LCI_Table[[#This Row],[Data Set]]=SelectedDataSet)</f>
        <v>1</v>
      </c>
      <c r="J383" s="14" t="b">
        <f>OR(LCI_Table[[#This Row],[Technology]]="All",LCI_Table[[#This Row],[Technology]]=SelectedTechnology)</f>
        <v>0</v>
      </c>
      <c r="K383" s="14" t="b">
        <f>OR(LCI_Table[[#This Row],[Data Source]]="All",LCI_Table[[#This Row],[Data Source]]=SelectedDataSource)</f>
        <v>1</v>
      </c>
      <c r="L383" s="14" t="b">
        <f>TRUE</f>
        <v>1</v>
      </c>
      <c r="M383" s="14" t="b">
        <f>(LCI_Table[[#This Row],[Dev Notes]]="Do not display")</f>
        <v>0</v>
      </c>
      <c r="N383" s="14" t="b">
        <f>AND(LCI_Table[[#This Row],[Show Feedstock]:[Conditional]],NOT(LCI_Table[[#This Row],[Hide Row]]))</f>
        <v>0</v>
      </c>
      <c r="O383" s="14" t="b">
        <f>LCI_Table[[#This Row],[GREET1 Name Range]]=""</f>
        <v>0</v>
      </c>
      <c r="P383" s="14" t="s">
        <v>1448</v>
      </c>
      <c r="Q383" s="14" t="s">
        <v>564</v>
      </c>
      <c r="R383" s="14" t="s">
        <v>388</v>
      </c>
      <c r="S383" s="37" cm="1">
        <f t="array" aca="1" ref="S3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135.54915995923719</v>
      </c>
      <c r="T383" s="346" t="s">
        <v>2127</v>
      </c>
      <c r="U383" s="347">
        <f ca="1">S383/kg2g/Allocations!$O$40*MJ2mmBTU</f>
        <v>1.7055441206317607E-4</v>
      </c>
      <c r="V383" s="347">
        <v>135.54915995923719</v>
      </c>
      <c r="W383" s="347">
        <v>1.7055441206317607E-4</v>
      </c>
      <c r="X383" s="37" t="s">
        <v>6</v>
      </c>
      <c r="Y383" s="346" t="s">
        <v>416</v>
      </c>
      <c r="Z383" s="14" t="str">
        <f>IF(ISBLANK(LCI_Table[[#This Row],[Notes for user]])," ",LCI_Table[[#This Row],[Notes for user]])</f>
        <v xml:space="preserve"> </v>
      </c>
      <c r="AA383" s="14"/>
      <c r="AB383" s="14"/>
      <c r="AC383" s="346">
        <f ca="1">LCI_Table[[#This Row],[Default Calculated Value]]-LCI_Table[[#This Row],[Calculated Value]]</f>
        <v>0</v>
      </c>
    </row>
    <row r="384" spans="1:29" x14ac:dyDescent="0.3">
      <c r="A3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facilities_Cellulosic_ETJ_LimeLime</v>
      </c>
      <c r="B384" s="14" t="s">
        <v>135</v>
      </c>
      <c r="C384" s="14" t="s">
        <v>1964</v>
      </c>
      <c r="D384" s="14" t="s">
        <v>29</v>
      </c>
      <c r="E384" s="48" t="s">
        <v>29</v>
      </c>
      <c r="F384" s="14" t="s">
        <v>911</v>
      </c>
      <c r="G384" s="14" t="b">
        <f>OR(LCI_Table[[#This Row],[Feedstock]]="All",LCI_Table[[#This Row],[Feedstock]]=SelectedFeedstock)</f>
        <v>0</v>
      </c>
      <c r="H384" s="14" t="b">
        <f>OR(LCI_Table[[#This Row],[Conversion]]="All",LCI_Table[[#This Row],[Conversion]]=SelectedConversion)</f>
        <v>0</v>
      </c>
      <c r="I384" s="14" t="b">
        <f>OR(LCI_Table[[#This Row],[Data Set]]="all",LCI_Table[[#This Row],[Data Set]]=SelectedDataSet)</f>
        <v>1</v>
      </c>
      <c r="J384" s="14" t="b">
        <f>OR(LCI_Table[[#This Row],[Technology]]="All",LCI_Table[[#This Row],[Technology]]=SelectedTechnology)</f>
        <v>0</v>
      </c>
      <c r="K384" s="14" t="b">
        <f>OR(LCI_Table[[#This Row],[Data Source]]="All",LCI_Table[[#This Row],[Data Source]]=SelectedDataSource)</f>
        <v>1</v>
      </c>
      <c r="L384" s="14" t="b">
        <f>TRUE</f>
        <v>1</v>
      </c>
      <c r="M384" s="14" t="b">
        <f>(LCI_Table[[#This Row],[Dev Notes]]="Do not display")</f>
        <v>0</v>
      </c>
      <c r="N384" s="14" t="b">
        <f>AND(LCI_Table[[#This Row],[Show Feedstock]:[Conditional]],NOT(LCI_Table[[#This Row],[Hide Row]]))</f>
        <v>0</v>
      </c>
      <c r="O384" s="14" t="b">
        <f>LCI_Table[[#This Row],[GREET1 Name Range]]=""</f>
        <v>0</v>
      </c>
      <c r="P384" s="14" t="s">
        <v>1448</v>
      </c>
      <c r="Q384" s="14" t="s">
        <v>566</v>
      </c>
      <c r="R384" s="14" t="s">
        <v>143</v>
      </c>
      <c r="S384" s="37" cm="1">
        <f t="array" aca="1" ref="S3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1790.4627845361929</v>
      </c>
      <c r="T384" s="346" t="s">
        <v>2127</v>
      </c>
      <c r="U384" s="347">
        <f ca="1">S384/kg2g/Allocations!$O$40*MJ2mmBTU</f>
        <v>2.2528455921777737E-3</v>
      </c>
      <c r="V384" s="347">
        <v>1790.4627845361929</v>
      </c>
      <c r="W384" s="347">
        <v>2.2528455921777737E-3</v>
      </c>
      <c r="X384" s="14" t="s">
        <v>6</v>
      </c>
      <c r="Y384" s="346" t="s">
        <v>416</v>
      </c>
      <c r="Z384" s="14" t="str">
        <f>IF(ISBLANK(LCI_Table[[#This Row],[Notes for user]])," ",LCI_Table[[#This Row],[Notes for user]])</f>
        <v xml:space="preserve"> </v>
      </c>
      <c r="AA384" s="14"/>
      <c r="AB384" s="14"/>
      <c r="AC384" s="346">
        <f ca="1">LCI_Table[[#This Row],[Default Calculated Value]]-LCI_Table[[#This Row],[Calculated Value]]</f>
        <v>0</v>
      </c>
    </row>
    <row r="385" spans="1:29" x14ac:dyDescent="0.3">
      <c r="A3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facilities_Cellulosic_ETJ_Sulfuric_acidSulfuric acid</v>
      </c>
      <c r="B385" s="14" t="s">
        <v>135</v>
      </c>
      <c r="C385" s="14" t="s">
        <v>1964</v>
      </c>
      <c r="D385" s="14" t="s">
        <v>29</v>
      </c>
      <c r="E385" s="48" t="s">
        <v>29</v>
      </c>
      <c r="F385" s="14" t="s">
        <v>911</v>
      </c>
      <c r="G385" s="14" t="b">
        <f>OR(LCI_Table[[#This Row],[Feedstock]]="All",LCI_Table[[#This Row],[Feedstock]]=SelectedFeedstock)</f>
        <v>0</v>
      </c>
      <c r="H385" s="14" t="b">
        <f>OR(LCI_Table[[#This Row],[Conversion]]="All",LCI_Table[[#This Row],[Conversion]]=SelectedConversion)</f>
        <v>0</v>
      </c>
      <c r="I385" s="14" t="b">
        <f>OR(LCI_Table[[#This Row],[Data Set]]="all",LCI_Table[[#This Row],[Data Set]]=SelectedDataSet)</f>
        <v>1</v>
      </c>
      <c r="J385" s="14" t="b">
        <f>OR(LCI_Table[[#This Row],[Technology]]="All",LCI_Table[[#This Row],[Technology]]=SelectedTechnology)</f>
        <v>0</v>
      </c>
      <c r="K385" s="14" t="b">
        <f>OR(LCI_Table[[#This Row],[Data Source]]="All",LCI_Table[[#This Row],[Data Source]]=SelectedDataSource)</f>
        <v>1</v>
      </c>
      <c r="L385" s="14" t="b">
        <f>TRUE</f>
        <v>1</v>
      </c>
      <c r="M385" s="14" t="b">
        <f>(LCI_Table[[#This Row],[Dev Notes]]="Do not display")</f>
        <v>0</v>
      </c>
      <c r="N385" s="14" t="b">
        <f>AND(LCI_Table[[#This Row],[Show Feedstock]:[Conditional]],NOT(LCI_Table[[#This Row],[Hide Row]]))</f>
        <v>0</v>
      </c>
      <c r="O385" s="14" t="b">
        <f>LCI_Table[[#This Row],[GREET1 Name Range]]=""</f>
        <v>0</v>
      </c>
      <c r="P385" s="14" t="s">
        <v>1448</v>
      </c>
      <c r="Q385" s="14" t="s">
        <v>567</v>
      </c>
      <c r="R385" s="14" t="s">
        <v>384</v>
      </c>
      <c r="S385" s="37" cm="1">
        <f t="array" aca="1" ref="S3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4007.8042668544622</v>
      </c>
      <c r="T385" s="346" t="s">
        <v>2127</v>
      </c>
      <c r="U385" s="347">
        <f ca="1">S385/kg2g/Allocations!$O$40*MJ2mmBTU</f>
        <v>5.042810302942566E-3</v>
      </c>
      <c r="V385" s="347">
        <v>4007.8042668544622</v>
      </c>
      <c r="W385" s="347">
        <v>5.042810302942566E-3</v>
      </c>
      <c r="X385" s="37" t="s">
        <v>6</v>
      </c>
      <c r="Y385" s="346" t="s">
        <v>416</v>
      </c>
      <c r="Z385" s="14" t="str">
        <f>IF(ISBLANK(LCI_Table[[#This Row],[Notes for user]])," ",LCI_Table[[#This Row],[Notes for user]])</f>
        <v xml:space="preserve"> </v>
      </c>
      <c r="AA385" s="14"/>
      <c r="AB385" s="14"/>
      <c r="AC385" s="346">
        <f ca="1">LCI_Table[[#This Row],[Default Calculated Value]]-LCI_Table[[#This Row],[Calculated Value]]</f>
        <v>0</v>
      </c>
    </row>
    <row r="386" spans="1:29" x14ac:dyDescent="0.3">
      <c r="A3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facilities_Cellulosic_ETJ_UreaUrea</v>
      </c>
      <c r="B386" s="14" t="s">
        <v>135</v>
      </c>
      <c r="C386" s="14" t="s">
        <v>1964</v>
      </c>
      <c r="D386" s="14" t="s">
        <v>29</v>
      </c>
      <c r="E386" s="48" t="s">
        <v>29</v>
      </c>
      <c r="F386" s="14" t="s">
        <v>911</v>
      </c>
      <c r="G386" s="14" t="b">
        <f>OR(LCI_Table[[#This Row],[Feedstock]]="All",LCI_Table[[#This Row],[Feedstock]]=SelectedFeedstock)</f>
        <v>0</v>
      </c>
      <c r="H386" s="14" t="b">
        <f>OR(LCI_Table[[#This Row],[Conversion]]="All",LCI_Table[[#This Row],[Conversion]]=SelectedConversion)</f>
        <v>0</v>
      </c>
      <c r="I386" s="14" t="b">
        <f>OR(LCI_Table[[#This Row],[Data Set]]="all",LCI_Table[[#This Row],[Data Set]]=SelectedDataSet)</f>
        <v>1</v>
      </c>
      <c r="J386" s="14" t="b">
        <f>OR(LCI_Table[[#This Row],[Technology]]="All",LCI_Table[[#This Row],[Technology]]=SelectedTechnology)</f>
        <v>0</v>
      </c>
      <c r="K386" s="14" t="b">
        <f>OR(LCI_Table[[#This Row],[Data Source]]="All",LCI_Table[[#This Row],[Data Source]]=SelectedDataSource)</f>
        <v>1</v>
      </c>
      <c r="L386" s="14" t="b">
        <f>TRUE</f>
        <v>1</v>
      </c>
      <c r="M386" s="14" t="b">
        <f>(LCI_Table[[#This Row],[Dev Notes]]="Do not display")</f>
        <v>0</v>
      </c>
      <c r="N386" s="14" t="b">
        <f>AND(LCI_Table[[#This Row],[Show Feedstock]:[Conditional]],NOT(LCI_Table[[#This Row],[Hide Row]]))</f>
        <v>0</v>
      </c>
      <c r="O386" s="14" t="b">
        <f>LCI_Table[[#This Row],[GREET1 Name Range]]=""</f>
        <v>0</v>
      </c>
      <c r="P386" s="14" t="s">
        <v>1448</v>
      </c>
      <c r="Q386" s="14" t="s">
        <v>568</v>
      </c>
      <c r="R386" s="14" t="s">
        <v>144</v>
      </c>
      <c r="S386" s="37" cm="1">
        <f t="array" aca="1" ref="S3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232.6590059001833</v>
      </c>
      <c r="T386" s="346" t="s">
        <v>2127</v>
      </c>
      <c r="U386" s="347">
        <f ca="1">S386/kg2g/Allocations!$O$40*MJ2mmBTU</f>
        <v>2.9274264757112316E-4</v>
      </c>
      <c r="V386" s="347">
        <v>232.6590059001833</v>
      </c>
      <c r="W386" s="347">
        <v>2.9274264757112316E-4</v>
      </c>
      <c r="X386" s="37" t="s">
        <v>6</v>
      </c>
      <c r="Y386" s="346" t="s">
        <v>416</v>
      </c>
      <c r="Z386" s="14" t="str">
        <f>IF(ISBLANK(LCI_Table[[#This Row],[Notes for user]])," ",LCI_Table[[#This Row],[Notes for user]])</f>
        <v xml:space="preserve"> </v>
      </c>
      <c r="AA386" s="14"/>
      <c r="AB386" s="14"/>
      <c r="AC386" s="346">
        <f ca="1">LCI_Table[[#This Row],[Default Calculated Value]]-LCI_Table[[#This Row],[Calculated Value]]</f>
        <v>0</v>
      </c>
    </row>
    <row r="387" spans="1:29" x14ac:dyDescent="0.3">
      <c r="A3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facilities_Cellulosic_ETJ_NaOHNaOH</v>
      </c>
      <c r="B387" s="14" t="s">
        <v>135</v>
      </c>
      <c r="C387" s="14" t="s">
        <v>1964</v>
      </c>
      <c r="D387" s="14" t="s">
        <v>29</v>
      </c>
      <c r="E387" s="48" t="s">
        <v>29</v>
      </c>
      <c r="F387" s="14" t="s">
        <v>911</v>
      </c>
      <c r="G387" s="14" t="b">
        <f>OR(LCI_Table[[#This Row],[Feedstock]]="All",LCI_Table[[#This Row],[Feedstock]]=SelectedFeedstock)</f>
        <v>0</v>
      </c>
      <c r="H387" s="14" t="b">
        <f>OR(LCI_Table[[#This Row],[Conversion]]="All",LCI_Table[[#This Row],[Conversion]]=SelectedConversion)</f>
        <v>0</v>
      </c>
      <c r="I387" s="14" t="b">
        <f>OR(LCI_Table[[#This Row],[Data Set]]="all",LCI_Table[[#This Row],[Data Set]]=SelectedDataSet)</f>
        <v>1</v>
      </c>
      <c r="J387" s="14" t="b">
        <f>OR(LCI_Table[[#This Row],[Technology]]="All",LCI_Table[[#This Row],[Technology]]=SelectedTechnology)</f>
        <v>0</v>
      </c>
      <c r="K387" s="14" t="b">
        <f>OR(LCI_Table[[#This Row],[Data Source]]="All",LCI_Table[[#This Row],[Data Source]]=SelectedDataSource)</f>
        <v>1</v>
      </c>
      <c r="L387" s="14" t="b">
        <f>TRUE</f>
        <v>1</v>
      </c>
      <c r="M387" s="14" t="b">
        <f>(LCI_Table[[#This Row],[Dev Notes]]="Do not display")</f>
        <v>0</v>
      </c>
      <c r="N387" s="14" t="b">
        <f>AND(LCI_Table[[#This Row],[Show Feedstock]:[Conditional]],NOT(LCI_Table[[#This Row],[Hide Row]]))</f>
        <v>0</v>
      </c>
      <c r="O387" s="14" t="b">
        <f>LCI_Table[[#This Row],[GREET1 Name Range]]=""</f>
        <v>0</v>
      </c>
      <c r="P387" s="14" t="s">
        <v>1448</v>
      </c>
      <c r="Q387" s="14" t="s">
        <v>1401</v>
      </c>
      <c r="R387" s="14" t="s">
        <v>403</v>
      </c>
      <c r="S387" s="37" cm="1">
        <f t="array" aca="1" ref="S3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87" s="346" t="s">
        <v>2127</v>
      </c>
      <c r="U387" s="347">
        <f ca="1">S387/kg2g/Allocations!$O$40*MJ2mmBTU</f>
        <v>0</v>
      </c>
      <c r="V387" s="347">
        <v>0</v>
      </c>
      <c r="W387" s="347">
        <v>0</v>
      </c>
      <c r="X387" s="37" t="s">
        <v>6</v>
      </c>
      <c r="Y387" s="346" t="s">
        <v>416</v>
      </c>
      <c r="Z387" s="14" t="str">
        <f>IF(ISBLANK(LCI_Table[[#This Row],[Notes for user]])," ",LCI_Table[[#This Row],[Notes for user]])</f>
        <v xml:space="preserve"> </v>
      </c>
      <c r="AA387" s="14"/>
      <c r="AB387" s="14"/>
      <c r="AC387" s="346">
        <f ca="1">LCI_Table[[#This Row],[Default Calculated Value]]-LCI_Table[[#This Row],[Calculated Value]]</f>
        <v>0</v>
      </c>
    </row>
    <row r="388" spans="1:29" x14ac:dyDescent="0.3">
      <c r="A3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facilities_Cellulosic_ETJ_WaterWater</v>
      </c>
      <c r="B388" s="14" t="s">
        <v>135</v>
      </c>
      <c r="C388" s="14" t="s">
        <v>1964</v>
      </c>
      <c r="D388" s="14" t="s">
        <v>29</v>
      </c>
      <c r="E388" s="48" t="s">
        <v>29</v>
      </c>
      <c r="F388" s="14" t="s">
        <v>911</v>
      </c>
      <c r="G388" s="14" t="b">
        <f>OR(LCI_Table[[#This Row],[Feedstock]]="All",LCI_Table[[#This Row],[Feedstock]]=SelectedFeedstock)</f>
        <v>0</v>
      </c>
      <c r="H388" s="14" t="b">
        <f>OR(LCI_Table[[#This Row],[Conversion]]="All",LCI_Table[[#This Row],[Conversion]]=SelectedConversion)</f>
        <v>0</v>
      </c>
      <c r="I388" s="14" t="b">
        <f>OR(LCI_Table[[#This Row],[Data Set]]="all",LCI_Table[[#This Row],[Data Set]]=SelectedDataSet)</f>
        <v>1</v>
      </c>
      <c r="J388" s="14" t="b">
        <f>OR(LCI_Table[[#This Row],[Technology]]="All",LCI_Table[[#This Row],[Technology]]=SelectedTechnology)</f>
        <v>0</v>
      </c>
      <c r="K388" s="14" t="b">
        <f>OR(LCI_Table[[#This Row],[Data Source]]="All",LCI_Table[[#This Row],[Data Source]]=SelectedDataSource)</f>
        <v>1</v>
      </c>
      <c r="L388" s="14" t="b">
        <f>TRUE</f>
        <v>1</v>
      </c>
      <c r="M388" s="14" t="b">
        <f>(LCI_Table[[#This Row],[Dev Notes]]="Do not display")</f>
        <v>0</v>
      </c>
      <c r="N388" s="14" t="b">
        <f>AND(LCI_Table[[#This Row],[Show Feedstock]:[Conditional]],NOT(LCI_Table[[#This Row],[Hide Row]]))</f>
        <v>0</v>
      </c>
      <c r="O388" s="14" t="b">
        <f>LCI_Table[[#This Row],[GREET1 Name Range]]=""</f>
        <v>0</v>
      </c>
      <c r="P388" s="14" t="s">
        <v>1448</v>
      </c>
      <c r="Q388" s="14" t="s">
        <v>569</v>
      </c>
      <c r="R388" s="14" t="s">
        <v>146</v>
      </c>
      <c r="S388" s="37" cm="1">
        <f t="array" aca="1" ref="S3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79.956230854903993</v>
      </c>
      <c r="T388" s="346" t="s">
        <v>2128</v>
      </c>
      <c r="U388" s="347">
        <f ca="1">S388/kg2lb*Fuel_Specs!$K$4/Allocations!$O$40*MJ2mmBTU</f>
        <v>0.37970757860566479</v>
      </c>
      <c r="V388" s="347">
        <v>79.956230854903993</v>
      </c>
      <c r="W388" s="347">
        <v>0.37970757860566479</v>
      </c>
      <c r="X388" s="37" t="s">
        <v>5</v>
      </c>
      <c r="Y388" s="346" t="s">
        <v>416</v>
      </c>
      <c r="Z388" s="14" t="str">
        <f>IF(ISBLANK(LCI_Table[[#This Row],[Notes for user]])," ",LCI_Table[[#This Row],[Notes for user]])</f>
        <v xml:space="preserve"> </v>
      </c>
      <c r="AA388" s="14"/>
      <c r="AB388" s="14"/>
      <c r="AC388" s="346">
        <f ca="1">LCI_Table[[#This Row],[Default Calculated Value]]-LCI_Table[[#This Row],[Calculated Value]]</f>
        <v>0</v>
      </c>
    </row>
    <row r="389" spans="1:29" x14ac:dyDescent="0.3">
      <c r="A3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stoverATJ-ethanolGREETGREETCo-located facilities_Cellulosic_ETJ_Electricity_co_producedElectricity (co-produced)</v>
      </c>
      <c r="B389" s="14" t="s">
        <v>135</v>
      </c>
      <c r="C389" s="14" t="s">
        <v>1964</v>
      </c>
      <c r="D389" s="14" t="s">
        <v>29</v>
      </c>
      <c r="E389" s="48" t="s">
        <v>29</v>
      </c>
      <c r="F389" s="14" t="s">
        <v>911</v>
      </c>
      <c r="G389" s="14" t="b">
        <f>OR(LCI_Table[[#This Row],[Feedstock]]="All",LCI_Table[[#This Row],[Feedstock]]=SelectedFeedstock)</f>
        <v>0</v>
      </c>
      <c r="H389" s="14" t="b">
        <f>OR(LCI_Table[[#This Row],[Conversion]]="All",LCI_Table[[#This Row],[Conversion]]=SelectedConversion)</f>
        <v>0</v>
      </c>
      <c r="I389" s="14" t="b">
        <f>OR(LCI_Table[[#This Row],[Data Set]]="all",LCI_Table[[#This Row],[Data Set]]=SelectedDataSet)</f>
        <v>1</v>
      </c>
      <c r="J389" s="14" t="b">
        <f>OR(LCI_Table[[#This Row],[Technology]]="All",LCI_Table[[#This Row],[Technology]]=SelectedTechnology)</f>
        <v>0</v>
      </c>
      <c r="K389" s="14" t="b">
        <f>OR(LCI_Table[[#This Row],[Data Source]]="All",LCI_Table[[#This Row],[Data Source]]=SelectedDataSource)</f>
        <v>1</v>
      </c>
      <c r="L389" s="14" t="b">
        <f>TRUE</f>
        <v>1</v>
      </c>
      <c r="M389" s="14" t="b">
        <f>(LCI_Table[[#This Row],[Dev Notes]]="Do not display")</f>
        <v>0</v>
      </c>
      <c r="N389" s="14" t="b">
        <f>AND(LCI_Table[[#This Row],[Show Feedstock]:[Conditional]],NOT(LCI_Table[[#This Row],[Hide Row]]))</f>
        <v>0</v>
      </c>
      <c r="O389" s="14" t="b">
        <f>LCI_Table[[#This Row],[GREET1 Name Range]]=""</f>
        <v>0</v>
      </c>
      <c r="P389" s="14" t="s">
        <v>1448</v>
      </c>
      <c r="Q389" s="14" t="s">
        <v>561</v>
      </c>
      <c r="R389" s="14" t="s">
        <v>439</v>
      </c>
      <c r="S389" s="37" cm="1">
        <f t="array" aca="1" ref="S3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25.473126463384443</v>
      </c>
      <c r="T389" s="346" t="s">
        <v>2121</v>
      </c>
      <c r="U389" s="347">
        <f ca="1">S389/Allocations!$O$40*MJ2mmBTU</f>
        <v>3.2051501526678398E-2</v>
      </c>
      <c r="V389" s="347">
        <v>25.473126463384443</v>
      </c>
      <c r="W389" s="347">
        <v>3.2051501526678398E-2</v>
      </c>
      <c r="X389" s="37" t="s">
        <v>51</v>
      </c>
      <c r="Y389" s="346" t="s">
        <v>416</v>
      </c>
      <c r="Z389" s="14" t="str">
        <f>IF(ISBLANK(LCI_Table[[#This Row],[Notes for user]])," ",LCI_Table[[#This Row],[Notes for user]])</f>
        <v xml:space="preserve"> </v>
      </c>
      <c r="AA389" s="14"/>
      <c r="AB389" s="14"/>
      <c r="AC389" s="346">
        <f ca="1">LCI_Table[[#This Row],[Default Calculated Value]]-LCI_Table[[#This Row],[Calculated Value]]</f>
        <v>0</v>
      </c>
    </row>
    <row r="390" spans="1:29" x14ac:dyDescent="0.3">
      <c r="A3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facilities_Cellulosic_ETJ_DieselYield</v>
      </c>
      <c r="B390" s="48" t="s">
        <v>131</v>
      </c>
      <c r="C390" s="48" t="s">
        <v>1964</v>
      </c>
      <c r="D390" s="48" t="s">
        <v>29</v>
      </c>
      <c r="E390" s="48" t="s">
        <v>29</v>
      </c>
      <c r="F390" s="48" t="s">
        <v>911</v>
      </c>
      <c r="G390" s="14" t="b">
        <f>OR(LCI_Table[[#This Row],[Feedstock]]="All",LCI_Table[[#This Row],[Feedstock]]=SelectedFeedstock)</f>
        <v>0</v>
      </c>
      <c r="H390" s="14" t="b">
        <f>OR(LCI_Table[[#This Row],[Conversion]]="All",LCI_Table[[#This Row],[Conversion]]=SelectedConversion)</f>
        <v>0</v>
      </c>
      <c r="I390" s="14" t="b">
        <f>OR(LCI_Table[[#This Row],[Data Set]]="all",LCI_Table[[#This Row],[Data Set]]=SelectedDataSet)</f>
        <v>1</v>
      </c>
      <c r="J390" s="14" t="b">
        <f>OR(LCI_Table[[#This Row],[Technology]]="All",LCI_Table[[#This Row],[Technology]]=SelectedTechnology)</f>
        <v>0</v>
      </c>
      <c r="K390" s="14" t="b">
        <f>OR(LCI_Table[[#This Row],[Data Source]]="All",LCI_Table[[#This Row],[Data Source]]=SelectedDataSource)</f>
        <v>1</v>
      </c>
      <c r="L390" s="14" t="b">
        <f>TRUE</f>
        <v>1</v>
      </c>
      <c r="M390" s="14" t="b">
        <f>(LCI_Table[[#This Row],[Dev Notes]]="Do not display")</f>
        <v>0</v>
      </c>
      <c r="N390" s="14" t="b">
        <f>AND(LCI_Table[[#This Row],[Show Feedstock]:[Conditional]],NOT(LCI_Table[[#This Row],[Hide Row]]))</f>
        <v>0</v>
      </c>
      <c r="O390" s="14" t="b">
        <f>LCI_Table[[#This Row],[GREET1 Name Range]]=""</f>
        <v>0</v>
      </c>
      <c r="P390" s="48" t="s">
        <v>14</v>
      </c>
      <c r="Q390" s="14" t="s">
        <v>945</v>
      </c>
      <c r="R390" s="48" t="s">
        <v>200</v>
      </c>
      <c r="S390" s="37" cm="1">
        <f t="array" aca="1" ref="S3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28.2</v>
      </c>
      <c r="T390" s="346" t="s">
        <v>2116</v>
      </c>
      <c r="U390" s="344"/>
      <c r="V390" s="344">
        <v>28.2</v>
      </c>
      <c r="W390" s="344"/>
      <c r="X390" s="48" t="s">
        <v>55</v>
      </c>
      <c r="Y390" s="346" t="s">
        <v>413</v>
      </c>
      <c r="Z390" s="14" t="str">
        <f>IF(ISBLANK(LCI_Table[[#This Row],[Notes for user]])," ",LCI_Table[[#This Row],[Notes for user]])</f>
        <v xml:space="preserve"> </v>
      </c>
      <c r="AA390" s="48"/>
      <c r="AB390" s="345"/>
      <c r="AC390" s="346">
        <f>LCI_Table[[#This Row],[Default Calculated Value]]-LCI_Table[[#This Row],[Calculated Value]]</f>
        <v>0</v>
      </c>
    </row>
    <row r="391" spans="1:29" x14ac:dyDescent="0.3">
      <c r="A3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facilities_Willow_Farming_Nitrogen_fertilizerNitrogen fertilizer</v>
      </c>
      <c r="B391" s="14" t="s">
        <v>131</v>
      </c>
      <c r="C391" s="14" t="s">
        <v>1964</v>
      </c>
      <c r="D391" s="14" t="s">
        <v>29</v>
      </c>
      <c r="E391" s="48" t="s">
        <v>29</v>
      </c>
      <c r="F391" s="14" t="s">
        <v>911</v>
      </c>
      <c r="G391" s="14" t="b">
        <f>OR(LCI_Table[[#This Row],[Feedstock]]="All",LCI_Table[[#This Row],[Feedstock]]=SelectedFeedstock)</f>
        <v>0</v>
      </c>
      <c r="H391" s="14" t="b">
        <f>OR(LCI_Table[[#This Row],[Conversion]]="All",LCI_Table[[#This Row],[Conversion]]=SelectedConversion)</f>
        <v>0</v>
      </c>
      <c r="I391" s="14" t="b">
        <f>OR(LCI_Table[[#This Row],[Data Set]]="all",LCI_Table[[#This Row],[Data Set]]=SelectedDataSet)</f>
        <v>1</v>
      </c>
      <c r="J391" s="14" t="b">
        <f>OR(LCI_Table[[#This Row],[Technology]]="All",LCI_Table[[#This Row],[Technology]]=SelectedTechnology)</f>
        <v>0</v>
      </c>
      <c r="K391" s="14" t="b">
        <f>OR(LCI_Table[[#This Row],[Data Source]]="All",LCI_Table[[#This Row],[Data Source]]=SelectedDataSource)</f>
        <v>1</v>
      </c>
      <c r="L391" s="14" t="b">
        <f>TRUE</f>
        <v>1</v>
      </c>
      <c r="M391" s="14" t="b">
        <f>(LCI_Table[[#This Row],[Dev Notes]]="Do not display")</f>
        <v>0</v>
      </c>
      <c r="N391" s="14" t="b">
        <f>AND(LCI_Table[[#This Row],[Show Feedstock]:[Conditional]],NOT(LCI_Table[[#This Row],[Hide Row]]))</f>
        <v>0</v>
      </c>
      <c r="O391" s="14" t="b">
        <f>LCI_Table[[#This Row],[GREET1 Name Range]]=""</f>
        <v>0</v>
      </c>
      <c r="P391" s="14" t="s">
        <v>14</v>
      </c>
      <c r="Q391" s="14" t="s">
        <v>853</v>
      </c>
      <c r="R391" s="14" t="s">
        <v>111</v>
      </c>
      <c r="S391" s="37" cm="1">
        <f t="array" aca="1" ref="S3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90.878828351189952</v>
      </c>
      <c r="T391" s="346" t="s">
        <v>1485</v>
      </c>
      <c r="U391" s="347">
        <f ca="1">S391/S390*lb2g</f>
        <v>1461.7710331432427</v>
      </c>
      <c r="V391" s="347">
        <v>90.878828351189952</v>
      </c>
      <c r="W391" s="347">
        <v>1461.7710331432427</v>
      </c>
      <c r="X391" s="14" t="s">
        <v>12</v>
      </c>
      <c r="Y391" s="346" t="s">
        <v>413</v>
      </c>
      <c r="Z391" s="14" t="str">
        <f>IF(ISBLANK(LCI_Table[[#This Row],[Notes for user]])," ",LCI_Table[[#This Row],[Notes for user]])</f>
        <v xml:space="preserve"> </v>
      </c>
      <c r="AA391" s="14"/>
      <c r="AB391" s="14"/>
      <c r="AC391" s="346">
        <f ca="1">LCI_Table[[#This Row],[Default Calculated Value]]-LCI_Table[[#This Row],[Calculated Value]]</f>
        <v>0</v>
      </c>
    </row>
    <row r="392" spans="1:29" x14ac:dyDescent="0.3">
      <c r="A3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facilities_Willow_Farming_P2O5P2O5</v>
      </c>
      <c r="B392" s="14" t="s">
        <v>131</v>
      </c>
      <c r="C392" s="14" t="s">
        <v>1964</v>
      </c>
      <c r="D392" s="14" t="s">
        <v>29</v>
      </c>
      <c r="E392" s="48" t="s">
        <v>29</v>
      </c>
      <c r="F392" s="14" t="s">
        <v>911</v>
      </c>
      <c r="G392" s="14" t="b">
        <f>OR(LCI_Table[[#This Row],[Feedstock]]="All",LCI_Table[[#This Row],[Feedstock]]=SelectedFeedstock)</f>
        <v>0</v>
      </c>
      <c r="H392" s="14" t="b">
        <f>OR(LCI_Table[[#This Row],[Conversion]]="All",LCI_Table[[#This Row],[Conversion]]=SelectedConversion)</f>
        <v>0</v>
      </c>
      <c r="I392" s="14" t="b">
        <f>OR(LCI_Table[[#This Row],[Data Set]]="all",LCI_Table[[#This Row],[Data Set]]=SelectedDataSet)</f>
        <v>1</v>
      </c>
      <c r="J392" s="14" t="b">
        <f>OR(LCI_Table[[#This Row],[Technology]]="All",LCI_Table[[#This Row],[Technology]]=SelectedTechnology)</f>
        <v>0</v>
      </c>
      <c r="K392" s="14" t="b">
        <f>OR(LCI_Table[[#This Row],[Data Source]]="All",LCI_Table[[#This Row],[Data Source]]=SelectedDataSource)</f>
        <v>1</v>
      </c>
      <c r="L392" s="14" t="b">
        <f>TRUE</f>
        <v>1</v>
      </c>
      <c r="M392" s="14" t="b">
        <f>(LCI_Table[[#This Row],[Dev Notes]]="Do not display")</f>
        <v>0</v>
      </c>
      <c r="N392" s="14" t="b">
        <f>AND(LCI_Table[[#This Row],[Show Feedstock]:[Conditional]],NOT(LCI_Table[[#This Row],[Hide Row]]))</f>
        <v>0</v>
      </c>
      <c r="O392" s="14" t="b">
        <f>LCI_Table[[#This Row],[GREET1 Name Range]]=""</f>
        <v>0</v>
      </c>
      <c r="P392" s="14" t="s">
        <v>14</v>
      </c>
      <c r="Q392" s="14" t="s">
        <v>854</v>
      </c>
      <c r="R392" s="14" t="s">
        <v>112</v>
      </c>
      <c r="S392" s="37" cm="1">
        <f t="array" aca="1" ref="S3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40.390590378306598</v>
      </c>
      <c r="T392" s="346" t="s">
        <v>1485</v>
      </c>
      <c r="U392" s="347">
        <f ca="1">S392/S390*lb2g</f>
        <v>649.67601473032937</v>
      </c>
      <c r="V392" s="347">
        <v>40.390590378306598</v>
      </c>
      <c r="W392" s="347">
        <v>649.67601473032937</v>
      </c>
      <c r="X392" s="14" t="s">
        <v>12</v>
      </c>
      <c r="Y392" s="346" t="s">
        <v>413</v>
      </c>
      <c r="Z392" s="14" t="str">
        <f>IF(ISBLANK(LCI_Table[[#This Row],[Notes for user]])," ",LCI_Table[[#This Row],[Notes for user]])</f>
        <v xml:space="preserve"> </v>
      </c>
      <c r="AA392" s="14"/>
      <c r="AB392" s="14"/>
      <c r="AC392" s="346">
        <f ca="1">LCI_Table[[#This Row],[Default Calculated Value]]-LCI_Table[[#This Row],[Calculated Value]]</f>
        <v>0</v>
      </c>
    </row>
    <row r="393" spans="1:29" x14ac:dyDescent="0.3">
      <c r="A3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facilities_Willow_Farming_K2OK2O</v>
      </c>
      <c r="B393" s="14" t="s">
        <v>131</v>
      </c>
      <c r="C393" s="14" t="s">
        <v>1964</v>
      </c>
      <c r="D393" s="14" t="s">
        <v>29</v>
      </c>
      <c r="E393" s="48" t="s">
        <v>29</v>
      </c>
      <c r="F393" s="14" t="s">
        <v>911</v>
      </c>
      <c r="G393" s="14" t="b">
        <f>OR(LCI_Table[[#This Row],[Feedstock]]="All",LCI_Table[[#This Row],[Feedstock]]=SelectedFeedstock)</f>
        <v>0</v>
      </c>
      <c r="H393" s="14" t="b">
        <f>OR(LCI_Table[[#This Row],[Conversion]]="All",LCI_Table[[#This Row],[Conversion]]=SelectedConversion)</f>
        <v>0</v>
      </c>
      <c r="I393" s="14" t="b">
        <f>OR(LCI_Table[[#This Row],[Data Set]]="all",LCI_Table[[#This Row],[Data Set]]=SelectedDataSet)</f>
        <v>1</v>
      </c>
      <c r="J393" s="14" t="b">
        <f>OR(LCI_Table[[#This Row],[Technology]]="All",LCI_Table[[#This Row],[Technology]]=SelectedTechnology)</f>
        <v>0</v>
      </c>
      <c r="K393" s="14" t="b">
        <f>OR(LCI_Table[[#This Row],[Data Source]]="All",LCI_Table[[#This Row],[Data Source]]=SelectedDataSource)</f>
        <v>1</v>
      </c>
      <c r="L393" s="14" t="b">
        <f>TRUE</f>
        <v>1</v>
      </c>
      <c r="M393" s="14" t="b">
        <f>(LCI_Table[[#This Row],[Dev Notes]]="Do not display")</f>
        <v>0</v>
      </c>
      <c r="N393" s="14" t="b">
        <f>AND(LCI_Table[[#This Row],[Show Feedstock]:[Conditional]],NOT(LCI_Table[[#This Row],[Hide Row]]))</f>
        <v>0</v>
      </c>
      <c r="O393" s="14" t="b">
        <f>LCI_Table[[#This Row],[GREET1 Name Range]]=""</f>
        <v>0</v>
      </c>
      <c r="P393" s="14" t="s">
        <v>14</v>
      </c>
      <c r="Q393" s="14" t="s">
        <v>850</v>
      </c>
      <c r="R393" s="14" t="s">
        <v>113</v>
      </c>
      <c r="S393" s="37" cm="1">
        <f t="array" aca="1" ref="S3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62.289440243223993</v>
      </c>
      <c r="T393" s="346" t="s">
        <v>1485</v>
      </c>
      <c r="U393" s="347">
        <f ca="1">S393/S390*lb2g</f>
        <v>1001.915419358062</v>
      </c>
      <c r="V393" s="347">
        <v>62.289440243223993</v>
      </c>
      <c r="W393" s="347">
        <v>1001.915419358062</v>
      </c>
      <c r="X393" s="14" t="s">
        <v>12</v>
      </c>
      <c r="Y393" s="346" t="s">
        <v>413</v>
      </c>
      <c r="Z393" s="14" t="str">
        <f>IF(ISBLANK(LCI_Table[[#This Row],[Notes for user]])," ",LCI_Table[[#This Row],[Notes for user]])</f>
        <v xml:space="preserve"> </v>
      </c>
      <c r="AA393" s="14"/>
      <c r="AB393" s="14"/>
      <c r="AC393" s="346">
        <f ca="1">LCI_Table[[#This Row],[Default Calculated Value]]-LCI_Table[[#This Row],[Calculated Value]]</f>
        <v>0</v>
      </c>
    </row>
    <row r="394" spans="1:29" x14ac:dyDescent="0.3">
      <c r="A3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facilities_Willow_Farming_CaCO3CaCO3</v>
      </c>
      <c r="B394" s="14" t="s">
        <v>131</v>
      </c>
      <c r="C394" s="14" t="s">
        <v>1964</v>
      </c>
      <c r="D394" s="14" t="s">
        <v>29</v>
      </c>
      <c r="E394" s="48" t="s">
        <v>29</v>
      </c>
      <c r="F394" s="14" t="s">
        <v>911</v>
      </c>
      <c r="G394" s="14" t="b">
        <f>OR(LCI_Table[[#This Row],[Feedstock]]="All",LCI_Table[[#This Row],[Feedstock]]=SelectedFeedstock)</f>
        <v>0</v>
      </c>
      <c r="H394" s="14" t="b">
        <f>OR(LCI_Table[[#This Row],[Conversion]]="All",LCI_Table[[#This Row],[Conversion]]=SelectedConversion)</f>
        <v>0</v>
      </c>
      <c r="I394" s="14" t="b">
        <f>OR(LCI_Table[[#This Row],[Data Set]]="all",LCI_Table[[#This Row],[Data Set]]=SelectedDataSet)</f>
        <v>1</v>
      </c>
      <c r="J394" s="14" t="b">
        <f>OR(LCI_Table[[#This Row],[Technology]]="All",LCI_Table[[#This Row],[Technology]]=SelectedTechnology)</f>
        <v>0</v>
      </c>
      <c r="K394" s="14" t="b">
        <f>OR(LCI_Table[[#This Row],[Data Source]]="All",LCI_Table[[#This Row],[Data Source]]=SelectedDataSource)</f>
        <v>1</v>
      </c>
      <c r="L394" s="14" t="b">
        <f>TRUE</f>
        <v>1</v>
      </c>
      <c r="M394" s="14" t="b">
        <f>(LCI_Table[[#This Row],[Dev Notes]]="Do not display")</f>
        <v>0</v>
      </c>
      <c r="N394" s="14" t="b">
        <f>AND(LCI_Table[[#This Row],[Show Feedstock]:[Conditional]],NOT(LCI_Table[[#This Row],[Hide Row]]))</f>
        <v>0</v>
      </c>
      <c r="O394" s="14" t="b">
        <f>LCI_Table[[#This Row],[GREET1 Name Range]]=""</f>
        <v>0</v>
      </c>
      <c r="P394" s="14" t="s">
        <v>14</v>
      </c>
      <c r="Q394" s="14" t="s">
        <v>842</v>
      </c>
      <c r="R394" s="14" t="s">
        <v>141</v>
      </c>
      <c r="S394" s="37" cm="1">
        <f t="array" aca="1" ref="S3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94" s="346" t="s">
        <v>1485</v>
      </c>
      <c r="U394" s="347">
        <f ca="1">S394/S390*lb2g</f>
        <v>0</v>
      </c>
      <c r="V394" s="347">
        <v>0</v>
      </c>
      <c r="W394" s="347">
        <v>0</v>
      </c>
      <c r="X394" s="14" t="s">
        <v>12</v>
      </c>
      <c r="Y394" s="346" t="s">
        <v>413</v>
      </c>
      <c r="Z394" s="14" t="str">
        <f>IF(ISBLANK(LCI_Table[[#This Row],[Notes for user]])," ",LCI_Table[[#This Row],[Notes for user]])</f>
        <v xml:space="preserve"> </v>
      </c>
      <c r="AA394" s="14"/>
      <c r="AB394" s="14"/>
      <c r="AC394" s="346">
        <f ca="1">LCI_Table[[#This Row],[Default Calculated Value]]-LCI_Table[[#This Row],[Calculated Value]]</f>
        <v>0</v>
      </c>
    </row>
    <row r="395" spans="1:29" x14ac:dyDescent="0.3">
      <c r="A3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facilities_Willow_Farming_HerbicidesHerbicides</v>
      </c>
      <c r="B395" s="14" t="s">
        <v>131</v>
      </c>
      <c r="C395" s="14" t="s">
        <v>1964</v>
      </c>
      <c r="D395" s="14" t="s">
        <v>29</v>
      </c>
      <c r="E395" s="48" t="s">
        <v>29</v>
      </c>
      <c r="F395" s="14" t="s">
        <v>911</v>
      </c>
      <c r="G395" s="14" t="b">
        <f>OR(LCI_Table[[#This Row],[Feedstock]]="All",LCI_Table[[#This Row],[Feedstock]]=SelectedFeedstock)</f>
        <v>0</v>
      </c>
      <c r="H395" s="14" t="b">
        <f>OR(LCI_Table[[#This Row],[Conversion]]="All",LCI_Table[[#This Row],[Conversion]]=SelectedConversion)</f>
        <v>0</v>
      </c>
      <c r="I395" s="14" t="b">
        <f>OR(LCI_Table[[#This Row],[Data Set]]="all",LCI_Table[[#This Row],[Data Set]]=SelectedDataSet)</f>
        <v>1</v>
      </c>
      <c r="J395" s="14" t="b">
        <f>OR(LCI_Table[[#This Row],[Technology]]="All",LCI_Table[[#This Row],[Technology]]=SelectedTechnology)</f>
        <v>0</v>
      </c>
      <c r="K395" s="14" t="b">
        <f>OR(LCI_Table[[#This Row],[Data Source]]="All",LCI_Table[[#This Row],[Data Source]]=SelectedDataSource)</f>
        <v>1</v>
      </c>
      <c r="L395" s="14" t="b">
        <f>TRUE</f>
        <v>1</v>
      </c>
      <c r="M395" s="14" t="b">
        <f>(LCI_Table[[#This Row],[Dev Notes]]="Do not display")</f>
        <v>0</v>
      </c>
      <c r="N395" s="14" t="b">
        <f>AND(LCI_Table[[#This Row],[Show Feedstock]:[Conditional]],NOT(LCI_Table[[#This Row],[Hide Row]]))</f>
        <v>0</v>
      </c>
      <c r="O395" s="14" t="b">
        <f>LCI_Table[[#This Row],[GREET1 Name Range]]=""</f>
        <v>0</v>
      </c>
      <c r="P395" s="14" t="s">
        <v>14</v>
      </c>
      <c r="Q395" s="14" t="s">
        <v>848</v>
      </c>
      <c r="R395" s="14" t="s">
        <v>356</v>
      </c>
      <c r="S395" s="37" cm="1">
        <f t="array" aca="1" ref="S3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0.99950933611942439</v>
      </c>
      <c r="T395" s="346" t="s">
        <v>1485</v>
      </c>
      <c r="U395" s="347">
        <f ca="1">S395/S390*lb2g</f>
        <v>16.076943567643134</v>
      </c>
      <c r="V395" s="347">
        <v>0.99950933611942439</v>
      </c>
      <c r="W395" s="347">
        <v>16.076943567643134</v>
      </c>
      <c r="X395" s="14" t="s">
        <v>12</v>
      </c>
      <c r="Y395" s="346" t="s">
        <v>413</v>
      </c>
      <c r="Z395" s="14" t="str">
        <f>IF(ISBLANK(LCI_Table[[#This Row],[Notes for user]])," ",LCI_Table[[#This Row],[Notes for user]])</f>
        <v xml:space="preserve"> </v>
      </c>
      <c r="AA395" s="14"/>
      <c r="AB395" s="14"/>
      <c r="AC395" s="346">
        <f ca="1">LCI_Table[[#This Row],[Default Calculated Value]]-LCI_Table[[#This Row],[Calculated Value]]</f>
        <v>0</v>
      </c>
    </row>
    <row r="396" spans="1:29" x14ac:dyDescent="0.3">
      <c r="A3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facilities_Willow_Farming_InsecticideInsecticide</v>
      </c>
      <c r="B396" s="14" t="s">
        <v>131</v>
      </c>
      <c r="C396" s="14" t="s">
        <v>1964</v>
      </c>
      <c r="D396" s="14" t="s">
        <v>29</v>
      </c>
      <c r="E396" s="48" t="s">
        <v>29</v>
      </c>
      <c r="F396" s="14" t="s">
        <v>911</v>
      </c>
      <c r="G396" s="14" t="b">
        <f>OR(LCI_Table[[#This Row],[Feedstock]]="All",LCI_Table[[#This Row],[Feedstock]]=SelectedFeedstock)</f>
        <v>0</v>
      </c>
      <c r="H396" s="14" t="b">
        <f>OR(LCI_Table[[#This Row],[Conversion]]="All",LCI_Table[[#This Row],[Conversion]]=SelectedConversion)</f>
        <v>0</v>
      </c>
      <c r="I396" s="14" t="b">
        <f>OR(LCI_Table[[#This Row],[Data Set]]="all",LCI_Table[[#This Row],[Data Set]]=SelectedDataSet)</f>
        <v>1</v>
      </c>
      <c r="J396" s="14" t="b">
        <f>OR(LCI_Table[[#This Row],[Technology]]="All",LCI_Table[[#This Row],[Technology]]=SelectedTechnology)</f>
        <v>0</v>
      </c>
      <c r="K396" s="14" t="b">
        <f>OR(LCI_Table[[#This Row],[Data Source]]="All",LCI_Table[[#This Row],[Data Source]]=SelectedDataSource)</f>
        <v>1</v>
      </c>
      <c r="L396" s="14" t="b">
        <f>TRUE</f>
        <v>1</v>
      </c>
      <c r="M396" s="14" t="b">
        <f>(LCI_Table[[#This Row],[Dev Notes]]="Do not display")</f>
        <v>0</v>
      </c>
      <c r="N396" s="14" t="b">
        <f>AND(LCI_Table[[#This Row],[Show Feedstock]:[Conditional]],NOT(LCI_Table[[#This Row],[Hide Row]]))</f>
        <v>0</v>
      </c>
      <c r="O396" s="14" t="b">
        <f>LCI_Table[[#This Row],[GREET1 Name Range]]=""</f>
        <v>0</v>
      </c>
      <c r="P396" s="14" t="s">
        <v>14</v>
      </c>
      <c r="Q396" s="14" t="s">
        <v>849</v>
      </c>
      <c r="R396" s="14" t="s">
        <v>114</v>
      </c>
      <c r="S396" s="37" cm="1">
        <f t="array" aca="1" ref="S3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96" s="346" t="s">
        <v>1485</v>
      </c>
      <c r="U396" s="347">
        <f ca="1">S396/S390*lb2g</f>
        <v>0</v>
      </c>
      <c r="V396" s="347">
        <v>0</v>
      </c>
      <c r="W396" s="347">
        <v>0</v>
      </c>
      <c r="X396" s="14" t="s">
        <v>12</v>
      </c>
      <c r="Y396" s="346" t="s">
        <v>413</v>
      </c>
      <c r="Z396" s="14" t="str">
        <f>IF(ISBLANK(LCI_Table[[#This Row],[Notes for user]])," ",LCI_Table[[#This Row],[Notes for user]])</f>
        <v xml:space="preserve"> </v>
      </c>
      <c r="AA396" s="14"/>
      <c r="AB396" s="14"/>
      <c r="AC396" s="346">
        <f ca="1">LCI_Table[[#This Row],[Default Calculated Value]]-LCI_Table[[#This Row],[Calculated Value]]</f>
        <v>0</v>
      </c>
    </row>
    <row r="397" spans="1:29" x14ac:dyDescent="0.3">
      <c r="A3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facilities_Willow_Farming_Residual_oilResidual oil</v>
      </c>
      <c r="B397" s="14" t="s">
        <v>131</v>
      </c>
      <c r="C397" s="14" t="s">
        <v>1964</v>
      </c>
      <c r="D397" s="14" t="s">
        <v>29</v>
      </c>
      <c r="E397" s="48" t="s">
        <v>29</v>
      </c>
      <c r="F397" s="14" t="s">
        <v>911</v>
      </c>
      <c r="G397" s="14" t="b">
        <f>OR(LCI_Table[[#This Row],[Feedstock]]="All",LCI_Table[[#This Row],[Feedstock]]=SelectedFeedstock)</f>
        <v>0</v>
      </c>
      <c r="H397" s="14" t="b">
        <f>OR(LCI_Table[[#This Row],[Conversion]]="All",LCI_Table[[#This Row],[Conversion]]=SelectedConversion)</f>
        <v>0</v>
      </c>
      <c r="I397" s="14" t="b">
        <f>OR(LCI_Table[[#This Row],[Data Set]]="all",LCI_Table[[#This Row],[Data Set]]=SelectedDataSet)</f>
        <v>1</v>
      </c>
      <c r="J397" s="14" t="b">
        <f>OR(LCI_Table[[#This Row],[Technology]]="All",LCI_Table[[#This Row],[Technology]]=SelectedTechnology)</f>
        <v>0</v>
      </c>
      <c r="K397" s="14" t="b">
        <f>OR(LCI_Table[[#This Row],[Data Source]]="All",LCI_Table[[#This Row],[Data Source]]=SelectedDataSource)</f>
        <v>1</v>
      </c>
      <c r="L397" s="14" t="b">
        <f>TRUE</f>
        <v>1</v>
      </c>
      <c r="M397" s="14" t="b">
        <f>(LCI_Table[[#This Row],[Dev Notes]]="Do not display")</f>
        <v>0</v>
      </c>
      <c r="N397" s="14" t="b">
        <f>AND(LCI_Table[[#This Row],[Show Feedstock]:[Conditional]],NOT(LCI_Table[[#This Row],[Hide Row]]))</f>
        <v>0</v>
      </c>
      <c r="O397" s="14" t="b">
        <f>LCI_Table[[#This Row],[GREET1 Name Range]]=""</f>
        <v>0</v>
      </c>
      <c r="P397" s="14" t="s">
        <v>14</v>
      </c>
      <c r="Q397" s="14" t="s">
        <v>855</v>
      </c>
      <c r="R397" s="14" t="s">
        <v>115</v>
      </c>
      <c r="S397" s="37" cm="1">
        <f t="array" aca="1" ref="S3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97" s="346" t="s">
        <v>1484</v>
      </c>
      <c r="U397" s="347">
        <f ca="1">S397*Fuel_Specs!$B$28/S390</f>
        <v>0</v>
      </c>
      <c r="V397" s="347">
        <v>0</v>
      </c>
      <c r="W397" s="347">
        <v>0</v>
      </c>
      <c r="X397" s="14" t="s">
        <v>5</v>
      </c>
      <c r="Y397" s="346" t="s">
        <v>413</v>
      </c>
      <c r="Z397" s="14" t="str">
        <f>IF(ISBLANK(LCI_Table[[#This Row],[Notes for user]])," ",LCI_Table[[#This Row],[Notes for user]])</f>
        <v xml:space="preserve"> </v>
      </c>
      <c r="AA397" s="14"/>
      <c r="AB397" s="14"/>
      <c r="AC397" s="346">
        <f ca="1">LCI_Table[[#This Row],[Default Calculated Value]]-LCI_Table[[#This Row],[Calculated Value]]</f>
        <v>0</v>
      </c>
    </row>
    <row r="398" spans="1:29" x14ac:dyDescent="0.3">
      <c r="A3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facilities_Willow_Farming_DieselDiesel</v>
      </c>
      <c r="B398" s="14" t="s">
        <v>131</v>
      </c>
      <c r="C398" s="14" t="s">
        <v>1964</v>
      </c>
      <c r="D398" s="14" t="s">
        <v>29</v>
      </c>
      <c r="E398" s="48" t="s">
        <v>29</v>
      </c>
      <c r="F398" s="14" t="s">
        <v>911</v>
      </c>
      <c r="G398" s="14" t="b">
        <f>OR(LCI_Table[[#This Row],[Feedstock]]="All",LCI_Table[[#This Row],[Feedstock]]=SelectedFeedstock)</f>
        <v>0</v>
      </c>
      <c r="H398" s="14" t="b">
        <f>OR(LCI_Table[[#This Row],[Conversion]]="All",LCI_Table[[#This Row],[Conversion]]=SelectedConversion)</f>
        <v>0</v>
      </c>
      <c r="I398" s="14" t="b">
        <f>OR(LCI_Table[[#This Row],[Data Set]]="all",LCI_Table[[#This Row],[Data Set]]=SelectedDataSet)</f>
        <v>1</v>
      </c>
      <c r="J398" s="14" t="b">
        <f>OR(LCI_Table[[#This Row],[Technology]]="All",LCI_Table[[#This Row],[Technology]]=SelectedTechnology)</f>
        <v>0</v>
      </c>
      <c r="K398" s="14" t="b">
        <f>OR(LCI_Table[[#This Row],[Data Source]]="All",LCI_Table[[#This Row],[Data Source]]=SelectedDataSource)</f>
        <v>1</v>
      </c>
      <c r="L398" s="14" t="b">
        <f>TRUE</f>
        <v>1</v>
      </c>
      <c r="M398" s="14" t="b">
        <f>(LCI_Table[[#This Row],[Dev Notes]]="Do not display")</f>
        <v>0</v>
      </c>
      <c r="N398" s="14" t="b">
        <f>AND(LCI_Table[[#This Row],[Show Feedstock]:[Conditional]],NOT(LCI_Table[[#This Row],[Hide Row]]))</f>
        <v>0</v>
      </c>
      <c r="O398" s="14" t="b">
        <f>LCI_Table[[#This Row],[GREET1 Name Range]]=""</f>
        <v>0</v>
      </c>
      <c r="P398" s="14" t="s">
        <v>14</v>
      </c>
      <c r="Q398" s="14" t="s">
        <v>844</v>
      </c>
      <c r="R398" s="14" t="s">
        <v>106</v>
      </c>
      <c r="S398" s="37" cm="1">
        <f t="array" aca="1" ref="S3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40.615060616502412</v>
      </c>
      <c r="T398" s="346" t="s">
        <v>1484</v>
      </c>
      <c r="U398" s="347">
        <f ca="1">S398*Fuel_Specs!$B$19/S390</f>
        <v>185000.16085779201</v>
      </c>
      <c r="V398" s="347">
        <v>40.615060616502412</v>
      </c>
      <c r="W398" s="347">
        <v>185000.16085779201</v>
      </c>
      <c r="X398" s="14" t="s">
        <v>5</v>
      </c>
      <c r="Y398" s="346" t="s">
        <v>413</v>
      </c>
      <c r="Z398" s="14" t="str">
        <f>IF(ISBLANK(LCI_Table[[#This Row],[Notes for user]])," ",LCI_Table[[#This Row],[Notes for user]])</f>
        <v xml:space="preserve"> </v>
      </c>
      <c r="AA398" s="14"/>
      <c r="AB398" s="14"/>
      <c r="AC398" s="346">
        <f ca="1">LCI_Table[[#This Row],[Default Calculated Value]]-LCI_Table[[#This Row],[Calculated Value]]</f>
        <v>0</v>
      </c>
    </row>
    <row r="399" spans="1:29" x14ac:dyDescent="0.3">
      <c r="A3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facilities_Willow_Farming_GasolineGasoline</v>
      </c>
      <c r="B399" s="14" t="s">
        <v>131</v>
      </c>
      <c r="C399" s="14" t="s">
        <v>1964</v>
      </c>
      <c r="D399" s="14" t="s">
        <v>29</v>
      </c>
      <c r="E399" s="48" t="s">
        <v>29</v>
      </c>
      <c r="F399" s="14" t="s">
        <v>911</v>
      </c>
      <c r="G399" s="14" t="b">
        <f>OR(LCI_Table[[#This Row],[Feedstock]]="All",LCI_Table[[#This Row],[Feedstock]]=SelectedFeedstock)</f>
        <v>0</v>
      </c>
      <c r="H399" s="14" t="b">
        <f>OR(LCI_Table[[#This Row],[Conversion]]="All",LCI_Table[[#This Row],[Conversion]]=SelectedConversion)</f>
        <v>0</v>
      </c>
      <c r="I399" s="14" t="b">
        <f>OR(LCI_Table[[#This Row],[Data Set]]="all",LCI_Table[[#This Row],[Data Set]]=SelectedDataSet)</f>
        <v>1</v>
      </c>
      <c r="J399" s="14" t="b">
        <f>OR(LCI_Table[[#This Row],[Technology]]="All",LCI_Table[[#This Row],[Technology]]=SelectedTechnology)</f>
        <v>0</v>
      </c>
      <c r="K399" s="14" t="b">
        <f>OR(LCI_Table[[#This Row],[Data Source]]="All",LCI_Table[[#This Row],[Data Source]]=SelectedDataSource)</f>
        <v>1</v>
      </c>
      <c r="L399" s="14" t="b">
        <f>TRUE</f>
        <v>1</v>
      </c>
      <c r="M399" s="14" t="b">
        <f>(LCI_Table[[#This Row],[Dev Notes]]="Do not display")</f>
        <v>0</v>
      </c>
      <c r="N399" s="14" t="b">
        <f>AND(LCI_Table[[#This Row],[Show Feedstock]:[Conditional]],NOT(LCI_Table[[#This Row],[Hide Row]]))</f>
        <v>0</v>
      </c>
      <c r="O399" s="14" t="b">
        <f>LCI_Table[[#This Row],[GREET1 Name Range]]=""</f>
        <v>0</v>
      </c>
      <c r="P399" s="14" t="s">
        <v>14</v>
      </c>
      <c r="Q399" s="14" t="s">
        <v>847</v>
      </c>
      <c r="R399" s="14" t="s">
        <v>107</v>
      </c>
      <c r="S399" s="37" cm="1">
        <f t="array" aca="1" ref="S3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399" s="346" t="s">
        <v>1484</v>
      </c>
      <c r="U399" s="347">
        <f ca="1">S399*Fuel_Specs!$B$15/S390</f>
        <v>0</v>
      </c>
      <c r="V399" s="347">
        <v>0</v>
      </c>
      <c r="W399" s="347">
        <v>0</v>
      </c>
      <c r="X399" s="14" t="s">
        <v>5</v>
      </c>
      <c r="Y399" s="346" t="s">
        <v>413</v>
      </c>
      <c r="Z399" s="14" t="str">
        <f>IF(ISBLANK(LCI_Table[[#This Row],[Notes for user]])," ",LCI_Table[[#This Row],[Notes for user]])</f>
        <v xml:space="preserve"> </v>
      </c>
      <c r="AA399" s="14"/>
      <c r="AB399" s="14"/>
      <c r="AC399" s="346">
        <f ca="1">LCI_Table[[#This Row],[Default Calculated Value]]-LCI_Table[[#This Row],[Calculated Value]]</f>
        <v>0</v>
      </c>
    </row>
    <row r="400" spans="1:29" x14ac:dyDescent="0.3">
      <c r="A4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facilities_Willow_Farming_Natural_gasNatural gas</v>
      </c>
      <c r="B400" s="14" t="s">
        <v>131</v>
      </c>
      <c r="C400" s="14" t="s">
        <v>1964</v>
      </c>
      <c r="D400" s="14" t="s">
        <v>29</v>
      </c>
      <c r="E400" s="48" t="s">
        <v>29</v>
      </c>
      <c r="F400" s="14" t="s">
        <v>911</v>
      </c>
      <c r="G400" s="14" t="b">
        <f>OR(LCI_Table[[#This Row],[Feedstock]]="All",LCI_Table[[#This Row],[Feedstock]]=SelectedFeedstock)</f>
        <v>0</v>
      </c>
      <c r="H400" s="14" t="b">
        <f>OR(LCI_Table[[#This Row],[Conversion]]="All",LCI_Table[[#This Row],[Conversion]]=SelectedConversion)</f>
        <v>0</v>
      </c>
      <c r="I400" s="14" t="b">
        <f>OR(LCI_Table[[#This Row],[Data Set]]="all",LCI_Table[[#This Row],[Data Set]]=SelectedDataSet)</f>
        <v>1</v>
      </c>
      <c r="J400" s="14" t="b">
        <f>OR(LCI_Table[[#This Row],[Technology]]="All",LCI_Table[[#This Row],[Technology]]=SelectedTechnology)</f>
        <v>0</v>
      </c>
      <c r="K400" s="14" t="b">
        <f>OR(LCI_Table[[#This Row],[Data Source]]="All",LCI_Table[[#This Row],[Data Source]]=SelectedDataSource)</f>
        <v>1</v>
      </c>
      <c r="L400" s="14" t="b">
        <f>TRUE</f>
        <v>1</v>
      </c>
      <c r="M400" s="14" t="b">
        <f>(LCI_Table[[#This Row],[Dev Notes]]="Do not display")</f>
        <v>0</v>
      </c>
      <c r="N400" s="14" t="b">
        <f>AND(LCI_Table[[#This Row],[Show Feedstock]:[Conditional]],NOT(LCI_Table[[#This Row],[Hide Row]]))</f>
        <v>0</v>
      </c>
      <c r="O400" s="14" t="b">
        <f>LCI_Table[[#This Row],[GREET1 Name Range]]=""</f>
        <v>0</v>
      </c>
      <c r="P400" s="14" t="s">
        <v>14</v>
      </c>
      <c r="Q400" s="14" t="s">
        <v>852</v>
      </c>
      <c r="R400" s="14" t="s">
        <v>108</v>
      </c>
      <c r="S400" s="37" cm="1">
        <f t="array" aca="1" ref="S4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00" s="346" t="s">
        <v>2109</v>
      </c>
      <c r="U400" s="347">
        <f ca="1">S400*Fuel_Specs!$B$79/S390</f>
        <v>0</v>
      </c>
      <c r="V400" s="347">
        <v>0</v>
      </c>
      <c r="W400" s="347">
        <v>0</v>
      </c>
      <c r="X400" s="14" t="s">
        <v>351</v>
      </c>
      <c r="Y400" s="346" t="s">
        <v>413</v>
      </c>
      <c r="Z400" s="14" t="str">
        <f>IF(ISBLANK(LCI_Table[[#This Row],[Notes for user]])," ",LCI_Table[[#This Row],[Notes for user]])</f>
        <v xml:space="preserve"> </v>
      </c>
      <c r="AA400" s="14"/>
      <c r="AB400" s="14"/>
      <c r="AC400" s="346">
        <f ca="1">LCI_Table[[#This Row],[Default Calculated Value]]-LCI_Table[[#This Row],[Calculated Value]]</f>
        <v>0</v>
      </c>
    </row>
    <row r="401" spans="1:29" x14ac:dyDescent="0.3">
      <c r="A4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facilities_Willow_Farming_CoalCoal</v>
      </c>
      <c r="B401" s="14" t="s">
        <v>131</v>
      </c>
      <c r="C401" s="14" t="s">
        <v>1964</v>
      </c>
      <c r="D401" s="14" t="s">
        <v>29</v>
      </c>
      <c r="E401" s="48" t="s">
        <v>29</v>
      </c>
      <c r="F401" s="14" t="s">
        <v>911</v>
      </c>
      <c r="G401" s="14" t="b">
        <f>OR(LCI_Table[[#This Row],[Feedstock]]="All",LCI_Table[[#This Row],[Feedstock]]=SelectedFeedstock)</f>
        <v>0</v>
      </c>
      <c r="H401" s="14" t="b">
        <f>OR(LCI_Table[[#This Row],[Conversion]]="All",LCI_Table[[#This Row],[Conversion]]=SelectedConversion)</f>
        <v>0</v>
      </c>
      <c r="I401" s="14" t="b">
        <f>OR(LCI_Table[[#This Row],[Data Set]]="all",LCI_Table[[#This Row],[Data Set]]=SelectedDataSet)</f>
        <v>1</v>
      </c>
      <c r="J401" s="14" t="b">
        <f>OR(LCI_Table[[#This Row],[Technology]]="All",LCI_Table[[#This Row],[Technology]]=SelectedTechnology)</f>
        <v>0</v>
      </c>
      <c r="K401" s="14" t="b">
        <f>OR(LCI_Table[[#This Row],[Data Source]]="All",LCI_Table[[#This Row],[Data Source]]=SelectedDataSource)</f>
        <v>1</v>
      </c>
      <c r="L401" s="14" t="b">
        <f>TRUE</f>
        <v>1</v>
      </c>
      <c r="M401" s="14" t="b">
        <f>(LCI_Table[[#This Row],[Dev Notes]]="Do not display")</f>
        <v>0</v>
      </c>
      <c r="N401" s="14" t="b">
        <f>AND(LCI_Table[[#This Row],[Show Feedstock]:[Conditional]],NOT(LCI_Table[[#This Row],[Hide Row]]))</f>
        <v>0</v>
      </c>
      <c r="O401" s="14" t="b">
        <f>LCI_Table[[#This Row],[GREET1 Name Range]]=""</f>
        <v>0</v>
      </c>
      <c r="P401" s="14" t="s">
        <v>14</v>
      </c>
      <c r="Q401" s="14" t="s">
        <v>843</v>
      </c>
      <c r="R401" s="14" t="s">
        <v>9</v>
      </c>
      <c r="S401" s="37" cm="1">
        <f t="array" aca="1" ref="S4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01" s="346" t="s">
        <v>2110</v>
      </c>
      <c r="U401" s="347">
        <f ca="1">S401/S390</f>
        <v>0</v>
      </c>
      <c r="V401" s="347">
        <v>0</v>
      </c>
      <c r="W401" s="347">
        <v>0</v>
      </c>
      <c r="X401" s="14" t="s">
        <v>117</v>
      </c>
      <c r="Y401" s="346" t="s">
        <v>413</v>
      </c>
      <c r="Z401" s="14" t="str">
        <f>IF(ISBLANK(LCI_Table[[#This Row],[Notes for user]])," ",LCI_Table[[#This Row],[Notes for user]])</f>
        <v xml:space="preserve"> </v>
      </c>
      <c r="AA401" s="14"/>
      <c r="AB401" s="14"/>
      <c r="AC401" s="346">
        <f ca="1">LCI_Table[[#This Row],[Default Calculated Value]]-LCI_Table[[#This Row],[Calculated Value]]</f>
        <v>0</v>
      </c>
    </row>
    <row r="402" spans="1:29" x14ac:dyDescent="0.3">
      <c r="A4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facilities_Willow_Farming_LPGLPG</v>
      </c>
      <c r="B402" s="14" t="s">
        <v>131</v>
      </c>
      <c r="C402" s="14" t="s">
        <v>1964</v>
      </c>
      <c r="D402" s="14" t="s">
        <v>29</v>
      </c>
      <c r="E402" s="48" t="s">
        <v>29</v>
      </c>
      <c r="F402" s="14" t="s">
        <v>911</v>
      </c>
      <c r="G402" s="14" t="b">
        <f>OR(LCI_Table[[#This Row],[Feedstock]]="All",LCI_Table[[#This Row],[Feedstock]]=SelectedFeedstock)</f>
        <v>0</v>
      </c>
      <c r="H402" s="14" t="b">
        <f>OR(LCI_Table[[#This Row],[Conversion]]="All",LCI_Table[[#This Row],[Conversion]]=SelectedConversion)</f>
        <v>0</v>
      </c>
      <c r="I402" s="14" t="b">
        <f>OR(LCI_Table[[#This Row],[Data Set]]="all",LCI_Table[[#This Row],[Data Set]]=SelectedDataSet)</f>
        <v>1</v>
      </c>
      <c r="J402" s="14" t="b">
        <f>OR(LCI_Table[[#This Row],[Technology]]="All",LCI_Table[[#This Row],[Technology]]=SelectedTechnology)</f>
        <v>0</v>
      </c>
      <c r="K402" s="14" t="b">
        <f>OR(LCI_Table[[#This Row],[Data Source]]="All",LCI_Table[[#This Row],[Data Source]]=SelectedDataSource)</f>
        <v>1</v>
      </c>
      <c r="L402" s="14" t="b">
        <f>TRUE</f>
        <v>1</v>
      </c>
      <c r="M402" s="14" t="b">
        <f>(LCI_Table[[#This Row],[Dev Notes]]="Do not display")</f>
        <v>0</v>
      </c>
      <c r="N402" s="14" t="b">
        <f>AND(LCI_Table[[#This Row],[Show Feedstock]:[Conditional]],NOT(LCI_Table[[#This Row],[Hide Row]]))</f>
        <v>0</v>
      </c>
      <c r="O402" s="14" t="b">
        <f>LCI_Table[[#This Row],[GREET1 Name Range]]=""</f>
        <v>0</v>
      </c>
      <c r="P402" s="14" t="s">
        <v>14</v>
      </c>
      <c r="Q402" s="14" t="s">
        <v>851</v>
      </c>
      <c r="R402" s="14" t="s">
        <v>109</v>
      </c>
      <c r="S402" s="37" cm="1">
        <f t="array" aca="1" ref="S4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02" s="346" t="s">
        <v>1484</v>
      </c>
      <c r="U402" s="347">
        <f ca="1">S402*Fuel_Specs!$B$35/S390</f>
        <v>0</v>
      </c>
      <c r="V402" s="347">
        <v>0</v>
      </c>
      <c r="W402" s="347">
        <v>0</v>
      </c>
      <c r="X402" s="14" t="s">
        <v>5</v>
      </c>
      <c r="Y402" s="346" t="s">
        <v>413</v>
      </c>
      <c r="Z402" s="14" t="str">
        <f>IF(ISBLANK(LCI_Table[[#This Row],[Notes for user]])," ",LCI_Table[[#This Row],[Notes for user]])</f>
        <v xml:space="preserve"> </v>
      </c>
      <c r="AA402" s="14"/>
      <c r="AB402" s="14"/>
      <c r="AC402" s="346">
        <f ca="1">LCI_Table[[#This Row],[Default Calculated Value]]-LCI_Table[[#This Row],[Calculated Value]]</f>
        <v>0</v>
      </c>
    </row>
    <row r="403" spans="1:29" x14ac:dyDescent="0.3">
      <c r="A4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facilities_Willow_Farming_Forest_residueForest residue</v>
      </c>
      <c r="B403" s="14" t="s">
        <v>131</v>
      </c>
      <c r="C403" s="14" t="s">
        <v>1964</v>
      </c>
      <c r="D403" s="14" t="s">
        <v>29</v>
      </c>
      <c r="E403" s="48" t="s">
        <v>29</v>
      </c>
      <c r="F403" s="14" t="s">
        <v>911</v>
      </c>
      <c r="G403" s="14" t="b">
        <f>OR(LCI_Table[[#This Row],[Feedstock]]="All",LCI_Table[[#This Row],[Feedstock]]=SelectedFeedstock)</f>
        <v>0</v>
      </c>
      <c r="H403" s="14" t="b">
        <f>OR(LCI_Table[[#This Row],[Conversion]]="All",LCI_Table[[#This Row],[Conversion]]=SelectedConversion)</f>
        <v>0</v>
      </c>
      <c r="I403" s="14" t="b">
        <f>OR(LCI_Table[[#This Row],[Data Set]]="all",LCI_Table[[#This Row],[Data Set]]=SelectedDataSet)</f>
        <v>1</v>
      </c>
      <c r="J403" s="14" t="b">
        <f>OR(LCI_Table[[#This Row],[Technology]]="All",LCI_Table[[#This Row],[Technology]]=SelectedTechnology)</f>
        <v>0</v>
      </c>
      <c r="K403" s="14" t="b">
        <f>OR(LCI_Table[[#This Row],[Data Source]]="All",LCI_Table[[#This Row],[Data Source]]=SelectedDataSource)</f>
        <v>1</v>
      </c>
      <c r="L403" s="14" t="b">
        <f>TRUE</f>
        <v>1</v>
      </c>
      <c r="M403" s="14" t="b">
        <f>(LCI_Table[[#This Row],[Dev Notes]]="Do not display")</f>
        <v>0</v>
      </c>
      <c r="N403" s="14" t="b">
        <f>AND(LCI_Table[[#This Row],[Show Feedstock]:[Conditional]],NOT(LCI_Table[[#This Row],[Hide Row]]))</f>
        <v>0</v>
      </c>
      <c r="O403" s="14" t="b">
        <f>LCI_Table[[#This Row],[GREET1 Name Range]]=""</f>
        <v>0</v>
      </c>
      <c r="P403" s="14" t="s">
        <v>14</v>
      </c>
      <c r="Q403" s="14" t="s">
        <v>846</v>
      </c>
      <c r="R403" s="14" t="s">
        <v>316</v>
      </c>
      <c r="S403" s="37" cm="1">
        <f t="array" aca="1" ref="S4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03" s="346" t="s">
        <v>1485</v>
      </c>
      <c r="U403" s="347">
        <f ca="1">S403*Fuel_Specs!$B$100*ton2lb/S390</f>
        <v>0</v>
      </c>
      <c r="V403" s="347">
        <v>0</v>
      </c>
      <c r="W403" s="347">
        <v>0</v>
      </c>
      <c r="X403" s="14" t="s">
        <v>12</v>
      </c>
      <c r="Y403" s="346" t="s">
        <v>413</v>
      </c>
      <c r="Z403" s="14" t="str">
        <f>IF(ISBLANK(LCI_Table[[#This Row],[Notes for user]])," ",LCI_Table[[#This Row],[Notes for user]])</f>
        <v xml:space="preserve"> </v>
      </c>
      <c r="AA403" s="14"/>
      <c r="AB403" s="14"/>
      <c r="AC403" s="346">
        <f ca="1">LCI_Table[[#This Row],[Default Calculated Value]]-LCI_Table[[#This Row],[Calculated Value]]</f>
        <v>0</v>
      </c>
    </row>
    <row r="404" spans="1:29" x14ac:dyDescent="0.3">
      <c r="A4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facilities_Willow_Farming_ElectricityElectricity</v>
      </c>
      <c r="B404" s="14" t="s">
        <v>131</v>
      </c>
      <c r="C404" s="14" t="s">
        <v>1964</v>
      </c>
      <c r="D404" s="14" t="s">
        <v>29</v>
      </c>
      <c r="E404" s="48" t="s">
        <v>29</v>
      </c>
      <c r="F404" s="14" t="s">
        <v>911</v>
      </c>
      <c r="G404" s="14" t="b">
        <f>OR(LCI_Table[[#This Row],[Feedstock]]="All",LCI_Table[[#This Row],[Feedstock]]=SelectedFeedstock)</f>
        <v>0</v>
      </c>
      <c r="H404" s="14" t="b">
        <f>OR(LCI_Table[[#This Row],[Conversion]]="All",LCI_Table[[#This Row],[Conversion]]=SelectedConversion)</f>
        <v>0</v>
      </c>
      <c r="I404" s="14" t="b">
        <f>OR(LCI_Table[[#This Row],[Data Set]]="all",LCI_Table[[#This Row],[Data Set]]=SelectedDataSet)</f>
        <v>1</v>
      </c>
      <c r="J404" s="14" t="b">
        <f>OR(LCI_Table[[#This Row],[Technology]]="All",LCI_Table[[#This Row],[Technology]]=SelectedTechnology)</f>
        <v>0</v>
      </c>
      <c r="K404" s="14" t="b">
        <f>OR(LCI_Table[[#This Row],[Data Source]]="All",LCI_Table[[#This Row],[Data Source]]=SelectedDataSource)</f>
        <v>1</v>
      </c>
      <c r="L404" s="14" t="b">
        <f>TRUE</f>
        <v>1</v>
      </c>
      <c r="M404" s="14" t="b">
        <f>(LCI_Table[[#This Row],[Dev Notes]]="Do not display")</f>
        <v>0</v>
      </c>
      <c r="N404" s="14" t="b">
        <f>AND(LCI_Table[[#This Row],[Show Feedstock]:[Conditional]],NOT(LCI_Table[[#This Row],[Hide Row]]))</f>
        <v>0</v>
      </c>
      <c r="O404" s="14" t="b">
        <f>LCI_Table[[#This Row],[GREET1 Name Range]]=""</f>
        <v>0</v>
      </c>
      <c r="P404" s="14" t="s">
        <v>14</v>
      </c>
      <c r="Q404" s="14" t="s">
        <v>845</v>
      </c>
      <c r="R404" s="14" t="s">
        <v>110</v>
      </c>
      <c r="S404" s="37" cm="1">
        <f t="array" aca="1" ref="S4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3.4361703143240527</v>
      </c>
      <c r="T404" s="346" t="s">
        <v>1561</v>
      </c>
      <c r="U404" s="347">
        <f ca="1">S404/BTU2kWh/S390</f>
        <v>415.76949706167198</v>
      </c>
      <c r="V404" s="347">
        <v>3.4361703143240527</v>
      </c>
      <c r="W404" s="347">
        <v>415.76949706167198</v>
      </c>
      <c r="X404" s="14" t="s">
        <v>51</v>
      </c>
      <c r="Y404" s="346" t="s">
        <v>413</v>
      </c>
      <c r="Z404" s="14" t="str">
        <f>IF(ISBLANK(LCI_Table[[#This Row],[Notes for user]])," ",LCI_Table[[#This Row],[Notes for user]])</f>
        <v xml:space="preserve"> </v>
      </c>
      <c r="AA404" s="14"/>
      <c r="AB404" s="14"/>
      <c r="AC404" s="346">
        <f ca="1">LCI_Table[[#This Row],[Default Calculated Value]]-LCI_Table[[#This Row],[Calculated Value]]</f>
        <v>0</v>
      </c>
    </row>
    <row r="405" spans="1:29" x14ac:dyDescent="0.3">
      <c r="A4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facilities_Cellulosic_ETJ_FeedWillow</v>
      </c>
      <c r="B405" s="14" t="s">
        <v>131</v>
      </c>
      <c r="C405" s="14" t="s">
        <v>1964</v>
      </c>
      <c r="D405" s="14" t="s">
        <v>29</v>
      </c>
      <c r="E405" s="48" t="s">
        <v>29</v>
      </c>
      <c r="F405" s="14" t="s">
        <v>911</v>
      </c>
      <c r="G405" s="14" t="b">
        <f>OR(LCI_Table[[#This Row],[Feedstock]]="All",LCI_Table[[#This Row],[Feedstock]]=SelectedFeedstock)</f>
        <v>0</v>
      </c>
      <c r="H405" s="14" t="b">
        <f>OR(LCI_Table[[#This Row],[Conversion]]="All",LCI_Table[[#This Row],[Conversion]]=SelectedConversion)</f>
        <v>0</v>
      </c>
      <c r="I405" s="14" t="b">
        <f>OR(LCI_Table[[#This Row],[Data Set]]="all",LCI_Table[[#This Row],[Data Set]]=SelectedDataSet)</f>
        <v>1</v>
      </c>
      <c r="J405" s="14" t="b">
        <f>OR(LCI_Table[[#This Row],[Technology]]="All",LCI_Table[[#This Row],[Technology]]=SelectedTechnology)</f>
        <v>0</v>
      </c>
      <c r="K405" s="14" t="b">
        <f>OR(LCI_Table[[#This Row],[Data Source]]="All",LCI_Table[[#This Row],[Data Source]]=SelectedDataSource)</f>
        <v>1</v>
      </c>
      <c r="L405" s="14" t="b">
        <f>TRUE</f>
        <v>1</v>
      </c>
      <c r="M405" s="14" t="b">
        <f>(LCI_Table[[#This Row],[Dev Notes]]="Do not display")</f>
        <v>0</v>
      </c>
      <c r="N405" s="14" t="b">
        <f>AND(LCI_Table[[#This Row],[Show Feedstock]:[Conditional]],NOT(LCI_Table[[#This Row],[Hide Row]]))</f>
        <v>0</v>
      </c>
      <c r="O405" s="14" t="b">
        <f>LCI_Table[[#This Row],[GREET1 Name Range]]=""</f>
        <v>0</v>
      </c>
      <c r="P405" s="14" t="s">
        <v>1448</v>
      </c>
      <c r="Q405" s="14" t="s">
        <v>562</v>
      </c>
      <c r="R405" s="14" t="s">
        <v>131</v>
      </c>
      <c r="S405" s="37" cm="1">
        <f t="array" aca="1" ref="S4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371.68351875591401</v>
      </c>
      <c r="T405" s="346" t="s">
        <v>2119</v>
      </c>
      <c r="U405" s="347">
        <f ca="1">S405/kg2lb/Allocations!$O$42*MJ2mmBTU</f>
        <v>0.21213150478299433</v>
      </c>
      <c r="V405" s="347">
        <v>371.68351875591401</v>
      </c>
      <c r="W405" s="347">
        <v>0.21213150478299433</v>
      </c>
      <c r="X405" s="37" t="s">
        <v>12</v>
      </c>
      <c r="Y405" s="346" t="s">
        <v>416</v>
      </c>
      <c r="Z405" s="14" t="str">
        <f>IF(ISBLANK(LCI_Table[[#This Row],[Notes for user]])," ",LCI_Table[[#This Row],[Notes for user]])</f>
        <v xml:space="preserve"> </v>
      </c>
      <c r="AA405" s="14"/>
      <c r="AB405" s="14"/>
      <c r="AC405" s="346">
        <f ca="1">LCI_Table[[#This Row],[Default Calculated Value]]-LCI_Table[[#This Row],[Calculated Value]]</f>
        <v>0</v>
      </c>
    </row>
    <row r="406" spans="1:29" x14ac:dyDescent="0.3">
      <c r="A4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facilities_Cellulosic_ETJ_HydrogenHydrogen</v>
      </c>
      <c r="B406" s="14" t="s">
        <v>131</v>
      </c>
      <c r="C406" s="14" t="s">
        <v>1964</v>
      </c>
      <c r="D406" s="14" t="s">
        <v>29</v>
      </c>
      <c r="E406" s="48" t="s">
        <v>29</v>
      </c>
      <c r="F406" s="14" t="s">
        <v>911</v>
      </c>
      <c r="G406" s="14" t="b">
        <f>OR(LCI_Table[[#This Row],[Feedstock]]="All",LCI_Table[[#This Row],[Feedstock]]=SelectedFeedstock)</f>
        <v>0</v>
      </c>
      <c r="H406" s="14" t="b">
        <f>OR(LCI_Table[[#This Row],[Conversion]]="All",LCI_Table[[#This Row],[Conversion]]=SelectedConversion)</f>
        <v>0</v>
      </c>
      <c r="I406" s="14" t="b">
        <f>OR(LCI_Table[[#This Row],[Data Set]]="all",LCI_Table[[#This Row],[Data Set]]=SelectedDataSet)</f>
        <v>1</v>
      </c>
      <c r="J406" s="14" t="b">
        <f>OR(LCI_Table[[#This Row],[Technology]]="All",LCI_Table[[#This Row],[Technology]]=SelectedTechnology)</f>
        <v>0</v>
      </c>
      <c r="K406" s="14" t="b">
        <f>OR(LCI_Table[[#This Row],[Data Source]]="All",LCI_Table[[#This Row],[Data Source]]=SelectedDataSource)</f>
        <v>1</v>
      </c>
      <c r="L406" s="14" t="b">
        <f>TRUE</f>
        <v>1</v>
      </c>
      <c r="M406" s="14" t="b">
        <f>(LCI_Table[[#This Row],[Dev Notes]]="Do not display")</f>
        <v>0</v>
      </c>
      <c r="N406" s="14" t="b">
        <f>AND(LCI_Table[[#This Row],[Show Feedstock]:[Conditional]],NOT(LCI_Table[[#This Row],[Hide Row]]))</f>
        <v>0</v>
      </c>
      <c r="O406" s="14" t="b">
        <f>LCI_Table[[#This Row],[GREET1 Name Range]]=""</f>
        <v>0</v>
      </c>
      <c r="P406" s="14" t="s">
        <v>1448</v>
      </c>
      <c r="Q406" s="14" t="s">
        <v>565</v>
      </c>
      <c r="R406" s="14" t="s">
        <v>73</v>
      </c>
      <c r="S406" s="37" cm="1">
        <f t="array" aca="1" ref="S4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210.24598998652542</v>
      </c>
      <c r="T406" s="346" t="s">
        <v>2120</v>
      </c>
      <c r="U406" s="347">
        <f ca="1">S406/kg2g*Fuel_Specs!$E$81/Allocations!$O$42*MJ2mmBTU</f>
        <v>6.745808835334578E-4</v>
      </c>
      <c r="V406" s="347">
        <v>210.24598998652542</v>
      </c>
      <c r="W406" s="347">
        <v>6.745808835334578E-4</v>
      </c>
      <c r="X406" s="37" t="s">
        <v>351</v>
      </c>
      <c r="Y406" s="346" t="s">
        <v>416</v>
      </c>
      <c r="Z406" s="14" t="str">
        <f>IF(ISBLANK(LCI_Table[[#This Row],[Notes for user]])," ",LCI_Table[[#This Row],[Notes for user]])</f>
        <v xml:space="preserve"> </v>
      </c>
      <c r="AA406" s="14"/>
      <c r="AB406" s="14"/>
      <c r="AC406" s="346">
        <f ca="1">LCI_Table[[#This Row],[Default Calculated Value]]-LCI_Table[[#This Row],[Calculated Value]]</f>
        <v>0</v>
      </c>
    </row>
    <row r="407" spans="1:29" x14ac:dyDescent="0.3">
      <c r="A4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facilities_Cellulosic_ETJ_AmmoniaAmmonia</v>
      </c>
      <c r="B407" s="14" t="s">
        <v>131</v>
      </c>
      <c r="C407" s="14" t="s">
        <v>1964</v>
      </c>
      <c r="D407" s="14" t="s">
        <v>29</v>
      </c>
      <c r="E407" s="48" t="s">
        <v>29</v>
      </c>
      <c r="F407" s="14" t="s">
        <v>911</v>
      </c>
      <c r="G407" s="14" t="b">
        <f>OR(LCI_Table[[#This Row],[Feedstock]]="All",LCI_Table[[#This Row],[Feedstock]]=SelectedFeedstock)</f>
        <v>0</v>
      </c>
      <c r="H407" s="14" t="b">
        <f>OR(LCI_Table[[#This Row],[Conversion]]="All",LCI_Table[[#This Row],[Conversion]]=SelectedConversion)</f>
        <v>0</v>
      </c>
      <c r="I407" s="14" t="b">
        <f>OR(LCI_Table[[#This Row],[Data Set]]="all",LCI_Table[[#This Row],[Data Set]]=SelectedDataSet)</f>
        <v>1</v>
      </c>
      <c r="J407" s="14" t="b">
        <f>OR(LCI_Table[[#This Row],[Technology]]="All",LCI_Table[[#This Row],[Technology]]=SelectedTechnology)</f>
        <v>0</v>
      </c>
      <c r="K407" s="14" t="b">
        <f>OR(LCI_Table[[#This Row],[Data Source]]="All",LCI_Table[[#This Row],[Data Source]]=SelectedDataSource)</f>
        <v>1</v>
      </c>
      <c r="L407" s="14" t="b">
        <f>TRUE</f>
        <v>1</v>
      </c>
      <c r="M407" s="14" t="b">
        <f>(LCI_Table[[#This Row],[Dev Notes]]="Do not display")</f>
        <v>0</v>
      </c>
      <c r="N407" s="14" t="b">
        <f>AND(LCI_Table[[#This Row],[Show Feedstock]:[Conditional]],NOT(LCI_Table[[#This Row],[Hide Row]]))</f>
        <v>0</v>
      </c>
      <c r="O407" s="14" t="b">
        <f>LCI_Table[[#This Row],[GREET1 Name Range]]=""</f>
        <v>0</v>
      </c>
      <c r="P407" s="14" t="s">
        <v>1448</v>
      </c>
      <c r="Q407" s="14" t="s">
        <v>557</v>
      </c>
      <c r="R407" s="14" t="s">
        <v>382</v>
      </c>
      <c r="S407" s="37" cm="1">
        <f t="array" aca="1" ref="S4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617.69707425785418</v>
      </c>
      <c r="T407" s="346" t="s">
        <v>2127</v>
      </c>
      <c r="U407" s="347">
        <f ca="1">S407/kg2g/Allocations!$O$42*MJ2mmBTU</f>
        <v>7.7721589248412777E-4</v>
      </c>
      <c r="V407" s="347">
        <v>617.69707425785418</v>
      </c>
      <c r="W407" s="347">
        <v>7.7721589248412777E-4</v>
      </c>
      <c r="X407" s="37" t="s">
        <v>6</v>
      </c>
      <c r="Y407" s="346" t="s">
        <v>416</v>
      </c>
      <c r="Z407" s="14" t="str">
        <f>IF(ISBLANK(LCI_Table[[#This Row],[Notes for user]])," ",LCI_Table[[#This Row],[Notes for user]])</f>
        <v xml:space="preserve"> </v>
      </c>
      <c r="AA407" s="14"/>
      <c r="AB407" s="14"/>
      <c r="AC407" s="346">
        <f ca="1">LCI_Table[[#This Row],[Default Calculated Value]]-LCI_Table[[#This Row],[Calculated Value]]</f>
        <v>0</v>
      </c>
    </row>
    <row r="408" spans="1:29" x14ac:dyDescent="0.3">
      <c r="A4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facilities_Cellulosic_ETJ_CatalystsCatalysts</v>
      </c>
      <c r="B408" s="14" t="s">
        <v>131</v>
      </c>
      <c r="C408" s="14" t="s">
        <v>1964</v>
      </c>
      <c r="D408" s="14" t="s">
        <v>29</v>
      </c>
      <c r="E408" s="48" t="s">
        <v>29</v>
      </c>
      <c r="F408" s="14" t="s">
        <v>911</v>
      </c>
      <c r="G408" s="14" t="b">
        <f>OR(LCI_Table[[#This Row],[Feedstock]]="All",LCI_Table[[#This Row],[Feedstock]]=SelectedFeedstock)</f>
        <v>0</v>
      </c>
      <c r="H408" s="14" t="b">
        <f>OR(LCI_Table[[#This Row],[Conversion]]="All",LCI_Table[[#This Row],[Conversion]]=SelectedConversion)</f>
        <v>0</v>
      </c>
      <c r="I408" s="14" t="b">
        <f>OR(LCI_Table[[#This Row],[Data Set]]="all",LCI_Table[[#This Row],[Data Set]]=SelectedDataSet)</f>
        <v>1</v>
      </c>
      <c r="J408" s="14" t="b">
        <f>OR(LCI_Table[[#This Row],[Technology]]="All",LCI_Table[[#This Row],[Technology]]=SelectedTechnology)</f>
        <v>0</v>
      </c>
      <c r="K408" s="14" t="b">
        <f>OR(LCI_Table[[#This Row],[Data Source]]="All",LCI_Table[[#This Row],[Data Source]]=SelectedDataSource)</f>
        <v>1</v>
      </c>
      <c r="L408" s="14" t="b">
        <f>TRUE</f>
        <v>1</v>
      </c>
      <c r="M408" s="14" t="b">
        <f>(LCI_Table[[#This Row],[Dev Notes]]="Do not display")</f>
        <v>0</v>
      </c>
      <c r="N408" s="14" t="b">
        <f>AND(LCI_Table[[#This Row],[Show Feedstock]:[Conditional]],NOT(LCI_Table[[#This Row],[Hide Row]]))</f>
        <v>0</v>
      </c>
      <c r="O408" s="14" t="b">
        <f>LCI_Table[[#This Row],[GREET1 Name Range]]=""</f>
        <v>0</v>
      </c>
      <c r="P408" s="14" t="s">
        <v>1448</v>
      </c>
      <c r="Q408" s="14" t="s">
        <v>558</v>
      </c>
      <c r="R408" s="14" t="s">
        <v>142</v>
      </c>
      <c r="S408" s="37" cm="1">
        <f t="array" aca="1" ref="S4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84.971115198327823</v>
      </c>
      <c r="T408" s="346" t="s">
        <v>2127</v>
      </c>
      <c r="U408" s="347">
        <f ca="1">S408/kg2g/Allocations!$O$42*MJ2mmBTU</f>
        <v>1.0691470606945369E-4</v>
      </c>
      <c r="V408" s="347">
        <v>84.971115198327823</v>
      </c>
      <c r="W408" s="347">
        <v>1.0691470606945369E-4</v>
      </c>
      <c r="X408" s="37" t="s">
        <v>6</v>
      </c>
      <c r="Y408" s="346" t="s">
        <v>416</v>
      </c>
      <c r="Z408" s="14" t="str">
        <f>IF(ISBLANK(LCI_Table[[#This Row],[Notes for user]])," ",LCI_Table[[#This Row],[Notes for user]])</f>
        <v xml:space="preserve"> </v>
      </c>
      <c r="AA408" s="14"/>
      <c r="AB408" s="14"/>
      <c r="AC408" s="346">
        <f ca="1">LCI_Table[[#This Row],[Default Calculated Value]]-LCI_Table[[#This Row],[Calculated Value]]</f>
        <v>0</v>
      </c>
    </row>
    <row r="409" spans="1:29" x14ac:dyDescent="0.3">
      <c r="A4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facilities_Cellulosic_ETJ_Corn_steep_liquorCorn steep liquor</v>
      </c>
      <c r="B409" s="14" t="s">
        <v>131</v>
      </c>
      <c r="C409" s="14" t="s">
        <v>1964</v>
      </c>
      <c r="D409" s="14" t="s">
        <v>29</v>
      </c>
      <c r="E409" s="48" t="s">
        <v>29</v>
      </c>
      <c r="F409" s="14" t="s">
        <v>911</v>
      </c>
      <c r="G409" s="14" t="b">
        <f>OR(LCI_Table[[#This Row],[Feedstock]]="All",LCI_Table[[#This Row],[Feedstock]]=SelectedFeedstock)</f>
        <v>0</v>
      </c>
      <c r="H409" s="14" t="b">
        <f>OR(LCI_Table[[#This Row],[Conversion]]="All",LCI_Table[[#This Row],[Conversion]]=SelectedConversion)</f>
        <v>0</v>
      </c>
      <c r="I409" s="14" t="b">
        <f>OR(LCI_Table[[#This Row],[Data Set]]="all",LCI_Table[[#This Row],[Data Set]]=SelectedDataSet)</f>
        <v>1</v>
      </c>
      <c r="J409" s="14" t="b">
        <f>OR(LCI_Table[[#This Row],[Technology]]="All",LCI_Table[[#This Row],[Technology]]=SelectedTechnology)</f>
        <v>0</v>
      </c>
      <c r="K409" s="14" t="b">
        <f>OR(LCI_Table[[#This Row],[Data Source]]="All",LCI_Table[[#This Row],[Data Source]]=SelectedDataSource)</f>
        <v>1</v>
      </c>
      <c r="L409" s="14" t="b">
        <f>TRUE</f>
        <v>1</v>
      </c>
      <c r="M409" s="14" t="b">
        <f>(LCI_Table[[#This Row],[Dev Notes]]="Do not display")</f>
        <v>0</v>
      </c>
      <c r="N409" s="14" t="b">
        <f>AND(LCI_Table[[#This Row],[Show Feedstock]:[Conditional]],NOT(LCI_Table[[#This Row],[Hide Row]]))</f>
        <v>0</v>
      </c>
      <c r="O409" s="14" t="b">
        <f>LCI_Table[[#This Row],[GREET1 Name Range]]=""</f>
        <v>0</v>
      </c>
      <c r="P409" s="14" t="s">
        <v>1448</v>
      </c>
      <c r="Q409" s="14" t="s">
        <v>559</v>
      </c>
      <c r="R409" s="14" t="s">
        <v>386</v>
      </c>
      <c r="S409" s="37" cm="1">
        <f t="array" aca="1" ref="S4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2678.6132505377623</v>
      </c>
      <c r="T409" s="346" t="s">
        <v>2127</v>
      </c>
      <c r="U409" s="347">
        <f ca="1">S409/kg2g/Allocations!$O$42*MJ2mmBTU</f>
        <v>3.3703588294275401E-3</v>
      </c>
      <c r="V409" s="347">
        <v>2678.6132505377623</v>
      </c>
      <c r="W409" s="347">
        <v>3.3703588294275401E-3</v>
      </c>
      <c r="X409" s="37" t="s">
        <v>6</v>
      </c>
      <c r="Y409" s="346" t="s">
        <v>416</v>
      </c>
      <c r="Z409" s="14" t="str">
        <f>IF(ISBLANK(LCI_Table[[#This Row],[Notes for user]])," ",LCI_Table[[#This Row],[Notes for user]])</f>
        <v xml:space="preserve"> </v>
      </c>
      <c r="AA409" s="14"/>
      <c r="AB409" s="14"/>
      <c r="AC409" s="346">
        <f ca="1">LCI_Table[[#This Row],[Default Calculated Value]]-LCI_Table[[#This Row],[Calculated Value]]</f>
        <v>0</v>
      </c>
    </row>
    <row r="410" spans="1:29" x14ac:dyDescent="0.3">
      <c r="A4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facilities_Cellulosic_ETJ_DAPDAP</v>
      </c>
      <c r="B410" s="14" t="s">
        <v>131</v>
      </c>
      <c r="C410" s="14" t="s">
        <v>1964</v>
      </c>
      <c r="D410" s="14" t="s">
        <v>29</v>
      </c>
      <c r="E410" s="48" t="s">
        <v>29</v>
      </c>
      <c r="F410" s="14" t="s">
        <v>911</v>
      </c>
      <c r="G410" s="14" t="b">
        <f>OR(LCI_Table[[#This Row],[Feedstock]]="All",LCI_Table[[#This Row],[Feedstock]]=SelectedFeedstock)</f>
        <v>0</v>
      </c>
      <c r="H410" s="14" t="b">
        <f>OR(LCI_Table[[#This Row],[Conversion]]="All",LCI_Table[[#This Row],[Conversion]]=SelectedConversion)</f>
        <v>0</v>
      </c>
      <c r="I410" s="14" t="b">
        <f>OR(LCI_Table[[#This Row],[Data Set]]="all",LCI_Table[[#This Row],[Data Set]]=SelectedDataSet)</f>
        <v>1</v>
      </c>
      <c r="J410" s="14" t="b">
        <f>OR(LCI_Table[[#This Row],[Technology]]="All",LCI_Table[[#This Row],[Technology]]=SelectedTechnology)</f>
        <v>0</v>
      </c>
      <c r="K410" s="14" t="b">
        <f>OR(LCI_Table[[#This Row],[Data Source]]="All",LCI_Table[[#This Row],[Data Source]]=SelectedDataSource)</f>
        <v>1</v>
      </c>
      <c r="L410" s="14" t="b">
        <f>TRUE</f>
        <v>1</v>
      </c>
      <c r="M410" s="14" t="b">
        <f>(LCI_Table[[#This Row],[Dev Notes]]="Do not display")</f>
        <v>0</v>
      </c>
      <c r="N410" s="14" t="b">
        <f>AND(LCI_Table[[#This Row],[Show Feedstock]:[Conditional]],NOT(LCI_Table[[#This Row],[Hide Row]]))</f>
        <v>0</v>
      </c>
      <c r="O410" s="14" t="b">
        <f>LCI_Table[[#This Row],[GREET1 Name Range]]=""</f>
        <v>0</v>
      </c>
      <c r="P410" s="14" t="s">
        <v>1448</v>
      </c>
      <c r="Q410" s="14" t="s">
        <v>560</v>
      </c>
      <c r="R410" s="14" t="s">
        <v>383</v>
      </c>
      <c r="S410" s="37" cm="1">
        <f t="array" aca="1" ref="S4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287.28329424196545</v>
      </c>
      <c r="T410" s="346" t="s">
        <v>2127</v>
      </c>
      <c r="U410" s="347">
        <f ca="1">S410/kg2g/Allocations!$O$42*MJ2mmBTU</f>
        <v>3.6147353004434345E-4</v>
      </c>
      <c r="V410" s="347">
        <v>287.28329424196545</v>
      </c>
      <c r="W410" s="347">
        <v>3.6147353004434345E-4</v>
      </c>
      <c r="X410" s="37" t="s">
        <v>6</v>
      </c>
      <c r="Y410" s="346" t="s">
        <v>416</v>
      </c>
      <c r="Z410" s="14" t="str">
        <f>IF(ISBLANK(LCI_Table[[#This Row],[Notes for user]])," ",LCI_Table[[#This Row],[Notes for user]])</f>
        <v xml:space="preserve"> </v>
      </c>
      <c r="AA410" s="14"/>
      <c r="AB410" s="14"/>
      <c r="AC410" s="346">
        <f ca="1">LCI_Table[[#This Row],[Default Calculated Value]]-LCI_Table[[#This Row],[Calculated Value]]</f>
        <v>0</v>
      </c>
    </row>
    <row r="411" spans="1:29" x14ac:dyDescent="0.3">
      <c r="A4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facilities_Cellulosic_ETJ_GlucoseGlucose</v>
      </c>
      <c r="B411" s="14" t="s">
        <v>131</v>
      </c>
      <c r="C411" s="14" t="s">
        <v>1964</v>
      </c>
      <c r="D411" s="14" t="s">
        <v>29</v>
      </c>
      <c r="E411" s="48" t="s">
        <v>29</v>
      </c>
      <c r="F411" s="14" t="s">
        <v>911</v>
      </c>
      <c r="G411" s="14" t="b">
        <f>OR(LCI_Table[[#This Row],[Feedstock]]="All",LCI_Table[[#This Row],[Feedstock]]=SelectedFeedstock)</f>
        <v>0</v>
      </c>
      <c r="H411" s="14" t="b">
        <f>OR(LCI_Table[[#This Row],[Conversion]]="All",LCI_Table[[#This Row],[Conversion]]=SelectedConversion)</f>
        <v>0</v>
      </c>
      <c r="I411" s="14" t="b">
        <f>OR(LCI_Table[[#This Row],[Data Set]]="all",LCI_Table[[#This Row],[Data Set]]=SelectedDataSet)</f>
        <v>1</v>
      </c>
      <c r="J411" s="14" t="b">
        <f>OR(LCI_Table[[#This Row],[Technology]]="All",LCI_Table[[#This Row],[Technology]]=SelectedTechnology)</f>
        <v>0</v>
      </c>
      <c r="K411" s="14" t="b">
        <f>OR(LCI_Table[[#This Row],[Data Source]]="All",LCI_Table[[#This Row],[Data Source]]=SelectedDataSource)</f>
        <v>1</v>
      </c>
      <c r="L411" s="14" t="b">
        <f>TRUE</f>
        <v>1</v>
      </c>
      <c r="M411" s="14" t="b">
        <f>(LCI_Table[[#This Row],[Dev Notes]]="Do not display")</f>
        <v>0</v>
      </c>
      <c r="N411" s="14" t="b">
        <f>AND(LCI_Table[[#This Row],[Show Feedstock]:[Conditional]],NOT(LCI_Table[[#This Row],[Hide Row]]))</f>
        <v>0</v>
      </c>
      <c r="O411" s="14" t="b">
        <f>LCI_Table[[#This Row],[GREET1 Name Range]]=""</f>
        <v>0</v>
      </c>
      <c r="P411" s="14" t="s">
        <v>1448</v>
      </c>
      <c r="Q411" s="14" t="s">
        <v>563</v>
      </c>
      <c r="R411" s="14" t="s">
        <v>387</v>
      </c>
      <c r="S411" s="37" cm="1">
        <f t="array" aca="1" ref="S4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4891.908489275158</v>
      </c>
      <c r="T411" s="346" t="s">
        <v>2127</v>
      </c>
      <c r="U411" s="347">
        <f ca="1">S411/kg2g/Allocations!$O$42*MJ2mmBTU</f>
        <v>6.1552323637128334E-3</v>
      </c>
      <c r="V411" s="347">
        <v>4891.908489275158</v>
      </c>
      <c r="W411" s="347">
        <v>6.1552323637128334E-3</v>
      </c>
      <c r="X411" s="37" t="s">
        <v>6</v>
      </c>
      <c r="Y411" s="346" t="s">
        <v>416</v>
      </c>
      <c r="Z411" s="14" t="str">
        <f>IF(ISBLANK(LCI_Table[[#This Row],[Notes for user]])," ",LCI_Table[[#This Row],[Notes for user]])</f>
        <v xml:space="preserve"> </v>
      </c>
      <c r="AA411" s="14"/>
      <c r="AB411" s="14"/>
      <c r="AC411" s="346">
        <f ca="1">LCI_Table[[#This Row],[Default Calculated Value]]-LCI_Table[[#This Row],[Calculated Value]]</f>
        <v>0</v>
      </c>
    </row>
    <row r="412" spans="1:29" x14ac:dyDescent="0.3">
      <c r="A4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facilities_Cellulosic_ETJ_Host_nutrientsHost nutrients</v>
      </c>
      <c r="B412" s="14" t="s">
        <v>131</v>
      </c>
      <c r="C412" s="14" t="s">
        <v>1964</v>
      </c>
      <c r="D412" s="14" t="s">
        <v>29</v>
      </c>
      <c r="E412" s="48" t="s">
        <v>29</v>
      </c>
      <c r="F412" s="14" t="s">
        <v>911</v>
      </c>
      <c r="G412" s="14" t="b">
        <f>OR(LCI_Table[[#This Row],[Feedstock]]="All",LCI_Table[[#This Row],[Feedstock]]=SelectedFeedstock)</f>
        <v>0</v>
      </c>
      <c r="H412" s="14" t="b">
        <f>OR(LCI_Table[[#This Row],[Conversion]]="All",LCI_Table[[#This Row],[Conversion]]=SelectedConversion)</f>
        <v>0</v>
      </c>
      <c r="I412" s="14" t="b">
        <f>OR(LCI_Table[[#This Row],[Data Set]]="all",LCI_Table[[#This Row],[Data Set]]=SelectedDataSet)</f>
        <v>1</v>
      </c>
      <c r="J412" s="14" t="b">
        <f>OR(LCI_Table[[#This Row],[Technology]]="All",LCI_Table[[#This Row],[Technology]]=SelectedTechnology)</f>
        <v>0</v>
      </c>
      <c r="K412" s="14" t="b">
        <f>OR(LCI_Table[[#This Row],[Data Source]]="All",LCI_Table[[#This Row],[Data Source]]=SelectedDataSource)</f>
        <v>1</v>
      </c>
      <c r="L412" s="14" t="b">
        <f>TRUE</f>
        <v>1</v>
      </c>
      <c r="M412" s="14" t="b">
        <f>(LCI_Table[[#This Row],[Dev Notes]]="Do not display")</f>
        <v>0</v>
      </c>
      <c r="N412" s="14" t="b">
        <f>AND(LCI_Table[[#This Row],[Show Feedstock]:[Conditional]],NOT(LCI_Table[[#This Row],[Hide Row]]))</f>
        <v>0</v>
      </c>
      <c r="O412" s="14" t="b">
        <f>LCI_Table[[#This Row],[GREET1 Name Range]]=""</f>
        <v>0</v>
      </c>
      <c r="P412" s="14" t="s">
        <v>1448</v>
      </c>
      <c r="Q412" s="14" t="s">
        <v>564</v>
      </c>
      <c r="R412" s="14" t="s">
        <v>388</v>
      </c>
      <c r="S412" s="37" cm="1">
        <f t="array" aca="1" ref="S4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135.54915995923719</v>
      </c>
      <c r="T412" s="346" t="s">
        <v>2127</v>
      </c>
      <c r="U412" s="347">
        <f ca="1">S412/kg2g/Allocations!$O$42*MJ2mmBTU</f>
        <v>1.7055441206317607E-4</v>
      </c>
      <c r="V412" s="347">
        <v>135.54915995923719</v>
      </c>
      <c r="W412" s="347">
        <v>1.7055441206317607E-4</v>
      </c>
      <c r="X412" s="37" t="s">
        <v>6</v>
      </c>
      <c r="Y412" s="346" t="s">
        <v>416</v>
      </c>
      <c r="Z412" s="14" t="str">
        <f>IF(ISBLANK(LCI_Table[[#This Row],[Notes for user]])," ",LCI_Table[[#This Row],[Notes for user]])</f>
        <v xml:space="preserve"> </v>
      </c>
      <c r="AA412" s="14"/>
      <c r="AB412" s="14"/>
      <c r="AC412" s="346">
        <f ca="1">LCI_Table[[#This Row],[Default Calculated Value]]-LCI_Table[[#This Row],[Calculated Value]]</f>
        <v>0</v>
      </c>
    </row>
    <row r="413" spans="1:29" x14ac:dyDescent="0.3">
      <c r="A4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facilities_Cellulosic_ETJ_LimeLime</v>
      </c>
      <c r="B413" s="14" t="s">
        <v>131</v>
      </c>
      <c r="C413" s="14" t="s">
        <v>1964</v>
      </c>
      <c r="D413" s="14" t="s">
        <v>29</v>
      </c>
      <c r="E413" s="48" t="s">
        <v>29</v>
      </c>
      <c r="F413" s="14" t="s">
        <v>911</v>
      </c>
      <c r="G413" s="14" t="b">
        <f>OR(LCI_Table[[#This Row],[Feedstock]]="All",LCI_Table[[#This Row],[Feedstock]]=SelectedFeedstock)</f>
        <v>0</v>
      </c>
      <c r="H413" s="14" t="b">
        <f>OR(LCI_Table[[#This Row],[Conversion]]="All",LCI_Table[[#This Row],[Conversion]]=SelectedConversion)</f>
        <v>0</v>
      </c>
      <c r="I413" s="14" t="b">
        <f>OR(LCI_Table[[#This Row],[Data Set]]="all",LCI_Table[[#This Row],[Data Set]]=SelectedDataSet)</f>
        <v>1</v>
      </c>
      <c r="J413" s="14" t="b">
        <f>OR(LCI_Table[[#This Row],[Technology]]="All",LCI_Table[[#This Row],[Technology]]=SelectedTechnology)</f>
        <v>0</v>
      </c>
      <c r="K413" s="14" t="b">
        <f>OR(LCI_Table[[#This Row],[Data Source]]="All",LCI_Table[[#This Row],[Data Source]]=SelectedDataSource)</f>
        <v>1</v>
      </c>
      <c r="L413" s="14" t="b">
        <f>TRUE</f>
        <v>1</v>
      </c>
      <c r="M413" s="14" t="b">
        <f>(LCI_Table[[#This Row],[Dev Notes]]="Do not display")</f>
        <v>0</v>
      </c>
      <c r="N413" s="14" t="b">
        <f>AND(LCI_Table[[#This Row],[Show Feedstock]:[Conditional]],NOT(LCI_Table[[#This Row],[Hide Row]]))</f>
        <v>0</v>
      </c>
      <c r="O413" s="14" t="b">
        <f>LCI_Table[[#This Row],[GREET1 Name Range]]=""</f>
        <v>0</v>
      </c>
      <c r="P413" s="14" t="s">
        <v>1448</v>
      </c>
      <c r="Q413" s="14" t="s">
        <v>566</v>
      </c>
      <c r="R413" s="14" t="s">
        <v>143</v>
      </c>
      <c r="S413" s="37" cm="1">
        <f t="array" aca="1" ref="S4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1790.4627845361929</v>
      </c>
      <c r="T413" s="346" t="s">
        <v>2127</v>
      </c>
      <c r="U413" s="347">
        <f ca="1">S413/kg2g/Allocations!$O$42*MJ2mmBTU</f>
        <v>2.2528455921777737E-3</v>
      </c>
      <c r="V413" s="347">
        <v>1790.4627845361929</v>
      </c>
      <c r="W413" s="347">
        <v>2.2528455921777737E-3</v>
      </c>
      <c r="X413" s="14" t="s">
        <v>6</v>
      </c>
      <c r="Y413" s="346" t="s">
        <v>416</v>
      </c>
      <c r="Z413" s="14" t="str">
        <f>IF(ISBLANK(LCI_Table[[#This Row],[Notes for user]])," ",LCI_Table[[#This Row],[Notes for user]])</f>
        <v xml:space="preserve"> </v>
      </c>
      <c r="AA413" s="14"/>
      <c r="AB413" s="14"/>
      <c r="AC413" s="346">
        <f ca="1">LCI_Table[[#This Row],[Default Calculated Value]]-LCI_Table[[#This Row],[Calculated Value]]</f>
        <v>0</v>
      </c>
    </row>
    <row r="414" spans="1:29" x14ac:dyDescent="0.3">
      <c r="A4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facilities_Cellulosic_ETJ_Sulfuric_acidSulfuric acid</v>
      </c>
      <c r="B414" s="14" t="s">
        <v>131</v>
      </c>
      <c r="C414" s="14" t="s">
        <v>1964</v>
      </c>
      <c r="D414" s="14" t="s">
        <v>29</v>
      </c>
      <c r="E414" s="48" t="s">
        <v>29</v>
      </c>
      <c r="F414" s="14" t="s">
        <v>911</v>
      </c>
      <c r="G414" s="14" t="b">
        <f>OR(LCI_Table[[#This Row],[Feedstock]]="All",LCI_Table[[#This Row],[Feedstock]]=SelectedFeedstock)</f>
        <v>0</v>
      </c>
      <c r="H414" s="14" t="b">
        <f>OR(LCI_Table[[#This Row],[Conversion]]="All",LCI_Table[[#This Row],[Conversion]]=SelectedConversion)</f>
        <v>0</v>
      </c>
      <c r="I414" s="14" t="b">
        <f>OR(LCI_Table[[#This Row],[Data Set]]="all",LCI_Table[[#This Row],[Data Set]]=SelectedDataSet)</f>
        <v>1</v>
      </c>
      <c r="J414" s="14" t="b">
        <f>OR(LCI_Table[[#This Row],[Technology]]="All",LCI_Table[[#This Row],[Technology]]=SelectedTechnology)</f>
        <v>0</v>
      </c>
      <c r="K414" s="14" t="b">
        <f>OR(LCI_Table[[#This Row],[Data Source]]="All",LCI_Table[[#This Row],[Data Source]]=SelectedDataSource)</f>
        <v>1</v>
      </c>
      <c r="L414" s="14" t="b">
        <f>TRUE</f>
        <v>1</v>
      </c>
      <c r="M414" s="14" t="b">
        <f>(LCI_Table[[#This Row],[Dev Notes]]="Do not display")</f>
        <v>0</v>
      </c>
      <c r="N414" s="14" t="b">
        <f>AND(LCI_Table[[#This Row],[Show Feedstock]:[Conditional]],NOT(LCI_Table[[#This Row],[Hide Row]]))</f>
        <v>0</v>
      </c>
      <c r="O414" s="14" t="b">
        <f>LCI_Table[[#This Row],[GREET1 Name Range]]=""</f>
        <v>0</v>
      </c>
      <c r="P414" s="14" t="s">
        <v>1448</v>
      </c>
      <c r="Q414" s="14" t="s">
        <v>567</v>
      </c>
      <c r="R414" s="14" t="s">
        <v>384</v>
      </c>
      <c r="S414" s="37" cm="1">
        <f t="array" aca="1" ref="S4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4007.8042668544622</v>
      </c>
      <c r="T414" s="346" t="s">
        <v>2127</v>
      </c>
      <c r="U414" s="347">
        <f ca="1">S414/kg2g/Allocations!$O$42*MJ2mmBTU</f>
        <v>5.042810302942566E-3</v>
      </c>
      <c r="V414" s="347">
        <v>4007.8042668544622</v>
      </c>
      <c r="W414" s="347">
        <v>5.042810302942566E-3</v>
      </c>
      <c r="X414" s="37" t="s">
        <v>6</v>
      </c>
      <c r="Y414" s="346" t="s">
        <v>416</v>
      </c>
      <c r="Z414" s="14" t="str">
        <f>IF(ISBLANK(LCI_Table[[#This Row],[Notes for user]])," ",LCI_Table[[#This Row],[Notes for user]])</f>
        <v xml:space="preserve"> </v>
      </c>
      <c r="AA414" s="14"/>
      <c r="AB414" s="14"/>
      <c r="AC414" s="346">
        <f ca="1">LCI_Table[[#This Row],[Default Calculated Value]]-LCI_Table[[#This Row],[Calculated Value]]</f>
        <v>0</v>
      </c>
    </row>
    <row r="415" spans="1:29" x14ac:dyDescent="0.3">
      <c r="A4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facilities_Cellulosic_ETJ_UreaUrea</v>
      </c>
      <c r="B415" s="14" t="s">
        <v>131</v>
      </c>
      <c r="C415" s="14" t="s">
        <v>1964</v>
      </c>
      <c r="D415" s="14" t="s">
        <v>29</v>
      </c>
      <c r="E415" s="48" t="s">
        <v>29</v>
      </c>
      <c r="F415" s="14" t="s">
        <v>911</v>
      </c>
      <c r="G415" s="14" t="b">
        <f>OR(LCI_Table[[#This Row],[Feedstock]]="All",LCI_Table[[#This Row],[Feedstock]]=SelectedFeedstock)</f>
        <v>0</v>
      </c>
      <c r="H415" s="14" t="b">
        <f>OR(LCI_Table[[#This Row],[Conversion]]="All",LCI_Table[[#This Row],[Conversion]]=SelectedConversion)</f>
        <v>0</v>
      </c>
      <c r="I415" s="14" t="b">
        <f>OR(LCI_Table[[#This Row],[Data Set]]="all",LCI_Table[[#This Row],[Data Set]]=SelectedDataSet)</f>
        <v>1</v>
      </c>
      <c r="J415" s="14" t="b">
        <f>OR(LCI_Table[[#This Row],[Technology]]="All",LCI_Table[[#This Row],[Technology]]=SelectedTechnology)</f>
        <v>0</v>
      </c>
      <c r="K415" s="14" t="b">
        <f>OR(LCI_Table[[#This Row],[Data Source]]="All",LCI_Table[[#This Row],[Data Source]]=SelectedDataSource)</f>
        <v>1</v>
      </c>
      <c r="L415" s="14" t="b">
        <f>TRUE</f>
        <v>1</v>
      </c>
      <c r="M415" s="14" t="b">
        <f>(LCI_Table[[#This Row],[Dev Notes]]="Do not display")</f>
        <v>0</v>
      </c>
      <c r="N415" s="14" t="b">
        <f>AND(LCI_Table[[#This Row],[Show Feedstock]:[Conditional]],NOT(LCI_Table[[#This Row],[Hide Row]]))</f>
        <v>0</v>
      </c>
      <c r="O415" s="14" t="b">
        <f>LCI_Table[[#This Row],[GREET1 Name Range]]=""</f>
        <v>0</v>
      </c>
      <c r="P415" s="14" t="s">
        <v>1448</v>
      </c>
      <c r="Q415" s="14" t="s">
        <v>568</v>
      </c>
      <c r="R415" s="14" t="s">
        <v>144</v>
      </c>
      <c r="S415" s="37" cm="1">
        <f t="array" aca="1" ref="S4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232.6590059001833</v>
      </c>
      <c r="T415" s="346" t="s">
        <v>2127</v>
      </c>
      <c r="U415" s="347">
        <f ca="1">S415/kg2g/Allocations!$O$42*MJ2mmBTU</f>
        <v>2.9274264757112316E-4</v>
      </c>
      <c r="V415" s="347">
        <v>232.6590059001833</v>
      </c>
      <c r="W415" s="347">
        <v>2.9274264757112316E-4</v>
      </c>
      <c r="X415" s="37" t="s">
        <v>6</v>
      </c>
      <c r="Y415" s="346" t="s">
        <v>416</v>
      </c>
      <c r="Z415" s="14" t="str">
        <f>IF(ISBLANK(LCI_Table[[#This Row],[Notes for user]])," ",LCI_Table[[#This Row],[Notes for user]])</f>
        <v xml:space="preserve"> </v>
      </c>
      <c r="AA415" s="14"/>
      <c r="AB415" s="14"/>
      <c r="AC415" s="346">
        <f ca="1">LCI_Table[[#This Row],[Default Calculated Value]]-LCI_Table[[#This Row],[Calculated Value]]</f>
        <v>0</v>
      </c>
    </row>
    <row r="416" spans="1:29" x14ac:dyDescent="0.3">
      <c r="A4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facilities_Cellulosic_ETJ_NaOHNaOH</v>
      </c>
      <c r="B416" s="14" t="s">
        <v>131</v>
      </c>
      <c r="C416" s="14" t="s">
        <v>1964</v>
      </c>
      <c r="D416" s="14" t="s">
        <v>29</v>
      </c>
      <c r="E416" s="48" t="s">
        <v>29</v>
      </c>
      <c r="F416" s="14" t="s">
        <v>911</v>
      </c>
      <c r="G416" s="14" t="b">
        <f>OR(LCI_Table[[#This Row],[Feedstock]]="All",LCI_Table[[#This Row],[Feedstock]]=SelectedFeedstock)</f>
        <v>0</v>
      </c>
      <c r="H416" s="14" t="b">
        <f>OR(LCI_Table[[#This Row],[Conversion]]="All",LCI_Table[[#This Row],[Conversion]]=SelectedConversion)</f>
        <v>0</v>
      </c>
      <c r="I416" s="14" t="b">
        <f>OR(LCI_Table[[#This Row],[Data Set]]="all",LCI_Table[[#This Row],[Data Set]]=SelectedDataSet)</f>
        <v>1</v>
      </c>
      <c r="J416" s="14" t="b">
        <f>OR(LCI_Table[[#This Row],[Technology]]="All",LCI_Table[[#This Row],[Technology]]=SelectedTechnology)</f>
        <v>0</v>
      </c>
      <c r="K416" s="14" t="b">
        <f>OR(LCI_Table[[#This Row],[Data Source]]="All",LCI_Table[[#This Row],[Data Source]]=SelectedDataSource)</f>
        <v>1</v>
      </c>
      <c r="L416" s="14" t="b">
        <f>TRUE</f>
        <v>1</v>
      </c>
      <c r="M416" s="14" t="b">
        <f>(LCI_Table[[#This Row],[Dev Notes]]="Do not display")</f>
        <v>0</v>
      </c>
      <c r="N416" s="14" t="b">
        <f>AND(LCI_Table[[#This Row],[Show Feedstock]:[Conditional]],NOT(LCI_Table[[#This Row],[Hide Row]]))</f>
        <v>0</v>
      </c>
      <c r="O416" s="14" t="b">
        <f>LCI_Table[[#This Row],[GREET1 Name Range]]=""</f>
        <v>0</v>
      </c>
      <c r="P416" s="14" t="s">
        <v>1448</v>
      </c>
      <c r="Q416" s="14" t="s">
        <v>1401</v>
      </c>
      <c r="R416" s="14" t="s">
        <v>403</v>
      </c>
      <c r="S416" s="37" cm="1">
        <f t="array" aca="1" ref="S4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16" s="346" t="s">
        <v>2127</v>
      </c>
      <c r="U416" s="347">
        <f ca="1">S416/kg2g/Allocations!$O$42*MJ2mmBTU</f>
        <v>0</v>
      </c>
      <c r="V416" s="347">
        <v>0</v>
      </c>
      <c r="W416" s="347">
        <v>0</v>
      </c>
      <c r="X416" s="37" t="s">
        <v>6</v>
      </c>
      <c r="Y416" s="346" t="s">
        <v>416</v>
      </c>
      <c r="Z416" s="14" t="str">
        <f>IF(ISBLANK(LCI_Table[[#This Row],[Notes for user]])," ",LCI_Table[[#This Row],[Notes for user]])</f>
        <v xml:space="preserve"> </v>
      </c>
      <c r="AA416" s="14"/>
      <c r="AB416" s="14"/>
      <c r="AC416" s="346">
        <f ca="1">LCI_Table[[#This Row],[Default Calculated Value]]-LCI_Table[[#This Row],[Calculated Value]]</f>
        <v>0</v>
      </c>
    </row>
    <row r="417" spans="1:29" x14ac:dyDescent="0.3">
      <c r="A4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facilities_Cellulosic_ETJ_WaterWater</v>
      </c>
      <c r="B417" s="14" t="s">
        <v>131</v>
      </c>
      <c r="C417" s="14" t="s">
        <v>1964</v>
      </c>
      <c r="D417" s="14" t="s">
        <v>29</v>
      </c>
      <c r="E417" s="48" t="s">
        <v>29</v>
      </c>
      <c r="F417" s="14" t="s">
        <v>911</v>
      </c>
      <c r="G417" s="14" t="b">
        <f>OR(LCI_Table[[#This Row],[Feedstock]]="All",LCI_Table[[#This Row],[Feedstock]]=SelectedFeedstock)</f>
        <v>0</v>
      </c>
      <c r="H417" s="14" t="b">
        <f>OR(LCI_Table[[#This Row],[Conversion]]="All",LCI_Table[[#This Row],[Conversion]]=SelectedConversion)</f>
        <v>0</v>
      </c>
      <c r="I417" s="14" t="b">
        <f>OR(LCI_Table[[#This Row],[Data Set]]="all",LCI_Table[[#This Row],[Data Set]]=SelectedDataSet)</f>
        <v>1</v>
      </c>
      <c r="J417" s="14" t="b">
        <f>OR(LCI_Table[[#This Row],[Technology]]="All",LCI_Table[[#This Row],[Technology]]=SelectedTechnology)</f>
        <v>0</v>
      </c>
      <c r="K417" s="14" t="b">
        <f>OR(LCI_Table[[#This Row],[Data Source]]="All",LCI_Table[[#This Row],[Data Source]]=SelectedDataSource)</f>
        <v>1</v>
      </c>
      <c r="L417" s="14" t="b">
        <f>TRUE</f>
        <v>1</v>
      </c>
      <c r="M417" s="14" t="b">
        <f>(LCI_Table[[#This Row],[Dev Notes]]="Do not display")</f>
        <v>0</v>
      </c>
      <c r="N417" s="14" t="b">
        <f>AND(LCI_Table[[#This Row],[Show Feedstock]:[Conditional]],NOT(LCI_Table[[#This Row],[Hide Row]]))</f>
        <v>0</v>
      </c>
      <c r="O417" s="14" t="b">
        <f>LCI_Table[[#This Row],[GREET1 Name Range]]=""</f>
        <v>0</v>
      </c>
      <c r="P417" s="14" t="s">
        <v>1448</v>
      </c>
      <c r="Q417" s="14" t="s">
        <v>569</v>
      </c>
      <c r="R417" s="14" t="s">
        <v>146</v>
      </c>
      <c r="S417" s="37" cm="1">
        <f t="array" aca="1" ref="S4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79.956230854903993</v>
      </c>
      <c r="T417" s="346" t="s">
        <v>2128</v>
      </c>
      <c r="U417" s="347">
        <f ca="1">S417/kg2lb*Fuel_Specs!$K$4/Allocations!$O$42*MJ2mmBTU</f>
        <v>0.37970757860566479</v>
      </c>
      <c r="V417" s="347">
        <v>79.956230854903993</v>
      </c>
      <c r="W417" s="347">
        <v>0.37970757860566479</v>
      </c>
      <c r="X417" s="37" t="s">
        <v>5</v>
      </c>
      <c r="Y417" s="346" t="s">
        <v>416</v>
      </c>
      <c r="Z417" s="14" t="str">
        <f>IF(ISBLANK(LCI_Table[[#This Row],[Notes for user]])," ",LCI_Table[[#This Row],[Notes for user]])</f>
        <v xml:space="preserve"> </v>
      </c>
      <c r="AA417" s="14"/>
      <c r="AB417" s="14"/>
      <c r="AC417" s="346">
        <f ca="1">LCI_Table[[#This Row],[Default Calculated Value]]-LCI_Table[[#This Row],[Calculated Value]]</f>
        <v>0</v>
      </c>
    </row>
    <row r="418" spans="1:29" x14ac:dyDescent="0.3">
      <c r="A4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WillowATJ-ethanolGREETGREETCo-located facilities_Cellulosic_ETJ_Electricity_co_producedElectricity (co-produced)</v>
      </c>
      <c r="B418" s="14" t="s">
        <v>131</v>
      </c>
      <c r="C418" s="14" t="s">
        <v>1964</v>
      </c>
      <c r="D418" s="14" t="s">
        <v>29</v>
      </c>
      <c r="E418" s="48" t="s">
        <v>29</v>
      </c>
      <c r="F418" s="14" t="s">
        <v>911</v>
      </c>
      <c r="G418" s="14" t="b">
        <f>OR(LCI_Table[[#This Row],[Feedstock]]="All",LCI_Table[[#This Row],[Feedstock]]=SelectedFeedstock)</f>
        <v>0</v>
      </c>
      <c r="H418" s="14" t="b">
        <f>OR(LCI_Table[[#This Row],[Conversion]]="All",LCI_Table[[#This Row],[Conversion]]=SelectedConversion)</f>
        <v>0</v>
      </c>
      <c r="I418" s="14" t="b">
        <f>OR(LCI_Table[[#This Row],[Data Set]]="all",LCI_Table[[#This Row],[Data Set]]=SelectedDataSet)</f>
        <v>1</v>
      </c>
      <c r="J418" s="14" t="b">
        <f>OR(LCI_Table[[#This Row],[Technology]]="All",LCI_Table[[#This Row],[Technology]]=SelectedTechnology)</f>
        <v>0</v>
      </c>
      <c r="K418" s="14" t="b">
        <f>OR(LCI_Table[[#This Row],[Data Source]]="All",LCI_Table[[#This Row],[Data Source]]=SelectedDataSource)</f>
        <v>1</v>
      </c>
      <c r="L418" s="14" t="b">
        <f>TRUE</f>
        <v>1</v>
      </c>
      <c r="M418" s="14" t="b">
        <f>(LCI_Table[[#This Row],[Dev Notes]]="Do not display")</f>
        <v>0</v>
      </c>
      <c r="N418" s="14" t="b">
        <f>AND(LCI_Table[[#This Row],[Show Feedstock]:[Conditional]],NOT(LCI_Table[[#This Row],[Hide Row]]))</f>
        <v>0</v>
      </c>
      <c r="O418" s="14" t="b">
        <f>LCI_Table[[#This Row],[GREET1 Name Range]]=""</f>
        <v>0</v>
      </c>
      <c r="P418" s="14" t="s">
        <v>1448</v>
      </c>
      <c r="Q418" s="14" t="s">
        <v>561</v>
      </c>
      <c r="R418" s="14" t="s">
        <v>439</v>
      </c>
      <c r="S418" s="37" cm="1">
        <f t="array" aca="1" ref="S4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25.473126463384443</v>
      </c>
      <c r="T418" s="346" t="s">
        <v>2121</v>
      </c>
      <c r="U418" s="347">
        <f ca="1">S418/Allocations!$O$42*MJ2mmBTU</f>
        <v>3.2051501526678398E-2</v>
      </c>
      <c r="V418" s="347">
        <v>25.473126463384443</v>
      </c>
      <c r="W418" s="347">
        <v>3.2051501526678398E-2</v>
      </c>
      <c r="X418" s="37" t="s">
        <v>51</v>
      </c>
      <c r="Y418" s="346" t="s">
        <v>416</v>
      </c>
      <c r="Z418" s="14" t="str">
        <f>IF(ISBLANK(LCI_Table[[#This Row],[Notes for user]])," ",LCI_Table[[#This Row],[Notes for user]])</f>
        <v xml:space="preserve"> </v>
      </c>
      <c r="AA418" s="14"/>
      <c r="AB418" s="14"/>
      <c r="AC418" s="346">
        <f ca="1">LCI_Table[[#This Row],[Default Calculated Value]]-LCI_Table[[#This Row],[Calculated Value]]</f>
        <v>0</v>
      </c>
    </row>
    <row r="419" spans="1:29" x14ac:dyDescent="0.3">
      <c r="A4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dash_PoplarATJ-ethanolGREETGREETCo-located facilities_Yield_Farming</v>
      </c>
      <c r="B419" s="48" t="s">
        <v>132</v>
      </c>
      <c r="C419" s="48" t="s">
        <v>1964</v>
      </c>
      <c r="D419" s="48" t="s">
        <v>29</v>
      </c>
      <c r="E419" s="48" t="s">
        <v>29</v>
      </c>
      <c r="F419" s="48" t="s">
        <v>911</v>
      </c>
      <c r="G419" s="14" t="b">
        <f>OR(LCI_Table[[#This Row],[Feedstock]]="All",LCI_Table[[#This Row],[Feedstock]]=SelectedFeedstock)</f>
        <v>0</v>
      </c>
      <c r="H419" s="14" t="b">
        <f>OR(LCI_Table[[#This Row],[Conversion]]="All",LCI_Table[[#This Row],[Conversion]]=SelectedConversion)</f>
        <v>0</v>
      </c>
      <c r="I419" s="14" t="b">
        <f>OR(LCI_Table[[#This Row],[Data Set]]="all",LCI_Table[[#This Row],[Data Set]]=SelectedDataSet)</f>
        <v>1</v>
      </c>
      <c r="J419" s="14" t="b">
        <f>OR(LCI_Table[[#This Row],[Technology]]="All",LCI_Table[[#This Row],[Technology]]=SelectedTechnology)</f>
        <v>0</v>
      </c>
      <c r="K419" s="14" t="b">
        <f>OR(LCI_Table[[#This Row],[Data Source]]="All",LCI_Table[[#This Row],[Data Source]]=SelectedDataSource)</f>
        <v>1</v>
      </c>
      <c r="L419" s="14" t="b">
        <f>TRUE</f>
        <v>1</v>
      </c>
      <c r="M419" s="14" t="b">
        <f>(LCI_Table[[#This Row],[Dev Notes]]="Do not display")</f>
        <v>0</v>
      </c>
      <c r="N419" s="14" t="b">
        <f>AND(LCI_Table[[#This Row],[Show Feedstock]:[Conditional]],NOT(LCI_Table[[#This Row],[Hide Row]]))</f>
        <v>0</v>
      </c>
      <c r="O419" s="14" t="b">
        <f>LCI_Table[[#This Row],[GREET1 Name Range]]=""</f>
        <v>1</v>
      </c>
      <c r="P419" s="48" t="s">
        <v>14</v>
      </c>
      <c r="Q419" s="14" t="s">
        <v>361</v>
      </c>
      <c r="R419" s="48" t="s">
        <v>200</v>
      </c>
      <c r="S419" s="37" cm="1">
        <f t="array" aca="1" ref="S4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42.9</v>
      </c>
      <c r="T419" s="346" t="s">
        <v>2116</v>
      </c>
      <c r="U419" s="344"/>
      <c r="V419" s="344">
        <v>42.9</v>
      </c>
      <c r="W419" s="344"/>
      <c r="X419" s="48" t="s">
        <v>55</v>
      </c>
      <c r="Y419" s="346" t="s">
        <v>413</v>
      </c>
      <c r="Z419" s="14" t="str">
        <f>IF(ISBLANK(LCI_Table[[#This Row],[Notes for user]])," ",LCI_Table[[#This Row],[Notes for user]])</f>
        <v xml:space="preserve"> </v>
      </c>
      <c r="AA419" s="48"/>
      <c r="AB419" s="345"/>
      <c r="AC419" s="346">
        <f>LCI_Table[[#This Row],[Default Calculated Value]]-LCI_Table[[#This Row],[Calculated Value]]</f>
        <v>0</v>
      </c>
    </row>
    <row r="420" spans="1:29" x14ac:dyDescent="0.3">
      <c r="A4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facilities_Poplar_Farming_Nitrogen_fertilizerNitrogen fertilizer</v>
      </c>
      <c r="B420" s="14" t="s">
        <v>132</v>
      </c>
      <c r="C420" s="14" t="s">
        <v>1964</v>
      </c>
      <c r="D420" s="14" t="s">
        <v>29</v>
      </c>
      <c r="E420" s="48" t="s">
        <v>29</v>
      </c>
      <c r="F420" s="14" t="s">
        <v>911</v>
      </c>
      <c r="G420" s="14" t="b">
        <f>OR(LCI_Table[[#This Row],[Feedstock]]="All",LCI_Table[[#This Row],[Feedstock]]=SelectedFeedstock)</f>
        <v>0</v>
      </c>
      <c r="H420" s="14" t="b">
        <f>OR(LCI_Table[[#This Row],[Conversion]]="All",LCI_Table[[#This Row],[Conversion]]=SelectedConversion)</f>
        <v>0</v>
      </c>
      <c r="I420" s="14" t="b">
        <f>OR(LCI_Table[[#This Row],[Data Set]]="all",LCI_Table[[#This Row],[Data Set]]=SelectedDataSet)</f>
        <v>1</v>
      </c>
      <c r="J420" s="14" t="b">
        <f>OR(LCI_Table[[#This Row],[Technology]]="All",LCI_Table[[#This Row],[Technology]]=SelectedTechnology)</f>
        <v>0</v>
      </c>
      <c r="K420" s="14" t="b">
        <f>OR(LCI_Table[[#This Row],[Data Source]]="All",LCI_Table[[#This Row],[Data Source]]=SelectedDataSource)</f>
        <v>1</v>
      </c>
      <c r="L420" s="14" t="b">
        <f>TRUE</f>
        <v>1</v>
      </c>
      <c r="M420" s="14" t="b">
        <f>(LCI_Table[[#This Row],[Dev Notes]]="Do not display")</f>
        <v>0</v>
      </c>
      <c r="N420" s="14" t="b">
        <f>AND(LCI_Table[[#This Row],[Show Feedstock]:[Conditional]],NOT(LCI_Table[[#This Row],[Hide Row]]))</f>
        <v>0</v>
      </c>
      <c r="O420" s="14" t="b">
        <f>LCI_Table[[#This Row],[GREET1 Name Range]]=""</f>
        <v>0</v>
      </c>
      <c r="P420" s="14" t="s">
        <v>14</v>
      </c>
      <c r="Q420" s="14" t="s">
        <v>776</v>
      </c>
      <c r="R420" s="14" t="s">
        <v>111</v>
      </c>
      <c r="S420" s="37" cm="1">
        <f t="array" aca="1" ref="S4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186.27525835114722</v>
      </c>
      <c r="T420" s="346" t="s">
        <v>1485</v>
      </c>
      <c r="U420" s="347">
        <f ca="1">S420/S419*lb2g</f>
        <v>1969.5346365468338</v>
      </c>
      <c r="V420" s="347">
        <v>186.27525835114722</v>
      </c>
      <c r="W420" s="347">
        <v>1969.5346365468338</v>
      </c>
      <c r="X420" s="14" t="s">
        <v>12</v>
      </c>
      <c r="Y420" s="346" t="s">
        <v>413</v>
      </c>
      <c r="Z420" s="14" t="str">
        <f>IF(ISBLANK(LCI_Table[[#This Row],[Notes for user]])," ",LCI_Table[[#This Row],[Notes for user]])</f>
        <v xml:space="preserve"> </v>
      </c>
      <c r="AA420" s="14"/>
      <c r="AB420" s="14"/>
      <c r="AC420" s="346">
        <f ca="1">LCI_Table[[#This Row],[Default Calculated Value]]-LCI_Table[[#This Row],[Calculated Value]]</f>
        <v>0</v>
      </c>
    </row>
    <row r="421" spans="1:29" x14ac:dyDescent="0.3">
      <c r="A4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facilities_Poplar_Farming_P2O5P2O5</v>
      </c>
      <c r="B421" s="14" t="s">
        <v>132</v>
      </c>
      <c r="C421" s="14" t="s">
        <v>1964</v>
      </c>
      <c r="D421" s="14" t="s">
        <v>29</v>
      </c>
      <c r="E421" s="48" t="s">
        <v>29</v>
      </c>
      <c r="F421" s="14" t="s">
        <v>911</v>
      </c>
      <c r="G421" s="14" t="b">
        <f>OR(LCI_Table[[#This Row],[Feedstock]]="All",LCI_Table[[#This Row],[Feedstock]]=SelectedFeedstock)</f>
        <v>0</v>
      </c>
      <c r="H421" s="14" t="b">
        <f>OR(LCI_Table[[#This Row],[Conversion]]="All",LCI_Table[[#This Row],[Conversion]]=SelectedConversion)</f>
        <v>0</v>
      </c>
      <c r="I421" s="14" t="b">
        <f>OR(LCI_Table[[#This Row],[Data Set]]="all",LCI_Table[[#This Row],[Data Set]]=SelectedDataSet)</f>
        <v>1</v>
      </c>
      <c r="J421" s="14" t="b">
        <f>OR(LCI_Table[[#This Row],[Technology]]="All",LCI_Table[[#This Row],[Technology]]=SelectedTechnology)</f>
        <v>0</v>
      </c>
      <c r="K421" s="14" t="b">
        <f>OR(LCI_Table[[#This Row],[Data Source]]="All",LCI_Table[[#This Row],[Data Source]]=SelectedDataSource)</f>
        <v>1</v>
      </c>
      <c r="L421" s="14" t="b">
        <f>TRUE</f>
        <v>1</v>
      </c>
      <c r="M421" s="14" t="b">
        <f>(LCI_Table[[#This Row],[Dev Notes]]="Do not display")</f>
        <v>0</v>
      </c>
      <c r="N421" s="14" t="b">
        <f>AND(LCI_Table[[#This Row],[Show Feedstock]:[Conditional]],NOT(LCI_Table[[#This Row],[Hide Row]]))</f>
        <v>0</v>
      </c>
      <c r="O421" s="14" t="b">
        <f>LCI_Table[[#This Row],[GREET1 Name Range]]=""</f>
        <v>0</v>
      </c>
      <c r="P421" s="14" t="s">
        <v>14</v>
      </c>
      <c r="Q421" s="14" t="s">
        <v>777</v>
      </c>
      <c r="R421" s="14" t="s">
        <v>112</v>
      </c>
      <c r="S421" s="37" cm="1">
        <f t="array" aca="1" ref="S4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55.895441662900694</v>
      </c>
      <c r="T421" s="346" t="s">
        <v>1485</v>
      </c>
      <c r="U421" s="347">
        <f ca="1">S421/S419*lb2g</f>
        <v>590.99640690144224</v>
      </c>
      <c r="V421" s="347">
        <v>55.895441662900694</v>
      </c>
      <c r="W421" s="347">
        <v>590.99640690144224</v>
      </c>
      <c r="X421" s="14" t="s">
        <v>12</v>
      </c>
      <c r="Y421" s="346" t="s">
        <v>413</v>
      </c>
      <c r="Z421" s="14" t="str">
        <f>IF(ISBLANK(LCI_Table[[#This Row],[Notes for user]])," ",LCI_Table[[#This Row],[Notes for user]])</f>
        <v xml:space="preserve"> </v>
      </c>
      <c r="AA421" s="14"/>
      <c r="AB421" s="14"/>
      <c r="AC421" s="346">
        <f ca="1">LCI_Table[[#This Row],[Default Calculated Value]]-LCI_Table[[#This Row],[Calculated Value]]</f>
        <v>0</v>
      </c>
    </row>
    <row r="422" spans="1:29" x14ac:dyDescent="0.3">
      <c r="A4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facilities_Poplar_Farming_K2OK2O</v>
      </c>
      <c r="B422" s="14" t="s">
        <v>132</v>
      </c>
      <c r="C422" s="14" t="s">
        <v>1964</v>
      </c>
      <c r="D422" s="14" t="s">
        <v>29</v>
      </c>
      <c r="E422" s="48" t="s">
        <v>29</v>
      </c>
      <c r="F422" s="14" t="s">
        <v>911</v>
      </c>
      <c r="G422" s="14" t="b">
        <f>OR(LCI_Table[[#This Row],[Feedstock]]="All",LCI_Table[[#This Row],[Feedstock]]=SelectedFeedstock)</f>
        <v>0</v>
      </c>
      <c r="H422" s="14" t="b">
        <f>OR(LCI_Table[[#This Row],[Conversion]]="All",LCI_Table[[#This Row],[Conversion]]=SelectedConversion)</f>
        <v>0</v>
      </c>
      <c r="I422" s="14" t="b">
        <f>OR(LCI_Table[[#This Row],[Data Set]]="all",LCI_Table[[#This Row],[Data Set]]=SelectedDataSet)</f>
        <v>1</v>
      </c>
      <c r="J422" s="14" t="b">
        <f>OR(LCI_Table[[#This Row],[Technology]]="All",LCI_Table[[#This Row],[Technology]]=SelectedTechnology)</f>
        <v>0</v>
      </c>
      <c r="K422" s="14" t="b">
        <f>OR(LCI_Table[[#This Row],[Data Source]]="All",LCI_Table[[#This Row],[Data Source]]=SelectedDataSource)</f>
        <v>1</v>
      </c>
      <c r="L422" s="14" t="b">
        <f>TRUE</f>
        <v>1</v>
      </c>
      <c r="M422" s="14" t="b">
        <f>(LCI_Table[[#This Row],[Dev Notes]]="Do not display")</f>
        <v>0</v>
      </c>
      <c r="N422" s="14" t="b">
        <f>AND(LCI_Table[[#This Row],[Show Feedstock]:[Conditional]],NOT(LCI_Table[[#This Row],[Hide Row]]))</f>
        <v>0</v>
      </c>
      <c r="O422" s="14" t="b">
        <f>LCI_Table[[#This Row],[GREET1 Name Range]]=""</f>
        <v>0</v>
      </c>
      <c r="P422" s="14" t="s">
        <v>14</v>
      </c>
      <c r="Q422" s="14" t="s">
        <v>773</v>
      </c>
      <c r="R422" s="14" t="s">
        <v>113</v>
      </c>
      <c r="S422" s="37" cm="1">
        <f t="array" aca="1" ref="S4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49.414799490679876</v>
      </c>
      <c r="T422" s="346" t="s">
        <v>1485</v>
      </c>
      <c r="U422" s="347">
        <f ca="1">S422/S419*lb2g</f>
        <v>522.47496536252402</v>
      </c>
      <c r="V422" s="347">
        <v>49.414799490679876</v>
      </c>
      <c r="W422" s="347">
        <v>522.47496536252402</v>
      </c>
      <c r="X422" s="14" t="s">
        <v>12</v>
      </c>
      <c r="Y422" s="346" t="s">
        <v>413</v>
      </c>
      <c r="Z422" s="14" t="str">
        <f>IF(ISBLANK(LCI_Table[[#This Row],[Notes for user]])," ",LCI_Table[[#This Row],[Notes for user]])</f>
        <v xml:space="preserve"> </v>
      </c>
      <c r="AA422" s="14"/>
      <c r="AB422" s="14"/>
      <c r="AC422" s="346">
        <f ca="1">LCI_Table[[#This Row],[Default Calculated Value]]-LCI_Table[[#This Row],[Calculated Value]]</f>
        <v>0</v>
      </c>
    </row>
    <row r="423" spans="1:29" x14ac:dyDescent="0.3">
      <c r="A4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facilities_Poplar_Farming_CaCO3CaCO3</v>
      </c>
      <c r="B423" s="14" t="s">
        <v>132</v>
      </c>
      <c r="C423" s="14" t="s">
        <v>1964</v>
      </c>
      <c r="D423" s="14" t="s">
        <v>29</v>
      </c>
      <c r="E423" s="48" t="s">
        <v>29</v>
      </c>
      <c r="F423" s="14" t="s">
        <v>911</v>
      </c>
      <c r="G423" s="14" t="b">
        <f>OR(LCI_Table[[#This Row],[Feedstock]]="All",LCI_Table[[#This Row],[Feedstock]]=SelectedFeedstock)</f>
        <v>0</v>
      </c>
      <c r="H423" s="14" t="b">
        <f>OR(LCI_Table[[#This Row],[Conversion]]="All",LCI_Table[[#This Row],[Conversion]]=SelectedConversion)</f>
        <v>0</v>
      </c>
      <c r="I423" s="14" t="b">
        <f>OR(LCI_Table[[#This Row],[Data Set]]="all",LCI_Table[[#This Row],[Data Set]]=SelectedDataSet)</f>
        <v>1</v>
      </c>
      <c r="J423" s="14" t="b">
        <f>OR(LCI_Table[[#This Row],[Technology]]="All",LCI_Table[[#This Row],[Technology]]=SelectedTechnology)</f>
        <v>0</v>
      </c>
      <c r="K423" s="14" t="b">
        <f>OR(LCI_Table[[#This Row],[Data Source]]="All",LCI_Table[[#This Row],[Data Source]]=SelectedDataSource)</f>
        <v>1</v>
      </c>
      <c r="L423" s="14" t="b">
        <f>TRUE</f>
        <v>1</v>
      </c>
      <c r="M423" s="14" t="b">
        <f>(LCI_Table[[#This Row],[Dev Notes]]="Do not display")</f>
        <v>0</v>
      </c>
      <c r="N423" s="14" t="b">
        <f>AND(LCI_Table[[#This Row],[Show Feedstock]:[Conditional]],NOT(LCI_Table[[#This Row],[Hide Row]]))</f>
        <v>0</v>
      </c>
      <c r="O423" s="14" t="b">
        <f>LCI_Table[[#This Row],[GREET1 Name Range]]=""</f>
        <v>0</v>
      </c>
      <c r="P423" s="14" t="s">
        <v>14</v>
      </c>
      <c r="Q423" s="14" t="s">
        <v>766</v>
      </c>
      <c r="R423" s="14" t="s">
        <v>141</v>
      </c>
      <c r="S423" s="37" cm="1">
        <f t="array" aca="1" ref="S4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2197.7257847655173</v>
      </c>
      <c r="T423" s="346" t="s">
        <v>1485</v>
      </c>
      <c r="U423" s="347">
        <f ca="1">S423/S419*lb2g</f>
        <v>23237.101336174848</v>
      </c>
      <c r="V423" s="347">
        <v>2197.7257847655173</v>
      </c>
      <c r="W423" s="347">
        <v>23237.101336174848</v>
      </c>
      <c r="X423" s="14" t="s">
        <v>12</v>
      </c>
      <c r="Y423" s="346" t="s">
        <v>413</v>
      </c>
      <c r="Z423" s="14" t="str">
        <f>IF(ISBLANK(LCI_Table[[#This Row],[Notes for user]])," ",LCI_Table[[#This Row],[Notes for user]])</f>
        <v xml:space="preserve"> </v>
      </c>
      <c r="AA423" s="14"/>
      <c r="AB423" s="14"/>
      <c r="AC423" s="346">
        <f ca="1">LCI_Table[[#This Row],[Default Calculated Value]]-LCI_Table[[#This Row],[Calculated Value]]</f>
        <v>0</v>
      </c>
    </row>
    <row r="424" spans="1:29" x14ac:dyDescent="0.3">
      <c r="A4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facilities_Poplar_Farming_HerbicidesHerbicides</v>
      </c>
      <c r="B424" s="14" t="s">
        <v>132</v>
      </c>
      <c r="C424" s="14" t="s">
        <v>1964</v>
      </c>
      <c r="D424" s="14" t="s">
        <v>29</v>
      </c>
      <c r="E424" s="48" t="s">
        <v>29</v>
      </c>
      <c r="F424" s="14" t="s">
        <v>911</v>
      </c>
      <c r="G424" s="14" t="b">
        <f>OR(LCI_Table[[#This Row],[Feedstock]]="All",LCI_Table[[#This Row],[Feedstock]]=SelectedFeedstock)</f>
        <v>0</v>
      </c>
      <c r="H424" s="14" t="b">
        <f>OR(LCI_Table[[#This Row],[Conversion]]="All",LCI_Table[[#This Row],[Conversion]]=SelectedConversion)</f>
        <v>0</v>
      </c>
      <c r="I424" s="14" t="b">
        <f>OR(LCI_Table[[#This Row],[Data Set]]="all",LCI_Table[[#This Row],[Data Set]]=SelectedDataSet)</f>
        <v>1</v>
      </c>
      <c r="J424" s="14" t="b">
        <f>OR(LCI_Table[[#This Row],[Technology]]="All",LCI_Table[[#This Row],[Technology]]=SelectedTechnology)</f>
        <v>0</v>
      </c>
      <c r="K424" s="14" t="b">
        <f>OR(LCI_Table[[#This Row],[Data Source]]="All",LCI_Table[[#This Row],[Data Source]]=SelectedDataSource)</f>
        <v>1</v>
      </c>
      <c r="L424" s="14" t="b">
        <f>TRUE</f>
        <v>1</v>
      </c>
      <c r="M424" s="14" t="b">
        <f>(LCI_Table[[#This Row],[Dev Notes]]="Do not display")</f>
        <v>0</v>
      </c>
      <c r="N424" s="14" t="b">
        <f>AND(LCI_Table[[#This Row],[Show Feedstock]:[Conditional]],NOT(LCI_Table[[#This Row],[Hide Row]]))</f>
        <v>0</v>
      </c>
      <c r="O424" s="14" t="b">
        <f>LCI_Table[[#This Row],[GREET1 Name Range]]=""</f>
        <v>0</v>
      </c>
      <c r="P424" s="14" t="s">
        <v>14</v>
      </c>
      <c r="Q424" s="14" t="s">
        <v>771</v>
      </c>
      <c r="R424" s="14" t="s">
        <v>356</v>
      </c>
      <c r="S424" s="37" cm="1">
        <f t="array" aca="1" ref="S4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5.8353457116647274</v>
      </c>
      <c r="T424" s="346" t="s">
        <v>1485</v>
      </c>
      <c r="U424" s="347">
        <f ca="1">S424/S419*lb2g</f>
        <v>61.698561564646631</v>
      </c>
      <c r="V424" s="347">
        <v>5.8353457116647274</v>
      </c>
      <c r="W424" s="347">
        <v>61.698561564646631</v>
      </c>
      <c r="X424" s="14" t="s">
        <v>12</v>
      </c>
      <c r="Y424" s="346" t="s">
        <v>413</v>
      </c>
      <c r="Z424" s="14" t="str">
        <f>IF(ISBLANK(LCI_Table[[#This Row],[Notes for user]])," ",LCI_Table[[#This Row],[Notes for user]])</f>
        <v xml:space="preserve"> </v>
      </c>
      <c r="AA424" s="14"/>
      <c r="AB424" s="14"/>
      <c r="AC424" s="346">
        <f ca="1">LCI_Table[[#This Row],[Default Calculated Value]]-LCI_Table[[#This Row],[Calculated Value]]</f>
        <v>0</v>
      </c>
    </row>
    <row r="425" spans="1:29" x14ac:dyDescent="0.3">
      <c r="A4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facilities_Poplar_Farming_InsecticideInsecticide</v>
      </c>
      <c r="B425" s="14" t="s">
        <v>132</v>
      </c>
      <c r="C425" s="14" t="s">
        <v>1964</v>
      </c>
      <c r="D425" s="14" t="s">
        <v>29</v>
      </c>
      <c r="E425" s="48" t="s">
        <v>29</v>
      </c>
      <c r="F425" s="14" t="s">
        <v>911</v>
      </c>
      <c r="G425" s="14" t="b">
        <f>OR(LCI_Table[[#This Row],[Feedstock]]="All",LCI_Table[[#This Row],[Feedstock]]=SelectedFeedstock)</f>
        <v>0</v>
      </c>
      <c r="H425" s="14" t="b">
        <f>OR(LCI_Table[[#This Row],[Conversion]]="All",LCI_Table[[#This Row],[Conversion]]=SelectedConversion)</f>
        <v>0</v>
      </c>
      <c r="I425" s="14" t="b">
        <f>OR(LCI_Table[[#This Row],[Data Set]]="all",LCI_Table[[#This Row],[Data Set]]=SelectedDataSet)</f>
        <v>1</v>
      </c>
      <c r="J425" s="14" t="b">
        <f>OR(LCI_Table[[#This Row],[Technology]]="All",LCI_Table[[#This Row],[Technology]]=SelectedTechnology)</f>
        <v>0</v>
      </c>
      <c r="K425" s="14" t="b">
        <f>OR(LCI_Table[[#This Row],[Data Source]]="All",LCI_Table[[#This Row],[Data Source]]=SelectedDataSource)</f>
        <v>1</v>
      </c>
      <c r="L425" s="14" t="b">
        <f>TRUE</f>
        <v>1</v>
      </c>
      <c r="M425" s="14" t="b">
        <f>(LCI_Table[[#This Row],[Dev Notes]]="Do not display")</f>
        <v>0</v>
      </c>
      <c r="N425" s="14" t="b">
        <f>AND(LCI_Table[[#This Row],[Show Feedstock]:[Conditional]],NOT(LCI_Table[[#This Row],[Hide Row]]))</f>
        <v>0</v>
      </c>
      <c r="O425" s="14" t="b">
        <f>LCI_Table[[#This Row],[GREET1 Name Range]]=""</f>
        <v>0</v>
      </c>
      <c r="P425" s="14" t="s">
        <v>14</v>
      </c>
      <c r="Q425" s="14" t="s">
        <v>772</v>
      </c>
      <c r="R425" s="14" t="s">
        <v>114</v>
      </c>
      <c r="S425" s="37" cm="1">
        <f t="array" aca="1" ref="S4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1.1124479480821168</v>
      </c>
      <c r="T425" s="346" t="s">
        <v>1485</v>
      </c>
      <c r="U425" s="347">
        <f ca="1">S425/S419*lb2g</f>
        <v>11.762188840843924</v>
      </c>
      <c r="V425" s="347">
        <v>1.1124479480821168</v>
      </c>
      <c r="W425" s="347">
        <v>11.762188840843924</v>
      </c>
      <c r="X425" s="14" t="s">
        <v>12</v>
      </c>
      <c r="Y425" s="346" t="s">
        <v>413</v>
      </c>
      <c r="Z425" s="14" t="str">
        <f>IF(ISBLANK(LCI_Table[[#This Row],[Notes for user]])," ",LCI_Table[[#This Row],[Notes for user]])</f>
        <v xml:space="preserve"> </v>
      </c>
      <c r="AA425" s="14"/>
      <c r="AB425" s="14"/>
      <c r="AC425" s="346">
        <f ca="1">LCI_Table[[#This Row],[Default Calculated Value]]-LCI_Table[[#This Row],[Calculated Value]]</f>
        <v>0</v>
      </c>
    </row>
    <row r="426" spans="1:29" x14ac:dyDescent="0.3">
      <c r="A4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facilities_Poplar_Farming_Residual_oilResidual oil</v>
      </c>
      <c r="B426" s="14" t="s">
        <v>132</v>
      </c>
      <c r="C426" s="14" t="s">
        <v>1964</v>
      </c>
      <c r="D426" s="14" t="s">
        <v>29</v>
      </c>
      <c r="E426" s="48" t="s">
        <v>29</v>
      </c>
      <c r="F426" s="14" t="s">
        <v>911</v>
      </c>
      <c r="G426" s="14" t="b">
        <f>OR(LCI_Table[[#This Row],[Feedstock]]="All",LCI_Table[[#This Row],[Feedstock]]=SelectedFeedstock)</f>
        <v>0</v>
      </c>
      <c r="H426" s="14" t="b">
        <f>OR(LCI_Table[[#This Row],[Conversion]]="All",LCI_Table[[#This Row],[Conversion]]=SelectedConversion)</f>
        <v>0</v>
      </c>
      <c r="I426" s="14" t="b">
        <f>OR(LCI_Table[[#This Row],[Data Set]]="all",LCI_Table[[#This Row],[Data Set]]=SelectedDataSet)</f>
        <v>1</v>
      </c>
      <c r="J426" s="14" t="b">
        <f>OR(LCI_Table[[#This Row],[Technology]]="All",LCI_Table[[#This Row],[Technology]]=SelectedTechnology)</f>
        <v>0</v>
      </c>
      <c r="K426" s="14" t="b">
        <f>OR(LCI_Table[[#This Row],[Data Source]]="All",LCI_Table[[#This Row],[Data Source]]=SelectedDataSource)</f>
        <v>1</v>
      </c>
      <c r="L426" s="14" t="b">
        <f>TRUE</f>
        <v>1</v>
      </c>
      <c r="M426" s="14" t="b">
        <f>(LCI_Table[[#This Row],[Dev Notes]]="Do not display")</f>
        <v>0</v>
      </c>
      <c r="N426" s="14" t="b">
        <f>AND(LCI_Table[[#This Row],[Show Feedstock]:[Conditional]],NOT(LCI_Table[[#This Row],[Hide Row]]))</f>
        <v>0</v>
      </c>
      <c r="O426" s="14" t="b">
        <f>LCI_Table[[#This Row],[GREET1 Name Range]]=""</f>
        <v>0</v>
      </c>
      <c r="P426" s="14" t="s">
        <v>14</v>
      </c>
      <c r="Q426" s="14" t="s">
        <v>778</v>
      </c>
      <c r="R426" s="14" t="s">
        <v>115</v>
      </c>
      <c r="S426" s="37" cm="1">
        <f t="array" aca="1" ref="S4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26" s="346" t="s">
        <v>1484</v>
      </c>
      <c r="U426" s="347">
        <f ca="1">S426*Fuel_Specs!$B$28/S419</f>
        <v>0</v>
      </c>
      <c r="V426" s="347">
        <v>0</v>
      </c>
      <c r="W426" s="347">
        <v>0</v>
      </c>
      <c r="X426" s="14" t="s">
        <v>5</v>
      </c>
      <c r="Y426" s="346" t="s">
        <v>413</v>
      </c>
      <c r="Z426" s="14" t="str">
        <f>IF(ISBLANK(LCI_Table[[#This Row],[Notes for user]])," ",LCI_Table[[#This Row],[Notes for user]])</f>
        <v xml:space="preserve"> </v>
      </c>
      <c r="AA426" s="14"/>
      <c r="AB426" s="14"/>
      <c r="AC426" s="346">
        <f ca="1">LCI_Table[[#This Row],[Default Calculated Value]]-LCI_Table[[#This Row],[Calculated Value]]</f>
        <v>0</v>
      </c>
    </row>
    <row r="427" spans="1:29" x14ac:dyDescent="0.3">
      <c r="A4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facilities_Poplar_Farming_DieselDiesel</v>
      </c>
      <c r="B427" s="14" t="s">
        <v>132</v>
      </c>
      <c r="C427" s="14" t="s">
        <v>1964</v>
      </c>
      <c r="D427" s="14" t="s">
        <v>29</v>
      </c>
      <c r="E427" s="48" t="s">
        <v>29</v>
      </c>
      <c r="F427" s="14" t="s">
        <v>911</v>
      </c>
      <c r="G427" s="14" t="b">
        <f>OR(LCI_Table[[#This Row],[Feedstock]]="All",LCI_Table[[#This Row],[Feedstock]]=SelectedFeedstock)</f>
        <v>0</v>
      </c>
      <c r="H427" s="14" t="b">
        <f>OR(LCI_Table[[#This Row],[Conversion]]="All",LCI_Table[[#This Row],[Conversion]]=SelectedConversion)</f>
        <v>0</v>
      </c>
      <c r="I427" s="14" t="b">
        <f>OR(LCI_Table[[#This Row],[Data Set]]="all",LCI_Table[[#This Row],[Data Set]]=SelectedDataSet)</f>
        <v>1</v>
      </c>
      <c r="J427" s="14" t="b">
        <f>OR(LCI_Table[[#This Row],[Technology]]="All",LCI_Table[[#This Row],[Technology]]=SelectedTechnology)</f>
        <v>0</v>
      </c>
      <c r="K427" s="14" t="b">
        <f>OR(LCI_Table[[#This Row],[Data Source]]="All",LCI_Table[[#This Row],[Data Source]]=SelectedDataSource)</f>
        <v>1</v>
      </c>
      <c r="L427" s="14" t="b">
        <f>TRUE</f>
        <v>1</v>
      </c>
      <c r="M427" s="14" t="b">
        <f>(LCI_Table[[#This Row],[Dev Notes]]="Do not display")</f>
        <v>0</v>
      </c>
      <c r="N427" s="14" t="b">
        <f>AND(LCI_Table[[#This Row],[Show Feedstock]:[Conditional]],NOT(LCI_Table[[#This Row],[Hide Row]]))</f>
        <v>0</v>
      </c>
      <c r="O427" s="14" t="b">
        <f>LCI_Table[[#This Row],[GREET1 Name Range]]=""</f>
        <v>0</v>
      </c>
      <c r="P427" s="14" t="s">
        <v>14</v>
      </c>
      <c r="Q427" s="14" t="s">
        <v>768</v>
      </c>
      <c r="R427" s="14" t="s">
        <v>106</v>
      </c>
      <c r="S427" s="37" cm="1">
        <f t="array" aca="1" ref="S4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89.706602120382115</v>
      </c>
      <c r="T427" s="346" t="s">
        <v>1484</v>
      </c>
      <c r="U427" s="347">
        <f ca="1">S427*Fuel_Specs!$B$19/S419</f>
        <v>268597.0406145241</v>
      </c>
      <c r="V427" s="347">
        <v>89.706602120382115</v>
      </c>
      <c r="W427" s="347">
        <v>268597.0406145241</v>
      </c>
      <c r="X427" s="14" t="s">
        <v>5</v>
      </c>
      <c r="Y427" s="346" t="s">
        <v>413</v>
      </c>
      <c r="Z427" s="14" t="str">
        <f>IF(ISBLANK(LCI_Table[[#This Row],[Notes for user]])," ",LCI_Table[[#This Row],[Notes for user]])</f>
        <v xml:space="preserve"> </v>
      </c>
      <c r="AA427" s="14"/>
      <c r="AB427" s="14"/>
      <c r="AC427" s="346">
        <f ca="1">LCI_Table[[#This Row],[Default Calculated Value]]-LCI_Table[[#This Row],[Calculated Value]]</f>
        <v>0</v>
      </c>
    </row>
    <row r="428" spans="1:29" x14ac:dyDescent="0.3">
      <c r="A4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facilities_Poplar_Farming_GasolineGasoline</v>
      </c>
      <c r="B428" s="14" t="s">
        <v>132</v>
      </c>
      <c r="C428" s="14" t="s">
        <v>1964</v>
      </c>
      <c r="D428" s="14" t="s">
        <v>29</v>
      </c>
      <c r="E428" s="48" t="s">
        <v>29</v>
      </c>
      <c r="F428" s="14" t="s">
        <v>911</v>
      </c>
      <c r="G428" s="14" t="b">
        <f>OR(LCI_Table[[#This Row],[Feedstock]]="All",LCI_Table[[#This Row],[Feedstock]]=SelectedFeedstock)</f>
        <v>0</v>
      </c>
      <c r="H428" s="14" t="b">
        <f>OR(LCI_Table[[#This Row],[Conversion]]="All",LCI_Table[[#This Row],[Conversion]]=SelectedConversion)</f>
        <v>0</v>
      </c>
      <c r="I428" s="14" t="b">
        <f>OR(LCI_Table[[#This Row],[Data Set]]="all",LCI_Table[[#This Row],[Data Set]]=SelectedDataSet)</f>
        <v>1</v>
      </c>
      <c r="J428" s="14" t="b">
        <f>OR(LCI_Table[[#This Row],[Technology]]="All",LCI_Table[[#This Row],[Technology]]=SelectedTechnology)</f>
        <v>0</v>
      </c>
      <c r="K428" s="14" t="b">
        <f>OR(LCI_Table[[#This Row],[Data Source]]="All",LCI_Table[[#This Row],[Data Source]]=SelectedDataSource)</f>
        <v>1</v>
      </c>
      <c r="L428" s="14" t="b">
        <f>TRUE</f>
        <v>1</v>
      </c>
      <c r="M428" s="14" t="b">
        <f>(LCI_Table[[#This Row],[Dev Notes]]="Do not display")</f>
        <v>0</v>
      </c>
      <c r="N428" s="14" t="b">
        <f>AND(LCI_Table[[#This Row],[Show Feedstock]:[Conditional]],NOT(LCI_Table[[#This Row],[Hide Row]]))</f>
        <v>0</v>
      </c>
      <c r="O428" s="14" t="b">
        <f>LCI_Table[[#This Row],[GREET1 Name Range]]=""</f>
        <v>0</v>
      </c>
      <c r="P428" s="14" t="s">
        <v>14</v>
      </c>
      <c r="Q428" s="14" t="s">
        <v>770</v>
      </c>
      <c r="R428" s="14" t="s">
        <v>107</v>
      </c>
      <c r="S428" s="37" cm="1">
        <f t="array" aca="1" ref="S4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28" s="346" t="s">
        <v>1484</v>
      </c>
      <c r="U428" s="347">
        <f ca="1">S428*Fuel_Specs!$B$15/S419</f>
        <v>0</v>
      </c>
      <c r="V428" s="347">
        <v>0</v>
      </c>
      <c r="W428" s="347">
        <v>0</v>
      </c>
      <c r="X428" s="14" t="s">
        <v>5</v>
      </c>
      <c r="Y428" s="346" t="s">
        <v>413</v>
      </c>
      <c r="Z428" s="14" t="str">
        <f>IF(ISBLANK(LCI_Table[[#This Row],[Notes for user]])," ",LCI_Table[[#This Row],[Notes for user]])</f>
        <v xml:space="preserve"> </v>
      </c>
      <c r="AA428" s="14"/>
      <c r="AB428" s="14"/>
      <c r="AC428" s="346">
        <f ca="1">LCI_Table[[#This Row],[Default Calculated Value]]-LCI_Table[[#This Row],[Calculated Value]]</f>
        <v>0</v>
      </c>
    </row>
    <row r="429" spans="1:29" x14ac:dyDescent="0.3">
      <c r="A4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facilities_Poplar_Farming_Natural_gasNatural gas</v>
      </c>
      <c r="B429" s="14" t="s">
        <v>132</v>
      </c>
      <c r="C429" s="14" t="s">
        <v>1964</v>
      </c>
      <c r="D429" s="14" t="s">
        <v>29</v>
      </c>
      <c r="E429" s="48" t="s">
        <v>29</v>
      </c>
      <c r="F429" s="14" t="s">
        <v>911</v>
      </c>
      <c r="G429" s="14" t="b">
        <f>OR(LCI_Table[[#This Row],[Feedstock]]="All",LCI_Table[[#This Row],[Feedstock]]=SelectedFeedstock)</f>
        <v>0</v>
      </c>
      <c r="H429" s="14" t="b">
        <f>OR(LCI_Table[[#This Row],[Conversion]]="All",LCI_Table[[#This Row],[Conversion]]=SelectedConversion)</f>
        <v>0</v>
      </c>
      <c r="I429" s="14" t="b">
        <f>OR(LCI_Table[[#This Row],[Data Set]]="all",LCI_Table[[#This Row],[Data Set]]=SelectedDataSet)</f>
        <v>1</v>
      </c>
      <c r="J429" s="14" t="b">
        <f>OR(LCI_Table[[#This Row],[Technology]]="All",LCI_Table[[#This Row],[Technology]]=SelectedTechnology)</f>
        <v>0</v>
      </c>
      <c r="K429" s="14" t="b">
        <f>OR(LCI_Table[[#This Row],[Data Source]]="All",LCI_Table[[#This Row],[Data Source]]=SelectedDataSource)</f>
        <v>1</v>
      </c>
      <c r="L429" s="14" t="b">
        <f>TRUE</f>
        <v>1</v>
      </c>
      <c r="M429" s="14" t="b">
        <f>(LCI_Table[[#This Row],[Dev Notes]]="Do not display")</f>
        <v>0</v>
      </c>
      <c r="N429" s="14" t="b">
        <f>AND(LCI_Table[[#This Row],[Show Feedstock]:[Conditional]],NOT(LCI_Table[[#This Row],[Hide Row]]))</f>
        <v>0</v>
      </c>
      <c r="O429" s="14" t="b">
        <f>LCI_Table[[#This Row],[GREET1 Name Range]]=""</f>
        <v>0</v>
      </c>
      <c r="P429" s="14" t="s">
        <v>14</v>
      </c>
      <c r="Q429" s="14" t="s">
        <v>775</v>
      </c>
      <c r="R429" s="14" t="s">
        <v>108</v>
      </c>
      <c r="S429" s="37" cm="1">
        <f t="array" aca="1" ref="S4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29" s="346" t="s">
        <v>2109</v>
      </c>
      <c r="U429" s="347">
        <f ca="1">S429*Fuel_Specs!$B$79/S419</f>
        <v>0</v>
      </c>
      <c r="V429" s="347">
        <v>0</v>
      </c>
      <c r="W429" s="347">
        <v>0</v>
      </c>
      <c r="X429" s="14" t="s">
        <v>351</v>
      </c>
      <c r="Y429" s="346" t="s">
        <v>413</v>
      </c>
      <c r="Z429" s="14" t="str">
        <f>IF(ISBLANK(LCI_Table[[#This Row],[Notes for user]])," ",LCI_Table[[#This Row],[Notes for user]])</f>
        <v xml:space="preserve"> </v>
      </c>
      <c r="AA429" s="14"/>
      <c r="AB429" s="14"/>
      <c r="AC429" s="346">
        <f ca="1">LCI_Table[[#This Row],[Default Calculated Value]]-LCI_Table[[#This Row],[Calculated Value]]</f>
        <v>0</v>
      </c>
    </row>
    <row r="430" spans="1:29" x14ac:dyDescent="0.3">
      <c r="A4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facilities_Poplar_Farming_CoalCoal</v>
      </c>
      <c r="B430" s="14" t="s">
        <v>132</v>
      </c>
      <c r="C430" s="14" t="s">
        <v>1964</v>
      </c>
      <c r="D430" s="14" t="s">
        <v>29</v>
      </c>
      <c r="E430" s="48" t="s">
        <v>29</v>
      </c>
      <c r="F430" s="14" t="s">
        <v>911</v>
      </c>
      <c r="G430" s="14" t="b">
        <f>OR(LCI_Table[[#This Row],[Feedstock]]="All",LCI_Table[[#This Row],[Feedstock]]=SelectedFeedstock)</f>
        <v>0</v>
      </c>
      <c r="H430" s="14" t="b">
        <f>OR(LCI_Table[[#This Row],[Conversion]]="All",LCI_Table[[#This Row],[Conversion]]=SelectedConversion)</f>
        <v>0</v>
      </c>
      <c r="I430" s="14" t="b">
        <f>OR(LCI_Table[[#This Row],[Data Set]]="all",LCI_Table[[#This Row],[Data Set]]=SelectedDataSet)</f>
        <v>1</v>
      </c>
      <c r="J430" s="14" t="b">
        <f>OR(LCI_Table[[#This Row],[Technology]]="All",LCI_Table[[#This Row],[Technology]]=SelectedTechnology)</f>
        <v>0</v>
      </c>
      <c r="K430" s="14" t="b">
        <f>OR(LCI_Table[[#This Row],[Data Source]]="All",LCI_Table[[#This Row],[Data Source]]=SelectedDataSource)</f>
        <v>1</v>
      </c>
      <c r="L430" s="14" t="b">
        <f>TRUE</f>
        <v>1</v>
      </c>
      <c r="M430" s="14" t="b">
        <f>(LCI_Table[[#This Row],[Dev Notes]]="Do not display")</f>
        <v>0</v>
      </c>
      <c r="N430" s="14" t="b">
        <f>AND(LCI_Table[[#This Row],[Show Feedstock]:[Conditional]],NOT(LCI_Table[[#This Row],[Hide Row]]))</f>
        <v>0</v>
      </c>
      <c r="O430" s="14" t="b">
        <f>LCI_Table[[#This Row],[GREET1 Name Range]]=""</f>
        <v>0</v>
      </c>
      <c r="P430" s="14" t="s">
        <v>14</v>
      </c>
      <c r="Q430" s="14" t="s">
        <v>767</v>
      </c>
      <c r="R430" s="14" t="s">
        <v>9</v>
      </c>
      <c r="S430" s="37" cm="1">
        <f t="array" aca="1" ref="S4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30" s="346" t="s">
        <v>2110</v>
      </c>
      <c r="U430" s="347">
        <f ca="1">S430/S419</f>
        <v>0</v>
      </c>
      <c r="V430" s="347">
        <v>0</v>
      </c>
      <c r="W430" s="347">
        <v>0</v>
      </c>
      <c r="X430" s="14" t="s">
        <v>117</v>
      </c>
      <c r="Y430" s="346" t="s">
        <v>413</v>
      </c>
      <c r="Z430" s="14" t="str">
        <f>IF(ISBLANK(LCI_Table[[#This Row],[Notes for user]])," ",LCI_Table[[#This Row],[Notes for user]])</f>
        <v xml:space="preserve"> </v>
      </c>
      <c r="AA430" s="14"/>
      <c r="AB430" s="14"/>
      <c r="AC430" s="346">
        <f ca="1">LCI_Table[[#This Row],[Default Calculated Value]]-LCI_Table[[#This Row],[Calculated Value]]</f>
        <v>0</v>
      </c>
    </row>
    <row r="431" spans="1:29" x14ac:dyDescent="0.3">
      <c r="A4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facilities_Poplar_Farming_LPGLPG</v>
      </c>
      <c r="B431" s="14" t="s">
        <v>132</v>
      </c>
      <c r="C431" s="14" t="s">
        <v>1964</v>
      </c>
      <c r="D431" s="14" t="s">
        <v>29</v>
      </c>
      <c r="E431" s="48" t="s">
        <v>29</v>
      </c>
      <c r="F431" s="14" t="s">
        <v>911</v>
      </c>
      <c r="G431" s="14" t="b">
        <f>OR(LCI_Table[[#This Row],[Feedstock]]="All",LCI_Table[[#This Row],[Feedstock]]=SelectedFeedstock)</f>
        <v>0</v>
      </c>
      <c r="H431" s="14" t="b">
        <f>OR(LCI_Table[[#This Row],[Conversion]]="All",LCI_Table[[#This Row],[Conversion]]=SelectedConversion)</f>
        <v>0</v>
      </c>
      <c r="I431" s="14" t="b">
        <f>OR(LCI_Table[[#This Row],[Data Set]]="all",LCI_Table[[#This Row],[Data Set]]=SelectedDataSet)</f>
        <v>1</v>
      </c>
      <c r="J431" s="14" t="b">
        <f>OR(LCI_Table[[#This Row],[Technology]]="All",LCI_Table[[#This Row],[Technology]]=SelectedTechnology)</f>
        <v>0</v>
      </c>
      <c r="K431" s="14" t="b">
        <f>OR(LCI_Table[[#This Row],[Data Source]]="All",LCI_Table[[#This Row],[Data Source]]=SelectedDataSource)</f>
        <v>1</v>
      </c>
      <c r="L431" s="14" t="b">
        <f>TRUE</f>
        <v>1</v>
      </c>
      <c r="M431" s="14" t="b">
        <f>(LCI_Table[[#This Row],[Dev Notes]]="Do not display")</f>
        <v>0</v>
      </c>
      <c r="N431" s="14" t="b">
        <f>AND(LCI_Table[[#This Row],[Show Feedstock]:[Conditional]],NOT(LCI_Table[[#This Row],[Hide Row]]))</f>
        <v>0</v>
      </c>
      <c r="O431" s="14" t="b">
        <f>LCI_Table[[#This Row],[GREET1 Name Range]]=""</f>
        <v>0</v>
      </c>
      <c r="P431" s="14" t="s">
        <v>14</v>
      </c>
      <c r="Q431" s="14" t="s">
        <v>774</v>
      </c>
      <c r="R431" s="14" t="s">
        <v>109</v>
      </c>
      <c r="S431" s="37" cm="1">
        <f t="array" aca="1" ref="S4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31" s="346" t="s">
        <v>1484</v>
      </c>
      <c r="U431" s="347">
        <f ca="1">S431*Fuel_Specs!$B$35/S419</f>
        <v>0</v>
      </c>
      <c r="V431" s="347">
        <v>0</v>
      </c>
      <c r="W431" s="347">
        <v>0</v>
      </c>
      <c r="X431" s="14" t="s">
        <v>5</v>
      </c>
      <c r="Y431" s="346" t="s">
        <v>413</v>
      </c>
      <c r="Z431" s="14" t="str">
        <f>IF(ISBLANK(LCI_Table[[#This Row],[Notes for user]])," ",LCI_Table[[#This Row],[Notes for user]])</f>
        <v xml:space="preserve"> </v>
      </c>
      <c r="AA431" s="14"/>
      <c r="AB431" s="14"/>
      <c r="AC431" s="346">
        <f ca="1">LCI_Table[[#This Row],[Default Calculated Value]]-LCI_Table[[#This Row],[Calculated Value]]</f>
        <v>0</v>
      </c>
    </row>
    <row r="432" spans="1:29" x14ac:dyDescent="0.3">
      <c r="A4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facilities_Poplar_Farming_ElectricityElectricity</v>
      </c>
      <c r="B432" s="14" t="s">
        <v>132</v>
      </c>
      <c r="C432" s="14" t="s">
        <v>1964</v>
      </c>
      <c r="D432" s="14" t="s">
        <v>29</v>
      </c>
      <c r="E432" s="48" t="s">
        <v>29</v>
      </c>
      <c r="F432" s="14" t="s">
        <v>911</v>
      </c>
      <c r="G432" s="14" t="b">
        <f>OR(LCI_Table[[#This Row],[Feedstock]]="All",LCI_Table[[#This Row],[Feedstock]]=SelectedFeedstock)</f>
        <v>0</v>
      </c>
      <c r="H432" s="14" t="b">
        <f>OR(LCI_Table[[#This Row],[Conversion]]="All",LCI_Table[[#This Row],[Conversion]]=SelectedConversion)</f>
        <v>0</v>
      </c>
      <c r="I432" s="14" t="b">
        <f>OR(LCI_Table[[#This Row],[Data Set]]="all",LCI_Table[[#This Row],[Data Set]]=SelectedDataSet)</f>
        <v>1</v>
      </c>
      <c r="J432" s="14" t="b">
        <f>OR(LCI_Table[[#This Row],[Technology]]="All",LCI_Table[[#This Row],[Technology]]=SelectedTechnology)</f>
        <v>0</v>
      </c>
      <c r="K432" s="14" t="b">
        <f>OR(LCI_Table[[#This Row],[Data Source]]="All",LCI_Table[[#This Row],[Data Source]]=SelectedDataSource)</f>
        <v>1</v>
      </c>
      <c r="L432" s="14" t="b">
        <f>TRUE</f>
        <v>1</v>
      </c>
      <c r="M432" s="14" t="b">
        <f>(LCI_Table[[#This Row],[Dev Notes]]="Do not display")</f>
        <v>0</v>
      </c>
      <c r="N432" s="14" t="b">
        <f>AND(LCI_Table[[#This Row],[Show Feedstock]:[Conditional]],NOT(LCI_Table[[#This Row],[Hide Row]]))</f>
        <v>0</v>
      </c>
      <c r="O432" s="14" t="b">
        <f>LCI_Table[[#This Row],[GREET1 Name Range]]=""</f>
        <v>0</v>
      </c>
      <c r="P432" s="14" t="s">
        <v>14</v>
      </c>
      <c r="Q432" s="14" t="s">
        <v>769</v>
      </c>
      <c r="R432" s="14" t="s">
        <v>110</v>
      </c>
      <c r="S432" s="37" cm="1">
        <f t="array" aca="1" ref="S4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32" s="346" t="s">
        <v>1561</v>
      </c>
      <c r="U432" s="347">
        <f ca="1">S432/BTU2kWh/S419</f>
        <v>0</v>
      </c>
      <c r="V432" s="347">
        <v>0</v>
      </c>
      <c r="W432" s="347">
        <v>0</v>
      </c>
      <c r="X432" s="14" t="s">
        <v>51</v>
      </c>
      <c r="Y432" s="346" t="s">
        <v>413</v>
      </c>
      <c r="Z432" s="14" t="str">
        <f>IF(ISBLANK(LCI_Table[[#This Row],[Notes for user]])," ",LCI_Table[[#This Row],[Notes for user]])</f>
        <v xml:space="preserve"> </v>
      </c>
      <c r="AA432" s="14"/>
      <c r="AB432" s="14"/>
      <c r="AC432" s="346">
        <f ca="1">LCI_Table[[#This Row],[Default Calculated Value]]-LCI_Table[[#This Row],[Calculated Value]]</f>
        <v>0</v>
      </c>
    </row>
    <row r="433" spans="1:29" x14ac:dyDescent="0.3">
      <c r="A4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facilities_Cellulosic_ETJ_FeedPoplar</v>
      </c>
      <c r="B433" s="14" t="s">
        <v>132</v>
      </c>
      <c r="C433" s="14" t="s">
        <v>1964</v>
      </c>
      <c r="D433" s="14" t="s">
        <v>29</v>
      </c>
      <c r="E433" s="48" t="s">
        <v>29</v>
      </c>
      <c r="F433" s="14" t="s">
        <v>911</v>
      </c>
      <c r="G433" s="14" t="b">
        <f>OR(LCI_Table[[#This Row],[Feedstock]]="All",LCI_Table[[#This Row],[Feedstock]]=SelectedFeedstock)</f>
        <v>0</v>
      </c>
      <c r="H433" s="14" t="b">
        <f>OR(LCI_Table[[#This Row],[Conversion]]="All",LCI_Table[[#This Row],[Conversion]]=SelectedConversion)</f>
        <v>0</v>
      </c>
      <c r="I433" s="14" t="b">
        <f>OR(LCI_Table[[#This Row],[Data Set]]="all",LCI_Table[[#This Row],[Data Set]]=SelectedDataSet)</f>
        <v>1</v>
      </c>
      <c r="J433" s="14" t="b">
        <f>OR(LCI_Table[[#This Row],[Technology]]="All",LCI_Table[[#This Row],[Technology]]=SelectedTechnology)</f>
        <v>0</v>
      </c>
      <c r="K433" s="14" t="b">
        <f>OR(LCI_Table[[#This Row],[Data Source]]="All",LCI_Table[[#This Row],[Data Source]]=SelectedDataSource)</f>
        <v>1</v>
      </c>
      <c r="L433" s="14" t="b">
        <f>TRUE</f>
        <v>1</v>
      </c>
      <c r="M433" s="14" t="b">
        <f>(LCI_Table[[#This Row],[Dev Notes]]="Do not display")</f>
        <v>0</v>
      </c>
      <c r="N433" s="14" t="b">
        <f>AND(LCI_Table[[#This Row],[Show Feedstock]:[Conditional]],NOT(LCI_Table[[#This Row],[Hide Row]]))</f>
        <v>0</v>
      </c>
      <c r="O433" s="14" t="b">
        <f>LCI_Table[[#This Row],[GREET1 Name Range]]=""</f>
        <v>0</v>
      </c>
      <c r="P433" s="14" t="s">
        <v>1448</v>
      </c>
      <c r="Q433" s="14" t="s">
        <v>562</v>
      </c>
      <c r="R433" s="14" t="s">
        <v>132</v>
      </c>
      <c r="S433" s="37" cm="1">
        <f t="array" aca="1" ref="S4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371.68351875591389</v>
      </c>
      <c r="T433" s="346" t="s">
        <v>2119</v>
      </c>
      <c r="U433" s="347">
        <f ca="1">S433/kg2lb/Allocations!$O$44*MJ2mmBTU</f>
        <v>0.21213150478299425</v>
      </c>
      <c r="V433" s="347">
        <v>371.68351875591389</v>
      </c>
      <c r="W433" s="347">
        <v>0.21213150478299425</v>
      </c>
      <c r="X433" s="37" t="s">
        <v>12</v>
      </c>
      <c r="Y433" s="346" t="s">
        <v>416</v>
      </c>
      <c r="Z433" s="14" t="str">
        <f>IF(ISBLANK(LCI_Table[[#This Row],[Notes for user]])," ",LCI_Table[[#This Row],[Notes for user]])</f>
        <v xml:space="preserve"> </v>
      </c>
      <c r="AA433" s="14"/>
      <c r="AB433" s="14"/>
      <c r="AC433" s="346">
        <f ca="1">LCI_Table[[#This Row],[Default Calculated Value]]-LCI_Table[[#This Row],[Calculated Value]]</f>
        <v>0</v>
      </c>
    </row>
    <row r="434" spans="1:29" x14ac:dyDescent="0.3">
      <c r="A4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facilities_Cellulosic_ETJ_HydrogenHydrogen</v>
      </c>
      <c r="B434" s="14" t="s">
        <v>132</v>
      </c>
      <c r="C434" s="14" t="s">
        <v>1964</v>
      </c>
      <c r="D434" s="14" t="s">
        <v>29</v>
      </c>
      <c r="E434" s="48" t="s">
        <v>29</v>
      </c>
      <c r="F434" s="14" t="s">
        <v>911</v>
      </c>
      <c r="G434" s="14" t="b">
        <f>OR(LCI_Table[[#This Row],[Feedstock]]="All",LCI_Table[[#This Row],[Feedstock]]=SelectedFeedstock)</f>
        <v>0</v>
      </c>
      <c r="H434" s="14" t="b">
        <f>OR(LCI_Table[[#This Row],[Conversion]]="All",LCI_Table[[#This Row],[Conversion]]=SelectedConversion)</f>
        <v>0</v>
      </c>
      <c r="I434" s="14" t="b">
        <f>OR(LCI_Table[[#This Row],[Data Set]]="all",LCI_Table[[#This Row],[Data Set]]=SelectedDataSet)</f>
        <v>1</v>
      </c>
      <c r="J434" s="14" t="b">
        <f>OR(LCI_Table[[#This Row],[Technology]]="All",LCI_Table[[#This Row],[Technology]]=SelectedTechnology)</f>
        <v>0</v>
      </c>
      <c r="K434" s="14" t="b">
        <f>OR(LCI_Table[[#This Row],[Data Source]]="All",LCI_Table[[#This Row],[Data Source]]=SelectedDataSource)</f>
        <v>1</v>
      </c>
      <c r="L434" s="14" t="b">
        <f>TRUE</f>
        <v>1</v>
      </c>
      <c r="M434" s="14" t="b">
        <f>(LCI_Table[[#This Row],[Dev Notes]]="Do not display")</f>
        <v>0</v>
      </c>
      <c r="N434" s="14" t="b">
        <f>AND(LCI_Table[[#This Row],[Show Feedstock]:[Conditional]],NOT(LCI_Table[[#This Row],[Hide Row]]))</f>
        <v>0</v>
      </c>
      <c r="O434" s="14" t="b">
        <f>LCI_Table[[#This Row],[GREET1 Name Range]]=""</f>
        <v>0</v>
      </c>
      <c r="P434" s="14" t="s">
        <v>1448</v>
      </c>
      <c r="Q434" s="14" t="s">
        <v>565</v>
      </c>
      <c r="R434" s="14" t="s">
        <v>73</v>
      </c>
      <c r="S434" s="37" cm="1">
        <f t="array" aca="1" ref="S4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210.24598998652542</v>
      </c>
      <c r="T434" s="346" t="s">
        <v>2120</v>
      </c>
      <c r="U434" s="347">
        <f ca="1">S434/kg2g*Fuel_Specs!$E$81/Allocations!$O$44*MJ2mmBTU</f>
        <v>6.745808835334578E-4</v>
      </c>
      <c r="V434" s="347">
        <v>210.24598998652542</v>
      </c>
      <c r="W434" s="347">
        <v>6.745808835334578E-4</v>
      </c>
      <c r="X434" s="37" t="s">
        <v>351</v>
      </c>
      <c r="Y434" s="346" t="s">
        <v>416</v>
      </c>
      <c r="Z434" s="14" t="str">
        <f>IF(ISBLANK(LCI_Table[[#This Row],[Notes for user]])," ",LCI_Table[[#This Row],[Notes for user]])</f>
        <v xml:space="preserve"> </v>
      </c>
      <c r="AA434" s="14"/>
      <c r="AB434" s="14"/>
      <c r="AC434" s="346">
        <f ca="1">LCI_Table[[#This Row],[Default Calculated Value]]-LCI_Table[[#This Row],[Calculated Value]]</f>
        <v>0</v>
      </c>
    </row>
    <row r="435" spans="1:29" x14ac:dyDescent="0.3">
      <c r="A4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facilities_Cellulosic_ETJ_AmmoniaAmmonia</v>
      </c>
      <c r="B435" s="14" t="s">
        <v>132</v>
      </c>
      <c r="C435" s="14" t="s">
        <v>1964</v>
      </c>
      <c r="D435" s="14" t="s">
        <v>29</v>
      </c>
      <c r="E435" s="48" t="s">
        <v>29</v>
      </c>
      <c r="F435" s="14" t="s">
        <v>911</v>
      </c>
      <c r="G435" s="14" t="b">
        <f>OR(LCI_Table[[#This Row],[Feedstock]]="All",LCI_Table[[#This Row],[Feedstock]]=SelectedFeedstock)</f>
        <v>0</v>
      </c>
      <c r="H435" s="14" t="b">
        <f>OR(LCI_Table[[#This Row],[Conversion]]="All",LCI_Table[[#This Row],[Conversion]]=SelectedConversion)</f>
        <v>0</v>
      </c>
      <c r="I435" s="14" t="b">
        <f>OR(LCI_Table[[#This Row],[Data Set]]="all",LCI_Table[[#This Row],[Data Set]]=SelectedDataSet)</f>
        <v>1</v>
      </c>
      <c r="J435" s="14" t="b">
        <f>OR(LCI_Table[[#This Row],[Technology]]="All",LCI_Table[[#This Row],[Technology]]=SelectedTechnology)</f>
        <v>0</v>
      </c>
      <c r="K435" s="14" t="b">
        <f>OR(LCI_Table[[#This Row],[Data Source]]="All",LCI_Table[[#This Row],[Data Source]]=SelectedDataSource)</f>
        <v>1</v>
      </c>
      <c r="L435" s="14" t="b">
        <f>TRUE</f>
        <v>1</v>
      </c>
      <c r="M435" s="14" t="b">
        <f>(LCI_Table[[#This Row],[Dev Notes]]="Do not display")</f>
        <v>0</v>
      </c>
      <c r="N435" s="14" t="b">
        <f>AND(LCI_Table[[#This Row],[Show Feedstock]:[Conditional]],NOT(LCI_Table[[#This Row],[Hide Row]]))</f>
        <v>0</v>
      </c>
      <c r="O435" s="14" t="b">
        <f>LCI_Table[[#This Row],[GREET1 Name Range]]=""</f>
        <v>0</v>
      </c>
      <c r="P435" s="14" t="s">
        <v>1448</v>
      </c>
      <c r="Q435" s="14" t="s">
        <v>557</v>
      </c>
      <c r="R435" s="14" t="s">
        <v>382</v>
      </c>
      <c r="S435" s="37" cm="1">
        <f t="array" aca="1" ref="S4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617.69707425785418</v>
      </c>
      <c r="T435" s="346" t="s">
        <v>2127</v>
      </c>
      <c r="U435" s="347">
        <f ca="1">S435/kg2g/Allocations!$O$44*MJ2mmBTU</f>
        <v>7.7721589248412777E-4</v>
      </c>
      <c r="V435" s="347">
        <v>617.69707425785418</v>
      </c>
      <c r="W435" s="347">
        <v>7.7721589248412777E-4</v>
      </c>
      <c r="X435" s="37" t="s">
        <v>6</v>
      </c>
      <c r="Y435" s="346" t="s">
        <v>416</v>
      </c>
      <c r="Z435" s="14" t="str">
        <f>IF(ISBLANK(LCI_Table[[#This Row],[Notes for user]])," ",LCI_Table[[#This Row],[Notes for user]])</f>
        <v xml:space="preserve"> </v>
      </c>
      <c r="AA435" s="14"/>
      <c r="AB435" s="14"/>
      <c r="AC435" s="346">
        <f ca="1">LCI_Table[[#This Row],[Default Calculated Value]]-LCI_Table[[#This Row],[Calculated Value]]</f>
        <v>0</v>
      </c>
    </row>
    <row r="436" spans="1:29" x14ac:dyDescent="0.3">
      <c r="A4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facilities_Cellulosic_ETJ_CatalystsCatalysts</v>
      </c>
      <c r="B436" s="14" t="s">
        <v>132</v>
      </c>
      <c r="C436" s="14" t="s">
        <v>1964</v>
      </c>
      <c r="D436" s="14" t="s">
        <v>29</v>
      </c>
      <c r="E436" s="48" t="s">
        <v>29</v>
      </c>
      <c r="F436" s="14" t="s">
        <v>911</v>
      </c>
      <c r="G436" s="14" t="b">
        <f>OR(LCI_Table[[#This Row],[Feedstock]]="All",LCI_Table[[#This Row],[Feedstock]]=SelectedFeedstock)</f>
        <v>0</v>
      </c>
      <c r="H436" s="14" t="b">
        <f>OR(LCI_Table[[#This Row],[Conversion]]="All",LCI_Table[[#This Row],[Conversion]]=SelectedConversion)</f>
        <v>0</v>
      </c>
      <c r="I436" s="14" t="b">
        <f>OR(LCI_Table[[#This Row],[Data Set]]="all",LCI_Table[[#This Row],[Data Set]]=SelectedDataSet)</f>
        <v>1</v>
      </c>
      <c r="J436" s="14" t="b">
        <f>OR(LCI_Table[[#This Row],[Technology]]="All",LCI_Table[[#This Row],[Technology]]=SelectedTechnology)</f>
        <v>0</v>
      </c>
      <c r="K436" s="14" t="b">
        <f>OR(LCI_Table[[#This Row],[Data Source]]="All",LCI_Table[[#This Row],[Data Source]]=SelectedDataSource)</f>
        <v>1</v>
      </c>
      <c r="L436" s="14" t="b">
        <f>TRUE</f>
        <v>1</v>
      </c>
      <c r="M436" s="14" t="b">
        <f>(LCI_Table[[#This Row],[Dev Notes]]="Do not display")</f>
        <v>0</v>
      </c>
      <c r="N436" s="14" t="b">
        <f>AND(LCI_Table[[#This Row],[Show Feedstock]:[Conditional]],NOT(LCI_Table[[#This Row],[Hide Row]]))</f>
        <v>0</v>
      </c>
      <c r="O436" s="14" t="b">
        <f>LCI_Table[[#This Row],[GREET1 Name Range]]=""</f>
        <v>0</v>
      </c>
      <c r="P436" s="14" t="s">
        <v>1448</v>
      </c>
      <c r="Q436" s="14" t="s">
        <v>558</v>
      </c>
      <c r="R436" s="14" t="s">
        <v>142</v>
      </c>
      <c r="S436" s="37" cm="1">
        <f t="array" aca="1" ref="S4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84.971115198327823</v>
      </c>
      <c r="T436" s="346" t="s">
        <v>2127</v>
      </c>
      <c r="U436" s="347">
        <f ca="1">S436/kg2g/Allocations!$O$44*MJ2mmBTU</f>
        <v>1.0691470606945369E-4</v>
      </c>
      <c r="V436" s="347">
        <v>84.971115198327823</v>
      </c>
      <c r="W436" s="347">
        <v>1.0691470606945369E-4</v>
      </c>
      <c r="X436" s="37" t="s">
        <v>6</v>
      </c>
      <c r="Y436" s="346" t="s">
        <v>416</v>
      </c>
      <c r="Z436" s="14" t="str">
        <f>IF(ISBLANK(LCI_Table[[#This Row],[Notes for user]])," ",LCI_Table[[#This Row],[Notes for user]])</f>
        <v xml:space="preserve"> </v>
      </c>
      <c r="AA436" s="14"/>
      <c r="AB436" s="14"/>
      <c r="AC436" s="346">
        <f ca="1">LCI_Table[[#This Row],[Default Calculated Value]]-LCI_Table[[#This Row],[Calculated Value]]</f>
        <v>0</v>
      </c>
    </row>
    <row r="437" spans="1:29" x14ac:dyDescent="0.3">
      <c r="A4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facilities_Cellulosic_ETJ_Corn_steep_liquorCorn steep liquor</v>
      </c>
      <c r="B437" s="14" t="s">
        <v>132</v>
      </c>
      <c r="C437" s="14" t="s">
        <v>1964</v>
      </c>
      <c r="D437" s="14" t="s">
        <v>29</v>
      </c>
      <c r="E437" s="48" t="s">
        <v>29</v>
      </c>
      <c r="F437" s="14" t="s">
        <v>911</v>
      </c>
      <c r="G437" s="14" t="b">
        <f>OR(LCI_Table[[#This Row],[Feedstock]]="All",LCI_Table[[#This Row],[Feedstock]]=SelectedFeedstock)</f>
        <v>0</v>
      </c>
      <c r="H437" s="14" t="b">
        <f>OR(LCI_Table[[#This Row],[Conversion]]="All",LCI_Table[[#This Row],[Conversion]]=SelectedConversion)</f>
        <v>0</v>
      </c>
      <c r="I437" s="14" t="b">
        <f>OR(LCI_Table[[#This Row],[Data Set]]="all",LCI_Table[[#This Row],[Data Set]]=SelectedDataSet)</f>
        <v>1</v>
      </c>
      <c r="J437" s="14" t="b">
        <f>OR(LCI_Table[[#This Row],[Technology]]="All",LCI_Table[[#This Row],[Technology]]=SelectedTechnology)</f>
        <v>0</v>
      </c>
      <c r="K437" s="14" t="b">
        <f>OR(LCI_Table[[#This Row],[Data Source]]="All",LCI_Table[[#This Row],[Data Source]]=SelectedDataSource)</f>
        <v>1</v>
      </c>
      <c r="L437" s="14" t="b">
        <f>TRUE</f>
        <v>1</v>
      </c>
      <c r="M437" s="14" t="b">
        <f>(LCI_Table[[#This Row],[Dev Notes]]="Do not display")</f>
        <v>0</v>
      </c>
      <c r="N437" s="14" t="b">
        <f>AND(LCI_Table[[#This Row],[Show Feedstock]:[Conditional]],NOT(LCI_Table[[#This Row],[Hide Row]]))</f>
        <v>0</v>
      </c>
      <c r="O437" s="14" t="b">
        <f>LCI_Table[[#This Row],[GREET1 Name Range]]=""</f>
        <v>0</v>
      </c>
      <c r="P437" s="14" t="s">
        <v>1448</v>
      </c>
      <c r="Q437" s="14" t="s">
        <v>559</v>
      </c>
      <c r="R437" s="14" t="s">
        <v>386</v>
      </c>
      <c r="S437" s="37" cm="1">
        <f t="array" aca="1" ref="S4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2678.6132505377623</v>
      </c>
      <c r="T437" s="346" t="s">
        <v>2127</v>
      </c>
      <c r="U437" s="347">
        <f ca="1">S437/kg2g/Allocations!$O$44*MJ2mmBTU</f>
        <v>3.3703588294275401E-3</v>
      </c>
      <c r="V437" s="347">
        <v>2678.6132505377623</v>
      </c>
      <c r="W437" s="347">
        <v>3.3703588294275401E-3</v>
      </c>
      <c r="X437" s="37" t="s">
        <v>6</v>
      </c>
      <c r="Y437" s="346" t="s">
        <v>416</v>
      </c>
      <c r="Z437" s="14" t="str">
        <f>IF(ISBLANK(LCI_Table[[#This Row],[Notes for user]])," ",LCI_Table[[#This Row],[Notes for user]])</f>
        <v xml:space="preserve"> </v>
      </c>
      <c r="AA437" s="14"/>
      <c r="AB437" s="14"/>
      <c r="AC437" s="346">
        <f ca="1">LCI_Table[[#This Row],[Default Calculated Value]]-LCI_Table[[#This Row],[Calculated Value]]</f>
        <v>0</v>
      </c>
    </row>
    <row r="438" spans="1:29" x14ac:dyDescent="0.3">
      <c r="A4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facilities_Cellulosic_ETJ_DAPDAP</v>
      </c>
      <c r="B438" s="14" t="s">
        <v>132</v>
      </c>
      <c r="C438" s="14" t="s">
        <v>1964</v>
      </c>
      <c r="D438" s="14" t="s">
        <v>29</v>
      </c>
      <c r="E438" s="48" t="s">
        <v>29</v>
      </c>
      <c r="F438" s="14" t="s">
        <v>911</v>
      </c>
      <c r="G438" s="14" t="b">
        <f>OR(LCI_Table[[#This Row],[Feedstock]]="All",LCI_Table[[#This Row],[Feedstock]]=SelectedFeedstock)</f>
        <v>0</v>
      </c>
      <c r="H438" s="14" t="b">
        <f>OR(LCI_Table[[#This Row],[Conversion]]="All",LCI_Table[[#This Row],[Conversion]]=SelectedConversion)</f>
        <v>0</v>
      </c>
      <c r="I438" s="14" t="b">
        <f>OR(LCI_Table[[#This Row],[Data Set]]="all",LCI_Table[[#This Row],[Data Set]]=SelectedDataSet)</f>
        <v>1</v>
      </c>
      <c r="J438" s="14" t="b">
        <f>OR(LCI_Table[[#This Row],[Technology]]="All",LCI_Table[[#This Row],[Technology]]=SelectedTechnology)</f>
        <v>0</v>
      </c>
      <c r="K438" s="14" t="b">
        <f>OR(LCI_Table[[#This Row],[Data Source]]="All",LCI_Table[[#This Row],[Data Source]]=SelectedDataSource)</f>
        <v>1</v>
      </c>
      <c r="L438" s="14" t="b">
        <f>TRUE</f>
        <v>1</v>
      </c>
      <c r="M438" s="14" t="b">
        <f>(LCI_Table[[#This Row],[Dev Notes]]="Do not display")</f>
        <v>0</v>
      </c>
      <c r="N438" s="14" t="b">
        <f>AND(LCI_Table[[#This Row],[Show Feedstock]:[Conditional]],NOT(LCI_Table[[#This Row],[Hide Row]]))</f>
        <v>0</v>
      </c>
      <c r="O438" s="14" t="b">
        <f>LCI_Table[[#This Row],[GREET1 Name Range]]=""</f>
        <v>0</v>
      </c>
      <c r="P438" s="14" t="s">
        <v>1448</v>
      </c>
      <c r="Q438" s="14" t="s">
        <v>560</v>
      </c>
      <c r="R438" s="14" t="s">
        <v>383</v>
      </c>
      <c r="S438" s="37" cm="1">
        <f t="array" aca="1" ref="S4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287.28329424196545</v>
      </c>
      <c r="T438" s="346" t="s">
        <v>2127</v>
      </c>
      <c r="U438" s="347">
        <f ca="1">S438/kg2g/Allocations!$O$44*MJ2mmBTU</f>
        <v>3.6147353004434345E-4</v>
      </c>
      <c r="V438" s="347">
        <v>287.28329424196545</v>
      </c>
      <c r="W438" s="347">
        <v>3.6147353004434345E-4</v>
      </c>
      <c r="X438" s="37" t="s">
        <v>6</v>
      </c>
      <c r="Y438" s="346" t="s">
        <v>416</v>
      </c>
      <c r="Z438" s="14" t="str">
        <f>IF(ISBLANK(LCI_Table[[#This Row],[Notes for user]])," ",LCI_Table[[#This Row],[Notes for user]])</f>
        <v xml:space="preserve"> </v>
      </c>
      <c r="AA438" s="14"/>
      <c r="AB438" s="14"/>
      <c r="AC438" s="346">
        <f ca="1">LCI_Table[[#This Row],[Default Calculated Value]]-LCI_Table[[#This Row],[Calculated Value]]</f>
        <v>0</v>
      </c>
    </row>
    <row r="439" spans="1:29" x14ac:dyDescent="0.3">
      <c r="A4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facilities_Cellulosic_ETJ_GlucoseGlucose</v>
      </c>
      <c r="B439" s="14" t="s">
        <v>132</v>
      </c>
      <c r="C439" s="14" t="s">
        <v>1964</v>
      </c>
      <c r="D439" s="14" t="s">
        <v>29</v>
      </c>
      <c r="E439" s="48" t="s">
        <v>29</v>
      </c>
      <c r="F439" s="14" t="s">
        <v>911</v>
      </c>
      <c r="G439" s="14" t="b">
        <f>OR(LCI_Table[[#This Row],[Feedstock]]="All",LCI_Table[[#This Row],[Feedstock]]=SelectedFeedstock)</f>
        <v>0</v>
      </c>
      <c r="H439" s="14" t="b">
        <f>OR(LCI_Table[[#This Row],[Conversion]]="All",LCI_Table[[#This Row],[Conversion]]=SelectedConversion)</f>
        <v>0</v>
      </c>
      <c r="I439" s="14" t="b">
        <f>OR(LCI_Table[[#This Row],[Data Set]]="all",LCI_Table[[#This Row],[Data Set]]=SelectedDataSet)</f>
        <v>1</v>
      </c>
      <c r="J439" s="14" t="b">
        <f>OR(LCI_Table[[#This Row],[Technology]]="All",LCI_Table[[#This Row],[Technology]]=SelectedTechnology)</f>
        <v>0</v>
      </c>
      <c r="K439" s="14" t="b">
        <f>OR(LCI_Table[[#This Row],[Data Source]]="All",LCI_Table[[#This Row],[Data Source]]=SelectedDataSource)</f>
        <v>1</v>
      </c>
      <c r="L439" s="14" t="b">
        <f>TRUE</f>
        <v>1</v>
      </c>
      <c r="M439" s="14" t="b">
        <f>(LCI_Table[[#This Row],[Dev Notes]]="Do not display")</f>
        <v>0</v>
      </c>
      <c r="N439" s="14" t="b">
        <f>AND(LCI_Table[[#This Row],[Show Feedstock]:[Conditional]],NOT(LCI_Table[[#This Row],[Hide Row]]))</f>
        <v>0</v>
      </c>
      <c r="O439" s="14" t="b">
        <f>LCI_Table[[#This Row],[GREET1 Name Range]]=""</f>
        <v>0</v>
      </c>
      <c r="P439" s="14" t="s">
        <v>1448</v>
      </c>
      <c r="Q439" s="14" t="s">
        <v>563</v>
      </c>
      <c r="R439" s="14" t="s">
        <v>387</v>
      </c>
      <c r="S439" s="37" cm="1">
        <f t="array" aca="1" ref="S4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4891.908489275158</v>
      </c>
      <c r="T439" s="346" t="s">
        <v>2127</v>
      </c>
      <c r="U439" s="347">
        <f ca="1">S439/kg2g/Allocations!$O$44*MJ2mmBTU</f>
        <v>6.1552323637128334E-3</v>
      </c>
      <c r="V439" s="347">
        <v>4891.908489275158</v>
      </c>
      <c r="W439" s="347">
        <v>6.1552323637128334E-3</v>
      </c>
      <c r="X439" s="37" t="s">
        <v>6</v>
      </c>
      <c r="Y439" s="346" t="s">
        <v>416</v>
      </c>
      <c r="Z439" s="14" t="str">
        <f>IF(ISBLANK(LCI_Table[[#This Row],[Notes for user]])," ",LCI_Table[[#This Row],[Notes for user]])</f>
        <v xml:space="preserve"> </v>
      </c>
      <c r="AA439" s="14"/>
      <c r="AB439" s="14"/>
      <c r="AC439" s="346">
        <f ca="1">LCI_Table[[#This Row],[Default Calculated Value]]-LCI_Table[[#This Row],[Calculated Value]]</f>
        <v>0</v>
      </c>
    </row>
    <row r="440" spans="1:29" x14ac:dyDescent="0.3">
      <c r="A4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facilities_Cellulosic_ETJ_Host_nutrientsHost nutrients</v>
      </c>
      <c r="B440" s="14" t="s">
        <v>132</v>
      </c>
      <c r="C440" s="14" t="s">
        <v>1964</v>
      </c>
      <c r="D440" s="14" t="s">
        <v>29</v>
      </c>
      <c r="E440" s="48" t="s">
        <v>29</v>
      </c>
      <c r="F440" s="14" t="s">
        <v>911</v>
      </c>
      <c r="G440" s="14" t="b">
        <f>OR(LCI_Table[[#This Row],[Feedstock]]="All",LCI_Table[[#This Row],[Feedstock]]=SelectedFeedstock)</f>
        <v>0</v>
      </c>
      <c r="H440" s="14" t="b">
        <f>OR(LCI_Table[[#This Row],[Conversion]]="All",LCI_Table[[#This Row],[Conversion]]=SelectedConversion)</f>
        <v>0</v>
      </c>
      <c r="I440" s="14" t="b">
        <f>OR(LCI_Table[[#This Row],[Data Set]]="all",LCI_Table[[#This Row],[Data Set]]=SelectedDataSet)</f>
        <v>1</v>
      </c>
      <c r="J440" s="14" t="b">
        <f>OR(LCI_Table[[#This Row],[Technology]]="All",LCI_Table[[#This Row],[Technology]]=SelectedTechnology)</f>
        <v>0</v>
      </c>
      <c r="K440" s="14" t="b">
        <f>OR(LCI_Table[[#This Row],[Data Source]]="All",LCI_Table[[#This Row],[Data Source]]=SelectedDataSource)</f>
        <v>1</v>
      </c>
      <c r="L440" s="14" t="b">
        <f>TRUE</f>
        <v>1</v>
      </c>
      <c r="M440" s="14" t="b">
        <f>(LCI_Table[[#This Row],[Dev Notes]]="Do not display")</f>
        <v>0</v>
      </c>
      <c r="N440" s="14" t="b">
        <f>AND(LCI_Table[[#This Row],[Show Feedstock]:[Conditional]],NOT(LCI_Table[[#This Row],[Hide Row]]))</f>
        <v>0</v>
      </c>
      <c r="O440" s="14" t="b">
        <f>LCI_Table[[#This Row],[GREET1 Name Range]]=""</f>
        <v>0</v>
      </c>
      <c r="P440" s="14" t="s">
        <v>1448</v>
      </c>
      <c r="Q440" s="14" t="s">
        <v>564</v>
      </c>
      <c r="R440" s="14" t="s">
        <v>388</v>
      </c>
      <c r="S440" s="37" cm="1">
        <f t="array" aca="1" ref="S4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135.54915995923719</v>
      </c>
      <c r="T440" s="346" t="s">
        <v>2127</v>
      </c>
      <c r="U440" s="347">
        <f ca="1">S440/kg2g/Allocations!$O$44*MJ2mmBTU</f>
        <v>1.7055441206317607E-4</v>
      </c>
      <c r="V440" s="347">
        <v>135.54915995923719</v>
      </c>
      <c r="W440" s="347">
        <v>1.7055441206317607E-4</v>
      </c>
      <c r="X440" s="37" t="s">
        <v>6</v>
      </c>
      <c r="Y440" s="346" t="s">
        <v>416</v>
      </c>
      <c r="Z440" s="14" t="str">
        <f>IF(ISBLANK(LCI_Table[[#This Row],[Notes for user]])," ",LCI_Table[[#This Row],[Notes for user]])</f>
        <v xml:space="preserve"> </v>
      </c>
      <c r="AA440" s="14"/>
      <c r="AB440" s="14"/>
      <c r="AC440" s="346">
        <f ca="1">LCI_Table[[#This Row],[Default Calculated Value]]-LCI_Table[[#This Row],[Calculated Value]]</f>
        <v>0</v>
      </c>
    </row>
    <row r="441" spans="1:29" x14ac:dyDescent="0.3">
      <c r="A4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facilities_Cellulosic_ETJ_LimeLime</v>
      </c>
      <c r="B441" s="14" t="s">
        <v>132</v>
      </c>
      <c r="C441" s="14" t="s">
        <v>1964</v>
      </c>
      <c r="D441" s="14" t="s">
        <v>29</v>
      </c>
      <c r="E441" s="48" t="s">
        <v>29</v>
      </c>
      <c r="F441" s="14" t="s">
        <v>911</v>
      </c>
      <c r="G441" s="14" t="b">
        <f>OR(LCI_Table[[#This Row],[Feedstock]]="All",LCI_Table[[#This Row],[Feedstock]]=SelectedFeedstock)</f>
        <v>0</v>
      </c>
      <c r="H441" s="14" t="b">
        <f>OR(LCI_Table[[#This Row],[Conversion]]="All",LCI_Table[[#This Row],[Conversion]]=SelectedConversion)</f>
        <v>0</v>
      </c>
      <c r="I441" s="14" t="b">
        <f>OR(LCI_Table[[#This Row],[Data Set]]="all",LCI_Table[[#This Row],[Data Set]]=SelectedDataSet)</f>
        <v>1</v>
      </c>
      <c r="J441" s="14" t="b">
        <f>OR(LCI_Table[[#This Row],[Technology]]="All",LCI_Table[[#This Row],[Technology]]=SelectedTechnology)</f>
        <v>0</v>
      </c>
      <c r="K441" s="14" t="b">
        <f>OR(LCI_Table[[#This Row],[Data Source]]="All",LCI_Table[[#This Row],[Data Source]]=SelectedDataSource)</f>
        <v>1</v>
      </c>
      <c r="L441" s="14" t="b">
        <f>TRUE</f>
        <v>1</v>
      </c>
      <c r="M441" s="14" t="b">
        <f>(LCI_Table[[#This Row],[Dev Notes]]="Do not display")</f>
        <v>0</v>
      </c>
      <c r="N441" s="14" t="b">
        <f>AND(LCI_Table[[#This Row],[Show Feedstock]:[Conditional]],NOT(LCI_Table[[#This Row],[Hide Row]]))</f>
        <v>0</v>
      </c>
      <c r="O441" s="14" t="b">
        <f>LCI_Table[[#This Row],[GREET1 Name Range]]=""</f>
        <v>0</v>
      </c>
      <c r="P441" s="14" t="s">
        <v>1448</v>
      </c>
      <c r="Q441" s="14" t="s">
        <v>566</v>
      </c>
      <c r="R441" s="14" t="s">
        <v>143</v>
      </c>
      <c r="S441" s="37" cm="1">
        <f t="array" aca="1" ref="S4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1790.4627845361929</v>
      </c>
      <c r="T441" s="346" t="s">
        <v>2127</v>
      </c>
      <c r="U441" s="347">
        <f ca="1">S441/kg2g/Allocations!$O$44*MJ2mmBTU</f>
        <v>2.2528455921777737E-3</v>
      </c>
      <c r="V441" s="347">
        <v>1790.4627845361929</v>
      </c>
      <c r="W441" s="347">
        <v>2.2528455921777737E-3</v>
      </c>
      <c r="X441" s="14" t="s">
        <v>6</v>
      </c>
      <c r="Y441" s="346" t="s">
        <v>416</v>
      </c>
      <c r="Z441" s="14" t="str">
        <f>IF(ISBLANK(LCI_Table[[#This Row],[Notes for user]])," ",LCI_Table[[#This Row],[Notes for user]])</f>
        <v xml:space="preserve"> </v>
      </c>
      <c r="AA441" s="14"/>
      <c r="AB441" s="14"/>
      <c r="AC441" s="346">
        <f ca="1">LCI_Table[[#This Row],[Default Calculated Value]]-LCI_Table[[#This Row],[Calculated Value]]</f>
        <v>0</v>
      </c>
    </row>
    <row r="442" spans="1:29" x14ac:dyDescent="0.3">
      <c r="A4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facilities_Cellulosic_ETJ_Sulfuric_acidSulfuric acid</v>
      </c>
      <c r="B442" s="14" t="s">
        <v>132</v>
      </c>
      <c r="C442" s="14" t="s">
        <v>1964</v>
      </c>
      <c r="D442" s="14" t="s">
        <v>29</v>
      </c>
      <c r="E442" s="48" t="s">
        <v>29</v>
      </c>
      <c r="F442" s="14" t="s">
        <v>911</v>
      </c>
      <c r="G442" s="14" t="b">
        <f>OR(LCI_Table[[#This Row],[Feedstock]]="All",LCI_Table[[#This Row],[Feedstock]]=SelectedFeedstock)</f>
        <v>0</v>
      </c>
      <c r="H442" s="14" t="b">
        <f>OR(LCI_Table[[#This Row],[Conversion]]="All",LCI_Table[[#This Row],[Conversion]]=SelectedConversion)</f>
        <v>0</v>
      </c>
      <c r="I442" s="14" t="b">
        <f>OR(LCI_Table[[#This Row],[Data Set]]="all",LCI_Table[[#This Row],[Data Set]]=SelectedDataSet)</f>
        <v>1</v>
      </c>
      <c r="J442" s="14" t="b">
        <f>OR(LCI_Table[[#This Row],[Technology]]="All",LCI_Table[[#This Row],[Technology]]=SelectedTechnology)</f>
        <v>0</v>
      </c>
      <c r="K442" s="14" t="b">
        <f>OR(LCI_Table[[#This Row],[Data Source]]="All",LCI_Table[[#This Row],[Data Source]]=SelectedDataSource)</f>
        <v>1</v>
      </c>
      <c r="L442" s="14" t="b">
        <f>TRUE</f>
        <v>1</v>
      </c>
      <c r="M442" s="14" t="b">
        <f>(LCI_Table[[#This Row],[Dev Notes]]="Do not display")</f>
        <v>0</v>
      </c>
      <c r="N442" s="14" t="b">
        <f>AND(LCI_Table[[#This Row],[Show Feedstock]:[Conditional]],NOT(LCI_Table[[#This Row],[Hide Row]]))</f>
        <v>0</v>
      </c>
      <c r="O442" s="14" t="b">
        <f>LCI_Table[[#This Row],[GREET1 Name Range]]=""</f>
        <v>0</v>
      </c>
      <c r="P442" s="14" t="s">
        <v>1448</v>
      </c>
      <c r="Q442" s="14" t="s">
        <v>567</v>
      </c>
      <c r="R442" s="14" t="s">
        <v>384</v>
      </c>
      <c r="S442" s="37" cm="1">
        <f t="array" aca="1" ref="S4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4007.8042668544622</v>
      </c>
      <c r="T442" s="346" t="s">
        <v>2127</v>
      </c>
      <c r="U442" s="347">
        <f ca="1">S442/kg2g/Allocations!$O$44*MJ2mmBTU</f>
        <v>5.042810302942566E-3</v>
      </c>
      <c r="V442" s="347">
        <v>4007.8042668544622</v>
      </c>
      <c r="W442" s="347">
        <v>5.042810302942566E-3</v>
      </c>
      <c r="X442" s="37" t="s">
        <v>6</v>
      </c>
      <c r="Y442" s="346" t="s">
        <v>416</v>
      </c>
      <c r="Z442" s="14" t="str">
        <f>IF(ISBLANK(LCI_Table[[#This Row],[Notes for user]])," ",LCI_Table[[#This Row],[Notes for user]])</f>
        <v xml:space="preserve"> </v>
      </c>
      <c r="AA442" s="14"/>
      <c r="AB442" s="14"/>
      <c r="AC442" s="346">
        <f ca="1">LCI_Table[[#This Row],[Default Calculated Value]]-LCI_Table[[#This Row],[Calculated Value]]</f>
        <v>0</v>
      </c>
    </row>
    <row r="443" spans="1:29" x14ac:dyDescent="0.3">
      <c r="A4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facilities_Cellulosic_ETJ_UreaUrea</v>
      </c>
      <c r="B443" s="14" t="s">
        <v>132</v>
      </c>
      <c r="C443" s="14" t="s">
        <v>1964</v>
      </c>
      <c r="D443" s="14" t="s">
        <v>29</v>
      </c>
      <c r="E443" s="48" t="s">
        <v>29</v>
      </c>
      <c r="F443" s="14" t="s">
        <v>911</v>
      </c>
      <c r="G443" s="14" t="b">
        <f>OR(LCI_Table[[#This Row],[Feedstock]]="All",LCI_Table[[#This Row],[Feedstock]]=SelectedFeedstock)</f>
        <v>0</v>
      </c>
      <c r="H443" s="14" t="b">
        <f>OR(LCI_Table[[#This Row],[Conversion]]="All",LCI_Table[[#This Row],[Conversion]]=SelectedConversion)</f>
        <v>0</v>
      </c>
      <c r="I443" s="14" t="b">
        <f>OR(LCI_Table[[#This Row],[Data Set]]="all",LCI_Table[[#This Row],[Data Set]]=SelectedDataSet)</f>
        <v>1</v>
      </c>
      <c r="J443" s="14" t="b">
        <f>OR(LCI_Table[[#This Row],[Technology]]="All",LCI_Table[[#This Row],[Technology]]=SelectedTechnology)</f>
        <v>0</v>
      </c>
      <c r="K443" s="14" t="b">
        <f>OR(LCI_Table[[#This Row],[Data Source]]="All",LCI_Table[[#This Row],[Data Source]]=SelectedDataSource)</f>
        <v>1</v>
      </c>
      <c r="L443" s="14" t="b">
        <f>TRUE</f>
        <v>1</v>
      </c>
      <c r="M443" s="14" t="b">
        <f>(LCI_Table[[#This Row],[Dev Notes]]="Do not display")</f>
        <v>0</v>
      </c>
      <c r="N443" s="14" t="b">
        <f>AND(LCI_Table[[#This Row],[Show Feedstock]:[Conditional]],NOT(LCI_Table[[#This Row],[Hide Row]]))</f>
        <v>0</v>
      </c>
      <c r="O443" s="14" t="b">
        <f>LCI_Table[[#This Row],[GREET1 Name Range]]=""</f>
        <v>0</v>
      </c>
      <c r="P443" s="14" t="s">
        <v>1448</v>
      </c>
      <c r="Q443" s="14" t="s">
        <v>568</v>
      </c>
      <c r="R443" s="14" t="s">
        <v>144</v>
      </c>
      <c r="S443" s="37" cm="1">
        <f t="array" aca="1" ref="S4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232.6590059001833</v>
      </c>
      <c r="T443" s="346" t="s">
        <v>2127</v>
      </c>
      <c r="U443" s="347">
        <f ca="1">S443/kg2g/Allocations!$O$44*MJ2mmBTU</f>
        <v>2.9274264757112316E-4</v>
      </c>
      <c r="V443" s="347">
        <v>232.6590059001833</v>
      </c>
      <c r="W443" s="347">
        <v>2.9274264757112316E-4</v>
      </c>
      <c r="X443" s="37" t="s">
        <v>6</v>
      </c>
      <c r="Y443" s="346" t="s">
        <v>416</v>
      </c>
      <c r="Z443" s="14" t="str">
        <f>IF(ISBLANK(LCI_Table[[#This Row],[Notes for user]])," ",LCI_Table[[#This Row],[Notes for user]])</f>
        <v xml:space="preserve"> </v>
      </c>
      <c r="AA443" s="14"/>
      <c r="AB443" s="14"/>
      <c r="AC443" s="346">
        <f ca="1">LCI_Table[[#This Row],[Default Calculated Value]]-LCI_Table[[#This Row],[Calculated Value]]</f>
        <v>0</v>
      </c>
    </row>
    <row r="444" spans="1:29" x14ac:dyDescent="0.3">
      <c r="A4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facilities_Cellulosic_ETJ_NaOHNaOH</v>
      </c>
      <c r="B444" s="14" t="s">
        <v>132</v>
      </c>
      <c r="C444" s="14" t="s">
        <v>1964</v>
      </c>
      <c r="D444" s="14" t="s">
        <v>29</v>
      </c>
      <c r="E444" s="48" t="s">
        <v>29</v>
      </c>
      <c r="F444" s="14" t="s">
        <v>911</v>
      </c>
      <c r="G444" s="14" t="b">
        <f>OR(LCI_Table[[#This Row],[Feedstock]]="All",LCI_Table[[#This Row],[Feedstock]]=SelectedFeedstock)</f>
        <v>0</v>
      </c>
      <c r="H444" s="14" t="b">
        <f>OR(LCI_Table[[#This Row],[Conversion]]="All",LCI_Table[[#This Row],[Conversion]]=SelectedConversion)</f>
        <v>0</v>
      </c>
      <c r="I444" s="14" t="b">
        <f>OR(LCI_Table[[#This Row],[Data Set]]="all",LCI_Table[[#This Row],[Data Set]]=SelectedDataSet)</f>
        <v>1</v>
      </c>
      <c r="J444" s="14" t="b">
        <f>OR(LCI_Table[[#This Row],[Technology]]="All",LCI_Table[[#This Row],[Technology]]=SelectedTechnology)</f>
        <v>0</v>
      </c>
      <c r="K444" s="14" t="b">
        <f>OR(LCI_Table[[#This Row],[Data Source]]="All",LCI_Table[[#This Row],[Data Source]]=SelectedDataSource)</f>
        <v>1</v>
      </c>
      <c r="L444" s="14" t="b">
        <f>TRUE</f>
        <v>1</v>
      </c>
      <c r="M444" s="14" t="b">
        <f>(LCI_Table[[#This Row],[Dev Notes]]="Do not display")</f>
        <v>0</v>
      </c>
      <c r="N444" s="14" t="b">
        <f>AND(LCI_Table[[#This Row],[Show Feedstock]:[Conditional]],NOT(LCI_Table[[#This Row],[Hide Row]]))</f>
        <v>0</v>
      </c>
      <c r="O444" s="14" t="b">
        <f>LCI_Table[[#This Row],[GREET1 Name Range]]=""</f>
        <v>0</v>
      </c>
      <c r="P444" s="14" t="s">
        <v>1448</v>
      </c>
      <c r="Q444" s="14" t="s">
        <v>1401</v>
      </c>
      <c r="R444" s="14" t="s">
        <v>403</v>
      </c>
      <c r="S444" s="37" cm="1">
        <f t="array" aca="1" ref="S4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44" s="346" t="s">
        <v>2127</v>
      </c>
      <c r="U444" s="347">
        <f ca="1">S444/kg2g/Allocations!$O$44*MJ2mmBTU</f>
        <v>0</v>
      </c>
      <c r="V444" s="347">
        <v>0</v>
      </c>
      <c r="W444" s="347">
        <v>0</v>
      </c>
      <c r="X444" s="37" t="s">
        <v>6</v>
      </c>
      <c r="Y444" s="346" t="s">
        <v>416</v>
      </c>
      <c r="Z444" s="14" t="str">
        <f>IF(ISBLANK(LCI_Table[[#This Row],[Notes for user]])," ",LCI_Table[[#This Row],[Notes for user]])</f>
        <v xml:space="preserve"> </v>
      </c>
      <c r="AA444" s="14"/>
      <c r="AB444" s="14"/>
      <c r="AC444" s="346">
        <f ca="1">LCI_Table[[#This Row],[Default Calculated Value]]-LCI_Table[[#This Row],[Calculated Value]]</f>
        <v>0</v>
      </c>
    </row>
    <row r="445" spans="1:29" x14ac:dyDescent="0.3">
      <c r="A4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facilities_Cellulosic_ETJ_WaterWater</v>
      </c>
      <c r="B445" s="14" t="s">
        <v>132</v>
      </c>
      <c r="C445" s="14" t="s">
        <v>1964</v>
      </c>
      <c r="D445" s="14" t="s">
        <v>29</v>
      </c>
      <c r="E445" s="48" t="s">
        <v>29</v>
      </c>
      <c r="F445" s="14" t="s">
        <v>911</v>
      </c>
      <c r="G445" s="14" t="b">
        <f>OR(LCI_Table[[#This Row],[Feedstock]]="All",LCI_Table[[#This Row],[Feedstock]]=SelectedFeedstock)</f>
        <v>0</v>
      </c>
      <c r="H445" s="14" t="b">
        <f>OR(LCI_Table[[#This Row],[Conversion]]="All",LCI_Table[[#This Row],[Conversion]]=SelectedConversion)</f>
        <v>0</v>
      </c>
      <c r="I445" s="14" t="b">
        <f>OR(LCI_Table[[#This Row],[Data Set]]="all",LCI_Table[[#This Row],[Data Set]]=SelectedDataSet)</f>
        <v>1</v>
      </c>
      <c r="J445" s="14" t="b">
        <f>OR(LCI_Table[[#This Row],[Technology]]="All",LCI_Table[[#This Row],[Technology]]=SelectedTechnology)</f>
        <v>0</v>
      </c>
      <c r="K445" s="14" t="b">
        <f>OR(LCI_Table[[#This Row],[Data Source]]="All",LCI_Table[[#This Row],[Data Source]]=SelectedDataSource)</f>
        <v>1</v>
      </c>
      <c r="L445" s="14" t="b">
        <f>TRUE</f>
        <v>1</v>
      </c>
      <c r="M445" s="14" t="b">
        <f>(LCI_Table[[#This Row],[Dev Notes]]="Do not display")</f>
        <v>0</v>
      </c>
      <c r="N445" s="14" t="b">
        <f>AND(LCI_Table[[#This Row],[Show Feedstock]:[Conditional]],NOT(LCI_Table[[#This Row],[Hide Row]]))</f>
        <v>0</v>
      </c>
      <c r="O445" s="14" t="b">
        <f>LCI_Table[[#This Row],[GREET1 Name Range]]=""</f>
        <v>0</v>
      </c>
      <c r="P445" s="14" t="s">
        <v>1448</v>
      </c>
      <c r="Q445" s="14" t="s">
        <v>569</v>
      </c>
      <c r="R445" s="14" t="s">
        <v>146</v>
      </c>
      <c r="S445" s="37" cm="1">
        <f t="array" aca="1" ref="S4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79.956230854903993</v>
      </c>
      <c r="T445" s="346" t="s">
        <v>2128</v>
      </c>
      <c r="U445" s="347">
        <f ca="1">S445/kg2lb*Fuel_Specs!$K$4/Allocations!$O$44*MJ2mmBTU</f>
        <v>0.37970757860566479</v>
      </c>
      <c r="V445" s="347">
        <v>79.956230854903993</v>
      </c>
      <c r="W445" s="347">
        <v>0.37970757860566479</v>
      </c>
      <c r="X445" s="37" t="s">
        <v>5</v>
      </c>
      <c r="Y445" s="346" t="s">
        <v>416</v>
      </c>
      <c r="Z445" s="14" t="str">
        <f>IF(ISBLANK(LCI_Table[[#This Row],[Notes for user]])," ",LCI_Table[[#This Row],[Notes for user]])</f>
        <v xml:space="preserve"> </v>
      </c>
      <c r="AA445" s="14"/>
      <c r="AB445" s="14"/>
      <c r="AC445" s="346">
        <f ca="1">LCI_Table[[#This Row],[Default Calculated Value]]-LCI_Table[[#This Row],[Calculated Value]]</f>
        <v>0</v>
      </c>
    </row>
    <row r="446" spans="1:29" x14ac:dyDescent="0.3">
      <c r="A4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PoplarATJ-ethanolGREETGREETCo-located facilities_Cellulosic_ETJ_Electricity_co_producedElectricity (co-produced)</v>
      </c>
      <c r="B446" s="14" t="s">
        <v>132</v>
      </c>
      <c r="C446" s="14" t="s">
        <v>1964</v>
      </c>
      <c r="D446" s="14" t="s">
        <v>29</v>
      </c>
      <c r="E446" s="48" t="s">
        <v>29</v>
      </c>
      <c r="F446" s="14" t="s">
        <v>911</v>
      </c>
      <c r="G446" s="14" t="b">
        <f>OR(LCI_Table[[#This Row],[Feedstock]]="All",LCI_Table[[#This Row],[Feedstock]]=SelectedFeedstock)</f>
        <v>0</v>
      </c>
      <c r="H446" s="14" t="b">
        <f>OR(LCI_Table[[#This Row],[Conversion]]="All",LCI_Table[[#This Row],[Conversion]]=SelectedConversion)</f>
        <v>0</v>
      </c>
      <c r="I446" s="14" t="b">
        <f>OR(LCI_Table[[#This Row],[Data Set]]="all",LCI_Table[[#This Row],[Data Set]]=SelectedDataSet)</f>
        <v>1</v>
      </c>
      <c r="J446" s="14" t="b">
        <f>OR(LCI_Table[[#This Row],[Technology]]="All",LCI_Table[[#This Row],[Technology]]=SelectedTechnology)</f>
        <v>0</v>
      </c>
      <c r="K446" s="14" t="b">
        <f>OR(LCI_Table[[#This Row],[Data Source]]="All",LCI_Table[[#This Row],[Data Source]]=SelectedDataSource)</f>
        <v>1</v>
      </c>
      <c r="L446" s="14" t="b">
        <f>TRUE</f>
        <v>1</v>
      </c>
      <c r="M446" s="14" t="b">
        <f>(LCI_Table[[#This Row],[Dev Notes]]="Do not display")</f>
        <v>0</v>
      </c>
      <c r="N446" s="14" t="b">
        <f>AND(LCI_Table[[#This Row],[Show Feedstock]:[Conditional]],NOT(LCI_Table[[#This Row],[Hide Row]]))</f>
        <v>0</v>
      </c>
      <c r="O446" s="14" t="b">
        <f>LCI_Table[[#This Row],[GREET1 Name Range]]=""</f>
        <v>0</v>
      </c>
      <c r="P446" s="14" t="s">
        <v>1448</v>
      </c>
      <c r="Q446" s="14" t="s">
        <v>561</v>
      </c>
      <c r="R446" s="14" t="s">
        <v>439</v>
      </c>
      <c r="S446" s="37" cm="1">
        <f t="array" aca="1" ref="S4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25.473126463384443</v>
      </c>
      <c r="T446" s="346" t="s">
        <v>2121</v>
      </c>
      <c r="U446" s="347">
        <f ca="1">S446/Allocations!$O$44*MJ2mmBTU</f>
        <v>3.2051501526678398E-2</v>
      </c>
      <c r="V446" s="347">
        <v>25.473126463384443</v>
      </c>
      <c r="W446" s="347">
        <v>3.2051501526678398E-2</v>
      </c>
      <c r="X446" s="37" t="s">
        <v>51</v>
      </c>
      <c r="Y446" s="346" t="s">
        <v>416</v>
      </c>
      <c r="Z446" s="14" t="str">
        <f>IF(ISBLANK(LCI_Table[[#This Row],[Notes for user]])," ",LCI_Table[[#This Row],[Notes for user]])</f>
        <v xml:space="preserve"> </v>
      </c>
      <c r="AA446" s="14"/>
      <c r="AB446" s="14"/>
      <c r="AC446" s="346">
        <f ca="1">LCI_Table[[#This Row],[Default Calculated Value]]-LCI_Table[[#This Row],[Calculated Value]]</f>
        <v>0</v>
      </c>
    </row>
    <row r="447" spans="1:29" x14ac:dyDescent="0.3">
      <c r="A4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dash_SwitchgrassATJ-ethanolGREETGREETCo-located facilities_Yield_Farming</v>
      </c>
      <c r="B447" s="48" t="s">
        <v>133</v>
      </c>
      <c r="C447" s="48" t="s">
        <v>1964</v>
      </c>
      <c r="D447" s="48" t="s">
        <v>29</v>
      </c>
      <c r="E447" s="48" t="s">
        <v>29</v>
      </c>
      <c r="F447" s="48" t="s">
        <v>911</v>
      </c>
      <c r="G447" s="14" t="b">
        <f>OR(LCI_Table[[#This Row],[Feedstock]]="All",LCI_Table[[#This Row],[Feedstock]]=SelectedFeedstock)</f>
        <v>0</v>
      </c>
      <c r="H447" s="14" t="b">
        <f>OR(LCI_Table[[#This Row],[Conversion]]="All",LCI_Table[[#This Row],[Conversion]]=SelectedConversion)</f>
        <v>0</v>
      </c>
      <c r="I447" s="14" t="b">
        <f>OR(LCI_Table[[#This Row],[Data Set]]="all",LCI_Table[[#This Row],[Data Set]]=SelectedDataSet)</f>
        <v>1</v>
      </c>
      <c r="J447" s="14" t="b">
        <f>OR(LCI_Table[[#This Row],[Technology]]="All",LCI_Table[[#This Row],[Technology]]=SelectedTechnology)</f>
        <v>0</v>
      </c>
      <c r="K447" s="14" t="b">
        <f>OR(LCI_Table[[#This Row],[Data Source]]="All",LCI_Table[[#This Row],[Data Source]]=SelectedDataSource)</f>
        <v>1</v>
      </c>
      <c r="L447" s="14" t="b">
        <f>TRUE</f>
        <v>1</v>
      </c>
      <c r="M447" s="14" t="b">
        <f>(LCI_Table[[#This Row],[Dev Notes]]="Do not display")</f>
        <v>0</v>
      </c>
      <c r="N447" s="14" t="b">
        <f>AND(LCI_Table[[#This Row],[Show Feedstock]:[Conditional]],NOT(LCI_Table[[#This Row],[Hide Row]]))</f>
        <v>0</v>
      </c>
      <c r="O447" s="14" t="b">
        <f>LCI_Table[[#This Row],[GREET1 Name Range]]=""</f>
        <v>1</v>
      </c>
      <c r="P447" s="48" t="s">
        <v>14</v>
      </c>
      <c r="Q447" s="14" t="s">
        <v>361</v>
      </c>
      <c r="R447" s="48" t="s">
        <v>200</v>
      </c>
      <c r="S447" s="37" cm="1">
        <f t="array" aca="1" ref="S4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5.8</v>
      </c>
      <c r="T447" s="346" t="s">
        <v>2116</v>
      </c>
      <c r="U447" s="344"/>
      <c r="V447" s="344">
        <v>5.8</v>
      </c>
      <c r="W447" s="344"/>
      <c r="X447" s="48" t="s">
        <v>55</v>
      </c>
      <c r="Y447" s="346" t="s">
        <v>413</v>
      </c>
      <c r="Z447" s="14" t="str">
        <f>IF(ISBLANK(LCI_Table[[#This Row],[Notes for user]])," ",LCI_Table[[#This Row],[Notes for user]])</f>
        <v xml:space="preserve"> </v>
      </c>
      <c r="AA447" s="48"/>
      <c r="AB447" s="345"/>
      <c r="AC447" s="346">
        <f>LCI_Table[[#This Row],[Default Calculated Value]]-LCI_Table[[#This Row],[Calculated Value]]</f>
        <v>0</v>
      </c>
    </row>
    <row r="448" spans="1:29" x14ac:dyDescent="0.3">
      <c r="A4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facilities_Switchgrass_Farming_Nitrogen_fertilizerNitrogen fertilizer</v>
      </c>
      <c r="B448" s="14" t="s">
        <v>133</v>
      </c>
      <c r="C448" s="14" t="s">
        <v>1964</v>
      </c>
      <c r="D448" s="14" t="s">
        <v>29</v>
      </c>
      <c r="E448" s="48" t="s">
        <v>29</v>
      </c>
      <c r="F448" s="14" t="s">
        <v>911</v>
      </c>
      <c r="G448" s="14" t="b">
        <f>OR(LCI_Table[[#This Row],[Feedstock]]="All",LCI_Table[[#This Row],[Feedstock]]=SelectedFeedstock)</f>
        <v>0</v>
      </c>
      <c r="H448" s="14" t="b">
        <f>OR(LCI_Table[[#This Row],[Conversion]]="All",LCI_Table[[#This Row],[Conversion]]=SelectedConversion)</f>
        <v>0</v>
      </c>
      <c r="I448" s="14" t="b">
        <f>OR(LCI_Table[[#This Row],[Data Set]]="all",LCI_Table[[#This Row],[Data Set]]=SelectedDataSet)</f>
        <v>1</v>
      </c>
      <c r="J448" s="14" t="b">
        <f>OR(LCI_Table[[#This Row],[Technology]]="All",LCI_Table[[#This Row],[Technology]]=SelectedTechnology)</f>
        <v>0</v>
      </c>
      <c r="K448" s="14" t="b">
        <f>OR(LCI_Table[[#This Row],[Data Source]]="All",LCI_Table[[#This Row],[Data Source]]=SelectedDataSource)</f>
        <v>1</v>
      </c>
      <c r="L448" s="14" t="b">
        <f>TRUE</f>
        <v>1</v>
      </c>
      <c r="M448" s="14" t="b">
        <f>(LCI_Table[[#This Row],[Dev Notes]]="Do not display")</f>
        <v>0</v>
      </c>
      <c r="N448" s="14" t="b">
        <f>AND(LCI_Table[[#This Row],[Show Feedstock]:[Conditional]],NOT(LCI_Table[[#This Row],[Hide Row]]))</f>
        <v>0</v>
      </c>
      <c r="O448" s="14" t="b">
        <f>LCI_Table[[#This Row],[GREET1 Name Range]]=""</f>
        <v>0</v>
      </c>
      <c r="P448" s="14" t="s">
        <v>14</v>
      </c>
      <c r="Q448" s="14" t="s">
        <v>818</v>
      </c>
      <c r="R448" s="14" t="s">
        <v>111</v>
      </c>
      <c r="S448" s="37" cm="1">
        <f t="array" aca="1" ref="S4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62.365776576701215</v>
      </c>
      <c r="T448" s="346" t="s">
        <v>1485</v>
      </c>
      <c r="U448" s="347">
        <f ca="1">S448/S447*lb2g</f>
        <v>4877.3517938476534</v>
      </c>
      <c r="V448" s="347">
        <v>62.365776576701215</v>
      </c>
      <c r="W448" s="347">
        <v>4877.3517938476534</v>
      </c>
      <c r="X448" s="37" t="s">
        <v>12</v>
      </c>
      <c r="Y448" s="346" t="s">
        <v>413</v>
      </c>
      <c r="Z448" s="14" t="str">
        <f>IF(ISBLANK(LCI_Table[[#This Row],[Notes for user]])," ",LCI_Table[[#This Row],[Notes for user]])</f>
        <v xml:space="preserve"> </v>
      </c>
      <c r="AA448" s="14"/>
      <c r="AB448" s="14"/>
      <c r="AC448" s="346">
        <f ca="1">LCI_Table[[#This Row],[Default Calculated Value]]-LCI_Table[[#This Row],[Calculated Value]]</f>
        <v>0</v>
      </c>
    </row>
    <row r="449" spans="1:29" x14ac:dyDescent="0.3">
      <c r="A4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facilities_Switchgrass_Farming_P2O5P2O5</v>
      </c>
      <c r="B449" s="14" t="s">
        <v>133</v>
      </c>
      <c r="C449" s="14" t="s">
        <v>1964</v>
      </c>
      <c r="D449" s="14" t="s">
        <v>29</v>
      </c>
      <c r="E449" s="48" t="s">
        <v>29</v>
      </c>
      <c r="F449" s="14" t="s">
        <v>911</v>
      </c>
      <c r="G449" s="14" t="b">
        <f>OR(LCI_Table[[#This Row],[Feedstock]]="All",LCI_Table[[#This Row],[Feedstock]]=SelectedFeedstock)</f>
        <v>0</v>
      </c>
      <c r="H449" s="14" t="b">
        <f>OR(LCI_Table[[#This Row],[Conversion]]="All",LCI_Table[[#This Row],[Conversion]]=SelectedConversion)</f>
        <v>0</v>
      </c>
      <c r="I449" s="14" t="b">
        <f>OR(LCI_Table[[#This Row],[Data Set]]="all",LCI_Table[[#This Row],[Data Set]]=SelectedDataSet)</f>
        <v>1</v>
      </c>
      <c r="J449" s="14" t="b">
        <f>OR(LCI_Table[[#This Row],[Technology]]="All",LCI_Table[[#This Row],[Technology]]=SelectedTechnology)</f>
        <v>0</v>
      </c>
      <c r="K449" s="14" t="b">
        <f>OR(LCI_Table[[#This Row],[Data Source]]="All",LCI_Table[[#This Row],[Data Source]]=SelectedDataSource)</f>
        <v>1</v>
      </c>
      <c r="L449" s="14" t="b">
        <f>TRUE</f>
        <v>1</v>
      </c>
      <c r="M449" s="14" t="b">
        <f>(LCI_Table[[#This Row],[Dev Notes]]="Do not display")</f>
        <v>0</v>
      </c>
      <c r="N449" s="14" t="b">
        <f>AND(LCI_Table[[#This Row],[Show Feedstock]:[Conditional]],NOT(LCI_Table[[#This Row],[Hide Row]]))</f>
        <v>0</v>
      </c>
      <c r="O449" s="14" t="b">
        <f>LCI_Table[[#This Row],[GREET1 Name Range]]=""</f>
        <v>0</v>
      </c>
      <c r="P449" s="14" t="s">
        <v>14</v>
      </c>
      <c r="Q449" s="14" t="s">
        <v>819</v>
      </c>
      <c r="R449" s="14" t="s">
        <v>112</v>
      </c>
      <c r="S449" s="37" cm="1">
        <f t="array" aca="1" ref="S4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29.509463992754132</v>
      </c>
      <c r="T449" s="346" t="s">
        <v>1485</v>
      </c>
      <c r="U449" s="347">
        <f ca="1">S449/S447*lb2g</f>
        <v>2307.8047775694845</v>
      </c>
      <c r="V449" s="347">
        <v>29.509463992754132</v>
      </c>
      <c r="W449" s="347">
        <v>2307.8047775694845</v>
      </c>
      <c r="X449" s="37" t="s">
        <v>12</v>
      </c>
      <c r="Y449" s="346" t="s">
        <v>413</v>
      </c>
      <c r="Z449" s="14" t="str">
        <f>IF(ISBLANK(LCI_Table[[#This Row],[Notes for user]])," ",LCI_Table[[#This Row],[Notes for user]])</f>
        <v xml:space="preserve"> </v>
      </c>
      <c r="AA449" s="14"/>
      <c r="AB449" s="14"/>
      <c r="AC449" s="346">
        <f ca="1">LCI_Table[[#This Row],[Default Calculated Value]]-LCI_Table[[#This Row],[Calculated Value]]</f>
        <v>0</v>
      </c>
    </row>
    <row r="450" spans="1:29" x14ac:dyDescent="0.3">
      <c r="A4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facilities_Switchgrass_Farming_K2OK2O</v>
      </c>
      <c r="B450" s="14" t="s">
        <v>133</v>
      </c>
      <c r="C450" s="14" t="s">
        <v>1964</v>
      </c>
      <c r="D450" s="14" t="s">
        <v>29</v>
      </c>
      <c r="E450" s="48" t="s">
        <v>29</v>
      </c>
      <c r="F450" s="14" t="s">
        <v>911</v>
      </c>
      <c r="G450" s="14" t="b">
        <f>OR(LCI_Table[[#This Row],[Feedstock]]="All",LCI_Table[[#This Row],[Feedstock]]=SelectedFeedstock)</f>
        <v>0</v>
      </c>
      <c r="H450" s="14" t="b">
        <f>OR(LCI_Table[[#This Row],[Conversion]]="All",LCI_Table[[#This Row],[Conversion]]=SelectedConversion)</f>
        <v>0</v>
      </c>
      <c r="I450" s="14" t="b">
        <f>OR(LCI_Table[[#This Row],[Data Set]]="all",LCI_Table[[#This Row],[Data Set]]=SelectedDataSet)</f>
        <v>1</v>
      </c>
      <c r="J450" s="14" t="b">
        <f>OR(LCI_Table[[#This Row],[Technology]]="All",LCI_Table[[#This Row],[Technology]]=SelectedTechnology)</f>
        <v>0</v>
      </c>
      <c r="K450" s="14" t="b">
        <f>OR(LCI_Table[[#This Row],[Data Source]]="All",LCI_Table[[#This Row],[Data Source]]=SelectedDataSource)</f>
        <v>1</v>
      </c>
      <c r="L450" s="14" t="b">
        <f>TRUE</f>
        <v>1</v>
      </c>
      <c r="M450" s="14" t="b">
        <f>(LCI_Table[[#This Row],[Dev Notes]]="Do not display")</f>
        <v>0</v>
      </c>
      <c r="N450" s="14" t="b">
        <f>AND(LCI_Table[[#This Row],[Show Feedstock]:[Conditional]],NOT(LCI_Table[[#This Row],[Hide Row]]))</f>
        <v>0</v>
      </c>
      <c r="O450" s="14" t="b">
        <f>LCI_Table[[#This Row],[GREET1 Name Range]]=""</f>
        <v>0</v>
      </c>
      <c r="P450" s="14" t="s">
        <v>14</v>
      </c>
      <c r="Q450" s="14" t="s">
        <v>815</v>
      </c>
      <c r="R450" s="14" t="s">
        <v>113</v>
      </c>
      <c r="S450" s="37" cm="1">
        <f t="array" aca="1" ref="S4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40.923203330302059</v>
      </c>
      <c r="T450" s="346" t="s">
        <v>1485</v>
      </c>
      <c r="U450" s="347">
        <f ca="1">S450/S447*lb2g</f>
        <v>3200.4228942385525</v>
      </c>
      <c r="V450" s="347">
        <v>40.923203330302059</v>
      </c>
      <c r="W450" s="347">
        <v>3200.4228942385525</v>
      </c>
      <c r="X450" s="37" t="s">
        <v>12</v>
      </c>
      <c r="Y450" s="346" t="s">
        <v>413</v>
      </c>
      <c r="Z450" s="14" t="str">
        <f>IF(ISBLANK(LCI_Table[[#This Row],[Notes for user]])," ",LCI_Table[[#This Row],[Notes for user]])</f>
        <v xml:space="preserve"> </v>
      </c>
      <c r="AA450" s="14"/>
      <c r="AB450" s="14"/>
      <c r="AC450" s="346">
        <f ca="1">LCI_Table[[#This Row],[Default Calculated Value]]-LCI_Table[[#This Row],[Calculated Value]]</f>
        <v>0</v>
      </c>
    </row>
    <row r="451" spans="1:29" x14ac:dyDescent="0.3">
      <c r="A4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facilities_Switchgrass_Farming_CaCO3CaCO3</v>
      </c>
      <c r="B451" s="14" t="s">
        <v>133</v>
      </c>
      <c r="C451" s="14" t="s">
        <v>1964</v>
      </c>
      <c r="D451" s="14" t="s">
        <v>29</v>
      </c>
      <c r="E451" s="48" t="s">
        <v>29</v>
      </c>
      <c r="F451" s="14" t="s">
        <v>911</v>
      </c>
      <c r="G451" s="14" t="b">
        <f>OR(LCI_Table[[#This Row],[Feedstock]]="All",LCI_Table[[#This Row],[Feedstock]]=SelectedFeedstock)</f>
        <v>0</v>
      </c>
      <c r="H451" s="14" t="b">
        <f>OR(LCI_Table[[#This Row],[Conversion]]="All",LCI_Table[[#This Row],[Conversion]]=SelectedConversion)</f>
        <v>0</v>
      </c>
      <c r="I451" s="14" t="b">
        <f>OR(LCI_Table[[#This Row],[Data Set]]="all",LCI_Table[[#This Row],[Data Set]]=SelectedDataSet)</f>
        <v>1</v>
      </c>
      <c r="J451" s="14" t="b">
        <f>OR(LCI_Table[[#This Row],[Technology]]="All",LCI_Table[[#This Row],[Technology]]=SelectedTechnology)</f>
        <v>0</v>
      </c>
      <c r="K451" s="14" t="b">
        <f>OR(LCI_Table[[#This Row],[Data Source]]="All",LCI_Table[[#This Row],[Data Source]]=SelectedDataSource)</f>
        <v>1</v>
      </c>
      <c r="L451" s="14" t="b">
        <f>TRUE</f>
        <v>1</v>
      </c>
      <c r="M451" s="14" t="b">
        <f>(LCI_Table[[#This Row],[Dev Notes]]="Do not display")</f>
        <v>0</v>
      </c>
      <c r="N451" s="14" t="b">
        <f>AND(LCI_Table[[#This Row],[Show Feedstock]:[Conditional]],NOT(LCI_Table[[#This Row],[Hide Row]]))</f>
        <v>0</v>
      </c>
      <c r="O451" s="14" t="b">
        <f>LCI_Table[[#This Row],[GREET1 Name Range]]=""</f>
        <v>0</v>
      </c>
      <c r="P451" s="14" t="s">
        <v>14</v>
      </c>
      <c r="Q451" s="14" t="s">
        <v>807</v>
      </c>
      <c r="R451" s="14" t="s">
        <v>141</v>
      </c>
      <c r="S451" s="37" cm="1">
        <f t="array" aca="1" ref="S4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74.763553146278454</v>
      </c>
      <c r="T451" s="346" t="s">
        <v>1485</v>
      </c>
      <c r="U451" s="347">
        <f ca="1">S451/S447*lb2g</f>
        <v>5846.9271140071378</v>
      </c>
      <c r="V451" s="347">
        <v>74.763553146278454</v>
      </c>
      <c r="W451" s="347">
        <v>5846.9271140071378</v>
      </c>
      <c r="X451" s="37" t="s">
        <v>12</v>
      </c>
      <c r="Y451" s="346" t="s">
        <v>413</v>
      </c>
      <c r="Z451" s="14" t="str">
        <f>IF(ISBLANK(LCI_Table[[#This Row],[Notes for user]])," ",LCI_Table[[#This Row],[Notes for user]])</f>
        <v xml:space="preserve"> </v>
      </c>
      <c r="AA451" s="14"/>
      <c r="AB451" s="14"/>
      <c r="AC451" s="346">
        <f ca="1">LCI_Table[[#This Row],[Default Calculated Value]]-LCI_Table[[#This Row],[Calculated Value]]</f>
        <v>0</v>
      </c>
    </row>
    <row r="452" spans="1:29" x14ac:dyDescent="0.3">
      <c r="A4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facilities_Switchgrass_Farming_HerbicidesHerbicides</v>
      </c>
      <c r="B452" s="14" t="s">
        <v>133</v>
      </c>
      <c r="C452" s="14" t="s">
        <v>1964</v>
      </c>
      <c r="D452" s="14" t="s">
        <v>29</v>
      </c>
      <c r="E452" s="48" t="s">
        <v>29</v>
      </c>
      <c r="F452" s="14" t="s">
        <v>911</v>
      </c>
      <c r="G452" s="14" t="b">
        <f>OR(LCI_Table[[#This Row],[Feedstock]]="All",LCI_Table[[#This Row],[Feedstock]]=SelectedFeedstock)</f>
        <v>0</v>
      </c>
      <c r="H452" s="14" t="b">
        <f>OR(LCI_Table[[#This Row],[Conversion]]="All",LCI_Table[[#This Row],[Conversion]]=SelectedConversion)</f>
        <v>0</v>
      </c>
      <c r="I452" s="14" t="b">
        <f>OR(LCI_Table[[#This Row],[Data Set]]="all",LCI_Table[[#This Row],[Data Set]]=SelectedDataSet)</f>
        <v>1</v>
      </c>
      <c r="J452" s="14" t="b">
        <f>OR(LCI_Table[[#This Row],[Technology]]="All",LCI_Table[[#This Row],[Technology]]=SelectedTechnology)</f>
        <v>0</v>
      </c>
      <c r="K452" s="14" t="b">
        <f>OR(LCI_Table[[#This Row],[Data Source]]="All",LCI_Table[[#This Row],[Data Source]]=SelectedDataSource)</f>
        <v>1</v>
      </c>
      <c r="L452" s="14" t="b">
        <f>TRUE</f>
        <v>1</v>
      </c>
      <c r="M452" s="14" t="b">
        <f>(LCI_Table[[#This Row],[Dev Notes]]="Do not display")</f>
        <v>0</v>
      </c>
      <c r="N452" s="14" t="b">
        <f>AND(LCI_Table[[#This Row],[Show Feedstock]:[Conditional]],NOT(LCI_Table[[#This Row],[Hide Row]]))</f>
        <v>0</v>
      </c>
      <c r="O452" s="14" t="b">
        <f>LCI_Table[[#This Row],[GREET1 Name Range]]=""</f>
        <v>0</v>
      </c>
      <c r="P452" s="14" t="s">
        <v>14</v>
      </c>
      <c r="Q452" s="14" t="s">
        <v>813</v>
      </c>
      <c r="R452" s="14" t="s">
        <v>356</v>
      </c>
      <c r="S452" s="37" cm="1">
        <f t="array" aca="1" ref="S4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0.67899722027655607</v>
      </c>
      <c r="T452" s="346" t="s">
        <v>1485</v>
      </c>
      <c r="U452" s="347">
        <f ca="1">S452/S447*lb2g</f>
        <v>53.101372132526748</v>
      </c>
      <c r="V452" s="347">
        <v>0.67899722027655607</v>
      </c>
      <c r="W452" s="347">
        <v>53.101372132526748</v>
      </c>
      <c r="X452" s="37" t="s">
        <v>12</v>
      </c>
      <c r="Y452" s="346" t="s">
        <v>413</v>
      </c>
      <c r="Z452" s="14" t="str">
        <f>IF(ISBLANK(LCI_Table[[#This Row],[Notes for user]])," ",LCI_Table[[#This Row],[Notes for user]])</f>
        <v xml:space="preserve"> </v>
      </c>
      <c r="AA452" s="14"/>
      <c r="AB452" s="14"/>
      <c r="AC452" s="346">
        <f ca="1">LCI_Table[[#This Row],[Default Calculated Value]]-LCI_Table[[#This Row],[Calculated Value]]</f>
        <v>0</v>
      </c>
    </row>
    <row r="453" spans="1:29" x14ac:dyDescent="0.3">
      <c r="A4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facilities_Switchgrass_Farming_InsecticideInsecticide</v>
      </c>
      <c r="B453" s="14" t="s">
        <v>133</v>
      </c>
      <c r="C453" s="14" t="s">
        <v>1964</v>
      </c>
      <c r="D453" s="14" t="s">
        <v>29</v>
      </c>
      <c r="E453" s="48" t="s">
        <v>29</v>
      </c>
      <c r="F453" s="14" t="s">
        <v>911</v>
      </c>
      <c r="G453" s="14" t="b">
        <f>OR(LCI_Table[[#This Row],[Feedstock]]="All",LCI_Table[[#This Row],[Feedstock]]=SelectedFeedstock)</f>
        <v>0</v>
      </c>
      <c r="H453" s="14" t="b">
        <f>OR(LCI_Table[[#This Row],[Conversion]]="All",LCI_Table[[#This Row],[Conversion]]=SelectedConversion)</f>
        <v>0</v>
      </c>
      <c r="I453" s="14" t="b">
        <f>OR(LCI_Table[[#This Row],[Data Set]]="all",LCI_Table[[#This Row],[Data Set]]=SelectedDataSet)</f>
        <v>1</v>
      </c>
      <c r="J453" s="14" t="b">
        <f>OR(LCI_Table[[#This Row],[Technology]]="All",LCI_Table[[#This Row],[Technology]]=SelectedTechnology)</f>
        <v>0</v>
      </c>
      <c r="K453" s="14" t="b">
        <f>OR(LCI_Table[[#This Row],[Data Source]]="All",LCI_Table[[#This Row],[Data Source]]=SelectedDataSource)</f>
        <v>1</v>
      </c>
      <c r="L453" s="14" t="b">
        <f>TRUE</f>
        <v>1</v>
      </c>
      <c r="M453" s="14" t="b">
        <f>(LCI_Table[[#This Row],[Dev Notes]]="Do not display")</f>
        <v>0</v>
      </c>
      <c r="N453" s="14" t="b">
        <f>AND(LCI_Table[[#This Row],[Show Feedstock]:[Conditional]],NOT(LCI_Table[[#This Row],[Hide Row]]))</f>
        <v>0</v>
      </c>
      <c r="O453" s="14" t="b">
        <f>LCI_Table[[#This Row],[GREET1 Name Range]]=""</f>
        <v>0</v>
      </c>
      <c r="P453" s="14" t="s">
        <v>14</v>
      </c>
      <c r="Q453" s="14" t="s">
        <v>814</v>
      </c>
      <c r="R453" s="14" t="s">
        <v>114</v>
      </c>
      <c r="S453" s="37" cm="1">
        <f t="array" aca="1" ref="S4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53" s="346" t="s">
        <v>1485</v>
      </c>
      <c r="U453" s="347">
        <f ca="1">S453/S447*lb2g</f>
        <v>0</v>
      </c>
      <c r="V453" s="347">
        <v>0</v>
      </c>
      <c r="W453" s="347">
        <v>0</v>
      </c>
      <c r="X453" s="37" t="s">
        <v>12</v>
      </c>
      <c r="Y453" s="346" t="s">
        <v>413</v>
      </c>
      <c r="Z453" s="14" t="str">
        <f>IF(ISBLANK(LCI_Table[[#This Row],[Notes for user]])," ",LCI_Table[[#This Row],[Notes for user]])</f>
        <v xml:space="preserve"> </v>
      </c>
      <c r="AA453" s="14"/>
      <c r="AB453" s="14"/>
      <c r="AC453" s="346">
        <f ca="1">LCI_Table[[#This Row],[Default Calculated Value]]-LCI_Table[[#This Row],[Calculated Value]]</f>
        <v>0</v>
      </c>
    </row>
    <row r="454" spans="1:29" x14ac:dyDescent="0.3">
      <c r="A4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facilities_Switchgrass_Farming_HDPEHDPE</v>
      </c>
      <c r="B454" s="14" t="s">
        <v>133</v>
      </c>
      <c r="C454" s="14" t="s">
        <v>1964</v>
      </c>
      <c r="D454" s="14" t="s">
        <v>29</v>
      </c>
      <c r="E454" s="48" t="s">
        <v>29</v>
      </c>
      <c r="F454" s="14" t="s">
        <v>911</v>
      </c>
      <c r="G454" s="14" t="b">
        <f>OR(LCI_Table[[#This Row],[Feedstock]]="All",LCI_Table[[#This Row],[Feedstock]]=SelectedFeedstock)</f>
        <v>0</v>
      </c>
      <c r="H454" s="14" t="b">
        <f>OR(LCI_Table[[#This Row],[Conversion]]="All",LCI_Table[[#This Row],[Conversion]]=SelectedConversion)</f>
        <v>0</v>
      </c>
      <c r="I454" s="14" t="b">
        <f>OR(LCI_Table[[#This Row],[Data Set]]="all",LCI_Table[[#This Row],[Data Set]]=SelectedDataSet)</f>
        <v>1</v>
      </c>
      <c r="J454" s="14" t="b">
        <f>OR(LCI_Table[[#This Row],[Technology]]="All",LCI_Table[[#This Row],[Technology]]=SelectedTechnology)</f>
        <v>0</v>
      </c>
      <c r="K454" s="14" t="b">
        <f>OR(LCI_Table[[#This Row],[Data Source]]="All",LCI_Table[[#This Row],[Data Source]]=SelectedDataSource)</f>
        <v>1</v>
      </c>
      <c r="L454" s="14" t="b">
        <f>TRUE</f>
        <v>1</v>
      </c>
      <c r="M454" s="14" t="b">
        <f>(LCI_Table[[#This Row],[Dev Notes]]="Do not display")</f>
        <v>0</v>
      </c>
      <c r="N454" s="14" t="b">
        <f>AND(LCI_Table[[#This Row],[Show Feedstock]:[Conditional]],NOT(LCI_Table[[#This Row],[Hide Row]]))</f>
        <v>0</v>
      </c>
      <c r="O454" s="14" t="b">
        <f>LCI_Table[[#This Row],[GREET1 Name Range]]=""</f>
        <v>0</v>
      </c>
      <c r="P454" s="14" t="s">
        <v>14</v>
      </c>
      <c r="Q454" s="14" t="s">
        <v>812</v>
      </c>
      <c r="R454" s="14" t="s">
        <v>357</v>
      </c>
      <c r="S454" s="37" cm="1">
        <f t="array" aca="1" ref="S4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9.5133875378018568E-3</v>
      </c>
      <c r="T454" s="346" t="s">
        <v>1485</v>
      </c>
      <c r="U454" s="347">
        <f ca="1">S454/S447*lb2g</f>
        <v>0.74400000000000166</v>
      </c>
      <c r="V454" s="347">
        <v>9.5133875378018568E-3</v>
      </c>
      <c r="W454" s="347">
        <v>0.74400000000000166</v>
      </c>
      <c r="X454" s="37" t="s">
        <v>12</v>
      </c>
      <c r="Y454" s="346" t="s">
        <v>413</v>
      </c>
      <c r="Z454" s="14" t="str">
        <f>IF(ISBLANK(LCI_Table[[#This Row],[Notes for user]])," ",LCI_Table[[#This Row],[Notes for user]])</f>
        <v xml:space="preserve"> </v>
      </c>
      <c r="AA454" s="14"/>
      <c r="AB454" s="14"/>
      <c r="AC454" s="346">
        <f ca="1">LCI_Table[[#This Row],[Default Calculated Value]]-LCI_Table[[#This Row],[Calculated Value]]</f>
        <v>0</v>
      </c>
    </row>
    <row r="455" spans="1:29" x14ac:dyDescent="0.3">
      <c r="A4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facilities_Switchgrass_Farming_Residual_oilResidual oil</v>
      </c>
      <c r="B455" s="14" t="s">
        <v>133</v>
      </c>
      <c r="C455" s="14" t="s">
        <v>1964</v>
      </c>
      <c r="D455" s="14" t="s">
        <v>29</v>
      </c>
      <c r="E455" s="48" t="s">
        <v>29</v>
      </c>
      <c r="F455" s="14" t="s">
        <v>911</v>
      </c>
      <c r="G455" s="14" t="b">
        <f>OR(LCI_Table[[#This Row],[Feedstock]]="All",LCI_Table[[#This Row],[Feedstock]]=SelectedFeedstock)</f>
        <v>0</v>
      </c>
      <c r="H455" s="14" t="b">
        <f>OR(LCI_Table[[#This Row],[Conversion]]="All",LCI_Table[[#This Row],[Conversion]]=SelectedConversion)</f>
        <v>0</v>
      </c>
      <c r="I455" s="14" t="b">
        <f>OR(LCI_Table[[#This Row],[Data Set]]="all",LCI_Table[[#This Row],[Data Set]]=SelectedDataSet)</f>
        <v>1</v>
      </c>
      <c r="J455" s="14" t="b">
        <f>OR(LCI_Table[[#This Row],[Technology]]="All",LCI_Table[[#This Row],[Technology]]=SelectedTechnology)</f>
        <v>0</v>
      </c>
      <c r="K455" s="14" t="b">
        <f>OR(LCI_Table[[#This Row],[Data Source]]="All",LCI_Table[[#This Row],[Data Source]]=SelectedDataSource)</f>
        <v>1</v>
      </c>
      <c r="L455" s="14" t="b">
        <f>TRUE</f>
        <v>1</v>
      </c>
      <c r="M455" s="14" t="b">
        <f>(LCI_Table[[#This Row],[Dev Notes]]="Do not display")</f>
        <v>0</v>
      </c>
      <c r="N455" s="14" t="b">
        <f>AND(LCI_Table[[#This Row],[Show Feedstock]:[Conditional]],NOT(LCI_Table[[#This Row],[Hide Row]]))</f>
        <v>0</v>
      </c>
      <c r="O455" s="14" t="b">
        <f>LCI_Table[[#This Row],[GREET1 Name Range]]=""</f>
        <v>0</v>
      </c>
      <c r="P455" s="14" t="s">
        <v>14</v>
      </c>
      <c r="Q455" s="14" t="s">
        <v>820</v>
      </c>
      <c r="R455" s="14" t="s">
        <v>115</v>
      </c>
      <c r="S455" s="37" cm="1">
        <f t="array" aca="1" ref="S4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55" s="346" t="s">
        <v>1484</v>
      </c>
      <c r="U455" s="347">
        <f ca="1">S455*Fuel_Specs!$B$28/S447</f>
        <v>0</v>
      </c>
      <c r="V455" s="347">
        <v>0</v>
      </c>
      <c r="W455" s="347">
        <v>0</v>
      </c>
      <c r="X455" s="37" t="s">
        <v>5</v>
      </c>
      <c r="Y455" s="346" t="s">
        <v>413</v>
      </c>
      <c r="Z455" s="14" t="str">
        <f>IF(ISBLANK(LCI_Table[[#This Row],[Notes for user]])," ",LCI_Table[[#This Row],[Notes for user]])</f>
        <v xml:space="preserve"> </v>
      </c>
      <c r="AA455" s="14"/>
      <c r="AB455" s="14"/>
      <c r="AC455" s="346">
        <f ca="1">LCI_Table[[#This Row],[Default Calculated Value]]-LCI_Table[[#This Row],[Calculated Value]]</f>
        <v>0</v>
      </c>
    </row>
    <row r="456" spans="1:29" x14ac:dyDescent="0.3">
      <c r="A4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facilities_Switchgrass_Farming_DieselDiesel</v>
      </c>
      <c r="B456" s="14" t="s">
        <v>133</v>
      </c>
      <c r="C456" s="14" t="s">
        <v>1964</v>
      </c>
      <c r="D456" s="14" t="s">
        <v>29</v>
      </c>
      <c r="E456" s="48" t="s">
        <v>29</v>
      </c>
      <c r="F456" s="14" t="s">
        <v>911</v>
      </c>
      <c r="G456" s="14" t="b">
        <f>OR(LCI_Table[[#This Row],[Feedstock]]="All",LCI_Table[[#This Row],[Feedstock]]=SelectedFeedstock)</f>
        <v>0</v>
      </c>
      <c r="H456" s="14" t="b">
        <f>OR(LCI_Table[[#This Row],[Conversion]]="All",LCI_Table[[#This Row],[Conversion]]=SelectedConversion)</f>
        <v>0</v>
      </c>
      <c r="I456" s="14" t="b">
        <f>OR(LCI_Table[[#This Row],[Data Set]]="all",LCI_Table[[#This Row],[Data Set]]=SelectedDataSet)</f>
        <v>1</v>
      </c>
      <c r="J456" s="14" t="b">
        <f>OR(LCI_Table[[#This Row],[Technology]]="All",LCI_Table[[#This Row],[Technology]]=SelectedTechnology)</f>
        <v>0</v>
      </c>
      <c r="K456" s="14" t="b">
        <f>OR(LCI_Table[[#This Row],[Data Source]]="All",LCI_Table[[#This Row],[Data Source]]=SelectedDataSource)</f>
        <v>1</v>
      </c>
      <c r="L456" s="14" t="b">
        <f>TRUE</f>
        <v>1</v>
      </c>
      <c r="M456" s="14" t="b">
        <f>(LCI_Table[[#This Row],[Dev Notes]]="Do not display")</f>
        <v>0</v>
      </c>
      <c r="N456" s="14" t="b">
        <f>AND(LCI_Table[[#This Row],[Show Feedstock]:[Conditional]],NOT(LCI_Table[[#This Row],[Hide Row]]))</f>
        <v>0</v>
      </c>
      <c r="O456" s="14" t="b">
        <f>LCI_Table[[#This Row],[GREET1 Name Range]]=""</f>
        <v>0</v>
      </c>
      <c r="P456" s="14" t="s">
        <v>14</v>
      </c>
      <c r="Q456" s="14" t="s">
        <v>809</v>
      </c>
      <c r="R456" s="14" t="s">
        <v>106</v>
      </c>
      <c r="S456" s="37" cm="1">
        <f t="array" aca="1" ref="S4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2.8274499667405526</v>
      </c>
      <c r="T456" s="346" t="s">
        <v>1484</v>
      </c>
      <c r="U456" s="347">
        <f ca="1">S456*Fuel_Specs!$B$19/S447</f>
        <v>62618.266935831729</v>
      </c>
      <c r="V456" s="347">
        <v>2.8274499667405526</v>
      </c>
      <c r="W456" s="347">
        <v>62618.266935831729</v>
      </c>
      <c r="X456" s="37" t="s">
        <v>5</v>
      </c>
      <c r="Y456" s="346" t="s">
        <v>413</v>
      </c>
      <c r="Z456" s="14" t="str">
        <f>IF(ISBLANK(LCI_Table[[#This Row],[Notes for user]])," ",LCI_Table[[#This Row],[Notes for user]])</f>
        <v xml:space="preserve"> </v>
      </c>
      <c r="AA456" s="14"/>
      <c r="AB456" s="14"/>
      <c r="AC456" s="346">
        <f ca="1">LCI_Table[[#This Row],[Default Calculated Value]]-LCI_Table[[#This Row],[Calculated Value]]</f>
        <v>0</v>
      </c>
    </row>
    <row r="457" spans="1:29" x14ac:dyDescent="0.3">
      <c r="A4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facilities_Switchgrass_Farming_GasolineGasoline</v>
      </c>
      <c r="B457" s="14" t="s">
        <v>133</v>
      </c>
      <c r="C457" s="14" t="s">
        <v>1964</v>
      </c>
      <c r="D457" s="14" t="s">
        <v>29</v>
      </c>
      <c r="E457" s="48" t="s">
        <v>29</v>
      </c>
      <c r="F457" s="14" t="s">
        <v>911</v>
      </c>
      <c r="G457" s="14" t="b">
        <f>OR(LCI_Table[[#This Row],[Feedstock]]="All",LCI_Table[[#This Row],[Feedstock]]=SelectedFeedstock)</f>
        <v>0</v>
      </c>
      <c r="H457" s="14" t="b">
        <f>OR(LCI_Table[[#This Row],[Conversion]]="All",LCI_Table[[#This Row],[Conversion]]=SelectedConversion)</f>
        <v>0</v>
      </c>
      <c r="I457" s="14" t="b">
        <f>OR(LCI_Table[[#This Row],[Data Set]]="all",LCI_Table[[#This Row],[Data Set]]=SelectedDataSet)</f>
        <v>1</v>
      </c>
      <c r="J457" s="14" t="b">
        <f>OR(LCI_Table[[#This Row],[Technology]]="All",LCI_Table[[#This Row],[Technology]]=SelectedTechnology)</f>
        <v>0</v>
      </c>
      <c r="K457" s="14" t="b">
        <f>OR(LCI_Table[[#This Row],[Data Source]]="All",LCI_Table[[#This Row],[Data Source]]=SelectedDataSource)</f>
        <v>1</v>
      </c>
      <c r="L457" s="14" t="b">
        <f>TRUE</f>
        <v>1</v>
      </c>
      <c r="M457" s="14" t="b">
        <f>(LCI_Table[[#This Row],[Dev Notes]]="Do not display")</f>
        <v>0</v>
      </c>
      <c r="N457" s="14" t="b">
        <f>AND(LCI_Table[[#This Row],[Show Feedstock]:[Conditional]],NOT(LCI_Table[[#This Row],[Hide Row]]))</f>
        <v>0</v>
      </c>
      <c r="O457" s="14" t="b">
        <f>LCI_Table[[#This Row],[GREET1 Name Range]]=""</f>
        <v>0</v>
      </c>
      <c r="P457" s="14" t="s">
        <v>14</v>
      </c>
      <c r="Q457" s="14" t="s">
        <v>811</v>
      </c>
      <c r="R457" s="14" t="s">
        <v>107</v>
      </c>
      <c r="S457" s="37" cm="1">
        <f t="array" aca="1" ref="S4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57" s="346" t="s">
        <v>1484</v>
      </c>
      <c r="U457" s="347">
        <f ca="1">S457*Fuel_Specs!$B$15/S447</f>
        <v>0</v>
      </c>
      <c r="V457" s="347">
        <v>0</v>
      </c>
      <c r="W457" s="347">
        <v>0</v>
      </c>
      <c r="X457" s="37" t="s">
        <v>5</v>
      </c>
      <c r="Y457" s="346" t="s">
        <v>413</v>
      </c>
      <c r="Z457" s="14" t="str">
        <f>IF(ISBLANK(LCI_Table[[#This Row],[Notes for user]])," ",LCI_Table[[#This Row],[Notes for user]])</f>
        <v xml:space="preserve"> </v>
      </c>
      <c r="AA457" s="14"/>
      <c r="AB457" s="14"/>
      <c r="AC457" s="346">
        <f ca="1">LCI_Table[[#This Row],[Default Calculated Value]]-LCI_Table[[#This Row],[Calculated Value]]</f>
        <v>0</v>
      </c>
    </row>
    <row r="458" spans="1:29" x14ac:dyDescent="0.3">
      <c r="A4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facilities_Switchgrass_Farming_Natural_gasNatural gas</v>
      </c>
      <c r="B458" s="14" t="s">
        <v>133</v>
      </c>
      <c r="C458" s="14" t="s">
        <v>1964</v>
      </c>
      <c r="D458" s="14" t="s">
        <v>29</v>
      </c>
      <c r="E458" s="48" t="s">
        <v>29</v>
      </c>
      <c r="F458" s="14" t="s">
        <v>911</v>
      </c>
      <c r="G458" s="14" t="b">
        <f>OR(LCI_Table[[#This Row],[Feedstock]]="All",LCI_Table[[#This Row],[Feedstock]]=SelectedFeedstock)</f>
        <v>0</v>
      </c>
      <c r="H458" s="14" t="b">
        <f>OR(LCI_Table[[#This Row],[Conversion]]="All",LCI_Table[[#This Row],[Conversion]]=SelectedConversion)</f>
        <v>0</v>
      </c>
      <c r="I458" s="14" t="b">
        <f>OR(LCI_Table[[#This Row],[Data Set]]="all",LCI_Table[[#This Row],[Data Set]]=SelectedDataSet)</f>
        <v>1</v>
      </c>
      <c r="J458" s="14" t="b">
        <f>OR(LCI_Table[[#This Row],[Technology]]="All",LCI_Table[[#This Row],[Technology]]=SelectedTechnology)</f>
        <v>0</v>
      </c>
      <c r="K458" s="14" t="b">
        <f>OR(LCI_Table[[#This Row],[Data Source]]="All",LCI_Table[[#This Row],[Data Source]]=SelectedDataSource)</f>
        <v>1</v>
      </c>
      <c r="L458" s="14" t="b">
        <f>TRUE</f>
        <v>1</v>
      </c>
      <c r="M458" s="14" t="b">
        <f>(LCI_Table[[#This Row],[Dev Notes]]="Do not display")</f>
        <v>0</v>
      </c>
      <c r="N458" s="14" t="b">
        <f>AND(LCI_Table[[#This Row],[Show Feedstock]:[Conditional]],NOT(LCI_Table[[#This Row],[Hide Row]]))</f>
        <v>0</v>
      </c>
      <c r="O458" s="14" t="b">
        <f>LCI_Table[[#This Row],[GREET1 Name Range]]=""</f>
        <v>0</v>
      </c>
      <c r="P458" s="14" t="s">
        <v>14</v>
      </c>
      <c r="Q458" s="14" t="s">
        <v>817</v>
      </c>
      <c r="R458" s="14" t="s">
        <v>108</v>
      </c>
      <c r="S458" s="37" cm="1">
        <f t="array" aca="1" ref="S4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58" s="346" t="s">
        <v>2109</v>
      </c>
      <c r="U458" s="347">
        <f ca="1">S458*Fuel_Specs!$B$79/S447</f>
        <v>0</v>
      </c>
      <c r="V458" s="347">
        <v>0</v>
      </c>
      <c r="W458" s="347">
        <v>0</v>
      </c>
      <c r="X458" s="37" t="s">
        <v>351</v>
      </c>
      <c r="Y458" s="346" t="s">
        <v>413</v>
      </c>
      <c r="Z458" s="14" t="str">
        <f>IF(ISBLANK(LCI_Table[[#This Row],[Notes for user]])," ",LCI_Table[[#This Row],[Notes for user]])</f>
        <v xml:space="preserve"> </v>
      </c>
      <c r="AA458" s="14"/>
      <c r="AB458" s="14"/>
      <c r="AC458" s="346">
        <f ca="1">LCI_Table[[#This Row],[Default Calculated Value]]-LCI_Table[[#This Row],[Calculated Value]]</f>
        <v>0</v>
      </c>
    </row>
    <row r="459" spans="1:29" x14ac:dyDescent="0.3">
      <c r="A4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facilities_Switchgrass_Farming_CoalCoal</v>
      </c>
      <c r="B459" s="14" t="s">
        <v>133</v>
      </c>
      <c r="C459" s="14" t="s">
        <v>1964</v>
      </c>
      <c r="D459" s="14" t="s">
        <v>29</v>
      </c>
      <c r="E459" s="48" t="s">
        <v>29</v>
      </c>
      <c r="F459" s="14" t="s">
        <v>911</v>
      </c>
      <c r="G459" s="14" t="b">
        <f>OR(LCI_Table[[#This Row],[Feedstock]]="All",LCI_Table[[#This Row],[Feedstock]]=SelectedFeedstock)</f>
        <v>0</v>
      </c>
      <c r="H459" s="14" t="b">
        <f>OR(LCI_Table[[#This Row],[Conversion]]="All",LCI_Table[[#This Row],[Conversion]]=SelectedConversion)</f>
        <v>0</v>
      </c>
      <c r="I459" s="14" t="b">
        <f>OR(LCI_Table[[#This Row],[Data Set]]="all",LCI_Table[[#This Row],[Data Set]]=SelectedDataSet)</f>
        <v>1</v>
      </c>
      <c r="J459" s="14" t="b">
        <f>OR(LCI_Table[[#This Row],[Technology]]="All",LCI_Table[[#This Row],[Technology]]=SelectedTechnology)</f>
        <v>0</v>
      </c>
      <c r="K459" s="14" t="b">
        <f>OR(LCI_Table[[#This Row],[Data Source]]="All",LCI_Table[[#This Row],[Data Source]]=SelectedDataSource)</f>
        <v>1</v>
      </c>
      <c r="L459" s="14" t="b">
        <f>TRUE</f>
        <v>1</v>
      </c>
      <c r="M459" s="14" t="b">
        <f>(LCI_Table[[#This Row],[Dev Notes]]="Do not display")</f>
        <v>0</v>
      </c>
      <c r="N459" s="14" t="b">
        <f>AND(LCI_Table[[#This Row],[Show Feedstock]:[Conditional]],NOT(LCI_Table[[#This Row],[Hide Row]]))</f>
        <v>0</v>
      </c>
      <c r="O459" s="14" t="b">
        <f>LCI_Table[[#This Row],[GREET1 Name Range]]=""</f>
        <v>0</v>
      </c>
      <c r="P459" s="14" t="s">
        <v>14</v>
      </c>
      <c r="Q459" s="14" t="s">
        <v>808</v>
      </c>
      <c r="R459" s="14" t="s">
        <v>9</v>
      </c>
      <c r="S459" s="37" cm="1">
        <f t="array" aca="1" ref="S4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59" s="346" t="s">
        <v>2110</v>
      </c>
      <c r="U459" s="347">
        <f ca="1">S459/S447</f>
        <v>0</v>
      </c>
      <c r="V459" s="347">
        <v>0</v>
      </c>
      <c r="W459" s="347">
        <v>0</v>
      </c>
      <c r="X459" s="37" t="s">
        <v>117</v>
      </c>
      <c r="Y459" s="346" t="s">
        <v>413</v>
      </c>
      <c r="Z459" s="14" t="str">
        <f>IF(ISBLANK(LCI_Table[[#This Row],[Notes for user]])," ",LCI_Table[[#This Row],[Notes for user]])</f>
        <v xml:space="preserve"> </v>
      </c>
      <c r="AA459" s="14"/>
      <c r="AB459" s="14"/>
      <c r="AC459" s="346">
        <f ca="1">LCI_Table[[#This Row],[Default Calculated Value]]-LCI_Table[[#This Row],[Calculated Value]]</f>
        <v>0</v>
      </c>
    </row>
    <row r="460" spans="1:29" x14ac:dyDescent="0.3">
      <c r="A4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facilities_Switchgrass_Farming_LPGLPG</v>
      </c>
      <c r="B460" s="14" t="s">
        <v>133</v>
      </c>
      <c r="C460" s="14" t="s">
        <v>1964</v>
      </c>
      <c r="D460" s="14" t="s">
        <v>29</v>
      </c>
      <c r="E460" s="48" t="s">
        <v>29</v>
      </c>
      <c r="F460" s="14" t="s">
        <v>911</v>
      </c>
      <c r="G460" s="14" t="b">
        <f>OR(LCI_Table[[#This Row],[Feedstock]]="All",LCI_Table[[#This Row],[Feedstock]]=SelectedFeedstock)</f>
        <v>0</v>
      </c>
      <c r="H460" s="14" t="b">
        <f>OR(LCI_Table[[#This Row],[Conversion]]="All",LCI_Table[[#This Row],[Conversion]]=SelectedConversion)</f>
        <v>0</v>
      </c>
      <c r="I460" s="14" t="b">
        <f>OR(LCI_Table[[#This Row],[Data Set]]="all",LCI_Table[[#This Row],[Data Set]]=SelectedDataSet)</f>
        <v>1</v>
      </c>
      <c r="J460" s="14" t="b">
        <f>OR(LCI_Table[[#This Row],[Technology]]="All",LCI_Table[[#This Row],[Technology]]=SelectedTechnology)</f>
        <v>0</v>
      </c>
      <c r="K460" s="14" t="b">
        <f>OR(LCI_Table[[#This Row],[Data Source]]="All",LCI_Table[[#This Row],[Data Source]]=SelectedDataSource)</f>
        <v>1</v>
      </c>
      <c r="L460" s="14" t="b">
        <f>TRUE</f>
        <v>1</v>
      </c>
      <c r="M460" s="14" t="b">
        <f>(LCI_Table[[#This Row],[Dev Notes]]="Do not display")</f>
        <v>0</v>
      </c>
      <c r="N460" s="14" t="b">
        <f>AND(LCI_Table[[#This Row],[Show Feedstock]:[Conditional]],NOT(LCI_Table[[#This Row],[Hide Row]]))</f>
        <v>0</v>
      </c>
      <c r="O460" s="14" t="b">
        <f>LCI_Table[[#This Row],[GREET1 Name Range]]=""</f>
        <v>0</v>
      </c>
      <c r="P460" s="14" t="s">
        <v>14</v>
      </c>
      <c r="Q460" s="14" t="s">
        <v>816</v>
      </c>
      <c r="R460" s="14" t="s">
        <v>109</v>
      </c>
      <c r="S460" s="37" cm="1">
        <f t="array" aca="1" ref="S4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60" s="346" t="s">
        <v>1484</v>
      </c>
      <c r="U460" s="347">
        <f ca="1">S460*Fuel_Specs!$B$35/S447</f>
        <v>0</v>
      </c>
      <c r="V460" s="347">
        <v>0</v>
      </c>
      <c r="W460" s="347">
        <v>0</v>
      </c>
      <c r="X460" s="37" t="s">
        <v>5</v>
      </c>
      <c r="Y460" s="346" t="s">
        <v>413</v>
      </c>
      <c r="Z460" s="14" t="str">
        <f>IF(ISBLANK(LCI_Table[[#This Row],[Notes for user]])," ",LCI_Table[[#This Row],[Notes for user]])</f>
        <v xml:space="preserve"> </v>
      </c>
      <c r="AA460" s="14"/>
      <c r="AB460" s="14"/>
      <c r="AC460" s="346">
        <f ca="1">LCI_Table[[#This Row],[Default Calculated Value]]-LCI_Table[[#This Row],[Calculated Value]]</f>
        <v>0</v>
      </c>
    </row>
    <row r="461" spans="1:29" x14ac:dyDescent="0.3">
      <c r="A4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facilities_Switchgrass_Farming_ElectricityElectricity</v>
      </c>
      <c r="B461" s="14" t="s">
        <v>133</v>
      </c>
      <c r="C461" s="14" t="s">
        <v>1964</v>
      </c>
      <c r="D461" s="14" t="s">
        <v>29</v>
      </c>
      <c r="E461" s="48" t="s">
        <v>29</v>
      </c>
      <c r="F461" s="14" t="s">
        <v>911</v>
      </c>
      <c r="G461" s="14" t="b">
        <f>OR(LCI_Table[[#This Row],[Feedstock]]="All",LCI_Table[[#This Row],[Feedstock]]=SelectedFeedstock)</f>
        <v>0</v>
      </c>
      <c r="H461" s="14" t="b">
        <f>OR(LCI_Table[[#This Row],[Conversion]]="All",LCI_Table[[#This Row],[Conversion]]=SelectedConversion)</f>
        <v>0</v>
      </c>
      <c r="I461" s="14" t="b">
        <f>OR(LCI_Table[[#This Row],[Data Set]]="all",LCI_Table[[#This Row],[Data Set]]=SelectedDataSet)</f>
        <v>1</v>
      </c>
      <c r="J461" s="14" t="b">
        <f>OR(LCI_Table[[#This Row],[Technology]]="All",LCI_Table[[#This Row],[Technology]]=SelectedTechnology)</f>
        <v>0</v>
      </c>
      <c r="K461" s="14" t="b">
        <f>OR(LCI_Table[[#This Row],[Data Source]]="All",LCI_Table[[#This Row],[Data Source]]=SelectedDataSource)</f>
        <v>1</v>
      </c>
      <c r="L461" s="14" t="b">
        <f>TRUE</f>
        <v>1</v>
      </c>
      <c r="M461" s="14" t="b">
        <f>(LCI_Table[[#This Row],[Dev Notes]]="Do not display")</f>
        <v>0</v>
      </c>
      <c r="N461" s="14" t="b">
        <f>AND(LCI_Table[[#This Row],[Show Feedstock]:[Conditional]],NOT(LCI_Table[[#This Row],[Hide Row]]))</f>
        <v>0</v>
      </c>
      <c r="O461" s="14" t="b">
        <f>LCI_Table[[#This Row],[GREET1 Name Range]]=""</f>
        <v>0</v>
      </c>
      <c r="P461" s="14" t="s">
        <v>14</v>
      </c>
      <c r="Q461" s="14" t="s">
        <v>810</v>
      </c>
      <c r="R461" s="14" t="s">
        <v>110</v>
      </c>
      <c r="S461" s="37" cm="1">
        <f t="array" aca="1" ref="S4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8.2585639276448628</v>
      </c>
      <c r="T461" s="346" t="s">
        <v>1561</v>
      </c>
      <c r="U461" s="347">
        <f ca="1">S461/BTU2kWh/S447</f>
        <v>4858.5154960936197</v>
      </c>
      <c r="V461" s="347">
        <v>8.2585639276448628</v>
      </c>
      <c r="W461" s="347">
        <v>4858.5154960936197</v>
      </c>
      <c r="X461" s="37" t="s">
        <v>51</v>
      </c>
      <c r="Y461" s="346" t="s">
        <v>413</v>
      </c>
      <c r="Z461" s="14" t="str">
        <f>IF(ISBLANK(LCI_Table[[#This Row],[Notes for user]])," ",LCI_Table[[#This Row],[Notes for user]])</f>
        <v xml:space="preserve"> </v>
      </c>
      <c r="AA461" s="14"/>
      <c r="AB461" s="14"/>
      <c r="AC461" s="346">
        <f ca="1">LCI_Table[[#This Row],[Default Calculated Value]]-LCI_Table[[#This Row],[Calculated Value]]</f>
        <v>0</v>
      </c>
    </row>
    <row r="462" spans="1:29" x14ac:dyDescent="0.3">
      <c r="A4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facilities_Cellulosic_ETJ_FeedSwitchgrass</v>
      </c>
      <c r="B462" s="14" t="s">
        <v>133</v>
      </c>
      <c r="C462" s="14" t="s">
        <v>1964</v>
      </c>
      <c r="D462" s="14" t="s">
        <v>29</v>
      </c>
      <c r="E462" s="48" t="s">
        <v>29</v>
      </c>
      <c r="F462" s="14" t="s">
        <v>911</v>
      </c>
      <c r="G462" s="14" t="b">
        <f>OR(LCI_Table[[#This Row],[Feedstock]]="All",LCI_Table[[#This Row],[Feedstock]]=SelectedFeedstock)</f>
        <v>0</v>
      </c>
      <c r="H462" s="14" t="b">
        <f>OR(LCI_Table[[#This Row],[Conversion]]="All",LCI_Table[[#This Row],[Conversion]]=SelectedConversion)</f>
        <v>0</v>
      </c>
      <c r="I462" s="14" t="b">
        <f>OR(LCI_Table[[#This Row],[Data Set]]="all",LCI_Table[[#This Row],[Data Set]]=SelectedDataSet)</f>
        <v>1</v>
      </c>
      <c r="J462" s="14" t="b">
        <f>OR(LCI_Table[[#This Row],[Technology]]="All",LCI_Table[[#This Row],[Technology]]=SelectedTechnology)</f>
        <v>0</v>
      </c>
      <c r="K462" s="14" t="b">
        <f>OR(LCI_Table[[#This Row],[Data Source]]="All",LCI_Table[[#This Row],[Data Source]]=SelectedDataSource)</f>
        <v>1</v>
      </c>
      <c r="L462" s="14" t="b">
        <f>TRUE</f>
        <v>1</v>
      </c>
      <c r="M462" s="14" t="b">
        <f>(LCI_Table[[#This Row],[Dev Notes]]="Do not display")</f>
        <v>0</v>
      </c>
      <c r="N462" s="14" t="b">
        <f>AND(LCI_Table[[#This Row],[Show Feedstock]:[Conditional]],NOT(LCI_Table[[#This Row],[Hide Row]]))</f>
        <v>0</v>
      </c>
      <c r="O462" s="14" t="b">
        <f>LCI_Table[[#This Row],[GREET1 Name Range]]=""</f>
        <v>0</v>
      </c>
      <c r="P462" s="14" t="s">
        <v>1448</v>
      </c>
      <c r="Q462" s="14" t="s">
        <v>562</v>
      </c>
      <c r="R462" s="14" t="s">
        <v>133</v>
      </c>
      <c r="S462" s="37" cm="1">
        <f t="array" aca="1" ref="S4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371.68351875591458</v>
      </c>
      <c r="T462" s="346" t="s">
        <v>2119</v>
      </c>
      <c r="U462" s="347">
        <f ca="1">S462/kg2lb/Allocations!$O$46*MJ2mmBTU</f>
        <v>0.21213150478299467</v>
      </c>
      <c r="V462" s="347">
        <v>371.68351875591458</v>
      </c>
      <c r="W462" s="347">
        <v>0.21213150478299467</v>
      </c>
      <c r="X462" s="37" t="s">
        <v>12</v>
      </c>
      <c r="Y462" s="346" t="s">
        <v>416</v>
      </c>
      <c r="Z462" s="14" t="str">
        <f>IF(ISBLANK(LCI_Table[[#This Row],[Notes for user]])," ",LCI_Table[[#This Row],[Notes for user]])</f>
        <v xml:space="preserve"> </v>
      </c>
      <c r="AA462" s="14"/>
      <c r="AB462" s="14"/>
      <c r="AC462" s="346">
        <f ca="1">LCI_Table[[#This Row],[Default Calculated Value]]-LCI_Table[[#This Row],[Calculated Value]]</f>
        <v>0</v>
      </c>
    </row>
    <row r="463" spans="1:29" x14ac:dyDescent="0.3">
      <c r="A4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facilities_Cellulosic_ETJ_HydrogenHydrogen</v>
      </c>
      <c r="B463" s="14" t="s">
        <v>133</v>
      </c>
      <c r="C463" s="14" t="s">
        <v>1964</v>
      </c>
      <c r="D463" s="14" t="s">
        <v>29</v>
      </c>
      <c r="E463" s="48" t="s">
        <v>29</v>
      </c>
      <c r="F463" s="14" t="s">
        <v>911</v>
      </c>
      <c r="G463" s="14" t="b">
        <f>OR(LCI_Table[[#This Row],[Feedstock]]="All",LCI_Table[[#This Row],[Feedstock]]=SelectedFeedstock)</f>
        <v>0</v>
      </c>
      <c r="H463" s="14" t="b">
        <f>OR(LCI_Table[[#This Row],[Conversion]]="All",LCI_Table[[#This Row],[Conversion]]=SelectedConversion)</f>
        <v>0</v>
      </c>
      <c r="I463" s="14" t="b">
        <f>OR(LCI_Table[[#This Row],[Data Set]]="all",LCI_Table[[#This Row],[Data Set]]=SelectedDataSet)</f>
        <v>1</v>
      </c>
      <c r="J463" s="14" t="b">
        <f>OR(LCI_Table[[#This Row],[Technology]]="All",LCI_Table[[#This Row],[Technology]]=SelectedTechnology)</f>
        <v>0</v>
      </c>
      <c r="K463" s="14" t="b">
        <f>OR(LCI_Table[[#This Row],[Data Source]]="All",LCI_Table[[#This Row],[Data Source]]=SelectedDataSource)</f>
        <v>1</v>
      </c>
      <c r="L463" s="14" t="b">
        <f>TRUE</f>
        <v>1</v>
      </c>
      <c r="M463" s="14" t="b">
        <f>(LCI_Table[[#This Row],[Dev Notes]]="Do not display")</f>
        <v>0</v>
      </c>
      <c r="N463" s="14" t="b">
        <f>AND(LCI_Table[[#This Row],[Show Feedstock]:[Conditional]],NOT(LCI_Table[[#This Row],[Hide Row]]))</f>
        <v>0</v>
      </c>
      <c r="O463" s="14" t="b">
        <f>LCI_Table[[#This Row],[GREET1 Name Range]]=""</f>
        <v>0</v>
      </c>
      <c r="P463" s="14" t="s">
        <v>1448</v>
      </c>
      <c r="Q463" s="14" t="s">
        <v>565</v>
      </c>
      <c r="R463" s="14" t="s">
        <v>73</v>
      </c>
      <c r="S463" s="37" cm="1">
        <f t="array" aca="1" ref="S4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210.24598998652542</v>
      </c>
      <c r="T463" s="346" t="s">
        <v>2120</v>
      </c>
      <c r="U463" s="347">
        <f ca="1">S463/kg2g*Fuel_Specs!$E$81/Allocations!$O$46*MJ2mmBTU</f>
        <v>6.745808835334578E-4</v>
      </c>
      <c r="V463" s="347">
        <v>210.24598998652542</v>
      </c>
      <c r="W463" s="347">
        <v>6.745808835334578E-4</v>
      </c>
      <c r="X463" s="37" t="s">
        <v>351</v>
      </c>
      <c r="Y463" s="346" t="s">
        <v>416</v>
      </c>
      <c r="Z463" s="14" t="str">
        <f>IF(ISBLANK(LCI_Table[[#This Row],[Notes for user]])," ",LCI_Table[[#This Row],[Notes for user]])</f>
        <v xml:space="preserve"> </v>
      </c>
      <c r="AA463" s="14"/>
      <c r="AB463" s="14"/>
      <c r="AC463" s="346">
        <f ca="1">LCI_Table[[#This Row],[Default Calculated Value]]-LCI_Table[[#This Row],[Calculated Value]]</f>
        <v>0</v>
      </c>
    </row>
    <row r="464" spans="1:29" x14ac:dyDescent="0.3">
      <c r="A4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facilities_Cellulosic_ETJ_AmmoniaAmmonia</v>
      </c>
      <c r="B464" s="14" t="s">
        <v>133</v>
      </c>
      <c r="C464" s="14" t="s">
        <v>1964</v>
      </c>
      <c r="D464" s="14" t="s">
        <v>29</v>
      </c>
      <c r="E464" s="48" t="s">
        <v>29</v>
      </c>
      <c r="F464" s="14" t="s">
        <v>911</v>
      </c>
      <c r="G464" s="14" t="b">
        <f>OR(LCI_Table[[#This Row],[Feedstock]]="All",LCI_Table[[#This Row],[Feedstock]]=SelectedFeedstock)</f>
        <v>0</v>
      </c>
      <c r="H464" s="14" t="b">
        <f>OR(LCI_Table[[#This Row],[Conversion]]="All",LCI_Table[[#This Row],[Conversion]]=SelectedConversion)</f>
        <v>0</v>
      </c>
      <c r="I464" s="14" t="b">
        <f>OR(LCI_Table[[#This Row],[Data Set]]="all",LCI_Table[[#This Row],[Data Set]]=SelectedDataSet)</f>
        <v>1</v>
      </c>
      <c r="J464" s="14" t="b">
        <f>OR(LCI_Table[[#This Row],[Technology]]="All",LCI_Table[[#This Row],[Technology]]=SelectedTechnology)</f>
        <v>0</v>
      </c>
      <c r="K464" s="14" t="b">
        <f>OR(LCI_Table[[#This Row],[Data Source]]="All",LCI_Table[[#This Row],[Data Source]]=SelectedDataSource)</f>
        <v>1</v>
      </c>
      <c r="L464" s="14" t="b">
        <f>TRUE</f>
        <v>1</v>
      </c>
      <c r="M464" s="14" t="b">
        <f>(LCI_Table[[#This Row],[Dev Notes]]="Do not display")</f>
        <v>0</v>
      </c>
      <c r="N464" s="14" t="b">
        <f>AND(LCI_Table[[#This Row],[Show Feedstock]:[Conditional]],NOT(LCI_Table[[#This Row],[Hide Row]]))</f>
        <v>0</v>
      </c>
      <c r="O464" s="14" t="b">
        <f>LCI_Table[[#This Row],[GREET1 Name Range]]=""</f>
        <v>0</v>
      </c>
      <c r="P464" s="14" t="s">
        <v>1448</v>
      </c>
      <c r="Q464" s="14" t="s">
        <v>557</v>
      </c>
      <c r="R464" s="14" t="s">
        <v>382</v>
      </c>
      <c r="S464" s="37" cm="1">
        <f t="array" aca="1" ref="S4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617.69707425785418</v>
      </c>
      <c r="T464" s="346" t="s">
        <v>2127</v>
      </c>
      <c r="U464" s="347">
        <f ca="1">S464/kg2g/Allocations!$O$46*MJ2mmBTU</f>
        <v>7.7721589248412777E-4</v>
      </c>
      <c r="V464" s="347">
        <v>617.69707425785418</v>
      </c>
      <c r="W464" s="347">
        <v>7.7721589248412777E-4</v>
      </c>
      <c r="X464" s="37" t="s">
        <v>6</v>
      </c>
      <c r="Y464" s="346" t="s">
        <v>416</v>
      </c>
      <c r="Z464" s="14" t="str">
        <f>IF(ISBLANK(LCI_Table[[#This Row],[Notes for user]])," ",LCI_Table[[#This Row],[Notes for user]])</f>
        <v xml:space="preserve"> </v>
      </c>
      <c r="AA464" s="14"/>
      <c r="AB464" s="14"/>
      <c r="AC464" s="346">
        <f ca="1">LCI_Table[[#This Row],[Default Calculated Value]]-LCI_Table[[#This Row],[Calculated Value]]</f>
        <v>0</v>
      </c>
    </row>
    <row r="465" spans="1:29" x14ac:dyDescent="0.3">
      <c r="A4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facilities_Cellulosic_ETJ_CatalystsCatalysts</v>
      </c>
      <c r="B465" s="14" t="s">
        <v>133</v>
      </c>
      <c r="C465" s="14" t="s">
        <v>1964</v>
      </c>
      <c r="D465" s="14" t="s">
        <v>29</v>
      </c>
      <c r="E465" s="48" t="s">
        <v>29</v>
      </c>
      <c r="F465" s="14" t="s">
        <v>911</v>
      </c>
      <c r="G465" s="14" t="b">
        <f>OR(LCI_Table[[#This Row],[Feedstock]]="All",LCI_Table[[#This Row],[Feedstock]]=SelectedFeedstock)</f>
        <v>0</v>
      </c>
      <c r="H465" s="14" t="b">
        <f>OR(LCI_Table[[#This Row],[Conversion]]="All",LCI_Table[[#This Row],[Conversion]]=SelectedConversion)</f>
        <v>0</v>
      </c>
      <c r="I465" s="14" t="b">
        <f>OR(LCI_Table[[#This Row],[Data Set]]="all",LCI_Table[[#This Row],[Data Set]]=SelectedDataSet)</f>
        <v>1</v>
      </c>
      <c r="J465" s="14" t="b">
        <f>OR(LCI_Table[[#This Row],[Technology]]="All",LCI_Table[[#This Row],[Technology]]=SelectedTechnology)</f>
        <v>0</v>
      </c>
      <c r="K465" s="14" t="b">
        <f>OR(LCI_Table[[#This Row],[Data Source]]="All",LCI_Table[[#This Row],[Data Source]]=SelectedDataSource)</f>
        <v>1</v>
      </c>
      <c r="L465" s="14" t="b">
        <f>TRUE</f>
        <v>1</v>
      </c>
      <c r="M465" s="14" t="b">
        <f>(LCI_Table[[#This Row],[Dev Notes]]="Do not display")</f>
        <v>0</v>
      </c>
      <c r="N465" s="14" t="b">
        <f>AND(LCI_Table[[#This Row],[Show Feedstock]:[Conditional]],NOT(LCI_Table[[#This Row],[Hide Row]]))</f>
        <v>0</v>
      </c>
      <c r="O465" s="14" t="b">
        <f>LCI_Table[[#This Row],[GREET1 Name Range]]=""</f>
        <v>0</v>
      </c>
      <c r="P465" s="14" t="s">
        <v>1448</v>
      </c>
      <c r="Q465" s="14" t="s">
        <v>558</v>
      </c>
      <c r="R465" s="14" t="s">
        <v>142</v>
      </c>
      <c r="S465" s="37" cm="1">
        <f t="array" aca="1" ref="S4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84.971115198327823</v>
      </c>
      <c r="T465" s="346" t="s">
        <v>2127</v>
      </c>
      <c r="U465" s="347">
        <f ca="1">S465/kg2g/Allocations!$O$46*MJ2mmBTU</f>
        <v>1.0691470606945369E-4</v>
      </c>
      <c r="V465" s="347">
        <v>84.971115198327823</v>
      </c>
      <c r="W465" s="347">
        <v>1.0691470606945369E-4</v>
      </c>
      <c r="X465" s="37" t="s">
        <v>6</v>
      </c>
      <c r="Y465" s="346" t="s">
        <v>416</v>
      </c>
      <c r="Z465" s="14" t="str">
        <f>IF(ISBLANK(LCI_Table[[#This Row],[Notes for user]])," ",LCI_Table[[#This Row],[Notes for user]])</f>
        <v xml:space="preserve"> </v>
      </c>
      <c r="AA465" s="14"/>
      <c r="AB465" s="14"/>
      <c r="AC465" s="346">
        <f ca="1">LCI_Table[[#This Row],[Default Calculated Value]]-LCI_Table[[#This Row],[Calculated Value]]</f>
        <v>0</v>
      </c>
    </row>
    <row r="466" spans="1:29" x14ac:dyDescent="0.3">
      <c r="A4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facilities_Cellulosic_ETJ_Corn_steep_liquorCorn steep liquor</v>
      </c>
      <c r="B466" s="14" t="s">
        <v>133</v>
      </c>
      <c r="C466" s="14" t="s">
        <v>1964</v>
      </c>
      <c r="D466" s="14" t="s">
        <v>29</v>
      </c>
      <c r="E466" s="48" t="s">
        <v>29</v>
      </c>
      <c r="F466" s="14" t="s">
        <v>911</v>
      </c>
      <c r="G466" s="14" t="b">
        <f>OR(LCI_Table[[#This Row],[Feedstock]]="All",LCI_Table[[#This Row],[Feedstock]]=SelectedFeedstock)</f>
        <v>0</v>
      </c>
      <c r="H466" s="14" t="b">
        <f>OR(LCI_Table[[#This Row],[Conversion]]="All",LCI_Table[[#This Row],[Conversion]]=SelectedConversion)</f>
        <v>0</v>
      </c>
      <c r="I466" s="14" t="b">
        <f>OR(LCI_Table[[#This Row],[Data Set]]="all",LCI_Table[[#This Row],[Data Set]]=SelectedDataSet)</f>
        <v>1</v>
      </c>
      <c r="J466" s="14" t="b">
        <f>OR(LCI_Table[[#This Row],[Technology]]="All",LCI_Table[[#This Row],[Technology]]=SelectedTechnology)</f>
        <v>0</v>
      </c>
      <c r="K466" s="14" t="b">
        <f>OR(LCI_Table[[#This Row],[Data Source]]="All",LCI_Table[[#This Row],[Data Source]]=SelectedDataSource)</f>
        <v>1</v>
      </c>
      <c r="L466" s="14" t="b">
        <f>TRUE</f>
        <v>1</v>
      </c>
      <c r="M466" s="14" t="b">
        <f>(LCI_Table[[#This Row],[Dev Notes]]="Do not display")</f>
        <v>0</v>
      </c>
      <c r="N466" s="14" t="b">
        <f>AND(LCI_Table[[#This Row],[Show Feedstock]:[Conditional]],NOT(LCI_Table[[#This Row],[Hide Row]]))</f>
        <v>0</v>
      </c>
      <c r="O466" s="14" t="b">
        <f>LCI_Table[[#This Row],[GREET1 Name Range]]=""</f>
        <v>0</v>
      </c>
      <c r="P466" s="14" t="s">
        <v>1448</v>
      </c>
      <c r="Q466" s="14" t="s">
        <v>559</v>
      </c>
      <c r="R466" s="14" t="s">
        <v>386</v>
      </c>
      <c r="S466" s="37" cm="1">
        <f t="array" aca="1" ref="S4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2678.6132505377623</v>
      </c>
      <c r="T466" s="346" t="s">
        <v>2127</v>
      </c>
      <c r="U466" s="347">
        <f ca="1">S466/kg2g/Allocations!$O$46*MJ2mmBTU</f>
        <v>3.3703588294275401E-3</v>
      </c>
      <c r="V466" s="347">
        <v>2678.6132505377623</v>
      </c>
      <c r="W466" s="347">
        <v>3.3703588294275401E-3</v>
      </c>
      <c r="X466" s="37" t="s">
        <v>6</v>
      </c>
      <c r="Y466" s="346" t="s">
        <v>416</v>
      </c>
      <c r="Z466" s="14" t="str">
        <f>IF(ISBLANK(LCI_Table[[#This Row],[Notes for user]])," ",LCI_Table[[#This Row],[Notes for user]])</f>
        <v xml:space="preserve"> </v>
      </c>
      <c r="AA466" s="14"/>
      <c r="AB466" s="14"/>
      <c r="AC466" s="346">
        <f ca="1">LCI_Table[[#This Row],[Default Calculated Value]]-LCI_Table[[#This Row],[Calculated Value]]</f>
        <v>0</v>
      </c>
    </row>
    <row r="467" spans="1:29" x14ac:dyDescent="0.3">
      <c r="A4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facilities_Cellulosic_ETJ_DAPDAP</v>
      </c>
      <c r="B467" s="14" t="s">
        <v>133</v>
      </c>
      <c r="C467" s="14" t="s">
        <v>1964</v>
      </c>
      <c r="D467" s="14" t="s">
        <v>29</v>
      </c>
      <c r="E467" s="48" t="s">
        <v>29</v>
      </c>
      <c r="F467" s="14" t="s">
        <v>911</v>
      </c>
      <c r="G467" s="14" t="b">
        <f>OR(LCI_Table[[#This Row],[Feedstock]]="All",LCI_Table[[#This Row],[Feedstock]]=SelectedFeedstock)</f>
        <v>0</v>
      </c>
      <c r="H467" s="14" t="b">
        <f>OR(LCI_Table[[#This Row],[Conversion]]="All",LCI_Table[[#This Row],[Conversion]]=SelectedConversion)</f>
        <v>0</v>
      </c>
      <c r="I467" s="14" t="b">
        <f>OR(LCI_Table[[#This Row],[Data Set]]="all",LCI_Table[[#This Row],[Data Set]]=SelectedDataSet)</f>
        <v>1</v>
      </c>
      <c r="J467" s="14" t="b">
        <f>OR(LCI_Table[[#This Row],[Technology]]="All",LCI_Table[[#This Row],[Technology]]=SelectedTechnology)</f>
        <v>0</v>
      </c>
      <c r="K467" s="14" t="b">
        <f>OR(LCI_Table[[#This Row],[Data Source]]="All",LCI_Table[[#This Row],[Data Source]]=SelectedDataSource)</f>
        <v>1</v>
      </c>
      <c r="L467" s="14" t="b">
        <f>TRUE</f>
        <v>1</v>
      </c>
      <c r="M467" s="14" t="b">
        <f>(LCI_Table[[#This Row],[Dev Notes]]="Do not display")</f>
        <v>0</v>
      </c>
      <c r="N467" s="14" t="b">
        <f>AND(LCI_Table[[#This Row],[Show Feedstock]:[Conditional]],NOT(LCI_Table[[#This Row],[Hide Row]]))</f>
        <v>0</v>
      </c>
      <c r="O467" s="14" t="b">
        <f>LCI_Table[[#This Row],[GREET1 Name Range]]=""</f>
        <v>0</v>
      </c>
      <c r="P467" s="14" t="s">
        <v>1448</v>
      </c>
      <c r="Q467" s="14" t="s">
        <v>560</v>
      </c>
      <c r="R467" s="14" t="s">
        <v>383</v>
      </c>
      <c r="S467" s="37" cm="1">
        <f t="array" aca="1" ref="S4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287.28329424196545</v>
      </c>
      <c r="T467" s="346" t="s">
        <v>2127</v>
      </c>
      <c r="U467" s="347">
        <f ca="1">S467/kg2g/Allocations!$O$46*MJ2mmBTU</f>
        <v>3.6147353004434345E-4</v>
      </c>
      <c r="V467" s="347">
        <v>287.28329424196545</v>
      </c>
      <c r="W467" s="347">
        <v>3.6147353004434345E-4</v>
      </c>
      <c r="X467" s="37" t="s">
        <v>6</v>
      </c>
      <c r="Y467" s="346" t="s">
        <v>416</v>
      </c>
      <c r="Z467" s="14" t="str">
        <f>IF(ISBLANK(LCI_Table[[#This Row],[Notes for user]])," ",LCI_Table[[#This Row],[Notes for user]])</f>
        <v xml:space="preserve"> </v>
      </c>
      <c r="AA467" s="14"/>
      <c r="AB467" s="14"/>
      <c r="AC467" s="346">
        <f ca="1">LCI_Table[[#This Row],[Default Calculated Value]]-LCI_Table[[#This Row],[Calculated Value]]</f>
        <v>0</v>
      </c>
    </row>
    <row r="468" spans="1:29" x14ac:dyDescent="0.3">
      <c r="A4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facilities_Cellulosic_ETJ_GlucoseGlucose</v>
      </c>
      <c r="B468" s="14" t="s">
        <v>133</v>
      </c>
      <c r="C468" s="14" t="s">
        <v>1964</v>
      </c>
      <c r="D468" s="14" t="s">
        <v>29</v>
      </c>
      <c r="E468" s="48" t="s">
        <v>29</v>
      </c>
      <c r="F468" s="14" t="s">
        <v>911</v>
      </c>
      <c r="G468" s="14" t="b">
        <f>OR(LCI_Table[[#This Row],[Feedstock]]="All",LCI_Table[[#This Row],[Feedstock]]=SelectedFeedstock)</f>
        <v>0</v>
      </c>
      <c r="H468" s="14" t="b">
        <f>OR(LCI_Table[[#This Row],[Conversion]]="All",LCI_Table[[#This Row],[Conversion]]=SelectedConversion)</f>
        <v>0</v>
      </c>
      <c r="I468" s="14" t="b">
        <f>OR(LCI_Table[[#This Row],[Data Set]]="all",LCI_Table[[#This Row],[Data Set]]=SelectedDataSet)</f>
        <v>1</v>
      </c>
      <c r="J468" s="14" t="b">
        <f>OR(LCI_Table[[#This Row],[Technology]]="All",LCI_Table[[#This Row],[Technology]]=SelectedTechnology)</f>
        <v>0</v>
      </c>
      <c r="K468" s="14" t="b">
        <f>OR(LCI_Table[[#This Row],[Data Source]]="All",LCI_Table[[#This Row],[Data Source]]=SelectedDataSource)</f>
        <v>1</v>
      </c>
      <c r="L468" s="14" t="b">
        <f>TRUE</f>
        <v>1</v>
      </c>
      <c r="M468" s="14" t="b">
        <f>(LCI_Table[[#This Row],[Dev Notes]]="Do not display")</f>
        <v>0</v>
      </c>
      <c r="N468" s="14" t="b">
        <f>AND(LCI_Table[[#This Row],[Show Feedstock]:[Conditional]],NOT(LCI_Table[[#This Row],[Hide Row]]))</f>
        <v>0</v>
      </c>
      <c r="O468" s="14" t="b">
        <f>LCI_Table[[#This Row],[GREET1 Name Range]]=""</f>
        <v>0</v>
      </c>
      <c r="P468" s="14" t="s">
        <v>1448</v>
      </c>
      <c r="Q468" s="14" t="s">
        <v>563</v>
      </c>
      <c r="R468" s="14" t="s">
        <v>387</v>
      </c>
      <c r="S468" s="37" cm="1">
        <f t="array" aca="1" ref="S4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4891.908489275158</v>
      </c>
      <c r="T468" s="346" t="s">
        <v>2127</v>
      </c>
      <c r="U468" s="347">
        <f ca="1">S468/kg2g/Allocations!$O$46*MJ2mmBTU</f>
        <v>6.1552323637128334E-3</v>
      </c>
      <c r="V468" s="347">
        <v>4891.908489275158</v>
      </c>
      <c r="W468" s="347">
        <v>6.1552323637128334E-3</v>
      </c>
      <c r="X468" s="37" t="s">
        <v>6</v>
      </c>
      <c r="Y468" s="346" t="s">
        <v>416</v>
      </c>
      <c r="Z468" s="14" t="str">
        <f>IF(ISBLANK(LCI_Table[[#This Row],[Notes for user]])," ",LCI_Table[[#This Row],[Notes for user]])</f>
        <v xml:space="preserve"> </v>
      </c>
      <c r="AA468" s="14"/>
      <c r="AB468" s="14"/>
      <c r="AC468" s="346">
        <f ca="1">LCI_Table[[#This Row],[Default Calculated Value]]-LCI_Table[[#This Row],[Calculated Value]]</f>
        <v>0</v>
      </c>
    </row>
    <row r="469" spans="1:29" x14ac:dyDescent="0.3">
      <c r="A4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facilities_Cellulosic_ETJ_Host_nutrientsHost nutrients</v>
      </c>
      <c r="B469" s="14" t="s">
        <v>133</v>
      </c>
      <c r="C469" s="14" t="s">
        <v>1964</v>
      </c>
      <c r="D469" s="14" t="s">
        <v>29</v>
      </c>
      <c r="E469" s="48" t="s">
        <v>29</v>
      </c>
      <c r="F469" s="14" t="s">
        <v>911</v>
      </c>
      <c r="G469" s="14" t="b">
        <f>OR(LCI_Table[[#This Row],[Feedstock]]="All",LCI_Table[[#This Row],[Feedstock]]=SelectedFeedstock)</f>
        <v>0</v>
      </c>
      <c r="H469" s="14" t="b">
        <f>OR(LCI_Table[[#This Row],[Conversion]]="All",LCI_Table[[#This Row],[Conversion]]=SelectedConversion)</f>
        <v>0</v>
      </c>
      <c r="I469" s="14" t="b">
        <f>OR(LCI_Table[[#This Row],[Data Set]]="all",LCI_Table[[#This Row],[Data Set]]=SelectedDataSet)</f>
        <v>1</v>
      </c>
      <c r="J469" s="14" t="b">
        <f>OR(LCI_Table[[#This Row],[Technology]]="All",LCI_Table[[#This Row],[Technology]]=SelectedTechnology)</f>
        <v>0</v>
      </c>
      <c r="K469" s="14" t="b">
        <f>OR(LCI_Table[[#This Row],[Data Source]]="All",LCI_Table[[#This Row],[Data Source]]=SelectedDataSource)</f>
        <v>1</v>
      </c>
      <c r="L469" s="14" t="b">
        <f>TRUE</f>
        <v>1</v>
      </c>
      <c r="M469" s="14" t="b">
        <f>(LCI_Table[[#This Row],[Dev Notes]]="Do not display")</f>
        <v>0</v>
      </c>
      <c r="N469" s="14" t="b">
        <f>AND(LCI_Table[[#This Row],[Show Feedstock]:[Conditional]],NOT(LCI_Table[[#This Row],[Hide Row]]))</f>
        <v>0</v>
      </c>
      <c r="O469" s="14" t="b">
        <f>LCI_Table[[#This Row],[GREET1 Name Range]]=""</f>
        <v>0</v>
      </c>
      <c r="P469" s="14" t="s">
        <v>1448</v>
      </c>
      <c r="Q469" s="14" t="s">
        <v>564</v>
      </c>
      <c r="R469" s="14" t="s">
        <v>388</v>
      </c>
      <c r="S469" s="37" cm="1">
        <f t="array" aca="1" ref="S4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135.54915995923719</v>
      </c>
      <c r="T469" s="346" t="s">
        <v>2127</v>
      </c>
      <c r="U469" s="347">
        <f ca="1">S469/kg2g/Allocations!$O$46*MJ2mmBTU</f>
        <v>1.7055441206317607E-4</v>
      </c>
      <c r="V469" s="347">
        <v>135.54915995923719</v>
      </c>
      <c r="W469" s="347">
        <v>1.7055441206317607E-4</v>
      </c>
      <c r="X469" s="37" t="s">
        <v>6</v>
      </c>
      <c r="Y469" s="346" t="s">
        <v>416</v>
      </c>
      <c r="Z469" s="14" t="str">
        <f>IF(ISBLANK(LCI_Table[[#This Row],[Notes for user]])," ",LCI_Table[[#This Row],[Notes for user]])</f>
        <v xml:space="preserve"> </v>
      </c>
      <c r="AA469" s="14"/>
      <c r="AB469" s="14"/>
      <c r="AC469" s="346">
        <f ca="1">LCI_Table[[#This Row],[Default Calculated Value]]-LCI_Table[[#This Row],[Calculated Value]]</f>
        <v>0</v>
      </c>
    </row>
    <row r="470" spans="1:29" x14ac:dyDescent="0.3">
      <c r="A4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facilities_Cellulosic_ETJ_LimeLime</v>
      </c>
      <c r="B470" s="14" t="s">
        <v>133</v>
      </c>
      <c r="C470" s="14" t="s">
        <v>1964</v>
      </c>
      <c r="D470" s="14" t="s">
        <v>29</v>
      </c>
      <c r="E470" s="48" t="s">
        <v>29</v>
      </c>
      <c r="F470" s="14" t="s">
        <v>911</v>
      </c>
      <c r="G470" s="14" t="b">
        <f>OR(LCI_Table[[#This Row],[Feedstock]]="All",LCI_Table[[#This Row],[Feedstock]]=SelectedFeedstock)</f>
        <v>0</v>
      </c>
      <c r="H470" s="14" t="b">
        <f>OR(LCI_Table[[#This Row],[Conversion]]="All",LCI_Table[[#This Row],[Conversion]]=SelectedConversion)</f>
        <v>0</v>
      </c>
      <c r="I470" s="14" t="b">
        <f>OR(LCI_Table[[#This Row],[Data Set]]="all",LCI_Table[[#This Row],[Data Set]]=SelectedDataSet)</f>
        <v>1</v>
      </c>
      <c r="J470" s="14" t="b">
        <f>OR(LCI_Table[[#This Row],[Technology]]="All",LCI_Table[[#This Row],[Technology]]=SelectedTechnology)</f>
        <v>0</v>
      </c>
      <c r="K470" s="14" t="b">
        <f>OR(LCI_Table[[#This Row],[Data Source]]="All",LCI_Table[[#This Row],[Data Source]]=SelectedDataSource)</f>
        <v>1</v>
      </c>
      <c r="L470" s="14" t="b">
        <f>TRUE</f>
        <v>1</v>
      </c>
      <c r="M470" s="14" t="b">
        <f>(LCI_Table[[#This Row],[Dev Notes]]="Do not display")</f>
        <v>0</v>
      </c>
      <c r="N470" s="14" t="b">
        <f>AND(LCI_Table[[#This Row],[Show Feedstock]:[Conditional]],NOT(LCI_Table[[#This Row],[Hide Row]]))</f>
        <v>0</v>
      </c>
      <c r="O470" s="14" t="b">
        <f>LCI_Table[[#This Row],[GREET1 Name Range]]=""</f>
        <v>0</v>
      </c>
      <c r="P470" s="14" t="s">
        <v>1448</v>
      </c>
      <c r="Q470" s="14" t="s">
        <v>566</v>
      </c>
      <c r="R470" s="14" t="s">
        <v>143</v>
      </c>
      <c r="S470" s="37" cm="1">
        <f t="array" aca="1" ref="S4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1790.4627845361929</v>
      </c>
      <c r="T470" s="346" t="s">
        <v>2127</v>
      </c>
      <c r="U470" s="347">
        <f ca="1">S470/kg2g/Allocations!$O$46*MJ2mmBTU</f>
        <v>2.2528455921777737E-3</v>
      </c>
      <c r="V470" s="347">
        <v>1790.4627845361929</v>
      </c>
      <c r="W470" s="347">
        <v>2.2528455921777737E-3</v>
      </c>
      <c r="X470" s="14" t="s">
        <v>6</v>
      </c>
      <c r="Y470" s="346" t="s">
        <v>416</v>
      </c>
      <c r="Z470" s="14" t="str">
        <f>IF(ISBLANK(LCI_Table[[#This Row],[Notes for user]])," ",LCI_Table[[#This Row],[Notes for user]])</f>
        <v xml:space="preserve"> </v>
      </c>
      <c r="AA470" s="14"/>
      <c r="AB470" s="14"/>
      <c r="AC470" s="346">
        <f ca="1">LCI_Table[[#This Row],[Default Calculated Value]]-LCI_Table[[#This Row],[Calculated Value]]</f>
        <v>0</v>
      </c>
    </row>
    <row r="471" spans="1:29" x14ac:dyDescent="0.3">
      <c r="A4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facilities_Cellulosic_ETJ_Sulfuric_acidSulfuric acid</v>
      </c>
      <c r="B471" s="14" t="s">
        <v>133</v>
      </c>
      <c r="C471" s="14" t="s">
        <v>1964</v>
      </c>
      <c r="D471" s="14" t="s">
        <v>29</v>
      </c>
      <c r="E471" s="48" t="s">
        <v>29</v>
      </c>
      <c r="F471" s="14" t="s">
        <v>911</v>
      </c>
      <c r="G471" s="14" t="b">
        <f>OR(LCI_Table[[#This Row],[Feedstock]]="All",LCI_Table[[#This Row],[Feedstock]]=SelectedFeedstock)</f>
        <v>0</v>
      </c>
      <c r="H471" s="14" t="b">
        <f>OR(LCI_Table[[#This Row],[Conversion]]="All",LCI_Table[[#This Row],[Conversion]]=SelectedConversion)</f>
        <v>0</v>
      </c>
      <c r="I471" s="14" t="b">
        <f>OR(LCI_Table[[#This Row],[Data Set]]="all",LCI_Table[[#This Row],[Data Set]]=SelectedDataSet)</f>
        <v>1</v>
      </c>
      <c r="J471" s="14" t="b">
        <f>OR(LCI_Table[[#This Row],[Technology]]="All",LCI_Table[[#This Row],[Technology]]=SelectedTechnology)</f>
        <v>0</v>
      </c>
      <c r="K471" s="14" t="b">
        <f>OR(LCI_Table[[#This Row],[Data Source]]="All",LCI_Table[[#This Row],[Data Source]]=SelectedDataSource)</f>
        <v>1</v>
      </c>
      <c r="L471" s="14" t="b">
        <f>TRUE</f>
        <v>1</v>
      </c>
      <c r="M471" s="14" t="b">
        <f>(LCI_Table[[#This Row],[Dev Notes]]="Do not display")</f>
        <v>0</v>
      </c>
      <c r="N471" s="14" t="b">
        <f>AND(LCI_Table[[#This Row],[Show Feedstock]:[Conditional]],NOT(LCI_Table[[#This Row],[Hide Row]]))</f>
        <v>0</v>
      </c>
      <c r="O471" s="14" t="b">
        <f>LCI_Table[[#This Row],[GREET1 Name Range]]=""</f>
        <v>0</v>
      </c>
      <c r="P471" s="14" t="s">
        <v>1448</v>
      </c>
      <c r="Q471" s="14" t="s">
        <v>567</v>
      </c>
      <c r="R471" s="14" t="s">
        <v>384</v>
      </c>
      <c r="S471" s="37" cm="1">
        <f t="array" aca="1" ref="S4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4007.8042668544622</v>
      </c>
      <c r="T471" s="346" t="s">
        <v>2127</v>
      </c>
      <c r="U471" s="347">
        <f ca="1">S471/kg2g/Allocations!$O$46*MJ2mmBTU</f>
        <v>5.042810302942566E-3</v>
      </c>
      <c r="V471" s="347">
        <v>4007.8042668544622</v>
      </c>
      <c r="W471" s="347">
        <v>5.042810302942566E-3</v>
      </c>
      <c r="X471" s="37" t="s">
        <v>6</v>
      </c>
      <c r="Y471" s="346" t="s">
        <v>416</v>
      </c>
      <c r="Z471" s="14" t="str">
        <f>IF(ISBLANK(LCI_Table[[#This Row],[Notes for user]])," ",LCI_Table[[#This Row],[Notes for user]])</f>
        <v xml:space="preserve"> </v>
      </c>
      <c r="AA471" s="14"/>
      <c r="AB471" s="14"/>
      <c r="AC471" s="346">
        <f ca="1">LCI_Table[[#This Row],[Default Calculated Value]]-LCI_Table[[#This Row],[Calculated Value]]</f>
        <v>0</v>
      </c>
    </row>
    <row r="472" spans="1:29" x14ac:dyDescent="0.3">
      <c r="A4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facilities_Cellulosic_ETJ_UreaUrea</v>
      </c>
      <c r="B472" s="14" t="s">
        <v>133</v>
      </c>
      <c r="C472" s="14" t="s">
        <v>1964</v>
      </c>
      <c r="D472" s="14" t="s">
        <v>29</v>
      </c>
      <c r="E472" s="48" t="s">
        <v>29</v>
      </c>
      <c r="F472" s="14" t="s">
        <v>911</v>
      </c>
      <c r="G472" s="14" t="b">
        <f>OR(LCI_Table[[#This Row],[Feedstock]]="All",LCI_Table[[#This Row],[Feedstock]]=SelectedFeedstock)</f>
        <v>0</v>
      </c>
      <c r="H472" s="14" t="b">
        <f>OR(LCI_Table[[#This Row],[Conversion]]="All",LCI_Table[[#This Row],[Conversion]]=SelectedConversion)</f>
        <v>0</v>
      </c>
      <c r="I472" s="14" t="b">
        <f>OR(LCI_Table[[#This Row],[Data Set]]="all",LCI_Table[[#This Row],[Data Set]]=SelectedDataSet)</f>
        <v>1</v>
      </c>
      <c r="J472" s="14" t="b">
        <f>OR(LCI_Table[[#This Row],[Technology]]="All",LCI_Table[[#This Row],[Technology]]=SelectedTechnology)</f>
        <v>0</v>
      </c>
      <c r="K472" s="14" t="b">
        <f>OR(LCI_Table[[#This Row],[Data Source]]="All",LCI_Table[[#This Row],[Data Source]]=SelectedDataSource)</f>
        <v>1</v>
      </c>
      <c r="L472" s="14" t="b">
        <f>TRUE</f>
        <v>1</v>
      </c>
      <c r="M472" s="14" t="b">
        <f>(LCI_Table[[#This Row],[Dev Notes]]="Do not display")</f>
        <v>0</v>
      </c>
      <c r="N472" s="14" t="b">
        <f>AND(LCI_Table[[#This Row],[Show Feedstock]:[Conditional]],NOT(LCI_Table[[#This Row],[Hide Row]]))</f>
        <v>0</v>
      </c>
      <c r="O472" s="14" t="b">
        <f>LCI_Table[[#This Row],[GREET1 Name Range]]=""</f>
        <v>0</v>
      </c>
      <c r="P472" s="14" t="s">
        <v>1448</v>
      </c>
      <c r="Q472" s="14" t="s">
        <v>568</v>
      </c>
      <c r="R472" s="14" t="s">
        <v>144</v>
      </c>
      <c r="S472" s="37" cm="1">
        <f t="array" aca="1" ref="S4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232.6590059001833</v>
      </c>
      <c r="T472" s="346" t="s">
        <v>2127</v>
      </c>
      <c r="U472" s="347">
        <f ca="1">S472/kg2g/Allocations!$O$46*MJ2mmBTU</f>
        <v>2.9274264757112316E-4</v>
      </c>
      <c r="V472" s="347">
        <v>232.6590059001833</v>
      </c>
      <c r="W472" s="347">
        <v>2.9274264757112316E-4</v>
      </c>
      <c r="X472" s="37" t="s">
        <v>6</v>
      </c>
      <c r="Y472" s="346" t="s">
        <v>416</v>
      </c>
      <c r="Z472" s="14" t="str">
        <f>IF(ISBLANK(LCI_Table[[#This Row],[Notes for user]])," ",LCI_Table[[#This Row],[Notes for user]])</f>
        <v xml:space="preserve"> </v>
      </c>
      <c r="AA472" s="14"/>
      <c r="AB472" s="14"/>
      <c r="AC472" s="346">
        <f ca="1">LCI_Table[[#This Row],[Default Calculated Value]]-LCI_Table[[#This Row],[Calculated Value]]</f>
        <v>0</v>
      </c>
    </row>
    <row r="473" spans="1:29" x14ac:dyDescent="0.3">
      <c r="A4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facilities_Cellulosic_ETJ_NaOHNaOH</v>
      </c>
      <c r="B473" s="14" t="s">
        <v>133</v>
      </c>
      <c r="C473" s="14" t="s">
        <v>1964</v>
      </c>
      <c r="D473" s="14" t="s">
        <v>29</v>
      </c>
      <c r="E473" s="48" t="s">
        <v>29</v>
      </c>
      <c r="F473" s="14" t="s">
        <v>911</v>
      </c>
      <c r="G473" s="14" t="b">
        <f>OR(LCI_Table[[#This Row],[Feedstock]]="All",LCI_Table[[#This Row],[Feedstock]]=SelectedFeedstock)</f>
        <v>0</v>
      </c>
      <c r="H473" s="14" t="b">
        <f>OR(LCI_Table[[#This Row],[Conversion]]="All",LCI_Table[[#This Row],[Conversion]]=SelectedConversion)</f>
        <v>0</v>
      </c>
      <c r="I473" s="14" t="b">
        <f>OR(LCI_Table[[#This Row],[Data Set]]="all",LCI_Table[[#This Row],[Data Set]]=SelectedDataSet)</f>
        <v>1</v>
      </c>
      <c r="J473" s="14" t="b">
        <f>OR(LCI_Table[[#This Row],[Technology]]="All",LCI_Table[[#This Row],[Technology]]=SelectedTechnology)</f>
        <v>0</v>
      </c>
      <c r="K473" s="14" t="b">
        <f>OR(LCI_Table[[#This Row],[Data Source]]="All",LCI_Table[[#This Row],[Data Source]]=SelectedDataSource)</f>
        <v>1</v>
      </c>
      <c r="L473" s="14" t="b">
        <f>TRUE</f>
        <v>1</v>
      </c>
      <c r="M473" s="14" t="b">
        <f>(LCI_Table[[#This Row],[Dev Notes]]="Do not display")</f>
        <v>0</v>
      </c>
      <c r="N473" s="14" t="b">
        <f>AND(LCI_Table[[#This Row],[Show Feedstock]:[Conditional]],NOT(LCI_Table[[#This Row],[Hide Row]]))</f>
        <v>0</v>
      </c>
      <c r="O473" s="14" t="b">
        <f>LCI_Table[[#This Row],[GREET1 Name Range]]=""</f>
        <v>0</v>
      </c>
      <c r="P473" s="14" t="s">
        <v>1448</v>
      </c>
      <c r="Q473" s="14" t="s">
        <v>1401</v>
      </c>
      <c r="R473" s="14" t="s">
        <v>403</v>
      </c>
      <c r="S473" s="37" cm="1">
        <f t="array" aca="1" ref="S4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73" s="346" t="s">
        <v>2127</v>
      </c>
      <c r="U473" s="347">
        <f ca="1">S473/kg2g/Allocations!$O$46*MJ2mmBTU</f>
        <v>0</v>
      </c>
      <c r="V473" s="347">
        <v>0</v>
      </c>
      <c r="W473" s="347">
        <v>0</v>
      </c>
      <c r="X473" s="37" t="s">
        <v>6</v>
      </c>
      <c r="Y473" s="346" t="s">
        <v>416</v>
      </c>
      <c r="Z473" s="14" t="str">
        <f>IF(ISBLANK(LCI_Table[[#This Row],[Notes for user]])," ",LCI_Table[[#This Row],[Notes for user]])</f>
        <v xml:space="preserve"> </v>
      </c>
      <c r="AA473" s="14"/>
      <c r="AB473" s="14"/>
      <c r="AC473" s="346">
        <f ca="1">LCI_Table[[#This Row],[Default Calculated Value]]-LCI_Table[[#This Row],[Calculated Value]]</f>
        <v>0</v>
      </c>
    </row>
    <row r="474" spans="1:29" x14ac:dyDescent="0.3">
      <c r="A4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facilities_Cellulosic_ETJ_WaterWater</v>
      </c>
      <c r="B474" s="14" t="s">
        <v>133</v>
      </c>
      <c r="C474" s="14" t="s">
        <v>1964</v>
      </c>
      <c r="D474" s="14" t="s">
        <v>29</v>
      </c>
      <c r="E474" s="48" t="s">
        <v>29</v>
      </c>
      <c r="F474" s="14" t="s">
        <v>911</v>
      </c>
      <c r="G474" s="14" t="b">
        <f>OR(LCI_Table[[#This Row],[Feedstock]]="All",LCI_Table[[#This Row],[Feedstock]]=SelectedFeedstock)</f>
        <v>0</v>
      </c>
      <c r="H474" s="14" t="b">
        <f>OR(LCI_Table[[#This Row],[Conversion]]="All",LCI_Table[[#This Row],[Conversion]]=SelectedConversion)</f>
        <v>0</v>
      </c>
      <c r="I474" s="14" t="b">
        <f>OR(LCI_Table[[#This Row],[Data Set]]="all",LCI_Table[[#This Row],[Data Set]]=SelectedDataSet)</f>
        <v>1</v>
      </c>
      <c r="J474" s="14" t="b">
        <f>OR(LCI_Table[[#This Row],[Technology]]="All",LCI_Table[[#This Row],[Technology]]=SelectedTechnology)</f>
        <v>0</v>
      </c>
      <c r="K474" s="14" t="b">
        <f>OR(LCI_Table[[#This Row],[Data Source]]="All",LCI_Table[[#This Row],[Data Source]]=SelectedDataSource)</f>
        <v>1</v>
      </c>
      <c r="L474" s="14" t="b">
        <f>TRUE</f>
        <v>1</v>
      </c>
      <c r="M474" s="14" t="b">
        <f>(LCI_Table[[#This Row],[Dev Notes]]="Do not display")</f>
        <v>0</v>
      </c>
      <c r="N474" s="14" t="b">
        <f>AND(LCI_Table[[#This Row],[Show Feedstock]:[Conditional]],NOT(LCI_Table[[#This Row],[Hide Row]]))</f>
        <v>0</v>
      </c>
      <c r="O474" s="14" t="b">
        <f>LCI_Table[[#This Row],[GREET1 Name Range]]=""</f>
        <v>0</v>
      </c>
      <c r="P474" s="14" t="s">
        <v>1448</v>
      </c>
      <c r="Q474" s="14" t="s">
        <v>569</v>
      </c>
      <c r="R474" s="14" t="s">
        <v>146</v>
      </c>
      <c r="S474" s="37" cm="1">
        <f t="array" aca="1" ref="S4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79.956230854903993</v>
      </c>
      <c r="T474" s="346" t="s">
        <v>2128</v>
      </c>
      <c r="U474" s="347">
        <f ca="1">S474/kg2lb*Fuel_Specs!$K$4/Allocations!$O$46*MJ2mmBTU</f>
        <v>0.37970757860566479</v>
      </c>
      <c r="V474" s="347">
        <v>79.956230854903993</v>
      </c>
      <c r="W474" s="347">
        <v>0.37970757860566479</v>
      </c>
      <c r="X474" s="37" t="s">
        <v>5</v>
      </c>
      <c r="Y474" s="346" t="s">
        <v>416</v>
      </c>
      <c r="Z474" s="14" t="str">
        <f>IF(ISBLANK(LCI_Table[[#This Row],[Notes for user]])," ",LCI_Table[[#This Row],[Notes for user]])</f>
        <v xml:space="preserve"> </v>
      </c>
      <c r="AA474" s="14"/>
      <c r="AB474" s="14"/>
      <c r="AC474" s="346">
        <f ca="1">LCI_Table[[#This Row],[Default Calculated Value]]-LCI_Table[[#This Row],[Calculated Value]]</f>
        <v>0</v>
      </c>
    </row>
    <row r="475" spans="1:29" x14ac:dyDescent="0.3">
      <c r="A4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SwitchgrassATJ-ethanolGREETGREETCo-located facilities_Cellulosic_ETJ_Electricity_co_producedElectricity (co-produced)</v>
      </c>
      <c r="B475" s="14" t="s">
        <v>133</v>
      </c>
      <c r="C475" s="14" t="s">
        <v>1964</v>
      </c>
      <c r="D475" s="14" t="s">
        <v>29</v>
      </c>
      <c r="E475" s="48" t="s">
        <v>29</v>
      </c>
      <c r="F475" s="14" t="s">
        <v>911</v>
      </c>
      <c r="G475" s="14" t="b">
        <f>OR(LCI_Table[[#This Row],[Feedstock]]="All",LCI_Table[[#This Row],[Feedstock]]=SelectedFeedstock)</f>
        <v>0</v>
      </c>
      <c r="H475" s="14" t="b">
        <f>OR(LCI_Table[[#This Row],[Conversion]]="All",LCI_Table[[#This Row],[Conversion]]=SelectedConversion)</f>
        <v>0</v>
      </c>
      <c r="I475" s="14" t="b">
        <f>OR(LCI_Table[[#This Row],[Data Set]]="all",LCI_Table[[#This Row],[Data Set]]=SelectedDataSet)</f>
        <v>1</v>
      </c>
      <c r="J475" s="14" t="b">
        <f>OR(LCI_Table[[#This Row],[Technology]]="All",LCI_Table[[#This Row],[Technology]]=SelectedTechnology)</f>
        <v>0</v>
      </c>
      <c r="K475" s="14" t="b">
        <f>OR(LCI_Table[[#This Row],[Data Source]]="All",LCI_Table[[#This Row],[Data Source]]=SelectedDataSource)</f>
        <v>1</v>
      </c>
      <c r="L475" s="14" t="b">
        <f>TRUE</f>
        <v>1</v>
      </c>
      <c r="M475" s="14" t="b">
        <f>(LCI_Table[[#This Row],[Dev Notes]]="Do not display")</f>
        <v>0</v>
      </c>
      <c r="N475" s="14" t="b">
        <f>AND(LCI_Table[[#This Row],[Show Feedstock]:[Conditional]],NOT(LCI_Table[[#This Row],[Hide Row]]))</f>
        <v>0</v>
      </c>
      <c r="O475" s="14" t="b">
        <f>LCI_Table[[#This Row],[GREET1 Name Range]]=""</f>
        <v>0</v>
      </c>
      <c r="P475" s="14" t="s">
        <v>1448</v>
      </c>
      <c r="Q475" s="14" t="s">
        <v>561</v>
      </c>
      <c r="R475" s="14" t="s">
        <v>439</v>
      </c>
      <c r="S475" s="37" cm="1">
        <f t="array" aca="1" ref="S4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25.473126463384443</v>
      </c>
      <c r="T475" s="346" t="s">
        <v>2121</v>
      </c>
      <c r="U475" s="347">
        <f ca="1">S475/Allocations!$O$46*MJ2mmBTU</f>
        <v>3.2051501526678398E-2</v>
      </c>
      <c r="V475" s="347">
        <v>25.473126463384443</v>
      </c>
      <c r="W475" s="347">
        <v>3.2051501526678398E-2</v>
      </c>
      <c r="X475" s="37" t="s">
        <v>51</v>
      </c>
      <c r="Y475" s="346" t="s">
        <v>416</v>
      </c>
      <c r="Z475" s="14" t="str">
        <f>IF(ISBLANK(LCI_Table[[#This Row],[Notes for user]])," ",LCI_Table[[#This Row],[Notes for user]])</f>
        <v xml:space="preserve"> </v>
      </c>
      <c r="AA475" s="14"/>
      <c r="AB475" s="14"/>
      <c r="AC475" s="346">
        <f ca="1">LCI_Table[[#This Row],[Default Calculated Value]]-LCI_Table[[#This Row],[Calculated Value]]</f>
        <v>0</v>
      </c>
    </row>
    <row r="476" spans="1:29" x14ac:dyDescent="0.3">
      <c r="A4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dash_MiscanthusATJ-ethanolGREETGREETCo-located facilities_Yield_Farming</v>
      </c>
      <c r="B476" s="48" t="s">
        <v>134</v>
      </c>
      <c r="C476" s="48" t="s">
        <v>1964</v>
      </c>
      <c r="D476" s="48" t="s">
        <v>29</v>
      </c>
      <c r="E476" s="48" t="s">
        <v>29</v>
      </c>
      <c r="F476" s="48" t="s">
        <v>911</v>
      </c>
      <c r="G476" s="14" t="b">
        <f>OR(LCI_Table[[#This Row],[Feedstock]]="All",LCI_Table[[#This Row],[Feedstock]]=SelectedFeedstock)</f>
        <v>0</v>
      </c>
      <c r="H476" s="14" t="b">
        <f>OR(LCI_Table[[#This Row],[Conversion]]="All",LCI_Table[[#This Row],[Conversion]]=SelectedConversion)</f>
        <v>0</v>
      </c>
      <c r="I476" s="14" t="b">
        <f>OR(LCI_Table[[#This Row],[Data Set]]="all",LCI_Table[[#This Row],[Data Set]]=SelectedDataSet)</f>
        <v>1</v>
      </c>
      <c r="J476" s="14" t="b">
        <f>OR(LCI_Table[[#This Row],[Technology]]="All",LCI_Table[[#This Row],[Technology]]=SelectedTechnology)</f>
        <v>0</v>
      </c>
      <c r="K476" s="14" t="b">
        <f>OR(LCI_Table[[#This Row],[Data Source]]="All",LCI_Table[[#This Row],[Data Source]]=SelectedDataSource)</f>
        <v>1</v>
      </c>
      <c r="L476" s="14" t="b">
        <f>TRUE</f>
        <v>1</v>
      </c>
      <c r="M476" s="14" t="b">
        <f>(LCI_Table[[#This Row],[Dev Notes]]="Do not display")</f>
        <v>0</v>
      </c>
      <c r="N476" s="14" t="b">
        <f>AND(LCI_Table[[#This Row],[Show Feedstock]:[Conditional]],NOT(LCI_Table[[#This Row],[Hide Row]]))</f>
        <v>0</v>
      </c>
      <c r="O476" s="14" t="b">
        <f>LCI_Table[[#This Row],[GREET1 Name Range]]=""</f>
        <v>1</v>
      </c>
      <c r="P476" s="48" t="s">
        <v>14</v>
      </c>
      <c r="Q476" s="14"/>
      <c r="R476" s="48" t="s">
        <v>200</v>
      </c>
      <c r="S476" s="37" cm="1">
        <f t="array" aca="1" ref="S4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8.6139205449999992</v>
      </c>
      <c r="T476" s="346" t="s">
        <v>2116</v>
      </c>
      <c r="U476" s="344"/>
      <c r="V476" s="344">
        <v>8.6139205449999992</v>
      </c>
      <c r="W476" s="344"/>
      <c r="X476" s="48" t="s">
        <v>55</v>
      </c>
      <c r="Y476" s="346" t="s">
        <v>413</v>
      </c>
      <c r="Z476" s="14" t="str">
        <f>IF(ISBLANK(LCI_Table[[#This Row],[Notes for user]])," ",LCI_Table[[#This Row],[Notes for user]])</f>
        <v xml:space="preserve"> </v>
      </c>
      <c r="AA476" s="48"/>
      <c r="AB476" s="345"/>
      <c r="AC476" s="346">
        <f>LCI_Table[[#This Row],[Default Calculated Value]]-LCI_Table[[#This Row],[Calculated Value]]</f>
        <v>0</v>
      </c>
    </row>
    <row r="477" spans="1:29" x14ac:dyDescent="0.3">
      <c r="A4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facilities_Miscanthus_Farming_Nitrogen_fertilizerNitrogen fertilizer</v>
      </c>
      <c r="B477" s="14" t="s">
        <v>134</v>
      </c>
      <c r="C477" s="14" t="s">
        <v>1964</v>
      </c>
      <c r="D477" s="14" t="s">
        <v>29</v>
      </c>
      <c r="E477" s="48" t="s">
        <v>29</v>
      </c>
      <c r="F477" s="14" t="s">
        <v>911</v>
      </c>
      <c r="G477" s="14" t="b">
        <f>OR(LCI_Table[[#This Row],[Feedstock]]="All",LCI_Table[[#This Row],[Feedstock]]=SelectedFeedstock)</f>
        <v>0</v>
      </c>
      <c r="H477" s="14" t="b">
        <f>OR(LCI_Table[[#This Row],[Conversion]]="All",LCI_Table[[#This Row],[Conversion]]=SelectedConversion)</f>
        <v>0</v>
      </c>
      <c r="I477" s="14" t="b">
        <f>OR(LCI_Table[[#This Row],[Data Set]]="all",LCI_Table[[#This Row],[Data Set]]=SelectedDataSet)</f>
        <v>1</v>
      </c>
      <c r="J477" s="14" t="b">
        <f>OR(LCI_Table[[#This Row],[Technology]]="All",LCI_Table[[#This Row],[Technology]]=SelectedTechnology)</f>
        <v>0</v>
      </c>
      <c r="K477" s="14" t="b">
        <f>OR(LCI_Table[[#This Row],[Data Source]]="All",LCI_Table[[#This Row],[Data Source]]=SelectedDataSource)</f>
        <v>1</v>
      </c>
      <c r="L477" s="14" t="b">
        <f>TRUE</f>
        <v>1</v>
      </c>
      <c r="M477" s="14" t="b">
        <f>(LCI_Table[[#This Row],[Dev Notes]]="Do not display")</f>
        <v>0</v>
      </c>
      <c r="N477" s="14" t="b">
        <f>AND(LCI_Table[[#This Row],[Show Feedstock]:[Conditional]],NOT(LCI_Table[[#This Row],[Hide Row]]))</f>
        <v>0</v>
      </c>
      <c r="O477" s="14" t="b">
        <f>LCI_Table[[#This Row],[GREET1 Name Range]]=""</f>
        <v>0</v>
      </c>
      <c r="P477" s="14" t="s">
        <v>14</v>
      </c>
      <c r="Q477" s="14" t="s">
        <v>713</v>
      </c>
      <c r="R477" s="14" t="s">
        <v>111</v>
      </c>
      <c r="S477" s="37" cm="1">
        <f t="array" aca="1" ref="S4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88.124241430996591</v>
      </c>
      <c r="T477" s="346" t="s">
        <v>1485</v>
      </c>
      <c r="U477" s="347">
        <f ca="1">S477/S476*lb2g</f>
        <v>4640.4518495750699</v>
      </c>
      <c r="V477" s="347">
        <v>88.124241430996591</v>
      </c>
      <c r="W477" s="347">
        <v>4640.4518495750699</v>
      </c>
      <c r="X477" s="37" t="s">
        <v>12</v>
      </c>
      <c r="Y477" s="346" t="s">
        <v>413</v>
      </c>
      <c r="Z477" s="14" t="str">
        <f>IF(ISBLANK(LCI_Table[[#This Row],[Notes for user]])," ",LCI_Table[[#This Row],[Notes for user]])</f>
        <v xml:space="preserve"> </v>
      </c>
      <c r="AA477" s="14"/>
      <c r="AB477" s="14"/>
      <c r="AC477" s="346">
        <f ca="1">LCI_Table[[#This Row],[Default Calculated Value]]-LCI_Table[[#This Row],[Calculated Value]]</f>
        <v>0</v>
      </c>
    </row>
    <row r="478" spans="1:29" x14ac:dyDescent="0.3">
      <c r="A4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facilities_Miscanthus_Farming_P2O5P2O5</v>
      </c>
      <c r="B478" s="14" t="s">
        <v>134</v>
      </c>
      <c r="C478" s="14" t="s">
        <v>1964</v>
      </c>
      <c r="D478" s="14" t="s">
        <v>29</v>
      </c>
      <c r="E478" s="48" t="s">
        <v>29</v>
      </c>
      <c r="F478" s="14" t="s">
        <v>911</v>
      </c>
      <c r="G478" s="14" t="b">
        <f>OR(LCI_Table[[#This Row],[Feedstock]]="All",LCI_Table[[#This Row],[Feedstock]]=SelectedFeedstock)</f>
        <v>0</v>
      </c>
      <c r="H478" s="14" t="b">
        <f>OR(LCI_Table[[#This Row],[Conversion]]="All",LCI_Table[[#This Row],[Conversion]]=SelectedConversion)</f>
        <v>0</v>
      </c>
      <c r="I478" s="14" t="b">
        <f>OR(LCI_Table[[#This Row],[Data Set]]="all",LCI_Table[[#This Row],[Data Set]]=SelectedDataSet)</f>
        <v>1</v>
      </c>
      <c r="J478" s="14" t="b">
        <f>OR(LCI_Table[[#This Row],[Technology]]="All",LCI_Table[[#This Row],[Technology]]=SelectedTechnology)</f>
        <v>0</v>
      </c>
      <c r="K478" s="14" t="b">
        <f>OR(LCI_Table[[#This Row],[Data Source]]="All",LCI_Table[[#This Row],[Data Source]]=SelectedDataSource)</f>
        <v>1</v>
      </c>
      <c r="L478" s="14" t="b">
        <f>TRUE</f>
        <v>1</v>
      </c>
      <c r="M478" s="14" t="b">
        <f>(LCI_Table[[#This Row],[Dev Notes]]="Do not display")</f>
        <v>0</v>
      </c>
      <c r="N478" s="14" t="b">
        <f>AND(LCI_Table[[#This Row],[Show Feedstock]:[Conditional]],NOT(LCI_Table[[#This Row],[Hide Row]]))</f>
        <v>0</v>
      </c>
      <c r="O478" s="14" t="b">
        <f>LCI_Table[[#This Row],[GREET1 Name Range]]=""</f>
        <v>0</v>
      </c>
      <c r="P478" s="14" t="s">
        <v>14</v>
      </c>
      <c r="Q478" s="14" t="s">
        <v>714</v>
      </c>
      <c r="R478" s="14" t="s">
        <v>112</v>
      </c>
      <c r="S478" s="37" cm="1">
        <f t="array" aca="1" ref="S4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19.884729242998674</v>
      </c>
      <c r="T478" s="346" t="s">
        <v>1485</v>
      </c>
      <c r="U478" s="347">
        <f ca="1">S478/S476*lb2g</f>
        <v>1047.0913235176672</v>
      </c>
      <c r="V478" s="347">
        <v>19.884729242998674</v>
      </c>
      <c r="W478" s="347">
        <v>1047.0913235176672</v>
      </c>
      <c r="X478" s="37" t="s">
        <v>12</v>
      </c>
      <c r="Y478" s="346" t="s">
        <v>413</v>
      </c>
      <c r="Z478" s="14" t="str">
        <f>IF(ISBLANK(LCI_Table[[#This Row],[Notes for user]])," ",LCI_Table[[#This Row],[Notes for user]])</f>
        <v xml:space="preserve"> </v>
      </c>
      <c r="AA478" s="14"/>
      <c r="AB478" s="14"/>
      <c r="AC478" s="346">
        <f ca="1">LCI_Table[[#This Row],[Default Calculated Value]]-LCI_Table[[#This Row],[Calculated Value]]</f>
        <v>0</v>
      </c>
    </row>
    <row r="479" spans="1:29" x14ac:dyDescent="0.3">
      <c r="A4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facilities_Miscanthus_Farming_K2OK2O</v>
      </c>
      <c r="B479" s="14" t="s">
        <v>134</v>
      </c>
      <c r="C479" s="14" t="s">
        <v>1964</v>
      </c>
      <c r="D479" s="14" t="s">
        <v>29</v>
      </c>
      <c r="E479" s="48" t="s">
        <v>29</v>
      </c>
      <c r="F479" s="14" t="s">
        <v>911</v>
      </c>
      <c r="G479" s="14" t="b">
        <f>OR(LCI_Table[[#This Row],[Feedstock]]="All",LCI_Table[[#This Row],[Feedstock]]=SelectedFeedstock)</f>
        <v>0</v>
      </c>
      <c r="H479" s="14" t="b">
        <f>OR(LCI_Table[[#This Row],[Conversion]]="All",LCI_Table[[#This Row],[Conversion]]=SelectedConversion)</f>
        <v>0</v>
      </c>
      <c r="I479" s="14" t="b">
        <f>OR(LCI_Table[[#This Row],[Data Set]]="all",LCI_Table[[#This Row],[Data Set]]=SelectedDataSet)</f>
        <v>1</v>
      </c>
      <c r="J479" s="14" t="b">
        <f>OR(LCI_Table[[#This Row],[Technology]]="All",LCI_Table[[#This Row],[Technology]]=SelectedTechnology)</f>
        <v>0</v>
      </c>
      <c r="K479" s="14" t="b">
        <f>OR(LCI_Table[[#This Row],[Data Source]]="All",LCI_Table[[#This Row],[Data Source]]=SelectedDataSource)</f>
        <v>1</v>
      </c>
      <c r="L479" s="14" t="b">
        <f>TRUE</f>
        <v>1</v>
      </c>
      <c r="M479" s="14" t="b">
        <f>(LCI_Table[[#This Row],[Dev Notes]]="Do not display")</f>
        <v>0</v>
      </c>
      <c r="N479" s="14" t="b">
        <f>AND(LCI_Table[[#This Row],[Show Feedstock]:[Conditional]],NOT(LCI_Table[[#This Row],[Hide Row]]))</f>
        <v>0</v>
      </c>
      <c r="O479" s="14" t="b">
        <f>LCI_Table[[#This Row],[GREET1 Name Range]]=""</f>
        <v>0</v>
      </c>
      <c r="P479" s="14" t="s">
        <v>14</v>
      </c>
      <c r="Q479" s="14" t="s">
        <v>710</v>
      </c>
      <c r="R479" s="14" t="s">
        <v>113</v>
      </c>
      <c r="S479" s="37" cm="1">
        <f t="array" aca="1" ref="S4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54.462165800868</v>
      </c>
      <c r="T479" s="346" t="s">
        <v>1485</v>
      </c>
      <c r="U479" s="347">
        <f ca="1">S479/S476*lb2g</f>
        <v>2867.8721532076388</v>
      </c>
      <c r="V479" s="347">
        <v>54.462165800868</v>
      </c>
      <c r="W479" s="347">
        <v>2867.8721532076388</v>
      </c>
      <c r="X479" s="37" t="s">
        <v>12</v>
      </c>
      <c r="Y479" s="346" t="s">
        <v>413</v>
      </c>
      <c r="Z479" s="14" t="str">
        <f>IF(ISBLANK(LCI_Table[[#This Row],[Notes for user]])," ",LCI_Table[[#This Row],[Notes for user]])</f>
        <v xml:space="preserve"> </v>
      </c>
      <c r="AA479" s="14"/>
      <c r="AB479" s="14"/>
      <c r="AC479" s="346">
        <f ca="1">LCI_Table[[#This Row],[Default Calculated Value]]-LCI_Table[[#This Row],[Calculated Value]]</f>
        <v>0</v>
      </c>
    </row>
    <row r="480" spans="1:29" x14ac:dyDescent="0.3">
      <c r="A4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facilities_Miscanthus_Farming_CaCO3CaCO3</v>
      </c>
      <c r="B480" s="14" t="s">
        <v>134</v>
      </c>
      <c r="C480" s="14" t="s">
        <v>1964</v>
      </c>
      <c r="D480" s="14" t="s">
        <v>29</v>
      </c>
      <c r="E480" s="48" t="s">
        <v>29</v>
      </c>
      <c r="F480" s="14" t="s">
        <v>911</v>
      </c>
      <c r="G480" s="14" t="b">
        <f>OR(LCI_Table[[#This Row],[Feedstock]]="All",LCI_Table[[#This Row],[Feedstock]]=SelectedFeedstock)</f>
        <v>0</v>
      </c>
      <c r="H480" s="14" t="b">
        <f>OR(LCI_Table[[#This Row],[Conversion]]="All",LCI_Table[[#This Row],[Conversion]]=SelectedConversion)</f>
        <v>0</v>
      </c>
      <c r="I480" s="14" t="b">
        <f>OR(LCI_Table[[#This Row],[Data Set]]="all",LCI_Table[[#This Row],[Data Set]]=SelectedDataSet)</f>
        <v>1</v>
      </c>
      <c r="J480" s="14" t="b">
        <f>OR(LCI_Table[[#This Row],[Technology]]="All",LCI_Table[[#This Row],[Technology]]=SelectedTechnology)</f>
        <v>0</v>
      </c>
      <c r="K480" s="14" t="b">
        <f>OR(LCI_Table[[#This Row],[Data Source]]="All",LCI_Table[[#This Row],[Data Source]]=SelectedDataSource)</f>
        <v>1</v>
      </c>
      <c r="L480" s="14" t="b">
        <f>TRUE</f>
        <v>1</v>
      </c>
      <c r="M480" s="14" t="b">
        <f>(LCI_Table[[#This Row],[Dev Notes]]="Do not display")</f>
        <v>0</v>
      </c>
      <c r="N480" s="14" t="b">
        <f>AND(LCI_Table[[#This Row],[Show Feedstock]:[Conditional]],NOT(LCI_Table[[#This Row],[Hide Row]]))</f>
        <v>0</v>
      </c>
      <c r="O480" s="14" t="b">
        <f>LCI_Table[[#This Row],[GREET1 Name Range]]=""</f>
        <v>0</v>
      </c>
      <c r="P480" s="14" t="s">
        <v>14</v>
      </c>
      <c r="Q480" s="14" t="s">
        <v>702</v>
      </c>
      <c r="R480" s="14" t="s">
        <v>141</v>
      </c>
      <c r="S480" s="37" cm="1">
        <f t="array" aca="1" ref="S4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98.419350248104237</v>
      </c>
      <c r="T480" s="346" t="s">
        <v>1485</v>
      </c>
      <c r="U480" s="347">
        <f ca="1">S480/S476*lb2g</f>
        <v>5182.572337379007</v>
      </c>
      <c r="V480" s="347">
        <v>98.419350248104237</v>
      </c>
      <c r="W480" s="347">
        <v>5182.572337379007</v>
      </c>
      <c r="X480" s="37" t="s">
        <v>12</v>
      </c>
      <c r="Y480" s="346" t="s">
        <v>413</v>
      </c>
      <c r="Z480" s="14" t="str">
        <f>IF(ISBLANK(LCI_Table[[#This Row],[Notes for user]])," ",LCI_Table[[#This Row],[Notes for user]])</f>
        <v xml:space="preserve"> </v>
      </c>
      <c r="AA480" s="14"/>
      <c r="AB480" s="14"/>
      <c r="AC480" s="346">
        <f ca="1">LCI_Table[[#This Row],[Default Calculated Value]]-LCI_Table[[#This Row],[Calculated Value]]</f>
        <v>0</v>
      </c>
    </row>
    <row r="481" spans="1:29" x14ac:dyDescent="0.3">
      <c r="A4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facilities_Miscanthus_Farming_HerbicidesHerbicides</v>
      </c>
      <c r="B481" s="14" t="s">
        <v>134</v>
      </c>
      <c r="C481" s="14" t="s">
        <v>1964</v>
      </c>
      <c r="D481" s="14" t="s">
        <v>29</v>
      </c>
      <c r="E481" s="48" t="s">
        <v>29</v>
      </c>
      <c r="F481" s="14" t="s">
        <v>911</v>
      </c>
      <c r="G481" s="14" t="b">
        <f>OR(LCI_Table[[#This Row],[Feedstock]]="All",LCI_Table[[#This Row],[Feedstock]]=SelectedFeedstock)</f>
        <v>0</v>
      </c>
      <c r="H481" s="14" t="b">
        <f>OR(LCI_Table[[#This Row],[Conversion]]="All",LCI_Table[[#This Row],[Conversion]]=SelectedConversion)</f>
        <v>0</v>
      </c>
      <c r="I481" s="14" t="b">
        <f>OR(LCI_Table[[#This Row],[Data Set]]="all",LCI_Table[[#This Row],[Data Set]]=SelectedDataSet)</f>
        <v>1</v>
      </c>
      <c r="J481" s="14" t="b">
        <f>OR(LCI_Table[[#This Row],[Technology]]="All",LCI_Table[[#This Row],[Technology]]=SelectedTechnology)</f>
        <v>0</v>
      </c>
      <c r="K481" s="14" t="b">
        <f>OR(LCI_Table[[#This Row],[Data Source]]="All",LCI_Table[[#This Row],[Data Source]]=SelectedDataSource)</f>
        <v>1</v>
      </c>
      <c r="L481" s="14" t="b">
        <f>TRUE</f>
        <v>1</v>
      </c>
      <c r="M481" s="14" t="b">
        <f>(LCI_Table[[#This Row],[Dev Notes]]="Do not display")</f>
        <v>0</v>
      </c>
      <c r="N481" s="14" t="b">
        <f>AND(LCI_Table[[#This Row],[Show Feedstock]:[Conditional]],NOT(LCI_Table[[#This Row],[Hide Row]]))</f>
        <v>0</v>
      </c>
      <c r="O481" s="14" t="b">
        <f>LCI_Table[[#This Row],[GREET1 Name Range]]=""</f>
        <v>0</v>
      </c>
      <c r="P481" s="14" t="s">
        <v>14</v>
      </c>
      <c r="Q481" s="14" t="s">
        <v>708</v>
      </c>
      <c r="R481" s="14" t="s">
        <v>356</v>
      </c>
      <c r="S481" s="37" cm="1">
        <f t="array" aca="1" ref="S4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0.54538703220331441</v>
      </c>
      <c r="T481" s="346" t="s">
        <v>1485</v>
      </c>
      <c r="U481" s="347">
        <f ca="1">S481/S476*lb2g</f>
        <v>28.71902465457066</v>
      </c>
      <c r="V481" s="347">
        <v>0.54538703220331441</v>
      </c>
      <c r="W481" s="347">
        <v>28.71902465457066</v>
      </c>
      <c r="X481" s="37" t="s">
        <v>12</v>
      </c>
      <c r="Y481" s="346" t="s">
        <v>413</v>
      </c>
      <c r="Z481" s="14" t="str">
        <f>IF(ISBLANK(LCI_Table[[#This Row],[Notes for user]])," ",LCI_Table[[#This Row],[Notes for user]])</f>
        <v xml:space="preserve"> </v>
      </c>
      <c r="AA481" s="14"/>
      <c r="AB481" s="14"/>
      <c r="AC481" s="346">
        <f ca="1">LCI_Table[[#This Row],[Default Calculated Value]]-LCI_Table[[#This Row],[Calculated Value]]</f>
        <v>0</v>
      </c>
    </row>
    <row r="482" spans="1:29" x14ac:dyDescent="0.3">
      <c r="A4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facilities_Miscanthus_Farming_InsecticideInsecticide</v>
      </c>
      <c r="B482" s="14" t="s">
        <v>134</v>
      </c>
      <c r="C482" s="14" t="s">
        <v>1964</v>
      </c>
      <c r="D482" s="14" t="s">
        <v>29</v>
      </c>
      <c r="E482" s="48" t="s">
        <v>29</v>
      </c>
      <c r="F482" s="14" t="s">
        <v>911</v>
      </c>
      <c r="G482" s="14" t="b">
        <f>OR(LCI_Table[[#This Row],[Feedstock]]="All",LCI_Table[[#This Row],[Feedstock]]=SelectedFeedstock)</f>
        <v>0</v>
      </c>
      <c r="H482" s="14" t="b">
        <f>OR(LCI_Table[[#This Row],[Conversion]]="All",LCI_Table[[#This Row],[Conversion]]=SelectedConversion)</f>
        <v>0</v>
      </c>
      <c r="I482" s="14" t="b">
        <f>OR(LCI_Table[[#This Row],[Data Set]]="all",LCI_Table[[#This Row],[Data Set]]=SelectedDataSet)</f>
        <v>1</v>
      </c>
      <c r="J482" s="14" t="b">
        <f>OR(LCI_Table[[#This Row],[Technology]]="All",LCI_Table[[#This Row],[Technology]]=SelectedTechnology)</f>
        <v>0</v>
      </c>
      <c r="K482" s="14" t="b">
        <f>OR(LCI_Table[[#This Row],[Data Source]]="All",LCI_Table[[#This Row],[Data Source]]=SelectedDataSource)</f>
        <v>1</v>
      </c>
      <c r="L482" s="14" t="b">
        <f>TRUE</f>
        <v>1</v>
      </c>
      <c r="M482" s="14" t="b">
        <f>(LCI_Table[[#This Row],[Dev Notes]]="Do not display")</f>
        <v>0</v>
      </c>
      <c r="N482" s="14" t="b">
        <f>AND(LCI_Table[[#This Row],[Show Feedstock]:[Conditional]],NOT(LCI_Table[[#This Row],[Hide Row]]))</f>
        <v>0</v>
      </c>
      <c r="O482" s="14" t="b">
        <f>LCI_Table[[#This Row],[GREET1 Name Range]]=""</f>
        <v>0</v>
      </c>
      <c r="P482" s="14" t="s">
        <v>14</v>
      </c>
      <c r="Q482" s="14" t="s">
        <v>709</v>
      </c>
      <c r="R482" s="14" t="s">
        <v>114</v>
      </c>
      <c r="S482" s="37" cm="1">
        <f t="array" aca="1" ref="S4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82" s="346" t="s">
        <v>1485</v>
      </c>
      <c r="U482" s="347">
        <f ca="1">S482/S476*lb2g</f>
        <v>0</v>
      </c>
      <c r="V482" s="347">
        <v>0</v>
      </c>
      <c r="W482" s="347">
        <v>0</v>
      </c>
      <c r="X482" s="37" t="s">
        <v>12</v>
      </c>
      <c r="Y482" s="346" t="s">
        <v>413</v>
      </c>
      <c r="Z482" s="14" t="str">
        <f>IF(ISBLANK(LCI_Table[[#This Row],[Notes for user]])," ",LCI_Table[[#This Row],[Notes for user]])</f>
        <v xml:space="preserve"> </v>
      </c>
      <c r="AA482" s="14"/>
      <c r="AB482" s="14"/>
      <c r="AC482" s="346">
        <f ca="1">LCI_Table[[#This Row],[Default Calculated Value]]-LCI_Table[[#This Row],[Calculated Value]]</f>
        <v>0</v>
      </c>
    </row>
    <row r="483" spans="1:29" x14ac:dyDescent="0.3">
      <c r="A4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facilities_Miscanthus_Farming_HDPEHDPE</v>
      </c>
      <c r="B483" s="14" t="s">
        <v>134</v>
      </c>
      <c r="C483" s="14" t="s">
        <v>1964</v>
      </c>
      <c r="D483" s="14" t="s">
        <v>29</v>
      </c>
      <c r="E483" s="48" t="s">
        <v>29</v>
      </c>
      <c r="F483" s="14" t="s">
        <v>911</v>
      </c>
      <c r="G483" s="14" t="b">
        <f>OR(LCI_Table[[#This Row],[Feedstock]]="All",LCI_Table[[#This Row],[Feedstock]]=SelectedFeedstock)</f>
        <v>0</v>
      </c>
      <c r="H483" s="14" t="b">
        <f>OR(LCI_Table[[#This Row],[Conversion]]="All",LCI_Table[[#This Row],[Conversion]]=SelectedConversion)</f>
        <v>0</v>
      </c>
      <c r="I483" s="14" t="b">
        <f>OR(LCI_Table[[#This Row],[Data Set]]="all",LCI_Table[[#This Row],[Data Set]]=SelectedDataSet)</f>
        <v>1</v>
      </c>
      <c r="J483" s="14" t="b">
        <f>OR(LCI_Table[[#This Row],[Technology]]="All",LCI_Table[[#This Row],[Technology]]=SelectedTechnology)</f>
        <v>0</v>
      </c>
      <c r="K483" s="14" t="b">
        <f>OR(LCI_Table[[#This Row],[Data Source]]="All",LCI_Table[[#This Row],[Data Source]]=SelectedDataSource)</f>
        <v>1</v>
      </c>
      <c r="L483" s="14" t="b">
        <f>TRUE</f>
        <v>1</v>
      </c>
      <c r="M483" s="14" t="b">
        <f>(LCI_Table[[#This Row],[Dev Notes]]="Do not display")</f>
        <v>0</v>
      </c>
      <c r="N483" s="14" t="b">
        <f>AND(LCI_Table[[#This Row],[Show Feedstock]:[Conditional]],NOT(LCI_Table[[#This Row],[Hide Row]]))</f>
        <v>0</v>
      </c>
      <c r="O483" s="14" t="b">
        <f>LCI_Table[[#This Row],[GREET1 Name Range]]=""</f>
        <v>0</v>
      </c>
      <c r="P483" s="14" t="s">
        <v>14</v>
      </c>
      <c r="Q483" s="14" t="s">
        <v>707</v>
      </c>
      <c r="R483" s="14" t="s">
        <v>357</v>
      </c>
      <c r="S483" s="37" cm="1">
        <f t="array" aca="1" ref="S4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1.4128890407658339E-2</v>
      </c>
      <c r="T483" s="346" t="s">
        <v>1485</v>
      </c>
      <c r="U483" s="347">
        <f ca="1">S483/S476*lb2g</f>
        <v>0.74400000000000155</v>
      </c>
      <c r="V483" s="347">
        <v>1.4128890407658339E-2</v>
      </c>
      <c r="W483" s="347">
        <v>0.74400000000000155</v>
      </c>
      <c r="X483" s="37" t="s">
        <v>12</v>
      </c>
      <c r="Y483" s="346" t="s">
        <v>413</v>
      </c>
      <c r="Z483" s="14" t="str">
        <f>IF(ISBLANK(LCI_Table[[#This Row],[Notes for user]])," ",LCI_Table[[#This Row],[Notes for user]])</f>
        <v xml:space="preserve"> </v>
      </c>
      <c r="AA483" s="14"/>
      <c r="AB483" s="14"/>
      <c r="AC483" s="346">
        <f ca="1">LCI_Table[[#This Row],[Default Calculated Value]]-LCI_Table[[#This Row],[Calculated Value]]</f>
        <v>0</v>
      </c>
    </row>
    <row r="484" spans="1:29" x14ac:dyDescent="0.3">
      <c r="A4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facilities_Miscanthus_Farming_Residual_oilResidual oil</v>
      </c>
      <c r="B484" s="14" t="s">
        <v>134</v>
      </c>
      <c r="C484" s="14" t="s">
        <v>1964</v>
      </c>
      <c r="D484" s="14" t="s">
        <v>29</v>
      </c>
      <c r="E484" s="48" t="s">
        <v>29</v>
      </c>
      <c r="F484" s="14" t="s">
        <v>911</v>
      </c>
      <c r="G484" s="14" t="b">
        <f>OR(LCI_Table[[#This Row],[Feedstock]]="All",LCI_Table[[#This Row],[Feedstock]]=SelectedFeedstock)</f>
        <v>0</v>
      </c>
      <c r="H484" s="14" t="b">
        <f>OR(LCI_Table[[#This Row],[Conversion]]="All",LCI_Table[[#This Row],[Conversion]]=SelectedConversion)</f>
        <v>0</v>
      </c>
      <c r="I484" s="14" t="b">
        <f>OR(LCI_Table[[#This Row],[Data Set]]="all",LCI_Table[[#This Row],[Data Set]]=SelectedDataSet)</f>
        <v>1</v>
      </c>
      <c r="J484" s="14" t="b">
        <f>OR(LCI_Table[[#This Row],[Technology]]="All",LCI_Table[[#This Row],[Technology]]=SelectedTechnology)</f>
        <v>0</v>
      </c>
      <c r="K484" s="14" t="b">
        <f>OR(LCI_Table[[#This Row],[Data Source]]="All",LCI_Table[[#This Row],[Data Source]]=SelectedDataSource)</f>
        <v>1</v>
      </c>
      <c r="L484" s="14" t="b">
        <f>TRUE</f>
        <v>1</v>
      </c>
      <c r="M484" s="14" t="b">
        <f>(LCI_Table[[#This Row],[Dev Notes]]="Do not display")</f>
        <v>0</v>
      </c>
      <c r="N484" s="14" t="b">
        <f>AND(LCI_Table[[#This Row],[Show Feedstock]:[Conditional]],NOT(LCI_Table[[#This Row],[Hide Row]]))</f>
        <v>0</v>
      </c>
      <c r="O484" s="14" t="b">
        <f>LCI_Table[[#This Row],[GREET1 Name Range]]=""</f>
        <v>0</v>
      </c>
      <c r="P484" s="14" t="s">
        <v>14</v>
      </c>
      <c r="Q484" s="14" t="s">
        <v>715</v>
      </c>
      <c r="R484" s="14" t="s">
        <v>115</v>
      </c>
      <c r="S484" s="37" cm="1">
        <f t="array" aca="1" ref="S4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84" s="346" t="s">
        <v>1484</v>
      </c>
      <c r="U484" s="347">
        <f ca="1">S484*Fuel_Specs!$B$28/S476</f>
        <v>0</v>
      </c>
      <c r="V484" s="347">
        <v>0</v>
      </c>
      <c r="W484" s="347">
        <v>0</v>
      </c>
      <c r="X484" s="37" t="s">
        <v>5</v>
      </c>
      <c r="Y484" s="346" t="s">
        <v>413</v>
      </c>
      <c r="Z484" s="14" t="str">
        <f>IF(ISBLANK(LCI_Table[[#This Row],[Notes for user]])," ",LCI_Table[[#This Row],[Notes for user]])</f>
        <v xml:space="preserve"> </v>
      </c>
      <c r="AA484" s="14"/>
      <c r="AB484" s="14"/>
      <c r="AC484" s="346">
        <f ca="1">LCI_Table[[#This Row],[Default Calculated Value]]-LCI_Table[[#This Row],[Calculated Value]]</f>
        <v>0</v>
      </c>
    </row>
    <row r="485" spans="1:29" x14ac:dyDescent="0.3">
      <c r="A4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facilities_Miscanthus_Farming_DieselDiesel</v>
      </c>
      <c r="B485" s="14" t="s">
        <v>134</v>
      </c>
      <c r="C485" s="14" t="s">
        <v>1964</v>
      </c>
      <c r="D485" s="14" t="s">
        <v>29</v>
      </c>
      <c r="E485" s="48" t="s">
        <v>29</v>
      </c>
      <c r="F485" s="14" t="s">
        <v>911</v>
      </c>
      <c r="G485" s="14" t="b">
        <f>OR(LCI_Table[[#This Row],[Feedstock]]="All",LCI_Table[[#This Row],[Feedstock]]=SelectedFeedstock)</f>
        <v>0</v>
      </c>
      <c r="H485" s="14" t="b">
        <f>OR(LCI_Table[[#This Row],[Conversion]]="All",LCI_Table[[#This Row],[Conversion]]=SelectedConversion)</f>
        <v>0</v>
      </c>
      <c r="I485" s="14" t="b">
        <f>OR(LCI_Table[[#This Row],[Data Set]]="all",LCI_Table[[#This Row],[Data Set]]=SelectedDataSet)</f>
        <v>1</v>
      </c>
      <c r="J485" s="14" t="b">
        <f>OR(LCI_Table[[#This Row],[Technology]]="All",LCI_Table[[#This Row],[Technology]]=SelectedTechnology)</f>
        <v>0</v>
      </c>
      <c r="K485" s="14" t="b">
        <f>OR(LCI_Table[[#This Row],[Data Source]]="All",LCI_Table[[#This Row],[Data Source]]=SelectedDataSource)</f>
        <v>1</v>
      </c>
      <c r="L485" s="14" t="b">
        <f>TRUE</f>
        <v>1</v>
      </c>
      <c r="M485" s="14" t="b">
        <f>(LCI_Table[[#This Row],[Dev Notes]]="Do not display")</f>
        <v>0</v>
      </c>
      <c r="N485" s="14" t="b">
        <f>AND(LCI_Table[[#This Row],[Show Feedstock]:[Conditional]],NOT(LCI_Table[[#This Row],[Hide Row]]))</f>
        <v>0</v>
      </c>
      <c r="O485" s="14" t="b">
        <f>LCI_Table[[#This Row],[GREET1 Name Range]]=""</f>
        <v>0</v>
      </c>
      <c r="P485" s="14" t="s">
        <v>14</v>
      </c>
      <c r="Q485" s="14" t="s">
        <v>704</v>
      </c>
      <c r="R485" s="14" t="s">
        <v>106</v>
      </c>
      <c r="S485" s="37" cm="1">
        <f t="array" aca="1" ref="S4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3.2139324221297554</v>
      </c>
      <c r="T485" s="346" t="s">
        <v>1484</v>
      </c>
      <c r="U485" s="347">
        <f ca="1">S485*Fuel_Specs!$B$19/S476</f>
        <v>47925.868072024008</v>
      </c>
      <c r="V485" s="347">
        <v>3.2139324221297554</v>
      </c>
      <c r="W485" s="347">
        <v>47925.868072024008</v>
      </c>
      <c r="X485" s="37" t="s">
        <v>5</v>
      </c>
      <c r="Y485" s="346" t="s">
        <v>413</v>
      </c>
      <c r="Z485" s="14" t="str">
        <f>IF(ISBLANK(LCI_Table[[#This Row],[Notes for user]])," ",LCI_Table[[#This Row],[Notes for user]])</f>
        <v xml:space="preserve"> </v>
      </c>
      <c r="AA485" s="14"/>
      <c r="AB485" s="14"/>
      <c r="AC485" s="346">
        <f ca="1">LCI_Table[[#This Row],[Default Calculated Value]]-LCI_Table[[#This Row],[Calculated Value]]</f>
        <v>0</v>
      </c>
    </row>
    <row r="486" spans="1:29" x14ac:dyDescent="0.3">
      <c r="A4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facilities_Miscanthus_Farming_GasolineGasoline</v>
      </c>
      <c r="B486" s="14" t="s">
        <v>134</v>
      </c>
      <c r="C486" s="14" t="s">
        <v>1964</v>
      </c>
      <c r="D486" s="14" t="s">
        <v>29</v>
      </c>
      <c r="E486" s="48" t="s">
        <v>29</v>
      </c>
      <c r="F486" s="14" t="s">
        <v>911</v>
      </c>
      <c r="G486" s="14" t="b">
        <f>OR(LCI_Table[[#This Row],[Feedstock]]="All",LCI_Table[[#This Row],[Feedstock]]=SelectedFeedstock)</f>
        <v>0</v>
      </c>
      <c r="H486" s="14" t="b">
        <f>OR(LCI_Table[[#This Row],[Conversion]]="All",LCI_Table[[#This Row],[Conversion]]=SelectedConversion)</f>
        <v>0</v>
      </c>
      <c r="I486" s="14" t="b">
        <f>OR(LCI_Table[[#This Row],[Data Set]]="all",LCI_Table[[#This Row],[Data Set]]=SelectedDataSet)</f>
        <v>1</v>
      </c>
      <c r="J486" s="14" t="b">
        <f>OR(LCI_Table[[#This Row],[Technology]]="All",LCI_Table[[#This Row],[Technology]]=SelectedTechnology)</f>
        <v>0</v>
      </c>
      <c r="K486" s="14" t="b">
        <f>OR(LCI_Table[[#This Row],[Data Source]]="All",LCI_Table[[#This Row],[Data Source]]=SelectedDataSource)</f>
        <v>1</v>
      </c>
      <c r="L486" s="14" t="b">
        <f>TRUE</f>
        <v>1</v>
      </c>
      <c r="M486" s="14" t="b">
        <f>(LCI_Table[[#This Row],[Dev Notes]]="Do not display")</f>
        <v>0</v>
      </c>
      <c r="N486" s="14" t="b">
        <f>AND(LCI_Table[[#This Row],[Show Feedstock]:[Conditional]],NOT(LCI_Table[[#This Row],[Hide Row]]))</f>
        <v>0</v>
      </c>
      <c r="O486" s="14" t="b">
        <f>LCI_Table[[#This Row],[GREET1 Name Range]]=""</f>
        <v>0</v>
      </c>
      <c r="P486" s="14" t="s">
        <v>14</v>
      </c>
      <c r="Q486" s="14" t="s">
        <v>706</v>
      </c>
      <c r="R486" s="14" t="s">
        <v>107</v>
      </c>
      <c r="S486" s="37" cm="1">
        <f t="array" aca="1" ref="S4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86" s="346" t="s">
        <v>1484</v>
      </c>
      <c r="U486" s="347">
        <f ca="1">S486*Fuel_Specs!$B$15/S476</f>
        <v>0</v>
      </c>
      <c r="V486" s="347">
        <v>0</v>
      </c>
      <c r="W486" s="347">
        <v>0</v>
      </c>
      <c r="X486" s="37" t="s">
        <v>5</v>
      </c>
      <c r="Y486" s="346" t="s">
        <v>413</v>
      </c>
      <c r="Z486" s="14" t="str">
        <f>IF(ISBLANK(LCI_Table[[#This Row],[Notes for user]])," ",LCI_Table[[#This Row],[Notes for user]])</f>
        <v xml:space="preserve"> </v>
      </c>
      <c r="AA486" s="14"/>
      <c r="AB486" s="14"/>
      <c r="AC486" s="346">
        <f ca="1">LCI_Table[[#This Row],[Default Calculated Value]]-LCI_Table[[#This Row],[Calculated Value]]</f>
        <v>0</v>
      </c>
    </row>
    <row r="487" spans="1:29" x14ac:dyDescent="0.3">
      <c r="A4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facilities_Miscanthus_Farming_Natural_gasNatural gas</v>
      </c>
      <c r="B487" s="14" t="s">
        <v>134</v>
      </c>
      <c r="C487" s="14" t="s">
        <v>1964</v>
      </c>
      <c r="D487" s="14" t="s">
        <v>29</v>
      </c>
      <c r="E487" s="48" t="s">
        <v>29</v>
      </c>
      <c r="F487" s="14" t="s">
        <v>911</v>
      </c>
      <c r="G487" s="14" t="b">
        <f>OR(LCI_Table[[#This Row],[Feedstock]]="All",LCI_Table[[#This Row],[Feedstock]]=SelectedFeedstock)</f>
        <v>0</v>
      </c>
      <c r="H487" s="14" t="b">
        <f>OR(LCI_Table[[#This Row],[Conversion]]="All",LCI_Table[[#This Row],[Conversion]]=SelectedConversion)</f>
        <v>0</v>
      </c>
      <c r="I487" s="14" t="b">
        <f>OR(LCI_Table[[#This Row],[Data Set]]="all",LCI_Table[[#This Row],[Data Set]]=SelectedDataSet)</f>
        <v>1</v>
      </c>
      <c r="J487" s="14" t="b">
        <f>OR(LCI_Table[[#This Row],[Technology]]="All",LCI_Table[[#This Row],[Technology]]=SelectedTechnology)</f>
        <v>0</v>
      </c>
      <c r="K487" s="14" t="b">
        <f>OR(LCI_Table[[#This Row],[Data Source]]="All",LCI_Table[[#This Row],[Data Source]]=SelectedDataSource)</f>
        <v>1</v>
      </c>
      <c r="L487" s="14" t="b">
        <f>TRUE</f>
        <v>1</v>
      </c>
      <c r="M487" s="14" t="b">
        <f>(LCI_Table[[#This Row],[Dev Notes]]="Do not display")</f>
        <v>0</v>
      </c>
      <c r="N487" s="14" t="b">
        <f>AND(LCI_Table[[#This Row],[Show Feedstock]:[Conditional]],NOT(LCI_Table[[#This Row],[Hide Row]]))</f>
        <v>0</v>
      </c>
      <c r="O487" s="14" t="b">
        <f>LCI_Table[[#This Row],[GREET1 Name Range]]=""</f>
        <v>0</v>
      </c>
      <c r="P487" s="14" t="s">
        <v>14</v>
      </c>
      <c r="Q487" s="14" t="s">
        <v>712</v>
      </c>
      <c r="R487" s="14" t="s">
        <v>108</v>
      </c>
      <c r="S487" s="37" cm="1">
        <f t="array" aca="1" ref="S4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87" s="346" t="s">
        <v>2109</v>
      </c>
      <c r="U487" s="347">
        <f ca="1">S487*Fuel_Specs!$B$79/S476</f>
        <v>0</v>
      </c>
      <c r="V487" s="347">
        <v>0</v>
      </c>
      <c r="W487" s="347">
        <v>0</v>
      </c>
      <c r="X487" s="37" t="s">
        <v>351</v>
      </c>
      <c r="Y487" s="346" t="s">
        <v>413</v>
      </c>
      <c r="Z487" s="14" t="str">
        <f>IF(ISBLANK(LCI_Table[[#This Row],[Notes for user]])," ",LCI_Table[[#This Row],[Notes for user]])</f>
        <v xml:space="preserve"> </v>
      </c>
      <c r="AA487" s="14"/>
      <c r="AB487" s="14"/>
      <c r="AC487" s="346">
        <f ca="1">LCI_Table[[#This Row],[Default Calculated Value]]-LCI_Table[[#This Row],[Calculated Value]]</f>
        <v>0</v>
      </c>
    </row>
    <row r="488" spans="1:29" x14ac:dyDescent="0.3">
      <c r="A4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facilities_Miscanthus_Farming_CoalCoal</v>
      </c>
      <c r="B488" s="14" t="s">
        <v>134</v>
      </c>
      <c r="C488" s="14" t="s">
        <v>1964</v>
      </c>
      <c r="D488" s="14" t="s">
        <v>29</v>
      </c>
      <c r="E488" s="48" t="s">
        <v>29</v>
      </c>
      <c r="F488" s="14" t="s">
        <v>911</v>
      </c>
      <c r="G488" s="14" t="b">
        <f>OR(LCI_Table[[#This Row],[Feedstock]]="All",LCI_Table[[#This Row],[Feedstock]]=SelectedFeedstock)</f>
        <v>0</v>
      </c>
      <c r="H488" s="14" t="b">
        <f>OR(LCI_Table[[#This Row],[Conversion]]="All",LCI_Table[[#This Row],[Conversion]]=SelectedConversion)</f>
        <v>0</v>
      </c>
      <c r="I488" s="14" t="b">
        <f>OR(LCI_Table[[#This Row],[Data Set]]="all",LCI_Table[[#This Row],[Data Set]]=SelectedDataSet)</f>
        <v>1</v>
      </c>
      <c r="J488" s="14" t="b">
        <f>OR(LCI_Table[[#This Row],[Technology]]="All",LCI_Table[[#This Row],[Technology]]=SelectedTechnology)</f>
        <v>0</v>
      </c>
      <c r="K488" s="14" t="b">
        <f>OR(LCI_Table[[#This Row],[Data Source]]="All",LCI_Table[[#This Row],[Data Source]]=SelectedDataSource)</f>
        <v>1</v>
      </c>
      <c r="L488" s="14" t="b">
        <f>TRUE</f>
        <v>1</v>
      </c>
      <c r="M488" s="14" t="b">
        <f>(LCI_Table[[#This Row],[Dev Notes]]="Do not display")</f>
        <v>0</v>
      </c>
      <c r="N488" s="14" t="b">
        <f>AND(LCI_Table[[#This Row],[Show Feedstock]:[Conditional]],NOT(LCI_Table[[#This Row],[Hide Row]]))</f>
        <v>0</v>
      </c>
      <c r="O488" s="14" t="b">
        <f>LCI_Table[[#This Row],[GREET1 Name Range]]=""</f>
        <v>0</v>
      </c>
      <c r="P488" s="14" t="s">
        <v>14</v>
      </c>
      <c r="Q488" s="14" t="s">
        <v>703</v>
      </c>
      <c r="R488" s="14" t="s">
        <v>9</v>
      </c>
      <c r="S488" s="37" cm="1">
        <f t="array" aca="1" ref="S4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88" s="346" t="s">
        <v>2110</v>
      </c>
      <c r="U488" s="347">
        <f ca="1">S488/S476</f>
        <v>0</v>
      </c>
      <c r="V488" s="347">
        <v>0</v>
      </c>
      <c r="W488" s="347">
        <v>0</v>
      </c>
      <c r="X488" s="37" t="s">
        <v>117</v>
      </c>
      <c r="Y488" s="346" t="s">
        <v>413</v>
      </c>
      <c r="Z488" s="14" t="str">
        <f>IF(ISBLANK(LCI_Table[[#This Row],[Notes for user]])," ",LCI_Table[[#This Row],[Notes for user]])</f>
        <v xml:space="preserve"> </v>
      </c>
      <c r="AA488" s="14"/>
      <c r="AB488" s="14"/>
      <c r="AC488" s="346">
        <f ca="1">LCI_Table[[#This Row],[Default Calculated Value]]-LCI_Table[[#This Row],[Calculated Value]]</f>
        <v>0</v>
      </c>
    </row>
    <row r="489" spans="1:29" x14ac:dyDescent="0.3">
      <c r="A4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facilities_Miscanthus_Farming_LPGLPG</v>
      </c>
      <c r="B489" s="14" t="s">
        <v>134</v>
      </c>
      <c r="C489" s="14" t="s">
        <v>1964</v>
      </c>
      <c r="D489" s="14" t="s">
        <v>29</v>
      </c>
      <c r="E489" s="48" t="s">
        <v>29</v>
      </c>
      <c r="F489" s="14" t="s">
        <v>911</v>
      </c>
      <c r="G489" s="14" t="b">
        <f>OR(LCI_Table[[#This Row],[Feedstock]]="All",LCI_Table[[#This Row],[Feedstock]]=SelectedFeedstock)</f>
        <v>0</v>
      </c>
      <c r="H489" s="14" t="b">
        <f>OR(LCI_Table[[#This Row],[Conversion]]="All",LCI_Table[[#This Row],[Conversion]]=SelectedConversion)</f>
        <v>0</v>
      </c>
      <c r="I489" s="14" t="b">
        <f>OR(LCI_Table[[#This Row],[Data Set]]="all",LCI_Table[[#This Row],[Data Set]]=SelectedDataSet)</f>
        <v>1</v>
      </c>
      <c r="J489" s="14" t="b">
        <f>OR(LCI_Table[[#This Row],[Technology]]="All",LCI_Table[[#This Row],[Technology]]=SelectedTechnology)</f>
        <v>0</v>
      </c>
      <c r="K489" s="14" t="b">
        <f>OR(LCI_Table[[#This Row],[Data Source]]="All",LCI_Table[[#This Row],[Data Source]]=SelectedDataSource)</f>
        <v>1</v>
      </c>
      <c r="L489" s="14" t="b">
        <f>TRUE</f>
        <v>1</v>
      </c>
      <c r="M489" s="14" t="b">
        <f>(LCI_Table[[#This Row],[Dev Notes]]="Do not display")</f>
        <v>0</v>
      </c>
      <c r="N489" s="14" t="b">
        <f>AND(LCI_Table[[#This Row],[Show Feedstock]:[Conditional]],NOT(LCI_Table[[#This Row],[Hide Row]]))</f>
        <v>0</v>
      </c>
      <c r="O489" s="14" t="b">
        <f>LCI_Table[[#This Row],[GREET1 Name Range]]=""</f>
        <v>0</v>
      </c>
      <c r="P489" s="14" t="s">
        <v>14</v>
      </c>
      <c r="Q489" s="14" t="s">
        <v>711</v>
      </c>
      <c r="R489" s="14" t="s">
        <v>109</v>
      </c>
      <c r="S489" s="37" cm="1">
        <f t="array" aca="1" ref="S4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489" s="346" t="s">
        <v>1484</v>
      </c>
      <c r="U489" s="347">
        <f ca="1">S489*Fuel_Specs!$B$35/S476</f>
        <v>0</v>
      </c>
      <c r="V489" s="347">
        <v>0</v>
      </c>
      <c r="W489" s="347">
        <v>0</v>
      </c>
      <c r="X489" s="37" t="s">
        <v>5</v>
      </c>
      <c r="Y489" s="346" t="s">
        <v>413</v>
      </c>
      <c r="Z489" s="14" t="str">
        <f>IF(ISBLANK(LCI_Table[[#This Row],[Notes for user]])," ",LCI_Table[[#This Row],[Notes for user]])</f>
        <v xml:space="preserve"> </v>
      </c>
      <c r="AA489" s="14"/>
      <c r="AB489" s="14"/>
      <c r="AC489" s="346">
        <f ca="1">LCI_Table[[#This Row],[Default Calculated Value]]-LCI_Table[[#This Row],[Calculated Value]]</f>
        <v>0</v>
      </c>
    </row>
    <row r="490" spans="1:29" x14ac:dyDescent="0.3">
      <c r="A4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facilities_Miscanthus_Farming_ElectricityElectricity</v>
      </c>
      <c r="B490" s="14" t="s">
        <v>134</v>
      </c>
      <c r="C490" s="14" t="s">
        <v>1964</v>
      </c>
      <c r="D490" s="14" t="s">
        <v>29</v>
      </c>
      <c r="E490" s="48" t="s">
        <v>29</v>
      </c>
      <c r="F490" s="14" t="s">
        <v>911</v>
      </c>
      <c r="G490" s="14" t="b">
        <f>OR(LCI_Table[[#This Row],[Feedstock]]="All",LCI_Table[[#This Row],[Feedstock]]=SelectedFeedstock)</f>
        <v>0</v>
      </c>
      <c r="H490" s="14" t="b">
        <f>OR(LCI_Table[[#This Row],[Conversion]]="All",LCI_Table[[#This Row],[Conversion]]=SelectedConversion)</f>
        <v>0</v>
      </c>
      <c r="I490" s="14" t="b">
        <f>OR(LCI_Table[[#This Row],[Data Set]]="all",LCI_Table[[#This Row],[Data Set]]=SelectedDataSet)</f>
        <v>1</v>
      </c>
      <c r="J490" s="14" t="b">
        <f>OR(LCI_Table[[#This Row],[Technology]]="All",LCI_Table[[#This Row],[Technology]]=SelectedTechnology)</f>
        <v>0</v>
      </c>
      <c r="K490" s="14" t="b">
        <f>OR(LCI_Table[[#This Row],[Data Source]]="All",LCI_Table[[#This Row],[Data Source]]=SelectedDataSource)</f>
        <v>1</v>
      </c>
      <c r="L490" s="14" t="b">
        <f>TRUE</f>
        <v>1</v>
      </c>
      <c r="M490" s="14" t="b">
        <f>(LCI_Table[[#This Row],[Dev Notes]]="Do not display")</f>
        <v>0</v>
      </c>
      <c r="N490" s="14" t="b">
        <f>AND(LCI_Table[[#This Row],[Show Feedstock]:[Conditional]],NOT(LCI_Table[[#This Row],[Hide Row]]))</f>
        <v>0</v>
      </c>
      <c r="O490" s="14" t="b">
        <f>LCI_Table[[#This Row],[GREET1 Name Range]]=""</f>
        <v>0</v>
      </c>
      <c r="P490" s="14" t="s">
        <v>14</v>
      </c>
      <c r="Q490" s="14" t="s">
        <v>705</v>
      </c>
      <c r="R490" s="14" t="s">
        <v>110</v>
      </c>
      <c r="S490" s="37" cm="1">
        <f t="array" aca="1" ref="S4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9.387422122233648</v>
      </c>
      <c r="T490" s="346" t="s">
        <v>1561</v>
      </c>
      <c r="U490" s="347">
        <f ca="1">S490/BTU2kWh/S476</f>
        <v>3718.5406764815002</v>
      </c>
      <c r="V490" s="347">
        <v>9.387422122233648</v>
      </c>
      <c r="W490" s="347">
        <v>3718.5406764815002</v>
      </c>
      <c r="X490" s="37" t="s">
        <v>51</v>
      </c>
      <c r="Y490" s="346" t="s">
        <v>413</v>
      </c>
      <c r="Z490" s="14" t="str">
        <f>IF(ISBLANK(LCI_Table[[#This Row],[Notes for user]])," ",LCI_Table[[#This Row],[Notes for user]])</f>
        <v xml:space="preserve"> </v>
      </c>
      <c r="AA490" s="14"/>
      <c r="AB490" s="14"/>
      <c r="AC490" s="346">
        <f ca="1">LCI_Table[[#This Row],[Default Calculated Value]]-LCI_Table[[#This Row],[Calculated Value]]</f>
        <v>0</v>
      </c>
    </row>
    <row r="491" spans="1:29" x14ac:dyDescent="0.3">
      <c r="A4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facilities_Cellulosic_ETJ_FeedMiscanthus</v>
      </c>
      <c r="B491" s="14" t="s">
        <v>134</v>
      </c>
      <c r="C491" s="14" t="s">
        <v>1964</v>
      </c>
      <c r="D491" s="14" t="s">
        <v>29</v>
      </c>
      <c r="E491" s="48" t="s">
        <v>29</v>
      </c>
      <c r="F491" s="14" t="s">
        <v>911</v>
      </c>
      <c r="G491" s="14" t="b">
        <f>OR(LCI_Table[[#This Row],[Feedstock]]="All",LCI_Table[[#This Row],[Feedstock]]=SelectedFeedstock)</f>
        <v>0</v>
      </c>
      <c r="H491" s="14" t="b">
        <f>OR(LCI_Table[[#This Row],[Conversion]]="All",LCI_Table[[#This Row],[Conversion]]=SelectedConversion)</f>
        <v>0</v>
      </c>
      <c r="I491" s="14" t="b">
        <f>OR(LCI_Table[[#This Row],[Data Set]]="all",LCI_Table[[#This Row],[Data Set]]=SelectedDataSet)</f>
        <v>1</v>
      </c>
      <c r="J491" s="14" t="b">
        <f>OR(LCI_Table[[#This Row],[Technology]]="All",LCI_Table[[#This Row],[Technology]]=SelectedTechnology)</f>
        <v>0</v>
      </c>
      <c r="K491" s="14" t="b">
        <f>OR(LCI_Table[[#This Row],[Data Source]]="All",LCI_Table[[#This Row],[Data Source]]=SelectedDataSource)</f>
        <v>1</v>
      </c>
      <c r="L491" s="14" t="b">
        <f>TRUE</f>
        <v>1</v>
      </c>
      <c r="M491" s="14" t="b">
        <f>(LCI_Table[[#This Row],[Dev Notes]]="Do not display")</f>
        <v>0</v>
      </c>
      <c r="N491" s="14" t="b">
        <f>AND(LCI_Table[[#This Row],[Show Feedstock]:[Conditional]],NOT(LCI_Table[[#This Row],[Hide Row]]))</f>
        <v>0</v>
      </c>
      <c r="O491" s="14" t="b">
        <f>LCI_Table[[#This Row],[GREET1 Name Range]]=""</f>
        <v>0</v>
      </c>
      <c r="P491" s="14" t="s">
        <v>1448</v>
      </c>
      <c r="Q491" s="14" t="s">
        <v>562</v>
      </c>
      <c r="R491" s="14" t="s">
        <v>134</v>
      </c>
      <c r="S491" s="37" cm="1">
        <f t="array" aca="1" ref="S4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371.68351875591384</v>
      </c>
      <c r="T491" s="346" t="s">
        <v>2119</v>
      </c>
      <c r="U491" s="347">
        <f ca="1">S491/kg2lb/Allocations!$O$48*MJ2mmBTU</f>
        <v>0.21213150478299422</v>
      </c>
      <c r="V491" s="347">
        <v>371.68351875591384</v>
      </c>
      <c r="W491" s="347">
        <v>0.21213150478299422</v>
      </c>
      <c r="X491" s="37" t="s">
        <v>12</v>
      </c>
      <c r="Y491" s="346" t="s">
        <v>416</v>
      </c>
      <c r="Z491" s="14" t="str">
        <f>IF(ISBLANK(LCI_Table[[#This Row],[Notes for user]])," ",LCI_Table[[#This Row],[Notes for user]])</f>
        <v xml:space="preserve"> </v>
      </c>
      <c r="AA491" s="14"/>
      <c r="AB491" s="14"/>
      <c r="AC491" s="346">
        <f ca="1">LCI_Table[[#This Row],[Default Calculated Value]]-LCI_Table[[#This Row],[Calculated Value]]</f>
        <v>0</v>
      </c>
    </row>
    <row r="492" spans="1:29" x14ac:dyDescent="0.3">
      <c r="A4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facilities_Cellulosic_ETJ_HydrogenHydrogen</v>
      </c>
      <c r="B492" s="14" t="s">
        <v>134</v>
      </c>
      <c r="C492" s="14" t="s">
        <v>1964</v>
      </c>
      <c r="D492" s="14" t="s">
        <v>29</v>
      </c>
      <c r="E492" s="48" t="s">
        <v>29</v>
      </c>
      <c r="F492" s="14" t="s">
        <v>911</v>
      </c>
      <c r="G492" s="14" t="b">
        <f>OR(LCI_Table[[#This Row],[Feedstock]]="All",LCI_Table[[#This Row],[Feedstock]]=SelectedFeedstock)</f>
        <v>0</v>
      </c>
      <c r="H492" s="14" t="b">
        <f>OR(LCI_Table[[#This Row],[Conversion]]="All",LCI_Table[[#This Row],[Conversion]]=SelectedConversion)</f>
        <v>0</v>
      </c>
      <c r="I492" s="14" t="b">
        <f>OR(LCI_Table[[#This Row],[Data Set]]="all",LCI_Table[[#This Row],[Data Set]]=SelectedDataSet)</f>
        <v>1</v>
      </c>
      <c r="J492" s="14" t="b">
        <f>OR(LCI_Table[[#This Row],[Technology]]="All",LCI_Table[[#This Row],[Technology]]=SelectedTechnology)</f>
        <v>0</v>
      </c>
      <c r="K492" s="14" t="b">
        <f>OR(LCI_Table[[#This Row],[Data Source]]="All",LCI_Table[[#This Row],[Data Source]]=SelectedDataSource)</f>
        <v>1</v>
      </c>
      <c r="L492" s="14" t="b">
        <f>TRUE</f>
        <v>1</v>
      </c>
      <c r="M492" s="14" t="b">
        <f>(LCI_Table[[#This Row],[Dev Notes]]="Do not display")</f>
        <v>0</v>
      </c>
      <c r="N492" s="14" t="b">
        <f>AND(LCI_Table[[#This Row],[Show Feedstock]:[Conditional]],NOT(LCI_Table[[#This Row],[Hide Row]]))</f>
        <v>0</v>
      </c>
      <c r="O492" s="14" t="b">
        <f>LCI_Table[[#This Row],[GREET1 Name Range]]=""</f>
        <v>0</v>
      </c>
      <c r="P492" s="14" t="s">
        <v>1448</v>
      </c>
      <c r="Q492" s="14" t="s">
        <v>565</v>
      </c>
      <c r="R492" s="14" t="s">
        <v>73</v>
      </c>
      <c r="S492" s="37" cm="1">
        <f t="array" aca="1" ref="S4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210.24598998652542</v>
      </c>
      <c r="T492" s="346" t="s">
        <v>2120</v>
      </c>
      <c r="U492" s="347">
        <f ca="1">S492/kg2g*Fuel_Specs!$E$81/Allocations!$O$48*MJ2mmBTU</f>
        <v>6.745808835334578E-4</v>
      </c>
      <c r="V492" s="347">
        <v>210.24598998652542</v>
      </c>
      <c r="W492" s="347">
        <v>6.745808835334578E-4</v>
      </c>
      <c r="X492" s="37" t="s">
        <v>351</v>
      </c>
      <c r="Y492" s="346" t="s">
        <v>416</v>
      </c>
      <c r="Z492" s="14" t="str">
        <f>IF(ISBLANK(LCI_Table[[#This Row],[Notes for user]])," ",LCI_Table[[#This Row],[Notes for user]])</f>
        <v xml:space="preserve"> </v>
      </c>
      <c r="AA492" s="14"/>
      <c r="AB492" s="14"/>
      <c r="AC492" s="346">
        <f ca="1">LCI_Table[[#This Row],[Default Calculated Value]]-LCI_Table[[#This Row],[Calculated Value]]</f>
        <v>0</v>
      </c>
    </row>
    <row r="493" spans="1:29" x14ac:dyDescent="0.3">
      <c r="A4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facilities_Cellulosic_ETJ_AmmoniaAmmonia</v>
      </c>
      <c r="B493" s="14" t="s">
        <v>134</v>
      </c>
      <c r="C493" s="14" t="s">
        <v>1964</v>
      </c>
      <c r="D493" s="14" t="s">
        <v>29</v>
      </c>
      <c r="E493" s="48" t="s">
        <v>29</v>
      </c>
      <c r="F493" s="14" t="s">
        <v>911</v>
      </c>
      <c r="G493" s="14" t="b">
        <f>OR(LCI_Table[[#This Row],[Feedstock]]="All",LCI_Table[[#This Row],[Feedstock]]=SelectedFeedstock)</f>
        <v>0</v>
      </c>
      <c r="H493" s="14" t="b">
        <f>OR(LCI_Table[[#This Row],[Conversion]]="All",LCI_Table[[#This Row],[Conversion]]=SelectedConversion)</f>
        <v>0</v>
      </c>
      <c r="I493" s="14" t="b">
        <f>OR(LCI_Table[[#This Row],[Data Set]]="all",LCI_Table[[#This Row],[Data Set]]=SelectedDataSet)</f>
        <v>1</v>
      </c>
      <c r="J493" s="14" t="b">
        <f>OR(LCI_Table[[#This Row],[Technology]]="All",LCI_Table[[#This Row],[Technology]]=SelectedTechnology)</f>
        <v>0</v>
      </c>
      <c r="K493" s="14" t="b">
        <f>OR(LCI_Table[[#This Row],[Data Source]]="All",LCI_Table[[#This Row],[Data Source]]=SelectedDataSource)</f>
        <v>1</v>
      </c>
      <c r="L493" s="14" t="b">
        <f>TRUE</f>
        <v>1</v>
      </c>
      <c r="M493" s="14" t="b">
        <f>(LCI_Table[[#This Row],[Dev Notes]]="Do not display")</f>
        <v>0</v>
      </c>
      <c r="N493" s="14" t="b">
        <f>AND(LCI_Table[[#This Row],[Show Feedstock]:[Conditional]],NOT(LCI_Table[[#This Row],[Hide Row]]))</f>
        <v>0</v>
      </c>
      <c r="O493" s="14" t="b">
        <f>LCI_Table[[#This Row],[GREET1 Name Range]]=""</f>
        <v>0</v>
      </c>
      <c r="P493" s="14" t="s">
        <v>1448</v>
      </c>
      <c r="Q493" s="14" t="s">
        <v>557</v>
      </c>
      <c r="R493" s="14" t="s">
        <v>382</v>
      </c>
      <c r="S493" s="37" cm="1">
        <f t="array" aca="1" ref="S4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617.69707425785418</v>
      </c>
      <c r="T493" s="346" t="s">
        <v>2127</v>
      </c>
      <c r="U493" s="347">
        <f ca="1">S493/kg2g/Allocations!$O$48*MJ2mmBTU</f>
        <v>7.7721589248412777E-4</v>
      </c>
      <c r="V493" s="347">
        <v>617.69707425785418</v>
      </c>
      <c r="W493" s="347">
        <v>7.7721589248412777E-4</v>
      </c>
      <c r="X493" s="37" t="s">
        <v>6</v>
      </c>
      <c r="Y493" s="346" t="s">
        <v>416</v>
      </c>
      <c r="Z493" s="14" t="str">
        <f>IF(ISBLANK(LCI_Table[[#This Row],[Notes for user]])," ",LCI_Table[[#This Row],[Notes for user]])</f>
        <v xml:space="preserve"> </v>
      </c>
      <c r="AA493" s="14"/>
      <c r="AB493" s="14"/>
      <c r="AC493" s="346">
        <f ca="1">LCI_Table[[#This Row],[Default Calculated Value]]-LCI_Table[[#This Row],[Calculated Value]]</f>
        <v>0</v>
      </c>
    </row>
    <row r="494" spans="1:29" x14ac:dyDescent="0.3">
      <c r="A4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facilities_Cellulosic_ETJ_CatalystsCatalysts</v>
      </c>
      <c r="B494" s="14" t="s">
        <v>134</v>
      </c>
      <c r="C494" s="14" t="s">
        <v>1964</v>
      </c>
      <c r="D494" s="14" t="s">
        <v>29</v>
      </c>
      <c r="E494" s="48" t="s">
        <v>29</v>
      </c>
      <c r="F494" s="14" t="s">
        <v>911</v>
      </c>
      <c r="G494" s="14" t="b">
        <f>OR(LCI_Table[[#This Row],[Feedstock]]="All",LCI_Table[[#This Row],[Feedstock]]=SelectedFeedstock)</f>
        <v>0</v>
      </c>
      <c r="H494" s="14" t="b">
        <f>OR(LCI_Table[[#This Row],[Conversion]]="All",LCI_Table[[#This Row],[Conversion]]=SelectedConversion)</f>
        <v>0</v>
      </c>
      <c r="I494" s="14" t="b">
        <f>OR(LCI_Table[[#This Row],[Data Set]]="all",LCI_Table[[#This Row],[Data Set]]=SelectedDataSet)</f>
        <v>1</v>
      </c>
      <c r="J494" s="14" t="b">
        <f>OR(LCI_Table[[#This Row],[Technology]]="All",LCI_Table[[#This Row],[Technology]]=SelectedTechnology)</f>
        <v>0</v>
      </c>
      <c r="K494" s="14" t="b">
        <f>OR(LCI_Table[[#This Row],[Data Source]]="All",LCI_Table[[#This Row],[Data Source]]=SelectedDataSource)</f>
        <v>1</v>
      </c>
      <c r="L494" s="14" t="b">
        <f>TRUE</f>
        <v>1</v>
      </c>
      <c r="M494" s="14" t="b">
        <f>(LCI_Table[[#This Row],[Dev Notes]]="Do not display")</f>
        <v>0</v>
      </c>
      <c r="N494" s="14" t="b">
        <f>AND(LCI_Table[[#This Row],[Show Feedstock]:[Conditional]],NOT(LCI_Table[[#This Row],[Hide Row]]))</f>
        <v>0</v>
      </c>
      <c r="O494" s="14" t="b">
        <f>LCI_Table[[#This Row],[GREET1 Name Range]]=""</f>
        <v>0</v>
      </c>
      <c r="P494" s="14" t="s">
        <v>1448</v>
      </c>
      <c r="Q494" s="14" t="s">
        <v>558</v>
      </c>
      <c r="R494" s="14" t="s">
        <v>142</v>
      </c>
      <c r="S494" s="37" cm="1">
        <f t="array" aca="1" ref="S4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84.971115198327823</v>
      </c>
      <c r="T494" s="346" t="s">
        <v>2127</v>
      </c>
      <c r="U494" s="347">
        <f ca="1">S494/kg2g/Allocations!$O$48*MJ2mmBTU</f>
        <v>1.0691470606945369E-4</v>
      </c>
      <c r="V494" s="347">
        <v>84.971115198327823</v>
      </c>
      <c r="W494" s="347">
        <v>1.0691470606945369E-4</v>
      </c>
      <c r="X494" s="37" t="s">
        <v>6</v>
      </c>
      <c r="Y494" s="346" t="s">
        <v>416</v>
      </c>
      <c r="Z494" s="14" t="str">
        <f>IF(ISBLANK(LCI_Table[[#This Row],[Notes for user]])," ",LCI_Table[[#This Row],[Notes for user]])</f>
        <v xml:space="preserve"> </v>
      </c>
      <c r="AA494" s="14"/>
      <c r="AB494" s="14"/>
      <c r="AC494" s="346">
        <f ca="1">LCI_Table[[#This Row],[Default Calculated Value]]-LCI_Table[[#This Row],[Calculated Value]]</f>
        <v>0</v>
      </c>
    </row>
    <row r="495" spans="1:29" x14ac:dyDescent="0.3">
      <c r="A4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facilities_Cellulosic_ETJ_Corn_steep_liquorCorn steep liquor</v>
      </c>
      <c r="B495" s="14" t="s">
        <v>134</v>
      </c>
      <c r="C495" s="14" t="s">
        <v>1964</v>
      </c>
      <c r="D495" s="14" t="s">
        <v>29</v>
      </c>
      <c r="E495" s="48" t="s">
        <v>29</v>
      </c>
      <c r="F495" s="14" t="s">
        <v>911</v>
      </c>
      <c r="G495" s="14" t="b">
        <f>OR(LCI_Table[[#This Row],[Feedstock]]="All",LCI_Table[[#This Row],[Feedstock]]=SelectedFeedstock)</f>
        <v>0</v>
      </c>
      <c r="H495" s="14" t="b">
        <f>OR(LCI_Table[[#This Row],[Conversion]]="All",LCI_Table[[#This Row],[Conversion]]=SelectedConversion)</f>
        <v>0</v>
      </c>
      <c r="I495" s="14" t="b">
        <f>OR(LCI_Table[[#This Row],[Data Set]]="all",LCI_Table[[#This Row],[Data Set]]=SelectedDataSet)</f>
        <v>1</v>
      </c>
      <c r="J495" s="14" t="b">
        <f>OR(LCI_Table[[#This Row],[Technology]]="All",LCI_Table[[#This Row],[Technology]]=SelectedTechnology)</f>
        <v>0</v>
      </c>
      <c r="K495" s="14" t="b">
        <f>OR(LCI_Table[[#This Row],[Data Source]]="All",LCI_Table[[#This Row],[Data Source]]=SelectedDataSource)</f>
        <v>1</v>
      </c>
      <c r="L495" s="14" t="b">
        <f>TRUE</f>
        <v>1</v>
      </c>
      <c r="M495" s="14" t="b">
        <f>(LCI_Table[[#This Row],[Dev Notes]]="Do not display")</f>
        <v>0</v>
      </c>
      <c r="N495" s="14" t="b">
        <f>AND(LCI_Table[[#This Row],[Show Feedstock]:[Conditional]],NOT(LCI_Table[[#This Row],[Hide Row]]))</f>
        <v>0</v>
      </c>
      <c r="O495" s="14" t="b">
        <f>LCI_Table[[#This Row],[GREET1 Name Range]]=""</f>
        <v>0</v>
      </c>
      <c r="P495" s="14" t="s">
        <v>1448</v>
      </c>
      <c r="Q495" s="14" t="s">
        <v>559</v>
      </c>
      <c r="R495" s="14" t="s">
        <v>386</v>
      </c>
      <c r="S495" s="37" cm="1">
        <f t="array" aca="1" ref="S4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2678.6132505377623</v>
      </c>
      <c r="T495" s="346" t="s">
        <v>2127</v>
      </c>
      <c r="U495" s="347">
        <f ca="1">S495/kg2g/Allocations!$O$48*MJ2mmBTU</f>
        <v>3.3703588294275401E-3</v>
      </c>
      <c r="V495" s="347">
        <v>2678.6132505377623</v>
      </c>
      <c r="W495" s="347">
        <v>3.3703588294275401E-3</v>
      </c>
      <c r="X495" s="37" t="s">
        <v>6</v>
      </c>
      <c r="Y495" s="346" t="s">
        <v>416</v>
      </c>
      <c r="Z495" s="14" t="str">
        <f>IF(ISBLANK(LCI_Table[[#This Row],[Notes for user]])," ",LCI_Table[[#This Row],[Notes for user]])</f>
        <v xml:space="preserve"> </v>
      </c>
      <c r="AA495" s="14"/>
      <c r="AB495" s="14"/>
      <c r="AC495" s="346">
        <f ca="1">LCI_Table[[#This Row],[Default Calculated Value]]-LCI_Table[[#This Row],[Calculated Value]]</f>
        <v>0</v>
      </c>
    </row>
    <row r="496" spans="1:29" x14ac:dyDescent="0.3">
      <c r="A4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facilities_Cellulosic_ETJ_DAPDAP</v>
      </c>
      <c r="B496" s="14" t="s">
        <v>134</v>
      </c>
      <c r="C496" s="14" t="s">
        <v>1964</v>
      </c>
      <c r="D496" s="14" t="s">
        <v>29</v>
      </c>
      <c r="E496" s="48" t="s">
        <v>29</v>
      </c>
      <c r="F496" s="14" t="s">
        <v>911</v>
      </c>
      <c r="G496" s="14" t="b">
        <f>OR(LCI_Table[[#This Row],[Feedstock]]="All",LCI_Table[[#This Row],[Feedstock]]=SelectedFeedstock)</f>
        <v>0</v>
      </c>
      <c r="H496" s="14" t="b">
        <f>OR(LCI_Table[[#This Row],[Conversion]]="All",LCI_Table[[#This Row],[Conversion]]=SelectedConversion)</f>
        <v>0</v>
      </c>
      <c r="I496" s="14" t="b">
        <f>OR(LCI_Table[[#This Row],[Data Set]]="all",LCI_Table[[#This Row],[Data Set]]=SelectedDataSet)</f>
        <v>1</v>
      </c>
      <c r="J496" s="14" t="b">
        <f>OR(LCI_Table[[#This Row],[Technology]]="All",LCI_Table[[#This Row],[Technology]]=SelectedTechnology)</f>
        <v>0</v>
      </c>
      <c r="K496" s="14" t="b">
        <f>OR(LCI_Table[[#This Row],[Data Source]]="All",LCI_Table[[#This Row],[Data Source]]=SelectedDataSource)</f>
        <v>1</v>
      </c>
      <c r="L496" s="14" t="b">
        <f>TRUE</f>
        <v>1</v>
      </c>
      <c r="M496" s="14" t="b">
        <f>(LCI_Table[[#This Row],[Dev Notes]]="Do not display")</f>
        <v>0</v>
      </c>
      <c r="N496" s="14" t="b">
        <f>AND(LCI_Table[[#This Row],[Show Feedstock]:[Conditional]],NOT(LCI_Table[[#This Row],[Hide Row]]))</f>
        <v>0</v>
      </c>
      <c r="O496" s="14" t="b">
        <f>LCI_Table[[#This Row],[GREET1 Name Range]]=""</f>
        <v>0</v>
      </c>
      <c r="P496" s="14" t="s">
        <v>1448</v>
      </c>
      <c r="Q496" s="14" t="s">
        <v>560</v>
      </c>
      <c r="R496" s="14" t="s">
        <v>383</v>
      </c>
      <c r="S496" s="37" cm="1">
        <f t="array" aca="1" ref="S4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287.28329424196545</v>
      </c>
      <c r="T496" s="346" t="s">
        <v>2127</v>
      </c>
      <c r="U496" s="347">
        <f ca="1">S496/kg2g/Allocations!$O$48*MJ2mmBTU</f>
        <v>3.6147353004434345E-4</v>
      </c>
      <c r="V496" s="347">
        <v>287.28329424196545</v>
      </c>
      <c r="W496" s="347">
        <v>3.6147353004434345E-4</v>
      </c>
      <c r="X496" s="37" t="s">
        <v>6</v>
      </c>
      <c r="Y496" s="346" t="s">
        <v>416</v>
      </c>
      <c r="Z496" s="14" t="str">
        <f>IF(ISBLANK(LCI_Table[[#This Row],[Notes for user]])," ",LCI_Table[[#This Row],[Notes for user]])</f>
        <v xml:space="preserve"> </v>
      </c>
      <c r="AA496" s="14"/>
      <c r="AB496" s="14"/>
      <c r="AC496" s="346">
        <f ca="1">LCI_Table[[#This Row],[Default Calculated Value]]-LCI_Table[[#This Row],[Calculated Value]]</f>
        <v>0</v>
      </c>
    </row>
    <row r="497" spans="1:29" x14ac:dyDescent="0.3">
      <c r="A4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facilities_Cellulosic_ETJ_GlucoseGlucose</v>
      </c>
      <c r="B497" s="14" t="s">
        <v>134</v>
      </c>
      <c r="C497" s="14" t="s">
        <v>1964</v>
      </c>
      <c r="D497" s="14" t="s">
        <v>29</v>
      </c>
      <c r="E497" s="48" t="s">
        <v>29</v>
      </c>
      <c r="F497" s="14" t="s">
        <v>911</v>
      </c>
      <c r="G497" s="14" t="b">
        <f>OR(LCI_Table[[#This Row],[Feedstock]]="All",LCI_Table[[#This Row],[Feedstock]]=SelectedFeedstock)</f>
        <v>0</v>
      </c>
      <c r="H497" s="14" t="b">
        <f>OR(LCI_Table[[#This Row],[Conversion]]="All",LCI_Table[[#This Row],[Conversion]]=SelectedConversion)</f>
        <v>0</v>
      </c>
      <c r="I497" s="14" t="b">
        <f>OR(LCI_Table[[#This Row],[Data Set]]="all",LCI_Table[[#This Row],[Data Set]]=SelectedDataSet)</f>
        <v>1</v>
      </c>
      <c r="J497" s="14" t="b">
        <f>OR(LCI_Table[[#This Row],[Technology]]="All",LCI_Table[[#This Row],[Technology]]=SelectedTechnology)</f>
        <v>0</v>
      </c>
      <c r="K497" s="14" t="b">
        <f>OR(LCI_Table[[#This Row],[Data Source]]="All",LCI_Table[[#This Row],[Data Source]]=SelectedDataSource)</f>
        <v>1</v>
      </c>
      <c r="L497" s="14" t="b">
        <f>TRUE</f>
        <v>1</v>
      </c>
      <c r="M497" s="14" t="b">
        <f>(LCI_Table[[#This Row],[Dev Notes]]="Do not display")</f>
        <v>0</v>
      </c>
      <c r="N497" s="14" t="b">
        <f>AND(LCI_Table[[#This Row],[Show Feedstock]:[Conditional]],NOT(LCI_Table[[#This Row],[Hide Row]]))</f>
        <v>0</v>
      </c>
      <c r="O497" s="14" t="b">
        <f>LCI_Table[[#This Row],[GREET1 Name Range]]=""</f>
        <v>0</v>
      </c>
      <c r="P497" s="14" t="s">
        <v>1448</v>
      </c>
      <c r="Q497" s="14" t="s">
        <v>563</v>
      </c>
      <c r="R497" s="14" t="s">
        <v>387</v>
      </c>
      <c r="S497" s="37" cm="1">
        <f t="array" aca="1" ref="S4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4891.908489275158</v>
      </c>
      <c r="T497" s="346" t="s">
        <v>2127</v>
      </c>
      <c r="U497" s="347">
        <f ca="1">S497/kg2g/Allocations!$O$48*MJ2mmBTU</f>
        <v>6.1552323637128334E-3</v>
      </c>
      <c r="V497" s="347">
        <v>4891.908489275158</v>
      </c>
      <c r="W497" s="347">
        <v>6.1552323637128334E-3</v>
      </c>
      <c r="X497" s="37" t="s">
        <v>6</v>
      </c>
      <c r="Y497" s="346" t="s">
        <v>416</v>
      </c>
      <c r="Z497" s="14" t="str">
        <f>IF(ISBLANK(LCI_Table[[#This Row],[Notes for user]])," ",LCI_Table[[#This Row],[Notes for user]])</f>
        <v xml:space="preserve"> </v>
      </c>
      <c r="AA497" s="14"/>
      <c r="AB497" s="14"/>
      <c r="AC497" s="346">
        <f ca="1">LCI_Table[[#This Row],[Default Calculated Value]]-LCI_Table[[#This Row],[Calculated Value]]</f>
        <v>0</v>
      </c>
    </row>
    <row r="498" spans="1:29" x14ac:dyDescent="0.3">
      <c r="A4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facilities_Cellulosic_ETJ_Host_nutrientsHost nutrients</v>
      </c>
      <c r="B498" s="14" t="s">
        <v>134</v>
      </c>
      <c r="C498" s="14" t="s">
        <v>1964</v>
      </c>
      <c r="D498" s="14" t="s">
        <v>29</v>
      </c>
      <c r="E498" s="48" t="s">
        <v>29</v>
      </c>
      <c r="F498" s="14" t="s">
        <v>911</v>
      </c>
      <c r="G498" s="14" t="b">
        <f>OR(LCI_Table[[#This Row],[Feedstock]]="All",LCI_Table[[#This Row],[Feedstock]]=SelectedFeedstock)</f>
        <v>0</v>
      </c>
      <c r="H498" s="14" t="b">
        <f>OR(LCI_Table[[#This Row],[Conversion]]="All",LCI_Table[[#This Row],[Conversion]]=SelectedConversion)</f>
        <v>0</v>
      </c>
      <c r="I498" s="14" t="b">
        <f>OR(LCI_Table[[#This Row],[Data Set]]="all",LCI_Table[[#This Row],[Data Set]]=SelectedDataSet)</f>
        <v>1</v>
      </c>
      <c r="J498" s="14" t="b">
        <f>OR(LCI_Table[[#This Row],[Technology]]="All",LCI_Table[[#This Row],[Technology]]=SelectedTechnology)</f>
        <v>0</v>
      </c>
      <c r="K498" s="14" t="b">
        <f>OR(LCI_Table[[#This Row],[Data Source]]="All",LCI_Table[[#This Row],[Data Source]]=SelectedDataSource)</f>
        <v>1</v>
      </c>
      <c r="L498" s="14" t="b">
        <f>TRUE</f>
        <v>1</v>
      </c>
      <c r="M498" s="14" t="b">
        <f>(LCI_Table[[#This Row],[Dev Notes]]="Do not display")</f>
        <v>0</v>
      </c>
      <c r="N498" s="14" t="b">
        <f>AND(LCI_Table[[#This Row],[Show Feedstock]:[Conditional]],NOT(LCI_Table[[#This Row],[Hide Row]]))</f>
        <v>0</v>
      </c>
      <c r="O498" s="14" t="b">
        <f>LCI_Table[[#This Row],[GREET1 Name Range]]=""</f>
        <v>0</v>
      </c>
      <c r="P498" s="14" t="s">
        <v>1448</v>
      </c>
      <c r="Q498" s="14" t="s">
        <v>564</v>
      </c>
      <c r="R498" s="14" t="s">
        <v>388</v>
      </c>
      <c r="S498" s="37" cm="1">
        <f t="array" aca="1" ref="S4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135.54915995923719</v>
      </c>
      <c r="T498" s="346" t="s">
        <v>2127</v>
      </c>
      <c r="U498" s="347">
        <f ca="1">S498/kg2g/Allocations!$O$48*MJ2mmBTU</f>
        <v>1.7055441206317607E-4</v>
      </c>
      <c r="V498" s="347">
        <v>135.54915995923719</v>
      </c>
      <c r="W498" s="347">
        <v>1.7055441206317607E-4</v>
      </c>
      <c r="X498" s="37" t="s">
        <v>6</v>
      </c>
      <c r="Y498" s="346" t="s">
        <v>416</v>
      </c>
      <c r="Z498" s="14" t="str">
        <f>IF(ISBLANK(LCI_Table[[#This Row],[Notes for user]])," ",LCI_Table[[#This Row],[Notes for user]])</f>
        <v xml:space="preserve"> </v>
      </c>
      <c r="AA498" s="14"/>
      <c r="AB498" s="14"/>
      <c r="AC498" s="346">
        <f ca="1">LCI_Table[[#This Row],[Default Calculated Value]]-LCI_Table[[#This Row],[Calculated Value]]</f>
        <v>0</v>
      </c>
    </row>
    <row r="499" spans="1:29" x14ac:dyDescent="0.3">
      <c r="A4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facilities_Cellulosic_ETJ_LimeLime</v>
      </c>
      <c r="B499" s="14" t="s">
        <v>134</v>
      </c>
      <c r="C499" s="14" t="s">
        <v>1964</v>
      </c>
      <c r="D499" s="14" t="s">
        <v>29</v>
      </c>
      <c r="E499" s="48" t="s">
        <v>29</v>
      </c>
      <c r="F499" s="14" t="s">
        <v>911</v>
      </c>
      <c r="G499" s="14" t="b">
        <f>OR(LCI_Table[[#This Row],[Feedstock]]="All",LCI_Table[[#This Row],[Feedstock]]=SelectedFeedstock)</f>
        <v>0</v>
      </c>
      <c r="H499" s="14" t="b">
        <f>OR(LCI_Table[[#This Row],[Conversion]]="All",LCI_Table[[#This Row],[Conversion]]=SelectedConversion)</f>
        <v>0</v>
      </c>
      <c r="I499" s="14" t="b">
        <f>OR(LCI_Table[[#This Row],[Data Set]]="all",LCI_Table[[#This Row],[Data Set]]=SelectedDataSet)</f>
        <v>1</v>
      </c>
      <c r="J499" s="14" t="b">
        <f>OR(LCI_Table[[#This Row],[Technology]]="All",LCI_Table[[#This Row],[Technology]]=SelectedTechnology)</f>
        <v>0</v>
      </c>
      <c r="K499" s="14" t="b">
        <f>OR(LCI_Table[[#This Row],[Data Source]]="All",LCI_Table[[#This Row],[Data Source]]=SelectedDataSource)</f>
        <v>1</v>
      </c>
      <c r="L499" s="14" t="b">
        <f>TRUE</f>
        <v>1</v>
      </c>
      <c r="M499" s="14" t="b">
        <f>(LCI_Table[[#This Row],[Dev Notes]]="Do not display")</f>
        <v>0</v>
      </c>
      <c r="N499" s="14" t="b">
        <f>AND(LCI_Table[[#This Row],[Show Feedstock]:[Conditional]],NOT(LCI_Table[[#This Row],[Hide Row]]))</f>
        <v>0</v>
      </c>
      <c r="O499" s="14" t="b">
        <f>LCI_Table[[#This Row],[GREET1 Name Range]]=""</f>
        <v>0</v>
      </c>
      <c r="P499" s="14" t="s">
        <v>1448</v>
      </c>
      <c r="Q499" s="14" t="s">
        <v>566</v>
      </c>
      <c r="R499" s="14" t="s">
        <v>143</v>
      </c>
      <c r="S499" s="37" cm="1">
        <f t="array" aca="1" ref="S4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1790.4627845361929</v>
      </c>
      <c r="T499" s="346" t="s">
        <v>2127</v>
      </c>
      <c r="U499" s="347">
        <f ca="1">S499/kg2g/Allocations!$O$48*MJ2mmBTU</f>
        <v>2.2528455921777737E-3</v>
      </c>
      <c r="V499" s="347">
        <v>1790.4627845361929</v>
      </c>
      <c r="W499" s="347">
        <v>2.2528455921777737E-3</v>
      </c>
      <c r="X499" s="14" t="s">
        <v>6</v>
      </c>
      <c r="Y499" s="346" t="s">
        <v>416</v>
      </c>
      <c r="Z499" s="14" t="str">
        <f>IF(ISBLANK(LCI_Table[[#This Row],[Notes for user]])," ",LCI_Table[[#This Row],[Notes for user]])</f>
        <v xml:space="preserve"> </v>
      </c>
      <c r="AA499" s="14"/>
      <c r="AB499" s="14"/>
      <c r="AC499" s="346">
        <f ca="1">LCI_Table[[#This Row],[Default Calculated Value]]-LCI_Table[[#This Row],[Calculated Value]]</f>
        <v>0</v>
      </c>
    </row>
    <row r="500" spans="1:29" x14ac:dyDescent="0.3">
      <c r="A5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facilities_Cellulosic_ETJ_Sulfuric_acidSulfuric acid</v>
      </c>
      <c r="B500" s="14" t="s">
        <v>134</v>
      </c>
      <c r="C500" s="14" t="s">
        <v>1964</v>
      </c>
      <c r="D500" s="14" t="s">
        <v>29</v>
      </c>
      <c r="E500" s="48" t="s">
        <v>29</v>
      </c>
      <c r="F500" s="14" t="s">
        <v>911</v>
      </c>
      <c r="G500" s="14" t="b">
        <f>OR(LCI_Table[[#This Row],[Feedstock]]="All",LCI_Table[[#This Row],[Feedstock]]=SelectedFeedstock)</f>
        <v>0</v>
      </c>
      <c r="H500" s="14" t="b">
        <f>OR(LCI_Table[[#This Row],[Conversion]]="All",LCI_Table[[#This Row],[Conversion]]=SelectedConversion)</f>
        <v>0</v>
      </c>
      <c r="I500" s="14" t="b">
        <f>OR(LCI_Table[[#This Row],[Data Set]]="all",LCI_Table[[#This Row],[Data Set]]=SelectedDataSet)</f>
        <v>1</v>
      </c>
      <c r="J500" s="14" t="b">
        <f>OR(LCI_Table[[#This Row],[Technology]]="All",LCI_Table[[#This Row],[Technology]]=SelectedTechnology)</f>
        <v>0</v>
      </c>
      <c r="K500" s="14" t="b">
        <f>OR(LCI_Table[[#This Row],[Data Source]]="All",LCI_Table[[#This Row],[Data Source]]=SelectedDataSource)</f>
        <v>1</v>
      </c>
      <c r="L500" s="14" t="b">
        <f>TRUE</f>
        <v>1</v>
      </c>
      <c r="M500" s="14" t="b">
        <f>(LCI_Table[[#This Row],[Dev Notes]]="Do not display")</f>
        <v>0</v>
      </c>
      <c r="N500" s="14" t="b">
        <f>AND(LCI_Table[[#This Row],[Show Feedstock]:[Conditional]],NOT(LCI_Table[[#This Row],[Hide Row]]))</f>
        <v>0</v>
      </c>
      <c r="O500" s="14" t="b">
        <f>LCI_Table[[#This Row],[GREET1 Name Range]]=""</f>
        <v>0</v>
      </c>
      <c r="P500" s="14" t="s">
        <v>1448</v>
      </c>
      <c r="Q500" s="14" t="s">
        <v>567</v>
      </c>
      <c r="R500" s="14" t="s">
        <v>384</v>
      </c>
      <c r="S500" s="37" cm="1">
        <f t="array" aca="1" ref="S5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4007.8042668544622</v>
      </c>
      <c r="T500" s="346" t="s">
        <v>2127</v>
      </c>
      <c r="U500" s="347">
        <f ca="1">S500/kg2g/Allocations!$O$48*MJ2mmBTU</f>
        <v>5.042810302942566E-3</v>
      </c>
      <c r="V500" s="347">
        <v>4007.8042668544622</v>
      </c>
      <c r="W500" s="347">
        <v>5.042810302942566E-3</v>
      </c>
      <c r="X500" s="37" t="s">
        <v>6</v>
      </c>
      <c r="Y500" s="346" t="s">
        <v>416</v>
      </c>
      <c r="Z500" s="14" t="str">
        <f>IF(ISBLANK(LCI_Table[[#This Row],[Notes for user]])," ",LCI_Table[[#This Row],[Notes for user]])</f>
        <v xml:space="preserve"> </v>
      </c>
      <c r="AA500" s="14"/>
      <c r="AB500" s="14"/>
      <c r="AC500" s="346">
        <f ca="1">LCI_Table[[#This Row],[Default Calculated Value]]-LCI_Table[[#This Row],[Calculated Value]]</f>
        <v>0</v>
      </c>
    </row>
    <row r="501" spans="1:29" x14ac:dyDescent="0.3">
      <c r="A5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facilities_Cellulosic_ETJ_UreaUrea</v>
      </c>
      <c r="B501" s="14" t="s">
        <v>134</v>
      </c>
      <c r="C501" s="14" t="s">
        <v>1964</v>
      </c>
      <c r="D501" s="14" t="s">
        <v>29</v>
      </c>
      <c r="E501" s="48" t="s">
        <v>29</v>
      </c>
      <c r="F501" s="14" t="s">
        <v>911</v>
      </c>
      <c r="G501" s="14" t="b">
        <f>OR(LCI_Table[[#This Row],[Feedstock]]="All",LCI_Table[[#This Row],[Feedstock]]=SelectedFeedstock)</f>
        <v>0</v>
      </c>
      <c r="H501" s="14" t="b">
        <f>OR(LCI_Table[[#This Row],[Conversion]]="All",LCI_Table[[#This Row],[Conversion]]=SelectedConversion)</f>
        <v>0</v>
      </c>
      <c r="I501" s="14" t="b">
        <f>OR(LCI_Table[[#This Row],[Data Set]]="all",LCI_Table[[#This Row],[Data Set]]=SelectedDataSet)</f>
        <v>1</v>
      </c>
      <c r="J501" s="14" t="b">
        <f>OR(LCI_Table[[#This Row],[Technology]]="All",LCI_Table[[#This Row],[Technology]]=SelectedTechnology)</f>
        <v>0</v>
      </c>
      <c r="K501" s="14" t="b">
        <f>OR(LCI_Table[[#This Row],[Data Source]]="All",LCI_Table[[#This Row],[Data Source]]=SelectedDataSource)</f>
        <v>1</v>
      </c>
      <c r="L501" s="14" t="b">
        <f>TRUE</f>
        <v>1</v>
      </c>
      <c r="M501" s="14" t="b">
        <f>(LCI_Table[[#This Row],[Dev Notes]]="Do not display")</f>
        <v>0</v>
      </c>
      <c r="N501" s="14" t="b">
        <f>AND(LCI_Table[[#This Row],[Show Feedstock]:[Conditional]],NOT(LCI_Table[[#This Row],[Hide Row]]))</f>
        <v>0</v>
      </c>
      <c r="O501" s="14" t="b">
        <f>LCI_Table[[#This Row],[GREET1 Name Range]]=""</f>
        <v>0</v>
      </c>
      <c r="P501" s="14" t="s">
        <v>1448</v>
      </c>
      <c r="Q501" s="14" t="s">
        <v>568</v>
      </c>
      <c r="R501" s="14" t="s">
        <v>144</v>
      </c>
      <c r="S501" s="37" cm="1">
        <f t="array" aca="1" ref="S5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232.6590059001833</v>
      </c>
      <c r="T501" s="346" t="s">
        <v>2127</v>
      </c>
      <c r="U501" s="347">
        <f ca="1">S501/kg2g/Allocations!$O$48*MJ2mmBTU</f>
        <v>2.9274264757112316E-4</v>
      </c>
      <c r="V501" s="347">
        <v>232.6590059001833</v>
      </c>
      <c r="W501" s="347">
        <v>2.9274264757112316E-4</v>
      </c>
      <c r="X501" s="37" t="s">
        <v>6</v>
      </c>
      <c r="Y501" s="346" t="s">
        <v>416</v>
      </c>
      <c r="Z501" s="14" t="str">
        <f>IF(ISBLANK(LCI_Table[[#This Row],[Notes for user]])," ",LCI_Table[[#This Row],[Notes for user]])</f>
        <v xml:space="preserve"> </v>
      </c>
      <c r="AA501" s="14"/>
      <c r="AB501" s="14"/>
      <c r="AC501" s="346">
        <f ca="1">LCI_Table[[#This Row],[Default Calculated Value]]-LCI_Table[[#This Row],[Calculated Value]]</f>
        <v>0</v>
      </c>
    </row>
    <row r="502" spans="1:29" x14ac:dyDescent="0.3">
      <c r="A5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facilities_Cellulosic_ETJ_NaOHNaOH</v>
      </c>
      <c r="B502" s="14" t="s">
        <v>134</v>
      </c>
      <c r="C502" s="14" t="s">
        <v>1964</v>
      </c>
      <c r="D502" s="14" t="s">
        <v>29</v>
      </c>
      <c r="E502" s="48" t="s">
        <v>29</v>
      </c>
      <c r="F502" s="14" t="s">
        <v>911</v>
      </c>
      <c r="G502" s="14" t="b">
        <f>OR(LCI_Table[[#This Row],[Feedstock]]="All",LCI_Table[[#This Row],[Feedstock]]=SelectedFeedstock)</f>
        <v>0</v>
      </c>
      <c r="H502" s="14" t="b">
        <f>OR(LCI_Table[[#This Row],[Conversion]]="All",LCI_Table[[#This Row],[Conversion]]=SelectedConversion)</f>
        <v>0</v>
      </c>
      <c r="I502" s="14" t="b">
        <f>OR(LCI_Table[[#This Row],[Data Set]]="all",LCI_Table[[#This Row],[Data Set]]=SelectedDataSet)</f>
        <v>1</v>
      </c>
      <c r="J502" s="14" t="b">
        <f>OR(LCI_Table[[#This Row],[Technology]]="All",LCI_Table[[#This Row],[Technology]]=SelectedTechnology)</f>
        <v>0</v>
      </c>
      <c r="K502" s="14" t="b">
        <f>OR(LCI_Table[[#This Row],[Data Source]]="All",LCI_Table[[#This Row],[Data Source]]=SelectedDataSource)</f>
        <v>1</v>
      </c>
      <c r="L502" s="14" t="b">
        <f>TRUE</f>
        <v>1</v>
      </c>
      <c r="M502" s="14" t="b">
        <f>(LCI_Table[[#This Row],[Dev Notes]]="Do not display")</f>
        <v>0</v>
      </c>
      <c r="N502" s="14" t="b">
        <f>AND(LCI_Table[[#This Row],[Show Feedstock]:[Conditional]],NOT(LCI_Table[[#This Row],[Hide Row]]))</f>
        <v>0</v>
      </c>
      <c r="O502" s="14" t="b">
        <f>LCI_Table[[#This Row],[GREET1 Name Range]]=""</f>
        <v>0</v>
      </c>
      <c r="P502" s="14" t="s">
        <v>1448</v>
      </c>
      <c r="Q502" s="14" t="s">
        <v>1401</v>
      </c>
      <c r="R502" s="14" t="s">
        <v>403</v>
      </c>
      <c r="S502" s="37" cm="1">
        <f t="array" aca="1" ref="S5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02" s="346" t="s">
        <v>2127</v>
      </c>
      <c r="U502" s="347">
        <f ca="1">S502/kg2g/Allocations!$O$48*MJ2mmBTU</f>
        <v>0</v>
      </c>
      <c r="V502" s="347">
        <v>0</v>
      </c>
      <c r="W502" s="347">
        <v>0</v>
      </c>
      <c r="X502" s="37" t="s">
        <v>6</v>
      </c>
      <c r="Y502" s="346" t="s">
        <v>416</v>
      </c>
      <c r="Z502" s="14" t="str">
        <f>IF(ISBLANK(LCI_Table[[#This Row],[Notes for user]])," ",LCI_Table[[#This Row],[Notes for user]])</f>
        <v xml:space="preserve"> </v>
      </c>
      <c r="AA502" s="14"/>
      <c r="AB502" s="14"/>
      <c r="AC502" s="346">
        <f ca="1">LCI_Table[[#This Row],[Default Calculated Value]]-LCI_Table[[#This Row],[Calculated Value]]</f>
        <v>0</v>
      </c>
    </row>
    <row r="503" spans="1:29" x14ac:dyDescent="0.3">
      <c r="A5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facilities_Cellulosic_ETJ_WaterWater</v>
      </c>
      <c r="B503" s="14" t="s">
        <v>134</v>
      </c>
      <c r="C503" s="14" t="s">
        <v>1964</v>
      </c>
      <c r="D503" s="14" t="s">
        <v>29</v>
      </c>
      <c r="E503" s="48" t="s">
        <v>29</v>
      </c>
      <c r="F503" s="14" t="s">
        <v>911</v>
      </c>
      <c r="G503" s="14" t="b">
        <f>OR(LCI_Table[[#This Row],[Feedstock]]="All",LCI_Table[[#This Row],[Feedstock]]=SelectedFeedstock)</f>
        <v>0</v>
      </c>
      <c r="H503" s="14" t="b">
        <f>OR(LCI_Table[[#This Row],[Conversion]]="All",LCI_Table[[#This Row],[Conversion]]=SelectedConversion)</f>
        <v>0</v>
      </c>
      <c r="I503" s="14" t="b">
        <f>OR(LCI_Table[[#This Row],[Data Set]]="all",LCI_Table[[#This Row],[Data Set]]=SelectedDataSet)</f>
        <v>1</v>
      </c>
      <c r="J503" s="14" t="b">
        <f>OR(LCI_Table[[#This Row],[Technology]]="All",LCI_Table[[#This Row],[Technology]]=SelectedTechnology)</f>
        <v>0</v>
      </c>
      <c r="K503" s="14" t="b">
        <f>OR(LCI_Table[[#This Row],[Data Source]]="All",LCI_Table[[#This Row],[Data Source]]=SelectedDataSource)</f>
        <v>1</v>
      </c>
      <c r="L503" s="14" t="b">
        <f>TRUE</f>
        <v>1</v>
      </c>
      <c r="M503" s="14" t="b">
        <f>(LCI_Table[[#This Row],[Dev Notes]]="Do not display")</f>
        <v>0</v>
      </c>
      <c r="N503" s="14" t="b">
        <f>AND(LCI_Table[[#This Row],[Show Feedstock]:[Conditional]],NOT(LCI_Table[[#This Row],[Hide Row]]))</f>
        <v>0</v>
      </c>
      <c r="O503" s="14" t="b">
        <f>LCI_Table[[#This Row],[GREET1 Name Range]]=""</f>
        <v>0</v>
      </c>
      <c r="P503" s="14" t="s">
        <v>1448</v>
      </c>
      <c r="Q503" s="14" t="s">
        <v>569</v>
      </c>
      <c r="R503" s="14" t="s">
        <v>146</v>
      </c>
      <c r="S503" s="37" cm="1">
        <f t="array" aca="1" ref="S5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79.956230854903993</v>
      </c>
      <c r="T503" s="346" t="s">
        <v>2128</v>
      </c>
      <c r="U503" s="347">
        <f ca="1">S503/kg2lb*Fuel_Specs!$K$4/Allocations!$O$48*MJ2mmBTU</f>
        <v>0.37970757860566479</v>
      </c>
      <c r="V503" s="347">
        <v>79.956230854903993</v>
      </c>
      <c r="W503" s="347">
        <v>0.37970757860566479</v>
      </c>
      <c r="X503" s="37" t="s">
        <v>5</v>
      </c>
      <c r="Y503" s="346" t="s">
        <v>416</v>
      </c>
      <c r="Z503" s="14" t="str">
        <f>IF(ISBLANK(LCI_Table[[#This Row],[Notes for user]])," ",LCI_Table[[#This Row],[Notes for user]])</f>
        <v xml:space="preserve"> </v>
      </c>
      <c r="AA503" s="14"/>
      <c r="AB503" s="14"/>
      <c r="AC503" s="346">
        <f ca="1">LCI_Table[[#This Row],[Default Calculated Value]]-LCI_Table[[#This Row],[Calculated Value]]</f>
        <v>0</v>
      </c>
    </row>
    <row r="504" spans="1:29" x14ac:dyDescent="0.3">
      <c r="A5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MiscanthusATJ-ethanolGREETGREETCo-located facilities_Cellulosic_ETJ_Electricity_co_producedElectricity (co-produced)</v>
      </c>
      <c r="B504" s="14" t="s">
        <v>134</v>
      </c>
      <c r="C504" s="14" t="s">
        <v>1964</v>
      </c>
      <c r="D504" s="14" t="s">
        <v>29</v>
      </c>
      <c r="E504" s="48" t="s">
        <v>29</v>
      </c>
      <c r="F504" s="14" t="s">
        <v>911</v>
      </c>
      <c r="G504" s="14" t="b">
        <f>OR(LCI_Table[[#This Row],[Feedstock]]="All",LCI_Table[[#This Row],[Feedstock]]=SelectedFeedstock)</f>
        <v>0</v>
      </c>
      <c r="H504" s="14" t="b">
        <f>OR(LCI_Table[[#This Row],[Conversion]]="All",LCI_Table[[#This Row],[Conversion]]=SelectedConversion)</f>
        <v>0</v>
      </c>
      <c r="I504" s="14" t="b">
        <f>OR(LCI_Table[[#This Row],[Data Set]]="all",LCI_Table[[#This Row],[Data Set]]=SelectedDataSet)</f>
        <v>1</v>
      </c>
      <c r="J504" s="14" t="b">
        <f>OR(LCI_Table[[#This Row],[Technology]]="All",LCI_Table[[#This Row],[Technology]]=SelectedTechnology)</f>
        <v>0</v>
      </c>
      <c r="K504" s="14" t="b">
        <f>OR(LCI_Table[[#This Row],[Data Source]]="All",LCI_Table[[#This Row],[Data Source]]=SelectedDataSource)</f>
        <v>1</v>
      </c>
      <c r="L504" s="14" t="b">
        <f>TRUE</f>
        <v>1</v>
      </c>
      <c r="M504" s="14" t="b">
        <f>(LCI_Table[[#This Row],[Dev Notes]]="Do not display")</f>
        <v>0</v>
      </c>
      <c r="N504" s="14" t="b">
        <f>AND(LCI_Table[[#This Row],[Show Feedstock]:[Conditional]],NOT(LCI_Table[[#This Row],[Hide Row]]))</f>
        <v>0</v>
      </c>
      <c r="O504" s="14" t="b">
        <f>LCI_Table[[#This Row],[GREET1 Name Range]]=""</f>
        <v>0</v>
      </c>
      <c r="P504" s="14" t="s">
        <v>1448</v>
      </c>
      <c r="Q504" s="14" t="s">
        <v>561</v>
      </c>
      <c r="R504" s="14" t="s">
        <v>439</v>
      </c>
      <c r="S504" s="37" cm="1">
        <f t="array" aca="1" ref="S5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25.473126463384443</v>
      </c>
      <c r="T504" s="346" t="s">
        <v>2121</v>
      </c>
      <c r="U504" s="347">
        <f ca="1">S504/Allocations!$O$48*MJ2mmBTU</f>
        <v>3.2051501526678398E-2</v>
      </c>
      <c r="V504" s="347">
        <v>25.473126463384443</v>
      </c>
      <c r="W504" s="347">
        <v>3.2051501526678398E-2</v>
      </c>
      <c r="X504" s="37" t="s">
        <v>51</v>
      </c>
      <c r="Y504" s="346" t="s">
        <v>416</v>
      </c>
      <c r="Z504" s="14" t="str">
        <f>IF(ISBLANK(LCI_Table[[#This Row],[Notes for user]])," ",LCI_Table[[#This Row],[Notes for user]])</f>
        <v xml:space="preserve"> </v>
      </c>
      <c r="AA504" s="14"/>
      <c r="AB504" s="14"/>
      <c r="AC504" s="346">
        <f ca="1">LCI_Table[[#This Row],[Default Calculated Value]]-LCI_Table[[#This Row],[Calculated Value]]</f>
        <v>0</v>
      </c>
    </row>
    <row r="505" spans="1:29" x14ac:dyDescent="0.3">
      <c r="A5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residueATJ-ethanolGREETGREETCo-located facilities_Cellulosic_ETJ_DieselYield</v>
      </c>
      <c r="B505" s="48" t="s">
        <v>316</v>
      </c>
      <c r="C505" s="48" t="s">
        <v>1964</v>
      </c>
      <c r="D505" s="48" t="s">
        <v>29</v>
      </c>
      <c r="E505" s="48" t="s">
        <v>29</v>
      </c>
      <c r="F505" s="48" t="s">
        <v>911</v>
      </c>
      <c r="G505" s="14" t="b">
        <f>OR(LCI_Table[[#This Row],[Feedstock]]="All",LCI_Table[[#This Row],[Feedstock]]=SelectedFeedstock)</f>
        <v>0</v>
      </c>
      <c r="H505" s="14" t="b">
        <f>OR(LCI_Table[[#This Row],[Conversion]]="All",LCI_Table[[#This Row],[Conversion]]=SelectedConversion)</f>
        <v>0</v>
      </c>
      <c r="I505" s="14" t="b">
        <f>OR(LCI_Table[[#This Row],[Data Set]]="all",LCI_Table[[#This Row],[Data Set]]=SelectedDataSet)</f>
        <v>1</v>
      </c>
      <c r="J505" s="14" t="b">
        <f>OR(LCI_Table[[#This Row],[Technology]]="All",LCI_Table[[#This Row],[Technology]]=SelectedTechnology)</f>
        <v>0</v>
      </c>
      <c r="K505" s="14" t="b">
        <f>OR(LCI_Table[[#This Row],[Data Source]]="All",LCI_Table[[#This Row],[Data Source]]=SelectedDataSource)</f>
        <v>1</v>
      </c>
      <c r="L505" s="14" t="b">
        <f>TRUE</f>
        <v>1</v>
      </c>
      <c r="M505" s="14" t="b">
        <f>(LCI_Table[[#This Row],[Dev Notes]]="Do not display")</f>
        <v>0</v>
      </c>
      <c r="N505" s="14" t="b">
        <f>AND(LCI_Table[[#This Row],[Show Feedstock]:[Conditional]],NOT(LCI_Table[[#This Row],[Hide Row]]))</f>
        <v>0</v>
      </c>
      <c r="O505" s="14" t="b">
        <f>LCI_Table[[#This Row],[GREET1 Name Range]]=""</f>
        <v>0</v>
      </c>
      <c r="P505" s="48" t="s">
        <v>147</v>
      </c>
      <c r="Q505" s="14" t="s">
        <v>945</v>
      </c>
      <c r="R505" s="48" t="s">
        <v>200</v>
      </c>
      <c r="S505" s="37" cm="1">
        <f t="array" aca="1" ref="S5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0.22304512472924265</v>
      </c>
      <c r="T505" s="346" t="s">
        <v>2116</v>
      </c>
      <c r="U505" s="344"/>
      <c r="V505" s="344">
        <v>0.22304512472924265</v>
      </c>
      <c r="W505" s="344"/>
      <c r="X505" s="48" t="s">
        <v>55</v>
      </c>
      <c r="Y505" s="346" t="s">
        <v>413</v>
      </c>
      <c r="Z505" s="14" t="str">
        <f>IF(ISBLANK(LCI_Table[[#This Row],[Notes for user]])," ",LCI_Table[[#This Row],[Notes for user]])</f>
        <v>Default value from CORSIA</v>
      </c>
      <c r="AA505" s="48" t="s">
        <v>1151</v>
      </c>
      <c r="AB505" s="345" t="s">
        <v>920</v>
      </c>
      <c r="AC505" s="346">
        <f>LCI_Table[[#This Row],[Default Calculated Value]]-LCI_Table[[#This Row],[Calculated Value]]</f>
        <v>0</v>
      </c>
    </row>
    <row r="506" spans="1:29" x14ac:dyDescent="0.3">
      <c r="A5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residueATJ-ethanolGREETGREETCo-located facilities_Cellulosic_ETJ_HydrogenResidual oil</v>
      </c>
      <c r="B506" s="14" t="s">
        <v>316</v>
      </c>
      <c r="C506" s="14" t="s">
        <v>1964</v>
      </c>
      <c r="D506" s="14" t="s">
        <v>29</v>
      </c>
      <c r="E506" s="48" t="s">
        <v>29</v>
      </c>
      <c r="F506" s="14" t="s">
        <v>911</v>
      </c>
      <c r="G506" s="14" t="b">
        <f>OR(LCI_Table[[#This Row],[Feedstock]]="All",LCI_Table[[#This Row],[Feedstock]]=SelectedFeedstock)</f>
        <v>0</v>
      </c>
      <c r="H506" s="14" t="b">
        <f>OR(LCI_Table[[#This Row],[Conversion]]="All",LCI_Table[[#This Row],[Conversion]]=SelectedConversion)</f>
        <v>0</v>
      </c>
      <c r="I506" s="14" t="b">
        <f>OR(LCI_Table[[#This Row],[Data Set]]="all",LCI_Table[[#This Row],[Data Set]]=SelectedDataSet)</f>
        <v>1</v>
      </c>
      <c r="J506" s="14" t="b">
        <f>OR(LCI_Table[[#This Row],[Technology]]="All",LCI_Table[[#This Row],[Technology]]=SelectedTechnology)</f>
        <v>0</v>
      </c>
      <c r="K506" s="14" t="b">
        <f>OR(LCI_Table[[#This Row],[Data Source]]="All",LCI_Table[[#This Row],[Data Source]]=SelectedDataSource)</f>
        <v>1</v>
      </c>
      <c r="L506" s="14" t="b">
        <f>TRUE</f>
        <v>1</v>
      </c>
      <c r="M506" s="14" t="b">
        <f>(LCI_Table[[#This Row],[Dev Notes]]="Do not display")</f>
        <v>0</v>
      </c>
      <c r="N506" s="14" t="b">
        <f>AND(LCI_Table[[#This Row],[Show Feedstock]:[Conditional]],NOT(LCI_Table[[#This Row],[Hide Row]]))</f>
        <v>0</v>
      </c>
      <c r="O506" s="14" t="b">
        <f>LCI_Table[[#This Row],[GREET1 Name Range]]=""</f>
        <v>0</v>
      </c>
      <c r="P506" s="14" t="s">
        <v>147</v>
      </c>
      <c r="Q506" s="14" t="s">
        <v>565</v>
      </c>
      <c r="R506" s="14" t="s">
        <v>115</v>
      </c>
      <c r="S506" s="37" cm="1">
        <f t="array" aca="1" ref="S5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06" s="346" t="s">
        <v>1484</v>
      </c>
      <c r="U506" s="347">
        <f ca="1">S506*Fuel_Specs!$B$28/S505</f>
        <v>0</v>
      </c>
      <c r="V506" s="347">
        <v>0</v>
      </c>
      <c r="W506" s="347">
        <v>0</v>
      </c>
      <c r="X506" s="37" t="s">
        <v>5</v>
      </c>
      <c r="Y506" s="346" t="s">
        <v>413</v>
      </c>
      <c r="Z506" s="14" t="str">
        <f>IF(ISBLANK(LCI_Table[[#This Row],[Notes for user]])," ",LCI_Table[[#This Row],[Notes for user]])</f>
        <v xml:space="preserve"> </v>
      </c>
      <c r="AA506" s="14"/>
      <c r="AB506" s="14"/>
      <c r="AC506" s="346">
        <f ca="1">LCI_Table[[#This Row],[Default Calculated Value]]-LCI_Table[[#This Row],[Calculated Value]]</f>
        <v>0</v>
      </c>
    </row>
    <row r="507" spans="1:29" x14ac:dyDescent="0.3">
      <c r="A5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residueATJ-ethanolGREETGREETCo-located facilities_Cellulosic_ETJ_Natural_gasDiesel</v>
      </c>
      <c r="B507" s="14" t="s">
        <v>316</v>
      </c>
      <c r="C507" s="14" t="s">
        <v>1964</v>
      </c>
      <c r="D507" s="14" t="s">
        <v>29</v>
      </c>
      <c r="E507" s="48" t="s">
        <v>29</v>
      </c>
      <c r="F507" s="14" t="s">
        <v>911</v>
      </c>
      <c r="G507" s="14" t="b">
        <f>OR(LCI_Table[[#This Row],[Feedstock]]="All",LCI_Table[[#This Row],[Feedstock]]=SelectedFeedstock)</f>
        <v>0</v>
      </c>
      <c r="H507" s="14" t="b">
        <f>OR(LCI_Table[[#This Row],[Conversion]]="All",LCI_Table[[#This Row],[Conversion]]=SelectedConversion)</f>
        <v>0</v>
      </c>
      <c r="I507" s="14" t="b">
        <f>OR(LCI_Table[[#This Row],[Data Set]]="all",LCI_Table[[#This Row],[Data Set]]=SelectedDataSet)</f>
        <v>1</v>
      </c>
      <c r="J507" s="14" t="b">
        <f>OR(LCI_Table[[#This Row],[Technology]]="All",LCI_Table[[#This Row],[Technology]]=SelectedTechnology)</f>
        <v>0</v>
      </c>
      <c r="K507" s="14" t="b">
        <f>OR(LCI_Table[[#This Row],[Data Source]]="All",LCI_Table[[#This Row],[Data Source]]=SelectedDataSource)</f>
        <v>1</v>
      </c>
      <c r="L507" s="14" t="b">
        <f>TRUE</f>
        <v>1</v>
      </c>
      <c r="M507" s="14" t="b">
        <f>(LCI_Table[[#This Row],[Dev Notes]]="Do not display")</f>
        <v>0</v>
      </c>
      <c r="N507" s="14" t="b">
        <f>AND(LCI_Table[[#This Row],[Show Feedstock]:[Conditional]],NOT(LCI_Table[[#This Row],[Hide Row]]))</f>
        <v>0</v>
      </c>
      <c r="O507" s="14" t="b">
        <f>LCI_Table[[#This Row],[GREET1 Name Range]]=""</f>
        <v>0</v>
      </c>
      <c r="P507" s="14" t="s">
        <v>147</v>
      </c>
      <c r="Q507" s="14" t="s">
        <v>946</v>
      </c>
      <c r="R507" s="14" t="s">
        <v>106</v>
      </c>
      <c r="S507" s="37" cm="1">
        <f t="array" aca="1" ref="S5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0.22952116048383753</v>
      </c>
      <c r="T507" s="346" t="s">
        <v>1484</v>
      </c>
      <c r="U507" s="347">
        <f ca="1">S507*Fuel_Specs!$B$19/S505</f>
        <v>132179.5</v>
      </c>
      <c r="V507" s="347">
        <v>0.22952116048383753</v>
      </c>
      <c r="W507" s="347">
        <v>132179.5</v>
      </c>
      <c r="X507" s="37" t="s">
        <v>5</v>
      </c>
      <c r="Y507" s="346" t="s">
        <v>413</v>
      </c>
      <c r="Z507" s="14" t="str">
        <f>IF(ISBLANK(LCI_Table[[#This Row],[Notes for user]])," ",LCI_Table[[#This Row],[Notes for user]])</f>
        <v xml:space="preserve"> </v>
      </c>
      <c r="AA507" s="14"/>
      <c r="AB507" s="14"/>
      <c r="AC507" s="346">
        <f ca="1">LCI_Table[[#This Row],[Default Calculated Value]]-LCI_Table[[#This Row],[Calculated Value]]</f>
        <v>0</v>
      </c>
    </row>
    <row r="508" spans="1:29" x14ac:dyDescent="0.3">
      <c r="A5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residueATJ-ethanolGREETGREETCo-located facilities_Cellulosic_ETJ_ElectricityGasoline</v>
      </c>
      <c r="B508" s="14" t="s">
        <v>316</v>
      </c>
      <c r="C508" s="14" t="s">
        <v>1964</v>
      </c>
      <c r="D508" s="14" t="s">
        <v>29</v>
      </c>
      <c r="E508" s="48" t="s">
        <v>29</v>
      </c>
      <c r="F508" s="14" t="s">
        <v>911</v>
      </c>
      <c r="G508" s="14" t="b">
        <f>OR(LCI_Table[[#This Row],[Feedstock]]="All",LCI_Table[[#This Row],[Feedstock]]=SelectedFeedstock)</f>
        <v>0</v>
      </c>
      <c r="H508" s="14" t="b">
        <f>OR(LCI_Table[[#This Row],[Conversion]]="All",LCI_Table[[#This Row],[Conversion]]=SelectedConversion)</f>
        <v>0</v>
      </c>
      <c r="I508" s="14" t="b">
        <f>OR(LCI_Table[[#This Row],[Data Set]]="all",LCI_Table[[#This Row],[Data Set]]=SelectedDataSet)</f>
        <v>1</v>
      </c>
      <c r="J508" s="14" t="b">
        <f>OR(LCI_Table[[#This Row],[Technology]]="All",LCI_Table[[#This Row],[Technology]]=SelectedTechnology)</f>
        <v>0</v>
      </c>
      <c r="K508" s="14" t="b">
        <f>OR(LCI_Table[[#This Row],[Data Source]]="All",LCI_Table[[#This Row],[Data Source]]=SelectedDataSource)</f>
        <v>1</v>
      </c>
      <c r="L508" s="14" t="b">
        <f>TRUE</f>
        <v>1</v>
      </c>
      <c r="M508" s="14" t="b">
        <f>(LCI_Table[[#This Row],[Dev Notes]]="Do not display")</f>
        <v>0</v>
      </c>
      <c r="N508" s="14" t="b">
        <f>AND(LCI_Table[[#This Row],[Show Feedstock]:[Conditional]],NOT(LCI_Table[[#This Row],[Hide Row]]))</f>
        <v>0</v>
      </c>
      <c r="O508" s="14" t="b">
        <f>LCI_Table[[#This Row],[GREET1 Name Range]]=""</f>
        <v>0</v>
      </c>
      <c r="P508" s="14" t="s">
        <v>147</v>
      </c>
      <c r="Q508" s="14" t="s">
        <v>947</v>
      </c>
      <c r="R508" s="14" t="s">
        <v>107</v>
      </c>
      <c r="S508" s="37" cm="1">
        <f t="array" aca="1" ref="S5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08" s="346" t="s">
        <v>1484</v>
      </c>
      <c r="U508" s="347">
        <f ca="1">S508*Fuel_Specs!$B$15/S505</f>
        <v>0</v>
      </c>
      <c r="V508" s="347">
        <v>0</v>
      </c>
      <c r="W508" s="347">
        <v>0</v>
      </c>
      <c r="X508" s="37" t="s">
        <v>5</v>
      </c>
      <c r="Y508" s="346" t="s">
        <v>413</v>
      </c>
      <c r="Z508" s="14" t="str">
        <f>IF(ISBLANK(LCI_Table[[#This Row],[Notes for user]])," ",LCI_Table[[#This Row],[Notes for user]])</f>
        <v xml:space="preserve"> </v>
      </c>
      <c r="AA508" s="14"/>
      <c r="AB508" s="14"/>
      <c r="AC508" s="346">
        <f ca="1">LCI_Table[[#This Row],[Default Calculated Value]]-LCI_Table[[#This Row],[Calculated Value]]</f>
        <v>0</v>
      </c>
    </row>
    <row r="509" spans="1:29" x14ac:dyDescent="0.3">
      <c r="A5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residueATJ-ethanolGREETGREETCo-located facilities_Cellulosic_ETJ_CatalystsNatural gas</v>
      </c>
      <c r="B509" s="14" t="s">
        <v>316</v>
      </c>
      <c r="C509" s="14" t="s">
        <v>1964</v>
      </c>
      <c r="D509" s="14" t="s">
        <v>29</v>
      </c>
      <c r="E509" s="48" t="s">
        <v>29</v>
      </c>
      <c r="F509" s="14" t="s">
        <v>911</v>
      </c>
      <c r="G509" s="14" t="b">
        <f>OR(LCI_Table[[#This Row],[Feedstock]]="All",LCI_Table[[#This Row],[Feedstock]]=SelectedFeedstock)</f>
        <v>0</v>
      </c>
      <c r="H509" s="14" t="b">
        <f>OR(LCI_Table[[#This Row],[Conversion]]="All",LCI_Table[[#This Row],[Conversion]]=SelectedConversion)</f>
        <v>0</v>
      </c>
      <c r="I509" s="14" t="b">
        <f>OR(LCI_Table[[#This Row],[Data Set]]="all",LCI_Table[[#This Row],[Data Set]]=SelectedDataSet)</f>
        <v>1</v>
      </c>
      <c r="J509" s="14" t="b">
        <f>OR(LCI_Table[[#This Row],[Technology]]="All",LCI_Table[[#This Row],[Technology]]=SelectedTechnology)</f>
        <v>0</v>
      </c>
      <c r="K509" s="14" t="b">
        <f>OR(LCI_Table[[#This Row],[Data Source]]="All",LCI_Table[[#This Row],[Data Source]]=SelectedDataSource)</f>
        <v>1</v>
      </c>
      <c r="L509" s="14" t="b">
        <f>TRUE</f>
        <v>1</v>
      </c>
      <c r="M509" s="14" t="b">
        <f>(LCI_Table[[#This Row],[Dev Notes]]="Do not display")</f>
        <v>0</v>
      </c>
      <c r="N509" s="14" t="b">
        <f>AND(LCI_Table[[#This Row],[Show Feedstock]:[Conditional]],NOT(LCI_Table[[#This Row],[Hide Row]]))</f>
        <v>0</v>
      </c>
      <c r="O509" s="14" t="b">
        <f>LCI_Table[[#This Row],[GREET1 Name Range]]=""</f>
        <v>0</v>
      </c>
      <c r="P509" s="14" t="s">
        <v>147</v>
      </c>
      <c r="Q509" s="14" t="s">
        <v>558</v>
      </c>
      <c r="R509" s="14" t="s">
        <v>108</v>
      </c>
      <c r="S509" s="37" cm="1">
        <f t="array" aca="1" ref="S5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09" s="346" t="s">
        <v>2109</v>
      </c>
      <c r="U509" s="347">
        <f ca="1">S509*Fuel_Specs!$B$79/S505</f>
        <v>0</v>
      </c>
      <c r="V509" s="347">
        <v>0</v>
      </c>
      <c r="W509" s="347">
        <v>0</v>
      </c>
      <c r="X509" s="37" t="s">
        <v>351</v>
      </c>
      <c r="Y509" s="346" t="s">
        <v>413</v>
      </c>
      <c r="Z509" s="14" t="str">
        <f>IF(ISBLANK(LCI_Table[[#This Row],[Notes for user]])," ",LCI_Table[[#This Row],[Notes for user]])</f>
        <v xml:space="preserve"> </v>
      </c>
      <c r="AA509" s="14"/>
      <c r="AB509" s="14"/>
      <c r="AC509" s="346">
        <f ca="1">LCI_Table[[#This Row],[Default Calculated Value]]-LCI_Table[[#This Row],[Calculated Value]]</f>
        <v>0</v>
      </c>
    </row>
    <row r="510" spans="1:29" x14ac:dyDescent="0.3">
      <c r="A5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residueATJ-ethanolGREETGREETCo-located facilities_Cellulosic_ETJ_WaterCoal</v>
      </c>
      <c r="B510" s="14" t="s">
        <v>316</v>
      </c>
      <c r="C510" s="14" t="s">
        <v>1964</v>
      </c>
      <c r="D510" s="14" t="s">
        <v>29</v>
      </c>
      <c r="E510" s="48" t="s">
        <v>29</v>
      </c>
      <c r="F510" s="14" t="s">
        <v>911</v>
      </c>
      <c r="G510" s="14" t="b">
        <f>OR(LCI_Table[[#This Row],[Feedstock]]="All",LCI_Table[[#This Row],[Feedstock]]=SelectedFeedstock)</f>
        <v>0</v>
      </c>
      <c r="H510" s="14" t="b">
        <f>OR(LCI_Table[[#This Row],[Conversion]]="All",LCI_Table[[#This Row],[Conversion]]=SelectedConversion)</f>
        <v>0</v>
      </c>
      <c r="I510" s="14" t="b">
        <f>OR(LCI_Table[[#This Row],[Data Set]]="all",LCI_Table[[#This Row],[Data Set]]=SelectedDataSet)</f>
        <v>1</v>
      </c>
      <c r="J510" s="14" t="b">
        <f>OR(LCI_Table[[#This Row],[Technology]]="All",LCI_Table[[#This Row],[Technology]]=SelectedTechnology)</f>
        <v>0</v>
      </c>
      <c r="K510" s="14" t="b">
        <f>OR(LCI_Table[[#This Row],[Data Source]]="All",LCI_Table[[#This Row],[Data Source]]=SelectedDataSource)</f>
        <v>1</v>
      </c>
      <c r="L510" s="14" t="b">
        <f>TRUE</f>
        <v>1</v>
      </c>
      <c r="M510" s="14" t="b">
        <f>(LCI_Table[[#This Row],[Dev Notes]]="Do not display")</f>
        <v>0</v>
      </c>
      <c r="N510" s="14" t="b">
        <f>AND(LCI_Table[[#This Row],[Show Feedstock]:[Conditional]],NOT(LCI_Table[[#This Row],[Hide Row]]))</f>
        <v>0</v>
      </c>
      <c r="O510" s="14" t="b">
        <f>LCI_Table[[#This Row],[GREET1 Name Range]]=""</f>
        <v>0</v>
      </c>
      <c r="P510" s="14" t="s">
        <v>147</v>
      </c>
      <c r="Q510" s="14" t="s">
        <v>569</v>
      </c>
      <c r="R510" s="14" t="s">
        <v>9</v>
      </c>
      <c r="S510" s="37" cm="1">
        <f t="array" aca="1" ref="S5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10" s="346" t="s">
        <v>2110</v>
      </c>
      <c r="U510" s="347">
        <f ca="1">S510/S505</f>
        <v>0</v>
      </c>
      <c r="V510" s="347">
        <v>0</v>
      </c>
      <c r="W510" s="347">
        <v>0</v>
      </c>
      <c r="X510" s="37" t="s">
        <v>117</v>
      </c>
      <c r="Y510" s="346" t="s">
        <v>413</v>
      </c>
      <c r="Z510" s="14" t="str">
        <f>IF(ISBLANK(LCI_Table[[#This Row],[Notes for user]])," ",LCI_Table[[#This Row],[Notes for user]])</f>
        <v xml:space="preserve"> </v>
      </c>
      <c r="AA510" s="14"/>
      <c r="AB510" s="14"/>
      <c r="AC510" s="346">
        <f ca="1">LCI_Table[[#This Row],[Default Calculated Value]]-LCI_Table[[#This Row],[Calculated Value]]</f>
        <v>0</v>
      </c>
    </row>
    <row r="511" spans="1:29" x14ac:dyDescent="0.3">
      <c r="A5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residueATJ-ethanolGREETGREETCo-located facilities_ForestResidue_Collection_LPGLPG</v>
      </c>
      <c r="B511" s="14" t="s">
        <v>316</v>
      </c>
      <c r="C511" s="14" t="s">
        <v>1964</v>
      </c>
      <c r="D511" s="14" t="s">
        <v>29</v>
      </c>
      <c r="E511" s="48" t="s">
        <v>29</v>
      </c>
      <c r="F511" s="14" t="s">
        <v>911</v>
      </c>
      <c r="G511" s="14" t="b">
        <f>OR(LCI_Table[[#This Row],[Feedstock]]="All",LCI_Table[[#This Row],[Feedstock]]=SelectedFeedstock)</f>
        <v>0</v>
      </c>
      <c r="H511" s="14" t="b">
        <f>OR(LCI_Table[[#This Row],[Conversion]]="All",LCI_Table[[#This Row],[Conversion]]=SelectedConversion)</f>
        <v>0</v>
      </c>
      <c r="I511" s="14" t="b">
        <f>OR(LCI_Table[[#This Row],[Data Set]]="all",LCI_Table[[#This Row],[Data Set]]=SelectedDataSet)</f>
        <v>1</v>
      </c>
      <c r="J511" s="14" t="b">
        <f>OR(LCI_Table[[#This Row],[Technology]]="All",LCI_Table[[#This Row],[Technology]]=SelectedTechnology)</f>
        <v>0</v>
      </c>
      <c r="K511" s="14" t="b">
        <f>OR(LCI_Table[[#This Row],[Data Source]]="All",LCI_Table[[#This Row],[Data Source]]=SelectedDataSource)</f>
        <v>1</v>
      </c>
      <c r="L511" s="14" t="b">
        <f>TRUE</f>
        <v>1</v>
      </c>
      <c r="M511" s="14" t="b">
        <f>(LCI_Table[[#This Row],[Dev Notes]]="Do not display")</f>
        <v>0</v>
      </c>
      <c r="N511" s="14" t="b">
        <f>AND(LCI_Table[[#This Row],[Show Feedstock]:[Conditional]],NOT(LCI_Table[[#This Row],[Hide Row]]))</f>
        <v>0</v>
      </c>
      <c r="O511" s="14" t="b">
        <f>LCI_Table[[#This Row],[GREET1 Name Range]]=""</f>
        <v>0</v>
      </c>
      <c r="P511" s="14" t="s">
        <v>147</v>
      </c>
      <c r="Q511" s="14" t="s">
        <v>649</v>
      </c>
      <c r="R511" s="14" t="s">
        <v>109</v>
      </c>
      <c r="S511" s="37" cm="1">
        <f t="array" aca="1" ref="S5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11" s="346" t="s">
        <v>1484</v>
      </c>
      <c r="U511" s="347">
        <f ca="1">S511*Fuel_Specs!$B$35/S505</f>
        <v>0</v>
      </c>
      <c r="V511" s="347">
        <v>0</v>
      </c>
      <c r="W511" s="347">
        <v>0</v>
      </c>
      <c r="X511" s="37" t="s">
        <v>5</v>
      </c>
      <c r="Y511" s="346" t="s">
        <v>413</v>
      </c>
      <c r="Z511" s="14" t="str">
        <f>IF(ISBLANK(LCI_Table[[#This Row],[Notes for user]])," ",LCI_Table[[#This Row],[Notes for user]])</f>
        <v xml:space="preserve"> </v>
      </c>
      <c r="AA511" s="14"/>
      <c r="AB511" s="14"/>
      <c r="AC511" s="346">
        <f ca="1">LCI_Table[[#This Row],[Default Calculated Value]]-LCI_Table[[#This Row],[Calculated Value]]</f>
        <v>0</v>
      </c>
    </row>
    <row r="512" spans="1:29" x14ac:dyDescent="0.3">
      <c r="A5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residueATJ-ethanolGREETGREETCo-located facilities_ForestResidue_Collection_ElectricityElectricity</v>
      </c>
      <c r="B512" s="14" t="s">
        <v>316</v>
      </c>
      <c r="C512" s="14" t="s">
        <v>1964</v>
      </c>
      <c r="D512" s="14" t="s">
        <v>29</v>
      </c>
      <c r="E512" s="48" t="s">
        <v>29</v>
      </c>
      <c r="F512" s="14" t="s">
        <v>911</v>
      </c>
      <c r="G512" s="14" t="b">
        <f>OR(LCI_Table[[#This Row],[Feedstock]]="All",LCI_Table[[#This Row],[Feedstock]]=SelectedFeedstock)</f>
        <v>0</v>
      </c>
      <c r="H512" s="14" t="b">
        <f>OR(LCI_Table[[#This Row],[Conversion]]="All",LCI_Table[[#This Row],[Conversion]]=SelectedConversion)</f>
        <v>0</v>
      </c>
      <c r="I512" s="14" t="b">
        <f>OR(LCI_Table[[#This Row],[Data Set]]="all",LCI_Table[[#This Row],[Data Set]]=SelectedDataSet)</f>
        <v>1</v>
      </c>
      <c r="J512" s="14" t="b">
        <f>OR(LCI_Table[[#This Row],[Technology]]="All",LCI_Table[[#This Row],[Technology]]=SelectedTechnology)</f>
        <v>0</v>
      </c>
      <c r="K512" s="14" t="b">
        <f>OR(LCI_Table[[#This Row],[Data Source]]="All",LCI_Table[[#This Row],[Data Source]]=SelectedDataSource)</f>
        <v>1</v>
      </c>
      <c r="L512" s="14" t="b">
        <f>TRUE</f>
        <v>1</v>
      </c>
      <c r="M512" s="14" t="b">
        <f>(LCI_Table[[#This Row],[Dev Notes]]="Do not display")</f>
        <v>0</v>
      </c>
      <c r="N512" s="14" t="b">
        <f>AND(LCI_Table[[#This Row],[Show Feedstock]:[Conditional]],NOT(LCI_Table[[#This Row],[Hide Row]]))</f>
        <v>0</v>
      </c>
      <c r="O512" s="14" t="b">
        <f>LCI_Table[[#This Row],[GREET1 Name Range]]=""</f>
        <v>0</v>
      </c>
      <c r="P512" s="14" t="s">
        <v>147</v>
      </c>
      <c r="Q512" s="14" t="s">
        <v>647</v>
      </c>
      <c r="R512" s="14" t="s">
        <v>110</v>
      </c>
      <c r="S512" s="37" cm="1">
        <f t="array" aca="1" ref="S5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12" s="346" t="s">
        <v>1561</v>
      </c>
      <c r="U512" s="347">
        <f ca="1">S512/BTU2kWh/S505</f>
        <v>0</v>
      </c>
      <c r="V512" s="347">
        <v>0</v>
      </c>
      <c r="W512" s="347">
        <v>0</v>
      </c>
      <c r="X512" s="37" t="s">
        <v>51</v>
      </c>
      <c r="Y512" s="346" t="s">
        <v>413</v>
      </c>
      <c r="Z512" s="14" t="str">
        <f>IF(ISBLANK(LCI_Table[[#This Row],[Notes for user]])," ",LCI_Table[[#This Row],[Notes for user]])</f>
        <v xml:space="preserve"> </v>
      </c>
      <c r="AA512" s="14"/>
      <c r="AB512" s="14"/>
      <c r="AC512" s="346">
        <f ca="1">LCI_Table[[#This Row],[Default Calculated Value]]-LCI_Table[[#This Row],[Calculated Value]]</f>
        <v>0</v>
      </c>
    </row>
    <row r="513" spans="1:29" x14ac:dyDescent="0.3">
      <c r="A5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residueATJ-ethanolGREETGREETCo-located facilities_Cellulosic_ETJ_FeedForest residue</v>
      </c>
      <c r="B513" s="14" t="s">
        <v>316</v>
      </c>
      <c r="C513" s="14" t="s">
        <v>1964</v>
      </c>
      <c r="D513" s="14" t="s">
        <v>29</v>
      </c>
      <c r="E513" s="48" t="s">
        <v>29</v>
      </c>
      <c r="F513" s="14" t="s">
        <v>911</v>
      </c>
      <c r="G513" s="14" t="b">
        <f>OR(LCI_Table[[#This Row],[Feedstock]]="All",LCI_Table[[#This Row],[Feedstock]]=SelectedFeedstock)</f>
        <v>0</v>
      </c>
      <c r="H513" s="14" t="b">
        <f>OR(LCI_Table[[#This Row],[Conversion]]="All",LCI_Table[[#This Row],[Conversion]]=SelectedConversion)</f>
        <v>0</v>
      </c>
      <c r="I513" s="14" t="b">
        <f>OR(LCI_Table[[#This Row],[Data Set]]="all",LCI_Table[[#This Row],[Data Set]]=SelectedDataSet)</f>
        <v>1</v>
      </c>
      <c r="J513" s="14" t="b">
        <f>OR(LCI_Table[[#This Row],[Technology]]="All",LCI_Table[[#This Row],[Technology]]=SelectedTechnology)</f>
        <v>0</v>
      </c>
      <c r="K513" s="14" t="b">
        <f>OR(LCI_Table[[#This Row],[Data Source]]="All",LCI_Table[[#This Row],[Data Source]]=SelectedDataSource)</f>
        <v>1</v>
      </c>
      <c r="L513" s="14" t="b">
        <f>TRUE</f>
        <v>1</v>
      </c>
      <c r="M513" s="14" t="b">
        <f>(LCI_Table[[#This Row],[Dev Notes]]="Do not display")</f>
        <v>0</v>
      </c>
      <c r="N513" s="14" t="b">
        <f>AND(LCI_Table[[#This Row],[Show Feedstock]:[Conditional]],NOT(LCI_Table[[#This Row],[Hide Row]]))</f>
        <v>0</v>
      </c>
      <c r="O513" s="14" t="b">
        <f>LCI_Table[[#This Row],[GREET1 Name Range]]=""</f>
        <v>0</v>
      </c>
      <c r="P513" s="14" t="s">
        <v>1448</v>
      </c>
      <c r="Q513" s="14" t="s">
        <v>562</v>
      </c>
      <c r="R513" s="14" t="s">
        <v>316</v>
      </c>
      <c r="S513" s="37" cm="1">
        <f t="array" aca="1" ref="S5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371.68351875591389</v>
      </c>
      <c r="T513" s="346" t="s">
        <v>2119</v>
      </c>
      <c r="U513" s="347">
        <f ca="1">S513/kg2lb/Allocations!$O$50*MJ2mmBTU</f>
        <v>0.21213150478299425</v>
      </c>
      <c r="V513" s="347">
        <v>371.68351875591389</v>
      </c>
      <c r="W513" s="347">
        <v>0.21213150478299425</v>
      </c>
      <c r="X513" s="37" t="s">
        <v>12</v>
      </c>
      <c r="Y513" s="346" t="s">
        <v>416</v>
      </c>
      <c r="Z513" s="14" t="str">
        <f>IF(ISBLANK(LCI_Table[[#This Row],[Notes for user]])," ",LCI_Table[[#This Row],[Notes for user]])</f>
        <v xml:space="preserve"> </v>
      </c>
      <c r="AA513" s="14"/>
      <c r="AB513" s="14"/>
      <c r="AC513" s="346">
        <f ca="1">LCI_Table[[#This Row],[Default Calculated Value]]-LCI_Table[[#This Row],[Calculated Value]]</f>
        <v>0</v>
      </c>
    </row>
    <row r="514" spans="1:29" x14ac:dyDescent="0.3">
      <c r="A5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residueATJ-ethanolGREETGREETCo-located facilities_Cellulosic_ETJ_HydrogenHydrogen</v>
      </c>
      <c r="B514" s="14" t="s">
        <v>316</v>
      </c>
      <c r="C514" s="14" t="s">
        <v>1964</v>
      </c>
      <c r="D514" s="14" t="s">
        <v>29</v>
      </c>
      <c r="E514" s="48" t="s">
        <v>29</v>
      </c>
      <c r="F514" s="14" t="s">
        <v>911</v>
      </c>
      <c r="G514" s="14" t="b">
        <f>OR(LCI_Table[[#This Row],[Feedstock]]="All",LCI_Table[[#This Row],[Feedstock]]=SelectedFeedstock)</f>
        <v>0</v>
      </c>
      <c r="H514" s="14" t="b">
        <f>OR(LCI_Table[[#This Row],[Conversion]]="All",LCI_Table[[#This Row],[Conversion]]=SelectedConversion)</f>
        <v>0</v>
      </c>
      <c r="I514" s="14" t="b">
        <f>OR(LCI_Table[[#This Row],[Data Set]]="all",LCI_Table[[#This Row],[Data Set]]=SelectedDataSet)</f>
        <v>1</v>
      </c>
      <c r="J514" s="14" t="b">
        <f>OR(LCI_Table[[#This Row],[Technology]]="All",LCI_Table[[#This Row],[Technology]]=SelectedTechnology)</f>
        <v>0</v>
      </c>
      <c r="K514" s="14" t="b">
        <f>OR(LCI_Table[[#This Row],[Data Source]]="All",LCI_Table[[#This Row],[Data Source]]=SelectedDataSource)</f>
        <v>1</v>
      </c>
      <c r="L514" s="14" t="b">
        <f>TRUE</f>
        <v>1</v>
      </c>
      <c r="M514" s="14" t="b">
        <f>(LCI_Table[[#This Row],[Dev Notes]]="Do not display")</f>
        <v>0</v>
      </c>
      <c r="N514" s="14" t="b">
        <f>AND(LCI_Table[[#This Row],[Show Feedstock]:[Conditional]],NOT(LCI_Table[[#This Row],[Hide Row]]))</f>
        <v>0</v>
      </c>
      <c r="O514" s="14" t="b">
        <f>LCI_Table[[#This Row],[GREET1 Name Range]]=""</f>
        <v>0</v>
      </c>
      <c r="P514" s="14" t="s">
        <v>1448</v>
      </c>
      <c r="Q514" s="14" t="s">
        <v>565</v>
      </c>
      <c r="R514" s="14" t="s">
        <v>73</v>
      </c>
      <c r="S514" s="37" cm="1">
        <f t="array" aca="1" ref="S5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210.24598998652542</v>
      </c>
      <c r="T514" s="346" t="s">
        <v>2120</v>
      </c>
      <c r="U514" s="347">
        <f ca="1">S514/kg2g*Fuel_Specs!$E$81/Allocations!$O$50*MJ2mmBTU</f>
        <v>6.745808835334578E-4</v>
      </c>
      <c r="V514" s="347">
        <v>210.24598998652542</v>
      </c>
      <c r="W514" s="347">
        <v>6.745808835334578E-4</v>
      </c>
      <c r="X514" s="37" t="s">
        <v>351</v>
      </c>
      <c r="Y514" s="346" t="s">
        <v>416</v>
      </c>
      <c r="Z514" s="14" t="str">
        <f>IF(ISBLANK(LCI_Table[[#This Row],[Notes for user]])," ",LCI_Table[[#This Row],[Notes for user]])</f>
        <v xml:space="preserve"> </v>
      </c>
      <c r="AA514" s="14"/>
      <c r="AB514" s="14"/>
      <c r="AC514" s="346">
        <f ca="1">LCI_Table[[#This Row],[Default Calculated Value]]-LCI_Table[[#This Row],[Calculated Value]]</f>
        <v>0</v>
      </c>
    </row>
    <row r="515" spans="1:29" x14ac:dyDescent="0.3">
      <c r="A5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residueATJ-ethanolGREETGREETCo-located facilities_Cellulosic_ETJ_AmmoniaAmmonia</v>
      </c>
      <c r="B515" s="14" t="s">
        <v>316</v>
      </c>
      <c r="C515" s="14" t="s">
        <v>1964</v>
      </c>
      <c r="D515" s="14" t="s">
        <v>29</v>
      </c>
      <c r="E515" s="48" t="s">
        <v>29</v>
      </c>
      <c r="F515" s="14" t="s">
        <v>911</v>
      </c>
      <c r="G515" s="14" t="b">
        <f>OR(LCI_Table[[#This Row],[Feedstock]]="All",LCI_Table[[#This Row],[Feedstock]]=SelectedFeedstock)</f>
        <v>0</v>
      </c>
      <c r="H515" s="14" t="b">
        <f>OR(LCI_Table[[#This Row],[Conversion]]="All",LCI_Table[[#This Row],[Conversion]]=SelectedConversion)</f>
        <v>0</v>
      </c>
      <c r="I515" s="14" t="b">
        <f>OR(LCI_Table[[#This Row],[Data Set]]="all",LCI_Table[[#This Row],[Data Set]]=SelectedDataSet)</f>
        <v>1</v>
      </c>
      <c r="J515" s="14" t="b">
        <f>OR(LCI_Table[[#This Row],[Technology]]="All",LCI_Table[[#This Row],[Technology]]=SelectedTechnology)</f>
        <v>0</v>
      </c>
      <c r="K515" s="14" t="b">
        <f>OR(LCI_Table[[#This Row],[Data Source]]="All",LCI_Table[[#This Row],[Data Source]]=SelectedDataSource)</f>
        <v>1</v>
      </c>
      <c r="L515" s="14" t="b">
        <f>TRUE</f>
        <v>1</v>
      </c>
      <c r="M515" s="14" t="b">
        <f>(LCI_Table[[#This Row],[Dev Notes]]="Do not display")</f>
        <v>0</v>
      </c>
      <c r="N515" s="14" t="b">
        <f>AND(LCI_Table[[#This Row],[Show Feedstock]:[Conditional]],NOT(LCI_Table[[#This Row],[Hide Row]]))</f>
        <v>0</v>
      </c>
      <c r="O515" s="14" t="b">
        <f>LCI_Table[[#This Row],[GREET1 Name Range]]=""</f>
        <v>0</v>
      </c>
      <c r="P515" s="14" t="s">
        <v>1448</v>
      </c>
      <c r="Q515" s="14" t="s">
        <v>557</v>
      </c>
      <c r="R515" s="14" t="s">
        <v>382</v>
      </c>
      <c r="S515" s="37" cm="1">
        <f t="array" aca="1" ref="S5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617.69707425785418</v>
      </c>
      <c r="T515" s="346" t="s">
        <v>2127</v>
      </c>
      <c r="U515" s="347">
        <f ca="1">S515/kg2g/Allocations!$O$50*MJ2mmBTU</f>
        <v>7.7721589248412777E-4</v>
      </c>
      <c r="V515" s="347">
        <v>617.69707425785418</v>
      </c>
      <c r="W515" s="347">
        <v>7.7721589248412777E-4</v>
      </c>
      <c r="X515" s="37" t="s">
        <v>6</v>
      </c>
      <c r="Y515" s="346" t="s">
        <v>416</v>
      </c>
      <c r="Z515" s="14" t="str">
        <f>IF(ISBLANK(LCI_Table[[#This Row],[Notes for user]])," ",LCI_Table[[#This Row],[Notes for user]])</f>
        <v xml:space="preserve"> </v>
      </c>
      <c r="AA515" s="14"/>
      <c r="AB515" s="14"/>
      <c r="AC515" s="346">
        <f ca="1">LCI_Table[[#This Row],[Default Calculated Value]]-LCI_Table[[#This Row],[Calculated Value]]</f>
        <v>0</v>
      </c>
    </row>
    <row r="516" spans="1:29" x14ac:dyDescent="0.3">
      <c r="A5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residueATJ-ethanolGREETGREETCo-located facilities_Cellulosic_ETJ_CatalystsCatalysts</v>
      </c>
      <c r="B516" s="14" t="s">
        <v>316</v>
      </c>
      <c r="C516" s="14" t="s">
        <v>1964</v>
      </c>
      <c r="D516" s="14" t="s">
        <v>29</v>
      </c>
      <c r="E516" s="48" t="s">
        <v>29</v>
      </c>
      <c r="F516" s="14" t="s">
        <v>911</v>
      </c>
      <c r="G516" s="14" t="b">
        <f>OR(LCI_Table[[#This Row],[Feedstock]]="All",LCI_Table[[#This Row],[Feedstock]]=SelectedFeedstock)</f>
        <v>0</v>
      </c>
      <c r="H516" s="14" t="b">
        <f>OR(LCI_Table[[#This Row],[Conversion]]="All",LCI_Table[[#This Row],[Conversion]]=SelectedConversion)</f>
        <v>0</v>
      </c>
      <c r="I516" s="14" t="b">
        <f>OR(LCI_Table[[#This Row],[Data Set]]="all",LCI_Table[[#This Row],[Data Set]]=SelectedDataSet)</f>
        <v>1</v>
      </c>
      <c r="J516" s="14" t="b">
        <f>OR(LCI_Table[[#This Row],[Technology]]="All",LCI_Table[[#This Row],[Technology]]=SelectedTechnology)</f>
        <v>0</v>
      </c>
      <c r="K516" s="14" t="b">
        <f>OR(LCI_Table[[#This Row],[Data Source]]="All",LCI_Table[[#This Row],[Data Source]]=SelectedDataSource)</f>
        <v>1</v>
      </c>
      <c r="L516" s="14" t="b">
        <f>TRUE</f>
        <v>1</v>
      </c>
      <c r="M516" s="14" t="b">
        <f>(LCI_Table[[#This Row],[Dev Notes]]="Do not display")</f>
        <v>0</v>
      </c>
      <c r="N516" s="14" t="b">
        <f>AND(LCI_Table[[#This Row],[Show Feedstock]:[Conditional]],NOT(LCI_Table[[#This Row],[Hide Row]]))</f>
        <v>0</v>
      </c>
      <c r="O516" s="14" t="b">
        <f>LCI_Table[[#This Row],[GREET1 Name Range]]=""</f>
        <v>0</v>
      </c>
      <c r="P516" s="14" t="s">
        <v>1448</v>
      </c>
      <c r="Q516" s="14" t="s">
        <v>558</v>
      </c>
      <c r="R516" s="14" t="s">
        <v>142</v>
      </c>
      <c r="S516" s="37" cm="1">
        <f t="array" aca="1" ref="S5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84.971115198327823</v>
      </c>
      <c r="T516" s="346" t="s">
        <v>2127</v>
      </c>
      <c r="U516" s="347">
        <f ca="1">S516/kg2g/Allocations!$O$50*MJ2mmBTU</f>
        <v>1.0691470606945369E-4</v>
      </c>
      <c r="V516" s="347">
        <v>84.971115198327823</v>
      </c>
      <c r="W516" s="347">
        <v>1.0691470606945369E-4</v>
      </c>
      <c r="X516" s="37" t="s">
        <v>6</v>
      </c>
      <c r="Y516" s="346" t="s">
        <v>416</v>
      </c>
      <c r="Z516" s="14" t="str">
        <f>IF(ISBLANK(LCI_Table[[#This Row],[Notes for user]])," ",LCI_Table[[#This Row],[Notes for user]])</f>
        <v xml:space="preserve"> </v>
      </c>
      <c r="AA516" s="14"/>
      <c r="AB516" s="14"/>
      <c r="AC516" s="346">
        <f ca="1">LCI_Table[[#This Row],[Default Calculated Value]]-LCI_Table[[#This Row],[Calculated Value]]</f>
        <v>0</v>
      </c>
    </row>
    <row r="517" spans="1:29" x14ac:dyDescent="0.3">
      <c r="A5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residueATJ-ethanolGREETGREETCo-located facilities_Cellulosic_ETJ_Corn_steep_liquorCorn steep liquor</v>
      </c>
      <c r="B517" s="14" t="s">
        <v>316</v>
      </c>
      <c r="C517" s="14" t="s">
        <v>1964</v>
      </c>
      <c r="D517" s="14" t="s">
        <v>29</v>
      </c>
      <c r="E517" s="48" t="s">
        <v>29</v>
      </c>
      <c r="F517" s="14" t="s">
        <v>911</v>
      </c>
      <c r="G517" s="14" t="b">
        <f>OR(LCI_Table[[#This Row],[Feedstock]]="All",LCI_Table[[#This Row],[Feedstock]]=SelectedFeedstock)</f>
        <v>0</v>
      </c>
      <c r="H517" s="14" t="b">
        <f>OR(LCI_Table[[#This Row],[Conversion]]="All",LCI_Table[[#This Row],[Conversion]]=SelectedConversion)</f>
        <v>0</v>
      </c>
      <c r="I517" s="14" t="b">
        <f>OR(LCI_Table[[#This Row],[Data Set]]="all",LCI_Table[[#This Row],[Data Set]]=SelectedDataSet)</f>
        <v>1</v>
      </c>
      <c r="J517" s="14" t="b">
        <f>OR(LCI_Table[[#This Row],[Technology]]="All",LCI_Table[[#This Row],[Technology]]=SelectedTechnology)</f>
        <v>0</v>
      </c>
      <c r="K517" s="14" t="b">
        <f>OR(LCI_Table[[#This Row],[Data Source]]="All",LCI_Table[[#This Row],[Data Source]]=SelectedDataSource)</f>
        <v>1</v>
      </c>
      <c r="L517" s="14" t="b">
        <f>TRUE</f>
        <v>1</v>
      </c>
      <c r="M517" s="14" t="b">
        <f>(LCI_Table[[#This Row],[Dev Notes]]="Do not display")</f>
        <v>0</v>
      </c>
      <c r="N517" s="14" t="b">
        <f>AND(LCI_Table[[#This Row],[Show Feedstock]:[Conditional]],NOT(LCI_Table[[#This Row],[Hide Row]]))</f>
        <v>0</v>
      </c>
      <c r="O517" s="14" t="b">
        <f>LCI_Table[[#This Row],[GREET1 Name Range]]=""</f>
        <v>0</v>
      </c>
      <c r="P517" s="14" t="s">
        <v>1448</v>
      </c>
      <c r="Q517" s="14" t="s">
        <v>559</v>
      </c>
      <c r="R517" s="14" t="s">
        <v>386</v>
      </c>
      <c r="S517" s="37" cm="1">
        <f t="array" aca="1" ref="S5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2678.6132505377623</v>
      </c>
      <c r="T517" s="346" t="s">
        <v>2127</v>
      </c>
      <c r="U517" s="347">
        <f ca="1">S517/kg2g/Allocations!$O$50*MJ2mmBTU</f>
        <v>3.3703588294275401E-3</v>
      </c>
      <c r="V517" s="347">
        <v>2678.6132505377623</v>
      </c>
      <c r="W517" s="347">
        <v>3.3703588294275401E-3</v>
      </c>
      <c r="X517" s="37" t="s">
        <v>6</v>
      </c>
      <c r="Y517" s="346" t="s">
        <v>416</v>
      </c>
      <c r="Z517" s="14" t="str">
        <f>IF(ISBLANK(LCI_Table[[#This Row],[Notes for user]])," ",LCI_Table[[#This Row],[Notes for user]])</f>
        <v xml:space="preserve"> </v>
      </c>
      <c r="AA517" s="14"/>
      <c r="AB517" s="14"/>
      <c r="AC517" s="346">
        <f ca="1">LCI_Table[[#This Row],[Default Calculated Value]]-LCI_Table[[#This Row],[Calculated Value]]</f>
        <v>0</v>
      </c>
    </row>
    <row r="518" spans="1:29" x14ac:dyDescent="0.3">
      <c r="A5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residueATJ-ethanolGREETGREETCo-located facilities_Cellulosic_ETJ_DAPDAP</v>
      </c>
      <c r="B518" s="14" t="s">
        <v>316</v>
      </c>
      <c r="C518" s="14" t="s">
        <v>1964</v>
      </c>
      <c r="D518" s="14" t="s">
        <v>29</v>
      </c>
      <c r="E518" s="48" t="s">
        <v>29</v>
      </c>
      <c r="F518" s="14" t="s">
        <v>911</v>
      </c>
      <c r="G518" s="14" t="b">
        <f>OR(LCI_Table[[#This Row],[Feedstock]]="All",LCI_Table[[#This Row],[Feedstock]]=SelectedFeedstock)</f>
        <v>0</v>
      </c>
      <c r="H518" s="14" t="b">
        <f>OR(LCI_Table[[#This Row],[Conversion]]="All",LCI_Table[[#This Row],[Conversion]]=SelectedConversion)</f>
        <v>0</v>
      </c>
      <c r="I518" s="14" t="b">
        <f>OR(LCI_Table[[#This Row],[Data Set]]="all",LCI_Table[[#This Row],[Data Set]]=SelectedDataSet)</f>
        <v>1</v>
      </c>
      <c r="J518" s="14" t="b">
        <f>OR(LCI_Table[[#This Row],[Technology]]="All",LCI_Table[[#This Row],[Technology]]=SelectedTechnology)</f>
        <v>0</v>
      </c>
      <c r="K518" s="14" t="b">
        <f>OR(LCI_Table[[#This Row],[Data Source]]="All",LCI_Table[[#This Row],[Data Source]]=SelectedDataSource)</f>
        <v>1</v>
      </c>
      <c r="L518" s="14" t="b">
        <f>TRUE</f>
        <v>1</v>
      </c>
      <c r="M518" s="14" t="b">
        <f>(LCI_Table[[#This Row],[Dev Notes]]="Do not display")</f>
        <v>0</v>
      </c>
      <c r="N518" s="14" t="b">
        <f>AND(LCI_Table[[#This Row],[Show Feedstock]:[Conditional]],NOT(LCI_Table[[#This Row],[Hide Row]]))</f>
        <v>0</v>
      </c>
      <c r="O518" s="14" t="b">
        <f>LCI_Table[[#This Row],[GREET1 Name Range]]=""</f>
        <v>0</v>
      </c>
      <c r="P518" s="14" t="s">
        <v>1448</v>
      </c>
      <c r="Q518" s="14" t="s">
        <v>560</v>
      </c>
      <c r="R518" s="14" t="s">
        <v>383</v>
      </c>
      <c r="S518" s="37" cm="1">
        <f t="array" aca="1" ref="S5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287.28329424196545</v>
      </c>
      <c r="T518" s="346" t="s">
        <v>2127</v>
      </c>
      <c r="U518" s="347">
        <f ca="1">S518/kg2g/Allocations!$O$50*MJ2mmBTU</f>
        <v>3.6147353004434345E-4</v>
      </c>
      <c r="V518" s="347">
        <v>287.28329424196545</v>
      </c>
      <c r="W518" s="347">
        <v>3.6147353004434345E-4</v>
      </c>
      <c r="X518" s="37" t="s">
        <v>6</v>
      </c>
      <c r="Y518" s="346" t="s">
        <v>416</v>
      </c>
      <c r="Z518" s="14" t="str">
        <f>IF(ISBLANK(LCI_Table[[#This Row],[Notes for user]])," ",LCI_Table[[#This Row],[Notes for user]])</f>
        <v xml:space="preserve"> </v>
      </c>
      <c r="AA518" s="14"/>
      <c r="AB518" s="14"/>
      <c r="AC518" s="346">
        <f ca="1">LCI_Table[[#This Row],[Default Calculated Value]]-LCI_Table[[#This Row],[Calculated Value]]</f>
        <v>0</v>
      </c>
    </row>
    <row r="519" spans="1:29" x14ac:dyDescent="0.3">
      <c r="A5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residueATJ-ethanolGREETGREETCo-located facilities_Cellulosic_ETJ_GlucoseGlucose</v>
      </c>
      <c r="B519" s="14" t="s">
        <v>316</v>
      </c>
      <c r="C519" s="14" t="s">
        <v>1964</v>
      </c>
      <c r="D519" s="14" t="s">
        <v>29</v>
      </c>
      <c r="E519" s="48" t="s">
        <v>29</v>
      </c>
      <c r="F519" s="14" t="s">
        <v>911</v>
      </c>
      <c r="G519" s="14" t="b">
        <f>OR(LCI_Table[[#This Row],[Feedstock]]="All",LCI_Table[[#This Row],[Feedstock]]=SelectedFeedstock)</f>
        <v>0</v>
      </c>
      <c r="H519" s="14" t="b">
        <f>OR(LCI_Table[[#This Row],[Conversion]]="All",LCI_Table[[#This Row],[Conversion]]=SelectedConversion)</f>
        <v>0</v>
      </c>
      <c r="I519" s="14" t="b">
        <f>OR(LCI_Table[[#This Row],[Data Set]]="all",LCI_Table[[#This Row],[Data Set]]=SelectedDataSet)</f>
        <v>1</v>
      </c>
      <c r="J519" s="14" t="b">
        <f>OR(LCI_Table[[#This Row],[Technology]]="All",LCI_Table[[#This Row],[Technology]]=SelectedTechnology)</f>
        <v>0</v>
      </c>
      <c r="K519" s="14" t="b">
        <f>OR(LCI_Table[[#This Row],[Data Source]]="All",LCI_Table[[#This Row],[Data Source]]=SelectedDataSource)</f>
        <v>1</v>
      </c>
      <c r="L519" s="14" t="b">
        <f>TRUE</f>
        <v>1</v>
      </c>
      <c r="M519" s="14" t="b">
        <f>(LCI_Table[[#This Row],[Dev Notes]]="Do not display")</f>
        <v>0</v>
      </c>
      <c r="N519" s="14" t="b">
        <f>AND(LCI_Table[[#This Row],[Show Feedstock]:[Conditional]],NOT(LCI_Table[[#This Row],[Hide Row]]))</f>
        <v>0</v>
      </c>
      <c r="O519" s="14" t="b">
        <f>LCI_Table[[#This Row],[GREET1 Name Range]]=""</f>
        <v>0</v>
      </c>
      <c r="P519" s="14" t="s">
        <v>1448</v>
      </c>
      <c r="Q519" s="14" t="s">
        <v>563</v>
      </c>
      <c r="R519" s="14" t="s">
        <v>387</v>
      </c>
      <c r="S519" s="37" cm="1">
        <f t="array" aca="1" ref="S5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4891.908489275158</v>
      </c>
      <c r="T519" s="346" t="s">
        <v>2127</v>
      </c>
      <c r="U519" s="347">
        <f ca="1">S519/kg2g/Allocations!$O$50*MJ2mmBTU</f>
        <v>6.1552323637128334E-3</v>
      </c>
      <c r="V519" s="347">
        <v>4891.908489275158</v>
      </c>
      <c r="W519" s="347">
        <v>6.1552323637128334E-3</v>
      </c>
      <c r="X519" s="37" t="s">
        <v>6</v>
      </c>
      <c r="Y519" s="346" t="s">
        <v>416</v>
      </c>
      <c r="Z519" s="14" t="str">
        <f>IF(ISBLANK(LCI_Table[[#This Row],[Notes for user]])," ",LCI_Table[[#This Row],[Notes for user]])</f>
        <v xml:space="preserve"> </v>
      </c>
      <c r="AA519" s="14"/>
      <c r="AB519" s="14"/>
      <c r="AC519" s="346">
        <f ca="1">LCI_Table[[#This Row],[Default Calculated Value]]-LCI_Table[[#This Row],[Calculated Value]]</f>
        <v>0</v>
      </c>
    </row>
    <row r="520" spans="1:29" x14ac:dyDescent="0.3">
      <c r="A5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residueATJ-ethanolGREETGREETCo-located facilities_Cellulosic_ETJ_Host_nutrientsHost nutrients</v>
      </c>
      <c r="B520" s="14" t="s">
        <v>316</v>
      </c>
      <c r="C520" s="14" t="s">
        <v>1964</v>
      </c>
      <c r="D520" s="14" t="s">
        <v>29</v>
      </c>
      <c r="E520" s="48" t="s">
        <v>29</v>
      </c>
      <c r="F520" s="14" t="s">
        <v>911</v>
      </c>
      <c r="G520" s="14" t="b">
        <f>OR(LCI_Table[[#This Row],[Feedstock]]="All",LCI_Table[[#This Row],[Feedstock]]=SelectedFeedstock)</f>
        <v>0</v>
      </c>
      <c r="H520" s="14" t="b">
        <f>OR(LCI_Table[[#This Row],[Conversion]]="All",LCI_Table[[#This Row],[Conversion]]=SelectedConversion)</f>
        <v>0</v>
      </c>
      <c r="I520" s="14" t="b">
        <f>OR(LCI_Table[[#This Row],[Data Set]]="all",LCI_Table[[#This Row],[Data Set]]=SelectedDataSet)</f>
        <v>1</v>
      </c>
      <c r="J520" s="14" t="b">
        <f>OR(LCI_Table[[#This Row],[Technology]]="All",LCI_Table[[#This Row],[Technology]]=SelectedTechnology)</f>
        <v>0</v>
      </c>
      <c r="K520" s="14" t="b">
        <f>OR(LCI_Table[[#This Row],[Data Source]]="All",LCI_Table[[#This Row],[Data Source]]=SelectedDataSource)</f>
        <v>1</v>
      </c>
      <c r="L520" s="14" t="b">
        <f>TRUE</f>
        <v>1</v>
      </c>
      <c r="M520" s="14" t="b">
        <f>(LCI_Table[[#This Row],[Dev Notes]]="Do not display")</f>
        <v>0</v>
      </c>
      <c r="N520" s="14" t="b">
        <f>AND(LCI_Table[[#This Row],[Show Feedstock]:[Conditional]],NOT(LCI_Table[[#This Row],[Hide Row]]))</f>
        <v>0</v>
      </c>
      <c r="O520" s="14" t="b">
        <f>LCI_Table[[#This Row],[GREET1 Name Range]]=""</f>
        <v>0</v>
      </c>
      <c r="P520" s="14" t="s">
        <v>1448</v>
      </c>
      <c r="Q520" s="14" t="s">
        <v>564</v>
      </c>
      <c r="R520" s="14" t="s">
        <v>388</v>
      </c>
      <c r="S520" s="37" cm="1">
        <f t="array" aca="1" ref="S5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135.54915995923719</v>
      </c>
      <c r="T520" s="346" t="s">
        <v>2127</v>
      </c>
      <c r="U520" s="347">
        <f ca="1">S520/kg2g/Allocations!$O$50*MJ2mmBTU</f>
        <v>1.7055441206317607E-4</v>
      </c>
      <c r="V520" s="347">
        <v>135.54915995923719</v>
      </c>
      <c r="W520" s="347">
        <v>1.7055441206317607E-4</v>
      </c>
      <c r="X520" s="37" t="s">
        <v>6</v>
      </c>
      <c r="Y520" s="346" t="s">
        <v>416</v>
      </c>
      <c r="Z520" s="14" t="str">
        <f>IF(ISBLANK(LCI_Table[[#This Row],[Notes for user]])," ",LCI_Table[[#This Row],[Notes for user]])</f>
        <v xml:space="preserve"> </v>
      </c>
      <c r="AA520" s="14"/>
      <c r="AB520" s="14"/>
      <c r="AC520" s="346">
        <f ca="1">LCI_Table[[#This Row],[Default Calculated Value]]-LCI_Table[[#This Row],[Calculated Value]]</f>
        <v>0</v>
      </c>
    </row>
    <row r="521" spans="1:29" x14ac:dyDescent="0.3">
      <c r="A5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residueATJ-ethanolGREETGREETCo-located facilities_Cellulosic_ETJ_LimeLime</v>
      </c>
      <c r="B521" s="14" t="s">
        <v>316</v>
      </c>
      <c r="C521" s="14" t="s">
        <v>1964</v>
      </c>
      <c r="D521" s="14" t="s">
        <v>29</v>
      </c>
      <c r="E521" s="48" t="s">
        <v>29</v>
      </c>
      <c r="F521" s="14" t="s">
        <v>911</v>
      </c>
      <c r="G521" s="14" t="b">
        <f>OR(LCI_Table[[#This Row],[Feedstock]]="All",LCI_Table[[#This Row],[Feedstock]]=SelectedFeedstock)</f>
        <v>0</v>
      </c>
      <c r="H521" s="14" t="b">
        <f>OR(LCI_Table[[#This Row],[Conversion]]="All",LCI_Table[[#This Row],[Conversion]]=SelectedConversion)</f>
        <v>0</v>
      </c>
      <c r="I521" s="14" t="b">
        <f>OR(LCI_Table[[#This Row],[Data Set]]="all",LCI_Table[[#This Row],[Data Set]]=SelectedDataSet)</f>
        <v>1</v>
      </c>
      <c r="J521" s="14" t="b">
        <f>OR(LCI_Table[[#This Row],[Technology]]="All",LCI_Table[[#This Row],[Technology]]=SelectedTechnology)</f>
        <v>0</v>
      </c>
      <c r="K521" s="14" t="b">
        <f>OR(LCI_Table[[#This Row],[Data Source]]="All",LCI_Table[[#This Row],[Data Source]]=SelectedDataSource)</f>
        <v>1</v>
      </c>
      <c r="L521" s="14" t="b">
        <f>TRUE</f>
        <v>1</v>
      </c>
      <c r="M521" s="14" t="b">
        <f>(LCI_Table[[#This Row],[Dev Notes]]="Do not display")</f>
        <v>0</v>
      </c>
      <c r="N521" s="14" t="b">
        <f>AND(LCI_Table[[#This Row],[Show Feedstock]:[Conditional]],NOT(LCI_Table[[#This Row],[Hide Row]]))</f>
        <v>0</v>
      </c>
      <c r="O521" s="14" t="b">
        <f>LCI_Table[[#This Row],[GREET1 Name Range]]=""</f>
        <v>0</v>
      </c>
      <c r="P521" s="14" t="s">
        <v>1448</v>
      </c>
      <c r="Q521" s="14" t="s">
        <v>566</v>
      </c>
      <c r="R521" s="14" t="s">
        <v>143</v>
      </c>
      <c r="S521" s="37" cm="1">
        <f t="array" aca="1" ref="S5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1790.4627845361929</v>
      </c>
      <c r="T521" s="346" t="s">
        <v>2127</v>
      </c>
      <c r="U521" s="347">
        <f ca="1">S521/kg2g/Allocations!$O$50*MJ2mmBTU</f>
        <v>2.2528455921777737E-3</v>
      </c>
      <c r="V521" s="347">
        <v>1790.4627845361929</v>
      </c>
      <c r="W521" s="347">
        <v>2.2528455921777737E-3</v>
      </c>
      <c r="X521" s="14" t="s">
        <v>6</v>
      </c>
      <c r="Y521" s="346" t="s">
        <v>416</v>
      </c>
      <c r="Z521" s="14" t="str">
        <f>IF(ISBLANK(LCI_Table[[#This Row],[Notes for user]])," ",LCI_Table[[#This Row],[Notes for user]])</f>
        <v xml:space="preserve"> </v>
      </c>
      <c r="AA521" s="14"/>
      <c r="AB521" s="14"/>
      <c r="AC521" s="346">
        <f ca="1">LCI_Table[[#This Row],[Default Calculated Value]]-LCI_Table[[#This Row],[Calculated Value]]</f>
        <v>0</v>
      </c>
    </row>
    <row r="522" spans="1:29" x14ac:dyDescent="0.3">
      <c r="A5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residueATJ-ethanolGREETGREETCo-located facilities_Cellulosic_ETJ_Sulfuric_acidSulfuric acid</v>
      </c>
      <c r="B522" s="14" t="s">
        <v>316</v>
      </c>
      <c r="C522" s="14" t="s">
        <v>1964</v>
      </c>
      <c r="D522" s="14" t="s">
        <v>29</v>
      </c>
      <c r="E522" s="48" t="s">
        <v>29</v>
      </c>
      <c r="F522" s="14" t="s">
        <v>911</v>
      </c>
      <c r="G522" s="14" t="b">
        <f>OR(LCI_Table[[#This Row],[Feedstock]]="All",LCI_Table[[#This Row],[Feedstock]]=SelectedFeedstock)</f>
        <v>0</v>
      </c>
      <c r="H522" s="14" t="b">
        <f>OR(LCI_Table[[#This Row],[Conversion]]="All",LCI_Table[[#This Row],[Conversion]]=SelectedConversion)</f>
        <v>0</v>
      </c>
      <c r="I522" s="14" t="b">
        <f>OR(LCI_Table[[#This Row],[Data Set]]="all",LCI_Table[[#This Row],[Data Set]]=SelectedDataSet)</f>
        <v>1</v>
      </c>
      <c r="J522" s="14" t="b">
        <f>OR(LCI_Table[[#This Row],[Technology]]="All",LCI_Table[[#This Row],[Technology]]=SelectedTechnology)</f>
        <v>0</v>
      </c>
      <c r="K522" s="14" t="b">
        <f>OR(LCI_Table[[#This Row],[Data Source]]="All",LCI_Table[[#This Row],[Data Source]]=SelectedDataSource)</f>
        <v>1</v>
      </c>
      <c r="L522" s="14" t="b">
        <f>TRUE</f>
        <v>1</v>
      </c>
      <c r="M522" s="14" t="b">
        <f>(LCI_Table[[#This Row],[Dev Notes]]="Do not display")</f>
        <v>0</v>
      </c>
      <c r="N522" s="14" t="b">
        <f>AND(LCI_Table[[#This Row],[Show Feedstock]:[Conditional]],NOT(LCI_Table[[#This Row],[Hide Row]]))</f>
        <v>0</v>
      </c>
      <c r="O522" s="14" t="b">
        <f>LCI_Table[[#This Row],[GREET1 Name Range]]=""</f>
        <v>0</v>
      </c>
      <c r="P522" s="14" t="s">
        <v>1448</v>
      </c>
      <c r="Q522" s="14" t="s">
        <v>567</v>
      </c>
      <c r="R522" s="14" t="s">
        <v>384</v>
      </c>
      <c r="S522" s="37" cm="1">
        <f t="array" aca="1" ref="S5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4007.8042668544622</v>
      </c>
      <c r="T522" s="346" t="s">
        <v>2127</v>
      </c>
      <c r="U522" s="347">
        <f ca="1">S522/kg2g/Allocations!$O$50*MJ2mmBTU</f>
        <v>5.042810302942566E-3</v>
      </c>
      <c r="V522" s="347">
        <v>4007.8042668544622</v>
      </c>
      <c r="W522" s="347">
        <v>5.042810302942566E-3</v>
      </c>
      <c r="X522" s="37" t="s">
        <v>6</v>
      </c>
      <c r="Y522" s="346" t="s">
        <v>416</v>
      </c>
      <c r="Z522" s="14" t="str">
        <f>IF(ISBLANK(LCI_Table[[#This Row],[Notes for user]])," ",LCI_Table[[#This Row],[Notes for user]])</f>
        <v xml:space="preserve"> </v>
      </c>
      <c r="AA522" s="14"/>
      <c r="AB522" s="14"/>
      <c r="AC522" s="346">
        <f ca="1">LCI_Table[[#This Row],[Default Calculated Value]]-LCI_Table[[#This Row],[Calculated Value]]</f>
        <v>0</v>
      </c>
    </row>
    <row r="523" spans="1:29" x14ac:dyDescent="0.3">
      <c r="A5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residueATJ-ethanolGREETGREETCo-located facilities_Cellulosic_ETJ_UreaUrea</v>
      </c>
      <c r="B523" s="14" t="s">
        <v>316</v>
      </c>
      <c r="C523" s="14" t="s">
        <v>1964</v>
      </c>
      <c r="D523" s="14" t="s">
        <v>29</v>
      </c>
      <c r="E523" s="48" t="s">
        <v>29</v>
      </c>
      <c r="F523" s="14" t="s">
        <v>911</v>
      </c>
      <c r="G523" s="14" t="b">
        <f>OR(LCI_Table[[#This Row],[Feedstock]]="All",LCI_Table[[#This Row],[Feedstock]]=SelectedFeedstock)</f>
        <v>0</v>
      </c>
      <c r="H523" s="14" t="b">
        <f>OR(LCI_Table[[#This Row],[Conversion]]="All",LCI_Table[[#This Row],[Conversion]]=SelectedConversion)</f>
        <v>0</v>
      </c>
      <c r="I523" s="14" t="b">
        <f>OR(LCI_Table[[#This Row],[Data Set]]="all",LCI_Table[[#This Row],[Data Set]]=SelectedDataSet)</f>
        <v>1</v>
      </c>
      <c r="J523" s="14" t="b">
        <f>OR(LCI_Table[[#This Row],[Technology]]="All",LCI_Table[[#This Row],[Technology]]=SelectedTechnology)</f>
        <v>0</v>
      </c>
      <c r="K523" s="14" t="b">
        <f>OR(LCI_Table[[#This Row],[Data Source]]="All",LCI_Table[[#This Row],[Data Source]]=SelectedDataSource)</f>
        <v>1</v>
      </c>
      <c r="L523" s="14" t="b">
        <f>TRUE</f>
        <v>1</v>
      </c>
      <c r="M523" s="14" t="b">
        <f>(LCI_Table[[#This Row],[Dev Notes]]="Do not display")</f>
        <v>0</v>
      </c>
      <c r="N523" s="14" t="b">
        <f>AND(LCI_Table[[#This Row],[Show Feedstock]:[Conditional]],NOT(LCI_Table[[#This Row],[Hide Row]]))</f>
        <v>0</v>
      </c>
      <c r="O523" s="14" t="b">
        <f>LCI_Table[[#This Row],[GREET1 Name Range]]=""</f>
        <v>0</v>
      </c>
      <c r="P523" s="14" t="s">
        <v>1448</v>
      </c>
      <c r="Q523" s="14" t="s">
        <v>568</v>
      </c>
      <c r="R523" s="14" t="s">
        <v>144</v>
      </c>
      <c r="S523" s="37" cm="1">
        <f t="array" aca="1" ref="S5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232.6590059001833</v>
      </c>
      <c r="T523" s="346" t="s">
        <v>2127</v>
      </c>
      <c r="U523" s="347">
        <f ca="1">S523/kg2g/Allocations!$O$50*MJ2mmBTU</f>
        <v>2.9274264757112316E-4</v>
      </c>
      <c r="V523" s="347">
        <v>232.6590059001833</v>
      </c>
      <c r="W523" s="347">
        <v>2.9274264757112316E-4</v>
      </c>
      <c r="X523" s="37" t="s">
        <v>6</v>
      </c>
      <c r="Y523" s="346" t="s">
        <v>416</v>
      </c>
      <c r="Z523" s="14" t="str">
        <f>IF(ISBLANK(LCI_Table[[#This Row],[Notes for user]])," ",LCI_Table[[#This Row],[Notes for user]])</f>
        <v xml:space="preserve"> </v>
      </c>
      <c r="AA523" s="14"/>
      <c r="AB523" s="14"/>
      <c r="AC523" s="346">
        <f ca="1">LCI_Table[[#This Row],[Default Calculated Value]]-LCI_Table[[#This Row],[Calculated Value]]</f>
        <v>0</v>
      </c>
    </row>
    <row r="524" spans="1:29" x14ac:dyDescent="0.3">
      <c r="A5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residueATJ-ethanolGREETGREETCo-located facilities_Cellulosic_ETJ_NaOHNaOH</v>
      </c>
      <c r="B524" s="14" t="s">
        <v>316</v>
      </c>
      <c r="C524" s="14" t="s">
        <v>1964</v>
      </c>
      <c r="D524" s="14" t="s">
        <v>29</v>
      </c>
      <c r="E524" s="48" t="s">
        <v>29</v>
      </c>
      <c r="F524" s="14" t="s">
        <v>911</v>
      </c>
      <c r="G524" s="14" t="b">
        <f>OR(LCI_Table[[#This Row],[Feedstock]]="All",LCI_Table[[#This Row],[Feedstock]]=SelectedFeedstock)</f>
        <v>0</v>
      </c>
      <c r="H524" s="14" t="b">
        <f>OR(LCI_Table[[#This Row],[Conversion]]="All",LCI_Table[[#This Row],[Conversion]]=SelectedConversion)</f>
        <v>0</v>
      </c>
      <c r="I524" s="14" t="b">
        <f>OR(LCI_Table[[#This Row],[Data Set]]="all",LCI_Table[[#This Row],[Data Set]]=SelectedDataSet)</f>
        <v>1</v>
      </c>
      <c r="J524" s="14" t="b">
        <f>OR(LCI_Table[[#This Row],[Technology]]="All",LCI_Table[[#This Row],[Technology]]=SelectedTechnology)</f>
        <v>0</v>
      </c>
      <c r="K524" s="14" t="b">
        <f>OR(LCI_Table[[#This Row],[Data Source]]="All",LCI_Table[[#This Row],[Data Source]]=SelectedDataSource)</f>
        <v>1</v>
      </c>
      <c r="L524" s="14" t="b">
        <f>TRUE</f>
        <v>1</v>
      </c>
      <c r="M524" s="14" t="b">
        <f>(LCI_Table[[#This Row],[Dev Notes]]="Do not display")</f>
        <v>0</v>
      </c>
      <c r="N524" s="14" t="b">
        <f>AND(LCI_Table[[#This Row],[Show Feedstock]:[Conditional]],NOT(LCI_Table[[#This Row],[Hide Row]]))</f>
        <v>0</v>
      </c>
      <c r="O524" s="14" t="b">
        <f>LCI_Table[[#This Row],[GREET1 Name Range]]=""</f>
        <v>0</v>
      </c>
      <c r="P524" s="14" t="s">
        <v>1448</v>
      </c>
      <c r="Q524" s="14" t="s">
        <v>1401</v>
      </c>
      <c r="R524" s="14" t="s">
        <v>403</v>
      </c>
      <c r="S524" s="37" cm="1">
        <f t="array" aca="1" ref="S5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24" s="346" t="s">
        <v>2127</v>
      </c>
      <c r="U524" s="347">
        <f ca="1">S524/kg2g/Allocations!$O$50*MJ2mmBTU</f>
        <v>0</v>
      </c>
      <c r="V524" s="347">
        <v>0</v>
      </c>
      <c r="W524" s="347">
        <v>0</v>
      </c>
      <c r="X524" s="37" t="s">
        <v>6</v>
      </c>
      <c r="Y524" s="346" t="s">
        <v>416</v>
      </c>
      <c r="Z524" s="14" t="str">
        <f>IF(ISBLANK(LCI_Table[[#This Row],[Notes for user]])," ",LCI_Table[[#This Row],[Notes for user]])</f>
        <v xml:space="preserve"> </v>
      </c>
      <c r="AA524" s="14"/>
      <c r="AB524" s="14"/>
      <c r="AC524" s="346">
        <f ca="1">LCI_Table[[#This Row],[Default Calculated Value]]-LCI_Table[[#This Row],[Calculated Value]]</f>
        <v>0</v>
      </c>
    </row>
    <row r="525" spans="1:29" x14ac:dyDescent="0.3">
      <c r="A5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residueATJ-ethanolGREETGREETCo-located facilities_Cellulosic_ETJ_WaterWater</v>
      </c>
      <c r="B525" s="14" t="s">
        <v>316</v>
      </c>
      <c r="C525" s="14" t="s">
        <v>1964</v>
      </c>
      <c r="D525" s="14" t="s">
        <v>29</v>
      </c>
      <c r="E525" s="48" t="s">
        <v>29</v>
      </c>
      <c r="F525" s="14" t="s">
        <v>911</v>
      </c>
      <c r="G525" s="14" t="b">
        <f>OR(LCI_Table[[#This Row],[Feedstock]]="All",LCI_Table[[#This Row],[Feedstock]]=SelectedFeedstock)</f>
        <v>0</v>
      </c>
      <c r="H525" s="14" t="b">
        <f>OR(LCI_Table[[#This Row],[Conversion]]="All",LCI_Table[[#This Row],[Conversion]]=SelectedConversion)</f>
        <v>0</v>
      </c>
      <c r="I525" s="14" t="b">
        <f>OR(LCI_Table[[#This Row],[Data Set]]="all",LCI_Table[[#This Row],[Data Set]]=SelectedDataSet)</f>
        <v>1</v>
      </c>
      <c r="J525" s="14" t="b">
        <f>OR(LCI_Table[[#This Row],[Technology]]="All",LCI_Table[[#This Row],[Technology]]=SelectedTechnology)</f>
        <v>0</v>
      </c>
      <c r="K525" s="14" t="b">
        <f>OR(LCI_Table[[#This Row],[Data Source]]="All",LCI_Table[[#This Row],[Data Source]]=SelectedDataSource)</f>
        <v>1</v>
      </c>
      <c r="L525" s="14" t="b">
        <f>TRUE</f>
        <v>1</v>
      </c>
      <c r="M525" s="14" t="b">
        <f>(LCI_Table[[#This Row],[Dev Notes]]="Do not display")</f>
        <v>0</v>
      </c>
      <c r="N525" s="14" t="b">
        <f>AND(LCI_Table[[#This Row],[Show Feedstock]:[Conditional]],NOT(LCI_Table[[#This Row],[Hide Row]]))</f>
        <v>0</v>
      </c>
      <c r="O525" s="14" t="b">
        <f>LCI_Table[[#This Row],[GREET1 Name Range]]=""</f>
        <v>0</v>
      </c>
      <c r="P525" s="14" t="s">
        <v>1448</v>
      </c>
      <c r="Q525" s="14" t="s">
        <v>569</v>
      </c>
      <c r="R525" s="14" t="s">
        <v>146</v>
      </c>
      <c r="S525" s="37" cm="1">
        <f t="array" aca="1" ref="S5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79.956230854903993</v>
      </c>
      <c r="T525" s="346" t="s">
        <v>2128</v>
      </c>
      <c r="U525" s="347">
        <f ca="1">S525/kg2lb*Fuel_Specs!$K$4/Allocations!$O$50*MJ2mmBTU</f>
        <v>0.37970757860566479</v>
      </c>
      <c r="V525" s="347">
        <v>79.956230854903993</v>
      </c>
      <c r="W525" s="347">
        <v>0.37970757860566479</v>
      </c>
      <c r="X525" s="37" t="s">
        <v>5</v>
      </c>
      <c r="Y525" s="346" t="s">
        <v>416</v>
      </c>
      <c r="Z525" s="14" t="str">
        <f>IF(ISBLANK(LCI_Table[[#This Row],[Notes for user]])," ",LCI_Table[[#This Row],[Notes for user]])</f>
        <v xml:space="preserve"> </v>
      </c>
      <c r="AA525" s="14"/>
      <c r="AB525" s="14"/>
      <c r="AC525" s="346">
        <f ca="1">LCI_Table[[#This Row],[Default Calculated Value]]-LCI_Table[[#This Row],[Calculated Value]]</f>
        <v>0</v>
      </c>
    </row>
    <row r="526" spans="1:29" x14ac:dyDescent="0.3">
      <c r="A5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residueATJ-ethanolGREETGREETCo-located facilities_Cellulosic_ETJ_Electricity_co_producedGrid Electricity</v>
      </c>
      <c r="B526" s="14" t="s">
        <v>316</v>
      </c>
      <c r="C526" s="14" t="s">
        <v>1964</v>
      </c>
      <c r="D526" s="14" t="s">
        <v>29</v>
      </c>
      <c r="E526" s="48" t="s">
        <v>29</v>
      </c>
      <c r="F526" s="14" t="s">
        <v>911</v>
      </c>
      <c r="G526" s="14" t="b">
        <f>OR(LCI_Table[[#This Row],[Feedstock]]="All",LCI_Table[[#This Row],[Feedstock]]=SelectedFeedstock)</f>
        <v>0</v>
      </c>
      <c r="H526" s="14" t="b">
        <f>OR(LCI_Table[[#This Row],[Conversion]]="All",LCI_Table[[#This Row],[Conversion]]=SelectedConversion)</f>
        <v>0</v>
      </c>
      <c r="I526" s="14" t="b">
        <f>OR(LCI_Table[[#This Row],[Data Set]]="all",LCI_Table[[#This Row],[Data Set]]=SelectedDataSet)</f>
        <v>1</v>
      </c>
      <c r="J526" s="14" t="b">
        <f>OR(LCI_Table[[#This Row],[Technology]]="All",LCI_Table[[#This Row],[Technology]]=SelectedTechnology)</f>
        <v>0</v>
      </c>
      <c r="K526" s="14" t="b">
        <f>OR(LCI_Table[[#This Row],[Data Source]]="All",LCI_Table[[#This Row],[Data Source]]=SelectedDataSource)</f>
        <v>1</v>
      </c>
      <c r="L526" s="14" t="b">
        <f>TRUE</f>
        <v>1</v>
      </c>
      <c r="M526" s="14" t="b">
        <f>(LCI_Table[[#This Row],[Dev Notes]]="Do not display")</f>
        <v>0</v>
      </c>
      <c r="N526" s="14" t="b">
        <f>AND(LCI_Table[[#This Row],[Show Feedstock]:[Conditional]],NOT(LCI_Table[[#This Row],[Hide Row]]))</f>
        <v>0</v>
      </c>
      <c r="O526" s="14" t="b">
        <f>LCI_Table[[#This Row],[GREET1 Name Range]]=""</f>
        <v>0</v>
      </c>
      <c r="P526" s="14" t="s">
        <v>1448</v>
      </c>
      <c r="Q526" s="14" t="s">
        <v>561</v>
      </c>
      <c r="R526" s="14" t="s">
        <v>1684</v>
      </c>
      <c r="S526" s="37" cm="1">
        <f t="array" aca="1" ref="S5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25.473126463384443</v>
      </c>
      <c r="T526" s="346" t="s">
        <v>2121</v>
      </c>
      <c r="U526" s="347">
        <f ca="1">S526/Allocations!$O$50*MJ2mmBTU</f>
        <v>3.2051501526678398E-2</v>
      </c>
      <c r="V526" s="347">
        <v>25.473126463384443</v>
      </c>
      <c r="W526" s="347">
        <v>3.2051501526678398E-2</v>
      </c>
      <c r="X526" s="37" t="s">
        <v>51</v>
      </c>
      <c r="Y526" s="346" t="s">
        <v>416</v>
      </c>
      <c r="Z526" s="14" t="str">
        <f>IF(ISBLANK(LCI_Table[[#This Row],[Notes for user]])," ",LCI_Table[[#This Row],[Notes for user]])</f>
        <v xml:space="preserve"> </v>
      </c>
      <c r="AA526" s="14"/>
      <c r="AB526" s="14"/>
      <c r="AC526" s="346">
        <f ca="1">LCI_Table[[#This Row],[Default Calculated Value]]-LCI_Table[[#This Row],[Calculated Value]]</f>
        <v>0</v>
      </c>
    </row>
    <row r="527" spans="1:29" x14ac:dyDescent="0.3">
      <c r="A5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Facilities_Selector_SAF Production</v>
      </c>
      <c r="B527" s="14" t="s">
        <v>136</v>
      </c>
      <c r="C527" s="14" t="s">
        <v>1964</v>
      </c>
      <c r="D527" s="14" t="s">
        <v>29</v>
      </c>
      <c r="E527" s="48" t="s">
        <v>29</v>
      </c>
      <c r="F527" s="14" t="s">
        <v>1592</v>
      </c>
      <c r="G527" s="14" t="b">
        <f>OR(LCI_Table[[#This Row],[Feedstock]]="All",LCI_Table[[#This Row],[Feedstock]]=SelectedFeedstock)</f>
        <v>0</v>
      </c>
      <c r="H527" s="14" t="b">
        <f>OR(LCI_Table[[#This Row],[Conversion]]="All",LCI_Table[[#This Row],[Conversion]]=SelectedConversion)</f>
        <v>0</v>
      </c>
      <c r="I527" s="14" t="b">
        <f>OR(LCI_Table[[#This Row],[Data Set]]="all",LCI_Table[[#This Row],[Data Set]]=SelectedDataSet)</f>
        <v>1</v>
      </c>
      <c r="J527" s="14" t="b">
        <f>OR(LCI_Table[[#This Row],[Technology]]="All",LCI_Table[[#This Row],[Technology]]=SelectedTechnology)</f>
        <v>0</v>
      </c>
      <c r="K527" s="14" t="b">
        <f>OR(LCI_Table[[#This Row],[Data Source]]="All",LCI_Table[[#This Row],[Data Source]]=SelectedDataSource)</f>
        <v>1</v>
      </c>
      <c r="L527" s="14" t="b">
        <f>TRUE</f>
        <v>1</v>
      </c>
      <c r="M527" s="14" t="b">
        <f>(LCI_Table[[#This Row],[Dev Notes]]="Do not display")</f>
        <v>1</v>
      </c>
      <c r="N527" s="14" t="b">
        <f>AND(LCI_Table[[#This Row],[Show Feedstock]:[Conditional]],NOT(LCI_Table[[#This Row],[Hide Row]]))</f>
        <v>0</v>
      </c>
      <c r="O527" s="14" t="b">
        <f>LCI_Table[[#This Row],[GREET1 Name Range]]=""</f>
        <v>1</v>
      </c>
      <c r="P527" s="14" t="s">
        <v>1448</v>
      </c>
      <c r="Q527" s="14"/>
      <c r="R527" s="14" t="s">
        <v>902</v>
      </c>
      <c r="S527" s="37" cm="1">
        <f t="array" aca="1" ref="S5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v>
      </c>
      <c r="T527" s="346" t="s">
        <v>2129</v>
      </c>
      <c r="U527" s="352">
        <v>1</v>
      </c>
      <c r="V527" s="352">
        <v>1</v>
      </c>
      <c r="W527" s="352">
        <v>1</v>
      </c>
      <c r="X527" s="356"/>
      <c r="Y527" s="346"/>
      <c r="Z527" s="14" t="str">
        <f>IF(ISBLANK(LCI_Table[[#This Row],[Notes for user]])," ",LCI_Table[[#This Row],[Notes for user]])</f>
        <v xml:space="preserve"> </v>
      </c>
      <c r="AA527" s="14"/>
      <c r="AB527" s="14" t="s">
        <v>1138</v>
      </c>
      <c r="AC527" s="346">
        <f>LCI_Table[[#This Row],[Default Calculated Value]]-LCI_Table[[#This Row],[Calculated Value]]</f>
        <v>0</v>
      </c>
    </row>
    <row r="528" spans="1:29" x14ac:dyDescent="0.3">
      <c r="A5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Facilities_Ethanol_ETJ_distributed_CatalystsCatalysts</v>
      </c>
      <c r="B528" s="14" t="s">
        <v>136</v>
      </c>
      <c r="C528" s="14" t="s">
        <v>1964</v>
      </c>
      <c r="D528" s="14" t="s">
        <v>29</v>
      </c>
      <c r="E528" s="48" t="s">
        <v>29</v>
      </c>
      <c r="F528" s="14" t="s">
        <v>1592</v>
      </c>
      <c r="G528" s="14" t="b">
        <f>OR(LCI_Table[[#This Row],[Feedstock]]="All",LCI_Table[[#This Row],[Feedstock]]=SelectedFeedstock)</f>
        <v>0</v>
      </c>
      <c r="H528" s="14" t="b">
        <f>OR(LCI_Table[[#This Row],[Conversion]]="All",LCI_Table[[#This Row],[Conversion]]=SelectedConversion)</f>
        <v>0</v>
      </c>
      <c r="I528" s="14" t="b">
        <f>OR(LCI_Table[[#This Row],[Data Set]]="all",LCI_Table[[#This Row],[Data Set]]=SelectedDataSet)</f>
        <v>1</v>
      </c>
      <c r="J528" s="14" t="b">
        <f>OR(LCI_Table[[#This Row],[Technology]]="All",LCI_Table[[#This Row],[Technology]]=SelectedTechnology)</f>
        <v>0</v>
      </c>
      <c r="K528" s="14" t="b">
        <f>OR(LCI_Table[[#This Row],[Data Source]]="All",LCI_Table[[#This Row],[Data Source]]=SelectedDataSource)</f>
        <v>1</v>
      </c>
      <c r="L528" s="14" t="b">
        <v>0</v>
      </c>
      <c r="M528" s="14" t="b">
        <f>(LCI_Table[[#This Row],[Dev Notes]]="Do not display")</f>
        <v>0</v>
      </c>
      <c r="N528" s="14" t="b">
        <f>AND(LCI_Table[[#This Row],[Show Feedstock]:[Conditional]],NOT(LCI_Table[[#This Row],[Hide Row]]))</f>
        <v>0</v>
      </c>
      <c r="O528" s="14" t="b">
        <f>LCI_Table[[#This Row],[GREET1 Name Range]]=""</f>
        <v>0</v>
      </c>
      <c r="P528" s="14" t="s">
        <v>1448</v>
      </c>
      <c r="Q528" s="14" t="s">
        <v>639</v>
      </c>
      <c r="R528" s="14" t="s">
        <v>142</v>
      </c>
      <c r="S528" s="37" cm="1">
        <f t="array" aca="1" ref="S5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1.0691470606945369E-4</v>
      </c>
      <c r="T528" s="346" t="s">
        <v>2130</v>
      </c>
      <c r="U528" s="351">
        <f ca="1">$S528</f>
        <v>1.0691470606945369E-4</v>
      </c>
      <c r="V528" s="347">
        <v>1.0691470606945369E-4</v>
      </c>
      <c r="W528" s="347">
        <v>1.0691470606945369E-4</v>
      </c>
      <c r="X528" s="37" t="s">
        <v>61</v>
      </c>
      <c r="Y528" s="346" t="s">
        <v>1607</v>
      </c>
      <c r="Z528" s="14" t="str">
        <f>IF(ISBLANK(LCI_Table[[#This Row],[Notes for user]])," ",LCI_Table[[#This Row],[Notes for user]])</f>
        <v xml:space="preserve"> </v>
      </c>
      <c r="AA528" s="14"/>
      <c r="AB528" s="14"/>
      <c r="AC528" s="346">
        <f ca="1">LCI_Table[[#This Row],[Default Calculated Value]]-LCI_Table[[#This Row],[Calculated Value]]</f>
        <v>0</v>
      </c>
    </row>
    <row r="529" spans="1:29" x14ac:dyDescent="0.3">
      <c r="A5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Facilities_Ethanol_ETJ_distributed_WaterWater</v>
      </c>
      <c r="B529" s="14" t="s">
        <v>136</v>
      </c>
      <c r="C529" s="14" t="s">
        <v>1964</v>
      </c>
      <c r="D529" s="14" t="s">
        <v>29</v>
      </c>
      <c r="E529" s="48" t="s">
        <v>29</v>
      </c>
      <c r="F529" s="14" t="s">
        <v>1592</v>
      </c>
      <c r="G529" s="14" t="b">
        <f>OR(LCI_Table[[#This Row],[Feedstock]]="All",LCI_Table[[#This Row],[Feedstock]]=SelectedFeedstock)</f>
        <v>0</v>
      </c>
      <c r="H529" s="14" t="b">
        <f>OR(LCI_Table[[#This Row],[Conversion]]="All",LCI_Table[[#This Row],[Conversion]]=SelectedConversion)</f>
        <v>0</v>
      </c>
      <c r="I529" s="14" t="b">
        <f>OR(LCI_Table[[#This Row],[Data Set]]="all",LCI_Table[[#This Row],[Data Set]]=SelectedDataSet)</f>
        <v>1</v>
      </c>
      <c r="J529" s="14" t="b">
        <f>OR(LCI_Table[[#This Row],[Technology]]="All",LCI_Table[[#This Row],[Technology]]=SelectedTechnology)</f>
        <v>0</v>
      </c>
      <c r="K529" s="14" t="b">
        <f>OR(LCI_Table[[#This Row],[Data Source]]="All",LCI_Table[[#This Row],[Data Source]]=SelectedDataSource)</f>
        <v>1</v>
      </c>
      <c r="L529" s="14" t="b">
        <v>0</v>
      </c>
      <c r="M529" s="14" t="b">
        <f>(LCI_Table[[#This Row],[Dev Notes]]="Do not display")</f>
        <v>0</v>
      </c>
      <c r="N529" s="14" t="b">
        <f>AND(LCI_Table[[#This Row],[Show Feedstock]:[Conditional]],NOT(LCI_Table[[#This Row],[Hide Row]]))</f>
        <v>0</v>
      </c>
      <c r="O529" s="14" t="b">
        <f>LCI_Table[[#This Row],[GREET1 Name Range]]=""</f>
        <v>0</v>
      </c>
      <c r="P529" s="14" t="s">
        <v>1448</v>
      </c>
      <c r="Q529" s="14" t="s">
        <v>644</v>
      </c>
      <c r="R529" s="14" t="s">
        <v>146</v>
      </c>
      <c r="S529" s="37" cm="1">
        <f t="array" aca="1" ref="S5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1.4957826037049801E-2</v>
      </c>
      <c r="T529" s="346" t="s">
        <v>2131</v>
      </c>
      <c r="U529" s="357">
        <f ca="1">$S529*gal2L</f>
        <v>5.6621519216734723E-2</v>
      </c>
      <c r="V529" s="347">
        <v>1.4957826037049801E-2</v>
      </c>
      <c r="W529" s="347">
        <v>5.6621519216734723E-2</v>
      </c>
      <c r="X529" s="37" t="s">
        <v>5</v>
      </c>
      <c r="Y529" s="346" t="s">
        <v>1607</v>
      </c>
      <c r="Z529" s="14" t="str">
        <f>IF(ISBLANK(LCI_Table[[#This Row],[Notes for user]])," ",LCI_Table[[#This Row],[Notes for user]])</f>
        <v xml:space="preserve"> </v>
      </c>
      <c r="AA529" s="14"/>
      <c r="AB529" s="14"/>
      <c r="AC529" s="346">
        <f ca="1">LCI_Table[[#This Row],[Default Calculated Value]]-LCI_Table[[#This Row],[Calculated Value]]</f>
        <v>0</v>
      </c>
    </row>
    <row r="530" spans="1:29" x14ac:dyDescent="0.3">
      <c r="A5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CornATJ-ethanolGREETGREETCorn dry mill w/o extraction - Standalone Facilities_JetFuel_ETJet_EthanolFeedstockSelector</v>
      </c>
      <c r="B530" s="14" t="s">
        <v>136</v>
      </c>
      <c r="C530" s="14" t="s">
        <v>1964</v>
      </c>
      <c r="D530" s="14" t="s">
        <v>29</v>
      </c>
      <c r="E530" s="48" t="s">
        <v>29</v>
      </c>
      <c r="F530" s="14" t="s">
        <v>1590</v>
      </c>
      <c r="G530" s="14" t="b">
        <f>OR(LCI_Table[[#This Row],[Feedstock]]="All",LCI_Table[[#This Row],[Feedstock]]=SelectedFeedstock)</f>
        <v>0</v>
      </c>
      <c r="H530" s="14" t="b">
        <f>OR(LCI_Table[[#This Row],[Conversion]]="All",LCI_Table[[#This Row],[Conversion]]=SelectedConversion)</f>
        <v>0</v>
      </c>
      <c r="I530" s="14" t="b">
        <f>OR(LCI_Table[[#This Row],[Data Set]]="all",LCI_Table[[#This Row],[Data Set]]=SelectedDataSet)</f>
        <v>1</v>
      </c>
      <c r="J530" s="14" t="b">
        <f>OR(LCI_Table[[#This Row],[Technology]]="All",LCI_Table[[#This Row],[Technology]]=SelectedTechnology)</f>
        <v>0</v>
      </c>
      <c r="K530" s="14" t="b">
        <f>OR(LCI_Table[[#This Row],[Data Source]]="All",LCI_Table[[#This Row],[Data Source]]=SelectedDataSource)</f>
        <v>1</v>
      </c>
      <c r="L530" s="14" t="b">
        <f>TRUE</f>
        <v>1</v>
      </c>
      <c r="M530" s="14" t="b">
        <f>(LCI_Table[[#This Row],[Dev Notes]]="Do not display")</f>
        <v>1</v>
      </c>
      <c r="N530" s="14" t="b">
        <f>AND(LCI_Table[[#This Row],[Show Feedstock]:[Conditional]],NOT(LCI_Table[[#This Row],[Hide Row]]))</f>
        <v>0</v>
      </c>
      <c r="O530" s="14" t="b">
        <f>LCI_Table[[#This Row],[GREET1 Name Range]]=""</f>
        <v>0</v>
      </c>
      <c r="P530" s="14" t="s">
        <v>1448</v>
      </c>
      <c r="Q530" s="14" t="s">
        <v>87</v>
      </c>
      <c r="R530" s="14" t="s">
        <v>902</v>
      </c>
      <c r="S530" s="37" cm="1">
        <f t="array" aca="1" ref="S5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v>
      </c>
      <c r="T530" s="346" t="s">
        <v>2132</v>
      </c>
      <c r="U530" s="352">
        <v>2</v>
      </c>
      <c r="V530" s="352">
        <v>2</v>
      </c>
      <c r="W530" s="352">
        <v>2</v>
      </c>
      <c r="X530" s="356"/>
      <c r="Y530" s="346" t="s">
        <v>416</v>
      </c>
      <c r="Z530" s="14" t="str">
        <f>IF(ISBLANK(LCI_Table[[#This Row],[Notes for user]])," ",LCI_Table[[#This Row],[Notes for user]])</f>
        <v xml:space="preserve"> </v>
      </c>
      <c r="AA530" s="14"/>
      <c r="AB530" s="14" t="s">
        <v>1138</v>
      </c>
      <c r="AC530" s="346">
        <f>LCI_Table[[#This Row],[Default Calculated Value]]-LCI_Table[[#This Row],[Calculated Value]]</f>
        <v>0</v>
      </c>
    </row>
    <row r="531" spans="1:29" x14ac:dyDescent="0.3">
      <c r="A5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CornATJ-ethanolGREETGREETCorn dry mill w/o extraction - Standalone Facilities_Ethanol_ETJ_distributed_EthanolEthanol: Corn dry mill w/o extraction</v>
      </c>
      <c r="B531" s="14" t="s">
        <v>136</v>
      </c>
      <c r="C531" s="14" t="s">
        <v>1964</v>
      </c>
      <c r="D531" s="14" t="s">
        <v>29</v>
      </c>
      <c r="E531" s="48" t="s">
        <v>29</v>
      </c>
      <c r="F531" s="14" t="s">
        <v>1590</v>
      </c>
      <c r="G531" s="14" t="b">
        <f>OR(LCI_Table[[#This Row],[Feedstock]]="All",LCI_Table[[#This Row],[Feedstock]]=SelectedFeedstock)</f>
        <v>0</v>
      </c>
      <c r="H531" s="14" t="b">
        <f>OR(LCI_Table[[#This Row],[Conversion]]="All",LCI_Table[[#This Row],[Conversion]]=SelectedConversion)</f>
        <v>0</v>
      </c>
      <c r="I531" s="14" t="b">
        <f>OR(LCI_Table[[#This Row],[Data Set]]="all",LCI_Table[[#This Row],[Data Set]]=SelectedDataSet)</f>
        <v>1</v>
      </c>
      <c r="J531" s="14" t="b">
        <f>OR(LCI_Table[[#This Row],[Technology]]="All",LCI_Table[[#This Row],[Technology]]=SelectedTechnology)</f>
        <v>0</v>
      </c>
      <c r="K531" s="14" t="b">
        <f>OR(LCI_Table[[#This Row],[Data Source]]="All",LCI_Table[[#This Row],[Data Source]]=SelectedDataSource)</f>
        <v>1</v>
      </c>
      <c r="L531" s="14" t="b">
        <f>TRUE</f>
        <v>1</v>
      </c>
      <c r="M531" s="14" t="b">
        <f>(LCI_Table[[#This Row],[Dev Notes]]="Do not display")</f>
        <v>0</v>
      </c>
      <c r="N531" s="14" t="b">
        <f>AND(LCI_Table[[#This Row],[Show Feedstock]:[Conditional]],NOT(LCI_Table[[#This Row],[Hide Row]]))</f>
        <v>0</v>
      </c>
      <c r="O531" s="14" t="b">
        <f>LCI_Table[[#This Row],[GREET1 Name Range]]=""</f>
        <v>0</v>
      </c>
      <c r="P531" s="14" t="s">
        <v>1448</v>
      </c>
      <c r="Q531" s="14" t="s">
        <v>641</v>
      </c>
      <c r="R531" s="14" t="s">
        <v>389</v>
      </c>
      <c r="S531" s="37" cm="1">
        <f t="array" aca="1" ref="S5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14.67440380325554</v>
      </c>
      <c r="T531" s="346" t="s">
        <v>2128</v>
      </c>
      <c r="U531" s="347">
        <f ca="1">S531/kg2g*Fuel_Specs!$E$31/Allocations!$O$52*MJ2mmBTU</f>
        <v>5.5170533920077813E-2</v>
      </c>
      <c r="V531" s="347">
        <v>14.67440380325554</v>
      </c>
      <c r="W531" s="347">
        <v>5.5170533920077813E-2</v>
      </c>
      <c r="X531" s="37" t="s">
        <v>5</v>
      </c>
      <c r="Y531" s="346" t="s">
        <v>416</v>
      </c>
      <c r="Z531" s="14" t="str">
        <f>IF(ISBLANK(LCI_Table[[#This Row],[Notes for user]])," ",LCI_Table[[#This Row],[Notes for user]])</f>
        <v xml:space="preserve"> </v>
      </c>
      <c r="AA531" s="14"/>
      <c r="AB531" s="14"/>
      <c r="AC531" s="346">
        <f ca="1">LCI_Table[[#This Row],[Default Calculated Value]]-LCI_Table[[#This Row],[Calculated Value]]</f>
        <v>0</v>
      </c>
    </row>
    <row r="532" spans="1:29" x14ac:dyDescent="0.3">
      <c r="A5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CornATJ-ethanolGREETGREETCorn dry mill w/o extraction - Standalone Facilities_Ethanol_ETJ_distributed_Natural_gasNatural gas</v>
      </c>
      <c r="B532" s="14" t="s">
        <v>136</v>
      </c>
      <c r="C532" s="358" t="s">
        <v>1964</v>
      </c>
      <c r="D532" s="358" t="s">
        <v>29</v>
      </c>
      <c r="E532" s="48" t="s">
        <v>29</v>
      </c>
      <c r="F532" s="14" t="s">
        <v>1590</v>
      </c>
      <c r="G532" s="14" t="b">
        <f>OR(LCI_Table[[#This Row],[Feedstock]]="All",LCI_Table[[#This Row],[Feedstock]]=SelectedFeedstock)</f>
        <v>0</v>
      </c>
      <c r="H532" s="14" t="b">
        <f>OR(LCI_Table[[#This Row],[Conversion]]="All",LCI_Table[[#This Row],[Conversion]]=SelectedConversion)</f>
        <v>0</v>
      </c>
      <c r="I532" s="14" t="b">
        <f>OR(LCI_Table[[#This Row],[Data Set]]="all",LCI_Table[[#This Row],[Data Set]]=SelectedDataSet)</f>
        <v>1</v>
      </c>
      <c r="J532" s="14" t="b">
        <f>OR(LCI_Table[[#This Row],[Technology]]="All",LCI_Table[[#This Row],[Technology]]=SelectedTechnology)</f>
        <v>0</v>
      </c>
      <c r="K532" s="14" t="b">
        <f>OR(LCI_Table[[#This Row],[Data Source]]="All",LCI_Table[[#This Row],[Data Source]]=SelectedDataSource)</f>
        <v>1</v>
      </c>
      <c r="L532" s="14" t="b">
        <f>TRUE</f>
        <v>1</v>
      </c>
      <c r="M532" s="14" t="b">
        <f>(LCI_Table[[#This Row],[Dev Notes]]="Do not display")</f>
        <v>0</v>
      </c>
      <c r="N532" s="14" t="b">
        <f>AND(LCI_Table[[#This Row],[Show Feedstock]:[Conditional]],NOT(LCI_Table[[#This Row],[Hide Row]]))</f>
        <v>0</v>
      </c>
      <c r="O532" s="14" t="b">
        <f>LCI_Table[[#This Row],[GREET1 Name Range]]=""</f>
        <v>0</v>
      </c>
      <c r="P532" s="358" t="s">
        <v>1448</v>
      </c>
      <c r="Q532" s="14" t="s">
        <v>643</v>
      </c>
      <c r="R532" s="358" t="s">
        <v>108</v>
      </c>
      <c r="S532" s="37" cm="1">
        <f t="array" aca="1" ref="S5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32" s="346" t="s">
        <v>2120</v>
      </c>
      <c r="U532" s="359">
        <f ca="1">S532/kg2g*Fuel_Specs!$E$79/Fuel_Specs!$B$79</f>
        <v>0</v>
      </c>
      <c r="V532" s="359">
        <v>0</v>
      </c>
      <c r="W532" s="359">
        <v>0</v>
      </c>
      <c r="X532" s="360" t="s">
        <v>351</v>
      </c>
      <c r="Y532" s="346" t="s">
        <v>416</v>
      </c>
      <c r="Z532" s="14" t="str">
        <f>IF(ISBLANK(LCI_Table[[#This Row],[Notes for user]])," ",LCI_Table[[#This Row],[Notes for user]])</f>
        <v xml:space="preserve"> </v>
      </c>
      <c r="AA532" s="358"/>
      <c r="AB532" s="358"/>
      <c r="AC532" s="346">
        <f ca="1">LCI_Table[[#This Row],[Default Calculated Value]]-LCI_Table[[#This Row],[Calculated Value]]</f>
        <v>0</v>
      </c>
    </row>
    <row r="533" spans="1:29" x14ac:dyDescent="0.3">
      <c r="A5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CornATJ-ethanolGREETGREETCorn dry mill w/o extraction - Standalone Facilities_Ethanol_ETJ_distributed_ElectricityGrid Electricity</v>
      </c>
      <c r="B533" s="14" t="s">
        <v>136</v>
      </c>
      <c r="C533" s="14" t="s">
        <v>1964</v>
      </c>
      <c r="D533" s="14" t="s">
        <v>29</v>
      </c>
      <c r="E533" s="48" t="s">
        <v>29</v>
      </c>
      <c r="F533" s="14" t="s">
        <v>1590</v>
      </c>
      <c r="G533" s="14" t="b">
        <f>OR(LCI_Table[[#This Row],[Feedstock]]="All",LCI_Table[[#This Row],[Feedstock]]=SelectedFeedstock)</f>
        <v>0</v>
      </c>
      <c r="H533" s="14" t="b">
        <f>OR(LCI_Table[[#This Row],[Conversion]]="All",LCI_Table[[#This Row],[Conversion]]=SelectedConversion)</f>
        <v>0</v>
      </c>
      <c r="I533" s="14" t="b">
        <f>OR(LCI_Table[[#This Row],[Data Set]]="all",LCI_Table[[#This Row],[Data Set]]=SelectedDataSet)</f>
        <v>1</v>
      </c>
      <c r="J533" s="14" t="b">
        <f>OR(LCI_Table[[#This Row],[Technology]]="All",LCI_Table[[#This Row],[Technology]]=SelectedTechnology)</f>
        <v>0</v>
      </c>
      <c r="K533" s="14" t="b">
        <f>OR(LCI_Table[[#This Row],[Data Source]]="All",LCI_Table[[#This Row],[Data Source]]=SelectedDataSource)</f>
        <v>1</v>
      </c>
      <c r="L533" s="14" t="b">
        <f>TRUE</f>
        <v>1</v>
      </c>
      <c r="M533" s="14" t="b">
        <f>(LCI_Table[[#This Row],[Dev Notes]]="Do not display")</f>
        <v>0</v>
      </c>
      <c r="N533" s="14" t="b">
        <f>AND(LCI_Table[[#This Row],[Show Feedstock]:[Conditional]],NOT(LCI_Table[[#This Row],[Hide Row]]))</f>
        <v>0</v>
      </c>
      <c r="O533" s="14" t="b">
        <f>LCI_Table[[#This Row],[GREET1 Name Range]]=""</f>
        <v>0</v>
      </c>
      <c r="P533" s="14" t="s">
        <v>1448</v>
      </c>
      <c r="Q533" s="14" t="s">
        <v>640</v>
      </c>
      <c r="R533" s="14" t="s">
        <v>1684</v>
      </c>
      <c r="S533" s="37" cm="1">
        <f t="array" aca="1" ref="S5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7.3884407786736448</v>
      </c>
      <c r="T533" s="346" t="s">
        <v>2121</v>
      </c>
      <c r="U533" s="347">
        <f ca="1">S533/Allocations!$O$52*MJ2mmBTU</f>
        <v>9.2964882515629704E-3</v>
      </c>
      <c r="V533" s="347">
        <v>7.3884407786736448</v>
      </c>
      <c r="W533" s="347">
        <v>9.2964882515629704E-3</v>
      </c>
      <c r="X533" s="37" t="s">
        <v>51</v>
      </c>
      <c r="Y533" s="346" t="s">
        <v>416</v>
      </c>
      <c r="Z533" s="14" t="str">
        <f>IF(ISBLANK(LCI_Table[[#This Row],[Notes for user]])," ",LCI_Table[[#This Row],[Notes for user]])</f>
        <v xml:space="preserve"> </v>
      </c>
      <c r="AA533" s="14"/>
      <c r="AB533" s="14"/>
      <c r="AC533" s="346">
        <f ca="1">LCI_Table[[#This Row],[Default Calculated Value]]-LCI_Table[[#This Row],[Calculated Value]]</f>
        <v>0</v>
      </c>
    </row>
    <row r="534" spans="1:29" x14ac:dyDescent="0.3">
      <c r="A5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CornATJ-ethanolGREETGREETCorn dry mill w/o extraction - Standalone Facilities_Ethanol_ETJ_distributed_HydrogenHydrogen</v>
      </c>
      <c r="B534" s="14" t="s">
        <v>136</v>
      </c>
      <c r="C534" s="14" t="s">
        <v>1964</v>
      </c>
      <c r="D534" s="14" t="s">
        <v>29</v>
      </c>
      <c r="E534" s="48" t="s">
        <v>29</v>
      </c>
      <c r="F534" s="14" t="s">
        <v>1590</v>
      </c>
      <c r="G534" s="14" t="b">
        <f>OR(LCI_Table[[#This Row],[Feedstock]]="All",LCI_Table[[#This Row],[Feedstock]]=SelectedFeedstock)</f>
        <v>0</v>
      </c>
      <c r="H534" s="14" t="b">
        <f>OR(LCI_Table[[#This Row],[Conversion]]="All",LCI_Table[[#This Row],[Conversion]]=SelectedConversion)</f>
        <v>0</v>
      </c>
      <c r="I534" s="14" t="b">
        <f>OR(LCI_Table[[#This Row],[Data Set]]="all",LCI_Table[[#This Row],[Data Set]]=SelectedDataSet)</f>
        <v>1</v>
      </c>
      <c r="J534" s="14" t="b">
        <f>OR(LCI_Table[[#This Row],[Technology]]="All",LCI_Table[[#This Row],[Technology]]=SelectedTechnology)</f>
        <v>0</v>
      </c>
      <c r="K534" s="14" t="b">
        <f>OR(LCI_Table[[#This Row],[Data Source]]="All",LCI_Table[[#This Row],[Data Source]]=SelectedDataSource)</f>
        <v>1</v>
      </c>
      <c r="L534" s="14" t="b">
        <f>TRUE</f>
        <v>1</v>
      </c>
      <c r="M534" s="14" t="b">
        <f>(LCI_Table[[#This Row],[Dev Notes]]="Do not display")</f>
        <v>0</v>
      </c>
      <c r="N534" s="14" t="b">
        <f>AND(LCI_Table[[#This Row],[Show Feedstock]:[Conditional]],NOT(LCI_Table[[#This Row],[Hide Row]]))</f>
        <v>0</v>
      </c>
      <c r="O534" s="14" t="b">
        <f>LCI_Table[[#This Row],[GREET1 Name Range]]=""</f>
        <v>0</v>
      </c>
      <c r="P534" s="14" t="s">
        <v>1448</v>
      </c>
      <c r="Q534" s="14" t="s">
        <v>642</v>
      </c>
      <c r="R534" s="14" t="s">
        <v>73</v>
      </c>
      <c r="S534" s="37" cm="1">
        <f t="array" aca="1" ref="S5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210.24598998652542</v>
      </c>
      <c r="T534" s="346" t="s">
        <v>2120</v>
      </c>
      <c r="U534" s="347">
        <f ca="1">S534/kg2g*Fuel_Specs!$E$81/Allocations!$O$52*MJ2mmBTU</f>
        <v>6.745808835334578E-4</v>
      </c>
      <c r="V534" s="347">
        <v>210.24598998652542</v>
      </c>
      <c r="W534" s="347">
        <v>6.745808835334578E-4</v>
      </c>
      <c r="X534" s="37" t="s">
        <v>351</v>
      </c>
      <c r="Y534" s="346" t="s">
        <v>416</v>
      </c>
      <c r="Z534" s="14" t="str">
        <f>IF(ISBLANK(LCI_Table[[#This Row],[Notes for user]])," ",LCI_Table[[#This Row],[Notes for user]])</f>
        <v xml:space="preserve"> </v>
      </c>
      <c r="AA534" s="14"/>
      <c r="AB534" s="14"/>
      <c r="AC534" s="346">
        <f ca="1">LCI_Table[[#This Row],[Default Calculated Value]]-LCI_Table[[#This Row],[Calculated Value]]</f>
        <v>0</v>
      </c>
    </row>
    <row r="535" spans="1:29" x14ac:dyDescent="0.3">
      <c r="A5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CornATJ-ethanolGREETGREETCorn dry mill w/o extraction - Standalone Facilities_Ethanol_ETJ_distributed_CatalystsCatalysts</v>
      </c>
      <c r="B535" s="14" t="s">
        <v>136</v>
      </c>
      <c r="C535" s="14" t="s">
        <v>1964</v>
      </c>
      <c r="D535" s="14" t="s">
        <v>29</v>
      </c>
      <c r="E535" s="48" t="s">
        <v>29</v>
      </c>
      <c r="F535" s="14" t="s">
        <v>1590</v>
      </c>
      <c r="G535" s="14" t="b">
        <f>OR(LCI_Table[[#This Row],[Feedstock]]="All",LCI_Table[[#This Row],[Feedstock]]=SelectedFeedstock)</f>
        <v>0</v>
      </c>
      <c r="H535" s="14" t="b">
        <f>OR(LCI_Table[[#This Row],[Conversion]]="All",LCI_Table[[#This Row],[Conversion]]=SelectedConversion)</f>
        <v>0</v>
      </c>
      <c r="I535" s="14" t="b">
        <f>OR(LCI_Table[[#This Row],[Data Set]]="all",LCI_Table[[#This Row],[Data Set]]=SelectedDataSet)</f>
        <v>1</v>
      </c>
      <c r="J535" s="14" t="b">
        <f>OR(LCI_Table[[#This Row],[Technology]]="All",LCI_Table[[#This Row],[Technology]]=SelectedTechnology)</f>
        <v>0</v>
      </c>
      <c r="K535" s="14" t="b">
        <f>OR(LCI_Table[[#This Row],[Data Source]]="All",LCI_Table[[#This Row],[Data Source]]=SelectedDataSource)</f>
        <v>1</v>
      </c>
      <c r="L535" s="14" t="b">
        <f>TRUE</f>
        <v>1</v>
      </c>
      <c r="M535" s="14" t="b">
        <f>(LCI_Table[[#This Row],[Dev Notes]]="Do not display")</f>
        <v>0</v>
      </c>
      <c r="N535" s="14" t="b">
        <f>AND(LCI_Table[[#This Row],[Show Feedstock]:[Conditional]],NOT(LCI_Table[[#This Row],[Hide Row]]))</f>
        <v>0</v>
      </c>
      <c r="O535" s="14" t="b">
        <f>LCI_Table[[#This Row],[GREET1 Name Range]]=""</f>
        <v>0</v>
      </c>
      <c r="P535" s="14" t="s">
        <v>1448</v>
      </c>
      <c r="Q535" s="14" t="s">
        <v>639</v>
      </c>
      <c r="R535" s="14" t="s">
        <v>142</v>
      </c>
      <c r="S535" s="37" cm="1">
        <f t="array" aca="1" ref="S5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0.18732924276995219</v>
      </c>
      <c r="T535" s="346" t="s">
        <v>2119</v>
      </c>
      <c r="U535" s="347">
        <f ca="1">S535/kg2lb/Allocations!$O$52*MJ2mmBTU</f>
        <v>1.0691470606945368E-4</v>
      </c>
      <c r="V535" s="347">
        <v>0.18732924276995219</v>
      </c>
      <c r="W535" s="347">
        <v>1.0691470606945368E-4</v>
      </c>
      <c r="X535" s="37" t="s">
        <v>12</v>
      </c>
      <c r="Y535" s="346" t="s">
        <v>416</v>
      </c>
      <c r="Z535" s="14" t="str">
        <f>IF(ISBLANK(LCI_Table[[#This Row],[Notes for user]])," ",LCI_Table[[#This Row],[Notes for user]])</f>
        <v xml:space="preserve"> </v>
      </c>
      <c r="AA535" s="14"/>
      <c r="AB535" s="14"/>
      <c r="AC535" s="346">
        <f ca="1">LCI_Table[[#This Row],[Default Calculated Value]]-LCI_Table[[#This Row],[Calculated Value]]</f>
        <v>0</v>
      </c>
    </row>
    <row r="536" spans="1:29" x14ac:dyDescent="0.3">
      <c r="A5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CornATJ-ethanolGREETGREETCorn dry mill w/o extraction - Standalone Facilities_Ethanol_ETJ_distributed_WaterWater</v>
      </c>
      <c r="B536" s="14" t="s">
        <v>136</v>
      </c>
      <c r="C536" s="14" t="s">
        <v>1964</v>
      </c>
      <c r="D536" s="14" t="s">
        <v>29</v>
      </c>
      <c r="E536" s="48" t="s">
        <v>29</v>
      </c>
      <c r="F536" s="14" t="s">
        <v>1590</v>
      </c>
      <c r="G536" s="14" t="b">
        <f>OR(LCI_Table[[#This Row],[Feedstock]]="All",LCI_Table[[#This Row],[Feedstock]]=SelectedFeedstock)</f>
        <v>0</v>
      </c>
      <c r="H536" s="14" t="b">
        <f>OR(LCI_Table[[#This Row],[Conversion]]="All",LCI_Table[[#This Row],[Conversion]]=SelectedConversion)</f>
        <v>0</v>
      </c>
      <c r="I536" s="14" t="b">
        <f>OR(LCI_Table[[#This Row],[Data Set]]="all",LCI_Table[[#This Row],[Data Set]]=SelectedDataSet)</f>
        <v>1</v>
      </c>
      <c r="J536" s="14" t="b">
        <f>OR(LCI_Table[[#This Row],[Technology]]="All",LCI_Table[[#This Row],[Technology]]=SelectedTechnology)</f>
        <v>0</v>
      </c>
      <c r="K536" s="14" t="b">
        <f>OR(LCI_Table[[#This Row],[Data Source]]="All",LCI_Table[[#This Row],[Data Source]]=SelectedDataSource)</f>
        <v>1</v>
      </c>
      <c r="L536" s="14" t="b">
        <f>TRUE</f>
        <v>1</v>
      </c>
      <c r="M536" s="14" t="b">
        <f>(LCI_Table[[#This Row],[Dev Notes]]="Do not display")</f>
        <v>0</v>
      </c>
      <c r="N536" s="14" t="b">
        <f>AND(LCI_Table[[#This Row],[Show Feedstock]:[Conditional]],NOT(LCI_Table[[#This Row],[Hide Row]]))</f>
        <v>0</v>
      </c>
      <c r="O536" s="14" t="b">
        <f>LCI_Table[[#This Row],[GREET1 Name Range]]=""</f>
        <v>0</v>
      </c>
      <c r="P536" s="14" t="s">
        <v>1448</v>
      </c>
      <c r="Q536" s="14" t="s">
        <v>644</v>
      </c>
      <c r="R536" s="14" t="s">
        <v>146</v>
      </c>
      <c r="S536" s="37" cm="1">
        <f t="array" aca="1" ref="S5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11.922973142841251</v>
      </c>
      <c r="T536" s="346" t="s">
        <v>2128</v>
      </c>
      <c r="U536" s="347">
        <f ca="1">S536/kg2lb*Fuel_Specs!$K$4/Allocations!$O$52*MJ2mmBTU</f>
        <v>5.6621519216734709E-2</v>
      </c>
      <c r="V536" s="347">
        <v>11.922973142841251</v>
      </c>
      <c r="W536" s="347">
        <v>5.6621519216734709E-2</v>
      </c>
      <c r="X536" s="37" t="s">
        <v>5</v>
      </c>
      <c r="Y536" s="346" t="s">
        <v>416</v>
      </c>
      <c r="Z536" s="14" t="str">
        <f>IF(ISBLANK(LCI_Table[[#This Row],[Notes for user]])," ",LCI_Table[[#This Row],[Notes for user]])</f>
        <v xml:space="preserve"> </v>
      </c>
      <c r="AA536" s="14"/>
      <c r="AB536" s="14"/>
      <c r="AC536" s="346">
        <f ca="1">LCI_Table[[#This Row],[Default Calculated Value]]-LCI_Table[[#This Row],[Calculated Value]]</f>
        <v>0</v>
      </c>
    </row>
    <row r="537" spans="1:29" x14ac:dyDescent="0.3">
      <c r="A5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CornATJ-ethanolGREETGREETCorn dry mill w/ extraction - Standalone Facilities_JetFuel_ETJet_EthanolFeedstockSelector</v>
      </c>
      <c r="B537" s="14" t="s">
        <v>136</v>
      </c>
      <c r="C537" s="14" t="s">
        <v>1964</v>
      </c>
      <c r="D537" s="14" t="s">
        <v>29</v>
      </c>
      <c r="E537" s="48" t="s">
        <v>29</v>
      </c>
      <c r="F537" s="14" t="s">
        <v>1591</v>
      </c>
      <c r="G537" s="14" t="b">
        <f>OR(LCI_Table[[#This Row],[Feedstock]]="All",LCI_Table[[#This Row],[Feedstock]]=SelectedFeedstock)</f>
        <v>0</v>
      </c>
      <c r="H537" s="14" t="b">
        <f>OR(LCI_Table[[#This Row],[Conversion]]="All",LCI_Table[[#This Row],[Conversion]]=SelectedConversion)</f>
        <v>0</v>
      </c>
      <c r="I537" s="14" t="b">
        <f>OR(LCI_Table[[#This Row],[Data Set]]="all",LCI_Table[[#This Row],[Data Set]]=SelectedDataSet)</f>
        <v>1</v>
      </c>
      <c r="J537" s="14" t="b">
        <f>OR(LCI_Table[[#This Row],[Technology]]="All",LCI_Table[[#This Row],[Technology]]=SelectedTechnology)</f>
        <v>0</v>
      </c>
      <c r="K537" s="14" t="b">
        <f>OR(LCI_Table[[#This Row],[Data Source]]="All",LCI_Table[[#This Row],[Data Source]]=SelectedDataSource)</f>
        <v>1</v>
      </c>
      <c r="L537" s="14" t="b">
        <f>TRUE</f>
        <v>1</v>
      </c>
      <c r="M537" s="14" t="b">
        <f>(LCI_Table[[#This Row],[Dev Notes]]="Do not display")</f>
        <v>1</v>
      </c>
      <c r="N537" s="14" t="b">
        <f>AND(LCI_Table[[#This Row],[Show Feedstock]:[Conditional]],NOT(LCI_Table[[#This Row],[Hide Row]]))</f>
        <v>0</v>
      </c>
      <c r="O537" s="14" t="b">
        <f>LCI_Table[[#This Row],[GREET1 Name Range]]=""</f>
        <v>0</v>
      </c>
      <c r="P537" s="14" t="s">
        <v>1448</v>
      </c>
      <c r="Q537" s="14" t="s">
        <v>87</v>
      </c>
      <c r="R537" s="14" t="s">
        <v>902</v>
      </c>
      <c r="S537" s="37" cm="1">
        <f t="array" aca="1" ref="S5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v>
      </c>
      <c r="T537" s="346" t="s">
        <v>2132</v>
      </c>
      <c r="U537" s="352">
        <v>3</v>
      </c>
      <c r="V537" s="352">
        <v>3</v>
      </c>
      <c r="W537" s="352">
        <v>3</v>
      </c>
      <c r="X537" s="356"/>
      <c r="Y537" s="346" t="s">
        <v>416</v>
      </c>
      <c r="Z537" s="14" t="str">
        <f>IF(ISBLANK(LCI_Table[[#This Row],[Notes for user]])," ",LCI_Table[[#This Row],[Notes for user]])</f>
        <v xml:space="preserve"> </v>
      </c>
      <c r="AA537" s="14"/>
      <c r="AB537" s="14" t="s">
        <v>1138</v>
      </c>
      <c r="AC537" s="346">
        <f>LCI_Table[[#This Row],[Default Calculated Value]]-LCI_Table[[#This Row],[Calculated Value]]</f>
        <v>0</v>
      </c>
    </row>
    <row r="538" spans="1:29" x14ac:dyDescent="0.3">
      <c r="A5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CornATJ-ethanolGREETGREETCorn dry mill w/ extraction - Standalone Facilities_Ethanol_ETJ_distributed_EthanolEthanol: Corn dry mill w/ extraction</v>
      </c>
      <c r="B538" s="14" t="s">
        <v>136</v>
      </c>
      <c r="C538" s="14" t="s">
        <v>1964</v>
      </c>
      <c r="D538" s="14" t="s">
        <v>29</v>
      </c>
      <c r="E538" s="48" t="s">
        <v>29</v>
      </c>
      <c r="F538" s="14" t="s">
        <v>1591</v>
      </c>
      <c r="G538" s="14" t="b">
        <f>OR(LCI_Table[[#This Row],[Feedstock]]="All",LCI_Table[[#This Row],[Feedstock]]=SelectedFeedstock)</f>
        <v>0</v>
      </c>
      <c r="H538" s="14" t="b">
        <f>OR(LCI_Table[[#This Row],[Conversion]]="All",LCI_Table[[#This Row],[Conversion]]=SelectedConversion)</f>
        <v>0</v>
      </c>
      <c r="I538" s="14" t="b">
        <f>OR(LCI_Table[[#This Row],[Data Set]]="all",LCI_Table[[#This Row],[Data Set]]=SelectedDataSet)</f>
        <v>1</v>
      </c>
      <c r="J538" s="14" t="b">
        <f>OR(LCI_Table[[#This Row],[Technology]]="All",LCI_Table[[#This Row],[Technology]]=SelectedTechnology)</f>
        <v>0</v>
      </c>
      <c r="K538" s="14" t="b">
        <f>OR(LCI_Table[[#This Row],[Data Source]]="All",LCI_Table[[#This Row],[Data Source]]=SelectedDataSource)</f>
        <v>1</v>
      </c>
      <c r="L538" s="14" t="b">
        <f>TRUE</f>
        <v>1</v>
      </c>
      <c r="M538" s="14" t="b">
        <f>(LCI_Table[[#This Row],[Dev Notes]]="Do not display")</f>
        <v>0</v>
      </c>
      <c r="N538" s="14" t="b">
        <f>AND(LCI_Table[[#This Row],[Show Feedstock]:[Conditional]],NOT(LCI_Table[[#This Row],[Hide Row]]))</f>
        <v>0</v>
      </c>
      <c r="O538" s="14" t="b">
        <f>LCI_Table[[#This Row],[GREET1 Name Range]]=""</f>
        <v>0</v>
      </c>
      <c r="P538" s="14" t="s">
        <v>1448</v>
      </c>
      <c r="Q538" s="14" t="s">
        <v>641</v>
      </c>
      <c r="R538" s="14" t="s">
        <v>390</v>
      </c>
      <c r="S538" s="37" cm="1">
        <f t="array" aca="1" ref="S5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14.67440380325554</v>
      </c>
      <c r="T538" s="346" t="s">
        <v>2128</v>
      </c>
      <c r="U538" s="347">
        <f ca="1">S538/kg2g*Fuel_Specs!$E$31/Allocations!$O$53*MJ2mmBTU</f>
        <v>5.5170533920077813E-2</v>
      </c>
      <c r="V538" s="347">
        <v>14.67440380325554</v>
      </c>
      <c r="W538" s="347">
        <v>5.5170533920077813E-2</v>
      </c>
      <c r="X538" s="37" t="s">
        <v>5</v>
      </c>
      <c r="Y538" s="346" t="s">
        <v>416</v>
      </c>
      <c r="Z538" s="14" t="str">
        <f>IF(ISBLANK(LCI_Table[[#This Row],[Notes for user]])," ",LCI_Table[[#This Row],[Notes for user]])</f>
        <v xml:space="preserve"> </v>
      </c>
      <c r="AA538" s="14"/>
      <c r="AB538" s="14"/>
      <c r="AC538" s="346">
        <f ca="1">LCI_Table[[#This Row],[Default Calculated Value]]-LCI_Table[[#This Row],[Calculated Value]]</f>
        <v>0</v>
      </c>
    </row>
    <row r="539" spans="1:29" x14ac:dyDescent="0.3">
      <c r="A5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CornATJ-ethanolGREETGREETCorn dry mill w/ extraction - Standalone Facilities_Ethanol_ETJ_distributed_Natural_gasNatural gas</v>
      </c>
      <c r="B539" s="14" t="s">
        <v>136</v>
      </c>
      <c r="C539" s="358" t="s">
        <v>1964</v>
      </c>
      <c r="D539" s="358" t="s">
        <v>29</v>
      </c>
      <c r="E539" s="48" t="s">
        <v>29</v>
      </c>
      <c r="F539" s="14" t="s">
        <v>1591</v>
      </c>
      <c r="G539" s="14" t="b">
        <f>OR(LCI_Table[[#This Row],[Feedstock]]="All",LCI_Table[[#This Row],[Feedstock]]=SelectedFeedstock)</f>
        <v>0</v>
      </c>
      <c r="H539" s="14" t="b">
        <f>OR(LCI_Table[[#This Row],[Conversion]]="All",LCI_Table[[#This Row],[Conversion]]=SelectedConversion)</f>
        <v>0</v>
      </c>
      <c r="I539" s="14" t="b">
        <f>OR(LCI_Table[[#This Row],[Data Set]]="all",LCI_Table[[#This Row],[Data Set]]=SelectedDataSet)</f>
        <v>1</v>
      </c>
      <c r="J539" s="14" t="b">
        <f>OR(LCI_Table[[#This Row],[Technology]]="All",LCI_Table[[#This Row],[Technology]]=SelectedTechnology)</f>
        <v>0</v>
      </c>
      <c r="K539" s="14" t="b">
        <f>OR(LCI_Table[[#This Row],[Data Source]]="All",LCI_Table[[#This Row],[Data Source]]=SelectedDataSource)</f>
        <v>1</v>
      </c>
      <c r="L539" s="14" t="b">
        <f>TRUE</f>
        <v>1</v>
      </c>
      <c r="M539" s="14" t="b">
        <f>(LCI_Table[[#This Row],[Dev Notes]]="Do not display")</f>
        <v>0</v>
      </c>
      <c r="N539" s="14" t="b">
        <f>AND(LCI_Table[[#This Row],[Show Feedstock]:[Conditional]],NOT(LCI_Table[[#This Row],[Hide Row]]))</f>
        <v>0</v>
      </c>
      <c r="O539" s="14" t="b">
        <f>LCI_Table[[#This Row],[GREET1 Name Range]]=""</f>
        <v>0</v>
      </c>
      <c r="P539" s="358" t="s">
        <v>1448</v>
      </c>
      <c r="Q539" s="14" t="s">
        <v>643</v>
      </c>
      <c r="R539" s="358" t="s">
        <v>108</v>
      </c>
      <c r="S539" s="37" cm="1">
        <f t="array" aca="1" ref="S5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39" s="346" t="s">
        <v>2120</v>
      </c>
      <c r="U539" s="359">
        <f ca="1">S539/kg2g*Fuel_Specs!$E$79/Fuel_Specs!$B$79</f>
        <v>0</v>
      </c>
      <c r="V539" s="359">
        <v>0</v>
      </c>
      <c r="W539" s="359">
        <v>0</v>
      </c>
      <c r="X539" s="360" t="s">
        <v>351</v>
      </c>
      <c r="Y539" s="346" t="s">
        <v>416</v>
      </c>
      <c r="Z539" s="14" t="str">
        <f>IF(ISBLANK(LCI_Table[[#This Row],[Notes for user]])," ",LCI_Table[[#This Row],[Notes for user]])</f>
        <v xml:space="preserve"> </v>
      </c>
      <c r="AA539" s="358"/>
      <c r="AB539" s="358"/>
      <c r="AC539" s="346">
        <f ca="1">LCI_Table[[#This Row],[Default Calculated Value]]-LCI_Table[[#This Row],[Calculated Value]]</f>
        <v>0</v>
      </c>
    </row>
    <row r="540" spans="1:29" x14ac:dyDescent="0.3">
      <c r="A5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CornATJ-ethanolGREETGREETCorn dry mill w/ extraction - Standalone Facilities_Ethanol_ETJ_distributed_ElectricityGrid Electricity</v>
      </c>
      <c r="B540" s="14" t="s">
        <v>136</v>
      </c>
      <c r="C540" s="14" t="s">
        <v>1964</v>
      </c>
      <c r="D540" s="14" t="s">
        <v>29</v>
      </c>
      <c r="E540" s="48" t="s">
        <v>29</v>
      </c>
      <c r="F540" s="14" t="s">
        <v>1591</v>
      </c>
      <c r="G540" s="14" t="b">
        <f>OR(LCI_Table[[#This Row],[Feedstock]]="All",LCI_Table[[#This Row],[Feedstock]]=SelectedFeedstock)</f>
        <v>0</v>
      </c>
      <c r="H540" s="14" t="b">
        <f>OR(LCI_Table[[#This Row],[Conversion]]="All",LCI_Table[[#This Row],[Conversion]]=SelectedConversion)</f>
        <v>0</v>
      </c>
      <c r="I540" s="14" t="b">
        <f>OR(LCI_Table[[#This Row],[Data Set]]="all",LCI_Table[[#This Row],[Data Set]]=SelectedDataSet)</f>
        <v>1</v>
      </c>
      <c r="J540" s="14" t="b">
        <f>OR(LCI_Table[[#This Row],[Technology]]="All",LCI_Table[[#This Row],[Technology]]=SelectedTechnology)</f>
        <v>0</v>
      </c>
      <c r="K540" s="14" t="b">
        <f>OR(LCI_Table[[#This Row],[Data Source]]="All",LCI_Table[[#This Row],[Data Source]]=SelectedDataSource)</f>
        <v>1</v>
      </c>
      <c r="L540" s="14" t="b">
        <f>TRUE</f>
        <v>1</v>
      </c>
      <c r="M540" s="14" t="b">
        <f>(LCI_Table[[#This Row],[Dev Notes]]="Do not display")</f>
        <v>0</v>
      </c>
      <c r="N540" s="14" t="b">
        <f>AND(LCI_Table[[#This Row],[Show Feedstock]:[Conditional]],NOT(LCI_Table[[#This Row],[Hide Row]]))</f>
        <v>0</v>
      </c>
      <c r="O540" s="14" t="b">
        <f>LCI_Table[[#This Row],[GREET1 Name Range]]=""</f>
        <v>0</v>
      </c>
      <c r="P540" s="14" t="s">
        <v>1448</v>
      </c>
      <c r="Q540" s="14" t="s">
        <v>640</v>
      </c>
      <c r="R540" s="14" t="s">
        <v>1684</v>
      </c>
      <c r="S540" s="37" cm="1">
        <f t="array" aca="1" ref="S5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7.3884407786736448</v>
      </c>
      <c r="T540" s="346" t="s">
        <v>2121</v>
      </c>
      <c r="U540" s="347">
        <f ca="1">S540/Allocations!$O$53*MJ2mmBTU</f>
        <v>9.2964882515629704E-3</v>
      </c>
      <c r="V540" s="347">
        <v>7.3884407786736448</v>
      </c>
      <c r="W540" s="347">
        <v>9.2964882515629704E-3</v>
      </c>
      <c r="X540" s="37" t="s">
        <v>51</v>
      </c>
      <c r="Y540" s="346" t="s">
        <v>416</v>
      </c>
      <c r="Z540" s="14" t="str">
        <f>IF(ISBLANK(LCI_Table[[#This Row],[Notes for user]])," ",LCI_Table[[#This Row],[Notes for user]])</f>
        <v xml:space="preserve"> </v>
      </c>
      <c r="AA540" s="14"/>
      <c r="AB540" s="14"/>
      <c r="AC540" s="346">
        <f ca="1">LCI_Table[[#This Row],[Default Calculated Value]]-LCI_Table[[#This Row],[Calculated Value]]</f>
        <v>0</v>
      </c>
    </row>
    <row r="541" spans="1:29" x14ac:dyDescent="0.3">
      <c r="A5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CornATJ-ethanolGREETGREETCorn dry mill w/ extraction - Standalone Facilities_Ethanol_ETJ_distributed_HydrogenHydrogen</v>
      </c>
      <c r="B541" s="14" t="s">
        <v>136</v>
      </c>
      <c r="C541" s="14" t="s">
        <v>1964</v>
      </c>
      <c r="D541" s="14" t="s">
        <v>29</v>
      </c>
      <c r="E541" s="48" t="s">
        <v>29</v>
      </c>
      <c r="F541" s="14" t="s">
        <v>1591</v>
      </c>
      <c r="G541" s="14" t="b">
        <f>OR(LCI_Table[[#This Row],[Feedstock]]="All",LCI_Table[[#This Row],[Feedstock]]=SelectedFeedstock)</f>
        <v>0</v>
      </c>
      <c r="H541" s="14" t="b">
        <f>OR(LCI_Table[[#This Row],[Conversion]]="All",LCI_Table[[#This Row],[Conversion]]=SelectedConversion)</f>
        <v>0</v>
      </c>
      <c r="I541" s="14" t="b">
        <f>OR(LCI_Table[[#This Row],[Data Set]]="all",LCI_Table[[#This Row],[Data Set]]=SelectedDataSet)</f>
        <v>1</v>
      </c>
      <c r="J541" s="14" t="b">
        <f>OR(LCI_Table[[#This Row],[Technology]]="All",LCI_Table[[#This Row],[Technology]]=SelectedTechnology)</f>
        <v>0</v>
      </c>
      <c r="K541" s="14" t="b">
        <f>OR(LCI_Table[[#This Row],[Data Source]]="All",LCI_Table[[#This Row],[Data Source]]=SelectedDataSource)</f>
        <v>1</v>
      </c>
      <c r="L541" s="14" t="b">
        <f>TRUE</f>
        <v>1</v>
      </c>
      <c r="M541" s="14" t="b">
        <f>(LCI_Table[[#This Row],[Dev Notes]]="Do not display")</f>
        <v>0</v>
      </c>
      <c r="N541" s="14" t="b">
        <f>AND(LCI_Table[[#This Row],[Show Feedstock]:[Conditional]],NOT(LCI_Table[[#This Row],[Hide Row]]))</f>
        <v>0</v>
      </c>
      <c r="O541" s="14" t="b">
        <f>LCI_Table[[#This Row],[GREET1 Name Range]]=""</f>
        <v>0</v>
      </c>
      <c r="P541" s="14" t="s">
        <v>1448</v>
      </c>
      <c r="Q541" s="14" t="s">
        <v>642</v>
      </c>
      <c r="R541" s="14" t="s">
        <v>73</v>
      </c>
      <c r="S541" s="37" cm="1">
        <f t="array" aca="1" ref="S5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210.24598998652542</v>
      </c>
      <c r="T541" s="346" t="s">
        <v>2120</v>
      </c>
      <c r="U541" s="347">
        <f ca="1">S541/kg2g*Fuel_Specs!$E$81/Allocations!$O$53*MJ2mmBTU</f>
        <v>6.745808835334578E-4</v>
      </c>
      <c r="V541" s="347">
        <v>210.24598998652542</v>
      </c>
      <c r="W541" s="347">
        <v>6.745808835334578E-4</v>
      </c>
      <c r="X541" s="37" t="s">
        <v>351</v>
      </c>
      <c r="Y541" s="346" t="s">
        <v>416</v>
      </c>
      <c r="Z541" s="14" t="str">
        <f>IF(ISBLANK(LCI_Table[[#This Row],[Notes for user]])," ",LCI_Table[[#This Row],[Notes for user]])</f>
        <v xml:space="preserve"> </v>
      </c>
      <c r="AA541" s="14"/>
      <c r="AB541" s="14"/>
      <c r="AC541" s="346">
        <f ca="1">LCI_Table[[#This Row],[Default Calculated Value]]-LCI_Table[[#This Row],[Calculated Value]]</f>
        <v>0</v>
      </c>
    </row>
    <row r="542" spans="1:29" x14ac:dyDescent="0.3">
      <c r="A5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CornATJ-ethanolGREETGREETCorn dry mill w/ extraction - Standalone Facilities_Ethanol_ETJ_distributed_CatalystsCatalysts</v>
      </c>
      <c r="B542" s="14" t="s">
        <v>136</v>
      </c>
      <c r="C542" s="14" t="s">
        <v>1964</v>
      </c>
      <c r="D542" s="14" t="s">
        <v>29</v>
      </c>
      <c r="E542" s="48" t="s">
        <v>29</v>
      </c>
      <c r="F542" s="14" t="s">
        <v>1591</v>
      </c>
      <c r="G542" s="14" t="b">
        <f>OR(LCI_Table[[#This Row],[Feedstock]]="All",LCI_Table[[#This Row],[Feedstock]]=SelectedFeedstock)</f>
        <v>0</v>
      </c>
      <c r="H542" s="14" t="b">
        <f>OR(LCI_Table[[#This Row],[Conversion]]="All",LCI_Table[[#This Row],[Conversion]]=SelectedConversion)</f>
        <v>0</v>
      </c>
      <c r="I542" s="14" t="b">
        <f>OR(LCI_Table[[#This Row],[Data Set]]="all",LCI_Table[[#This Row],[Data Set]]=SelectedDataSet)</f>
        <v>1</v>
      </c>
      <c r="J542" s="14" t="b">
        <f>OR(LCI_Table[[#This Row],[Technology]]="All",LCI_Table[[#This Row],[Technology]]=SelectedTechnology)</f>
        <v>0</v>
      </c>
      <c r="K542" s="14" t="b">
        <f>OR(LCI_Table[[#This Row],[Data Source]]="All",LCI_Table[[#This Row],[Data Source]]=SelectedDataSource)</f>
        <v>1</v>
      </c>
      <c r="L542" s="14" t="b">
        <f>TRUE</f>
        <v>1</v>
      </c>
      <c r="M542" s="14" t="b">
        <f>(LCI_Table[[#This Row],[Dev Notes]]="Do not display")</f>
        <v>0</v>
      </c>
      <c r="N542" s="14" t="b">
        <f>AND(LCI_Table[[#This Row],[Show Feedstock]:[Conditional]],NOT(LCI_Table[[#This Row],[Hide Row]]))</f>
        <v>0</v>
      </c>
      <c r="O542" s="14" t="b">
        <f>LCI_Table[[#This Row],[GREET1 Name Range]]=""</f>
        <v>0</v>
      </c>
      <c r="P542" s="14" t="s">
        <v>1448</v>
      </c>
      <c r="Q542" s="14" t="s">
        <v>639</v>
      </c>
      <c r="R542" s="14" t="s">
        <v>142</v>
      </c>
      <c r="S542" s="37" cm="1">
        <f t="array" aca="1" ref="S5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0.18732924276995219</v>
      </c>
      <c r="T542" s="346" t="s">
        <v>2119</v>
      </c>
      <c r="U542" s="347">
        <f ca="1">S542/kg2lb/Allocations!$O$53*MJ2mmBTU</f>
        <v>1.0691470606945368E-4</v>
      </c>
      <c r="V542" s="347">
        <v>0.18732924276995219</v>
      </c>
      <c r="W542" s="347">
        <v>1.0691470606945368E-4</v>
      </c>
      <c r="X542" s="37" t="s">
        <v>12</v>
      </c>
      <c r="Y542" s="346" t="s">
        <v>416</v>
      </c>
      <c r="Z542" s="14" t="str">
        <f>IF(ISBLANK(LCI_Table[[#This Row],[Notes for user]])," ",LCI_Table[[#This Row],[Notes for user]])</f>
        <v xml:space="preserve"> </v>
      </c>
      <c r="AA542" s="14"/>
      <c r="AB542" s="14"/>
      <c r="AC542" s="346">
        <f ca="1">LCI_Table[[#This Row],[Default Calculated Value]]-LCI_Table[[#This Row],[Calculated Value]]</f>
        <v>0</v>
      </c>
    </row>
    <row r="543" spans="1:29" x14ac:dyDescent="0.3">
      <c r="A5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CornATJ-ethanolGREETGREETCorn dry mill w/ extraction - Standalone Facilities_Ethanol_ETJ_distributed_WaterWater</v>
      </c>
      <c r="B543" s="14" t="s">
        <v>136</v>
      </c>
      <c r="C543" s="14" t="s">
        <v>1964</v>
      </c>
      <c r="D543" s="14" t="s">
        <v>29</v>
      </c>
      <c r="E543" s="48" t="s">
        <v>29</v>
      </c>
      <c r="F543" s="14" t="s">
        <v>1591</v>
      </c>
      <c r="G543" s="14" t="b">
        <f>OR(LCI_Table[[#This Row],[Feedstock]]="All",LCI_Table[[#This Row],[Feedstock]]=SelectedFeedstock)</f>
        <v>0</v>
      </c>
      <c r="H543" s="14" t="b">
        <f>OR(LCI_Table[[#This Row],[Conversion]]="All",LCI_Table[[#This Row],[Conversion]]=SelectedConversion)</f>
        <v>0</v>
      </c>
      <c r="I543" s="14" t="b">
        <f>OR(LCI_Table[[#This Row],[Data Set]]="all",LCI_Table[[#This Row],[Data Set]]=SelectedDataSet)</f>
        <v>1</v>
      </c>
      <c r="J543" s="14" t="b">
        <f>OR(LCI_Table[[#This Row],[Technology]]="All",LCI_Table[[#This Row],[Technology]]=SelectedTechnology)</f>
        <v>0</v>
      </c>
      <c r="K543" s="14" t="b">
        <f>OR(LCI_Table[[#This Row],[Data Source]]="All",LCI_Table[[#This Row],[Data Source]]=SelectedDataSource)</f>
        <v>1</v>
      </c>
      <c r="L543" s="14" t="b">
        <f>TRUE</f>
        <v>1</v>
      </c>
      <c r="M543" s="14" t="b">
        <f>(LCI_Table[[#This Row],[Dev Notes]]="Do not display")</f>
        <v>0</v>
      </c>
      <c r="N543" s="14" t="b">
        <f>AND(LCI_Table[[#This Row],[Show Feedstock]:[Conditional]],NOT(LCI_Table[[#This Row],[Hide Row]]))</f>
        <v>0</v>
      </c>
      <c r="O543" s="14" t="b">
        <f>LCI_Table[[#This Row],[GREET1 Name Range]]=""</f>
        <v>0</v>
      </c>
      <c r="P543" s="14" t="s">
        <v>1448</v>
      </c>
      <c r="Q543" s="14" t="s">
        <v>644</v>
      </c>
      <c r="R543" s="14" t="s">
        <v>146</v>
      </c>
      <c r="S543" s="37" cm="1">
        <f t="array" aca="1" ref="S5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11.922973142841251</v>
      </c>
      <c r="T543" s="346" t="s">
        <v>2128</v>
      </c>
      <c r="U543" s="347">
        <f ca="1">S543/kg2lb*Fuel_Specs!$K$4/Allocations!$O$53*MJ2mmBTU</f>
        <v>5.6621519216734709E-2</v>
      </c>
      <c r="V543" s="347">
        <v>11.922973142841251</v>
      </c>
      <c r="W543" s="347">
        <v>5.6621519216734709E-2</v>
      </c>
      <c r="X543" s="37" t="s">
        <v>5</v>
      </c>
      <c r="Y543" s="346" t="s">
        <v>416</v>
      </c>
      <c r="Z543" s="14" t="str">
        <f>IF(ISBLANK(LCI_Table[[#This Row],[Notes for user]])," ",LCI_Table[[#This Row],[Notes for user]])</f>
        <v xml:space="preserve"> </v>
      </c>
      <c r="AA543" s="14"/>
      <c r="AB543" s="14"/>
      <c r="AC543" s="346">
        <f ca="1">LCI_Table[[#This Row],[Default Calculated Value]]-LCI_Table[[#This Row],[Calculated Value]]</f>
        <v>0</v>
      </c>
    </row>
    <row r="544" spans="1:29" x14ac:dyDescent="0.3">
      <c r="A5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CornATJ-ethanolGREETGREETCorn wet mill - Standalone Facilities_JetFuel_ETJet_EthanolFeedstockSelector</v>
      </c>
      <c r="B544" s="14" t="s">
        <v>136</v>
      </c>
      <c r="C544" s="14" t="s">
        <v>1964</v>
      </c>
      <c r="D544" s="14" t="s">
        <v>29</v>
      </c>
      <c r="E544" s="48" t="s">
        <v>29</v>
      </c>
      <c r="F544" s="14" t="s">
        <v>1593</v>
      </c>
      <c r="G544" s="14" t="b">
        <f>OR(LCI_Table[[#This Row],[Feedstock]]="All",LCI_Table[[#This Row],[Feedstock]]=SelectedFeedstock)</f>
        <v>0</v>
      </c>
      <c r="H544" s="14" t="b">
        <f>OR(LCI_Table[[#This Row],[Conversion]]="All",LCI_Table[[#This Row],[Conversion]]=SelectedConversion)</f>
        <v>0</v>
      </c>
      <c r="I544" s="14" t="b">
        <f>OR(LCI_Table[[#This Row],[Data Set]]="all",LCI_Table[[#This Row],[Data Set]]=SelectedDataSet)</f>
        <v>1</v>
      </c>
      <c r="J544" s="14" t="b">
        <f>OR(LCI_Table[[#This Row],[Technology]]="All",LCI_Table[[#This Row],[Technology]]=SelectedTechnology)</f>
        <v>0</v>
      </c>
      <c r="K544" s="14" t="b">
        <f>OR(LCI_Table[[#This Row],[Data Source]]="All",LCI_Table[[#This Row],[Data Source]]=SelectedDataSource)</f>
        <v>1</v>
      </c>
      <c r="L544" s="14" t="b">
        <f>TRUE</f>
        <v>1</v>
      </c>
      <c r="M544" s="14" t="b">
        <f>(LCI_Table[[#This Row],[Dev Notes]]="Do not display")</f>
        <v>1</v>
      </c>
      <c r="N544" s="14" t="b">
        <f>AND(LCI_Table[[#This Row],[Show Feedstock]:[Conditional]],NOT(LCI_Table[[#This Row],[Hide Row]]))</f>
        <v>0</v>
      </c>
      <c r="O544" s="14" t="b">
        <f>LCI_Table[[#This Row],[GREET1 Name Range]]=""</f>
        <v>0</v>
      </c>
      <c r="P544" s="14" t="s">
        <v>1448</v>
      </c>
      <c r="Q544" s="14" t="s">
        <v>87</v>
      </c>
      <c r="R544" s="14" t="s">
        <v>902</v>
      </c>
      <c r="S544" s="37" cm="1">
        <f t="array" aca="1" ref="S5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v>
      </c>
      <c r="T544" s="346" t="s">
        <v>2132</v>
      </c>
      <c r="U544" s="352">
        <v>4</v>
      </c>
      <c r="V544" s="352">
        <v>4</v>
      </c>
      <c r="W544" s="352">
        <v>4</v>
      </c>
      <c r="X544" s="356"/>
      <c r="Y544" s="346" t="s">
        <v>416</v>
      </c>
      <c r="Z544" s="14" t="str">
        <f>IF(ISBLANK(LCI_Table[[#This Row],[Notes for user]])," ",LCI_Table[[#This Row],[Notes for user]])</f>
        <v xml:space="preserve"> </v>
      </c>
      <c r="AA544" s="14"/>
      <c r="AB544" s="14" t="s">
        <v>1138</v>
      </c>
      <c r="AC544" s="346">
        <f>LCI_Table[[#This Row],[Default Calculated Value]]-LCI_Table[[#This Row],[Calculated Value]]</f>
        <v>0</v>
      </c>
    </row>
    <row r="545" spans="1:29" x14ac:dyDescent="0.3">
      <c r="A5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CornATJ-ethanolGREETGREETCorn wet mill - Standalone Facilities_Ethanol_ETJ_distributed_EthanolEthanol: Corn wet mill</v>
      </c>
      <c r="B545" s="14" t="s">
        <v>136</v>
      </c>
      <c r="C545" s="14" t="s">
        <v>1964</v>
      </c>
      <c r="D545" s="14" t="s">
        <v>29</v>
      </c>
      <c r="E545" s="48" t="s">
        <v>29</v>
      </c>
      <c r="F545" s="14" t="s">
        <v>1593</v>
      </c>
      <c r="G545" s="14" t="b">
        <f>OR(LCI_Table[[#This Row],[Feedstock]]="All",LCI_Table[[#This Row],[Feedstock]]=SelectedFeedstock)</f>
        <v>0</v>
      </c>
      <c r="H545" s="14" t="b">
        <f>OR(LCI_Table[[#This Row],[Conversion]]="All",LCI_Table[[#This Row],[Conversion]]=SelectedConversion)</f>
        <v>0</v>
      </c>
      <c r="I545" s="14" t="b">
        <f>OR(LCI_Table[[#This Row],[Data Set]]="all",LCI_Table[[#This Row],[Data Set]]=SelectedDataSet)</f>
        <v>1</v>
      </c>
      <c r="J545" s="14" t="b">
        <f>OR(LCI_Table[[#This Row],[Technology]]="All",LCI_Table[[#This Row],[Technology]]=SelectedTechnology)</f>
        <v>0</v>
      </c>
      <c r="K545" s="14" t="b">
        <f>OR(LCI_Table[[#This Row],[Data Source]]="All",LCI_Table[[#This Row],[Data Source]]=SelectedDataSource)</f>
        <v>1</v>
      </c>
      <c r="L545" s="14" t="b">
        <f>TRUE</f>
        <v>1</v>
      </c>
      <c r="M545" s="14" t="b">
        <f>(LCI_Table[[#This Row],[Dev Notes]]="Do not display")</f>
        <v>0</v>
      </c>
      <c r="N545" s="14" t="b">
        <f>AND(LCI_Table[[#This Row],[Show Feedstock]:[Conditional]],NOT(LCI_Table[[#This Row],[Hide Row]]))</f>
        <v>0</v>
      </c>
      <c r="O545" s="14" t="b">
        <f>LCI_Table[[#This Row],[GREET1 Name Range]]=""</f>
        <v>0</v>
      </c>
      <c r="P545" s="14" t="s">
        <v>1448</v>
      </c>
      <c r="Q545" s="14" t="s">
        <v>641</v>
      </c>
      <c r="R545" s="14" t="s">
        <v>391</v>
      </c>
      <c r="S545" s="37" cm="1">
        <f t="array" aca="1" ref="S5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14.67440380325554</v>
      </c>
      <c r="T545" s="346" t="s">
        <v>2128</v>
      </c>
      <c r="U545" s="347">
        <f ca="1">S545/kg2g*Fuel_Specs!$E$31/Allocations!$O$54*MJ2mmBTU</f>
        <v>5.5170533920077813E-2</v>
      </c>
      <c r="V545" s="347">
        <v>14.67440380325554</v>
      </c>
      <c r="W545" s="347">
        <v>5.5170533920077813E-2</v>
      </c>
      <c r="X545" s="37" t="s">
        <v>5</v>
      </c>
      <c r="Y545" s="346" t="s">
        <v>416</v>
      </c>
      <c r="Z545" s="14" t="str">
        <f>IF(ISBLANK(LCI_Table[[#This Row],[Notes for user]])," ",LCI_Table[[#This Row],[Notes for user]])</f>
        <v xml:space="preserve"> </v>
      </c>
      <c r="AA545" s="14"/>
      <c r="AB545" s="14"/>
      <c r="AC545" s="346">
        <f ca="1">LCI_Table[[#This Row],[Default Calculated Value]]-LCI_Table[[#This Row],[Calculated Value]]</f>
        <v>0</v>
      </c>
    </row>
    <row r="546" spans="1:29" x14ac:dyDescent="0.3">
      <c r="A5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CornATJ-ethanolGREETGREETCorn wet mill - Standalone Facilities_Ethanol_ETJ_distributed_Natural_gasNatural gas</v>
      </c>
      <c r="B546" s="14" t="s">
        <v>136</v>
      </c>
      <c r="C546" s="358" t="s">
        <v>1964</v>
      </c>
      <c r="D546" s="358" t="s">
        <v>29</v>
      </c>
      <c r="E546" s="48" t="s">
        <v>29</v>
      </c>
      <c r="F546" s="14" t="s">
        <v>1593</v>
      </c>
      <c r="G546" s="14" t="b">
        <f>OR(LCI_Table[[#This Row],[Feedstock]]="All",LCI_Table[[#This Row],[Feedstock]]=SelectedFeedstock)</f>
        <v>0</v>
      </c>
      <c r="H546" s="14" t="b">
        <f>OR(LCI_Table[[#This Row],[Conversion]]="All",LCI_Table[[#This Row],[Conversion]]=SelectedConversion)</f>
        <v>0</v>
      </c>
      <c r="I546" s="14" t="b">
        <f>OR(LCI_Table[[#This Row],[Data Set]]="all",LCI_Table[[#This Row],[Data Set]]=SelectedDataSet)</f>
        <v>1</v>
      </c>
      <c r="J546" s="14" t="b">
        <f>OR(LCI_Table[[#This Row],[Technology]]="All",LCI_Table[[#This Row],[Technology]]=SelectedTechnology)</f>
        <v>0</v>
      </c>
      <c r="K546" s="14" t="b">
        <f>OR(LCI_Table[[#This Row],[Data Source]]="All",LCI_Table[[#This Row],[Data Source]]=SelectedDataSource)</f>
        <v>1</v>
      </c>
      <c r="L546" s="14" t="b">
        <f>TRUE</f>
        <v>1</v>
      </c>
      <c r="M546" s="14" t="b">
        <f>(LCI_Table[[#This Row],[Dev Notes]]="Do not display")</f>
        <v>0</v>
      </c>
      <c r="N546" s="14" t="b">
        <f>AND(LCI_Table[[#This Row],[Show Feedstock]:[Conditional]],NOT(LCI_Table[[#This Row],[Hide Row]]))</f>
        <v>0</v>
      </c>
      <c r="O546" s="14" t="b">
        <f>LCI_Table[[#This Row],[GREET1 Name Range]]=""</f>
        <v>0</v>
      </c>
      <c r="P546" s="358" t="s">
        <v>1448</v>
      </c>
      <c r="Q546" s="14" t="s">
        <v>643</v>
      </c>
      <c r="R546" s="358" t="s">
        <v>108</v>
      </c>
      <c r="S546" s="37" cm="1">
        <f t="array" aca="1" ref="S5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46" s="346" t="s">
        <v>2120</v>
      </c>
      <c r="U546" s="359">
        <f ca="1">S546/kg2g*Fuel_Specs!$E$79/Fuel_Specs!$B$79</f>
        <v>0</v>
      </c>
      <c r="V546" s="359">
        <v>0</v>
      </c>
      <c r="W546" s="359">
        <v>0</v>
      </c>
      <c r="X546" s="360" t="s">
        <v>351</v>
      </c>
      <c r="Y546" s="346" t="s">
        <v>416</v>
      </c>
      <c r="Z546" s="14" t="str">
        <f>IF(ISBLANK(LCI_Table[[#This Row],[Notes for user]])," ",LCI_Table[[#This Row],[Notes for user]])</f>
        <v xml:space="preserve"> </v>
      </c>
      <c r="AA546" s="358"/>
      <c r="AB546" s="358"/>
      <c r="AC546" s="346">
        <f ca="1">LCI_Table[[#This Row],[Default Calculated Value]]-LCI_Table[[#This Row],[Calculated Value]]</f>
        <v>0</v>
      </c>
    </row>
    <row r="547" spans="1:29" x14ac:dyDescent="0.3">
      <c r="A5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CornATJ-ethanolGREETGREETCorn wet mill - Standalone Facilities_Ethanol_ETJ_distributed_ElectricityGrid Electricity</v>
      </c>
      <c r="B547" s="14" t="s">
        <v>136</v>
      </c>
      <c r="C547" s="14" t="s">
        <v>1964</v>
      </c>
      <c r="D547" s="14" t="s">
        <v>29</v>
      </c>
      <c r="E547" s="48" t="s">
        <v>29</v>
      </c>
      <c r="F547" s="14" t="s">
        <v>1593</v>
      </c>
      <c r="G547" s="14" t="b">
        <f>OR(LCI_Table[[#This Row],[Feedstock]]="All",LCI_Table[[#This Row],[Feedstock]]=SelectedFeedstock)</f>
        <v>0</v>
      </c>
      <c r="H547" s="14" t="b">
        <f>OR(LCI_Table[[#This Row],[Conversion]]="All",LCI_Table[[#This Row],[Conversion]]=SelectedConversion)</f>
        <v>0</v>
      </c>
      <c r="I547" s="14" t="b">
        <f>OR(LCI_Table[[#This Row],[Data Set]]="all",LCI_Table[[#This Row],[Data Set]]=SelectedDataSet)</f>
        <v>1</v>
      </c>
      <c r="J547" s="14" t="b">
        <f>OR(LCI_Table[[#This Row],[Technology]]="All",LCI_Table[[#This Row],[Technology]]=SelectedTechnology)</f>
        <v>0</v>
      </c>
      <c r="K547" s="14" t="b">
        <f>OR(LCI_Table[[#This Row],[Data Source]]="All",LCI_Table[[#This Row],[Data Source]]=SelectedDataSource)</f>
        <v>1</v>
      </c>
      <c r="L547" s="14" t="b">
        <f>TRUE</f>
        <v>1</v>
      </c>
      <c r="M547" s="14" t="b">
        <f>(LCI_Table[[#This Row],[Dev Notes]]="Do not display")</f>
        <v>0</v>
      </c>
      <c r="N547" s="14" t="b">
        <f>AND(LCI_Table[[#This Row],[Show Feedstock]:[Conditional]],NOT(LCI_Table[[#This Row],[Hide Row]]))</f>
        <v>0</v>
      </c>
      <c r="O547" s="14" t="b">
        <f>LCI_Table[[#This Row],[GREET1 Name Range]]=""</f>
        <v>0</v>
      </c>
      <c r="P547" s="14" t="s">
        <v>1448</v>
      </c>
      <c r="Q547" s="14" t="s">
        <v>640</v>
      </c>
      <c r="R547" s="14" t="s">
        <v>1684</v>
      </c>
      <c r="S547" s="37" cm="1">
        <f t="array" aca="1" ref="S5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7.3884407786736448</v>
      </c>
      <c r="T547" s="346" t="s">
        <v>2121</v>
      </c>
      <c r="U547" s="347">
        <f ca="1">S547/Allocations!$O$54*MJ2mmBTU</f>
        <v>9.2964882515629704E-3</v>
      </c>
      <c r="V547" s="347">
        <v>7.3884407786736448</v>
      </c>
      <c r="W547" s="347">
        <v>9.2964882515629704E-3</v>
      </c>
      <c r="X547" s="37" t="s">
        <v>51</v>
      </c>
      <c r="Y547" s="346" t="s">
        <v>416</v>
      </c>
      <c r="Z547" s="14" t="str">
        <f>IF(ISBLANK(LCI_Table[[#This Row],[Notes for user]])," ",LCI_Table[[#This Row],[Notes for user]])</f>
        <v xml:space="preserve"> </v>
      </c>
      <c r="AA547" s="14"/>
      <c r="AB547" s="14"/>
      <c r="AC547" s="346">
        <f ca="1">LCI_Table[[#This Row],[Default Calculated Value]]-LCI_Table[[#This Row],[Calculated Value]]</f>
        <v>0</v>
      </c>
    </row>
    <row r="548" spans="1:29" x14ac:dyDescent="0.3">
      <c r="A5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CornATJ-ethanolGREETGREETCorn wet mill - Standalone Facilities_Ethanol_ETJ_distributed_HydrogenHydrogen</v>
      </c>
      <c r="B548" s="14" t="s">
        <v>136</v>
      </c>
      <c r="C548" s="14" t="s">
        <v>1964</v>
      </c>
      <c r="D548" s="14" t="s">
        <v>29</v>
      </c>
      <c r="E548" s="48" t="s">
        <v>29</v>
      </c>
      <c r="F548" s="14" t="s">
        <v>1593</v>
      </c>
      <c r="G548" s="14" t="b">
        <f>OR(LCI_Table[[#This Row],[Feedstock]]="All",LCI_Table[[#This Row],[Feedstock]]=SelectedFeedstock)</f>
        <v>0</v>
      </c>
      <c r="H548" s="14" t="b">
        <f>OR(LCI_Table[[#This Row],[Conversion]]="All",LCI_Table[[#This Row],[Conversion]]=SelectedConversion)</f>
        <v>0</v>
      </c>
      <c r="I548" s="14" t="b">
        <f>OR(LCI_Table[[#This Row],[Data Set]]="all",LCI_Table[[#This Row],[Data Set]]=SelectedDataSet)</f>
        <v>1</v>
      </c>
      <c r="J548" s="14" t="b">
        <f>OR(LCI_Table[[#This Row],[Technology]]="All",LCI_Table[[#This Row],[Technology]]=SelectedTechnology)</f>
        <v>0</v>
      </c>
      <c r="K548" s="14" t="b">
        <f>OR(LCI_Table[[#This Row],[Data Source]]="All",LCI_Table[[#This Row],[Data Source]]=SelectedDataSource)</f>
        <v>1</v>
      </c>
      <c r="L548" s="14" t="b">
        <f>TRUE</f>
        <v>1</v>
      </c>
      <c r="M548" s="14" t="b">
        <f>(LCI_Table[[#This Row],[Dev Notes]]="Do not display")</f>
        <v>0</v>
      </c>
      <c r="N548" s="14" t="b">
        <f>AND(LCI_Table[[#This Row],[Show Feedstock]:[Conditional]],NOT(LCI_Table[[#This Row],[Hide Row]]))</f>
        <v>0</v>
      </c>
      <c r="O548" s="14" t="b">
        <f>LCI_Table[[#This Row],[GREET1 Name Range]]=""</f>
        <v>0</v>
      </c>
      <c r="P548" s="14" t="s">
        <v>1448</v>
      </c>
      <c r="Q548" s="14" t="s">
        <v>642</v>
      </c>
      <c r="R548" s="14" t="s">
        <v>73</v>
      </c>
      <c r="S548" s="37" cm="1">
        <f t="array" aca="1" ref="S5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210.24598998652542</v>
      </c>
      <c r="T548" s="346" t="s">
        <v>2120</v>
      </c>
      <c r="U548" s="347">
        <f ca="1">S548/kg2g*Fuel_Specs!$E$81/Allocations!$O$54*MJ2mmBTU</f>
        <v>6.745808835334578E-4</v>
      </c>
      <c r="V548" s="347">
        <v>210.24598998652542</v>
      </c>
      <c r="W548" s="347">
        <v>6.745808835334578E-4</v>
      </c>
      <c r="X548" s="37" t="s">
        <v>351</v>
      </c>
      <c r="Y548" s="346" t="s">
        <v>416</v>
      </c>
      <c r="Z548" s="14" t="str">
        <f>IF(ISBLANK(LCI_Table[[#This Row],[Notes for user]])," ",LCI_Table[[#This Row],[Notes for user]])</f>
        <v xml:space="preserve"> </v>
      </c>
      <c r="AA548" s="14"/>
      <c r="AB548" s="14"/>
      <c r="AC548" s="346">
        <f ca="1">LCI_Table[[#This Row],[Default Calculated Value]]-LCI_Table[[#This Row],[Calculated Value]]</f>
        <v>0</v>
      </c>
    </row>
    <row r="549" spans="1:29" x14ac:dyDescent="0.3">
      <c r="A5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CornATJ-ethanolGREETGREETCorn wet mill - Standalone Facilities_Ethanol_ETJ_distributed_CatalystsCatalysts</v>
      </c>
      <c r="B549" s="14" t="s">
        <v>136</v>
      </c>
      <c r="C549" s="14" t="s">
        <v>1964</v>
      </c>
      <c r="D549" s="14" t="s">
        <v>29</v>
      </c>
      <c r="E549" s="48" t="s">
        <v>29</v>
      </c>
      <c r="F549" s="14" t="s">
        <v>1593</v>
      </c>
      <c r="G549" s="14" t="b">
        <f>OR(LCI_Table[[#This Row],[Feedstock]]="All",LCI_Table[[#This Row],[Feedstock]]=SelectedFeedstock)</f>
        <v>0</v>
      </c>
      <c r="H549" s="14" t="b">
        <f>OR(LCI_Table[[#This Row],[Conversion]]="All",LCI_Table[[#This Row],[Conversion]]=SelectedConversion)</f>
        <v>0</v>
      </c>
      <c r="I549" s="14" t="b">
        <f>OR(LCI_Table[[#This Row],[Data Set]]="all",LCI_Table[[#This Row],[Data Set]]=SelectedDataSet)</f>
        <v>1</v>
      </c>
      <c r="J549" s="14" t="b">
        <f>OR(LCI_Table[[#This Row],[Technology]]="All",LCI_Table[[#This Row],[Technology]]=SelectedTechnology)</f>
        <v>0</v>
      </c>
      <c r="K549" s="14" t="b">
        <f>OR(LCI_Table[[#This Row],[Data Source]]="All",LCI_Table[[#This Row],[Data Source]]=SelectedDataSource)</f>
        <v>1</v>
      </c>
      <c r="L549" s="14" t="b">
        <f>TRUE</f>
        <v>1</v>
      </c>
      <c r="M549" s="14" t="b">
        <f>(LCI_Table[[#This Row],[Dev Notes]]="Do not display")</f>
        <v>0</v>
      </c>
      <c r="N549" s="14" t="b">
        <f>AND(LCI_Table[[#This Row],[Show Feedstock]:[Conditional]],NOT(LCI_Table[[#This Row],[Hide Row]]))</f>
        <v>0</v>
      </c>
      <c r="O549" s="14" t="b">
        <f>LCI_Table[[#This Row],[GREET1 Name Range]]=""</f>
        <v>0</v>
      </c>
      <c r="P549" s="14" t="s">
        <v>1448</v>
      </c>
      <c r="Q549" s="14" t="s">
        <v>639</v>
      </c>
      <c r="R549" s="14" t="s">
        <v>142</v>
      </c>
      <c r="S549" s="37" cm="1">
        <f t="array" aca="1" ref="S5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0.18732924276995219</v>
      </c>
      <c r="T549" s="346" t="s">
        <v>2119</v>
      </c>
      <c r="U549" s="347">
        <f ca="1">S549/kg2lb/Allocations!$O$54*MJ2mmBTU</f>
        <v>1.0691470606945368E-4</v>
      </c>
      <c r="V549" s="347">
        <v>0.18732924276995219</v>
      </c>
      <c r="W549" s="347">
        <v>1.0691470606945368E-4</v>
      </c>
      <c r="X549" s="37" t="s">
        <v>12</v>
      </c>
      <c r="Y549" s="346" t="s">
        <v>416</v>
      </c>
      <c r="Z549" s="14" t="str">
        <f>IF(ISBLANK(LCI_Table[[#This Row],[Notes for user]])," ",LCI_Table[[#This Row],[Notes for user]])</f>
        <v xml:space="preserve"> </v>
      </c>
      <c r="AA549" s="14"/>
      <c r="AB549" s="14"/>
      <c r="AC549" s="346">
        <f ca="1">LCI_Table[[#This Row],[Default Calculated Value]]-LCI_Table[[#This Row],[Calculated Value]]</f>
        <v>0</v>
      </c>
    </row>
    <row r="550" spans="1:29" x14ac:dyDescent="0.3">
      <c r="A5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CornATJ-ethanolGREETGREETCorn wet mill - Standalone Facilities_Ethanol_ETJ_distributed_WaterWater</v>
      </c>
      <c r="B550" s="14" t="s">
        <v>136</v>
      </c>
      <c r="C550" s="14" t="s">
        <v>1964</v>
      </c>
      <c r="D550" s="14" t="s">
        <v>29</v>
      </c>
      <c r="E550" s="48" t="s">
        <v>29</v>
      </c>
      <c r="F550" s="14" t="s">
        <v>1593</v>
      </c>
      <c r="G550" s="14" t="b">
        <f>OR(LCI_Table[[#This Row],[Feedstock]]="All",LCI_Table[[#This Row],[Feedstock]]=SelectedFeedstock)</f>
        <v>0</v>
      </c>
      <c r="H550" s="14" t="b">
        <f>OR(LCI_Table[[#This Row],[Conversion]]="All",LCI_Table[[#This Row],[Conversion]]=SelectedConversion)</f>
        <v>0</v>
      </c>
      <c r="I550" s="14" t="b">
        <f>OR(LCI_Table[[#This Row],[Data Set]]="all",LCI_Table[[#This Row],[Data Set]]=SelectedDataSet)</f>
        <v>1</v>
      </c>
      <c r="J550" s="14" t="b">
        <f>OR(LCI_Table[[#This Row],[Technology]]="All",LCI_Table[[#This Row],[Technology]]=SelectedTechnology)</f>
        <v>0</v>
      </c>
      <c r="K550" s="14" t="b">
        <f>OR(LCI_Table[[#This Row],[Data Source]]="All",LCI_Table[[#This Row],[Data Source]]=SelectedDataSource)</f>
        <v>1</v>
      </c>
      <c r="L550" s="14" t="b">
        <f>TRUE</f>
        <v>1</v>
      </c>
      <c r="M550" s="14" t="b">
        <f>(LCI_Table[[#This Row],[Dev Notes]]="Do not display")</f>
        <v>0</v>
      </c>
      <c r="N550" s="14" t="b">
        <f>AND(LCI_Table[[#This Row],[Show Feedstock]:[Conditional]],NOT(LCI_Table[[#This Row],[Hide Row]]))</f>
        <v>0</v>
      </c>
      <c r="O550" s="14" t="b">
        <f>LCI_Table[[#This Row],[GREET1 Name Range]]=""</f>
        <v>0</v>
      </c>
      <c r="P550" s="14" t="s">
        <v>1448</v>
      </c>
      <c r="Q550" s="14" t="s">
        <v>644</v>
      </c>
      <c r="R550" s="14" t="s">
        <v>146</v>
      </c>
      <c r="S550" s="37" cm="1">
        <f t="array" aca="1" ref="S5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11.922973142841251</v>
      </c>
      <c r="T550" s="346" t="s">
        <v>2128</v>
      </c>
      <c r="U550" s="347">
        <f ca="1">S550/kg2lb*Fuel_Specs!$K$4/Allocations!$O$54*MJ2mmBTU</f>
        <v>5.6621519216734709E-2</v>
      </c>
      <c r="V550" s="347">
        <v>11.922973142841251</v>
      </c>
      <c r="W550" s="347">
        <v>5.6621519216734709E-2</v>
      </c>
      <c r="X550" s="37" t="s">
        <v>5</v>
      </c>
      <c r="Y550" s="346" t="s">
        <v>416</v>
      </c>
      <c r="Z550" s="14" t="str">
        <f>IF(ISBLANK(LCI_Table[[#This Row],[Notes for user]])," ",LCI_Table[[#This Row],[Notes for user]])</f>
        <v xml:space="preserve"> </v>
      </c>
      <c r="AA550" s="14"/>
      <c r="AB550" s="14"/>
      <c r="AC550" s="346">
        <f ca="1">LCI_Table[[#This Row],[Default Calculated Value]]-LCI_Table[[#This Row],[Calculated Value]]</f>
        <v>0</v>
      </c>
    </row>
    <row r="551" spans="1:29" x14ac:dyDescent="0.3">
      <c r="A5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WillowATJ-ethanolGREETGREETStandalone Facilities_JetFuel_ETJet_EthanolFeedstockSelector</v>
      </c>
      <c r="B551" s="14" t="s">
        <v>131</v>
      </c>
      <c r="C551" s="14" t="s">
        <v>1964</v>
      </c>
      <c r="D551" s="14" t="s">
        <v>29</v>
      </c>
      <c r="E551" s="48" t="s">
        <v>29</v>
      </c>
      <c r="F551" s="14" t="s">
        <v>1592</v>
      </c>
      <c r="G551" s="14" t="b">
        <f>OR(LCI_Table[[#This Row],[Feedstock]]="All",LCI_Table[[#This Row],[Feedstock]]=SelectedFeedstock)</f>
        <v>0</v>
      </c>
      <c r="H551" s="14" t="b">
        <f>OR(LCI_Table[[#This Row],[Conversion]]="All",LCI_Table[[#This Row],[Conversion]]=SelectedConversion)</f>
        <v>0</v>
      </c>
      <c r="I551" s="14" t="b">
        <f>OR(LCI_Table[[#This Row],[Data Set]]="all",LCI_Table[[#This Row],[Data Set]]=SelectedDataSet)</f>
        <v>1</v>
      </c>
      <c r="J551" s="14" t="b">
        <f>OR(LCI_Table[[#This Row],[Technology]]="All",LCI_Table[[#This Row],[Technology]]=SelectedTechnology)</f>
        <v>0</v>
      </c>
      <c r="K551" s="14" t="b">
        <f>OR(LCI_Table[[#This Row],[Data Source]]="All",LCI_Table[[#This Row],[Data Source]]=SelectedDataSource)</f>
        <v>1</v>
      </c>
      <c r="L551" s="14" t="b">
        <f>TRUE</f>
        <v>1</v>
      </c>
      <c r="M551" s="14" t="b">
        <f>(LCI_Table[[#This Row],[Dev Notes]]="Do not display")</f>
        <v>1</v>
      </c>
      <c r="N551" s="14" t="b">
        <f>AND(LCI_Table[[#This Row],[Show Feedstock]:[Conditional]],NOT(LCI_Table[[#This Row],[Hide Row]]))</f>
        <v>0</v>
      </c>
      <c r="O551" s="14" t="b">
        <f>LCI_Table[[#This Row],[GREET1 Name Range]]=""</f>
        <v>0</v>
      </c>
      <c r="P551" s="14" t="s">
        <v>1448</v>
      </c>
      <c r="Q551" s="14" t="s">
        <v>87</v>
      </c>
      <c r="R551" s="14" t="s">
        <v>902</v>
      </c>
      <c r="S551" s="37" cm="1">
        <f t="array" aca="1" ref="S5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v>
      </c>
      <c r="T551" s="346" t="s">
        <v>2132</v>
      </c>
      <c r="U551" s="352">
        <v>5</v>
      </c>
      <c r="V551" s="352">
        <v>5</v>
      </c>
      <c r="W551" s="352">
        <v>5</v>
      </c>
      <c r="X551" s="356"/>
      <c r="Y551" s="346" t="s">
        <v>416</v>
      </c>
      <c r="Z551" s="14" t="str">
        <f>IF(ISBLANK(LCI_Table[[#This Row],[Notes for user]])," ",LCI_Table[[#This Row],[Notes for user]])</f>
        <v xml:space="preserve"> </v>
      </c>
      <c r="AA551" s="14"/>
      <c r="AB551" s="14" t="s">
        <v>1138</v>
      </c>
      <c r="AC551" s="346">
        <f>LCI_Table[[#This Row],[Default Calculated Value]]-LCI_Table[[#This Row],[Calculated Value]]</f>
        <v>0</v>
      </c>
    </row>
    <row r="552" spans="1:29" x14ac:dyDescent="0.3">
      <c r="A5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WillowATJ-ethanolGREETGREETStandalone Facilities_Ethanol_ETJ_distributed_EthanolEthanol: Willow</v>
      </c>
      <c r="B552" s="14" t="s">
        <v>131</v>
      </c>
      <c r="C552" s="14" t="s">
        <v>1964</v>
      </c>
      <c r="D552" s="14" t="s">
        <v>29</v>
      </c>
      <c r="E552" s="48" t="s">
        <v>29</v>
      </c>
      <c r="F552" s="14" t="s">
        <v>1592</v>
      </c>
      <c r="G552" s="14" t="b">
        <f>OR(LCI_Table[[#This Row],[Feedstock]]="All",LCI_Table[[#This Row],[Feedstock]]=SelectedFeedstock)</f>
        <v>0</v>
      </c>
      <c r="H552" s="14" t="b">
        <f>OR(LCI_Table[[#This Row],[Conversion]]="All",LCI_Table[[#This Row],[Conversion]]=SelectedConversion)</f>
        <v>0</v>
      </c>
      <c r="I552" s="14" t="b">
        <f>OR(LCI_Table[[#This Row],[Data Set]]="all",LCI_Table[[#This Row],[Data Set]]=SelectedDataSet)</f>
        <v>1</v>
      </c>
      <c r="J552" s="14" t="b">
        <f>OR(LCI_Table[[#This Row],[Technology]]="All",LCI_Table[[#This Row],[Technology]]=SelectedTechnology)</f>
        <v>0</v>
      </c>
      <c r="K552" s="14" t="b">
        <f>OR(LCI_Table[[#This Row],[Data Source]]="All",LCI_Table[[#This Row],[Data Source]]=SelectedDataSource)</f>
        <v>1</v>
      </c>
      <c r="L552" s="14" t="b">
        <f>TRUE</f>
        <v>1</v>
      </c>
      <c r="M552" s="14" t="b">
        <f>(LCI_Table[[#This Row],[Dev Notes]]="Do not display")</f>
        <v>0</v>
      </c>
      <c r="N552" s="14" t="b">
        <f>AND(LCI_Table[[#This Row],[Show Feedstock]:[Conditional]],NOT(LCI_Table[[#This Row],[Hide Row]]))</f>
        <v>0</v>
      </c>
      <c r="O552" s="14" t="b">
        <f>LCI_Table[[#This Row],[GREET1 Name Range]]=""</f>
        <v>0</v>
      </c>
      <c r="P552" s="14" t="s">
        <v>1448</v>
      </c>
      <c r="Q552" s="14" t="s">
        <v>641</v>
      </c>
      <c r="R552" s="14" t="s">
        <v>392</v>
      </c>
      <c r="S552" s="37" cm="1">
        <f t="array" aca="1" ref="S5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14.67440380325554</v>
      </c>
      <c r="T552" s="346" t="s">
        <v>2128</v>
      </c>
      <c r="U552" s="347">
        <f ca="1">S552/kg2g*Fuel_Specs!$E$31/Allocations!$O$55*MJ2mmBTU</f>
        <v>5.5170533920077813E-2</v>
      </c>
      <c r="V552" s="347">
        <v>14.67440380325554</v>
      </c>
      <c r="W552" s="347">
        <v>5.5170533920077813E-2</v>
      </c>
      <c r="X552" s="37" t="s">
        <v>5</v>
      </c>
      <c r="Y552" s="346" t="s">
        <v>416</v>
      </c>
      <c r="Z552" s="14" t="str">
        <f>IF(ISBLANK(LCI_Table[[#This Row],[Notes for user]])," ",LCI_Table[[#This Row],[Notes for user]])</f>
        <v xml:space="preserve"> </v>
      </c>
      <c r="AA552" s="14"/>
      <c r="AB552" s="14"/>
      <c r="AC552" s="346">
        <f ca="1">LCI_Table[[#This Row],[Default Calculated Value]]-LCI_Table[[#This Row],[Calculated Value]]</f>
        <v>0</v>
      </c>
    </row>
    <row r="553" spans="1:29" x14ac:dyDescent="0.3">
      <c r="A5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WillowATJ-ethanolGREETGREETStandalone Facilities_Ethanol_ETJ_distributed_Natural_gasNatural gas</v>
      </c>
      <c r="B553" s="358" t="s">
        <v>131</v>
      </c>
      <c r="C553" s="358" t="s">
        <v>1964</v>
      </c>
      <c r="D553" s="358" t="s">
        <v>29</v>
      </c>
      <c r="E553" s="48" t="s">
        <v>29</v>
      </c>
      <c r="F553" s="14" t="s">
        <v>1592</v>
      </c>
      <c r="G553" s="14" t="b">
        <f>OR(LCI_Table[[#This Row],[Feedstock]]="All",LCI_Table[[#This Row],[Feedstock]]=SelectedFeedstock)</f>
        <v>0</v>
      </c>
      <c r="H553" s="14" t="b">
        <f>OR(LCI_Table[[#This Row],[Conversion]]="All",LCI_Table[[#This Row],[Conversion]]=SelectedConversion)</f>
        <v>0</v>
      </c>
      <c r="I553" s="14" t="b">
        <f>OR(LCI_Table[[#This Row],[Data Set]]="all",LCI_Table[[#This Row],[Data Set]]=SelectedDataSet)</f>
        <v>1</v>
      </c>
      <c r="J553" s="14" t="b">
        <f>OR(LCI_Table[[#This Row],[Technology]]="All",LCI_Table[[#This Row],[Technology]]=SelectedTechnology)</f>
        <v>0</v>
      </c>
      <c r="K553" s="14" t="b">
        <f>OR(LCI_Table[[#This Row],[Data Source]]="All",LCI_Table[[#This Row],[Data Source]]=SelectedDataSource)</f>
        <v>1</v>
      </c>
      <c r="L553" s="14" t="b">
        <f>TRUE</f>
        <v>1</v>
      </c>
      <c r="M553" s="14" t="b">
        <f>(LCI_Table[[#This Row],[Dev Notes]]="Do not display")</f>
        <v>0</v>
      </c>
      <c r="N553" s="14" t="b">
        <f>AND(LCI_Table[[#This Row],[Show Feedstock]:[Conditional]],NOT(LCI_Table[[#This Row],[Hide Row]]))</f>
        <v>0</v>
      </c>
      <c r="O553" s="14" t="b">
        <f>LCI_Table[[#This Row],[GREET1 Name Range]]=""</f>
        <v>0</v>
      </c>
      <c r="P553" s="358" t="s">
        <v>1448</v>
      </c>
      <c r="Q553" s="14" t="s">
        <v>643</v>
      </c>
      <c r="R553" s="358" t="s">
        <v>108</v>
      </c>
      <c r="S553" s="37" cm="1">
        <f t="array" aca="1" ref="S5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53" s="346" t="s">
        <v>2120</v>
      </c>
      <c r="U553" s="359">
        <f ca="1">S553/kg2g*Fuel_Specs!$E$79/Fuel_Specs!$B$79</f>
        <v>0</v>
      </c>
      <c r="V553" s="359">
        <v>0</v>
      </c>
      <c r="W553" s="359">
        <v>0</v>
      </c>
      <c r="X553" s="360" t="s">
        <v>351</v>
      </c>
      <c r="Y553" s="346" t="s">
        <v>416</v>
      </c>
      <c r="Z553" s="14" t="str">
        <f>IF(ISBLANK(LCI_Table[[#This Row],[Notes for user]])," ",LCI_Table[[#This Row],[Notes for user]])</f>
        <v xml:space="preserve"> </v>
      </c>
      <c r="AA553" s="358"/>
      <c r="AB553" s="358"/>
      <c r="AC553" s="346">
        <f ca="1">LCI_Table[[#This Row],[Default Calculated Value]]-LCI_Table[[#This Row],[Calculated Value]]</f>
        <v>0</v>
      </c>
    </row>
    <row r="554" spans="1:29" x14ac:dyDescent="0.3">
      <c r="A5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WillowATJ-ethanolGREETGREETStandalone Facilities_Ethanol_ETJ_distributed_ElectricityGrid Electricity</v>
      </c>
      <c r="B554" s="14" t="s">
        <v>131</v>
      </c>
      <c r="C554" s="14" t="s">
        <v>1964</v>
      </c>
      <c r="D554" s="14" t="s">
        <v>29</v>
      </c>
      <c r="E554" s="48" t="s">
        <v>29</v>
      </c>
      <c r="F554" s="14" t="s">
        <v>1592</v>
      </c>
      <c r="G554" s="14" t="b">
        <f>OR(LCI_Table[[#This Row],[Feedstock]]="All",LCI_Table[[#This Row],[Feedstock]]=SelectedFeedstock)</f>
        <v>0</v>
      </c>
      <c r="H554" s="14" t="b">
        <f>OR(LCI_Table[[#This Row],[Conversion]]="All",LCI_Table[[#This Row],[Conversion]]=SelectedConversion)</f>
        <v>0</v>
      </c>
      <c r="I554" s="14" t="b">
        <f>OR(LCI_Table[[#This Row],[Data Set]]="all",LCI_Table[[#This Row],[Data Set]]=SelectedDataSet)</f>
        <v>1</v>
      </c>
      <c r="J554" s="14" t="b">
        <f>OR(LCI_Table[[#This Row],[Technology]]="All",LCI_Table[[#This Row],[Technology]]=SelectedTechnology)</f>
        <v>0</v>
      </c>
      <c r="K554" s="14" t="b">
        <f>OR(LCI_Table[[#This Row],[Data Source]]="All",LCI_Table[[#This Row],[Data Source]]=SelectedDataSource)</f>
        <v>1</v>
      </c>
      <c r="L554" s="14" t="b">
        <f>TRUE</f>
        <v>1</v>
      </c>
      <c r="M554" s="14" t="b">
        <f>(LCI_Table[[#This Row],[Dev Notes]]="Do not display")</f>
        <v>0</v>
      </c>
      <c r="N554" s="14" t="b">
        <f>AND(LCI_Table[[#This Row],[Show Feedstock]:[Conditional]],NOT(LCI_Table[[#This Row],[Hide Row]]))</f>
        <v>0</v>
      </c>
      <c r="O554" s="14" t="b">
        <f>LCI_Table[[#This Row],[GREET1 Name Range]]=""</f>
        <v>0</v>
      </c>
      <c r="P554" s="14" t="s">
        <v>1448</v>
      </c>
      <c r="Q554" s="14" t="s">
        <v>640</v>
      </c>
      <c r="R554" s="14" t="s">
        <v>1684</v>
      </c>
      <c r="S554" s="37" cm="1">
        <f t="array" aca="1" ref="S5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7.3884407786736448</v>
      </c>
      <c r="T554" s="346" t="s">
        <v>2121</v>
      </c>
      <c r="U554" s="347">
        <f ca="1">S554/Allocations!$O$55*MJ2mmBTU</f>
        <v>9.2964882515629704E-3</v>
      </c>
      <c r="V554" s="347">
        <v>7.3884407786736448</v>
      </c>
      <c r="W554" s="347">
        <v>9.2964882515629704E-3</v>
      </c>
      <c r="X554" s="37" t="s">
        <v>51</v>
      </c>
      <c r="Y554" s="346" t="s">
        <v>416</v>
      </c>
      <c r="Z554" s="14" t="str">
        <f>IF(ISBLANK(LCI_Table[[#This Row],[Notes for user]])," ",LCI_Table[[#This Row],[Notes for user]])</f>
        <v xml:space="preserve"> </v>
      </c>
      <c r="AA554" s="14"/>
      <c r="AB554" s="14"/>
      <c r="AC554" s="346">
        <f ca="1">LCI_Table[[#This Row],[Default Calculated Value]]-LCI_Table[[#This Row],[Calculated Value]]</f>
        <v>0</v>
      </c>
    </row>
    <row r="555" spans="1:29" x14ac:dyDescent="0.3">
      <c r="A5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WillowATJ-ethanolGREETGREETStandalone Facilities_Ethanol_ETJ_distributed_HydrogenHydrogen</v>
      </c>
      <c r="B555" s="14" t="s">
        <v>131</v>
      </c>
      <c r="C555" s="14" t="s">
        <v>1964</v>
      </c>
      <c r="D555" s="14" t="s">
        <v>29</v>
      </c>
      <c r="E555" s="48" t="s">
        <v>29</v>
      </c>
      <c r="F555" s="14" t="s">
        <v>1592</v>
      </c>
      <c r="G555" s="14" t="b">
        <f>OR(LCI_Table[[#This Row],[Feedstock]]="All",LCI_Table[[#This Row],[Feedstock]]=SelectedFeedstock)</f>
        <v>0</v>
      </c>
      <c r="H555" s="14" t="b">
        <f>OR(LCI_Table[[#This Row],[Conversion]]="All",LCI_Table[[#This Row],[Conversion]]=SelectedConversion)</f>
        <v>0</v>
      </c>
      <c r="I555" s="14" t="b">
        <f>OR(LCI_Table[[#This Row],[Data Set]]="all",LCI_Table[[#This Row],[Data Set]]=SelectedDataSet)</f>
        <v>1</v>
      </c>
      <c r="J555" s="14" t="b">
        <f>OR(LCI_Table[[#This Row],[Technology]]="All",LCI_Table[[#This Row],[Technology]]=SelectedTechnology)</f>
        <v>0</v>
      </c>
      <c r="K555" s="14" t="b">
        <f>OR(LCI_Table[[#This Row],[Data Source]]="All",LCI_Table[[#This Row],[Data Source]]=SelectedDataSource)</f>
        <v>1</v>
      </c>
      <c r="L555" s="14" t="b">
        <f>TRUE</f>
        <v>1</v>
      </c>
      <c r="M555" s="14" t="b">
        <f>(LCI_Table[[#This Row],[Dev Notes]]="Do not display")</f>
        <v>0</v>
      </c>
      <c r="N555" s="14" t="b">
        <f>AND(LCI_Table[[#This Row],[Show Feedstock]:[Conditional]],NOT(LCI_Table[[#This Row],[Hide Row]]))</f>
        <v>0</v>
      </c>
      <c r="O555" s="14" t="b">
        <f>LCI_Table[[#This Row],[GREET1 Name Range]]=""</f>
        <v>0</v>
      </c>
      <c r="P555" s="14" t="s">
        <v>1448</v>
      </c>
      <c r="Q555" s="14" t="s">
        <v>642</v>
      </c>
      <c r="R555" s="14" t="s">
        <v>73</v>
      </c>
      <c r="S555" s="37" cm="1">
        <f t="array" aca="1" ref="S5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210.24598998652542</v>
      </c>
      <c r="T555" s="346" t="s">
        <v>2120</v>
      </c>
      <c r="U555" s="347">
        <f ca="1">S555/kg2g*Fuel_Specs!$E$81/Allocations!$O$55*MJ2mmBTU</f>
        <v>6.745808835334578E-4</v>
      </c>
      <c r="V555" s="347">
        <v>210.24598998652542</v>
      </c>
      <c r="W555" s="347">
        <v>6.745808835334578E-4</v>
      </c>
      <c r="X555" s="37" t="s">
        <v>351</v>
      </c>
      <c r="Y555" s="346" t="s">
        <v>416</v>
      </c>
      <c r="Z555" s="14" t="str">
        <f>IF(ISBLANK(LCI_Table[[#This Row],[Notes for user]])," ",LCI_Table[[#This Row],[Notes for user]])</f>
        <v xml:space="preserve"> </v>
      </c>
      <c r="AA555" s="14"/>
      <c r="AB555" s="14"/>
      <c r="AC555" s="346">
        <f ca="1">LCI_Table[[#This Row],[Default Calculated Value]]-LCI_Table[[#This Row],[Calculated Value]]</f>
        <v>0</v>
      </c>
    </row>
    <row r="556" spans="1:29" x14ac:dyDescent="0.3">
      <c r="A5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WillowATJ-ethanolGREETGREETStandalone Facilities_Ethanol_ETJ_distributed_CatalystsCatalysts</v>
      </c>
      <c r="B556" s="14" t="s">
        <v>131</v>
      </c>
      <c r="C556" s="14" t="s">
        <v>1964</v>
      </c>
      <c r="D556" s="14" t="s">
        <v>29</v>
      </c>
      <c r="E556" s="48" t="s">
        <v>29</v>
      </c>
      <c r="F556" s="14" t="s">
        <v>1592</v>
      </c>
      <c r="G556" s="14" t="b">
        <f>OR(LCI_Table[[#This Row],[Feedstock]]="All",LCI_Table[[#This Row],[Feedstock]]=SelectedFeedstock)</f>
        <v>0</v>
      </c>
      <c r="H556" s="14" t="b">
        <f>OR(LCI_Table[[#This Row],[Conversion]]="All",LCI_Table[[#This Row],[Conversion]]=SelectedConversion)</f>
        <v>0</v>
      </c>
      <c r="I556" s="14" t="b">
        <f>OR(LCI_Table[[#This Row],[Data Set]]="all",LCI_Table[[#This Row],[Data Set]]=SelectedDataSet)</f>
        <v>1</v>
      </c>
      <c r="J556" s="14" t="b">
        <f>OR(LCI_Table[[#This Row],[Technology]]="All",LCI_Table[[#This Row],[Technology]]=SelectedTechnology)</f>
        <v>0</v>
      </c>
      <c r="K556" s="14" t="b">
        <f>OR(LCI_Table[[#This Row],[Data Source]]="All",LCI_Table[[#This Row],[Data Source]]=SelectedDataSource)</f>
        <v>1</v>
      </c>
      <c r="L556" s="14" t="b">
        <f>TRUE</f>
        <v>1</v>
      </c>
      <c r="M556" s="14" t="b">
        <f>(LCI_Table[[#This Row],[Dev Notes]]="Do not display")</f>
        <v>0</v>
      </c>
      <c r="N556" s="14" t="b">
        <f>AND(LCI_Table[[#This Row],[Show Feedstock]:[Conditional]],NOT(LCI_Table[[#This Row],[Hide Row]]))</f>
        <v>0</v>
      </c>
      <c r="O556" s="14" t="b">
        <f>LCI_Table[[#This Row],[GREET1 Name Range]]=""</f>
        <v>0</v>
      </c>
      <c r="P556" s="14" t="s">
        <v>1448</v>
      </c>
      <c r="Q556" s="14" t="s">
        <v>639</v>
      </c>
      <c r="R556" s="14" t="s">
        <v>142</v>
      </c>
      <c r="S556" s="37" cm="1">
        <f t="array" aca="1" ref="S5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0.18732924276995219</v>
      </c>
      <c r="T556" s="346" t="s">
        <v>2119</v>
      </c>
      <c r="U556" s="347">
        <f ca="1">S556/kg2lb/Allocations!$O$55*MJ2mmBTU</f>
        <v>1.0691470606945368E-4</v>
      </c>
      <c r="V556" s="347">
        <v>0.18732924276995219</v>
      </c>
      <c r="W556" s="347">
        <v>1.0691470606945368E-4</v>
      </c>
      <c r="X556" s="37" t="s">
        <v>12</v>
      </c>
      <c r="Y556" s="346" t="s">
        <v>416</v>
      </c>
      <c r="Z556" s="14" t="str">
        <f>IF(ISBLANK(LCI_Table[[#This Row],[Notes for user]])," ",LCI_Table[[#This Row],[Notes for user]])</f>
        <v xml:space="preserve"> </v>
      </c>
      <c r="AA556" s="14"/>
      <c r="AB556" s="14"/>
      <c r="AC556" s="346">
        <f ca="1">LCI_Table[[#This Row],[Default Calculated Value]]-LCI_Table[[#This Row],[Calculated Value]]</f>
        <v>0</v>
      </c>
    </row>
    <row r="557" spans="1:29" x14ac:dyDescent="0.3">
      <c r="A5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WillowATJ-ethanolGREETGREETStandalone Facilities_Ethanol_ETJ_distributed_WaterWater</v>
      </c>
      <c r="B557" s="14" t="s">
        <v>131</v>
      </c>
      <c r="C557" s="14" t="s">
        <v>1964</v>
      </c>
      <c r="D557" s="14" t="s">
        <v>29</v>
      </c>
      <c r="E557" s="48" t="s">
        <v>29</v>
      </c>
      <c r="F557" s="14" t="s">
        <v>1592</v>
      </c>
      <c r="G557" s="14" t="b">
        <f>OR(LCI_Table[[#This Row],[Feedstock]]="All",LCI_Table[[#This Row],[Feedstock]]=SelectedFeedstock)</f>
        <v>0</v>
      </c>
      <c r="H557" s="14" t="b">
        <f>OR(LCI_Table[[#This Row],[Conversion]]="All",LCI_Table[[#This Row],[Conversion]]=SelectedConversion)</f>
        <v>0</v>
      </c>
      <c r="I557" s="14" t="b">
        <f>OR(LCI_Table[[#This Row],[Data Set]]="all",LCI_Table[[#This Row],[Data Set]]=SelectedDataSet)</f>
        <v>1</v>
      </c>
      <c r="J557" s="14" t="b">
        <f>OR(LCI_Table[[#This Row],[Technology]]="All",LCI_Table[[#This Row],[Technology]]=SelectedTechnology)</f>
        <v>0</v>
      </c>
      <c r="K557" s="14" t="b">
        <f>OR(LCI_Table[[#This Row],[Data Source]]="All",LCI_Table[[#This Row],[Data Source]]=SelectedDataSource)</f>
        <v>1</v>
      </c>
      <c r="L557" s="14" t="b">
        <f>TRUE</f>
        <v>1</v>
      </c>
      <c r="M557" s="14" t="b">
        <f>(LCI_Table[[#This Row],[Dev Notes]]="Do not display")</f>
        <v>0</v>
      </c>
      <c r="N557" s="14" t="b">
        <f>AND(LCI_Table[[#This Row],[Show Feedstock]:[Conditional]],NOT(LCI_Table[[#This Row],[Hide Row]]))</f>
        <v>0</v>
      </c>
      <c r="O557" s="14" t="b">
        <f>LCI_Table[[#This Row],[GREET1 Name Range]]=""</f>
        <v>0</v>
      </c>
      <c r="P557" s="14" t="s">
        <v>1448</v>
      </c>
      <c r="Q557" s="14" t="s">
        <v>644</v>
      </c>
      <c r="R557" s="14" t="s">
        <v>146</v>
      </c>
      <c r="S557" s="37" cm="1">
        <f t="array" aca="1" ref="S5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11.922973142841251</v>
      </c>
      <c r="T557" s="346" t="s">
        <v>2128</v>
      </c>
      <c r="U557" s="347">
        <f ca="1">S557/kg2lb*Fuel_Specs!$K$4/Allocations!$O$55*MJ2mmBTU</f>
        <v>5.6621519216734709E-2</v>
      </c>
      <c r="V557" s="347">
        <v>11.922973142841251</v>
      </c>
      <c r="W557" s="347">
        <v>5.6621519216734709E-2</v>
      </c>
      <c r="X557" s="37" t="s">
        <v>5</v>
      </c>
      <c r="Y557" s="346" t="s">
        <v>416</v>
      </c>
      <c r="Z557" s="14" t="str">
        <f>IF(ISBLANK(LCI_Table[[#This Row],[Notes for user]])," ",LCI_Table[[#This Row],[Notes for user]])</f>
        <v xml:space="preserve"> </v>
      </c>
      <c r="AA557" s="14"/>
      <c r="AB557" s="14"/>
      <c r="AC557" s="346">
        <f ca="1">LCI_Table[[#This Row],[Default Calculated Value]]-LCI_Table[[#This Row],[Calculated Value]]</f>
        <v>0</v>
      </c>
    </row>
    <row r="558" spans="1:29" x14ac:dyDescent="0.3">
      <c r="A5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PoplarATJ-ethanolGREETGREETStandalone Facilities_JetFuel_ETJet_EthanolFeedstockSelector</v>
      </c>
      <c r="B558" s="14" t="s">
        <v>132</v>
      </c>
      <c r="C558" s="14" t="s">
        <v>1964</v>
      </c>
      <c r="D558" s="14" t="s">
        <v>29</v>
      </c>
      <c r="E558" s="48" t="s">
        <v>29</v>
      </c>
      <c r="F558" s="14" t="s">
        <v>1592</v>
      </c>
      <c r="G558" s="14" t="b">
        <f>OR(LCI_Table[[#This Row],[Feedstock]]="All",LCI_Table[[#This Row],[Feedstock]]=SelectedFeedstock)</f>
        <v>0</v>
      </c>
      <c r="H558" s="14" t="b">
        <f>OR(LCI_Table[[#This Row],[Conversion]]="All",LCI_Table[[#This Row],[Conversion]]=SelectedConversion)</f>
        <v>0</v>
      </c>
      <c r="I558" s="14" t="b">
        <f>OR(LCI_Table[[#This Row],[Data Set]]="all",LCI_Table[[#This Row],[Data Set]]=SelectedDataSet)</f>
        <v>1</v>
      </c>
      <c r="J558" s="14" t="b">
        <f>OR(LCI_Table[[#This Row],[Technology]]="All",LCI_Table[[#This Row],[Technology]]=SelectedTechnology)</f>
        <v>0</v>
      </c>
      <c r="K558" s="14" t="b">
        <f>OR(LCI_Table[[#This Row],[Data Source]]="All",LCI_Table[[#This Row],[Data Source]]=SelectedDataSource)</f>
        <v>1</v>
      </c>
      <c r="L558" s="14" t="b">
        <f>TRUE</f>
        <v>1</v>
      </c>
      <c r="M558" s="14" t="b">
        <f>(LCI_Table[[#This Row],[Dev Notes]]="Do not display")</f>
        <v>1</v>
      </c>
      <c r="N558" s="14" t="b">
        <f>AND(LCI_Table[[#This Row],[Show Feedstock]:[Conditional]],NOT(LCI_Table[[#This Row],[Hide Row]]))</f>
        <v>0</v>
      </c>
      <c r="O558" s="14" t="b">
        <f>LCI_Table[[#This Row],[GREET1 Name Range]]=""</f>
        <v>0</v>
      </c>
      <c r="P558" s="14" t="s">
        <v>1448</v>
      </c>
      <c r="Q558" s="14" t="s">
        <v>87</v>
      </c>
      <c r="R558" s="14" t="s">
        <v>902</v>
      </c>
      <c r="S558" s="37" cm="1">
        <f t="array" aca="1" ref="S5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v>
      </c>
      <c r="T558" s="346" t="s">
        <v>2132</v>
      </c>
      <c r="U558" s="352">
        <v>6</v>
      </c>
      <c r="V558" s="352">
        <v>6</v>
      </c>
      <c r="W558" s="352">
        <v>6</v>
      </c>
      <c r="X558" s="356"/>
      <c r="Y558" s="346" t="s">
        <v>416</v>
      </c>
      <c r="Z558" s="14" t="str">
        <f>IF(ISBLANK(LCI_Table[[#This Row],[Notes for user]])," ",LCI_Table[[#This Row],[Notes for user]])</f>
        <v xml:space="preserve"> </v>
      </c>
      <c r="AA558" s="14"/>
      <c r="AB558" s="14" t="s">
        <v>1138</v>
      </c>
      <c r="AC558" s="346">
        <f>LCI_Table[[#This Row],[Default Calculated Value]]-LCI_Table[[#This Row],[Calculated Value]]</f>
        <v>0</v>
      </c>
    </row>
    <row r="559" spans="1:29" x14ac:dyDescent="0.3">
      <c r="A5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PoplarATJ-ethanolGREETGREETStandalone Facilities_Ethanol_ETJ_distributed_EthanolEthanol: Poplar</v>
      </c>
      <c r="B559" s="14" t="s">
        <v>132</v>
      </c>
      <c r="C559" s="14" t="s">
        <v>1964</v>
      </c>
      <c r="D559" s="14" t="s">
        <v>29</v>
      </c>
      <c r="E559" s="48" t="s">
        <v>29</v>
      </c>
      <c r="F559" s="14" t="s">
        <v>1592</v>
      </c>
      <c r="G559" s="14" t="b">
        <f>OR(LCI_Table[[#This Row],[Feedstock]]="All",LCI_Table[[#This Row],[Feedstock]]=SelectedFeedstock)</f>
        <v>0</v>
      </c>
      <c r="H559" s="14" t="b">
        <f>OR(LCI_Table[[#This Row],[Conversion]]="All",LCI_Table[[#This Row],[Conversion]]=SelectedConversion)</f>
        <v>0</v>
      </c>
      <c r="I559" s="14" t="b">
        <f>OR(LCI_Table[[#This Row],[Data Set]]="all",LCI_Table[[#This Row],[Data Set]]=SelectedDataSet)</f>
        <v>1</v>
      </c>
      <c r="J559" s="14" t="b">
        <f>OR(LCI_Table[[#This Row],[Technology]]="All",LCI_Table[[#This Row],[Technology]]=SelectedTechnology)</f>
        <v>0</v>
      </c>
      <c r="K559" s="14" t="b">
        <f>OR(LCI_Table[[#This Row],[Data Source]]="All",LCI_Table[[#This Row],[Data Source]]=SelectedDataSource)</f>
        <v>1</v>
      </c>
      <c r="L559" s="14" t="b">
        <f>TRUE</f>
        <v>1</v>
      </c>
      <c r="M559" s="14" t="b">
        <f>(LCI_Table[[#This Row],[Dev Notes]]="Do not display")</f>
        <v>0</v>
      </c>
      <c r="N559" s="14" t="b">
        <f>AND(LCI_Table[[#This Row],[Show Feedstock]:[Conditional]],NOT(LCI_Table[[#This Row],[Hide Row]]))</f>
        <v>0</v>
      </c>
      <c r="O559" s="14" t="b">
        <f>LCI_Table[[#This Row],[GREET1 Name Range]]=""</f>
        <v>0</v>
      </c>
      <c r="P559" s="14" t="s">
        <v>1448</v>
      </c>
      <c r="Q559" s="14" t="s">
        <v>641</v>
      </c>
      <c r="R559" s="14" t="s">
        <v>393</v>
      </c>
      <c r="S559" s="37" cm="1">
        <f t="array" aca="1" ref="S5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14.67440380325554</v>
      </c>
      <c r="T559" s="346" t="s">
        <v>2128</v>
      </c>
      <c r="U559" s="347">
        <f ca="1">S559/kg2g*Fuel_Specs!$E$31/Allocations!$O$56*MJ2mmBTU</f>
        <v>5.5170533920077813E-2</v>
      </c>
      <c r="V559" s="347">
        <v>14.67440380325554</v>
      </c>
      <c r="W559" s="347">
        <v>5.5170533920077813E-2</v>
      </c>
      <c r="X559" s="37" t="s">
        <v>5</v>
      </c>
      <c r="Y559" s="346" t="s">
        <v>416</v>
      </c>
      <c r="Z559" s="14" t="str">
        <f>IF(ISBLANK(LCI_Table[[#This Row],[Notes for user]])," ",LCI_Table[[#This Row],[Notes for user]])</f>
        <v xml:space="preserve"> </v>
      </c>
      <c r="AA559" s="14"/>
      <c r="AB559" s="14"/>
      <c r="AC559" s="346">
        <f ca="1">LCI_Table[[#This Row],[Default Calculated Value]]-LCI_Table[[#This Row],[Calculated Value]]</f>
        <v>0</v>
      </c>
    </row>
    <row r="560" spans="1:29" x14ac:dyDescent="0.3">
      <c r="A5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PoplarATJ-ethanolGREETGREETStandalone Facilities_Ethanol_ETJ_distributed_Natural_gasNatural gas</v>
      </c>
      <c r="B560" s="358" t="s">
        <v>132</v>
      </c>
      <c r="C560" s="358" t="s">
        <v>1964</v>
      </c>
      <c r="D560" s="358" t="s">
        <v>29</v>
      </c>
      <c r="E560" s="48" t="s">
        <v>29</v>
      </c>
      <c r="F560" s="14" t="s">
        <v>1592</v>
      </c>
      <c r="G560" s="14" t="b">
        <f>OR(LCI_Table[[#This Row],[Feedstock]]="All",LCI_Table[[#This Row],[Feedstock]]=SelectedFeedstock)</f>
        <v>0</v>
      </c>
      <c r="H560" s="14" t="b">
        <f>OR(LCI_Table[[#This Row],[Conversion]]="All",LCI_Table[[#This Row],[Conversion]]=SelectedConversion)</f>
        <v>0</v>
      </c>
      <c r="I560" s="14" t="b">
        <f>OR(LCI_Table[[#This Row],[Data Set]]="all",LCI_Table[[#This Row],[Data Set]]=SelectedDataSet)</f>
        <v>1</v>
      </c>
      <c r="J560" s="14" t="b">
        <f>OR(LCI_Table[[#This Row],[Technology]]="All",LCI_Table[[#This Row],[Technology]]=SelectedTechnology)</f>
        <v>0</v>
      </c>
      <c r="K560" s="14" t="b">
        <f>OR(LCI_Table[[#This Row],[Data Source]]="All",LCI_Table[[#This Row],[Data Source]]=SelectedDataSource)</f>
        <v>1</v>
      </c>
      <c r="L560" s="14" t="b">
        <f>TRUE</f>
        <v>1</v>
      </c>
      <c r="M560" s="14" t="b">
        <f>(LCI_Table[[#This Row],[Dev Notes]]="Do not display")</f>
        <v>0</v>
      </c>
      <c r="N560" s="14" t="b">
        <f>AND(LCI_Table[[#This Row],[Show Feedstock]:[Conditional]],NOT(LCI_Table[[#This Row],[Hide Row]]))</f>
        <v>0</v>
      </c>
      <c r="O560" s="14" t="b">
        <f>LCI_Table[[#This Row],[GREET1 Name Range]]=""</f>
        <v>0</v>
      </c>
      <c r="P560" s="358" t="s">
        <v>1448</v>
      </c>
      <c r="Q560" s="14" t="s">
        <v>643</v>
      </c>
      <c r="R560" s="358" t="s">
        <v>108</v>
      </c>
      <c r="S560" s="37" cm="1">
        <f t="array" aca="1" ref="S5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60" s="346" t="s">
        <v>2120</v>
      </c>
      <c r="U560" s="359">
        <f ca="1">S560/kg2g*Fuel_Specs!$E$79/Fuel_Specs!$B$79</f>
        <v>0</v>
      </c>
      <c r="V560" s="359">
        <v>0</v>
      </c>
      <c r="W560" s="359">
        <v>0</v>
      </c>
      <c r="X560" s="360" t="s">
        <v>351</v>
      </c>
      <c r="Y560" s="346" t="s">
        <v>416</v>
      </c>
      <c r="Z560" s="14" t="str">
        <f>IF(ISBLANK(LCI_Table[[#This Row],[Notes for user]])," ",LCI_Table[[#This Row],[Notes for user]])</f>
        <v xml:space="preserve"> </v>
      </c>
      <c r="AA560" s="358"/>
      <c r="AB560" s="358"/>
      <c r="AC560" s="346">
        <f ca="1">LCI_Table[[#This Row],[Default Calculated Value]]-LCI_Table[[#This Row],[Calculated Value]]</f>
        <v>0</v>
      </c>
    </row>
    <row r="561" spans="1:29" x14ac:dyDescent="0.3">
      <c r="A5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PoplarATJ-ethanolGREETGREETStandalone Facilities_Ethanol_ETJ_distributed_ElectricityGrid Electricity</v>
      </c>
      <c r="B561" s="14" t="s">
        <v>132</v>
      </c>
      <c r="C561" s="14" t="s">
        <v>1964</v>
      </c>
      <c r="D561" s="14" t="s">
        <v>29</v>
      </c>
      <c r="E561" s="48" t="s">
        <v>29</v>
      </c>
      <c r="F561" s="14" t="s">
        <v>1592</v>
      </c>
      <c r="G561" s="14" t="b">
        <f>OR(LCI_Table[[#This Row],[Feedstock]]="All",LCI_Table[[#This Row],[Feedstock]]=SelectedFeedstock)</f>
        <v>0</v>
      </c>
      <c r="H561" s="14" t="b">
        <f>OR(LCI_Table[[#This Row],[Conversion]]="All",LCI_Table[[#This Row],[Conversion]]=SelectedConversion)</f>
        <v>0</v>
      </c>
      <c r="I561" s="14" t="b">
        <f>OR(LCI_Table[[#This Row],[Data Set]]="all",LCI_Table[[#This Row],[Data Set]]=SelectedDataSet)</f>
        <v>1</v>
      </c>
      <c r="J561" s="14" t="b">
        <f>OR(LCI_Table[[#This Row],[Technology]]="All",LCI_Table[[#This Row],[Technology]]=SelectedTechnology)</f>
        <v>0</v>
      </c>
      <c r="K561" s="14" t="b">
        <f>OR(LCI_Table[[#This Row],[Data Source]]="All",LCI_Table[[#This Row],[Data Source]]=SelectedDataSource)</f>
        <v>1</v>
      </c>
      <c r="L561" s="14" t="b">
        <f>TRUE</f>
        <v>1</v>
      </c>
      <c r="M561" s="14" t="b">
        <f>(LCI_Table[[#This Row],[Dev Notes]]="Do not display")</f>
        <v>0</v>
      </c>
      <c r="N561" s="14" t="b">
        <f>AND(LCI_Table[[#This Row],[Show Feedstock]:[Conditional]],NOT(LCI_Table[[#This Row],[Hide Row]]))</f>
        <v>0</v>
      </c>
      <c r="O561" s="14" t="b">
        <f>LCI_Table[[#This Row],[GREET1 Name Range]]=""</f>
        <v>0</v>
      </c>
      <c r="P561" s="14" t="s">
        <v>1448</v>
      </c>
      <c r="Q561" s="14" t="s">
        <v>640</v>
      </c>
      <c r="R561" s="14" t="s">
        <v>1684</v>
      </c>
      <c r="S561" s="37" cm="1">
        <f t="array" aca="1" ref="S5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7.3884407786736448</v>
      </c>
      <c r="T561" s="346" t="s">
        <v>2121</v>
      </c>
      <c r="U561" s="347">
        <f ca="1">S561/Allocations!$O$56*MJ2mmBTU</f>
        <v>9.2964882515629704E-3</v>
      </c>
      <c r="V561" s="347">
        <v>7.3884407786736448</v>
      </c>
      <c r="W561" s="347">
        <v>9.2964882515629704E-3</v>
      </c>
      <c r="X561" s="37" t="s">
        <v>51</v>
      </c>
      <c r="Y561" s="346" t="s">
        <v>416</v>
      </c>
      <c r="Z561" s="14" t="str">
        <f>IF(ISBLANK(LCI_Table[[#This Row],[Notes for user]])," ",LCI_Table[[#This Row],[Notes for user]])</f>
        <v xml:space="preserve"> </v>
      </c>
      <c r="AA561" s="14"/>
      <c r="AB561" s="14"/>
      <c r="AC561" s="346">
        <f ca="1">LCI_Table[[#This Row],[Default Calculated Value]]-LCI_Table[[#This Row],[Calculated Value]]</f>
        <v>0</v>
      </c>
    </row>
    <row r="562" spans="1:29" x14ac:dyDescent="0.3">
      <c r="A5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PoplarATJ-ethanolGREETGREETStandalone Facilities_Ethanol_ETJ_distributed_HydrogenHydrogen</v>
      </c>
      <c r="B562" s="14" t="s">
        <v>132</v>
      </c>
      <c r="C562" s="14" t="s">
        <v>1964</v>
      </c>
      <c r="D562" s="14" t="s">
        <v>29</v>
      </c>
      <c r="E562" s="48" t="s">
        <v>29</v>
      </c>
      <c r="F562" s="14" t="s">
        <v>1592</v>
      </c>
      <c r="G562" s="14" t="b">
        <f>OR(LCI_Table[[#This Row],[Feedstock]]="All",LCI_Table[[#This Row],[Feedstock]]=SelectedFeedstock)</f>
        <v>0</v>
      </c>
      <c r="H562" s="14" t="b">
        <f>OR(LCI_Table[[#This Row],[Conversion]]="All",LCI_Table[[#This Row],[Conversion]]=SelectedConversion)</f>
        <v>0</v>
      </c>
      <c r="I562" s="14" t="b">
        <f>OR(LCI_Table[[#This Row],[Data Set]]="all",LCI_Table[[#This Row],[Data Set]]=SelectedDataSet)</f>
        <v>1</v>
      </c>
      <c r="J562" s="14" t="b">
        <f>OR(LCI_Table[[#This Row],[Technology]]="All",LCI_Table[[#This Row],[Technology]]=SelectedTechnology)</f>
        <v>0</v>
      </c>
      <c r="K562" s="14" t="b">
        <f>OR(LCI_Table[[#This Row],[Data Source]]="All",LCI_Table[[#This Row],[Data Source]]=SelectedDataSource)</f>
        <v>1</v>
      </c>
      <c r="L562" s="14" t="b">
        <f>TRUE</f>
        <v>1</v>
      </c>
      <c r="M562" s="14" t="b">
        <f>(LCI_Table[[#This Row],[Dev Notes]]="Do not display")</f>
        <v>0</v>
      </c>
      <c r="N562" s="14" t="b">
        <f>AND(LCI_Table[[#This Row],[Show Feedstock]:[Conditional]],NOT(LCI_Table[[#This Row],[Hide Row]]))</f>
        <v>0</v>
      </c>
      <c r="O562" s="14" t="b">
        <f>LCI_Table[[#This Row],[GREET1 Name Range]]=""</f>
        <v>0</v>
      </c>
      <c r="P562" s="14" t="s">
        <v>1448</v>
      </c>
      <c r="Q562" s="14" t="s">
        <v>642</v>
      </c>
      <c r="R562" s="14" t="s">
        <v>73</v>
      </c>
      <c r="S562" s="37" cm="1">
        <f t="array" aca="1" ref="S5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210.24598998652542</v>
      </c>
      <c r="T562" s="346" t="s">
        <v>2120</v>
      </c>
      <c r="U562" s="347">
        <f ca="1">S562/kg2g*Fuel_Specs!$E$81/Allocations!$O$56*MJ2mmBTU</f>
        <v>6.745808835334578E-4</v>
      </c>
      <c r="V562" s="347">
        <v>210.24598998652542</v>
      </c>
      <c r="W562" s="347">
        <v>6.745808835334578E-4</v>
      </c>
      <c r="X562" s="37" t="s">
        <v>351</v>
      </c>
      <c r="Y562" s="346" t="s">
        <v>416</v>
      </c>
      <c r="Z562" s="14" t="str">
        <f>IF(ISBLANK(LCI_Table[[#This Row],[Notes for user]])," ",LCI_Table[[#This Row],[Notes for user]])</f>
        <v xml:space="preserve"> </v>
      </c>
      <c r="AA562" s="14"/>
      <c r="AB562" s="14"/>
      <c r="AC562" s="346">
        <f ca="1">LCI_Table[[#This Row],[Default Calculated Value]]-LCI_Table[[#This Row],[Calculated Value]]</f>
        <v>0</v>
      </c>
    </row>
    <row r="563" spans="1:29" x14ac:dyDescent="0.3">
      <c r="A5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PoplarATJ-ethanolGREETGREETStandalone Facilities_Ethanol_ETJ_distributed_CatalystsCatalysts</v>
      </c>
      <c r="B563" s="14" t="s">
        <v>132</v>
      </c>
      <c r="C563" s="14" t="s">
        <v>1964</v>
      </c>
      <c r="D563" s="14" t="s">
        <v>29</v>
      </c>
      <c r="E563" s="48" t="s">
        <v>29</v>
      </c>
      <c r="F563" s="14" t="s">
        <v>1592</v>
      </c>
      <c r="G563" s="14" t="b">
        <f>OR(LCI_Table[[#This Row],[Feedstock]]="All",LCI_Table[[#This Row],[Feedstock]]=SelectedFeedstock)</f>
        <v>0</v>
      </c>
      <c r="H563" s="14" t="b">
        <f>OR(LCI_Table[[#This Row],[Conversion]]="All",LCI_Table[[#This Row],[Conversion]]=SelectedConversion)</f>
        <v>0</v>
      </c>
      <c r="I563" s="14" t="b">
        <f>OR(LCI_Table[[#This Row],[Data Set]]="all",LCI_Table[[#This Row],[Data Set]]=SelectedDataSet)</f>
        <v>1</v>
      </c>
      <c r="J563" s="14" t="b">
        <f>OR(LCI_Table[[#This Row],[Technology]]="All",LCI_Table[[#This Row],[Technology]]=SelectedTechnology)</f>
        <v>0</v>
      </c>
      <c r="K563" s="14" t="b">
        <f>OR(LCI_Table[[#This Row],[Data Source]]="All",LCI_Table[[#This Row],[Data Source]]=SelectedDataSource)</f>
        <v>1</v>
      </c>
      <c r="L563" s="14" t="b">
        <f>TRUE</f>
        <v>1</v>
      </c>
      <c r="M563" s="14" t="b">
        <f>(LCI_Table[[#This Row],[Dev Notes]]="Do not display")</f>
        <v>0</v>
      </c>
      <c r="N563" s="14" t="b">
        <f>AND(LCI_Table[[#This Row],[Show Feedstock]:[Conditional]],NOT(LCI_Table[[#This Row],[Hide Row]]))</f>
        <v>0</v>
      </c>
      <c r="O563" s="14" t="b">
        <f>LCI_Table[[#This Row],[GREET1 Name Range]]=""</f>
        <v>0</v>
      </c>
      <c r="P563" s="14" t="s">
        <v>1448</v>
      </c>
      <c r="Q563" s="14" t="s">
        <v>639</v>
      </c>
      <c r="R563" s="14" t="s">
        <v>142</v>
      </c>
      <c r="S563" s="37" cm="1">
        <f t="array" aca="1" ref="S5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0.18732924276995219</v>
      </c>
      <c r="T563" s="346" t="s">
        <v>2119</v>
      </c>
      <c r="U563" s="347">
        <f ca="1">S563/kg2lb/Allocations!$O$56*MJ2mmBTU</f>
        <v>1.0691470606945368E-4</v>
      </c>
      <c r="V563" s="347">
        <v>0.18732924276995219</v>
      </c>
      <c r="W563" s="347">
        <v>1.0691470606945368E-4</v>
      </c>
      <c r="X563" s="37" t="s">
        <v>12</v>
      </c>
      <c r="Y563" s="346" t="s">
        <v>416</v>
      </c>
      <c r="Z563" s="14" t="str">
        <f>IF(ISBLANK(LCI_Table[[#This Row],[Notes for user]])," ",LCI_Table[[#This Row],[Notes for user]])</f>
        <v xml:space="preserve"> </v>
      </c>
      <c r="AA563" s="14"/>
      <c r="AB563" s="14"/>
      <c r="AC563" s="346">
        <f ca="1">LCI_Table[[#This Row],[Default Calculated Value]]-LCI_Table[[#This Row],[Calculated Value]]</f>
        <v>0</v>
      </c>
    </row>
    <row r="564" spans="1:29" x14ac:dyDescent="0.3">
      <c r="A5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PoplarATJ-ethanolGREETGREETStandalone Facilities_Ethanol_ETJ_distributed_WaterWater</v>
      </c>
      <c r="B564" s="14" t="s">
        <v>132</v>
      </c>
      <c r="C564" s="14" t="s">
        <v>1964</v>
      </c>
      <c r="D564" s="14" t="s">
        <v>29</v>
      </c>
      <c r="E564" s="48" t="s">
        <v>29</v>
      </c>
      <c r="F564" s="14" t="s">
        <v>1592</v>
      </c>
      <c r="G564" s="14" t="b">
        <f>OR(LCI_Table[[#This Row],[Feedstock]]="All",LCI_Table[[#This Row],[Feedstock]]=SelectedFeedstock)</f>
        <v>0</v>
      </c>
      <c r="H564" s="14" t="b">
        <f>OR(LCI_Table[[#This Row],[Conversion]]="All",LCI_Table[[#This Row],[Conversion]]=SelectedConversion)</f>
        <v>0</v>
      </c>
      <c r="I564" s="14" t="b">
        <f>OR(LCI_Table[[#This Row],[Data Set]]="all",LCI_Table[[#This Row],[Data Set]]=SelectedDataSet)</f>
        <v>1</v>
      </c>
      <c r="J564" s="14" t="b">
        <f>OR(LCI_Table[[#This Row],[Technology]]="All",LCI_Table[[#This Row],[Technology]]=SelectedTechnology)</f>
        <v>0</v>
      </c>
      <c r="K564" s="14" t="b">
        <f>OR(LCI_Table[[#This Row],[Data Source]]="All",LCI_Table[[#This Row],[Data Source]]=SelectedDataSource)</f>
        <v>1</v>
      </c>
      <c r="L564" s="14" t="b">
        <f>TRUE</f>
        <v>1</v>
      </c>
      <c r="M564" s="14" t="b">
        <f>(LCI_Table[[#This Row],[Dev Notes]]="Do not display")</f>
        <v>0</v>
      </c>
      <c r="N564" s="14" t="b">
        <f>AND(LCI_Table[[#This Row],[Show Feedstock]:[Conditional]],NOT(LCI_Table[[#This Row],[Hide Row]]))</f>
        <v>0</v>
      </c>
      <c r="O564" s="14" t="b">
        <f>LCI_Table[[#This Row],[GREET1 Name Range]]=""</f>
        <v>0</v>
      </c>
      <c r="P564" s="14" t="s">
        <v>1448</v>
      </c>
      <c r="Q564" s="14" t="s">
        <v>644</v>
      </c>
      <c r="R564" s="14" t="s">
        <v>146</v>
      </c>
      <c r="S564" s="37" cm="1">
        <f t="array" aca="1" ref="S5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11.922973142841251</v>
      </c>
      <c r="T564" s="346" t="s">
        <v>2128</v>
      </c>
      <c r="U564" s="347">
        <f ca="1">S564/kg2lb*Fuel_Specs!$K$4/Allocations!$O$56*MJ2mmBTU</f>
        <v>5.6621519216734709E-2</v>
      </c>
      <c r="V564" s="347">
        <v>11.922973142841251</v>
      </c>
      <c r="W564" s="347">
        <v>5.6621519216734709E-2</v>
      </c>
      <c r="X564" s="37" t="s">
        <v>5</v>
      </c>
      <c r="Y564" s="346" t="s">
        <v>416</v>
      </c>
      <c r="Z564" s="14" t="str">
        <f>IF(ISBLANK(LCI_Table[[#This Row],[Notes for user]])," ",LCI_Table[[#This Row],[Notes for user]])</f>
        <v xml:space="preserve"> </v>
      </c>
      <c r="AA564" s="14"/>
      <c r="AB564" s="14"/>
      <c r="AC564" s="346">
        <f ca="1">LCI_Table[[#This Row],[Default Calculated Value]]-LCI_Table[[#This Row],[Calculated Value]]</f>
        <v>0</v>
      </c>
    </row>
    <row r="565" spans="1:29" x14ac:dyDescent="0.3">
      <c r="A5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SwitchgrassATJ-ethanolGREETGREETStandalone Facilities_JetFuel_ETJet_EthanolFeedstockSelector</v>
      </c>
      <c r="B565" s="14" t="s">
        <v>133</v>
      </c>
      <c r="C565" s="14" t="s">
        <v>1964</v>
      </c>
      <c r="D565" s="14" t="s">
        <v>29</v>
      </c>
      <c r="E565" s="48" t="s">
        <v>29</v>
      </c>
      <c r="F565" s="14" t="s">
        <v>1592</v>
      </c>
      <c r="G565" s="14" t="b">
        <f>OR(LCI_Table[[#This Row],[Feedstock]]="All",LCI_Table[[#This Row],[Feedstock]]=SelectedFeedstock)</f>
        <v>0</v>
      </c>
      <c r="H565" s="14" t="b">
        <f>OR(LCI_Table[[#This Row],[Conversion]]="All",LCI_Table[[#This Row],[Conversion]]=SelectedConversion)</f>
        <v>0</v>
      </c>
      <c r="I565" s="14" t="b">
        <f>OR(LCI_Table[[#This Row],[Data Set]]="all",LCI_Table[[#This Row],[Data Set]]=SelectedDataSet)</f>
        <v>1</v>
      </c>
      <c r="J565" s="14" t="b">
        <f>OR(LCI_Table[[#This Row],[Technology]]="All",LCI_Table[[#This Row],[Technology]]=SelectedTechnology)</f>
        <v>0</v>
      </c>
      <c r="K565" s="14" t="b">
        <f>OR(LCI_Table[[#This Row],[Data Source]]="All",LCI_Table[[#This Row],[Data Source]]=SelectedDataSource)</f>
        <v>1</v>
      </c>
      <c r="L565" s="14" t="b">
        <f>TRUE</f>
        <v>1</v>
      </c>
      <c r="M565" s="14" t="b">
        <f>(LCI_Table[[#This Row],[Dev Notes]]="Do not display")</f>
        <v>1</v>
      </c>
      <c r="N565" s="14" t="b">
        <f>AND(LCI_Table[[#This Row],[Show Feedstock]:[Conditional]],NOT(LCI_Table[[#This Row],[Hide Row]]))</f>
        <v>0</v>
      </c>
      <c r="O565" s="14" t="b">
        <f>LCI_Table[[#This Row],[GREET1 Name Range]]=""</f>
        <v>0</v>
      </c>
      <c r="P565" s="14" t="s">
        <v>1448</v>
      </c>
      <c r="Q565" s="14" t="s">
        <v>87</v>
      </c>
      <c r="R565" s="14" t="s">
        <v>902</v>
      </c>
      <c r="S565" s="37" cm="1">
        <f t="array" aca="1" ref="S5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v>
      </c>
      <c r="T565" s="346" t="s">
        <v>2132</v>
      </c>
      <c r="U565" s="352">
        <v>7</v>
      </c>
      <c r="V565" s="352">
        <v>7</v>
      </c>
      <c r="W565" s="352">
        <v>7</v>
      </c>
      <c r="X565" s="356"/>
      <c r="Y565" s="346" t="s">
        <v>416</v>
      </c>
      <c r="Z565" s="14" t="str">
        <f>IF(ISBLANK(LCI_Table[[#This Row],[Notes for user]])," ",LCI_Table[[#This Row],[Notes for user]])</f>
        <v xml:space="preserve"> </v>
      </c>
      <c r="AA565" s="14"/>
      <c r="AB565" s="14" t="s">
        <v>1138</v>
      </c>
      <c r="AC565" s="346">
        <f>LCI_Table[[#This Row],[Default Calculated Value]]-LCI_Table[[#This Row],[Calculated Value]]</f>
        <v>0</v>
      </c>
    </row>
    <row r="566" spans="1:29" x14ac:dyDescent="0.3">
      <c r="A5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SwitchgrassATJ-ethanolGREETGREETStandalone Facilities_Ethanol_ETJ_distributed_EthanolEthanol: Switchgrass</v>
      </c>
      <c r="B566" s="14" t="s">
        <v>133</v>
      </c>
      <c r="C566" s="14" t="s">
        <v>1964</v>
      </c>
      <c r="D566" s="14" t="s">
        <v>29</v>
      </c>
      <c r="E566" s="48" t="s">
        <v>29</v>
      </c>
      <c r="F566" s="14" t="s">
        <v>1592</v>
      </c>
      <c r="G566" s="14" t="b">
        <f>OR(LCI_Table[[#This Row],[Feedstock]]="All",LCI_Table[[#This Row],[Feedstock]]=SelectedFeedstock)</f>
        <v>0</v>
      </c>
      <c r="H566" s="14" t="b">
        <f>OR(LCI_Table[[#This Row],[Conversion]]="All",LCI_Table[[#This Row],[Conversion]]=SelectedConversion)</f>
        <v>0</v>
      </c>
      <c r="I566" s="14" t="b">
        <f>OR(LCI_Table[[#This Row],[Data Set]]="all",LCI_Table[[#This Row],[Data Set]]=SelectedDataSet)</f>
        <v>1</v>
      </c>
      <c r="J566" s="14" t="b">
        <f>OR(LCI_Table[[#This Row],[Technology]]="All",LCI_Table[[#This Row],[Technology]]=SelectedTechnology)</f>
        <v>0</v>
      </c>
      <c r="K566" s="14" t="b">
        <f>OR(LCI_Table[[#This Row],[Data Source]]="All",LCI_Table[[#This Row],[Data Source]]=SelectedDataSource)</f>
        <v>1</v>
      </c>
      <c r="L566" s="14" t="b">
        <f>TRUE</f>
        <v>1</v>
      </c>
      <c r="M566" s="14" t="b">
        <f>(LCI_Table[[#This Row],[Dev Notes]]="Do not display")</f>
        <v>0</v>
      </c>
      <c r="N566" s="14" t="b">
        <f>AND(LCI_Table[[#This Row],[Show Feedstock]:[Conditional]],NOT(LCI_Table[[#This Row],[Hide Row]]))</f>
        <v>0</v>
      </c>
      <c r="O566" s="14" t="b">
        <f>LCI_Table[[#This Row],[GREET1 Name Range]]=""</f>
        <v>0</v>
      </c>
      <c r="P566" s="14" t="s">
        <v>1448</v>
      </c>
      <c r="Q566" s="14" t="s">
        <v>641</v>
      </c>
      <c r="R566" s="14" t="s">
        <v>394</v>
      </c>
      <c r="S566" s="37" cm="1">
        <f t="array" aca="1" ref="S5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14.67440380325554</v>
      </c>
      <c r="T566" s="346" t="s">
        <v>2128</v>
      </c>
      <c r="U566" s="347">
        <f ca="1">S566/kg2g*Fuel_Specs!$E$31/Allocations!$O$57*MJ2mmBTU</f>
        <v>5.5170533920077813E-2</v>
      </c>
      <c r="V566" s="347">
        <v>14.67440380325554</v>
      </c>
      <c r="W566" s="347">
        <v>5.5170533920077813E-2</v>
      </c>
      <c r="X566" s="37" t="s">
        <v>5</v>
      </c>
      <c r="Y566" s="346" t="s">
        <v>416</v>
      </c>
      <c r="Z566" s="14" t="str">
        <f>IF(ISBLANK(LCI_Table[[#This Row],[Notes for user]])," ",LCI_Table[[#This Row],[Notes for user]])</f>
        <v xml:space="preserve"> </v>
      </c>
      <c r="AA566" s="14"/>
      <c r="AB566" s="14"/>
      <c r="AC566" s="346">
        <f ca="1">LCI_Table[[#This Row],[Default Calculated Value]]-LCI_Table[[#This Row],[Calculated Value]]</f>
        <v>0</v>
      </c>
    </row>
    <row r="567" spans="1:29" x14ac:dyDescent="0.3">
      <c r="A5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SwitchgrassATJ-ethanolGREETGREETStandalone Facilities_Ethanol_ETJ_distributed_Natural_gasNatural gas</v>
      </c>
      <c r="B567" s="358" t="s">
        <v>133</v>
      </c>
      <c r="C567" s="358" t="s">
        <v>1964</v>
      </c>
      <c r="D567" s="358" t="s">
        <v>29</v>
      </c>
      <c r="E567" s="48" t="s">
        <v>29</v>
      </c>
      <c r="F567" s="14" t="s">
        <v>1592</v>
      </c>
      <c r="G567" s="14" t="b">
        <f>OR(LCI_Table[[#This Row],[Feedstock]]="All",LCI_Table[[#This Row],[Feedstock]]=SelectedFeedstock)</f>
        <v>0</v>
      </c>
      <c r="H567" s="14" t="b">
        <f>OR(LCI_Table[[#This Row],[Conversion]]="All",LCI_Table[[#This Row],[Conversion]]=SelectedConversion)</f>
        <v>0</v>
      </c>
      <c r="I567" s="14" t="b">
        <f>OR(LCI_Table[[#This Row],[Data Set]]="all",LCI_Table[[#This Row],[Data Set]]=SelectedDataSet)</f>
        <v>1</v>
      </c>
      <c r="J567" s="14" t="b">
        <f>OR(LCI_Table[[#This Row],[Technology]]="All",LCI_Table[[#This Row],[Technology]]=SelectedTechnology)</f>
        <v>0</v>
      </c>
      <c r="K567" s="14" t="b">
        <f>OR(LCI_Table[[#This Row],[Data Source]]="All",LCI_Table[[#This Row],[Data Source]]=SelectedDataSource)</f>
        <v>1</v>
      </c>
      <c r="L567" s="14" t="b">
        <f>TRUE</f>
        <v>1</v>
      </c>
      <c r="M567" s="14" t="b">
        <f>(LCI_Table[[#This Row],[Dev Notes]]="Do not display")</f>
        <v>0</v>
      </c>
      <c r="N567" s="14" t="b">
        <f>AND(LCI_Table[[#This Row],[Show Feedstock]:[Conditional]],NOT(LCI_Table[[#This Row],[Hide Row]]))</f>
        <v>0</v>
      </c>
      <c r="O567" s="14" t="b">
        <f>LCI_Table[[#This Row],[GREET1 Name Range]]=""</f>
        <v>0</v>
      </c>
      <c r="P567" s="358" t="s">
        <v>1448</v>
      </c>
      <c r="Q567" s="14" t="s">
        <v>643</v>
      </c>
      <c r="R567" s="358" t="s">
        <v>108</v>
      </c>
      <c r="S567" s="37" cm="1">
        <f t="array" aca="1" ref="S5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67" s="346" t="s">
        <v>2120</v>
      </c>
      <c r="U567" s="359">
        <f ca="1">S567/kg2g*Fuel_Specs!$E$79/Fuel_Specs!$B$79</f>
        <v>0</v>
      </c>
      <c r="V567" s="359">
        <v>0</v>
      </c>
      <c r="W567" s="359">
        <v>0</v>
      </c>
      <c r="X567" s="360" t="s">
        <v>351</v>
      </c>
      <c r="Y567" s="346" t="s">
        <v>416</v>
      </c>
      <c r="Z567" s="14" t="str">
        <f>IF(ISBLANK(LCI_Table[[#This Row],[Notes for user]])," ",LCI_Table[[#This Row],[Notes for user]])</f>
        <v xml:space="preserve"> </v>
      </c>
      <c r="AA567" s="358"/>
      <c r="AB567" s="358"/>
      <c r="AC567" s="346">
        <f ca="1">LCI_Table[[#This Row],[Default Calculated Value]]-LCI_Table[[#This Row],[Calculated Value]]</f>
        <v>0</v>
      </c>
    </row>
    <row r="568" spans="1:29" x14ac:dyDescent="0.3">
      <c r="A5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SwitchgrassATJ-ethanolGREETGREETStandalone Facilities_Ethanol_ETJ_distributed_ElectricityGrid Electricity</v>
      </c>
      <c r="B568" s="14" t="s">
        <v>133</v>
      </c>
      <c r="C568" s="14" t="s">
        <v>1964</v>
      </c>
      <c r="D568" s="14" t="s">
        <v>29</v>
      </c>
      <c r="E568" s="48" t="s">
        <v>29</v>
      </c>
      <c r="F568" s="14" t="s">
        <v>1592</v>
      </c>
      <c r="G568" s="14" t="b">
        <f>OR(LCI_Table[[#This Row],[Feedstock]]="All",LCI_Table[[#This Row],[Feedstock]]=SelectedFeedstock)</f>
        <v>0</v>
      </c>
      <c r="H568" s="14" t="b">
        <f>OR(LCI_Table[[#This Row],[Conversion]]="All",LCI_Table[[#This Row],[Conversion]]=SelectedConversion)</f>
        <v>0</v>
      </c>
      <c r="I568" s="14" t="b">
        <f>OR(LCI_Table[[#This Row],[Data Set]]="all",LCI_Table[[#This Row],[Data Set]]=SelectedDataSet)</f>
        <v>1</v>
      </c>
      <c r="J568" s="14" t="b">
        <f>OR(LCI_Table[[#This Row],[Technology]]="All",LCI_Table[[#This Row],[Technology]]=SelectedTechnology)</f>
        <v>0</v>
      </c>
      <c r="K568" s="14" t="b">
        <f>OR(LCI_Table[[#This Row],[Data Source]]="All",LCI_Table[[#This Row],[Data Source]]=SelectedDataSource)</f>
        <v>1</v>
      </c>
      <c r="L568" s="14" t="b">
        <f>TRUE</f>
        <v>1</v>
      </c>
      <c r="M568" s="14" t="b">
        <f>(LCI_Table[[#This Row],[Dev Notes]]="Do not display")</f>
        <v>0</v>
      </c>
      <c r="N568" s="14" t="b">
        <f>AND(LCI_Table[[#This Row],[Show Feedstock]:[Conditional]],NOT(LCI_Table[[#This Row],[Hide Row]]))</f>
        <v>0</v>
      </c>
      <c r="O568" s="14" t="b">
        <f>LCI_Table[[#This Row],[GREET1 Name Range]]=""</f>
        <v>0</v>
      </c>
      <c r="P568" s="14" t="s">
        <v>1448</v>
      </c>
      <c r="Q568" s="14" t="s">
        <v>640</v>
      </c>
      <c r="R568" s="14" t="s">
        <v>1684</v>
      </c>
      <c r="S568" s="37" cm="1">
        <f t="array" aca="1" ref="S5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7.3884407786736448</v>
      </c>
      <c r="T568" s="346" t="s">
        <v>2121</v>
      </c>
      <c r="U568" s="347">
        <f ca="1">S568/Allocations!$O$57*MJ2mmBTU</f>
        <v>9.2964882515629704E-3</v>
      </c>
      <c r="V568" s="347">
        <v>7.3884407786736448</v>
      </c>
      <c r="W568" s="347">
        <v>9.2964882515629704E-3</v>
      </c>
      <c r="X568" s="37" t="s">
        <v>51</v>
      </c>
      <c r="Y568" s="346" t="s">
        <v>416</v>
      </c>
      <c r="Z568" s="14" t="str">
        <f>IF(ISBLANK(LCI_Table[[#This Row],[Notes for user]])," ",LCI_Table[[#This Row],[Notes for user]])</f>
        <v xml:space="preserve"> </v>
      </c>
      <c r="AA568" s="14"/>
      <c r="AB568" s="14"/>
      <c r="AC568" s="346">
        <f ca="1">LCI_Table[[#This Row],[Default Calculated Value]]-LCI_Table[[#This Row],[Calculated Value]]</f>
        <v>0</v>
      </c>
    </row>
    <row r="569" spans="1:29" x14ac:dyDescent="0.3">
      <c r="A5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SwitchgrassATJ-ethanolGREETGREETStandalone Facilities_Ethanol_ETJ_distributed_HydrogenHydrogen</v>
      </c>
      <c r="B569" s="14" t="s">
        <v>133</v>
      </c>
      <c r="C569" s="14" t="s">
        <v>1964</v>
      </c>
      <c r="D569" s="14" t="s">
        <v>29</v>
      </c>
      <c r="E569" s="48" t="s">
        <v>29</v>
      </c>
      <c r="F569" s="14" t="s">
        <v>1592</v>
      </c>
      <c r="G569" s="14" t="b">
        <f>OR(LCI_Table[[#This Row],[Feedstock]]="All",LCI_Table[[#This Row],[Feedstock]]=SelectedFeedstock)</f>
        <v>0</v>
      </c>
      <c r="H569" s="14" t="b">
        <f>OR(LCI_Table[[#This Row],[Conversion]]="All",LCI_Table[[#This Row],[Conversion]]=SelectedConversion)</f>
        <v>0</v>
      </c>
      <c r="I569" s="14" t="b">
        <f>OR(LCI_Table[[#This Row],[Data Set]]="all",LCI_Table[[#This Row],[Data Set]]=SelectedDataSet)</f>
        <v>1</v>
      </c>
      <c r="J569" s="14" t="b">
        <f>OR(LCI_Table[[#This Row],[Technology]]="All",LCI_Table[[#This Row],[Technology]]=SelectedTechnology)</f>
        <v>0</v>
      </c>
      <c r="K569" s="14" t="b">
        <f>OR(LCI_Table[[#This Row],[Data Source]]="All",LCI_Table[[#This Row],[Data Source]]=SelectedDataSource)</f>
        <v>1</v>
      </c>
      <c r="L569" s="14" t="b">
        <f>TRUE</f>
        <v>1</v>
      </c>
      <c r="M569" s="14" t="b">
        <f>(LCI_Table[[#This Row],[Dev Notes]]="Do not display")</f>
        <v>0</v>
      </c>
      <c r="N569" s="14" t="b">
        <f>AND(LCI_Table[[#This Row],[Show Feedstock]:[Conditional]],NOT(LCI_Table[[#This Row],[Hide Row]]))</f>
        <v>0</v>
      </c>
      <c r="O569" s="14" t="b">
        <f>LCI_Table[[#This Row],[GREET1 Name Range]]=""</f>
        <v>0</v>
      </c>
      <c r="P569" s="14" t="s">
        <v>1448</v>
      </c>
      <c r="Q569" s="14" t="s">
        <v>642</v>
      </c>
      <c r="R569" s="14" t="s">
        <v>73</v>
      </c>
      <c r="S569" s="37" cm="1">
        <f t="array" aca="1" ref="S5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210.24598998652542</v>
      </c>
      <c r="T569" s="346" t="s">
        <v>2120</v>
      </c>
      <c r="U569" s="347">
        <f ca="1">S569/kg2g*Fuel_Specs!$E$81/Allocations!$O$57*MJ2mmBTU</f>
        <v>6.745808835334578E-4</v>
      </c>
      <c r="V569" s="347">
        <v>210.24598998652542</v>
      </c>
      <c r="W569" s="347">
        <v>6.745808835334578E-4</v>
      </c>
      <c r="X569" s="37" t="s">
        <v>351</v>
      </c>
      <c r="Y569" s="346" t="s">
        <v>416</v>
      </c>
      <c r="Z569" s="14" t="str">
        <f>IF(ISBLANK(LCI_Table[[#This Row],[Notes for user]])," ",LCI_Table[[#This Row],[Notes for user]])</f>
        <v xml:space="preserve"> </v>
      </c>
      <c r="AA569" s="14"/>
      <c r="AB569" s="14"/>
      <c r="AC569" s="346">
        <f ca="1">LCI_Table[[#This Row],[Default Calculated Value]]-LCI_Table[[#This Row],[Calculated Value]]</f>
        <v>0</v>
      </c>
    </row>
    <row r="570" spans="1:29" x14ac:dyDescent="0.3">
      <c r="A5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SwitchgrassATJ-ethanolGREETGREETStandalone Facilities_Ethanol_ETJ_distributed_CatalystsCatalysts</v>
      </c>
      <c r="B570" s="14" t="s">
        <v>133</v>
      </c>
      <c r="C570" s="14" t="s">
        <v>1964</v>
      </c>
      <c r="D570" s="14" t="s">
        <v>29</v>
      </c>
      <c r="E570" s="48" t="s">
        <v>29</v>
      </c>
      <c r="F570" s="14" t="s">
        <v>1592</v>
      </c>
      <c r="G570" s="14" t="b">
        <f>OR(LCI_Table[[#This Row],[Feedstock]]="All",LCI_Table[[#This Row],[Feedstock]]=SelectedFeedstock)</f>
        <v>0</v>
      </c>
      <c r="H570" s="14" t="b">
        <f>OR(LCI_Table[[#This Row],[Conversion]]="All",LCI_Table[[#This Row],[Conversion]]=SelectedConversion)</f>
        <v>0</v>
      </c>
      <c r="I570" s="14" t="b">
        <f>OR(LCI_Table[[#This Row],[Data Set]]="all",LCI_Table[[#This Row],[Data Set]]=SelectedDataSet)</f>
        <v>1</v>
      </c>
      <c r="J570" s="14" t="b">
        <f>OR(LCI_Table[[#This Row],[Technology]]="All",LCI_Table[[#This Row],[Technology]]=SelectedTechnology)</f>
        <v>0</v>
      </c>
      <c r="K570" s="14" t="b">
        <f>OR(LCI_Table[[#This Row],[Data Source]]="All",LCI_Table[[#This Row],[Data Source]]=SelectedDataSource)</f>
        <v>1</v>
      </c>
      <c r="L570" s="14" t="b">
        <f>TRUE</f>
        <v>1</v>
      </c>
      <c r="M570" s="14" t="b">
        <f>(LCI_Table[[#This Row],[Dev Notes]]="Do not display")</f>
        <v>0</v>
      </c>
      <c r="N570" s="14" t="b">
        <f>AND(LCI_Table[[#This Row],[Show Feedstock]:[Conditional]],NOT(LCI_Table[[#This Row],[Hide Row]]))</f>
        <v>0</v>
      </c>
      <c r="O570" s="14" t="b">
        <f>LCI_Table[[#This Row],[GREET1 Name Range]]=""</f>
        <v>0</v>
      </c>
      <c r="P570" s="14" t="s">
        <v>1448</v>
      </c>
      <c r="Q570" s="14" t="s">
        <v>639</v>
      </c>
      <c r="R570" s="14" t="s">
        <v>142</v>
      </c>
      <c r="S570" s="37" cm="1">
        <f t="array" aca="1" ref="S5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0.18732924276995219</v>
      </c>
      <c r="T570" s="346" t="s">
        <v>2119</v>
      </c>
      <c r="U570" s="347">
        <f ca="1">S570/kg2lb/Allocations!$O$57*MJ2mmBTU</f>
        <v>1.0691470606945368E-4</v>
      </c>
      <c r="V570" s="347">
        <v>0.18732924276995219</v>
      </c>
      <c r="W570" s="347">
        <v>1.0691470606945368E-4</v>
      </c>
      <c r="X570" s="37" t="s">
        <v>12</v>
      </c>
      <c r="Y570" s="346" t="s">
        <v>416</v>
      </c>
      <c r="Z570" s="14" t="str">
        <f>IF(ISBLANK(LCI_Table[[#This Row],[Notes for user]])," ",LCI_Table[[#This Row],[Notes for user]])</f>
        <v xml:space="preserve"> </v>
      </c>
      <c r="AA570" s="14"/>
      <c r="AB570" s="14"/>
      <c r="AC570" s="346">
        <f ca="1">LCI_Table[[#This Row],[Default Calculated Value]]-LCI_Table[[#This Row],[Calculated Value]]</f>
        <v>0</v>
      </c>
    </row>
    <row r="571" spans="1:29" x14ac:dyDescent="0.3">
      <c r="A5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SwitchgrassATJ-ethanolGREETGREETStandalone Facilities_Ethanol_ETJ_distributed_WaterWater</v>
      </c>
      <c r="B571" s="14" t="s">
        <v>133</v>
      </c>
      <c r="C571" s="14" t="s">
        <v>1964</v>
      </c>
      <c r="D571" s="14" t="s">
        <v>29</v>
      </c>
      <c r="E571" s="48" t="s">
        <v>29</v>
      </c>
      <c r="F571" s="14" t="s">
        <v>1592</v>
      </c>
      <c r="G571" s="14" t="b">
        <f>OR(LCI_Table[[#This Row],[Feedstock]]="All",LCI_Table[[#This Row],[Feedstock]]=SelectedFeedstock)</f>
        <v>0</v>
      </c>
      <c r="H571" s="14" t="b">
        <f>OR(LCI_Table[[#This Row],[Conversion]]="All",LCI_Table[[#This Row],[Conversion]]=SelectedConversion)</f>
        <v>0</v>
      </c>
      <c r="I571" s="14" t="b">
        <f>OR(LCI_Table[[#This Row],[Data Set]]="all",LCI_Table[[#This Row],[Data Set]]=SelectedDataSet)</f>
        <v>1</v>
      </c>
      <c r="J571" s="14" t="b">
        <f>OR(LCI_Table[[#This Row],[Technology]]="All",LCI_Table[[#This Row],[Technology]]=SelectedTechnology)</f>
        <v>0</v>
      </c>
      <c r="K571" s="14" t="b">
        <f>OR(LCI_Table[[#This Row],[Data Source]]="All",LCI_Table[[#This Row],[Data Source]]=SelectedDataSource)</f>
        <v>1</v>
      </c>
      <c r="L571" s="14" t="b">
        <f>TRUE</f>
        <v>1</v>
      </c>
      <c r="M571" s="14" t="b">
        <f>(LCI_Table[[#This Row],[Dev Notes]]="Do not display")</f>
        <v>0</v>
      </c>
      <c r="N571" s="14" t="b">
        <f>AND(LCI_Table[[#This Row],[Show Feedstock]:[Conditional]],NOT(LCI_Table[[#This Row],[Hide Row]]))</f>
        <v>0</v>
      </c>
      <c r="O571" s="14" t="b">
        <f>LCI_Table[[#This Row],[GREET1 Name Range]]=""</f>
        <v>0</v>
      </c>
      <c r="P571" s="14" t="s">
        <v>1448</v>
      </c>
      <c r="Q571" s="14" t="s">
        <v>644</v>
      </c>
      <c r="R571" s="14" t="s">
        <v>146</v>
      </c>
      <c r="S571" s="37" cm="1">
        <f t="array" aca="1" ref="S5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11.922973142841251</v>
      </c>
      <c r="T571" s="346" t="s">
        <v>2128</v>
      </c>
      <c r="U571" s="347">
        <f ca="1">S571/kg2lb*Fuel_Specs!$K$4/Allocations!$O$57*MJ2mmBTU</f>
        <v>5.6621519216734709E-2</v>
      </c>
      <c r="V571" s="347">
        <v>11.922973142841251</v>
      </c>
      <c r="W571" s="347">
        <v>5.6621519216734709E-2</v>
      </c>
      <c r="X571" s="37" t="s">
        <v>5</v>
      </c>
      <c r="Y571" s="346" t="s">
        <v>416</v>
      </c>
      <c r="Z571" s="14" t="str">
        <f>IF(ISBLANK(LCI_Table[[#This Row],[Notes for user]])," ",LCI_Table[[#This Row],[Notes for user]])</f>
        <v xml:space="preserve"> </v>
      </c>
      <c r="AA571" s="14"/>
      <c r="AB571" s="14"/>
      <c r="AC571" s="346">
        <f ca="1">LCI_Table[[#This Row],[Default Calculated Value]]-LCI_Table[[#This Row],[Calculated Value]]</f>
        <v>0</v>
      </c>
    </row>
    <row r="572" spans="1:29" x14ac:dyDescent="0.3">
      <c r="A5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MiscanthusATJ-ethanolGREETGREETStandalone Facilities_JetFuel_ETJet_EthanolFeedstockSelector</v>
      </c>
      <c r="B572" s="14" t="s">
        <v>134</v>
      </c>
      <c r="C572" s="14" t="s">
        <v>1964</v>
      </c>
      <c r="D572" s="14" t="s">
        <v>29</v>
      </c>
      <c r="E572" s="48" t="s">
        <v>29</v>
      </c>
      <c r="F572" s="14" t="s">
        <v>1592</v>
      </c>
      <c r="G572" s="14" t="b">
        <f>OR(LCI_Table[[#This Row],[Feedstock]]="All",LCI_Table[[#This Row],[Feedstock]]=SelectedFeedstock)</f>
        <v>0</v>
      </c>
      <c r="H572" s="14" t="b">
        <f>OR(LCI_Table[[#This Row],[Conversion]]="All",LCI_Table[[#This Row],[Conversion]]=SelectedConversion)</f>
        <v>0</v>
      </c>
      <c r="I572" s="14" t="b">
        <f>OR(LCI_Table[[#This Row],[Data Set]]="all",LCI_Table[[#This Row],[Data Set]]=SelectedDataSet)</f>
        <v>1</v>
      </c>
      <c r="J572" s="14" t="b">
        <f>OR(LCI_Table[[#This Row],[Technology]]="All",LCI_Table[[#This Row],[Technology]]=SelectedTechnology)</f>
        <v>0</v>
      </c>
      <c r="K572" s="14" t="b">
        <f>OR(LCI_Table[[#This Row],[Data Source]]="All",LCI_Table[[#This Row],[Data Source]]=SelectedDataSource)</f>
        <v>1</v>
      </c>
      <c r="L572" s="14" t="b">
        <f>TRUE</f>
        <v>1</v>
      </c>
      <c r="M572" s="14" t="b">
        <f>(LCI_Table[[#This Row],[Dev Notes]]="Do not display")</f>
        <v>1</v>
      </c>
      <c r="N572" s="14" t="b">
        <f>AND(LCI_Table[[#This Row],[Show Feedstock]:[Conditional]],NOT(LCI_Table[[#This Row],[Hide Row]]))</f>
        <v>0</v>
      </c>
      <c r="O572" s="14" t="b">
        <f>LCI_Table[[#This Row],[GREET1 Name Range]]=""</f>
        <v>0</v>
      </c>
      <c r="P572" s="14" t="s">
        <v>1448</v>
      </c>
      <c r="Q572" s="14" t="s">
        <v>87</v>
      </c>
      <c r="R572" s="14" t="s">
        <v>902</v>
      </c>
      <c r="S572" s="37" cm="1">
        <f t="array" aca="1" ref="S5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v>
      </c>
      <c r="T572" s="346" t="s">
        <v>2132</v>
      </c>
      <c r="U572" s="352">
        <v>8</v>
      </c>
      <c r="V572" s="352">
        <v>8</v>
      </c>
      <c r="W572" s="352">
        <v>8</v>
      </c>
      <c r="X572" s="356"/>
      <c r="Y572" s="346" t="s">
        <v>416</v>
      </c>
      <c r="Z572" s="14" t="str">
        <f>IF(ISBLANK(LCI_Table[[#This Row],[Notes for user]])," ",LCI_Table[[#This Row],[Notes for user]])</f>
        <v xml:space="preserve"> </v>
      </c>
      <c r="AA572" s="14"/>
      <c r="AB572" s="14" t="s">
        <v>1138</v>
      </c>
      <c r="AC572" s="346">
        <f>LCI_Table[[#This Row],[Default Calculated Value]]-LCI_Table[[#This Row],[Calculated Value]]</f>
        <v>0</v>
      </c>
    </row>
    <row r="573" spans="1:29" x14ac:dyDescent="0.3">
      <c r="A5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MiscanthusATJ-ethanolGREETGREETStandalone Facilities_Ethanol_ETJ_distributed_EthanolEthanol: Miscanthus</v>
      </c>
      <c r="B573" s="14" t="s">
        <v>134</v>
      </c>
      <c r="C573" s="14" t="s">
        <v>1964</v>
      </c>
      <c r="D573" s="14" t="s">
        <v>29</v>
      </c>
      <c r="E573" s="48" t="s">
        <v>29</v>
      </c>
      <c r="F573" s="14" t="s">
        <v>1592</v>
      </c>
      <c r="G573" s="14" t="b">
        <f>OR(LCI_Table[[#This Row],[Feedstock]]="All",LCI_Table[[#This Row],[Feedstock]]=SelectedFeedstock)</f>
        <v>0</v>
      </c>
      <c r="H573" s="14" t="b">
        <f>OR(LCI_Table[[#This Row],[Conversion]]="All",LCI_Table[[#This Row],[Conversion]]=SelectedConversion)</f>
        <v>0</v>
      </c>
      <c r="I573" s="14" t="b">
        <f>OR(LCI_Table[[#This Row],[Data Set]]="all",LCI_Table[[#This Row],[Data Set]]=SelectedDataSet)</f>
        <v>1</v>
      </c>
      <c r="J573" s="14" t="b">
        <f>OR(LCI_Table[[#This Row],[Technology]]="All",LCI_Table[[#This Row],[Technology]]=SelectedTechnology)</f>
        <v>0</v>
      </c>
      <c r="K573" s="14" t="b">
        <f>OR(LCI_Table[[#This Row],[Data Source]]="All",LCI_Table[[#This Row],[Data Source]]=SelectedDataSource)</f>
        <v>1</v>
      </c>
      <c r="L573" s="14" t="b">
        <f>TRUE</f>
        <v>1</v>
      </c>
      <c r="M573" s="14" t="b">
        <f>(LCI_Table[[#This Row],[Dev Notes]]="Do not display")</f>
        <v>0</v>
      </c>
      <c r="N573" s="14" t="b">
        <f>AND(LCI_Table[[#This Row],[Show Feedstock]:[Conditional]],NOT(LCI_Table[[#This Row],[Hide Row]]))</f>
        <v>0</v>
      </c>
      <c r="O573" s="14" t="b">
        <f>LCI_Table[[#This Row],[GREET1 Name Range]]=""</f>
        <v>0</v>
      </c>
      <c r="P573" s="14" t="s">
        <v>1448</v>
      </c>
      <c r="Q573" s="14" t="s">
        <v>641</v>
      </c>
      <c r="R573" s="14" t="s">
        <v>395</v>
      </c>
      <c r="S573" s="37" cm="1">
        <f t="array" aca="1" ref="S5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14.67440380325554</v>
      </c>
      <c r="T573" s="346" t="s">
        <v>2128</v>
      </c>
      <c r="U573" s="347">
        <f ca="1">S573/kg2g*Fuel_Specs!$E$31/Allocations!$O$58*MJ2mmBTU</f>
        <v>5.5170533920077813E-2</v>
      </c>
      <c r="V573" s="347">
        <v>14.67440380325554</v>
      </c>
      <c r="W573" s="347">
        <v>5.5170533920077813E-2</v>
      </c>
      <c r="X573" s="37" t="s">
        <v>5</v>
      </c>
      <c r="Y573" s="346" t="s">
        <v>416</v>
      </c>
      <c r="Z573" s="14" t="str">
        <f>IF(ISBLANK(LCI_Table[[#This Row],[Notes for user]])," ",LCI_Table[[#This Row],[Notes for user]])</f>
        <v xml:space="preserve"> </v>
      </c>
      <c r="AA573" s="14"/>
      <c r="AB573" s="14"/>
      <c r="AC573" s="346">
        <f ca="1">LCI_Table[[#This Row],[Default Calculated Value]]-LCI_Table[[#This Row],[Calculated Value]]</f>
        <v>0</v>
      </c>
    </row>
    <row r="574" spans="1:29" x14ac:dyDescent="0.3">
      <c r="A5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MiscanthusATJ-ethanolGREETGREETStandalone Facilities_Ethanol_ETJ_distributed_Natural_gasNatural gas</v>
      </c>
      <c r="B574" s="358" t="s">
        <v>134</v>
      </c>
      <c r="C574" s="358" t="s">
        <v>1964</v>
      </c>
      <c r="D574" s="358" t="s">
        <v>29</v>
      </c>
      <c r="E574" s="48" t="s">
        <v>29</v>
      </c>
      <c r="F574" s="14" t="s">
        <v>1592</v>
      </c>
      <c r="G574" s="14" t="b">
        <f>OR(LCI_Table[[#This Row],[Feedstock]]="All",LCI_Table[[#This Row],[Feedstock]]=SelectedFeedstock)</f>
        <v>0</v>
      </c>
      <c r="H574" s="14" t="b">
        <f>OR(LCI_Table[[#This Row],[Conversion]]="All",LCI_Table[[#This Row],[Conversion]]=SelectedConversion)</f>
        <v>0</v>
      </c>
      <c r="I574" s="14" t="b">
        <f>OR(LCI_Table[[#This Row],[Data Set]]="all",LCI_Table[[#This Row],[Data Set]]=SelectedDataSet)</f>
        <v>1</v>
      </c>
      <c r="J574" s="14" t="b">
        <f>OR(LCI_Table[[#This Row],[Technology]]="All",LCI_Table[[#This Row],[Technology]]=SelectedTechnology)</f>
        <v>0</v>
      </c>
      <c r="K574" s="14" t="b">
        <f>OR(LCI_Table[[#This Row],[Data Source]]="All",LCI_Table[[#This Row],[Data Source]]=SelectedDataSource)</f>
        <v>1</v>
      </c>
      <c r="L574" s="14" t="b">
        <f>TRUE</f>
        <v>1</v>
      </c>
      <c r="M574" s="14" t="b">
        <f>(LCI_Table[[#This Row],[Dev Notes]]="Do not display")</f>
        <v>0</v>
      </c>
      <c r="N574" s="14" t="b">
        <f>AND(LCI_Table[[#This Row],[Show Feedstock]:[Conditional]],NOT(LCI_Table[[#This Row],[Hide Row]]))</f>
        <v>0</v>
      </c>
      <c r="O574" s="14" t="b">
        <f>LCI_Table[[#This Row],[GREET1 Name Range]]=""</f>
        <v>0</v>
      </c>
      <c r="P574" s="358" t="s">
        <v>1448</v>
      </c>
      <c r="Q574" s="14" t="s">
        <v>643</v>
      </c>
      <c r="R574" s="358" t="s">
        <v>108</v>
      </c>
      <c r="S574" s="37" cm="1">
        <f t="array" aca="1" ref="S5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74" s="346" t="s">
        <v>2120</v>
      </c>
      <c r="U574" s="359">
        <f ca="1">S574/kg2g*Fuel_Specs!$E$79/Fuel_Specs!$B$79</f>
        <v>0</v>
      </c>
      <c r="V574" s="359">
        <v>0</v>
      </c>
      <c r="W574" s="359">
        <v>0</v>
      </c>
      <c r="X574" s="360" t="s">
        <v>351</v>
      </c>
      <c r="Y574" s="346" t="s">
        <v>416</v>
      </c>
      <c r="Z574" s="14" t="str">
        <f>IF(ISBLANK(LCI_Table[[#This Row],[Notes for user]])," ",LCI_Table[[#This Row],[Notes for user]])</f>
        <v xml:space="preserve"> </v>
      </c>
      <c r="AA574" s="358"/>
      <c r="AB574" s="358"/>
      <c r="AC574" s="346">
        <f ca="1">LCI_Table[[#This Row],[Default Calculated Value]]-LCI_Table[[#This Row],[Calculated Value]]</f>
        <v>0</v>
      </c>
    </row>
    <row r="575" spans="1:29" x14ac:dyDescent="0.3">
      <c r="A5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MiscanthusATJ-ethanolGREETGREETStandalone Facilities_Ethanol_ETJ_distributed_ElectricityGrid Electricity</v>
      </c>
      <c r="B575" s="14" t="s">
        <v>134</v>
      </c>
      <c r="C575" s="14" t="s">
        <v>1964</v>
      </c>
      <c r="D575" s="14" t="s">
        <v>29</v>
      </c>
      <c r="E575" s="48" t="s">
        <v>29</v>
      </c>
      <c r="F575" s="14" t="s">
        <v>1592</v>
      </c>
      <c r="G575" s="14" t="b">
        <f>OR(LCI_Table[[#This Row],[Feedstock]]="All",LCI_Table[[#This Row],[Feedstock]]=SelectedFeedstock)</f>
        <v>0</v>
      </c>
      <c r="H575" s="14" t="b">
        <f>OR(LCI_Table[[#This Row],[Conversion]]="All",LCI_Table[[#This Row],[Conversion]]=SelectedConversion)</f>
        <v>0</v>
      </c>
      <c r="I575" s="14" t="b">
        <f>OR(LCI_Table[[#This Row],[Data Set]]="all",LCI_Table[[#This Row],[Data Set]]=SelectedDataSet)</f>
        <v>1</v>
      </c>
      <c r="J575" s="14" t="b">
        <f>OR(LCI_Table[[#This Row],[Technology]]="All",LCI_Table[[#This Row],[Technology]]=SelectedTechnology)</f>
        <v>0</v>
      </c>
      <c r="K575" s="14" t="b">
        <f>OR(LCI_Table[[#This Row],[Data Source]]="All",LCI_Table[[#This Row],[Data Source]]=SelectedDataSource)</f>
        <v>1</v>
      </c>
      <c r="L575" s="14" t="b">
        <f>TRUE</f>
        <v>1</v>
      </c>
      <c r="M575" s="14" t="b">
        <f>(LCI_Table[[#This Row],[Dev Notes]]="Do not display")</f>
        <v>0</v>
      </c>
      <c r="N575" s="14" t="b">
        <f>AND(LCI_Table[[#This Row],[Show Feedstock]:[Conditional]],NOT(LCI_Table[[#This Row],[Hide Row]]))</f>
        <v>0</v>
      </c>
      <c r="O575" s="14" t="b">
        <f>LCI_Table[[#This Row],[GREET1 Name Range]]=""</f>
        <v>0</v>
      </c>
      <c r="P575" s="14" t="s">
        <v>1448</v>
      </c>
      <c r="Q575" s="14" t="s">
        <v>640</v>
      </c>
      <c r="R575" s="14" t="s">
        <v>1684</v>
      </c>
      <c r="S575" s="37" cm="1">
        <f t="array" aca="1" ref="S5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7.3884407786736448</v>
      </c>
      <c r="T575" s="346" t="s">
        <v>2121</v>
      </c>
      <c r="U575" s="347">
        <f ca="1">S575/Allocations!$O$58*MJ2mmBTU</f>
        <v>9.2964882515629704E-3</v>
      </c>
      <c r="V575" s="347">
        <v>7.3884407786736448</v>
      </c>
      <c r="W575" s="347">
        <v>9.2964882515629704E-3</v>
      </c>
      <c r="X575" s="37" t="s">
        <v>51</v>
      </c>
      <c r="Y575" s="346" t="s">
        <v>416</v>
      </c>
      <c r="Z575" s="14" t="str">
        <f>IF(ISBLANK(LCI_Table[[#This Row],[Notes for user]])," ",LCI_Table[[#This Row],[Notes for user]])</f>
        <v xml:space="preserve"> </v>
      </c>
      <c r="AA575" s="14"/>
      <c r="AB575" s="14"/>
      <c r="AC575" s="346">
        <f ca="1">LCI_Table[[#This Row],[Default Calculated Value]]-LCI_Table[[#This Row],[Calculated Value]]</f>
        <v>0</v>
      </c>
    </row>
    <row r="576" spans="1:29" x14ac:dyDescent="0.3">
      <c r="A5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MiscanthusATJ-ethanolGREETGREETStandalone Facilities_Ethanol_ETJ_distributed_HydrogenHydrogen</v>
      </c>
      <c r="B576" s="14" t="s">
        <v>134</v>
      </c>
      <c r="C576" s="14" t="s">
        <v>1964</v>
      </c>
      <c r="D576" s="14" t="s">
        <v>29</v>
      </c>
      <c r="E576" s="48" t="s">
        <v>29</v>
      </c>
      <c r="F576" s="14" t="s">
        <v>1592</v>
      </c>
      <c r="G576" s="14" t="b">
        <f>OR(LCI_Table[[#This Row],[Feedstock]]="All",LCI_Table[[#This Row],[Feedstock]]=SelectedFeedstock)</f>
        <v>0</v>
      </c>
      <c r="H576" s="14" t="b">
        <f>OR(LCI_Table[[#This Row],[Conversion]]="All",LCI_Table[[#This Row],[Conversion]]=SelectedConversion)</f>
        <v>0</v>
      </c>
      <c r="I576" s="14" t="b">
        <f>OR(LCI_Table[[#This Row],[Data Set]]="all",LCI_Table[[#This Row],[Data Set]]=SelectedDataSet)</f>
        <v>1</v>
      </c>
      <c r="J576" s="14" t="b">
        <f>OR(LCI_Table[[#This Row],[Technology]]="All",LCI_Table[[#This Row],[Technology]]=SelectedTechnology)</f>
        <v>0</v>
      </c>
      <c r="K576" s="14" t="b">
        <f>OR(LCI_Table[[#This Row],[Data Source]]="All",LCI_Table[[#This Row],[Data Source]]=SelectedDataSource)</f>
        <v>1</v>
      </c>
      <c r="L576" s="14" t="b">
        <f>TRUE</f>
        <v>1</v>
      </c>
      <c r="M576" s="14" t="b">
        <f>(LCI_Table[[#This Row],[Dev Notes]]="Do not display")</f>
        <v>0</v>
      </c>
      <c r="N576" s="14" t="b">
        <f>AND(LCI_Table[[#This Row],[Show Feedstock]:[Conditional]],NOT(LCI_Table[[#This Row],[Hide Row]]))</f>
        <v>0</v>
      </c>
      <c r="O576" s="14" t="b">
        <f>LCI_Table[[#This Row],[GREET1 Name Range]]=""</f>
        <v>0</v>
      </c>
      <c r="P576" s="14" t="s">
        <v>1448</v>
      </c>
      <c r="Q576" s="14" t="s">
        <v>642</v>
      </c>
      <c r="R576" s="14" t="s">
        <v>73</v>
      </c>
      <c r="S576" s="37" cm="1">
        <f t="array" aca="1" ref="S5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210.24598998652542</v>
      </c>
      <c r="T576" s="346" t="s">
        <v>2120</v>
      </c>
      <c r="U576" s="347">
        <f ca="1">S576/kg2g*Fuel_Specs!$E$81/Allocations!$O$58*MJ2mmBTU</f>
        <v>6.745808835334578E-4</v>
      </c>
      <c r="V576" s="347">
        <v>210.24598998652542</v>
      </c>
      <c r="W576" s="347">
        <v>6.745808835334578E-4</v>
      </c>
      <c r="X576" s="37" t="s">
        <v>351</v>
      </c>
      <c r="Y576" s="346" t="s">
        <v>416</v>
      </c>
      <c r="Z576" s="14" t="str">
        <f>IF(ISBLANK(LCI_Table[[#This Row],[Notes for user]])," ",LCI_Table[[#This Row],[Notes for user]])</f>
        <v xml:space="preserve"> </v>
      </c>
      <c r="AA576" s="14"/>
      <c r="AB576" s="14"/>
      <c r="AC576" s="346">
        <f ca="1">LCI_Table[[#This Row],[Default Calculated Value]]-LCI_Table[[#This Row],[Calculated Value]]</f>
        <v>0</v>
      </c>
    </row>
    <row r="577" spans="1:29" x14ac:dyDescent="0.3">
      <c r="A5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MiscanthusATJ-ethanolGREETGREETStandalone Facilities_Ethanol_ETJ_distributed_CatalystsCatalysts</v>
      </c>
      <c r="B577" s="14" t="s">
        <v>134</v>
      </c>
      <c r="C577" s="14" t="s">
        <v>1964</v>
      </c>
      <c r="D577" s="14" t="s">
        <v>29</v>
      </c>
      <c r="E577" s="48" t="s">
        <v>29</v>
      </c>
      <c r="F577" s="14" t="s">
        <v>1592</v>
      </c>
      <c r="G577" s="14" t="b">
        <f>OR(LCI_Table[[#This Row],[Feedstock]]="All",LCI_Table[[#This Row],[Feedstock]]=SelectedFeedstock)</f>
        <v>0</v>
      </c>
      <c r="H577" s="14" t="b">
        <f>OR(LCI_Table[[#This Row],[Conversion]]="All",LCI_Table[[#This Row],[Conversion]]=SelectedConversion)</f>
        <v>0</v>
      </c>
      <c r="I577" s="14" t="b">
        <f>OR(LCI_Table[[#This Row],[Data Set]]="all",LCI_Table[[#This Row],[Data Set]]=SelectedDataSet)</f>
        <v>1</v>
      </c>
      <c r="J577" s="14" t="b">
        <f>OR(LCI_Table[[#This Row],[Technology]]="All",LCI_Table[[#This Row],[Technology]]=SelectedTechnology)</f>
        <v>0</v>
      </c>
      <c r="K577" s="14" t="b">
        <f>OR(LCI_Table[[#This Row],[Data Source]]="All",LCI_Table[[#This Row],[Data Source]]=SelectedDataSource)</f>
        <v>1</v>
      </c>
      <c r="L577" s="14" t="b">
        <f>TRUE</f>
        <v>1</v>
      </c>
      <c r="M577" s="14" t="b">
        <f>(LCI_Table[[#This Row],[Dev Notes]]="Do not display")</f>
        <v>0</v>
      </c>
      <c r="N577" s="14" t="b">
        <f>AND(LCI_Table[[#This Row],[Show Feedstock]:[Conditional]],NOT(LCI_Table[[#This Row],[Hide Row]]))</f>
        <v>0</v>
      </c>
      <c r="O577" s="14" t="b">
        <f>LCI_Table[[#This Row],[GREET1 Name Range]]=""</f>
        <v>0</v>
      </c>
      <c r="P577" s="14" t="s">
        <v>1448</v>
      </c>
      <c r="Q577" s="14" t="s">
        <v>639</v>
      </c>
      <c r="R577" s="14" t="s">
        <v>142</v>
      </c>
      <c r="S577" s="37" cm="1">
        <f t="array" aca="1" ref="S5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0.18732924276995219</v>
      </c>
      <c r="T577" s="346" t="s">
        <v>2119</v>
      </c>
      <c r="U577" s="347">
        <f ca="1">S577/kg2lb/Allocations!$O$58*MJ2mmBTU</f>
        <v>1.0691470606945368E-4</v>
      </c>
      <c r="V577" s="347">
        <v>0.18732924276995219</v>
      </c>
      <c r="W577" s="347">
        <v>1.0691470606945368E-4</v>
      </c>
      <c r="X577" s="37" t="s">
        <v>12</v>
      </c>
      <c r="Y577" s="346" t="s">
        <v>416</v>
      </c>
      <c r="Z577" s="14" t="str">
        <f>IF(ISBLANK(LCI_Table[[#This Row],[Notes for user]])," ",LCI_Table[[#This Row],[Notes for user]])</f>
        <v xml:space="preserve"> </v>
      </c>
      <c r="AA577" s="14"/>
      <c r="AB577" s="14"/>
      <c r="AC577" s="346">
        <f ca="1">LCI_Table[[#This Row],[Default Calculated Value]]-LCI_Table[[#This Row],[Calculated Value]]</f>
        <v>0</v>
      </c>
    </row>
    <row r="578" spans="1:29" x14ac:dyDescent="0.3">
      <c r="A5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MiscanthusATJ-ethanolGREETGREETStandalone Facilities_Ethanol_ETJ_distributed_WaterWater</v>
      </c>
      <c r="B578" s="14" t="s">
        <v>134</v>
      </c>
      <c r="C578" s="14" t="s">
        <v>1964</v>
      </c>
      <c r="D578" s="14" t="s">
        <v>29</v>
      </c>
      <c r="E578" s="48" t="s">
        <v>29</v>
      </c>
      <c r="F578" s="14" t="s">
        <v>1592</v>
      </c>
      <c r="G578" s="14" t="b">
        <f>OR(LCI_Table[[#This Row],[Feedstock]]="All",LCI_Table[[#This Row],[Feedstock]]=SelectedFeedstock)</f>
        <v>0</v>
      </c>
      <c r="H578" s="14" t="b">
        <f>OR(LCI_Table[[#This Row],[Conversion]]="All",LCI_Table[[#This Row],[Conversion]]=SelectedConversion)</f>
        <v>0</v>
      </c>
      <c r="I578" s="14" t="b">
        <f>OR(LCI_Table[[#This Row],[Data Set]]="all",LCI_Table[[#This Row],[Data Set]]=SelectedDataSet)</f>
        <v>1</v>
      </c>
      <c r="J578" s="14" t="b">
        <f>OR(LCI_Table[[#This Row],[Technology]]="All",LCI_Table[[#This Row],[Technology]]=SelectedTechnology)</f>
        <v>0</v>
      </c>
      <c r="K578" s="14" t="b">
        <f>OR(LCI_Table[[#This Row],[Data Source]]="All",LCI_Table[[#This Row],[Data Source]]=SelectedDataSource)</f>
        <v>1</v>
      </c>
      <c r="L578" s="14" t="b">
        <f>TRUE</f>
        <v>1</v>
      </c>
      <c r="M578" s="14" t="b">
        <f>(LCI_Table[[#This Row],[Dev Notes]]="Do not display")</f>
        <v>0</v>
      </c>
      <c r="N578" s="14" t="b">
        <f>AND(LCI_Table[[#This Row],[Show Feedstock]:[Conditional]],NOT(LCI_Table[[#This Row],[Hide Row]]))</f>
        <v>0</v>
      </c>
      <c r="O578" s="14" t="b">
        <f>LCI_Table[[#This Row],[GREET1 Name Range]]=""</f>
        <v>0</v>
      </c>
      <c r="P578" s="14" t="s">
        <v>1448</v>
      </c>
      <c r="Q578" s="14" t="s">
        <v>644</v>
      </c>
      <c r="R578" s="14" t="s">
        <v>146</v>
      </c>
      <c r="S578" s="37" cm="1">
        <f t="array" aca="1" ref="S5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11.922973142841251</v>
      </c>
      <c r="T578" s="346" t="s">
        <v>2128</v>
      </c>
      <c r="U578" s="347">
        <f ca="1">S578/kg2lb*Fuel_Specs!$K$4/Allocations!$O$58*MJ2mmBTU</f>
        <v>5.6621519216734709E-2</v>
      </c>
      <c r="V578" s="347">
        <v>11.922973142841251</v>
      </c>
      <c r="W578" s="347">
        <v>5.6621519216734709E-2</v>
      </c>
      <c r="X578" s="37" t="s">
        <v>5</v>
      </c>
      <c r="Y578" s="346" t="s">
        <v>416</v>
      </c>
      <c r="Z578" s="14" t="str">
        <f>IF(ISBLANK(LCI_Table[[#This Row],[Notes for user]])," ",LCI_Table[[#This Row],[Notes for user]])</f>
        <v xml:space="preserve"> </v>
      </c>
      <c r="AA578" s="14"/>
      <c r="AB578" s="14"/>
      <c r="AC578" s="346">
        <f ca="1">LCI_Table[[#This Row],[Default Calculated Value]]-LCI_Table[[#This Row],[Calculated Value]]</f>
        <v>0</v>
      </c>
    </row>
    <row r="579" spans="1:29" x14ac:dyDescent="0.3">
      <c r="A5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stoverATJ-ethanolGREETGREETStandalone Facilities_JetFuel_ETJet_EthanolFeedstockSelector</v>
      </c>
      <c r="B579" s="14" t="s">
        <v>135</v>
      </c>
      <c r="C579" s="14" t="s">
        <v>1964</v>
      </c>
      <c r="D579" s="14" t="s">
        <v>29</v>
      </c>
      <c r="E579" s="48" t="s">
        <v>29</v>
      </c>
      <c r="F579" s="14" t="s">
        <v>1592</v>
      </c>
      <c r="G579" s="14" t="b">
        <f>OR(LCI_Table[[#This Row],[Feedstock]]="All",LCI_Table[[#This Row],[Feedstock]]=SelectedFeedstock)</f>
        <v>0</v>
      </c>
      <c r="H579" s="14" t="b">
        <f>OR(LCI_Table[[#This Row],[Conversion]]="All",LCI_Table[[#This Row],[Conversion]]=SelectedConversion)</f>
        <v>0</v>
      </c>
      <c r="I579" s="14" t="b">
        <f>OR(LCI_Table[[#This Row],[Data Set]]="all",LCI_Table[[#This Row],[Data Set]]=SelectedDataSet)</f>
        <v>1</v>
      </c>
      <c r="J579" s="14" t="b">
        <f>OR(LCI_Table[[#This Row],[Technology]]="All",LCI_Table[[#This Row],[Technology]]=SelectedTechnology)</f>
        <v>0</v>
      </c>
      <c r="K579" s="14" t="b">
        <f>OR(LCI_Table[[#This Row],[Data Source]]="All",LCI_Table[[#This Row],[Data Source]]=SelectedDataSource)</f>
        <v>1</v>
      </c>
      <c r="L579" s="14" t="b">
        <f>TRUE</f>
        <v>1</v>
      </c>
      <c r="M579" s="14" t="b">
        <f>(LCI_Table[[#This Row],[Dev Notes]]="Do not display")</f>
        <v>1</v>
      </c>
      <c r="N579" s="14" t="b">
        <f>AND(LCI_Table[[#This Row],[Show Feedstock]:[Conditional]],NOT(LCI_Table[[#This Row],[Hide Row]]))</f>
        <v>0</v>
      </c>
      <c r="O579" s="14" t="b">
        <f>LCI_Table[[#This Row],[GREET1 Name Range]]=""</f>
        <v>0</v>
      </c>
      <c r="P579" s="14" t="s">
        <v>1448</v>
      </c>
      <c r="Q579" s="14" t="s">
        <v>87</v>
      </c>
      <c r="R579" s="14" t="s">
        <v>902</v>
      </c>
      <c r="S579" s="37" cm="1">
        <f t="array" aca="1" ref="S5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v>
      </c>
      <c r="T579" s="346" t="s">
        <v>2132</v>
      </c>
      <c r="U579" s="352">
        <v>9</v>
      </c>
      <c r="V579" s="352">
        <v>9</v>
      </c>
      <c r="W579" s="352">
        <v>9</v>
      </c>
      <c r="X579" s="356"/>
      <c r="Y579" s="346" t="s">
        <v>416</v>
      </c>
      <c r="Z579" s="14" t="str">
        <f>IF(ISBLANK(LCI_Table[[#This Row],[Notes for user]])," ",LCI_Table[[#This Row],[Notes for user]])</f>
        <v xml:space="preserve"> </v>
      </c>
      <c r="AA579" s="14"/>
      <c r="AB579" s="14" t="s">
        <v>1138</v>
      </c>
      <c r="AC579" s="346">
        <f>LCI_Table[[#This Row],[Default Calculated Value]]-LCI_Table[[#This Row],[Calculated Value]]</f>
        <v>0</v>
      </c>
    </row>
    <row r="580" spans="1:29" x14ac:dyDescent="0.3">
      <c r="A5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stoverATJ-ethanolGREETGREETStandalone Facilities_Ethanol_ETJ_distributed_EthanolEthanol: Corn stover</v>
      </c>
      <c r="B580" s="14" t="s">
        <v>135</v>
      </c>
      <c r="C580" s="14" t="s">
        <v>1964</v>
      </c>
      <c r="D580" s="14" t="s">
        <v>29</v>
      </c>
      <c r="E580" s="48" t="s">
        <v>29</v>
      </c>
      <c r="F580" s="14" t="s">
        <v>1592</v>
      </c>
      <c r="G580" s="14" t="b">
        <f>OR(LCI_Table[[#This Row],[Feedstock]]="All",LCI_Table[[#This Row],[Feedstock]]=SelectedFeedstock)</f>
        <v>0</v>
      </c>
      <c r="H580" s="14" t="b">
        <f>OR(LCI_Table[[#This Row],[Conversion]]="All",LCI_Table[[#This Row],[Conversion]]=SelectedConversion)</f>
        <v>0</v>
      </c>
      <c r="I580" s="14" t="b">
        <f>OR(LCI_Table[[#This Row],[Data Set]]="all",LCI_Table[[#This Row],[Data Set]]=SelectedDataSet)</f>
        <v>1</v>
      </c>
      <c r="J580" s="14" t="b">
        <f>OR(LCI_Table[[#This Row],[Technology]]="All",LCI_Table[[#This Row],[Technology]]=SelectedTechnology)</f>
        <v>0</v>
      </c>
      <c r="K580" s="14" t="b">
        <f>OR(LCI_Table[[#This Row],[Data Source]]="All",LCI_Table[[#This Row],[Data Source]]=SelectedDataSource)</f>
        <v>1</v>
      </c>
      <c r="L580" s="14" t="b">
        <f>TRUE</f>
        <v>1</v>
      </c>
      <c r="M580" s="14" t="b">
        <f>(LCI_Table[[#This Row],[Dev Notes]]="Do not display")</f>
        <v>0</v>
      </c>
      <c r="N580" s="14" t="b">
        <f>AND(LCI_Table[[#This Row],[Show Feedstock]:[Conditional]],NOT(LCI_Table[[#This Row],[Hide Row]]))</f>
        <v>0</v>
      </c>
      <c r="O580" s="14" t="b">
        <f>LCI_Table[[#This Row],[GREET1 Name Range]]=""</f>
        <v>0</v>
      </c>
      <c r="P580" s="14" t="s">
        <v>1448</v>
      </c>
      <c r="Q580" s="14" t="s">
        <v>641</v>
      </c>
      <c r="R580" s="14" t="s">
        <v>396</v>
      </c>
      <c r="S580" s="37" cm="1">
        <f t="array" aca="1" ref="S5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14.67440380325554</v>
      </c>
      <c r="T580" s="346" t="s">
        <v>2128</v>
      </c>
      <c r="U580" s="347">
        <f ca="1">S580/kg2g*Fuel_Specs!$E$31/Allocations!$O$59*MJ2mmBTU</f>
        <v>5.5170533920077813E-2</v>
      </c>
      <c r="V580" s="347">
        <v>14.67440380325554</v>
      </c>
      <c r="W580" s="347">
        <v>5.5170533920077813E-2</v>
      </c>
      <c r="X580" s="37" t="s">
        <v>5</v>
      </c>
      <c r="Y580" s="346" t="s">
        <v>416</v>
      </c>
      <c r="Z580" s="14" t="str">
        <f>IF(ISBLANK(LCI_Table[[#This Row],[Notes for user]])," ",LCI_Table[[#This Row],[Notes for user]])</f>
        <v xml:space="preserve"> </v>
      </c>
      <c r="AA580" s="14"/>
      <c r="AB580" s="14"/>
      <c r="AC580" s="346">
        <f ca="1">LCI_Table[[#This Row],[Default Calculated Value]]-LCI_Table[[#This Row],[Calculated Value]]</f>
        <v>0</v>
      </c>
    </row>
    <row r="581" spans="1:29" x14ac:dyDescent="0.3">
      <c r="A5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stoverATJ-ethanolGREETGREETStandalone Facilities_Ethanol_ETJ_distributed_Natural_gasNatural gas</v>
      </c>
      <c r="B581" s="358" t="s">
        <v>135</v>
      </c>
      <c r="C581" s="358" t="s">
        <v>1964</v>
      </c>
      <c r="D581" s="358" t="s">
        <v>29</v>
      </c>
      <c r="E581" s="48" t="s">
        <v>29</v>
      </c>
      <c r="F581" s="14" t="s">
        <v>1592</v>
      </c>
      <c r="G581" s="14" t="b">
        <f>OR(LCI_Table[[#This Row],[Feedstock]]="All",LCI_Table[[#This Row],[Feedstock]]=SelectedFeedstock)</f>
        <v>0</v>
      </c>
      <c r="H581" s="14" t="b">
        <f>OR(LCI_Table[[#This Row],[Conversion]]="All",LCI_Table[[#This Row],[Conversion]]=SelectedConversion)</f>
        <v>0</v>
      </c>
      <c r="I581" s="14" t="b">
        <f>OR(LCI_Table[[#This Row],[Data Set]]="all",LCI_Table[[#This Row],[Data Set]]=SelectedDataSet)</f>
        <v>1</v>
      </c>
      <c r="J581" s="14" t="b">
        <f>OR(LCI_Table[[#This Row],[Technology]]="All",LCI_Table[[#This Row],[Technology]]=SelectedTechnology)</f>
        <v>0</v>
      </c>
      <c r="K581" s="14" t="b">
        <f>OR(LCI_Table[[#This Row],[Data Source]]="All",LCI_Table[[#This Row],[Data Source]]=SelectedDataSource)</f>
        <v>1</v>
      </c>
      <c r="L581" s="14" t="b">
        <f>TRUE</f>
        <v>1</v>
      </c>
      <c r="M581" s="14" t="b">
        <f>(LCI_Table[[#This Row],[Dev Notes]]="Do not display")</f>
        <v>0</v>
      </c>
      <c r="N581" s="14" t="b">
        <f>AND(LCI_Table[[#This Row],[Show Feedstock]:[Conditional]],NOT(LCI_Table[[#This Row],[Hide Row]]))</f>
        <v>0</v>
      </c>
      <c r="O581" s="14" t="b">
        <f>LCI_Table[[#This Row],[GREET1 Name Range]]=""</f>
        <v>0</v>
      </c>
      <c r="P581" s="358" t="s">
        <v>1448</v>
      </c>
      <c r="Q581" s="14" t="s">
        <v>643</v>
      </c>
      <c r="R581" s="358" t="s">
        <v>108</v>
      </c>
      <c r="S581" s="37" cm="1">
        <f t="array" aca="1" ref="S5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81" s="346" t="s">
        <v>2120</v>
      </c>
      <c r="U581" s="359">
        <f ca="1">S581/kg2g*Fuel_Specs!$E$79/Fuel_Specs!$B$79</f>
        <v>0</v>
      </c>
      <c r="V581" s="359">
        <v>0</v>
      </c>
      <c r="W581" s="359">
        <v>0</v>
      </c>
      <c r="X581" s="360" t="s">
        <v>351</v>
      </c>
      <c r="Y581" s="346" t="s">
        <v>416</v>
      </c>
      <c r="Z581" s="14" t="str">
        <f>IF(ISBLANK(LCI_Table[[#This Row],[Notes for user]])," ",LCI_Table[[#This Row],[Notes for user]])</f>
        <v xml:space="preserve"> </v>
      </c>
      <c r="AA581" s="358"/>
      <c r="AB581" s="358"/>
      <c r="AC581" s="346">
        <f ca="1">LCI_Table[[#This Row],[Default Calculated Value]]-LCI_Table[[#This Row],[Calculated Value]]</f>
        <v>0</v>
      </c>
    </row>
    <row r="582" spans="1:29" x14ac:dyDescent="0.3">
      <c r="A5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stoverATJ-ethanolGREETGREETStandalone Facilities_Ethanol_ETJ_distributed_ElectricityGrid Electricity</v>
      </c>
      <c r="B582" s="14" t="s">
        <v>135</v>
      </c>
      <c r="C582" s="14" t="s">
        <v>1964</v>
      </c>
      <c r="D582" s="14" t="s">
        <v>29</v>
      </c>
      <c r="E582" s="48" t="s">
        <v>29</v>
      </c>
      <c r="F582" s="14" t="s">
        <v>1592</v>
      </c>
      <c r="G582" s="14" t="b">
        <f>OR(LCI_Table[[#This Row],[Feedstock]]="All",LCI_Table[[#This Row],[Feedstock]]=SelectedFeedstock)</f>
        <v>0</v>
      </c>
      <c r="H582" s="14" t="b">
        <f>OR(LCI_Table[[#This Row],[Conversion]]="All",LCI_Table[[#This Row],[Conversion]]=SelectedConversion)</f>
        <v>0</v>
      </c>
      <c r="I582" s="14" t="b">
        <f>OR(LCI_Table[[#This Row],[Data Set]]="all",LCI_Table[[#This Row],[Data Set]]=SelectedDataSet)</f>
        <v>1</v>
      </c>
      <c r="J582" s="14" t="b">
        <f>OR(LCI_Table[[#This Row],[Technology]]="All",LCI_Table[[#This Row],[Technology]]=SelectedTechnology)</f>
        <v>0</v>
      </c>
      <c r="K582" s="14" t="b">
        <f>OR(LCI_Table[[#This Row],[Data Source]]="All",LCI_Table[[#This Row],[Data Source]]=SelectedDataSource)</f>
        <v>1</v>
      </c>
      <c r="L582" s="14" t="b">
        <f>TRUE</f>
        <v>1</v>
      </c>
      <c r="M582" s="14" t="b">
        <f>(LCI_Table[[#This Row],[Dev Notes]]="Do not display")</f>
        <v>0</v>
      </c>
      <c r="N582" s="14" t="b">
        <f>AND(LCI_Table[[#This Row],[Show Feedstock]:[Conditional]],NOT(LCI_Table[[#This Row],[Hide Row]]))</f>
        <v>0</v>
      </c>
      <c r="O582" s="14" t="b">
        <f>LCI_Table[[#This Row],[GREET1 Name Range]]=""</f>
        <v>0</v>
      </c>
      <c r="P582" s="14" t="s">
        <v>1448</v>
      </c>
      <c r="Q582" s="14" t="s">
        <v>640</v>
      </c>
      <c r="R582" s="14" t="s">
        <v>1684</v>
      </c>
      <c r="S582" s="37" cm="1">
        <f t="array" aca="1" ref="S5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7.3884407786736448</v>
      </c>
      <c r="T582" s="346" t="s">
        <v>2121</v>
      </c>
      <c r="U582" s="347">
        <f ca="1">S582/Allocations!$O$59*MJ2mmBTU</f>
        <v>9.2964882515629704E-3</v>
      </c>
      <c r="V582" s="347">
        <v>7.3884407786736448</v>
      </c>
      <c r="W582" s="347">
        <v>9.2964882515629704E-3</v>
      </c>
      <c r="X582" s="37" t="s">
        <v>51</v>
      </c>
      <c r="Y582" s="346" t="s">
        <v>416</v>
      </c>
      <c r="Z582" s="14" t="str">
        <f>IF(ISBLANK(LCI_Table[[#This Row],[Notes for user]])," ",LCI_Table[[#This Row],[Notes for user]])</f>
        <v xml:space="preserve"> </v>
      </c>
      <c r="AA582" s="14"/>
      <c r="AB582" s="14"/>
      <c r="AC582" s="346">
        <f ca="1">LCI_Table[[#This Row],[Default Calculated Value]]-LCI_Table[[#This Row],[Calculated Value]]</f>
        <v>0</v>
      </c>
    </row>
    <row r="583" spans="1:29" x14ac:dyDescent="0.3">
      <c r="A5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stoverATJ-ethanolGREETGREETStandalone Facilities_Ethanol_ETJ_distributed_HydrogenHydrogen</v>
      </c>
      <c r="B583" s="14" t="s">
        <v>135</v>
      </c>
      <c r="C583" s="14" t="s">
        <v>1964</v>
      </c>
      <c r="D583" s="14" t="s">
        <v>29</v>
      </c>
      <c r="E583" s="48" t="s">
        <v>29</v>
      </c>
      <c r="F583" s="14" t="s">
        <v>1592</v>
      </c>
      <c r="G583" s="14" t="b">
        <f>OR(LCI_Table[[#This Row],[Feedstock]]="All",LCI_Table[[#This Row],[Feedstock]]=SelectedFeedstock)</f>
        <v>0</v>
      </c>
      <c r="H583" s="14" t="b">
        <f>OR(LCI_Table[[#This Row],[Conversion]]="All",LCI_Table[[#This Row],[Conversion]]=SelectedConversion)</f>
        <v>0</v>
      </c>
      <c r="I583" s="14" t="b">
        <f>OR(LCI_Table[[#This Row],[Data Set]]="all",LCI_Table[[#This Row],[Data Set]]=SelectedDataSet)</f>
        <v>1</v>
      </c>
      <c r="J583" s="14" t="b">
        <f>OR(LCI_Table[[#This Row],[Technology]]="All",LCI_Table[[#This Row],[Technology]]=SelectedTechnology)</f>
        <v>0</v>
      </c>
      <c r="K583" s="14" t="b">
        <f>OR(LCI_Table[[#This Row],[Data Source]]="All",LCI_Table[[#This Row],[Data Source]]=SelectedDataSource)</f>
        <v>1</v>
      </c>
      <c r="L583" s="14" t="b">
        <f>TRUE</f>
        <v>1</v>
      </c>
      <c r="M583" s="14" t="b">
        <f>(LCI_Table[[#This Row],[Dev Notes]]="Do not display")</f>
        <v>0</v>
      </c>
      <c r="N583" s="14" t="b">
        <f>AND(LCI_Table[[#This Row],[Show Feedstock]:[Conditional]],NOT(LCI_Table[[#This Row],[Hide Row]]))</f>
        <v>0</v>
      </c>
      <c r="O583" s="14" t="b">
        <f>LCI_Table[[#This Row],[GREET1 Name Range]]=""</f>
        <v>0</v>
      </c>
      <c r="P583" s="14" t="s">
        <v>1448</v>
      </c>
      <c r="Q583" s="14" t="s">
        <v>642</v>
      </c>
      <c r="R583" s="14" t="s">
        <v>73</v>
      </c>
      <c r="S583" s="37" cm="1">
        <f t="array" aca="1" ref="S5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210.24598998652542</v>
      </c>
      <c r="T583" s="346" t="s">
        <v>2120</v>
      </c>
      <c r="U583" s="347">
        <f ca="1">S583/kg2g*Fuel_Specs!$E$81/Allocations!$O$59*MJ2mmBTU</f>
        <v>6.745808835334578E-4</v>
      </c>
      <c r="V583" s="347">
        <v>210.24598998652542</v>
      </c>
      <c r="W583" s="347">
        <v>6.745808835334578E-4</v>
      </c>
      <c r="X583" s="37" t="s">
        <v>351</v>
      </c>
      <c r="Y583" s="346" t="s">
        <v>416</v>
      </c>
      <c r="Z583" s="14" t="str">
        <f>IF(ISBLANK(LCI_Table[[#This Row],[Notes for user]])," ",LCI_Table[[#This Row],[Notes for user]])</f>
        <v xml:space="preserve"> </v>
      </c>
      <c r="AA583" s="14"/>
      <c r="AB583" s="14"/>
      <c r="AC583" s="346">
        <f ca="1">LCI_Table[[#This Row],[Default Calculated Value]]-LCI_Table[[#This Row],[Calculated Value]]</f>
        <v>0</v>
      </c>
    </row>
    <row r="584" spans="1:29" x14ac:dyDescent="0.3">
      <c r="A5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stoverATJ-ethanolGREETGREETStandalone Facilities_Ethanol_ETJ_distributed_CatalystsCatalysts</v>
      </c>
      <c r="B584" s="14" t="s">
        <v>135</v>
      </c>
      <c r="C584" s="14" t="s">
        <v>1964</v>
      </c>
      <c r="D584" s="14" t="s">
        <v>29</v>
      </c>
      <c r="E584" s="48" t="s">
        <v>29</v>
      </c>
      <c r="F584" s="14" t="s">
        <v>1592</v>
      </c>
      <c r="G584" s="14" t="b">
        <f>OR(LCI_Table[[#This Row],[Feedstock]]="All",LCI_Table[[#This Row],[Feedstock]]=SelectedFeedstock)</f>
        <v>0</v>
      </c>
      <c r="H584" s="14" t="b">
        <f>OR(LCI_Table[[#This Row],[Conversion]]="All",LCI_Table[[#This Row],[Conversion]]=SelectedConversion)</f>
        <v>0</v>
      </c>
      <c r="I584" s="14" t="b">
        <f>OR(LCI_Table[[#This Row],[Data Set]]="all",LCI_Table[[#This Row],[Data Set]]=SelectedDataSet)</f>
        <v>1</v>
      </c>
      <c r="J584" s="14" t="b">
        <f>OR(LCI_Table[[#This Row],[Technology]]="All",LCI_Table[[#This Row],[Technology]]=SelectedTechnology)</f>
        <v>0</v>
      </c>
      <c r="K584" s="14" t="b">
        <f>OR(LCI_Table[[#This Row],[Data Source]]="All",LCI_Table[[#This Row],[Data Source]]=SelectedDataSource)</f>
        <v>1</v>
      </c>
      <c r="L584" s="14" t="b">
        <f>TRUE</f>
        <v>1</v>
      </c>
      <c r="M584" s="14" t="b">
        <f>(LCI_Table[[#This Row],[Dev Notes]]="Do not display")</f>
        <v>0</v>
      </c>
      <c r="N584" s="14" t="b">
        <f>AND(LCI_Table[[#This Row],[Show Feedstock]:[Conditional]],NOT(LCI_Table[[#This Row],[Hide Row]]))</f>
        <v>0</v>
      </c>
      <c r="O584" s="14" t="b">
        <f>LCI_Table[[#This Row],[GREET1 Name Range]]=""</f>
        <v>0</v>
      </c>
      <c r="P584" s="14" t="s">
        <v>1448</v>
      </c>
      <c r="Q584" s="14" t="s">
        <v>639</v>
      </c>
      <c r="R584" s="14" t="s">
        <v>142</v>
      </c>
      <c r="S584" s="37" cm="1">
        <f t="array" aca="1" ref="S5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0.18732924276995219</v>
      </c>
      <c r="T584" s="346" t="s">
        <v>2119</v>
      </c>
      <c r="U584" s="347">
        <f ca="1">S584/kg2lb/Allocations!$O$59*MJ2mmBTU</f>
        <v>1.0691470606945368E-4</v>
      </c>
      <c r="V584" s="347">
        <v>0.18732924276995219</v>
      </c>
      <c r="W584" s="347">
        <v>1.0691470606945368E-4</v>
      </c>
      <c r="X584" s="37" t="s">
        <v>12</v>
      </c>
      <c r="Y584" s="346" t="s">
        <v>416</v>
      </c>
      <c r="Z584" s="14" t="str">
        <f>IF(ISBLANK(LCI_Table[[#This Row],[Notes for user]])," ",LCI_Table[[#This Row],[Notes for user]])</f>
        <v xml:space="preserve"> </v>
      </c>
      <c r="AA584" s="14"/>
      <c r="AB584" s="14"/>
      <c r="AC584" s="346">
        <f ca="1">LCI_Table[[#This Row],[Default Calculated Value]]-LCI_Table[[#This Row],[Calculated Value]]</f>
        <v>0</v>
      </c>
    </row>
    <row r="585" spans="1:29" x14ac:dyDescent="0.3">
      <c r="A5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stoverATJ-ethanolGREETGREETStandalone Facilities_Ethanol_ETJ_distributed_WaterWater</v>
      </c>
      <c r="B585" s="14" t="s">
        <v>135</v>
      </c>
      <c r="C585" s="14" t="s">
        <v>1964</v>
      </c>
      <c r="D585" s="14" t="s">
        <v>29</v>
      </c>
      <c r="E585" s="48" t="s">
        <v>29</v>
      </c>
      <c r="F585" s="14" t="s">
        <v>1592</v>
      </c>
      <c r="G585" s="14" t="b">
        <f>OR(LCI_Table[[#This Row],[Feedstock]]="All",LCI_Table[[#This Row],[Feedstock]]=SelectedFeedstock)</f>
        <v>0</v>
      </c>
      <c r="H585" s="14" t="b">
        <f>OR(LCI_Table[[#This Row],[Conversion]]="All",LCI_Table[[#This Row],[Conversion]]=SelectedConversion)</f>
        <v>0</v>
      </c>
      <c r="I585" s="14" t="b">
        <f>OR(LCI_Table[[#This Row],[Data Set]]="all",LCI_Table[[#This Row],[Data Set]]=SelectedDataSet)</f>
        <v>1</v>
      </c>
      <c r="J585" s="14" t="b">
        <f>OR(LCI_Table[[#This Row],[Technology]]="All",LCI_Table[[#This Row],[Technology]]=SelectedTechnology)</f>
        <v>0</v>
      </c>
      <c r="K585" s="14" t="b">
        <f>OR(LCI_Table[[#This Row],[Data Source]]="All",LCI_Table[[#This Row],[Data Source]]=SelectedDataSource)</f>
        <v>1</v>
      </c>
      <c r="L585" s="14" t="b">
        <f>TRUE</f>
        <v>1</v>
      </c>
      <c r="M585" s="14" t="b">
        <f>(LCI_Table[[#This Row],[Dev Notes]]="Do not display")</f>
        <v>0</v>
      </c>
      <c r="N585" s="14" t="b">
        <f>AND(LCI_Table[[#This Row],[Show Feedstock]:[Conditional]],NOT(LCI_Table[[#This Row],[Hide Row]]))</f>
        <v>0</v>
      </c>
      <c r="O585" s="14" t="b">
        <f>LCI_Table[[#This Row],[GREET1 Name Range]]=""</f>
        <v>0</v>
      </c>
      <c r="P585" s="14" t="s">
        <v>1448</v>
      </c>
      <c r="Q585" s="14" t="s">
        <v>644</v>
      </c>
      <c r="R585" s="14" t="s">
        <v>146</v>
      </c>
      <c r="S585" s="37" cm="1">
        <f t="array" aca="1" ref="S5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11.922973142841251</v>
      </c>
      <c r="T585" s="346" t="s">
        <v>2128</v>
      </c>
      <c r="U585" s="347">
        <f ca="1">S585/kg2lb*Fuel_Specs!$K$4/Allocations!$O$59*MJ2mmBTU</f>
        <v>5.6621519216734709E-2</v>
      </c>
      <c r="V585" s="347">
        <v>11.922973142841251</v>
      </c>
      <c r="W585" s="347">
        <v>5.6621519216734709E-2</v>
      </c>
      <c r="X585" s="37" t="s">
        <v>5</v>
      </c>
      <c r="Y585" s="346" t="s">
        <v>416</v>
      </c>
      <c r="Z585" s="14" t="str">
        <f>IF(ISBLANK(LCI_Table[[#This Row],[Notes for user]])," ",LCI_Table[[#This Row],[Notes for user]])</f>
        <v xml:space="preserve"> </v>
      </c>
      <c r="AA585" s="14"/>
      <c r="AB585" s="14"/>
      <c r="AC585" s="346">
        <f ca="1">LCI_Table[[#This Row],[Default Calculated Value]]-LCI_Table[[#This Row],[Calculated Value]]</f>
        <v>0</v>
      </c>
    </row>
    <row r="586" spans="1:29" x14ac:dyDescent="0.3">
      <c r="A5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residueATJ-ethanolGREETGREETStandalone Facilities_JetFuel_ETJet_EthanolFeedstockSelector</v>
      </c>
      <c r="B586" s="14" t="s">
        <v>316</v>
      </c>
      <c r="C586" s="14" t="s">
        <v>1964</v>
      </c>
      <c r="D586" s="14" t="s">
        <v>29</v>
      </c>
      <c r="E586" s="48" t="s">
        <v>29</v>
      </c>
      <c r="F586" s="14" t="s">
        <v>1592</v>
      </c>
      <c r="G586" s="14" t="b">
        <f>OR(LCI_Table[[#This Row],[Feedstock]]="All",LCI_Table[[#This Row],[Feedstock]]=SelectedFeedstock)</f>
        <v>0</v>
      </c>
      <c r="H586" s="14" t="b">
        <f>OR(LCI_Table[[#This Row],[Conversion]]="All",LCI_Table[[#This Row],[Conversion]]=SelectedConversion)</f>
        <v>0</v>
      </c>
      <c r="I586" s="14" t="b">
        <f>OR(LCI_Table[[#This Row],[Data Set]]="all",LCI_Table[[#This Row],[Data Set]]=SelectedDataSet)</f>
        <v>1</v>
      </c>
      <c r="J586" s="14" t="b">
        <f>OR(LCI_Table[[#This Row],[Technology]]="All",LCI_Table[[#This Row],[Technology]]=SelectedTechnology)</f>
        <v>0</v>
      </c>
      <c r="K586" s="14" t="b">
        <f>OR(LCI_Table[[#This Row],[Data Source]]="All",LCI_Table[[#This Row],[Data Source]]=SelectedDataSource)</f>
        <v>1</v>
      </c>
      <c r="L586" s="14" t="b">
        <f>TRUE</f>
        <v>1</v>
      </c>
      <c r="M586" s="14" t="b">
        <f>(LCI_Table[[#This Row],[Dev Notes]]="Do not display")</f>
        <v>1</v>
      </c>
      <c r="N586" s="14" t="b">
        <f>AND(LCI_Table[[#This Row],[Show Feedstock]:[Conditional]],NOT(LCI_Table[[#This Row],[Hide Row]]))</f>
        <v>0</v>
      </c>
      <c r="O586" s="14" t="b">
        <f>LCI_Table[[#This Row],[GREET1 Name Range]]=""</f>
        <v>0</v>
      </c>
      <c r="P586" s="14" t="s">
        <v>1448</v>
      </c>
      <c r="Q586" s="14" t="s">
        <v>87</v>
      </c>
      <c r="R586" s="14" t="s">
        <v>902</v>
      </c>
      <c r="S586" s="37" cm="1">
        <f t="array" aca="1" ref="S5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v>
      </c>
      <c r="T586" s="346" t="s">
        <v>2132</v>
      </c>
      <c r="U586" s="352">
        <v>10</v>
      </c>
      <c r="V586" s="352">
        <v>10</v>
      </c>
      <c r="W586" s="352">
        <v>10</v>
      </c>
      <c r="X586" s="356"/>
      <c r="Y586" s="346" t="s">
        <v>416</v>
      </c>
      <c r="Z586" s="14" t="str">
        <f>IF(ISBLANK(LCI_Table[[#This Row],[Notes for user]])," ",LCI_Table[[#This Row],[Notes for user]])</f>
        <v xml:space="preserve"> </v>
      </c>
      <c r="AA586" s="14"/>
      <c r="AB586" s="14" t="s">
        <v>1138</v>
      </c>
      <c r="AC586" s="346">
        <f>LCI_Table[[#This Row],[Default Calculated Value]]-LCI_Table[[#This Row],[Calculated Value]]</f>
        <v>0</v>
      </c>
    </row>
    <row r="587" spans="1:29" x14ac:dyDescent="0.3">
      <c r="A5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residueATJ-ethanolGREETGREETStandalone Facilities_Ethanol_ETJ_distributed_EthanolEthanol: Forest residue</v>
      </c>
      <c r="B587" s="14" t="s">
        <v>316</v>
      </c>
      <c r="C587" s="14" t="s">
        <v>1964</v>
      </c>
      <c r="D587" s="14" t="s">
        <v>29</v>
      </c>
      <c r="E587" s="48" t="s">
        <v>29</v>
      </c>
      <c r="F587" s="14" t="s">
        <v>1592</v>
      </c>
      <c r="G587" s="14" t="b">
        <f>OR(LCI_Table[[#This Row],[Feedstock]]="All",LCI_Table[[#This Row],[Feedstock]]=SelectedFeedstock)</f>
        <v>0</v>
      </c>
      <c r="H587" s="14" t="b">
        <f>OR(LCI_Table[[#This Row],[Conversion]]="All",LCI_Table[[#This Row],[Conversion]]=SelectedConversion)</f>
        <v>0</v>
      </c>
      <c r="I587" s="14" t="b">
        <f>OR(LCI_Table[[#This Row],[Data Set]]="all",LCI_Table[[#This Row],[Data Set]]=SelectedDataSet)</f>
        <v>1</v>
      </c>
      <c r="J587" s="14" t="b">
        <f>OR(LCI_Table[[#This Row],[Technology]]="All",LCI_Table[[#This Row],[Technology]]=SelectedTechnology)</f>
        <v>0</v>
      </c>
      <c r="K587" s="14" t="b">
        <f>OR(LCI_Table[[#This Row],[Data Source]]="All",LCI_Table[[#This Row],[Data Source]]=SelectedDataSource)</f>
        <v>1</v>
      </c>
      <c r="L587" s="14" t="b">
        <f>TRUE</f>
        <v>1</v>
      </c>
      <c r="M587" s="14" t="b">
        <f>(LCI_Table[[#This Row],[Dev Notes]]="Do not display")</f>
        <v>0</v>
      </c>
      <c r="N587" s="14" t="b">
        <f>AND(LCI_Table[[#This Row],[Show Feedstock]:[Conditional]],NOT(LCI_Table[[#This Row],[Hide Row]]))</f>
        <v>0</v>
      </c>
      <c r="O587" s="14" t="b">
        <f>LCI_Table[[#This Row],[GREET1 Name Range]]=""</f>
        <v>0</v>
      </c>
      <c r="P587" s="14" t="s">
        <v>1448</v>
      </c>
      <c r="Q587" s="14" t="s">
        <v>641</v>
      </c>
      <c r="R587" s="14" t="s">
        <v>397</v>
      </c>
      <c r="S587" s="37" cm="1">
        <f t="array" aca="1" ref="S5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14.67440380325554</v>
      </c>
      <c r="T587" s="346" t="s">
        <v>2128</v>
      </c>
      <c r="U587" s="347">
        <f ca="1">S587/kg2g*Fuel_Specs!$E$31/Allocations!$O$60*MJ2mmBTU</f>
        <v>5.5170533920077813E-2</v>
      </c>
      <c r="V587" s="347">
        <v>14.67440380325554</v>
      </c>
      <c r="W587" s="347">
        <v>5.5170533920077813E-2</v>
      </c>
      <c r="X587" s="37" t="s">
        <v>5</v>
      </c>
      <c r="Y587" s="346" t="s">
        <v>416</v>
      </c>
      <c r="Z587" s="14" t="str">
        <f>IF(ISBLANK(LCI_Table[[#This Row],[Notes for user]])," ",LCI_Table[[#This Row],[Notes for user]])</f>
        <v xml:space="preserve"> </v>
      </c>
      <c r="AA587" s="14"/>
      <c r="AB587" s="14"/>
      <c r="AC587" s="346">
        <f ca="1">LCI_Table[[#This Row],[Default Calculated Value]]-LCI_Table[[#This Row],[Calculated Value]]</f>
        <v>0</v>
      </c>
    </row>
    <row r="588" spans="1:29" x14ac:dyDescent="0.3">
      <c r="A5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residueATJ-ethanolGREETGREETStandalone Facilities_Ethanol_ETJ_distributed_Natural_gasNatural gas</v>
      </c>
      <c r="B588" s="358" t="s">
        <v>316</v>
      </c>
      <c r="C588" s="358" t="s">
        <v>1964</v>
      </c>
      <c r="D588" s="358" t="s">
        <v>29</v>
      </c>
      <c r="E588" s="48" t="s">
        <v>29</v>
      </c>
      <c r="F588" s="14" t="s">
        <v>1592</v>
      </c>
      <c r="G588" s="14" t="b">
        <f>OR(LCI_Table[[#This Row],[Feedstock]]="All",LCI_Table[[#This Row],[Feedstock]]=SelectedFeedstock)</f>
        <v>0</v>
      </c>
      <c r="H588" s="14" t="b">
        <f>OR(LCI_Table[[#This Row],[Conversion]]="All",LCI_Table[[#This Row],[Conversion]]=SelectedConversion)</f>
        <v>0</v>
      </c>
      <c r="I588" s="14" t="b">
        <f>OR(LCI_Table[[#This Row],[Data Set]]="all",LCI_Table[[#This Row],[Data Set]]=SelectedDataSet)</f>
        <v>1</v>
      </c>
      <c r="J588" s="14" t="b">
        <f>OR(LCI_Table[[#This Row],[Technology]]="All",LCI_Table[[#This Row],[Technology]]=SelectedTechnology)</f>
        <v>0</v>
      </c>
      <c r="K588" s="14" t="b">
        <f>OR(LCI_Table[[#This Row],[Data Source]]="All",LCI_Table[[#This Row],[Data Source]]=SelectedDataSource)</f>
        <v>1</v>
      </c>
      <c r="L588" s="14" t="b">
        <f>TRUE</f>
        <v>1</v>
      </c>
      <c r="M588" s="14" t="b">
        <f>(LCI_Table[[#This Row],[Dev Notes]]="Do not display")</f>
        <v>0</v>
      </c>
      <c r="N588" s="14" t="b">
        <f>AND(LCI_Table[[#This Row],[Show Feedstock]:[Conditional]],NOT(LCI_Table[[#This Row],[Hide Row]]))</f>
        <v>0</v>
      </c>
      <c r="O588" s="14" t="b">
        <f>LCI_Table[[#This Row],[GREET1 Name Range]]=""</f>
        <v>0</v>
      </c>
      <c r="P588" s="358" t="s">
        <v>1448</v>
      </c>
      <c r="Q588" s="14" t="s">
        <v>643</v>
      </c>
      <c r="R588" s="358" t="s">
        <v>108</v>
      </c>
      <c r="S588" s="37" cm="1">
        <f t="array" aca="1" ref="S5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88" s="346" t="s">
        <v>2120</v>
      </c>
      <c r="U588" s="359">
        <f ca="1">S588/kg2g*Fuel_Specs!$E$79/Fuel_Specs!$B$79</f>
        <v>0</v>
      </c>
      <c r="V588" s="359">
        <v>0</v>
      </c>
      <c r="W588" s="359">
        <v>0</v>
      </c>
      <c r="X588" s="360" t="s">
        <v>351</v>
      </c>
      <c r="Y588" s="346" t="s">
        <v>416</v>
      </c>
      <c r="Z588" s="14" t="str">
        <f>IF(ISBLANK(LCI_Table[[#This Row],[Notes for user]])," ",LCI_Table[[#This Row],[Notes for user]])</f>
        <v xml:space="preserve"> </v>
      </c>
      <c r="AA588" s="358"/>
      <c r="AB588" s="358"/>
      <c r="AC588" s="346">
        <f ca="1">LCI_Table[[#This Row],[Default Calculated Value]]-LCI_Table[[#This Row],[Calculated Value]]</f>
        <v>0</v>
      </c>
    </row>
    <row r="589" spans="1:29" x14ac:dyDescent="0.3">
      <c r="A5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residueATJ-ethanolGREETGREETStandalone Facilities_Ethanol_ETJ_distributed_ElectricityGrid Electricity</v>
      </c>
      <c r="B589" s="14" t="s">
        <v>316</v>
      </c>
      <c r="C589" s="14" t="s">
        <v>1964</v>
      </c>
      <c r="D589" s="14" t="s">
        <v>29</v>
      </c>
      <c r="E589" s="48" t="s">
        <v>29</v>
      </c>
      <c r="F589" s="14" t="s">
        <v>1592</v>
      </c>
      <c r="G589" s="14" t="b">
        <f>OR(LCI_Table[[#This Row],[Feedstock]]="All",LCI_Table[[#This Row],[Feedstock]]=SelectedFeedstock)</f>
        <v>0</v>
      </c>
      <c r="H589" s="14" t="b">
        <f>OR(LCI_Table[[#This Row],[Conversion]]="All",LCI_Table[[#This Row],[Conversion]]=SelectedConversion)</f>
        <v>0</v>
      </c>
      <c r="I589" s="14" t="b">
        <f>OR(LCI_Table[[#This Row],[Data Set]]="all",LCI_Table[[#This Row],[Data Set]]=SelectedDataSet)</f>
        <v>1</v>
      </c>
      <c r="J589" s="14" t="b">
        <f>OR(LCI_Table[[#This Row],[Technology]]="All",LCI_Table[[#This Row],[Technology]]=SelectedTechnology)</f>
        <v>0</v>
      </c>
      <c r="K589" s="14" t="b">
        <f>OR(LCI_Table[[#This Row],[Data Source]]="All",LCI_Table[[#This Row],[Data Source]]=SelectedDataSource)</f>
        <v>1</v>
      </c>
      <c r="L589" s="14" t="b">
        <f>TRUE</f>
        <v>1</v>
      </c>
      <c r="M589" s="14" t="b">
        <f>(LCI_Table[[#This Row],[Dev Notes]]="Do not display")</f>
        <v>0</v>
      </c>
      <c r="N589" s="14" t="b">
        <f>AND(LCI_Table[[#This Row],[Show Feedstock]:[Conditional]],NOT(LCI_Table[[#This Row],[Hide Row]]))</f>
        <v>0</v>
      </c>
      <c r="O589" s="14" t="b">
        <f>LCI_Table[[#This Row],[GREET1 Name Range]]=""</f>
        <v>0</v>
      </c>
      <c r="P589" s="14" t="s">
        <v>1448</v>
      </c>
      <c r="Q589" s="14" t="s">
        <v>640</v>
      </c>
      <c r="R589" s="14" t="s">
        <v>1684</v>
      </c>
      <c r="S589" s="37" cm="1">
        <f t="array" aca="1" ref="S5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7.3884407786736448</v>
      </c>
      <c r="T589" s="346" t="s">
        <v>2121</v>
      </c>
      <c r="U589" s="347">
        <f ca="1">S589/Allocations!$O$60*MJ2mmBTU</f>
        <v>9.2964882515629704E-3</v>
      </c>
      <c r="V589" s="347">
        <v>7.3884407786736448</v>
      </c>
      <c r="W589" s="347">
        <v>9.2964882515629704E-3</v>
      </c>
      <c r="X589" s="37" t="s">
        <v>51</v>
      </c>
      <c r="Y589" s="346" t="s">
        <v>416</v>
      </c>
      <c r="Z589" s="14" t="str">
        <f>IF(ISBLANK(LCI_Table[[#This Row],[Notes for user]])," ",LCI_Table[[#This Row],[Notes for user]])</f>
        <v xml:space="preserve"> </v>
      </c>
      <c r="AA589" s="14"/>
      <c r="AB589" s="14"/>
      <c r="AC589" s="346">
        <f ca="1">LCI_Table[[#This Row],[Default Calculated Value]]-LCI_Table[[#This Row],[Calculated Value]]</f>
        <v>0</v>
      </c>
    </row>
    <row r="590" spans="1:29" x14ac:dyDescent="0.3">
      <c r="A5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residueATJ-ethanolGREETGREETStandalone Facilities_Ethanol_ETJ_distributed_HydrogenHydrogen</v>
      </c>
      <c r="B590" s="14" t="s">
        <v>316</v>
      </c>
      <c r="C590" s="14" t="s">
        <v>1964</v>
      </c>
      <c r="D590" s="14" t="s">
        <v>29</v>
      </c>
      <c r="E590" s="48" t="s">
        <v>29</v>
      </c>
      <c r="F590" s="14" t="s">
        <v>1592</v>
      </c>
      <c r="G590" s="14" t="b">
        <f>OR(LCI_Table[[#This Row],[Feedstock]]="All",LCI_Table[[#This Row],[Feedstock]]=SelectedFeedstock)</f>
        <v>0</v>
      </c>
      <c r="H590" s="14" t="b">
        <f>OR(LCI_Table[[#This Row],[Conversion]]="All",LCI_Table[[#This Row],[Conversion]]=SelectedConversion)</f>
        <v>0</v>
      </c>
      <c r="I590" s="14" t="b">
        <f>OR(LCI_Table[[#This Row],[Data Set]]="all",LCI_Table[[#This Row],[Data Set]]=SelectedDataSet)</f>
        <v>1</v>
      </c>
      <c r="J590" s="14" t="b">
        <f>OR(LCI_Table[[#This Row],[Technology]]="All",LCI_Table[[#This Row],[Technology]]=SelectedTechnology)</f>
        <v>0</v>
      </c>
      <c r="K590" s="14" t="b">
        <f>OR(LCI_Table[[#This Row],[Data Source]]="All",LCI_Table[[#This Row],[Data Source]]=SelectedDataSource)</f>
        <v>1</v>
      </c>
      <c r="L590" s="14" t="b">
        <f>TRUE</f>
        <v>1</v>
      </c>
      <c r="M590" s="14" t="b">
        <f>(LCI_Table[[#This Row],[Dev Notes]]="Do not display")</f>
        <v>0</v>
      </c>
      <c r="N590" s="14" t="b">
        <f>AND(LCI_Table[[#This Row],[Show Feedstock]:[Conditional]],NOT(LCI_Table[[#This Row],[Hide Row]]))</f>
        <v>0</v>
      </c>
      <c r="O590" s="14" t="b">
        <f>LCI_Table[[#This Row],[GREET1 Name Range]]=""</f>
        <v>0</v>
      </c>
      <c r="P590" s="14" t="s">
        <v>1448</v>
      </c>
      <c r="Q590" s="14" t="s">
        <v>642</v>
      </c>
      <c r="R590" s="14" t="s">
        <v>73</v>
      </c>
      <c r="S590" s="37" cm="1">
        <f t="array" aca="1" ref="S5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210.24598998652542</v>
      </c>
      <c r="T590" s="346" t="s">
        <v>2120</v>
      </c>
      <c r="U590" s="347">
        <f ca="1">S590/kg2g*Fuel_Specs!$E$81/Allocations!$O$60*MJ2mmBTU</f>
        <v>6.745808835334578E-4</v>
      </c>
      <c r="V590" s="347">
        <v>210.24598998652542</v>
      </c>
      <c r="W590" s="347">
        <v>6.745808835334578E-4</v>
      </c>
      <c r="X590" s="37" t="s">
        <v>351</v>
      </c>
      <c r="Y590" s="346" t="s">
        <v>416</v>
      </c>
      <c r="Z590" s="14" t="str">
        <f>IF(ISBLANK(LCI_Table[[#This Row],[Notes for user]])," ",LCI_Table[[#This Row],[Notes for user]])</f>
        <v xml:space="preserve"> </v>
      </c>
      <c r="AA590" s="14"/>
      <c r="AB590" s="14"/>
      <c r="AC590" s="346">
        <f ca="1">LCI_Table[[#This Row],[Default Calculated Value]]-LCI_Table[[#This Row],[Calculated Value]]</f>
        <v>0</v>
      </c>
    </row>
    <row r="591" spans="1:29" x14ac:dyDescent="0.3">
      <c r="A5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residueATJ-ethanolGREETGREETStandalone Facilities_Ethanol_ETJ_distributed_CatalystsCatalysts</v>
      </c>
      <c r="B591" s="14" t="s">
        <v>316</v>
      </c>
      <c r="C591" s="14" t="s">
        <v>1964</v>
      </c>
      <c r="D591" s="14" t="s">
        <v>29</v>
      </c>
      <c r="E591" s="48" t="s">
        <v>29</v>
      </c>
      <c r="F591" s="14" t="s">
        <v>1592</v>
      </c>
      <c r="G591" s="14" t="b">
        <f>OR(LCI_Table[[#This Row],[Feedstock]]="All",LCI_Table[[#This Row],[Feedstock]]=SelectedFeedstock)</f>
        <v>0</v>
      </c>
      <c r="H591" s="14" t="b">
        <f>OR(LCI_Table[[#This Row],[Conversion]]="All",LCI_Table[[#This Row],[Conversion]]=SelectedConversion)</f>
        <v>0</v>
      </c>
      <c r="I591" s="14" t="b">
        <f>OR(LCI_Table[[#This Row],[Data Set]]="all",LCI_Table[[#This Row],[Data Set]]=SelectedDataSet)</f>
        <v>1</v>
      </c>
      <c r="J591" s="14" t="b">
        <f>OR(LCI_Table[[#This Row],[Technology]]="All",LCI_Table[[#This Row],[Technology]]=SelectedTechnology)</f>
        <v>0</v>
      </c>
      <c r="K591" s="14" t="b">
        <f>OR(LCI_Table[[#This Row],[Data Source]]="All",LCI_Table[[#This Row],[Data Source]]=SelectedDataSource)</f>
        <v>1</v>
      </c>
      <c r="L591" s="14" t="b">
        <f>TRUE</f>
        <v>1</v>
      </c>
      <c r="M591" s="14" t="b">
        <f>(LCI_Table[[#This Row],[Dev Notes]]="Do not display")</f>
        <v>0</v>
      </c>
      <c r="N591" s="14" t="b">
        <f>AND(LCI_Table[[#This Row],[Show Feedstock]:[Conditional]],NOT(LCI_Table[[#This Row],[Hide Row]]))</f>
        <v>0</v>
      </c>
      <c r="O591" s="14" t="b">
        <f>LCI_Table[[#This Row],[GREET1 Name Range]]=""</f>
        <v>0</v>
      </c>
      <c r="P591" s="14" t="s">
        <v>1448</v>
      </c>
      <c r="Q591" s="14" t="s">
        <v>639</v>
      </c>
      <c r="R591" s="14" t="s">
        <v>142</v>
      </c>
      <c r="S591" s="37" cm="1">
        <f t="array" aca="1" ref="S5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0.18732924276995219</v>
      </c>
      <c r="T591" s="346" t="s">
        <v>2119</v>
      </c>
      <c r="U591" s="347">
        <f ca="1">S591/kg2lb/Allocations!$O$60*MJ2mmBTU</f>
        <v>1.0691470606945368E-4</v>
      </c>
      <c r="V591" s="347">
        <v>0.18732924276995219</v>
      </c>
      <c r="W591" s="347">
        <v>1.0691470606945368E-4</v>
      </c>
      <c r="X591" s="37" t="s">
        <v>12</v>
      </c>
      <c r="Y591" s="346" t="s">
        <v>416</v>
      </c>
      <c r="Z591" s="14" t="str">
        <f>IF(ISBLANK(LCI_Table[[#This Row],[Notes for user]])," ",LCI_Table[[#This Row],[Notes for user]])</f>
        <v xml:space="preserve"> </v>
      </c>
      <c r="AA591" s="14"/>
      <c r="AB591" s="14"/>
      <c r="AC591" s="346">
        <f ca="1">LCI_Table[[#This Row],[Default Calculated Value]]-LCI_Table[[#This Row],[Calculated Value]]</f>
        <v>0</v>
      </c>
    </row>
    <row r="592" spans="1:29" x14ac:dyDescent="0.3">
      <c r="A5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residueATJ-ethanolGREETGREETStandalone Facilities_Ethanol_ETJ_distributed_WaterWater</v>
      </c>
      <c r="B592" s="14" t="s">
        <v>316</v>
      </c>
      <c r="C592" s="14" t="s">
        <v>1964</v>
      </c>
      <c r="D592" s="14" t="s">
        <v>29</v>
      </c>
      <c r="E592" s="48" t="s">
        <v>29</v>
      </c>
      <c r="F592" s="14" t="s">
        <v>1592</v>
      </c>
      <c r="G592" s="14" t="b">
        <f>OR(LCI_Table[[#This Row],[Feedstock]]="All",LCI_Table[[#This Row],[Feedstock]]=SelectedFeedstock)</f>
        <v>0</v>
      </c>
      <c r="H592" s="14" t="b">
        <f>OR(LCI_Table[[#This Row],[Conversion]]="All",LCI_Table[[#This Row],[Conversion]]=SelectedConversion)</f>
        <v>0</v>
      </c>
      <c r="I592" s="14" t="b">
        <f>OR(LCI_Table[[#This Row],[Data Set]]="all",LCI_Table[[#This Row],[Data Set]]=SelectedDataSet)</f>
        <v>1</v>
      </c>
      <c r="J592" s="14" t="b">
        <f>OR(LCI_Table[[#This Row],[Technology]]="All",LCI_Table[[#This Row],[Technology]]=SelectedTechnology)</f>
        <v>0</v>
      </c>
      <c r="K592" s="14" t="b">
        <f>OR(LCI_Table[[#This Row],[Data Source]]="All",LCI_Table[[#This Row],[Data Source]]=SelectedDataSource)</f>
        <v>1</v>
      </c>
      <c r="L592" s="14" t="b">
        <f>TRUE</f>
        <v>1</v>
      </c>
      <c r="M592" s="14" t="b">
        <f>(LCI_Table[[#This Row],[Dev Notes]]="Do not display")</f>
        <v>0</v>
      </c>
      <c r="N592" s="14" t="b">
        <f>AND(LCI_Table[[#This Row],[Show Feedstock]:[Conditional]],NOT(LCI_Table[[#This Row],[Hide Row]]))</f>
        <v>0</v>
      </c>
      <c r="O592" s="14" t="b">
        <f>LCI_Table[[#This Row],[GREET1 Name Range]]=""</f>
        <v>0</v>
      </c>
      <c r="P592" s="14" t="s">
        <v>1448</v>
      </c>
      <c r="Q592" s="14" t="s">
        <v>644</v>
      </c>
      <c r="R592" s="14" t="s">
        <v>146</v>
      </c>
      <c r="S592" s="37" cm="1">
        <f t="array" aca="1" ref="S5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11.922973142841251</v>
      </c>
      <c r="T592" s="346" t="s">
        <v>2128</v>
      </c>
      <c r="U592" s="347">
        <f ca="1">S592/kg2lb*Fuel_Specs!$K$4/Allocations!$O$60*MJ2mmBTU</f>
        <v>5.6621519216734709E-2</v>
      </c>
      <c r="V592" s="347">
        <v>11.922973142841251</v>
      </c>
      <c r="W592" s="347">
        <v>5.6621519216734709E-2</v>
      </c>
      <c r="X592" s="37" t="s">
        <v>5</v>
      </c>
      <c r="Y592" s="346" t="s">
        <v>416</v>
      </c>
      <c r="Z592" s="14" t="str">
        <f>IF(ISBLANK(LCI_Table[[#This Row],[Notes for user]])," ",LCI_Table[[#This Row],[Notes for user]])</f>
        <v xml:space="preserve"> </v>
      </c>
      <c r="AA592" s="14"/>
      <c r="AB592" s="14"/>
      <c r="AC592" s="346">
        <f ca="1">LCI_Table[[#This Row],[Default Calculated Value]]-LCI_Table[[#This Row],[Calculated Value]]</f>
        <v>0</v>
      </c>
    </row>
    <row r="593" spans="1:29" x14ac:dyDescent="0.3">
      <c r="A5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Solid wasteATJ-ethanolGREETGREETStandalone Facilities_JetFuel_ETJet_EthanolFeedstockSelector</v>
      </c>
      <c r="B593" s="14" t="s">
        <v>366</v>
      </c>
      <c r="C593" s="14" t="s">
        <v>1964</v>
      </c>
      <c r="D593" s="14" t="s">
        <v>29</v>
      </c>
      <c r="E593" s="48" t="s">
        <v>29</v>
      </c>
      <c r="F593" s="14" t="s">
        <v>1592</v>
      </c>
      <c r="G593" s="14" t="b">
        <f>OR(LCI_Table[[#This Row],[Feedstock]]="All",LCI_Table[[#This Row],[Feedstock]]=SelectedFeedstock)</f>
        <v>0</v>
      </c>
      <c r="H593" s="14" t="b">
        <f>OR(LCI_Table[[#This Row],[Conversion]]="All",LCI_Table[[#This Row],[Conversion]]=SelectedConversion)</f>
        <v>0</v>
      </c>
      <c r="I593" s="14" t="b">
        <f>OR(LCI_Table[[#This Row],[Data Set]]="all",LCI_Table[[#This Row],[Data Set]]=SelectedDataSet)</f>
        <v>1</v>
      </c>
      <c r="J593" s="14" t="b">
        <f>OR(LCI_Table[[#This Row],[Technology]]="All",LCI_Table[[#This Row],[Technology]]=SelectedTechnology)</f>
        <v>0</v>
      </c>
      <c r="K593" s="14" t="b">
        <f>OR(LCI_Table[[#This Row],[Data Source]]="All",LCI_Table[[#This Row],[Data Source]]=SelectedDataSource)</f>
        <v>1</v>
      </c>
      <c r="L593" s="14" t="b">
        <f>TRUE</f>
        <v>1</v>
      </c>
      <c r="M593" s="14" t="b">
        <f>(LCI_Table[[#This Row],[Dev Notes]]="Do not display")</f>
        <v>1</v>
      </c>
      <c r="N593" s="14" t="b">
        <f>AND(LCI_Table[[#This Row],[Show Feedstock]:[Conditional]],NOT(LCI_Table[[#This Row],[Hide Row]]))</f>
        <v>0</v>
      </c>
      <c r="O593" s="14" t="b">
        <f>LCI_Table[[#This Row],[GREET1 Name Range]]=""</f>
        <v>0</v>
      </c>
      <c r="P593" s="14" t="s">
        <v>1448</v>
      </c>
      <c r="Q593" s="14" t="s">
        <v>87</v>
      </c>
      <c r="R593" s="14" t="s">
        <v>902</v>
      </c>
      <c r="S593" s="37" cm="1">
        <f t="array" aca="1" ref="S5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v>
      </c>
      <c r="T593" s="346" t="s">
        <v>2132</v>
      </c>
      <c r="U593" s="352">
        <v>11</v>
      </c>
      <c r="V593" s="352">
        <v>11</v>
      </c>
      <c r="W593" s="352">
        <v>11</v>
      </c>
      <c r="X593" s="356"/>
      <c r="Y593" s="346" t="s">
        <v>416</v>
      </c>
      <c r="Z593" s="14" t="str">
        <f>IF(ISBLANK(LCI_Table[[#This Row],[Notes for user]])," ",LCI_Table[[#This Row],[Notes for user]])</f>
        <v xml:space="preserve"> </v>
      </c>
      <c r="AA593" s="14"/>
      <c r="AB593" s="14" t="s">
        <v>1138</v>
      </c>
      <c r="AC593" s="346">
        <f>LCI_Table[[#This Row],[Default Calculated Value]]-LCI_Table[[#This Row],[Calculated Value]]</f>
        <v>0</v>
      </c>
    </row>
    <row r="594" spans="1:29" x14ac:dyDescent="0.3">
      <c r="A5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Solid wasteATJ-ethanolGREETGREETStandalone Facilities_Ethanol_ETJ_distributed_EthanolEthanol: Solid waste</v>
      </c>
      <c r="B594" s="14" t="s">
        <v>366</v>
      </c>
      <c r="C594" s="14" t="s">
        <v>1964</v>
      </c>
      <c r="D594" s="14" t="s">
        <v>29</v>
      </c>
      <c r="E594" s="48" t="s">
        <v>29</v>
      </c>
      <c r="F594" s="14" t="s">
        <v>1592</v>
      </c>
      <c r="G594" s="14" t="b">
        <f>OR(LCI_Table[[#This Row],[Feedstock]]="All",LCI_Table[[#This Row],[Feedstock]]=SelectedFeedstock)</f>
        <v>0</v>
      </c>
      <c r="H594" s="14" t="b">
        <f>OR(LCI_Table[[#This Row],[Conversion]]="All",LCI_Table[[#This Row],[Conversion]]=SelectedConversion)</f>
        <v>0</v>
      </c>
      <c r="I594" s="14" t="b">
        <f>OR(LCI_Table[[#This Row],[Data Set]]="all",LCI_Table[[#This Row],[Data Set]]=SelectedDataSet)</f>
        <v>1</v>
      </c>
      <c r="J594" s="14" t="b">
        <f>OR(LCI_Table[[#This Row],[Technology]]="All",LCI_Table[[#This Row],[Technology]]=SelectedTechnology)</f>
        <v>0</v>
      </c>
      <c r="K594" s="14" t="b">
        <f>OR(LCI_Table[[#This Row],[Data Source]]="All",LCI_Table[[#This Row],[Data Source]]=SelectedDataSource)</f>
        <v>1</v>
      </c>
      <c r="L594" s="14" t="b">
        <f>TRUE</f>
        <v>1</v>
      </c>
      <c r="M594" s="14" t="b">
        <f>(LCI_Table[[#This Row],[Dev Notes]]="Do not display")</f>
        <v>0</v>
      </c>
      <c r="N594" s="14" t="b">
        <f>AND(LCI_Table[[#This Row],[Show Feedstock]:[Conditional]],NOT(LCI_Table[[#This Row],[Hide Row]]))</f>
        <v>0</v>
      </c>
      <c r="O594" s="14" t="b">
        <f>LCI_Table[[#This Row],[GREET1 Name Range]]=""</f>
        <v>0</v>
      </c>
      <c r="P594" s="14" t="s">
        <v>1448</v>
      </c>
      <c r="Q594" s="14" t="s">
        <v>641</v>
      </c>
      <c r="R594" s="14" t="s">
        <v>398</v>
      </c>
      <c r="S594" s="37" cm="1">
        <f t="array" aca="1" ref="S5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14.67440380325554</v>
      </c>
      <c r="T594" s="346" t="s">
        <v>2128</v>
      </c>
      <c r="U594" s="347">
        <f ca="1">S594/kg2g*Fuel_Specs!$E$31/Allocations!$O$61*MJ2mmBTU</f>
        <v>5.5170533920077813E-2</v>
      </c>
      <c r="V594" s="347">
        <v>14.67440380325554</v>
      </c>
      <c r="W594" s="347">
        <v>5.5170533920077813E-2</v>
      </c>
      <c r="X594" s="37" t="s">
        <v>5</v>
      </c>
      <c r="Y594" s="346" t="s">
        <v>416</v>
      </c>
      <c r="Z594" s="14" t="str">
        <f>IF(ISBLANK(LCI_Table[[#This Row],[Notes for user]])," ",LCI_Table[[#This Row],[Notes for user]])</f>
        <v xml:space="preserve"> </v>
      </c>
      <c r="AA594" s="14"/>
      <c r="AB594" s="14"/>
      <c r="AC594" s="346">
        <f ca="1">LCI_Table[[#This Row],[Default Calculated Value]]-LCI_Table[[#This Row],[Calculated Value]]</f>
        <v>0</v>
      </c>
    </row>
    <row r="595" spans="1:29" x14ac:dyDescent="0.3">
      <c r="A5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Solid wasteATJ-ethanolGREETGREETStandalone Facilities_Ethanol_ETJ_distributed_Natural_gasNatural gas</v>
      </c>
      <c r="B595" s="358" t="s">
        <v>366</v>
      </c>
      <c r="C595" s="358" t="s">
        <v>1964</v>
      </c>
      <c r="D595" s="358" t="s">
        <v>29</v>
      </c>
      <c r="E595" s="48" t="s">
        <v>29</v>
      </c>
      <c r="F595" s="14" t="s">
        <v>1592</v>
      </c>
      <c r="G595" s="14" t="b">
        <f>OR(LCI_Table[[#This Row],[Feedstock]]="All",LCI_Table[[#This Row],[Feedstock]]=SelectedFeedstock)</f>
        <v>0</v>
      </c>
      <c r="H595" s="14" t="b">
        <f>OR(LCI_Table[[#This Row],[Conversion]]="All",LCI_Table[[#This Row],[Conversion]]=SelectedConversion)</f>
        <v>0</v>
      </c>
      <c r="I595" s="14" t="b">
        <f>OR(LCI_Table[[#This Row],[Data Set]]="all",LCI_Table[[#This Row],[Data Set]]=SelectedDataSet)</f>
        <v>1</v>
      </c>
      <c r="J595" s="14" t="b">
        <f>OR(LCI_Table[[#This Row],[Technology]]="All",LCI_Table[[#This Row],[Technology]]=SelectedTechnology)</f>
        <v>0</v>
      </c>
      <c r="K595" s="14" t="b">
        <f>OR(LCI_Table[[#This Row],[Data Source]]="All",LCI_Table[[#This Row],[Data Source]]=SelectedDataSource)</f>
        <v>1</v>
      </c>
      <c r="L595" s="14" t="b">
        <f>TRUE</f>
        <v>1</v>
      </c>
      <c r="M595" s="14" t="b">
        <f>(LCI_Table[[#This Row],[Dev Notes]]="Do not display")</f>
        <v>0</v>
      </c>
      <c r="N595" s="14" t="b">
        <f>AND(LCI_Table[[#This Row],[Show Feedstock]:[Conditional]],NOT(LCI_Table[[#This Row],[Hide Row]]))</f>
        <v>0</v>
      </c>
      <c r="O595" s="14" t="b">
        <f>LCI_Table[[#This Row],[GREET1 Name Range]]=""</f>
        <v>0</v>
      </c>
      <c r="P595" s="358" t="s">
        <v>1448</v>
      </c>
      <c r="Q595" s="14" t="s">
        <v>643</v>
      </c>
      <c r="R595" s="358" t="s">
        <v>108</v>
      </c>
      <c r="S595" s="37" cm="1">
        <f t="array" aca="1" ref="S5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595" s="346" t="s">
        <v>2120</v>
      </c>
      <c r="U595" s="359">
        <f ca="1">S595/kg2g*Fuel_Specs!$E$79/Fuel_Specs!$B$79</f>
        <v>0</v>
      </c>
      <c r="V595" s="359">
        <v>0</v>
      </c>
      <c r="W595" s="359">
        <v>0</v>
      </c>
      <c r="X595" s="360" t="s">
        <v>351</v>
      </c>
      <c r="Y595" s="346" t="s">
        <v>416</v>
      </c>
      <c r="Z595" s="14" t="str">
        <f>IF(ISBLANK(LCI_Table[[#This Row],[Notes for user]])," ",LCI_Table[[#This Row],[Notes for user]])</f>
        <v xml:space="preserve"> </v>
      </c>
      <c r="AA595" s="358"/>
      <c r="AB595" s="358"/>
      <c r="AC595" s="346">
        <f ca="1">LCI_Table[[#This Row],[Default Calculated Value]]-LCI_Table[[#This Row],[Calculated Value]]</f>
        <v>0</v>
      </c>
    </row>
    <row r="596" spans="1:29" x14ac:dyDescent="0.3">
      <c r="A5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Solid wasteATJ-ethanolGREETGREETStandalone Facilities_Ethanol_ETJ_distributed_ElectricityGrid Electricity</v>
      </c>
      <c r="B596" s="14" t="s">
        <v>366</v>
      </c>
      <c r="C596" s="14" t="s">
        <v>1964</v>
      </c>
      <c r="D596" s="14" t="s">
        <v>29</v>
      </c>
      <c r="E596" s="48" t="s">
        <v>29</v>
      </c>
      <c r="F596" s="14" t="s">
        <v>1592</v>
      </c>
      <c r="G596" s="14" t="b">
        <f>OR(LCI_Table[[#This Row],[Feedstock]]="All",LCI_Table[[#This Row],[Feedstock]]=SelectedFeedstock)</f>
        <v>0</v>
      </c>
      <c r="H596" s="14" t="b">
        <f>OR(LCI_Table[[#This Row],[Conversion]]="All",LCI_Table[[#This Row],[Conversion]]=SelectedConversion)</f>
        <v>0</v>
      </c>
      <c r="I596" s="14" t="b">
        <f>OR(LCI_Table[[#This Row],[Data Set]]="all",LCI_Table[[#This Row],[Data Set]]=SelectedDataSet)</f>
        <v>1</v>
      </c>
      <c r="J596" s="14" t="b">
        <f>OR(LCI_Table[[#This Row],[Technology]]="All",LCI_Table[[#This Row],[Technology]]=SelectedTechnology)</f>
        <v>0</v>
      </c>
      <c r="K596" s="14" t="b">
        <f>OR(LCI_Table[[#This Row],[Data Source]]="All",LCI_Table[[#This Row],[Data Source]]=SelectedDataSource)</f>
        <v>1</v>
      </c>
      <c r="L596" s="14" t="b">
        <f>TRUE</f>
        <v>1</v>
      </c>
      <c r="M596" s="14" t="b">
        <f>(LCI_Table[[#This Row],[Dev Notes]]="Do not display")</f>
        <v>0</v>
      </c>
      <c r="N596" s="14" t="b">
        <f>AND(LCI_Table[[#This Row],[Show Feedstock]:[Conditional]],NOT(LCI_Table[[#This Row],[Hide Row]]))</f>
        <v>0</v>
      </c>
      <c r="O596" s="14" t="b">
        <f>LCI_Table[[#This Row],[GREET1 Name Range]]=""</f>
        <v>0</v>
      </c>
      <c r="P596" s="14" t="s">
        <v>1448</v>
      </c>
      <c r="Q596" s="14" t="s">
        <v>640</v>
      </c>
      <c r="R596" s="14" t="s">
        <v>1684</v>
      </c>
      <c r="S596" s="37" cm="1">
        <f t="array" aca="1" ref="S5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7.3884407786736448</v>
      </c>
      <c r="T596" s="346" t="s">
        <v>2121</v>
      </c>
      <c r="U596" s="347">
        <f ca="1">S596/Allocations!$O$61*MJ2mmBTU</f>
        <v>9.2964882515629704E-3</v>
      </c>
      <c r="V596" s="347">
        <v>7.3884407786736448</v>
      </c>
      <c r="W596" s="347">
        <v>9.2964882515629704E-3</v>
      </c>
      <c r="X596" s="37" t="s">
        <v>51</v>
      </c>
      <c r="Y596" s="346" t="s">
        <v>416</v>
      </c>
      <c r="Z596" s="14" t="str">
        <f>IF(ISBLANK(LCI_Table[[#This Row],[Notes for user]])," ",LCI_Table[[#This Row],[Notes for user]])</f>
        <v xml:space="preserve"> </v>
      </c>
      <c r="AA596" s="14"/>
      <c r="AB596" s="14"/>
      <c r="AC596" s="346">
        <f ca="1">LCI_Table[[#This Row],[Default Calculated Value]]-LCI_Table[[#This Row],[Calculated Value]]</f>
        <v>0</v>
      </c>
    </row>
    <row r="597" spans="1:29" x14ac:dyDescent="0.3">
      <c r="A5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Solid wasteATJ-ethanolGREETGREETStandalone Facilities_Ethanol_ETJ_distributed_HydrogenHydrogen</v>
      </c>
      <c r="B597" s="14" t="s">
        <v>366</v>
      </c>
      <c r="C597" s="14" t="s">
        <v>1964</v>
      </c>
      <c r="D597" s="14" t="s">
        <v>29</v>
      </c>
      <c r="E597" s="48" t="s">
        <v>29</v>
      </c>
      <c r="F597" s="14" t="s">
        <v>1592</v>
      </c>
      <c r="G597" s="14" t="b">
        <f>OR(LCI_Table[[#This Row],[Feedstock]]="All",LCI_Table[[#This Row],[Feedstock]]=SelectedFeedstock)</f>
        <v>0</v>
      </c>
      <c r="H597" s="14" t="b">
        <f>OR(LCI_Table[[#This Row],[Conversion]]="All",LCI_Table[[#This Row],[Conversion]]=SelectedConversion)</f>
        <v>0</v>
      </c>
      <c r="I597" s="14" t="b">
        <f>OR(LCI_Table[[#This Row],[Data Set]]="all",LCI_Table[[#This Row],[Data Set]]=SelectedDataSet)</f>
        <v>1</v>
      </c>
      <c r="J597" s="14" t="b">
        <f>OR(LCI_Table[[#This Row],[Technology]]="All",LCI_Table[[#This Row],[Technology]]=SelectedTechnology)</f>
        <v>0</v>
      </c>
      <c r="K597" s="14" t="b">
        <f>OR(LCI_Table[[#This Row],[Data Source]]="All",LCI_Table[[#This Row],[Data Source]]=SelectedDataSource)</f>
        <v>1</v>
      </c>
      <c r="L597" s="14" t="b">
        <f>TRUE</f>
        <v>1</v>
      </c>
      <c r="M597" s="14" t="b">
        <f>(LCI_Table[[#This Row],[Dev Notes]]="Do not display")</f>
        <v>0</v>
      </c>
      <c r="N597" s="14" t="b">
        <f>AND(LCI_Table[[#This Row],[Show Feedstock]:[Conditional]],NOT(LCI_Table[[#This Row],[Hide Row]]))</f>
        <v>0</v>
      </c>
      <c r="O597" s="14" t="b">
        <f>LCI_Table[[#This Row],[GREET1 Name Range]]=""</f>
        <v>0</v>
      </c>
      <c r="P597" s="14" t="s">
        <v>1448</v>
      </c>
      <c r="Q597" s="14" t="s">
        <v>642</v>
      </c>
      <c r="R597" s="14" t="s">
        <v>73</v>
      </c>
      <c r="S597" s="37" cm="1">
        <f t="array" aca="1" ref="S5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210.24598998652542</v>
      </c>
      <c r="T597" s="346" t="s">
        <v>2120</v>
      </c>
      <c r="U597" s="347">
        <f ca="1">S597/kg2g*Fuel_Specs!$E$81/Allocations!$O$61*MJ2mmBTU</f>
        <v>6.745808835334578E-4</v>
      </c>
      <c r="V597" s="347">
        <v>210.24598998652542</v>
      </c>
      <c r="W597" s="347">
        <v>6.745808835334578E-4</v>
      </c>
      <c r="X597" s="37" t="s">
        <v>351</v>
      </c>
      <c r="Y597" s="346" t="s">
        <v>416</v>
      </c>
      <c r="Z597" s="14" t="str">
        <f>IF(ISBLANK(LCI_Table[[#This Row],[Notes for user]])," ",LCI_Table[[#This Row],[Notes for user]])</f>
        <v xml:space="preserve"> </v>
      </c>
      <c r="AA597" s="14"/>
      <c r="AB597" s="14"/>
      <c r="AC597" s="346">
        <f ca="1">LCI_Table[[#This Row],[Default Calculated Value]]-LCI_Table[[#This Row],[Calculated Value]]</f>
        <v>0</v>
      </c>
    </row>
    <row r="598" spans="1:29" x14ac:dyDescent="0.3">
      <c r="A5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Solid wasteATJ-ethanolGREETGREETStandalone Facilities_Ethanol_ETJ_distributed_CatalystsCatalysts</v>
      </c>
      <c r="B598" s="14" t="s">
        <v>366</v>
      </c>
      <c r="C598" s="14" t="s">
        <v>1964</v>
      </c>
      <c r="D598" s="14" t="s">
        <v>29</v>
      </c>
      <c r="E598" s="48" t="s">
        <v>29</v>
      </c>
      <c r="F598" s="14" t="s">
        <v>1592</v>
      </c>
      <c r="G598" s="14" t="b">
        <f>OR(LCI_Table[[#This Row],[Feedstock]]="All",LCI_Table[[#This Row],[Feedstock]]=SelectedFeedstock)</f>
        <v>0</v>
      </c>
      <c r="H598" s="14" t="b">
        <f>OR(LCI_Table[[#This Row],[Conversion]]="All",LCI_Table[[#This Row],[Conversion]]=SelectedConversion)</f>
        <v>0</v>
      </c>
      <c r="I598" s="14" t="b">
        <f>OR(LCI_Table[[#This Row],[Data Set]]="all",LCI_Table[[#This Row],[Data Set]]=SelectedDataSet)</f>
        <v>1</v>
      </c>
      <c r="J598" s="14" t="b">
        <f>OR(LCI_Table[[#This Row],[Technology]]="All",LCI_Table[[#This Row],[Technology]]=SelectedTechnology)</f>
        <v>0</v>
      </c>
      <c r="K598" s="14" t="b">
        <f>OR(LCI_Table[[#This Row],[Data Source]]="All",LCI_Table[[#This Row],[Data Source]]=SelectedDataSource)</f>
        <v>1</v>
      </c>
      <c r="L598" s="14" t="b">
        <f>TRUE</f>
        <v>1</v>
      </c>
      <c r="M598" s="14" t="b">
        <f>(LCI_Table[[#This Row],[Dev Notes]]="Do not display")</f>
        <v>0</v>
      </c>
      <c r="N598" s="14" t="b">
        <f>AND(LCI_Table[[#This Row],[Show Feedstock]:[Conditional]],NOT(LCI_Table[[#This Row],[Hide Row]]))</f>
        <v>0</v>
      </c>
      <c r="O598" s="14" t="b">
        <f>LCI_Table[[#This Row],[GREET1 Name Range]]=""</f>
        <v>0</v>
      </c>
      <c r="P598" s="14" t="s">
        <v>1448</v>
      </c>
      <c r="Q598" s="14" t="s">
        <v>639</v>
      </c>
      <c r="R598" s="14" t="s">
        <v>142</v>
      </c>
      <c r="S598" s="37" cm="1">
        <f t="array" aca="1" ref="S5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0.18732924276995219</v>
      </c>
      <c r="T598" s="346" t="s">
        <v>2119</v>
      </c>
      <c r="U598" s="347">
        <f ca="1">S598/kg2lb/Allocations!$O$61*MJ2mmBTU</f>
        <v>1.0691470606945368E-4</v>
      </c>
      <c r="V598" s="347">
        <v>0.18732924276995219</v>
      </c>
      <c r="W598" s="347">
        <v>1.0691470606945368E-4</v>
      </c>
      <c r="X598" s="37" t="s">
        <v>12</v>
      </c>
      <c r="Y598" s="346" t="s">
        <v>416</v>
      </c>
      <c r="Z598" s="14" t="str">
        <f>IF(ISBLANK(LCI_Table[[#This Row],[Notes for user]])," ",LCI_Table[[#This Row],[Notes for user]])</f>
        <v xml:space="preserve"> </v>
      </c>
      <c r="AA598" s="14"/>
      <c r="AB598" s="14"/>
      <c r="AC598" s="346">
        <f ca="1">LCI_Table[[#This Row],[Default Calculated Value]]-LCI_Table[[#This Row],[Calculated Value]]</f>
        <v>0</v>
      </c>
    </row>
    <row r="599" spans="1:29" x14ac:dyDescent="0.3">
      <c r="A5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Solid wasteATJ-ethanolGREETGREETStandalone Facilities_Ethanol_ETJ_distributed_WaterWater</v>
      </c>
      <c r="B599" s="14" t="s">
        <v>366</v>
      </c>
      <c r="C599" s="14" t="s">
        <v>1964</v>
      </c>
      <c r="D599" s="14" t="s">
        <v>29</v>
      </c>
      <c r="E599" s="48" t="s">
        <v>29</v>
      </c>
      <c r="F599" s="14" t="s">
        <v>1592</v>
      </c>
      <c r="G599" s="14" t="b">
        <f>OR(LCI_Table[[#This Row],[Feedstock]]="All",LCI_Table[[#This Row],[Feedstock]]=SelectedFeedstock)</f>
        <v>0</v>
      </c>
      <c r="H599" s="14" t="b">
        <f>OR(LCI_Table[[#This Row],[Conversion]]="All",LCI_Table[[#This Row],[Conversion]]=SelectedConversion)</f>
        <v>0</v>
      </c>
      <c r="I599" s="14" t="b">
        <f>OR(LCI_Table[[#This Row],[Data Set]]="all",LCI_Table[[#This Row],[Data Set]]=SelectedDataSet)</f>
        <v>1</v>
      </c>
      <c r="J599" s="14" t="b">
        <f>OR(LCI_Table[[#This Row],[Technology]]="All",LCI_Table[[#This Row],[Technology]]=SelectedTechnology)</f>
        <v>0</v>
      </c>
      <c r="K599" s="14" t="b">
        <f>OR(LCI_Table[[#This Row],[Data Source]]="All",LCI_Table[[#This Row],[Data Source]]=SelectedDataSource)</f>
        <v>1</v>
      </c>
      <c r="L599" s="14" t="b">
        <f>TRUE</f>
        <v>1</v>
      </c>
      <c r="M599" s="14" t="b">
        <f>(LCI_Table[[#This Row],[Dev Notes]]="Do not display")</f>
        <v>0</v>
      </c>
      <c r="N599" s="14" t="b">
        <f>AND(LCI_Table[[#This Row],[Show Feedstock]:[Conditional]],NOT(LCI_Table[[#This Row],[Hide Row]]))</f>
        <v>0</v>
      </c>
      <c r="O599" s="14" t="b">
        <f>LCI_Table[[#This Row],[GREET1 Name Range]]=""</f>
        <v>0</v>
      </c>
      <c r="P599" s="14" t="s">
        <v>1448</v>
      </c>
      <c r="Q599" s="14" t="s">
        <v>644</v>
      </c>
      <c r="R599" s="14" t="s">
        <v>146</v>
      </c>
      <c r="S599" s="37" cm="1">
        <f t="array" aca="1" ref="S5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11.922973142841251</v>
      </c>
      <c r="T599" s="346" t="s">
        <v>2128</v>
      </c>
      <c r="U599" s="347">
        <f ca="1">S599/kg2lb*Fuel_Specs!$K$4/Allocations!$O$61*MJ2mmBTU</f>
        <v>5.6621519216734709E-2</v>
      </c>
      <c r="V599" s="347">
        <v>11.922973142841251</v>
      </c>
      <c r="W599" s="347">
        <v>5.6621519216734709E-2</v>
      </c>
      <c r="X599" s="37" t="s">
        <v>5</v>
      </c>
      <c r="Y599" s="346" t="s">
        <v>416</v>
      </c>
      <c r="Z599" s="14" t="str">
        <f>IF(ISBLANK(LCI_Table[[#This Row],[Notes for user]])," ",LCI_Table[[#This Row],[Notes for user]])</f>
        <v xml:space="preserve"> </v>
      </c>
      <c r="AA599" s="14"/>
      <c r="AB599" s="14"/>
      <c r="AC599" s="346">
        <f ca="1">LCI_Table[[#This Row],[Default Calculated Value]]-LCI_Table[[#This Row],[Calculated Value]]</f>
        <v>0</v>
      </c>
    </row>
    <row r="600" spans="1:29" x14ac:dyDescent="0.3">
      <c r="A6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stoverBiological STJGREETGREET(blank)_Yield_Collection</v>
      </c>
      <c r="B600" s="48" t="s">
        <v>135</v>
      </c>
      <c r="C600" s="48" t="s">
        <v>139</v>
      </c>
      <c r="D600" s="48" t="s">
        <v>29</v>
      </c>
      <c r="E600" s="48" t="s">
        <v>29</v>
      </c>
      <c r="F600" s="48" t="s">
        <v>31</v>
      </c>
      <c r="G600" s="14" t="b">
        <f>OR(LCI_Table[[#This Row],[Feedstock]]="All",LCI_Table[[#This Row],[Feedstock]]=SelectedFeedstock)</f>
        <v>0</v>
      </c>
      <c r="H600" s="14" t="b">
        <f>OR(LCI_Table[[#This Row],[Conversion]]="All",LCI_Table[[#This Row],[Conversion]]=SelectedConversion)</f>
        <v>0</v>
      </c>
      <c r="I600" s="14" t="b">
        <f>OR(LCI_Table[[#This Row],[Data Set]]="all",LCI_Table[[#This Row],[Data Set]]=SelectedDataSet)</f>
        <v>1</v>
      </c>
      <c r="J600" s="14" t="b">
        <f>OR(LCI_Table[[#This Row],[Technology]]="All",LCI_Table[[#This Row],[Technology]]=SelectedTechnology)</f>
        <v>1</v>
      </c>
      <c r="K600" s="14" t="b">
        <f>OR(LCI_Table[[#This Row],[Data Source]]="All",LCI_Table[[#This Row],[Data Source]]=SelectedDataSource)</f>
        <v>1</v>
      </c>
      <c r="L600" s="14" t="b">
        <f>TRUE</f>
        <v>1</v>
      </c>
      <c r="M600" s="14" t="b">
        <f>(LCI_Table[[#This Row],[Dev Notes]]="Do not display")</f>
        <v>0</v>
      </c>
      <c r="N600" s="14" t="b">
        <f>AND(LCI_Table[[#This Row],[Show Feedstock]:[Conditional]],NOT(LCI_Table[[#This Row],[Hide Row]]))</f>
        <v>0</v>
      </c>
      <c r="O600" s="14" t="b">
        <f>LCI_Table[[#This Row],[GREET1 Name Range]]=""</f>
        <v>1</v>
      </c>
      <c r="P600" s="48" t="s">
        <v>147</v>
      </c>
      <c r="Q600" s="14" t="s">
        <v>361</v>
      </c>
      <c r="R600" s="48" t="s">
        <v>200</v>
      </c>
      <c r="S600" s="37" cm="1">
        <f t="array" aca="1" ref="S6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1.2844800000000001</v>
      </c>
      <c r="T600" s="346" t="s">
        <v>2116</v>
      </c>
      <c r="U600" s="344"/>
      <c r="V600" s="344">
        <v>1.2844800000000001</v>
      </c>
      <c r="W600" s="344"/>
      <c r="X600" s="48" t="s">
        <v>55</v>
      </c>
      <c r="Y600" s="346" t="s">
        <v>413</v>
      </c>
      <c r="Z600" s="14" t="str">
        <f>IF(ISBLANK(LCI_Table[[#This Row],[Notes for user]])," ",LCI_Table[[#This Row],[Notes for user]])</f>
        <v xml:space="preserve"> </v>
      </c>
      <c r="AA600" s="48"/>
      <c r="AB600" s="345"/>
      <c r="AC600" s="346">
        <f>LCI_Table[[#This Row],[Default Calculated Value]]-LCI_Table[[#This Row],[Calculated Value]]</f>
        <v>0</v>
      </c>
    </row>
    <row r="601" spans="1:29" x14ac:dyDescent="0.3">
      <c r="A6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STJGREETGREET(blank)_CornStover_Farming_Nitrogen_fertilizerNitrogen fertilizer</v>
      </c>
      <c r="B601" s="14" t="s">
        <v>135</v>
      </c>
      <c r="C601" s="14" t="s">
        <v>139</v>
      </c>
      <c r="D601" s="14" t="s">
        <v>29</v>
      </c>
      <c r="E601" s="48" t="s">
        <v>29</v>
      </c>
      <c r="F601" s="14" t="s">
        <v>31</v>
      </c>
      <c r="G601" s="14" t="b">
        <f>OR(LCI_Table[[#This Row],[Feedstock]]="All",LCI_Table[[#This Row],[Feedstock]]=SelectedFeedstock)</f>
        <v>0</v>
      </c>
      <c r="H601" s="14" t="b">
        <f>OR(LCI_Table[[#This Row],[Conversion]]="All",LCI_Table[[#This Row],[Conversion]]=SelectedConversion)</f>
        <v>0</v>
      </c>
      <c r="I601" s="14" t="b">
        <f>OR(LCI_Table[[#This Row],[Data Set]]="all",LCI_Table[[#This Row],[Data Set]]=SelectedDataSet)</f>
        <v>1</v>
      </c>
      <c r="J601" s="14" t="b">
        <f>OR(LCI_Table[[#This Row],[Technology]]="All",LCI_Table[[#This Row],[Technology]]=SelectedTechnology)</f>
        <v>1</v>
      </c>
      <c r="K601" s="14" t="b">
        <f>OR(LCI_Table[[#This Row],[Data Source]]="All",LCI_Table[[#This Row],[Data Source]]=SelectedDataSource)</f>
        <v>1</v>
      </c>
      <c r="L601" s="14" t="b">
        <f>TRUE</f>
        <v>1</v>
      </c>
      <c r="M601" s="14" t="b">
        <f>(LCI_Table[[#This Row],[Dev Notes]]="Do not display")</f>
        <v>0</v>
      </c>
      <c r="N601" s="14" t="b">
        <f>AND(LCI_Table[[#This Row],[Show Feedstock]:[Conditional]],NOT(LCI_Table[[#This Row],[Hide Row]]))</f>
        <v>0</v>
      </c>
      <c r="O601" s="14" t="b">
        <f>LCI_Table[[#This Row],[GREET1 Name Range]]=""</f>
        <v>0</v>
      </c>
      <c r="P601" s="14" t="s">
        <v>147</v>
      </c>
      <c r="Q601" s="14" t="s">
        <v>614</v>
      </c>
      <c r="R601" s="14" t="s">
        <v>111</v>
      </c>
      <c r="S601" s="37" cm="1">
        <f t="array" aca="1" ref="S6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9.0130548121262457</v>
      </c>
      <c r="T601" s="346" t="s">
        <v>1485</v>
      </c>
      <c r="U601" s="347">
        <f ca="1">S601/S600*lb2g</f>
        <v>3182.8077456809356</v>
      </c>
      <c r="V601" s="347">
        <v>9.0130548121262457</v>
      </c>
      <c r="W601" s="347">
        <v>3182.8077456809356</v>
      </c>
      <c r="X601" s="14" t="s">
        <v>12</v>
      </c>
      <c r="Y601" s="346" t="s">
        <v>413</v>
      </c>
      <c r="Z601" s="14" t="str">
        <f>IF(ISBLANK(LCI_Table[[#This Row],[Notes for user]])," ",LCI_Table[[#This Row],[Notes for user]])</f>
        <v xml:space="preserve"> </v>
      </c>
      <c r="AA601" s="14"/>
      <c r="AB601" s="14"/>
      <c r="AC601" s="346">
        <f ca="1">LCI_Table[[#This Row],[Default Calculated Value]]-LCI_Table[[#This Row],[Calculated Value]]</f>
        <v>0</v>
      </c>
    </row>
    <row r="602" spans="1:29" x14ac:dyDescent="0.3">
      <c r="A6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STJGREETGREET(blank)_CornStover_Farming_P2O5P2O5</v>
      </c>
      <c r="B602" s="14" t="s">
        <v>135</v>
      </c>
      <c r="C602" s="14" t="s">
        <v>139</v>
      </c>
      <c r="D602" s="14" t="s">
        <v>29</v>
      </c>
      <c r="E602" s="48" t="s">
        <v>29</v>
      </c>
      <c r="F602" s="14" t="s">
        <v>31</v>
      </c>
      <c r="G602" s="14" t="b">
        <f>OR(LCI_Table[[#This Row],[Feedstock]]="All",LCI_Table[[#This Row],[Feedstock]]=SelectedFeedstock)</f>
        <v>0</v>
      </c>
      <c r="H602" s="14" t="b">
        <f>OR(LCI_Table[[#This Row],[Conversion]]="All",LCI_Table[[#This Row],[Conversion]]=SelectedConversion)</f>
        <v>0</v>
      </c>
      <c r="I602" s="14" t="b">
        <f>OR(LCI_Table[[#This Row],[Data Set]]="all",LCI_Table[[#This Row],[Data Set]]=SelectedDataSet)</f>
        <v>1</v>
      </c>
      <c r="J602" s="14" t="b">
        <f>OR(LCI_Table[[#This Row],[Technology]]="All",LCI_Table[[#This Row],[Technology]]=SelectedTechnology)</f>
        <v>1</v>
      </c>
      <c r="K602" s="14" t="b">
        <f>OR(LCI_Table[[#This Row],[Data Source]]="All",LCI_Table[[#This Row],[Data Source]]=SelectedDataSource)</f>
        <v>1</v>
      </c>
      <c r="L602" s="14" t="b">
        <f>TRUE</f>
        <v>1</v>
      </c>
      <c r="M602" s="14" t="b">
        <f>(LCI_Table[[#This Row],[Dev Notes]]="Do not display")</f>
        <v>0</v>
      </c>
      <c r="N602" s="14" t="b">
        <f>AND(LCI_Table[[#This Row],[Show Feedstock]:[Conditional]],NOT(LCI_Table[[#This Row],[Hide Row]]))</f>
        <v>0</v>
      </c>
      <c r="O602" s="14" t="b">
        <f>LCI_Table[[#This Row],[GREET1 Name Range]]=""</f>
        <v>0</v>
      </c>
      <c r="P602" s="14" t="s">
        <v>147</v>
      </c>
      <c r="Q602" s="14" t="s">
        <v>615</v>
      </c>
      <c r="R602" s="14" t="s">
        <v>112</v>
      </c>
      <c r="S602" s="37" cm="1">
        <f t="array" aca="1" ref="S6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6.4378962943758911</v>
      </c>
      <c r="T602" s="346" t="s">
        <v>1485</v>
      </c>
      <c r="U602" s="347">
        <f ca="1">S602/S600*lb2g</f>
        <v>2273.434104057812</v>
      </c>
      <c r="V602" s="347">
        <v>6.4378962943758911</v>
      </c>
      <c r="W602" s="347">
        <v>2273.434104057812</v>
      </c>
      <c r="X602" s="14" t="s">
        <v>12</v>
      </c>
      <c r="Y602" s="346" t="s">
        <v>413</v>
      </c>
      <c r="Z602" s="14" t="str">
        <f>IF(ISBLANK(LCI_Table[[#This Row],[Notes for user]])," ",LCI_Table[[#This Row],[Notes for user]])</f>
        <v xml:space="preserve"> </v>
      </c>
      <c r="AA602" s="14"/>
      <c r="AB602" s="14"/>
      <c r="AC602" s="346">
        <f ca="1">LCI_Table[[#This Row],[Default Calculated Value]]-LCI_Table[[#This Row],[Calculated Value]]</f>
        <v>0</v>
      </c>
    </row>
    <row r="603" spans="1:29" x14ac:dyDescent="0.3">
      <c r="A6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STJGREETGREET(blank)_CornStover_Farming_K2OK2O</v>
      </c>
      <c r="B603" s="14" t="s">
        <v>135</v>
      </c>
      <c r="C603" s="14" t="s">
        <v>139</v>
      </c>
      <c r="D603" s="14" t="s">
        <v>29</v>
      </c>
      <c r="E603" s="48" t="s">
        <v>29</v>
      </c>
      <c r="F603" s="14" t="s">
        <v>31</v>
      </c>
      <c r="G603" s="14" t="b">
        <f>OR(LCI_Table[[#This Row],[Feedstock]]="All",LCI_Table[[#This Row],[Feedstock]]=SelectedFeedstock)</f>
        <v>0</v>
      </c>
      <c r="H603" s="14" t="b">
        <f>OR(LCI_Table[[#This Row],[Conversion]]="All",LCI_Table[[#This Row],[Conversion]]=SelectedConversion)</f>
        <v>0</v>
      </c>
      <c r="I603" s="14" t="b">
        <f>OR(LCI_Table[[#This Row],[Data Set]]="all",LCI_Table[[#This Row],[Data Set]]=SelectedDataSet)</f>
        <v>1</v>
      </c>
      <c r="J603" s="14" t="b">
        <f>OR(LCI_Table[[#This Row],[Technology]]="All",LCI_Table[[#This Row],[Technology]]=SelectedTechnology)</f>
        <v>1</v>
      </c>
      <c r="K603" s="14" t="b">
        <f>OR(LCI_Table[[#This Row],[Data Source]]="All",LCI_Table[[#This Row],[Data Source]]=SelectedDataSource)</f>
        <v>1</v>
      </c>
      <c r="L603" s="14" t="b">
        <f>TRUE</f>
        <v>1</v>
      </c>
      <c r="M603" s="14" t="b">
        <f>(LCI_Table[[#This Row],[Dev Notes]]="Do not display")</f>
        <v>0</v>
      </c>
      <c r="N603" s="14" t="b">
        <f>AND(LCI_Table[[#This Row],[Show Feedstock]:[Conditional]],NOT(LCI_Table[[#This Row],[Hide Row]]))</f>
        <v>0</v>
      </c>
      <c r="O603" s="14" t="b">
        <f>LCI_Table[[#This Row],[GREET1 Name Range]]=""</f>
        <v>0</v>
      </c>
      <c r="P603" s="14" t="s">
        <v>147</v>
      </c>
      <c r="Q603" s="14" t="s">
        <v>611</v>
      </c>
      <c r="R603" s="14" t="s">
        <v>113</v>
      </c>
      <c r="S603" s="37" cm="1">
        <f t="array" aca="1" ref="S6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38.627377766255343</v>
      </c>
      <c r="T603" s="346" t="s">
        <v>1485</v>
      </c>
      <c r="U603" s="347">
        <f ca="1">S603/S600*lb2g</f>
        <v>13640.60462434687</v>
      </c>
      <c r="V603" s="347">
        <v>38.627377766255343</v>
      </c>
      <c r="W603" s="347">
        <v>13640.60462434687</v>
      </c>
      <c r="X603" s="14" t="s">
        <v>12</v>
      </c>
      <c r="Y603" s="346" t="s">
        <v>413</v>
      </c>
      <c r="Z603" s="14" t="str">
        <f>IF(ISBLANK(LCI_Table[[#This Row],[Notes for user]])," ",LCI_Table[[#This Row],[Notes for user]])</f>
        <v xml:space="preserve"> </v>
      </c>
      <c r="AA603" s="14"/>
      <c r="AB603" s="14"/>
      <c r="AC603" s="346">
        <f ca="1">LCI_Table[[#This Row],[Default Calculated Value]]-LCI_Table[[#This Row],[Calculated Value]]</f>
        <v>0</v>
      </c>
    </row>
    <row r="604" spans="1:29" x14ac:dyDescent="0.3">
      <c r="A6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STJGREETGREET(blank)_CornStover_Farming_HerbicidesHerbicides</v>
      </c>
      <c r="B604" s="14" t="s">
        <v>135</v>
      </c>
      <c r="C604" s="14" t="s">
        <v>139</v>
      </c>
      <c r="D604" s="14" t="s">
        <v>29</v>
      </c>
      <c r="E604" s="48" t="s">
        <v>29</v>
      </c>
      <c r="F604" s="14" t="s">
        <v>31</v>
      </c>
      <c r="G604" s="14" t="b">
        <f>OR(LCI_Table[[#This Row],[Feedstock]]="All",LCI_Table[[#This Row],[Feedstock]]=SelectedFeedstock)</f>
        <v>0</v>
      </c>
      <c r="H604" s="14" t="b">
        <f>OR(LCI_Table[[#This Row],[Conversion]]="All",LCI_Table[[#This Row],[Conversion]]=SelectedConversion)</f>
        <v>0</v>
      </c>
      <c r="I604" s="14" t="b">
        <f>OR(LCI_Table[[#This Row],[Data Set]]="all",LCI_Table[[#This Row],[Data Set]]=SelectedDataSet)</f>
        <v>1</v>
      </c>
      <c r="J604" s="14" t="b">
        <f>OR(LCI_Table[[#This Row],[Technology]]="All",LCI_Table[[#This Row],[Technology]]=SelectedTechnology)</f>
        <v>1</v>
      </c>
      <c r="K604" s="14" t="b">
        <f>OR(LCI_Table[[#This Row],[Data Source]]="All",LCI_Table[[#This Row],[Data Source]]=SelectedDataSource)</f>
        <v>1</v>
      </c>
      <c r="L604" s="14" t="b">
        <f>TRUE</f>
        <v>1</v>
      </c>
      <c r="M604" s="14" t="b">
        <f>(LCI_Table[[#This Row],[Dev Notes]]="Do not display")</f>
        <v>0</v>
      </c>
      <c r="N604" s="14" t="b">
        <f>AND(LCI_Table[[#This Row],[Show Feedstock]:[Conditional]],NOT(LCI_Table[[#This Row],[Hide Row]]))</f>
        <v>0</v>
      </c>
      <c r="O604" s="14" t="b">
        <f>LCI_Table[[#This Row],[GREET1 Name Range]]=""</f>
        <v>0</v>
      </c>
      <c r="P604" s="14" t="s">
        <v>147</v>
      </c>
      <c r="Q604" s="14" t="s">
        <v>609</v>
      </c>
      <c r="R604" s="14" t="s">
        <v>356</v>
      </c>
      <c r="S604" s="37" cm="1">
        <f t="array" aca="1" ref="S6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04" s="346" t="s">
        <v>1485</v>
      </c>
      <c r="U604" s="347">
        <f ca="1">S604/S600*lb2g</f>
        <v>0</v>
      </c>
      <c r="V604" s="347">
        <v>0</v>
      </c>
      <c r="W604" s="347">
        <v>0</v>
      </c>
      <c r="X604" s="14" t="s">
        <v>12</v>
      </c>
      <c r="Y604" s="346" t="s">
        <v>413</v>
      </c>
      <c r="Z604" s="14" t="str">
        <f>IF(ISBLANK(LCI_Table[[#This Row],[Notes for user]])," ",LCI_Table[[#This Row],[Notes for user]])</f>
        <v xml:space="preserve"> </v>
      </c>
      <c r="AA604" s="14"/>
      <c r="AB604" s="14"/>
      <c r="AC604" s="346">
        <f ca="1">LCI_Table[[#This Row],[Default Calculated Value]]-LCI_Table[[#This Row],[Calculated Value]]</f>
        <v>0</v>
      </c>
    </row>
    <row r="605" spans="1:29" x14ac:dyDescent="0.3">
      <c r="A6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STJGREETGREET(blank)_CornStover_Farming_InsecticideInsecticide</v>
      </c>
      <c r="B605" s="14" t="s">
        <v>135</v>
      </c>
      <c r="C605" s="14" t="s">
        <v>139</v>
      </c>
      <c r="D605" s="14" t="s">
        <v>29</v>
      </c>
      <c r="E605" s="48" t="s">
        <v>29</v>
      </c>
      <c r="F605" s="14" t="s">
        <v>31</v>
      </c>
      <c r="G605" s="14" t="b">
        <f>OR(LCI_Table[[#This Row],[Feedstock]]="All",LCI_Table[[#This Row],[Feedstock]]=SelectedFeedstock)</f>
        <v>0</v>
      </c>
      <c r="H605" s="14" t="b">
        <f>OR(LCI_Table[[#This Row],[Conversion]]="All",LCI_Table[[#This Row],[Conversion]]=SelectedConversion)</f>
        <v>0</v>
      </c>
      <c r="I605" s="14" t="b">
        <f>OR(LCI_Table[[#This Row],[Data Set]]="all",LCI_Table[[#This Row],[Data Set]]=SelectedDataSet)</f>
        <v>1</v>
      </c>
      <c r="J605" s="14" t="b">
        <f>OR(LCI_Table[[#This Row],[Technology]]="All",LCI_Table[[#This Row],[Technology]]=SelectedTechnology)</f>
        <v>1</v>
      </c>
      <c r="K605" s="14" t="b">
        <f>OR(LCI_Table[[#This Row],[Data Source]]="All",LCI_Table[[#This Row],[Data Source]]=SelectedDataSource)</f>
        <v>1</v>
      </c>
      <c r="L605" s="14" t="b">
        <f>TRUE</f>
        <v>1</v>
      </c>
      <c r="M605" s="14" t="b">
        <f>(LCI_Table[[#This Row],[Dev Notes]]="Do not display")</f>
        <v>0</v>
      </c>
      <c r="N605" s="14" t="b">
        <f>AND(LCI_Table[[#This Row],[Show Feedstock]:[Conditional]],NOT(LCI_Table[[#This Row],[Hide Row]]))</f>
        <v>0</v>
      </c>
      <c r="O605" s="14" t="b">
        <f>LCI_Table[[#This Row],[GREET1 Name Range]]=""</f>
        <v>0</v>
      </c>
      <c r="P605" s="14" t="s">
        <v>147</v>
      </c>
      <c r="Q605" s="14" t="s">
        <v>610</v>
      </c>
      <c r="R605" s="14" t="s">
        <v>114</v>
      </c>
      <c r="S605" s="37" cm="1">
        <f t="array" aca="1" ref="S6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05" s="346" t="s">
        <v>1485</v>
      </c>
      <c r="U605" s="347">
        <f ca="1">S605/S600*lb2g</f>
        <v>0</v>
      </c>
      <c r="V605" s="347">
        <v>0</v>
      </c>
      <c r="W605" s="347">
        <v>0</v>
      </c>
      <c r="X605" s="14" t="s">
        <v>12</v>
      </c>
      <c r="Y605" s="346" t="s">
        <v>413</v>
      </c>
      <c r="Z605" s="14" t="str">
        <f>IF(ISBLANK(LCI_Table[[#This Row],[Notes for user]])," ",LCI_Table[[#This Row],[Notes for user]])</f>
        <v xml:space="preserve"> </v>
      </c>
      <c r="AA605" s="14"/>
      <c r="AB605" s="14"/>
      <c r="AC605" s="346">
        <f ca="1">LCI_Table[[#This Row],[Default Calculated Value]]-LCI_Table[[#This Row],[Calculated Value]]</f>
        <v>0</v>
      </c>
    </row>
    <row r="606" spans="1:29" x14ac:dyDescent="0.3">
      <c r="A6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STJGREETGREET(blank)_CornStover_Farming_HDPEHDPE</v>
      </c>
      <c r="B606" s="14" t="s">
        <v>135</v>
      </c>
      <c r="C606" s="14" t="s">
        <v>139</v>
      </c>
      <c r="D606" s="14" t="s">
        <v>29</v>
      </c>
      <c r="E606" s="48" t="s">
        <v>29</v>
      </c>
      <c r="F606" s="14" t="s">
        <v>31</v>
      </c>
      <c r="G606" s="14" t="b">
        <f>OR(LCI_Table[[#This Row],[Feedstock]]="All",LCI_Table[[#This Row],[Feedstock]]=SelectedFeedstock)</f>
        <v>0</v>
      </c>
      <c r="H606" s="14" t="b">
        <f>OR(LCI_Table[[#This Row],[Conversion]]="All",LCI_Table[[#This Row],[Conversion]]=SelectedConversion)</f>
        <v>0</v>
      </c>
      <c r="I606" s="14" t="b">
        <f>OR(LCI_Table[[#This Row],[Data Set]]="all",LCI_Table[[#This Row],[Data Set]]=SelectedDataSet)</f>
        <v>1</v>
      </c>
      <c r="J606" s="14" t="b">
        <f>OR(LCI_Table[[#This Row],[Technology]]="All",LCI_Table[[#This Row],[Technology]]=SelectedTechnology)</f>
        <v>1</v>
      </c>
      <c r="K606" s="14" t="b">
        <f>OR(LCI_Table[[#This Row],[Data Source]]="All",LCI_Table[[#This Row],[Data Source]]=SelectedDataSource)</f>
        <v>1</v>
      </c>
      <c r="L606" s="14" t="b">
        <f>TRUE</f>
        <v>1</v>
      </c>
      <c r="M606" s="14" t="b">
        <f>(LCI_Table[[#This Row],[Dev Notes]]="Do not display")</f>
        <v>0</v>
      </c>
      <c r="N606" s="14" t="b">
        <f>AND(LCI_Table[[#This Row],[Show Feedstock]:[Conditional]],NOT(LCI_Table[[#This Row],[Hide Row]]))</f>
        <v>0</v>
      </c>
      <c r="O606" s="14" t="b">
        <f>LCI_Table[[#This Row],[GREET1 Name Range]]=""</f>
        <v>0</v>
      </c>
      <c r="P606" s="14" t="s">
        <v>147</v>
      </c>
      <c r="Q606" s="14" t="s">
        <v>608</v>
      </c>
      <c r="R606" s="14" t="s">
        <v>357</v>
      </c>
      <c r="S606" s="37" cm="1">
        <f t="array" aca="1" ref="S6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2.106854486992367E-3</v>
      </c>
      <c r="T606" s="346" t="s">
        <v>1485</v>
      </c>
      <c r="U606" s="347">
        <f ca="1">S606/S600*lb2g</f>
        <v>0.74400000000000155</v>
      </c>
      <c r="V606" s="347">
        <v>2.106854486992367E-3</v>
      </c>
      <c r="W606" s="347">
        <v>0.74400000000000155</v>
      </c>
      <c r="X606" s="14" t="s">
        <v>12</v>
      </c>
      <c r="Y606" s="346" t="s">
        <v>413</v>
      </c>
      <c r="Z606" s="14" t="str">
        <f>IF(ISBLANK(LCI_Table[[#This Row],[Notes for user]])," ",LCI_Table[[#This Row],[Notes for user]])</f>
        <v xml:space="preserve"> </v>
      </c>
      <c r="AA606" s="14"/>
      <c r="AB606" s="14"/>
      <c r="AC606" s="346">
        <f ca="1">LCI_Table[[#This Row],[Default Calculated Value]]-LCI_Table[[#This Row],[Calculated Value]]</f>
        <v>0</v>
      </c>
    </row>
    <row r="607" spans="1:29" x14ac:dyDescent="0.3">
      <c r="A6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STJGREETGREET(blank)_CornStover_Farming_Residual_oilResidual oil</v>
      </c>
      <c r="B607" s="14" t="s">
        <v>135</v>
      </c>
      <c r="C607" s="14" t="s">
        <v>139</v>
      </c>
      <c r="D607" s="14" t="s">
        <v>29</v>
      </c>
      <c r="E607" s="48" t="s">
        <v>29</v>
      </c>
      <c r="F607" s="14" t="s">
        <v>31</v>
      </c>
      <c r="G607" s="14" t="b">
        <f>OR(LCI_Table[[#This Row],[Feedstock]]="All",LCI_Table[[#This Row],[Feedstock]]=SelectedFeedstock)</f>
        <v>0</v>
      </c>
      <c r="H607" s="14" t="b">
        <f>OR(LCI_Table[[#This Row],[Conversion]]="All",LCI_Table[[#This Row],[Conversion]]=SelectedConversion)</f>
        <v>0</v>
      </c>
      <c r="I607" s="14" t="b">
        <f>OR(LCI_Table[[#This Row],[Data Set]]="all",LCI_Table[[#This Row],[Data Set]]=SelectedDataSet)</f>
        <v>1</v>
      </c>
      <c r="J607" s="14" t="b">
        <f>OR(LCI_Table[[#This Row],[Technology]]="All",LCI_Table[[#This Row],[Technology]]=SelectedTechnology)</f>
        <v>1</v>
      </c>
      <c r="K607" s="14" t="b">
        <f>OR(LCI_Table[[#This Row],[Data Source]]="All",LCI_Table[[#This Row],[Data Source]]=SelectedDataSource)</f>
        <v>1</v>
      </c>
      <c r="L607" s="14" t="b">
        <f>TRUE</f>
        <v>1</v>
      </c>
      <c r="M607" s="14" t="b">
        <f>(LCI_Table[[#This Row],[Dev Notes]]="Do not display")</f>
        <v>0</v>
      </c>
      <c r="N607" s="14" t="b">
        <f>AND(LCI_Table[[#This Row],[Show Feedstock]:[Conditional]],NOT(LCI_Table[[#This Row],[Hide Row]]))</f>
        <v>0</v>
      </c>
      <c r="O607" s="14" t="b">
        <f>LCI_Table[[#This Row],[GREET1 Name Range]]=""</f>
        <v>0</v>
      </c>
      <c r="P607" s="14" t="s">
        <v>147</v>
      </c>
      <c r="Q607" s="14" t="s">
        <v>616</v>
      </c>
      <c r="R607" s="14" t="s">
        <v>115</v>
      </c>
      <c r="S607" s="37" cm="1">
        <f t="array" aca="1" ref="S6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07" s="346" t="s">
        <v>1484</v>
      </c>
      <c r="U607" s="347">
        <f ca="1">S607*Fuel_Specs!$B$28/S600</f>
        <v>0</v>
      </c>
      <c r="V607" s="347">
        <v>0</v>
      </c>
      <c r="W607" s="347">
        <v>0</v>
      </c>
      <c r="X607" s="14" t="s">
        <v>5</v>
      </c>
      <c r="Y607" s="346" t="s">
        <v>413</v>
      </c>
      <c r="Z607" s="14" t="str">
        <f>IF(ISBLANK(LCI_Table[[#This Row],[Notes for user]])," ",LCI_Table[[#This Row],[Notes for user]])</f>
        <v xml:space="preserve"> </v>
      </c>
      <c r="AA607" s="14"/>
      <c r="AB607" s="14"/>
      <c r="AC607" s="346">
        <f ca="1">LCI_Table[[#This Row],[Default Calculated Value]]-LCI_Table[[#This Row],[Calculated Value]]</f>
        <v>0</v>
      </c>
    </row>
    <row r="608" spans="1:29" x14ac:dyDescent="0.3">
      <c r="A6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STJGREETGREET(blank)_CornStover_Farming_DieselDiesel</v>
      </c>
      <c r="B608" s="14" t="s">
        <v>135</v>
      </c>
      <c r="C608" s="14" t="s">
        <v>139</v>
      </c>
      <c r="D608" s="14" t="s">
        <v>29</v>
      </c>
      <c r="E608" s="48" t="s">
        <v>29</v>
      </c>
      <c r="F608" s="14" t="s">
        <v>31</v>
      </c>
      <c r="G608" s="14" t="b">
        <f>OR(LCI_Table[[#This Row],[Feedstock]]="All",LCI_Table[[#This Row],[Feedstock]]=SelectedFeedstock)</f>
        <v>0</v>
      </c>
      <c r="H608" s="14" t="b">
        <f>OR(LCI_Table[[#This Row],[Conversion]]="All",LCI_Table[[#This Row],[Conversion]]=SelectedConversion)</f>
        <v>0</v>
      </c>
      <c r="I608" s="14" t="b">
        <f>OR(LCI_Table[[#This Row],[Data Set]]="all",LCI_Table[[#This Row],[Data Set]]=SelectedDataSet)</f>
        <v>1</v>
      </c>
      <c r="J608" s="14" t="b">
        <f>OR(LCI_Table[[#This Row],[Technology]]="All",LCI_Table[[#This Row],[Technology]]=SelectedTechnology)</f>
        <v>1</v>
      </c>
      <c r="K608" s="14" t="b">
        <f>OR(LCI_Table[[#This Row],[Data Source]]="All",LCI_Table[[#This Row],[Data Source]]=SelectedDataSource)</f>
        <v>1</v>
      </c>
      <c r="L608" s="14" t="b">
        <f>TRUE</f>
        <v>1</v>
      </c>
      <c r="M608" s="14" t="b">
        <f>(LCI_Table[[#This Row],[Dev Notes]]="Do not display")</f>
        <v>0</v>
      </c>
      <c r="N608" s="14" t="b">
        <f>AND(LCI_Table[[#This Row],[Show Feedstock]:[Conditional]],NOT(LCI_Table[[#This Row],[Hide Row]]))</f>
        <v>0</v>
      </c>
      <c r="O608" s="14" t="b">
        <f>LCI_Table[[#This Row],[GREET1 Name Range]]=""</f>
        <v>0</v>
      </c>
      <c r="P608" s="14" t="s">
        <v>147</v>
      </c>
      <c r="Q608" s="14" t="s">
        <v>605</v>
      </c>
      <c r="R608" s="14" t="s">
        <v>106</v>
      </c>
      <c r="S608" s="37" cm="1">
        <f t="array" aca="1" ref="S6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2.2358876274453086</v>
      </c>
      <c r="T608" s="346" t="s">
        <v>1484</v>
      </c>
      <c r="U608" s="347">
        <f ca="1">S608*Fuel_Specs!$B$19/S600</f>
        <v>223592.24413408528</v>
      </c>
      <c r="V608" s="347">
        <v>2.2358876274453086</v>
      </c>
      <c r="W608" s="347">
        <v>223592.24413408528</v>
      </c>
      <c r="X608" s="14" t="s">
        <v>5</v>
      </c>
      <c r="Y608" s="346" t="s">
        <v>413</v>
      </c>
      <c r="Z608" s="14" t="str">
        <f>IF(ISBLANK(LCI_Table[[#This Row],[Notes for user]])," ",LCI_Table[[#This Row],[Notes for user]])</f>
        <v xml:space="preserve"> </v>
      </c>
      <c r="AA608" s="14"/>
      <c r="AB608" s="14"/>
      <c r="AC608" s="346">
        <f ca="1">LCI_Table[[#This Row],[Default Calculated Value]]-LCI_Table[[#This Row],[Calculated Value]]</f>
        <v>0</v>
      </c>
    </row>
    <row r="609" spans="1:29" x14ac:dyDescent="0.3">
      <c r="A6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STJGREETGREET(blank)_CornStover_Farming_GasolineGasoline</v>
      </c>
      <c r="B609" s="14" t="s">
        <v>135</v>
      </c>
      <c r="C609" s="14" t="s">
        <v>139</v>
      </c>
      <c r="D609" s="14" t="s">
        <v>29</v>
      </c>
      <c r="E609" s="48" t="s">
        <v>29</v>
      </c>
      <c r="F609" s="14" t="s">
        <v>31</v>
      </c>
      <c r="G609" s="14" t="b">
        <f>OR(LCI_Table[[#This Row],[Feedstock]]="All",LCI_Table[[#This Row],[Feedstock]]=SelectedFeedstock)</f>
        <v>0</v>
      </c>
      <c r="H609" s="14" t="b">
        <f>OR(LCI_Table[[#This Row],[Conversion]]="All",LCI_Table[[#This Row],[Conversion]]=SelectedConversion)</f>
        <v>0</v>
      </c>
      <c r="I609" s="14" t="b">
        <f>OR(LCI_Table[[#This Row],[Data Set]]="all",LCI_Table[[#This Row],[Data Set]]=SelectedDataSet)</f>
        <v>1</v>
      </c>
      <c r="J609" s="14" t="b">
        <f>OR(LCI_Table[[#This Row],[Technology]]="All",LCI_Table[[#This Row],[Technology]]=SelectedTechnology)</f>
        <v>1</v>
      </c>
      <c r="K609" s="14" t="b">
        <f>OR(LCI_Table[[#This Row],[Data Source]]="All",LCI_Table[[#This Row],[Data Source]]=SelectedDataSource)</f>
        <v>1</v>
      </c>
      <c r="L609" s="14" t="b">
        <f>TRUE</f>
        <v>1</v>
      </c>
      <c r="M609" s="14" t="b">
        <f>(LCI_Table[[#This Row],[Dev Notes]]="Do not display")</f>
        <v>0</v>
      </c>
      <c r="N609" s="14" t="b">
        <f>AND(LCI_Table[[#This Row],[Show Feedstock]:[Conditional]],NOT(LCI_Table[[#This Row],[Hide Row]]))</f>
        <v>0</v>
      </c>
      <c r="O609" s="14" t="b">
        <f>LCI_Table[[#This Row],[GREET1 Name Range]]=""</f>
        <v>0</v>
      </c>
      <c r="P609" s="14" t="s">
        <v>147</v>
      </c>
      <c r="Q609" s="14" t="s">
        <v>607</v>
      </c>
      <c r="R609" s="14" t="s">
        <v>107</v>
      </c>
      <c r="S609" s="37" cm="1">
        <f t="array" aca="1" ref="S6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09" s="346" t="s">
        <v>1484</v>
      </c>
      <c r="U609" s="347">
        <f ca="1">S609*Fuel_Specs!$B$15/S600</f>
        <v>0</v>
      </c>
      <c r="V609" s="347">
        <v>0</v>
      </c>
      <c r="W609" s="347">
        <v>0</v>
      </c>
      <c r="X609" s="14" t="s">
        <v>5</v>
      </c>
      <c r="Y609" s="346" t="s">
        <v>413</v>
      </c>
      <c r="Z609" s="14" t="str">
        <f>IF(ISBLANK(LCI_Table[[#This Row],[Notes for user]])," ",LCI_Table[[#This Row],[Notes for user]])</f>
        <v xml:space="preserve"> </v>
      </c>
      <c r="AA609" s="14"/>
      <c r="AB609" s="14"/>
      <c r="AC609" s="346">
        <f ca="1">LCI_Table[[#This Row],[Default Calculated Value]]-LCI_Table[[#This Row],[Calculated Value]]</f>
        <v>0</v>
      </c>
    </row>
    <row r="610" spans="1:29" x14ac:dyDescent="0.3">
      <c r="A6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STJGREETGREET(blank)_CornStover_Farming_Natural_gasNatural gas</v>
      </c>
      <c r="B610" s="14" t="s">
        <v>135</v>
      </c>
      <c r="C610" s="14" t="s">
        <v>139</v>
      </c>
      <c r="D610" s="14" t="s">
        <v>29</v>
      </c>
      <c r="E610" s="48" t="s">
        <v>29</v>
      </c>
      <c r="F610" s="14" t="s">
        <v>31</v>
      </c>
      <c r="G610" s="14" t="b">
        <f>OR(LCI_Table[[#This Row],[Feedstock]]="All",LCI_Table[[#This Row],[Feedstock]]=SelectedFeedstock)</f>
        <v>0</v>
      </c>
      <c r="H610" s="14" t="b">
        <f>OR(LCI_Table[[#This Row],[Conversion]]="All",LCI_Table[[#This Row],[Conversion]]=SelectedConversion)</f>
        <v>0</v>
      </c>
      <c r="I610" s="14" t="b">
        <f>OR(LCI_Table[[#This Row],[Data Set]]="all",LCI_Table[[#This Row],[Data Set]]=SelectedDataSet)</f>
        <v>1</v>
      </c>
      <c r="J610" s="14" t="b">
        <f>OR(LCI_Table[[#This Row],[Technology]]="All",LCI_Table[[#This Row],[Technology]]=SelectedTechnology)</f>
        <v>1</v>
      </c>
      <c r="K610" s="14" t="b">
        <f>OR(LCI_Table[[#This Row],[Data Source]]="All",LCI_Table[[#This Row],[Data Source]]=SelectedDataSource)</f>
        <v>1</v>
      </c>
      <c r="L610" s="14" t="b">
        <f>TRUE</f>
        <v>1</v>
      </c>
      <c r="M610" s="14" t="b">
        <f>(LCI_Table[[#This Row],[Dev Notes]]="Do not display")</f>
        <v>0</v>
      </c>
      <c r="N610" s="14" t="b">
        <f>AND(LCI_Table[[#This Row],[Show Feedstock]:[Conditional]],NOT(LCI_Table[[#This Row],[Hide Row]]))</f>
        <v>0</v>
      </c>
      <c r="O610" s="14" t="b">
        <f>LCI_Table[[#This Row],[GREET1 Name Range]]=""</f>
        <v>0</v>
      </c>
      <c r="P610" s="14" t="s">
        <v>147</v>
      </c>
      <c r="Q610" s="14" t="s">
        <v>613</v>
      </c>
      <c r="R610" s="14" t="s">
        <v>108</v>
      </c>
      <c r="S610" s="37" cm="1">
        <f t="array" aca="1" ref="S6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10" s="346" t="s">
        <v>2109</v>
      </c>
      <c r="U610" s="347">
        <f ca="1">S610*Fuel_Specs!$B$79/S600</f>
        <v>0</v>
      </c>
      <c r="V610" s="347">
        <v>0</v>
      </c>
      <c r="W610" s="347">
        <v>0</v>
      </c>
      <c r="X610" s="14" t="s">
        <v>351</v>
      </c>
      <c r="Y610" s="346" t="s">
        <v>413</v>
      </c>
      <c r="Z610" s="14" t="str">
        <f>IF(ISBLANK(LCI_Table[[#This Row],[Notes for user]])," ",LCI_Table[[#This Row],[Notes for user]])</f>
        <v xml:space="preserve"> </v>
      </c>
      <c r="AA610" s="14"/>
      <c r="AB610" s="14"/>
      <c r="AC610" s="346">
        <f ca="1">LCI_Table[[#This Row],[Default Calculated Value]]-LCI_Table[[#This Row],[Calculated Value]]</f>
        <v>0</v>
      </c>
    </row>
    <row r="611" spans="1:29" x14ac:dyDescent="0.3">
      <c r="A6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STJGREETGREET(blank)_CornStover_Farming_CoalCoal</v>
      </c>
      <c r="B611" s="14" t="s">
        <v>135</v>
      </c>
      <c r="C611" s="14" t="s">
        <v>139</v>
      </c>
      <c r="D611" s="14" t="s">
        <v>29</v>
      </c>
      <c r="E611" s="48" t="s">
        <v>29</v>
      </c>
      <c r="F611" s="14" t="s">
        <v>31</v>
      </c>
      <c r="G611" s="14" t="b">
        <f>OR(LCI_Table[[#This Row],[Feedstock]]="All",LCI_Table[[#This Row],[Feedstock]]=SelectedFeedstock)</f>
        <v>0</v>
      </c>
      <c r="H611" s="14" t="b">
        <f>OR(LCI_Table[[#This Row],[Conversion]]="All",LCI_Table[[#This Row],[Conversion]]=SelectedConversion)</f>
        <v>0</v>
      </c>
      <c r="I611" s="14" t="b">
        <f>OR(LCI_Table[[#This Row],[Data Set]]="all",LCI_Table[[#This Row],[Data Set]]=SelectedDataSet)</f>
        <v>1</v>
      </c>
      <c r="J611" s="14" t="b">
        <f>OR(LCI_Table[[#This Row],[Technology]]="All",LCI_Table[[#This Row],[Technology]]=SelectedTechnology)</f>
        <v>1</v>
      </c>
      <c r="K611" s="14" t="b">
        <f>OR(LCI_Table[[#This Row],[Data Source]]="All",LCI_Table[[#This Row],[Data Source]]=SelectedDataSource)</f>
        <v>1</v>
      </c>
      <c r="L611" s="14" t="b">
        <f>TRUE</f>
        <v>1</v>
      </c>
      <c r="M611" s="14" t="b">
        <f>(LCI_Table[[#This Row],[Dev Notes]]="Do not display")</f>
        <v>0</v>
      </c>
      <c r="N611" s="14" t="b">
        <f>AND(LCI_Table[[#This Row],[Show Feedstock]:[Conditional]],NOT(LCI_Table[[#This Row],[Hide Row]]))</f>
        <v>0</v>
      </c>
      <c r="O611" s="14" t="b">
        <f>LCI_Table[[#This Row],[GREET1 Name Range]]=""</f>
        <v>0</v>
      </c>
      <c r="P611" s="14" t="s">
        <v>147</v>
      </c>
      <c r="Q611" s="14" t="s">
        <v>604</v>
      </c>
      <c r="R611" s="14" t="s">
        <v>9</v>
      </c>
      <c r="S611" s="37" cm="1">
        <f t="array" aca="1" ref="S6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11" s="346" t="s">
        <v>2110</v>
      </c>
      <c r="U611" s="347">
        <f ca="1">S611/S600</f>
        <v>0</v>
      </c>
      <c r="V611" s="347">
        <v>0</v>
      </c>
      <c r="W611" s="347">
        <v>0</v>
      </c>
      <c r="X611" s="14" t="s">
        <v>117</v>
      </c>
      <c r="Y611" s="346" t="s">
        <v>413</v>
      </c>
      <c r="Z611" s="14" t="str">
        <f>IF(ISBLANK(LCI_Table[[#This Row],[Notes for user]])," ",LCI_Table[[#This Row],[Notes for user]])</f>
        <v xml:space="preserve"> </v>
      </c>
      <c r="AA611" s="14"/>
      <c r="AB611" s="14"/>
      <c r="AC611" s="346">
        <f ca="1">LCI_Table[[#This Row],[Default Calculated Value]]-LCI_Table[[#This Row],[Calculated Value]]</f>
        <v>0</v>
      </c>
    </row>
    <row r="612" spans="1:29" x14ac:dyDescent="0.3">
      <c r="A6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STJGREETGREET(blank)_CornStover_Farming_LPGLPG</v>
      </c>
      <c r="B612" s="14" t="s">
        <v>135</v>
      </c>
      <c r="C612" s="14" t="s">
        <v>139</v>
      </c>
      <c r="D612" s="14" t="s">
        <v>29</v>
      </c>
      <c r="E612" s="48" t="s">
        <v>29</v>
      </c>
      <c r="F612" s="14" t="s">
        <v>31</v>
      </c>
      <c r="G612" s="14" t="b">
        <f>OR(LCI_Table[[#This Row],[Feedstock]]="All",LCI_Table[[#This Row],[Feedstock]]=SelectedFeedstock)</f>
        <v>0</v>
      </c>
      <c r="H612" s="14" t="b">
        <f>OR(LCI_Table[[#This Row],[Conversion]]="All",LCI_Table[[#This Row],[Conversion]]=SelectedConversion)</f>
        <v>0</v>
      </c>
      <c r="I612" s="14" t="b">
        <f>OR(LCI_Table[[#This Row],[Data Set]]="all",LCI_Table[[#This Row],[Data Set]]=SelectedDataSet)</f>
        <v>1</v>
      </c>
      <c r="J612" s="14" t="b">
        <f>OR(LCI_Table[[#This Row],[Technology]]="All",LCI_Table[[#This Row],[Technology]]=SelectedTechnology)</f>
        <v>1</v>
      </c>
      <c r="K612" s="14" t="b">
        <f>OR(LCI_Table[[#This Row],[Data Source]]="All",LCI_Table[[#This Row],[Data Source]]=SelectedDataSource)</f>
        <v>1</v>
      </c>
      <c r="L612" s="14" t="b">
        <f>TRUE</f>
        <v>1</v>
      </c>
      <c r="M612" s="14" t="b">
        <f>(LCI_Table[[#This Row],[Dev Notes]]="Do not display")</f>
        <v>0</v>
      </c>
      <c r="N612" s="14" t="b">
        <f>AND(LCI_Table[[#This Row],[Show Feedstock]:[Conditional]],NOT(LCI_Table[[#This Row],[Hide Row]]))</f>
        <v>0</v>
      </c>
      <c r="O612" s="14" t="b">
        <f>LCI_Table[[#This Row],[GREET1 Name Range]]=""</f>
        <v>0</v>
      </c>
      <c r="P612" s="14" t="s">
        <v>147</v>
      </c>
      <c r="Q612" s="14" t="s">
        <v>612</v>
      </c>
      <c r="R612" s="14" t="s">
        <v>109</v>
      </c>
      <c r="S612" s="37" cm="1">
        <f t="array" aca="1" ref="S6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12" s="346" t="s">
        <v>1484</v>
      </c>
      <c r="U612" s="347">
        <f ca="1">S612*Fuel_Specs!$B$35/S600</f>
        <v>0</v>
      </c>
      <c r="V612" s="347">
        <v>0</v>
      </c>
      <c r="W612" s="347">
        <v>0</v>
      </c>
      <c r="X612" s="14" t="s">
        <v>5</v>
      </c>
      <c r="Y612" s="346" t="s">
        <v>413</v>
      </c>
      <c r="Z612" s="14" t="str">
        <f>IF(ISBLANK(LCI_Table[[#This Row],[Notes for user]])," ",LCI_Table[[#This Row],[Notes for user]])</f>
        <v xml:space="preserve"> </v>
      </c>
      <c r="AA612" s="14"/>
      <c r="AB612" s="14"/>
      <c r="AC612" s="346">
        <f ca="1">LCI_Table[[#This Row],[Default Calculated Value]]-LCI_Table[[#This Row],[Calculated Value]]</f>
        <v>0</v>
      </c>
    </row>
    <row r="613" spans="1:29" x14ac:dyDescent="0.3">
      <c r="A6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STJGREETGREET(blank)_CornStover_Farming_ElectricityElectricity</v>
      </c>
      <c r="B613" s="14" t="s">
        <v>135</v>
      </c>
      <c r="C613" s="14" t="s">
        <v>139</v>
      </c>
      <c r="D613" s="14" t="s">
        <v>29</v>
      </c>
      <c r="E613" s="48" t="s">
        <v>29</v>
      </c>
      <c r="F613" s="14" t="s">
        <v>31</v>
      </c>
      <c r="G613" s="14" t="b">
        <f>OR(LCI_Table[[#This Row],[Feedstock]]="All",LCI_Table[[#This Row],[Feedstock]]=SelectedFeedstock)</f>
        <v>0</v>
      </c>
      <c r="H613" s="14" t="b">
        <f>OR(LCI_Table[[#This Row],[Conversion]]="All",LCI_Table[[#This Row],[Conversion]]=SelectedConversion)</f>
        <v>0</v>
      </c>
      <c r="I613" s="14" t="b">
        <f>OR(LCI_Table[[#This Row],[Data Set]]="all",LCI_Table[[#This Row],[Data Set]]=SelectedDataSet)</f>
        <v>1</v>
      </c>
      <c r="J613" s="14" t="b">
        <f>OR(LCI_Table[[#This Row],[Technology]]="All",LCI_Table[[#This Row],[Technology]]=SelectedTechnology)</f>
        <v>1</v>
      </c>
      <c r="K613" s="14" t="b">
        <f>OR(LCI_Table[[#This Row],[Data Source]]="All",LCI_Table[[#This Row],[Data Source]]=SelectedDataSource)</f>
        <v>1</v>
      </c>
      <c r="L613" s="14" t="b">
        <f>TRUE</f>
        <v>1</v>
      </c>
      <c r="M613" s="14" t="b">
        <f>(LCI_Table[[#This Row],[Dev Notes]]="Do not display")</f>
        <v>0</v>
      </c>
      <c r="N613" s="14" t="b">
        <f>AND(LCI_Table[[#This Row],[Show Feedstock]:[Conditional]],NOT(LCI_Table[[#This Row],[Hide Row]]))</f>
        <v>0</v>
      </c>
      <c r="O613" s="14" t="b">
        <f>LCI_Table[[#This Row],[GREET1 Name Range]]=""</f>
        <v>0</v>
      </c>
      <c r="P613" s="14" t="s">
        <v>147</v>
      </c>
      <c r="Q613" s="14" t="s">
        <v>606</v>
      </c>
      <c r="R613" s="14" t="s">
        <v>110</v>
      </c>
      <c r="S613" s="37" cm="1">
        <f t="array" aca="1" ref="S6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13" s="346" t="s">
        <v>1561</v>
      </c>
      <c r="U613" s="347">
        <f ca="1">S613/BTU2kWh/S600</f>
        <v>0</v>
      </c>
      <c r="V613" s="347">
        <v>0</v>
      </c>
      <c r="W613" s="347">
        <v>0</v>
      </c>
      <c r="X613" s="14" t="s">
        <v>51</v>
      </c>
      <c r="Y613" s="346" t="s">
        <v>413</v>
      </c>
      <c r="Z613" s="14" t="str">
        <f>IF(ISBLANK(LCI_Table[[#This Row],[Notes for user]])," ",LCI_Table[[#This Row],[Notes for user]])</f>
        <v xml:space="preserve"> </v>
      </c>
      <c r="AA613" s="14"/>
      <c r="AB613" s="14"/>
      <c r="AC613" s="346">
        <f ca="1">LCI_Table[[#This Row],[Default Calculated Value]]-LCI_Table[[#This Row],[Calculated Value]]</f>
        <v>0</v>
      </c>
    </row>
    <row r="614" spans="1:29" x14ac:dyDescent="0.3">
      <c r="A6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STJGREETGREET(blank)_Cellulosic_Biological_STJ_Corn_stoverCorn stover</v>
      </c>
      <c r="B614" s="14" t="s">
        <v>135</v>
      </c>
      <c r="C614" s="14" t="s">
        <v>139</v>
      </c>
      <c r="D614" s="14" t="s">
        <v>29</v>
      </c>
      <c r="E614" s="48" t="s">
        <v>29</v>
      </c>
      <c r="F614" s="14" t="s">
        <v>31</v>
      </c>
      <c r="G614" s="14" t="b">
        <f>OR(LCI_Table[[#This Row],[Feedstock]]="All",LCI_Table[[#This Row],[Feedstock]]=SelectedFeedstock)</f>
        <v>0</v>
      </c>
      <c r="H614" s="14" t="b">
        <f>OR(LCI_Table[[#This Row],[Conversion]]="All",LCI_Table[[#This Row],[Conversion]]=SelectedConversion)</f>
        <v>0</v>
      </c>
      <c r="I614" s="14" t="b">
        <f>OR(LCI_Table[[#This Row],[Data Set]]="all",LCI_Table[[#This Row],[Data Set]]=SelectedDataSet)</f>
        <v>1</v>
      </c>
      <c r="J614" s="14" t="b">
        <f>OR(LCI_Table[[#This Row],[Technology]]="All",LCI_Table[[#This Row],[Technology]]=SelectedTechnology)</f>
        <v>1</v>
      </c>
      <c r="K614" s="14" t="b">
        <f>OR(LCI_Table[[#This Row],[Data Source]]="All",LCI_Table[[#This Row],[Data Source]]=SelectedDataSource)</f>
        <v>1</v>
      </c>
      <c r="L614" s="14" t="b">
        <f>TRUE</f>
        <v>1</v>
      </c>
      <c r="M614" s="14" t="b">
        <f>(LCI_Table[[#This Row],[Dev Notes]]="Do not display")</f>
        <v>0</v>
      </c>
      <c r="N614" s="14" t="b">
        <f>AND(LCI_Table[[#This Row],[Show Feedstock]:[Conditional]],NOT(LCI_Table[[#This Row],[Hide Row]]))</f>
        <v>0</v>
      </c>
      <c r="O614" s="14" t="b">
        <f>LCI_Table[[#This Row],[GREET1 Name Range]]=""</f>
        <v>0</v>
      </c>
      <c r="P614" s="14" t="s">
        <v>1448</v>
      </c>
      <c r="Q614" s="14" t="s">
        <v>535</v>
      </c>
      <c r="R614" s="14" t="s">
        <v>135</v>
      </c>
      <c r="S614" s="37" cm="1">
        <f t="array" aca="1" ref="S6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525.83133686429835</v>
      </c>
      <c r="T614" s="346" t="s">
        <v>2119</v>
      </c>
      <c r="U614" s="347">
        <f ca="1">S614/kg2lb/Allocations!$O$63*MJ2mmBTU</f>
        <v>0.22606678339212563</v>
      </c>
      <c r="V614" s="347">
        <v>525.83133686429835</v>
      </c>
      <c r="W614" s="347">
        <v>0.22606678339212563</v>
      </c>
      <c r="X614" s="37" t="s">
        <v>12</v>
      </c>
      <c r="Y614" s="346" t="s">
        <v>416</v>
      </c>
      <c r="Z614" s="14" t="str">
        <f>IF(ISBLANK(LCI_Table[[#This Row],[Notes for user]])," ",LCI_Table[[#This Row],[Notes for user]])</f>
        <v xml:space="preserve"> </v>
      </c>
      <c r="AA614" s="14"/>
      <c r="AB614" s="14"/>
      <c r="AC614" s="346">
        <f ca="1">LCI_Table[[#This Row],[Default Calculated Value]]-LCI_Table[[#This Row],[Calculated Value]]</f>
        <v>0</v>
      </c>
    </row>
    <row r="615" spans="1:29" x14ac:dyDescent="0.3">
      <c r="A6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STJGREETGREET(blank)_Cellulosic_Biological_STJ_HydrogenHydrogen</v>
      </c>
      <c r="B615" s="14" t="s">
        <v>135</v>
      </c>
      <c r="C615" s="14" t="s">
        <v>139</v>
      </c>
      <c r="D615" s="14" t="s">
        <v>29</v>
      </c>
      <c r="E615" s="48" t="s">
        <v>29</v>
      </c>
      <c r="F615" s="14" t="s">
        <v>31</v>
      </c>
      <c r="G615" s="14" t="b">
        <f>OR(LCI_Table[[#This Row],[Feedstock]]="All",LCI_Table[[#This Row],[Feedstock]]=SelectedFeedstock)</f>
        <v>0</v>
      </c>
      <c r="H615" s="14" t="b">
        <f>OR(LCI_Table[[#This Row],[Conversion]]="All",LCI_Table[[#This Row],[Conversion]]=SelectedConversion)</f>
        <v>0</v>
      </c>
      <c r="I615" s="14" t="b">
        <f>OR(LCI_Table[[#This Row],[Data Set]]="all",LCI_Table[[#This Row],[Data Set]]=SelectedDataSet)</f>
        <v>1</v>
      </c>
      <c r="J615" s="14" t="b">
        <f>OR(LCI_Table[[#This Row],[Technology]]="All",LCI_Table[[#This Row],[Technology]]=SelectedTechnology)</f>
        <v>1</v>
      </c>
      <c r="K615" s="14" t="b">
        <f>OR(LCI_Table[[#This Row],[Data Source]]="All",LCI_Table[[#This Row],[Data Source]]=SelectedDataSource)</f>
        <v>1</v>
      </c>
      <c r="L615" s="14" t="b">
        <f>TRUE</f>
        <v>1</v>
      </c>
      <c r="M615" s="14" t="b">
        <f>(LCI_Table[[#This Row],[Dev Notes]]="Do not display")</f>
        <v>0</v>
      </c>
      <c r="N615" s="14" t="b">
        <f>AND(LCI_Table[[#This Row],[Show Feedstock]:[Conditional]],NOT(LCI_Table[[#This Row],[Hide Row]]))</f>
        <v>0</v>
      </c>
      <c r="O615" s="14" t="b">
        <f>LCI_Table[[#This Row],[GREET1 Name Range]]=""</f>
        <v>0</v>
      </c>
      <c r="P615" s="14" t="s">
        <v>1448</v>
      </c>
      <c r="Q615" s="14" t="s">
        <v>540</v>
      </c>
      <c r="R615" s="14" t="s">
        <v>73</v>
      </c>
      <c r="S615" s="37" cm="1">
        <f t="array" aca="1" ref="S6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423.82286488101443</v>
      </c>
      <c r="T615" s="346" t="s">
        <v>2120</v>
      </c>
      <c r="U615" s="347">
        <f ca="1">S615/kg2g*Fuel_Specs!$E$81/Allocations!$O$63*MJ2mmBTU</f>
        <v>1.0243517491956343E-3</v>
      </c>
      <c r="V615" s="347">
        <v>423.82286488101443</v>
      </c>
      <c r="W615" s="347">
        <v>1.0243517491956343E-3</v>
      </c>
      <c r="X615" s="37" t="s">
        <v>351</v>
      </c>
      <c r="Y615" s="346" t="s">
        <v>416</v>
      </c>
      <c r="Z615" s="14" t="str">
        <f>IF(ISBLANK(LCI_Table[[#This Row],[Notes for user]])," ",LCI_Table[[#This Row],[Notes for user]])</f>
        <v xml:space="preserve"> </v>
      </c>
      <c r="AA615" s="14"/>
      <c r="AB615" s="14"/>
      <c r="AC615" s="346">
        <f ca="1">LCI_Table[[#This Row],[Default Calculated Value]]-LCI_Table[[#This Row],[Calculated Value]]</f>
        <v>0</v>
      </c>
    </row>
    <row r="616" spans="1:29" x14ac:dyDescent="0.3">
      <c r="A6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STJGREETGREET(blank)_Cellulosic_Biological_STJ_AmmoniaAmmonia</v>
      </c>
      <c r="B616" s="14" t="s">
        <v>135</v>
      </c>
      <c r="C616" s="14" t="s">
        <v>139</v>
      </c>
      <c r="D616" s="14" t="s">
        <v>29</v>
      </c>
      <c r="E616" s="48" t="s">
        <v>29</v>
      </c>
      <c r="F616" s="14" t="s">
        <v>31</v>
      </c>
      <c r="G616" s="14" t="b">
        <f>OR(LCI_Table[[#This Row],[Feedstock]]="All",LCI_Table[[#This Row],[Feedstock]]=SelectedFeedstock)</f>
        <v>0</v>
      </c>
      <c r="H616" s="14" t="b">
        <f>OR(LCI_Table[[#This Row],[Conversion]]="All",LCI_Table[[#This Row],[Conversion]]=SelectedConversion)</f>
        <v>0</v>
      </c>
      <c r="I616" s="14" t="b">
        <f>OR(LCI_Table[[#This Row],[Data Set]]="all",LCI_Table[[#This Row],[Data Set]]=SelectedDataSet)</f>
        <v>1</v>
      </c>
      <c r="J616" s="14" t="b">
        <f>OR(LCI_Table[[#This Row],[Technology]]="All",LCI_Table[[#This Row],[Technology]]=SelectedTechnology)</f>
        <v>1</v>
      </c>
      <c r="K616" s="14" t="b">
        <f>OR(LCI_Table[[#This Row],[Data Source]]="All",LCI_Table[[#This Row],[Data Source]]=SelectedDataSource)</f>
        <v>1</v>
      </c>
      <c r="L616" s="14" t="b">
        <f>TRUE</f>
        <v>1</v>
      </c>
      <c r="M616" s="14" t="b">
        <f>(LCI_Table[[#This Row],[Dev Notes]]="Do not display")</f>
        <v>0</v>
      </c>
      <c r="N616" s="14" t="b">
        <f>AND(LCI_Table[[#This Row],[Show Feedstock]:[Conditional]],NOT(LCI_Table[[#This Row],[Hide Row]]))</f>
        <v>0</v>
      </c>
      <c r="O616" s="14" t="b">
        <f>LCI_Table[[#This Row],[GREET1 Name Range]]=""</f>
        <v>0</v>
      </c>
      <c r="P616" s="14" t="s">
        <v>1448</v>
      </c>
      <c r="Q616" s="14" t="s">
        <v>532</v>
      </c>
      <c r="R616" s="14" t="s">
        <v>382</v>
      </c>
      <c r="S616" s="37" cm="1">
        <f t="array" aca="1" ref="S6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1124.2530041827843</v>
      </c>
      <c r="T616" s="346" t="s">
        <v>2127</v>
      </c>
      <c r="U616" s="347">
        <f ca="1">S616/kg2g/Allocations!$O$63*MJ2mmBTU</f>
        <v>1.0655862475742722E-3</v>
      </c>
      <c r="V616" s="347">
        <v>1124.2530041827843</v>
      </c>
      <c r="W616" s="347">
        <v>1.0655862475742722E-3</v>
      </c>
      <c r="X616" s="37" t="s">
        <v>6</v>
      </c>
      <c r="Y616" s="346" t="s">
        <v>416</v>
      </c>
      <c r="Z616" s="14" t="str">
        <f>IF(ISBLANK(LCI_Table[[#This Row],[Notes for user]])," ",LCI_Table[[#This Row],[Notes for user]])</f>
        <v xml:space="preserve"> </v>
      </c>
      <c r="AA616" s="14"/>
      <c r="AB616" s="14"/>
      <c r="AC616" s="346">
        <f ca="1">LCI_Table[[#This Row],[Default Calculated Value]]-LCI_Table[[#This Row],[Calculated Value]]</f>
        <v>0</v>
      </c>
    </row>
    <row r="617" spans="1:29" x14ac:dyDescent="0.3">
      <c r="A6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STJGREETGREET(blank)_Cellulosic_Biological_STJ_Corn_oilDistillers Corn Oil</v>
      </c>
      <c r="B617" s="14" t="s">
        <v>135</v>
      </c>
      <c r="C617" s="14" t="s">
        <v>139</v>
      </c>
      <c r="D617" s="14" t="s">
        <v>29</v>
      </c>
      <c r="E617" s="48" t="s">
        <v>29</v>
      </c>
      <c r="F617" s="14" t="s">
        <v>31</v>
      </c>
      <c r="G617" s="14" t="b">
        <f>OR(LCI_Table[[#This Row],[Feedstock]]="All",LCI_Table[[#This Row],[Feedstock]]=SelectedFeedstock)</f>
        <v>0</v>
      </c>
      <c r="H617" s="14" t="b">
        <f>OR(LCI_Table[[#This Row],[Conversion]]="All",LCI_Table[[#This Row],[Conversion]]=SelectedConversion)</f>
        <v>0</v>
      </c>
      <c r="I617" s="14" t="b">
        <f>OR(LCI_Table[[#This Row],[Data Set]]="all",LCI_Table[[#This Row],[Data Set]]=SelectedDataSet)</f>
        <v>1</v>
      </c>
      <c r="J617" s="14" t="b">
        <f>OR(LCI_Table[[#This Row],[Technology]]="All",LCI_Table[[#This Row],[Technology]]=SelectedTechnology)</f>
        <v>1</v>
      </c>
      <c r="K617" s="14" t="b">
        <f>OR(LCI_Table[[#This Row],[Data Source]]="All",LCI_Table[[#This Row],[Data Source]]=SelectedDataSource)</f>
        <v>1</v>
      </c>
      <c r="L617" s="14" t="b">
        <f>TRUE</f>
        <v>1</v>
      </c>
      <c r="M617" s="14" t="b">
        <f>(LCI_Table[[#This Row],[Dev Notes]]="Do not display")</f>
        <v>0</v>
      </c>
      <c r="N617" s="14" t="b">
        <f>AND(LCI_Table[[#This Row],[Show Feedstock]:[Conditional]],NOT(LCI_Table[[#This Row],[Hide Row]]))</f>
        <v>0</v>
      </c>
      <c r="O617" s="14" t="b">
        <f>LCI_Table[[#This Row],[GREET1 Name Range]]=""</f>
        <v>0</v>
      </c>
      <c r="P617" s="14" t="s">
        <v>1448</v>
      </c>
      <c r="Q617" s="14" t="s">
        <v>533</v>
      </c>
      <c r="R617" s="14" t="s">
        <v>1911</v>
      </c>
      <c r="S617" s="37" cm="1">
        <f t="array" aca="1" ref="S6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295.37400720891884</v>
      </c>
      <c r="T617" s="346" t="s">
        <v>2127</v>
      </c>
      <c r="U617" s="347">
        <f ca="1">S617/kg2g/Allocations!$O$63*MJ2mmBTU</f>
        <v>2.7996054162338308E-4</v>
      </c>
      <c r="V617" s="347">
        <v>295.37400720891884</v>
      </c>
      <c r="W617" s="347">
        <v>2.7996054162338308E-4</v>
      </c>
      <c r="X617" s="37" t="s">
        <v>6</v>
      </c>
      <c r="Y617" s="346" t="s">
        <v>416</v>
      </c>
      <c r="Z617" s="14" t="str">
        <f>IF(ISBLANK(LCI_Table[[#This Row],[Notes for user]])," ",LCI_Table[[#This Row],[Notes for user]])</f>
        <v xml:space="preserve"> </v>
      </c>
      <c r="AA617" s="14"/>
      <c r="AB617" s="14"/>
      <c r="AC617" s="346">
        <f ca="1">LCI_Table[[#This Row],[Default Calculated Value]]-LCI_Table[[#This Row],[Calculated Value]]</f>
        <v>0</v>
      </c>
    </row>
    <row r="618" spans="1:29" x14ac:dyDescent="0.3">
      <c r="A6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STJGREETGREET(blank)_Cellulosic_Biological_STJ_Corn_steep_liquorCorn steep liquor</v>
      </c>
      <c r="B618" s="14" t="s">
        <v>135</v>
      </c>
      <c r="C618" s="14" t="s">
        <v>139</v>
      </c>
      <c r="D618" s="14" t="s">
        <v>29</v>
      </c>
      <c r="E618" s="48" t="s">
        <v>29</v>
      </c>
      <c r="F618" s="14" t="s">
        <v>31</v>
      </c>
      <c r="G618" s="14" t="b">
        <f>OR(LCI_Table[[#This Row],[Feedstock]]="All",LCI_Table[[#This Row],[Feedstock]]=SelectedFeedstock)</f>
        <v>0</v>
      </c>
      <c r="H618" s="14" t="b">
        <f>OR(LCI_Table[[#This Row],[Conversion]]="All",LCI_Table[[#This Row],[Conversion]]=SelectedConversion)</f>
        <v>0</v>
      </c>
      <c r="I618" s="14" t="b">
        <f>OR(LCI_Table[[#This Row],[Data Set]]="all",LCI_Table[[#This Row],[Data Set]]=SelectedDataSet)</f>
        <v>1</v>
      </c>
      <c r="J618" s="14" t="b">
        <f>OR(LCI_Table[[#This Row],[Technology]]="All",LCI_Table[[#This Row],[Technology]]=SelectedTechnology)</f>
        <v>1</v>
      </c>
      <c r="K618" s="14" t="b">
        <f>OR(LCI_Table[[#This Row],[Data Source]]="All",LCI_Table[[#This Row],[Data Source]]=SelectedDataSource)</f>
        <v>1</v>
      </c>
      <c r="L618" s="14" t="b">
        <f>TRUE</f>
        <v>1</v>
      </c>
      <c r="M618" s="14" t="b">
        <f>(LCI_Table[[#This Row],[Dev Notes]]="Do not display")</f>
        <v>0</v>
      </c>
      <c r="N618" s="14" t="b">
        <f>AND(LCI_Table[[#This Row],[Show Feedstock]:[Conditional]],NOT(LCI_Table[[#This Row],[Hide Row]]))</f>
        <v>0</v>
      </c>
      <c r="O618" s="14" t="b">
        <f>LCI_Table[[#This Row],[GREET1 Name Range]]=""</f>
        <v>0</v>
      </c>
      <c r="P618" s="14" t="s">
        <v>1448</v>
      </c>
      <c r="Q618" s="14" t="s">
        <v>534</v>
      </c>
      <c r="R618" s="14" t="s">
        <v>386</v>
      </c>
      <c r="S618" s="37" cm="1">
        <f t="array" aca="1" ref="S6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3402.525385367856</v>
      </c>
      <c r="T618" s="346" t="s">
        <v>2127</v>
      </c>
      <c r="U618" s="347">
        <f ca="1">S618/kg2g/Allocations!$O$63*MJ2mmBTU</f>
        <v>3.2249718205608316E-3</v>
      </c>
      <c r="V618" s="347">
        <v>3402.525385367856</v>
      </c>
      <c r="W618" s="347">
        <v>3.2249718205608316E-3</v>
      </c>
      <c r="X618" s="37" t="s">
        <v>6</v>
      </c>
      <c r="Y618" s="346" t="s">
        <v>416</v>
      </c>
      <c r="Z618" s="14" t="str">
        <f>IF(ISBLANK(LCI_Table[[#This Row],[Notes for user]])," ",LCI_Table[[#This Row],[Notes for user]])</f>
        <v xml:space="preserve"> </v>
      </c>
      <c r="AA618" s="14"/>
      <c r="AB618" s="14"/>
      <c r="AC618" s="346">
        <f ca="1">LCI_Table[[#This Row],[Default Calculated Value]]-LCI_Table[[#This Row],[Calculated Value]]</f>
        <v>0</v>
      </c>
    </row>
    <row r="619" spans="1:29" x14ac:dyDescent="0.3">
      <c r="A6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STJGREETGREET(blank)_Cellulosic_Biological_STJ_DAPDAP</v>
      </c>
      <c r="B619" s="14" t="s">
        <v>135</v>
      </c>
      <c r="C619" s="14" t="s">
        <v>139</v>
      </c>
      <c r="D619" s="14" t="s">
        <v>29</v>
      </c>
      <c r="E619" s="48" t="s">
        <v>29</v>
      </c>
      <c r="F619" s="14" t="s">
        <v>31</v>
      </c>
      <c r="G619" s="14" t="b">
        <f>OR(LCI_Table[[#This Row],[Feedstock]]="All",LCI_Table[[#This Row],[Feedstock]]=SelectedFeedstock)</f>
        <v>0</v>
      </c>
      <c r="H619" s="14" t="b">
        <f>OR(LCI_Table[[#This Row],[Conversion]]="All",LCI_Table[[#This Row],[Conversion]]=SelectedConversion)</f>
        <v>0</v>
      </c>
      <c r="I619" s="14" t="b">
        <f>OR(LCI_Table[[#This Row],[Data Set]]="all",LCI_Table[[#This Row],[Data Set]]=SelectedDataSet)</f>
        <v>1</v>
      </c>
      <c r="J619" s="14" t="b">
        <f>OR(LCI_Table[[#This Row],[Technology]]="All",LCI_Table[[#This Row],[Technology]]=SelectedTechnology)</f>
        <v>1</v>
      </c>
      <c r="K619" s="14" t="b">
        <f>OR(LCI_Table[[#This Row],[Data Source]]="All",LCI_Table[[#This Row],[Data Source]]=SelectedDataSource)</f>
        <v>1</v>
      </c>
      <c r="L619" s="14" t="b">
        <f>TRUE</f>
        <v>1</v>
      </c>
      <c r="M619" s="14" t="b">
        <f>(LCI_Table[[#This Row],[Dev Notes]]="Do not display")</f>
        <v>0</v>
      </c>
      <c r="N619" s="14" t="b">
        <f>AND(LCI_Table[[#This Row],[Show Feedstock]:[Conditional]],NOT(LCI_Table[[#This Row],[Hide Row]]))</f>
        <v>0</v>
      </c>
      <c r="O619" s="14" t="b">
        <f>LCI_Table[[#This Row],[GREET1 Name Range]]=""</f>
        <v>0</v>
      </c>
      <c r="P619" s="14" t="s">
        <v>1448</v>
      </c>
      <c r="Q619" s="14" t="s">
        <v>536</v>
      </c>
      <c r="R619" s="14" t="s">
        <v>383</v>
      </c>
      <c r="S619" s="37" cm="1">
        <f t="array" aca="1" ref="S6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290.79456523668756</v>
      </c>
      <c r="T619" s="346" t="s">
        <v>2127</v>
      </c>
      <c r="U619" s="347">
        <f ca="1">S619/kg2g/Allocations!$O$63*MJ2mmBTU</f>
        <v>2.7562006810984228E-4</v>
      </c>
      <c r="V619" s="347">
        <v>290.79456523668756</v>
      </c>
      <c r="W619" s="347">
        <v>2.7562006810984228E-4</v>
      </c>
      <c r="X619" s="37" t="s">
        <v>6</v>
      </c>
      <c r="Y619" s="346" t="s">
        <v>416</v>
      </c>
      <c r="Z619" s="14" t="str">
        <f>IF(ISBLANK(LCI_Table[[#This Row],[Notes for user]])," ",LCI_Table[[#This Row],[Notes for user]])</f>
        <v xml:space="preserve"> </v>
      </c>
      <c r="AA619" s="14"/>
      <c r="AB619" s="14"/>
      <c r="AC619" s="346">
        <f ca="1">LCI_Table[[#This Row],[Default Calculated Value]]-LCI_Table[[#This Row],[Calculated Value]]</f>
        <v>0</v>
      </c>
    </row>
    <row r="620" spans="1:29" x14ac:dyDescent="0.3">
      <c r="A6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STJGREETGREET(blank)_Cellulosic_Biological_STJ_GlucoseGlucose</v>
      </c>
      <c r="B620" s="14" t="s">
        <v>135</v>
      </c>
      <c r="C620" s="14" t="s">
        <v>139</v>
      </c>
      <c r="D620" s="14" t="s">
        <v>29</v>
      </c>
      <c r="E620" s="48" t="s">
        <v>29</v>
      </c>
      <c r="F620" s="14" t="s">
        <v>31</v>
      </c>
      <c r="G620" s="14" t="b">
        <f>OR(LCI_Table[[#This Row],[Feedstock]]="All",LCI_Table[[#This Row],[Feedstock]]=SelectedFeedstock)</f>
        <v>0</v>
      </c>
      <c r="H620" s="14" t="b">
        <f>OR(LCI_Table[[#This Row],[Conversion]]="All",LCI_Table[[#This Row],[Conversion]]=SelectedConversion)</f>
        <v>0</v>
      </c>
      <c r="I620" s="14" t="b">
        <f>OR(LCI_Table[[#This Row],[Data Set]]="all",LCI_Table[[#This Row],[Data Set]]=SelectedDataSet)</f>
        <v>1</v>
      </c>
      <c r="J620" s="14" t="b">
        <f>OR(LCI_Table[[#This Row],[Technology]]="All",LCI_Table[[#This Row],[Technology]]=SelectedTechnology)</f>
        <v>1</v>
      </c>
      <c r="K620" s="14" t="b">
        <f>OR(LCI_Table[[#This Row],[Data Source]]="All",LCI_Table[[#This Row],[Data Source]]=SelectedDataSource)</f>
        <v>1</v>
      </c>
      <c r="L620" s="14" t="b">
        <f>TRUE</f>
        <v>1</v>
      </c>
      <c r="M620" s="14" t="b">
        <f>(LCI_Table[[#This Row],[Dev Notes]]="Do not display")</f>
        <v>0</v>
      </c>
      <c r="N620" s="14" t="b">
        <f>AND(LCI_Table[[#This Row],[Show Feedstock]:[Conditional]],NOT(LCI_Table[[#This Row],[Hide Row]]))</f>
        <v>0</v>
      </c>
      <c r="O620" s="14" t="b">
        <f>LCI_Table[[#This Row],[GREET1 Name Range]]=""</f>
        <v>0</v>
      </c>
      <c r="P620" s="14" t="s">
        <v>1448</v>
      </c>
      <c r="Q620" s="14" t="s">
        <v>538</v>
      </c>
      <c r="R620" s="14" t="s">
        <v>387</v>
      </c>
      <c r="S620" s="37" cm="1">
        <f t="array" aca="1" ref="S6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2777.431556158283</v>
      </c>
      <c r="T620" s="346" t="s">
        <v>2127</v>
      </c>
      <c r="U620" s="347">
        <f ca="1">S620/kg2g/Allocations!$O$63*MJ2mmBTU</f>
        <v>2.632497185962509E-3</v>
      </c>
      <c r="V620" s="347">
        <v>2777.431556158283</v>
      </c>
      <c r="W620" s="347">
        <v>2.632497185962509E-3</v>
      </c>
      <c r="X620" s="37" t="s">
        <v>6</v>
      </c>
      <c r="Y620" s="346" t="s">
        <v>416</v>
      </c>
      <c r="Z620" s="14" t="str">
        <f>IF(ISBLANK(LCI_Table[[#This Row],[Notes for user]])," ",LCI_Table[[#This Row],[Notes for user]])</f>
        <v xml:space="preserve"> </v>
      </c>
      <c r="AA620" s="14"/>
      <c r="AB620" s="14"/>
      <c r="AC620" s="346">
        <f ca="1">LCI_Table[[#This Row],[Default Calculated Value]]-LCI_Table[[#This Row],[Calculated Value]]</f>
        <v>0</v>
      </c>
    </row>
    <row r="621" spans="1:29" x14ac:dyDescent="0.3">
      <c r="A6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STJGREETGREET(blank)_Cellulosic_Biological_STJ_Host_nutrientsHost nutrients</v>
      </c>
      <c r="B621" s="14" t="s">
        <v>135</v>
      </c>
      <c r="C621" s="14" t="s">
        <v>139</v>
      </c>
      <c r="D621" s="14" t="s">
        <v>29</v>
      </c>
      <c r="E621" s="48" t="s">
        <v>29</v>
      </c>
      <c r="F621" s="14" t="s">
        <v>31</v>
      </c>
      <c r="G621" s="14" t="b">
        <f>OR(LCI_Table[[#This Row],[Feedstock]]="All",LCI_Table[[#This Row],[Feedstock]]=SelectedFeedstock)</f>
        <v>0</v>
      </c>
      <c r="H621" s="14" t="b">
        <f>OR(LCI_Table[[#This Row],[Conversion]]="All",LCI_Table[[#This Row],[Conversion]]=SelectedConversion)</f>
        <v>0</v>
      </c>
      <c r="I621" s="14" t="b">
        <f>OR(LCI_Table[[#This Row],[Data Set]]="all",LCI_Table[[#This Row],[Data Set]]=SelectedDataSet)</f>
        <v>1</v>
      </c>
      <c r="J621" s="14" t="b">
        <f>OR(LCI_Table[[#This Row],[Technology]]="All",LCI_Table[[#This Row],[Technology]]=SelectedTechnology)</f>
        <v>1</v>
      </c>
      <c r="K621" s="14" t="b">
        <f>OR(LCI_Table[[#This Row],[Data Source]]="All",LCI_Table[[#This Row],[Data Source]]=SelectedDataSource)</f>
        <v>1</v>
      </c>
      <c r="L621" s="14" t="b">
        <f>TRUE</f>
        <v>1</v>
      </c>
      <c r="M621" s="14" t="b">
        <f>(LCI_Table[[#This Row],[Dev Notes]]="Do not display")</f>
        <v>0</v>
      </c>
      <c r="N621" s="14" t="b">
        <f>AND(LCI_Table[[#This Row],[Show Feedstock]:[Conditional]],NOT(LCI_Table[[#This Row],[Hide Row]]))</f>
        <v>0</v>
      </c>
      <c r="O621" s="14" t="b">
        <f>LCI_Table[[#This Row],[GREET1 Name Range]]=""</f>
        <v>0</v>
      </c>
      <c r="P621" s="14" t="s">
        <v>1448</v>
      </c>
      <c r="Q621" s="14" t="s">
        <v>539</v>
      </c>
      <c r="R621" s="14" t="s">
        <v>388</v>
      </c>
      <c r="S621" s="37" cm="1">
        <f t="array" aca="1" ref="S6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77.850513527932108</v>
      </c>
      <c r="T621" s="346" t="s">
        <v>2127</v>
      </c>
      <c r="U621" s="347">
        <f ca="1">S621/kg2g/Allocations!$O$63*MJ2mmBTU</f>
        <v>7.3788049730194008E-5</v>
      </c>
      <c r="V621" s="347">
        <v>77.850513527932108</v>
      </c>
      <c r="W621" s="347">
        <v>7.3788049730194008E-5</v>
      </c>
      <c r="X621" s="37" t="s">
        <v>6</v>
      </c>
      <c r="Y621" s="346" t="s">
        <v>416</v>
      </c>
      <c r="Z621" s="14" t="str">
        <f>IF(ISBLANK(LCI_Table[[#This Row],[Notes for user]])," ",LCI_Table[[#This Row],[Notes for user]])</f>
        <v xml:space="preserve"> </v>
      </c>
      <c r="AA621" s="14"/>
      <c r="AB621" s="14"/>
      <c r="AC621" s="346">
        <f ca="1">LCI_Table[[#This Row],[Default Calculated Value]]-LCI_Table[[#This Row],[Calculated Value]]</f>
        <v>0</v>
      </c>
    </row>
    <row r="622" spans="1:29" x14ac:dyDescent="0.3">
      <c r="A6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STJGREETGREET(blank)_Cellulosic_Biological_STJ_LimeLime</v>
      </c>
      <c r="B622" s="14" t="s">
        <v>135</v>
      </c>
      <c r="C622" s="14" t="s">
        <v>139</v>
      </c>
      <c r="D622" s="14" t="s">
        <v>29</v>
      </c>
      <c r="E622" s="48" t="s">
        <v>29</v>
      </c>
      <c r="F622" s="14" t="s">
        <v>31</v>
      </c>
      <c r="G622" s="14" t="b">
        <f>OR(LCI_Table[[#This Row],[Feedstock]]="All",LCI_Table[[#This Row],[Feedstock]]=SelectedFeedstock)</f>
        <v>0</v>
      </c>
      <c r="H622" s="14" t="b">
        <f>OR(LCI_Table[[#This Row],[Conversion]]="All",LCI_Table[[#This Row],[Conversion]]=SelectedConversion)</f>
        <v>0</v>
      </c>
      <c r="I622" s="14" t="b">
        <f>OR(LCI_Table[[#This Row],[Data Set]]="all",LCI_Table[[#This Row],[Data Set]]=SelectedDataSet)</f>
        <v>1</v>
      </c>
      <c r="J622" s="14" t="b">
        <f>OR(LCI_Table[[#This Row],[Technology]]="All",LCI_Table[[#This Row],[Technology]]=SelectedTechnology)</f>
        <v>1</v>
      </c>
      <c r="K622" s="14" t="b">
        <f>OR(LCI_Table[[#This Row],[Data Source]]="All",LCI_Table[[#This Row],[Data Source]]=SelectedDataSource)</f>
        <v>1</v>
      </c>
      <c r="L622" s="14" t="b">
        <f>TRUE</f>
        <v>1</v>
      </c>
      <c r="M622" s="14" t="b">
        <f>(LCI_Table[[#This Row],[Dev Notes]]="Do not display")</f>
        <v>0</v>
      </c>
      <c r="N622" s="14" t="b">
        <f>AND(LCI_Table[[#This Row],[Show Feedstock]:[Conditional]],NOT(LCI_Table[[#This Row],[Hide Row]]))</f>
        <v>0</v>
      </c>
      <c r="O622" s="14" t="b">
        <f>LCI_Table[[#This Row],[GREET1 Name Range]]=""</f>
        <v>0</v>
      </c>
      <c r="P622" s="14" t="s">
        <v>1448</v>
      </c>
      <c r="Q622" s="14" t="s">
        <v>541</v>
      </c>
      <c r="R622" s="14" t="s">
        <v>143</v>
      </c>
      <c r="S622" s="37" cm="1">
        <f t="array" aca="1" ref="S6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437.33670834808913</v>
      </c>
      <c r="T622" s="346" t="s">
        <v>2127</v>
      </c>
      <c r="U622" s="347">
        <f ca="1">S622/kg2g/Allocations!$O$63*MJ2mmBTU</f>
        <v>4.1451522054314859E-4</v>
      </c>
      <c r="V622" s="347">
        <v>437.33670834808913</v>
      </c>
      <c r="W622" s="347">
        <v>4.1451522054314859E-4</v>
      </c>
      <c r="X622" s="14" t="s">
        <v>6</v>
      </c>
      <c r="Y622" s="346" t="s">
        <v>416</v>
      </c>
      <c r="Z622" s="14" t="str">
        <f>IF(ISBLANK(LCI_Table[[#This Row],[Notes for user]])," ",LCI_Table[[#This Row],[Notes for user]])</f>
        <v xml:space="preserve"> </v>
      </c>
      <c r="AA622" s="14"/>
      <c r="AB622" s="14"/>
      <c r="AC622" s="346">
        <f ca="1">LCI_Table[[#This Row],[Default Calculated Value]]-LCI_Table[[#This Row],[Calculated Value]]</f>
        <v>0</v>
      </c>
    </row>
    <row r="623" spans="1:29" x14ac:dyDescent="0.3">
      <c r="A6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STJGREETGREET(blank)_Cellulosic_Biological_STJ_Sulfuric_acidSulfuric acid</v>
      </c>
      <c r="B623" s="14" t="s">
        <v>135</v>
      </c>
      <c r="C623" s="14" t="s">
        <v>139</v>
      </c>
      <c r="D623" s="14" t="s">
        <v>29</v>
      </c>
      <c r="E623" s="48" t="s">
        <v>29</v>
      </c>
      <c r="F623" s="14" t="s">
        <v>31</v>
      </c>
      <c r="G623" s="14" t="b">
        <f>OR(LCI_Table[[#This Row],[Feedstock]]="All",LCI_Table[[#This Row],[Feedstock]]=SelectedFeedstock)</f>
        <v>0</v>
      </c>
      <c r="H623" s="14" t="b">
        <f>OR(LCI_Table[[#This Row],[Conversion]]="All",LCI_Table[[#This Row],[Conversion]]=SelectedConversion)</f>
        <v>0</v>
      </c>
      <c r="I623" s="14" t="b">
        <f>OR(LCI_Table[[#This Row],[Data Set]]="all",LCI_Table[[#This Row],[Data Set]]=SelectedDataSet)</f>
        <v>1</v>
      </c>
      <c r="J623" s="14" t="b">
        <f>OR(LCI_Table[[#This Row],[Technology]]="All",LCI_Table[[#This Row],[Technology]]=SelectedTechnology)</f>
        <v>1</v>
      </c>
      <c r="K623" s="14" t="b">
        <f>OR(LCI_Table[[#This Row],[Data Source]]="All",LCI_Table[[#This Row],[Data Source]]=SelectedDataSource)</f>
        <v>1</v>
      </c>
      <c r="L623" s="14" t="b">
        <f>TRUE</f>
        <v>1</v>
      </c>
      <c r="M623" s="14" t="b">
        <f>(LCI_Table[[#This Row],[Dev Notes]]="Do not display")</f>
        <v>0</v>
      </c>
      <c r="N623" s="14" t="b">
        <f>AND(LCI_Table[[#This Row],[Show Feedstock]:[Conditional]],NOT(LCI_Table[[#This Row],[Hide Row]]))</f>
        <v>0</v>
      </c>
      <c r="O623" s="14" t="b">
        <f>LCI_Table[[#This Row],[GREET1 Name Range]]=""</f>
        <v>0</v>
      </c>
      <c r="P623" s="14" t="s">
        <v>1448</v>
      </c>
      <c r="Q623" s="14" t="s">
        <v>542</v>
      </c>
      <c r="R623" s="14" t="s">
        <v>384</v>
      </c>
      <c r="S623" s="37" cm="1">
        <f t="array" aca="1" ref="S6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5128.9750088990568</v>
      </c>
      <c r="T623" s="346" t="s">
        <v>2127</v>
      </c>
      <c r="U623" s="347">
        <f ca="1">S623/kg2g/Allocations!$O$63*MJ2mmBTU</f>
        <v>4.8613303351657229E-3</v>
      </c>
      <c r="V623" s="347">
        <v>5128.9750088990568</v>
      </c>
      <c r="W623" s="347">
        <v>4.8613303351657229E-3</v>
      </c>
      <c r="X623" s="37" t="s">
        <v>6</v>
      </c>
      <c r="Y623" s="346" t="s">
        <v>416</v>
      </c>
      <c r="Z623" s="14" t="str">
        <f>IF(ISBLANK(LCI_Table[[#This Row],[Notes for user]])," ",LCI_Table[[#This Row],[Notes for user]])</f>
        <v xml:space="preserve"> </v>
      </c>
      <c r="AA623" s="14"/>
      <c r="AB623" s="14"/>
      <c r="AC623" s="346">
        <f ca="1">LCI_Table[[#This Row],[Default Calculated Value]]-LCI_Table[[#This Row],[Calculated Value]]</f>
        <v>0</v>
      </c>
    </row>
    <row r="624" spans="1:29" x14ac:dyDescent="0.3">
      <c r="A6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STJGREETGREET(blank)_Cellulosic_Biological_STJ_WaterWater</v>
      </c>
      <c r="B624" s="14" t="s">
        <v>135</v>
      </c>
      <c r="C624" s="14" t="s">
        <v>139</v>
      </c>
      <c r="D624" s="14" t="s">
        <v>29</v>
      </c>
      <c r="E624" s="48" t="s">
        <v>29</v>
      </c>
      <c r="F624" s="14" t="s">
        <v>31</v>
      </c>
      <c r="G624" s="14" t="b">
        <f>OR(LCI_Table[[#This Row],[Feedstock]]="All",LCI_Table[[#This Row],[Feedstock]]=SelectedFeedstock)</f>
        <v>0</v>
      </c>
      <c r="H624" s="14" t="b">
        <f>OR(LCI_Table[[#This Row],[Conversion]]="All",LCI_Table[[#This Row],[Conversion]]=SelectedConversion)</f>
        <v>0</v>
      </c>
      <c r="I624" s="14" t="b">
        <f>OR(LCI_Table[[#This Row],[Data Set]]="all",LCI_Table[[#This Row],[Data Set]]=SelectedDataSet)</f>
        <v>1</v>
      </c>
      <c r="J624" s="14" t="b">
        <f>OR(LCI_Table[[#This Row],[Technology]]="All",LCI_Table[[#This Row],[Technology]]=SelectedTechnology)</f>
        <v>1</v>
      </c>
      <c r="K624" s="14" t="b">
        <f>OR(LCI_Table[[#This Row],[Data Source]]="All",LCI_Table[[#This Row],[Data Source]]=SelectedDataSource)</f>
        <v>1</v>
      </c>
      <c r="L624" s="14" t="b">
        <f>TRUE</f>
        <v>1</v>
      </c>
      <c r="M624" s="14" t="b">
        <f>(LCI_Table[[#This Row],[Dev Notes]]="Do not display")</f>
        <v>0</v>
      </c>
      <c r="N624" s="14" t="b">
        <f>AND(LCI_Table[[#This Row],[Show Feedstock]:[Conditional]],NOT(LCI_Table[[#This Row],[Hide Row]]))</f>
        <v>0</v>
      </c>
      <c r="O624" s="14" t="b">
        <f>LCI_Table[[#This Row],[GREET1 Name Range]]=""</f>
        <v>0</v>
      </c>
      <c r="P624" s="14" t="s">
        <v>1448</v>
      </c>
      <c r="Q624" s="14" t="s">
        <v>543</v>
      </c>
      <c r="R624" s="14" t="s">
        <v>146</v>
      </c>
      <c r="S624" s="37" cm="1">
        <f t="array" aca="1" ref="S6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133.25118652693723</v>
      </c>
      <c r="T624" s="346" t="s">
        <v>2128</v>
      </c>
      <c r="U624" s="347">
        <f ca="1">S624/kg2lb*Fuel_Specs!$K$4/Allocations!$O$63*MJ2mmBTU</f>
        <v>0.47667948220408035</v>
      </c>
      <c r="V624" s="347">
        <v>133.25118652693723</v>
      </c>
      <c r="W624" s="347">
        <v>0.47667948220408035</v>
      </c>
      <c r="X624" s="37" t="s">
        <v>5</v>
      </c>
      <c r="Y624" s="346" t="s">
        <v>416</v>
      </c>
      <c r="Z624" s="14" t="str">
        <f>IF(ISBLANK(LCI_Table[[#This Row],[Notes for user]])," ",LCI_Table[[#This Row],[Notes for user]])</f>
        <v xml:space="preserve"> </v>
      </c>
      <c r="AA624" s="14"/>
      <c r="AB624" s="14"/>
      <c r="AC624" s="346">
        <f ca="1">LCI_Table[[#This Row],[Default Calculated Value]]-LCI_Table[[#This Row],[Calculated Value]]</f>
        <v>0</v>
      </c>
    </row>
    <row r="625" spans="1:29" x14ac:dyDescent="0.3">
      <c r="A6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stoverBiological STJGREETGREET(blank)_Cellulosic_Biological_STJ_Electricity_co_producedElectricity (co-produced)</v>
      </c>
      <c r="B625" s="14" t="s">
        <v>135</v>
      </c>
      <c r="C625" s="14" t="s">
        <v>139</v>
      </c>
      <c r="D625" s="14" t="s">
        <v>29</v>
      </c>
      <c r="E625" s="48" t="s">
        <v>29</v>
      </c>
      <c r="F625" s="14" t="s">
        <v>31</v>
      </c>
      <c r="G625" s="14" t="b">
        <f>OR(LCI_Table[[#This Row],[Feedstock]]="All",LCI_Table[[#This Row],[Feedstock]]=SelectedFeedstock)</f>
        <v>0</v>
      </c>
      <c r="H625" s="14" t="b">
        <f>OR(LCI_Table[[#This Row],[Conversion]]="All",LCI_Table[[#This Row],[Conversion]]=SelectedConversion)</f>
        <v>0</v>
      </c>
      <c r="I625" s="14" t="b">
        <f>OR(LCI_Table[[#This Row],[Data Set]]="all",LCI_Table[[#This Row],[Data Set]]=SelectedDataSet)</f>
        <v>1</v>
      </c>
      <c r="J625" s="14" t="b">
        <f>OR(LCI_Table[[#This Row],[Technology]]="All",LCI_Table[[#This Row],[Technology]]=SelectedTechnology)</f>
        <v>1</v>
      </c>
      <c r="K625" s="14" t="b">
        <f>OR(LCI_Table[[#This Row],[Data Source]]="All",LCI_Table[[#This Row],[Data Source]]=SelectedDataSource)</f>
        <v>1</v>
      </c>
      <c r="L625" s="14" t="b">
        <f>TRUE</f>
        <v>1</v>
      </c>
      <c r="M625" s="14" t="b">
        <f>(LCI_Table[[#This Row],[Dev Notes]]="Do not display")</f>
        <v>0</v>
      </c>
      <c r="N625" s="14" t="b">
        <f>AND(LCI_Table[[#This Row],[Show Feedstock]:[Conditional]],NOT(LCI_Table[[#This Row],[Hide Row]]))</f>
        <v>0</v>
      </c>
      <c r="O625" s="14" t="b">
        <f>LCI_Table[[#This Row],[GREET1 Name Range]]=""</f>
        <v>0</v>
      </c>
      <c r="P625" s="14" t="s">
        <v>1448</v>
      </c>
      <c r="Q625" s="14" t="s">
        <v>537</v>
      </c>
      <c r="R625" s="14" t="s">
        <v>439</v>
      </c>
      <c r="S625" s="37" cm="1">
        <f t="array" aca="1" ref="S6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23.554359784171666</v>
      </c>
      <c r="T625" s="346" t="s">
        <v>2121</v>
      </c>
      <c r="U625" s="347">
        <f ca="1">S625/Allocations!$O$63*MJ2mmBTU</f>
        <v>2.2325225516897199E-2</v>
      </c>
      <c r="V625" s="347">
        <v>23.554359784171666</v>
      </c>
      <c r="W625" s="347">
        <v>2.2325225516897199E-2</v>
      </c>
      <c r="X625" s="37" t="s">
        <v>51</v>
      </c>
      <c r="Y625" s="346" t="s">
        <v>416</v>
      </c>
      <c r="Z625" s="14" t="str">
        <f>IF(ISBLANK(LCI_Table[[#This Row],[Notes for user]])," ",LCI_Table[[#This Row],[Notes for user]])</f>
        <v xml:space="preserve"> </v>
      </c>
      <c r="AA625" s="14"/>
      <c r="AB625" s="14"/>
      <c r="AC625" s="346">
        <f ca="1">LCI_Table[[#This Row],[Default Calculated Value]]-LCI_Table[[#This Row],[Calculated Value]]</f>
        <v>0</v>
      </c>
    </row>
    <row r="626" spans="1:29" x14ac:dyDescent="0.3">
      <c r="A6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stoverCatalytic STJGREETGREET(blank)_Yield_Collection</v>
      </c>
      <c r="B626" s="48" t="s">
        <v>135</v>
      </c>
      <c r="C626" s="48" t="s">
        <v>140</v>
      </c>
      <c r="D626" s="48" t="s">
        <v>29</v>
      </c>
      <c r="E626" s="48" t="s">
        <v>29</v>
      </c>
      <c r="F626" s="48" t="s">
        <v>31</v>
      </c>
      <c r="G626" s="14" t="b">
        <f>OR(LCI_Table[[#This Row],[Feedstock]]="All",LCI_Table[[#This Row],[Feedstock]]=SelectedFeedstock)</f>
        <v>0</v>
      </c>
      <c r="H626" s="14" t="b">
        <f>OR(LCI_Table[[#This Row],[Conversion]]="All",LCI_Table[[#This Row],[Conversion]]=SelectedConversion)</f>
        <v>0</v>
      </c>
      <c r="I626" s="14" t="b">
        <f>OR(LCI_Table[[#This Row],[Data Set]]="all",LCI_Table[[#This Row],[Data Set]]=SelectedDataSet)</f>
        <v>1</v>
      </c>
      <c r="J626" s="14" t="b">
        <f>OR(LCI_Table[[#This Row],[Technology]]="All",LCI_Table[[#This Row],[Technology]]=SelectedTechnology)</f>
        <v>1</v>
      </c>
      <c r="K626" s="14" t="b">
        <f>OR(LCI_Table[[#This Row],[Data Source]]="All",LCI_Table[[#This Row],[Data Source]]=SelectedDataSource)</f>
        <v>1</v>
      </c>
      <c r="L626" s="14" t="b">
        <f>TRUE</f>
        <v>1</v>
      </c>
      <c r="M626" s="14" t="b">
        <f>(LCI_Table[[#This Row],[Dev Notes]]="Do not display")</f>
        <v>0</v>
      </c>
      <c r="N626" s="14" t="b">
        <f>AND(LCI_Table[[#This Row],[Show Feedstock]:[Conditional]],NOT(LCI_Table[[#This Row],[Hide Row]]))</f>
        <v>0</v>
      </c>
      <c r="O626" s="14" t="b">
        <f>LCI_Table[[#This Row],[GREET1 Name Range]]=""</f>
        <v>1</v>
      </c>
      <c r="P626" s="48" t="s">
        <v>147</v>
      </c>
      <c r="Q626" s="14" t="s">
        <v>361</v>
      </c>
      <c r="R626" s="48" t="s">
        <v>200</v>
      </c>
      <c r="S626" s="37" cm="1">
        <f t="array" aca="1" ref="S6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1.2844800000000001</v>
      </c>
      <c r="T626" s="346" t="s">
        <v>2116</v>
      </c>
      <c r="U626" s="344"/>
      <c r="V626" s="344">
        <v>1.2844800000000001</v>
      </c>
      <c r="W626" s="344"/>
      <c r="X626" s="48" t="s">
        <v>55</v>
      </c>
      <c r="Y626" s="346" t="s">
        <v>413</v>
      </c>
      <c r="Z626" s="14" t="str">
        <f>IF(ISBLANK(LCI_Table[[#This Row],[Notes for user]])," ",LCI_Table[[#This Row],[Notes for user]])</f>
        <v xml:space="preserve"> </v>
      </c>
      <c r="AA626" s="48"/>
      <c r="AB626" s="345"/>
      <c r="AC626" s="346">
        <f>LCI_Table[[#This Row],[Default Calculated Value]]-LCI_Table[[#This Row],[Calculated Value]]</f>
        <v>0</v>
      </c>
    </row>
    <row r="627" spans="1:29" x14ac:dyDescent="0.3">
      <c r="A6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STJGREETGREET(blank)_CornStover_Farming_Nitrogen_fertilizerNitrogen fertilizer</v>
      </c>
      <c r="B627" s="14" t="s">
        <v>135</v>
      </c>
      <c r="C627" s="14" t="s">
        <v>140</v>
      </c>
      <c r="D627" s="14" t="s">
        <v>29</v>
      </c>
      <c r="E627" s="48" t="s">
        <v>29</v>
      </c>
      <c r="F627" s="14" t="s">
        <v>31</v>
      </c>
      <c r="G627" s="14" t="b">
        <f>OR(LCI_Table[[#This Row],[Feedstock]]="All",LCI_Table[[#This Row],[Feedstock]]=SelectedFeedstock)</f>
        <v>0</v>
      </c>
      <c r="H627" s="14" t="b">
        <f>OR(LCI_Table[[#This Row],[Conversion]]="All",LCI_Table[[#This Row],[Conversion]]=SelectedConversion)</f>
        <v>0</v>
      </c>
      <c r="I627" s="14" t="b">
        <f>OR(LCI_Table[[#This Row],[Data Set]]="all",LCI_Table[[#This Row],[Data Set]]=SelectedDataSet)</f>
        <v>1</v>
      </c>
      <c r="J627" s="14" t="b">
        <f>OR(LCI_Table[[#This Row],[Technology]]="All",LCI_Table[[#This Row],[Technology]]=SelectedTechnology)</f>
        <v>1</v>
      </c>
      <c r="K627" s="14" t="b">
        <f>OR(LCI_Table[[#This Row],[Data Source]]="All",LCI_Table[[#This Row],[Data Source]]=SelectedDataSource)</f>
        <v>1</v>
      </c>
      <c r="L627" s="14" t="b">
        <f>TRUE</f>
        <v>1</v>
      </c>
      <c r="M627" s="14" t="b">
        <f>(LCI_Table[[#This Row],[Dev Notes]]="Do not display")</f>
        <v>0</v>
      </c>
      <c r="N627" s="14" t="b">
        <f>AND(LCI_Table[[#This Row],[Show Feedstock]:[Conditional]],NOT(LCI_Table[[#This Row],[Hide Row]]))</f>
        <v>0</v>
      </c>
      <c r="O627" s="14" t="b">
        <f>LCI_Table[[#This Row],[GREET1 Name Range]]=""</f>
        <v>0</v>
      </c>
      <c r="P627" s="14" t="s">
        <v>147</v>
      </c>
      <c r="Q627" s="14" t="s">
        <v>614</v>
      </c>
      <c r="R627" s="14" t="s">
        <v>111</v>
      </c>
      <c r="S627" s="37" cm="1">
        <f t="array" aca="1" ref="S6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9.0130548121262457</v>
      </c>
      <c r="T627" s="346" t="s">
        <v>1485</v>
      </c>
      <c r="U627" s="347">
        <f ca="1">S627/S626*lb2g</f>
        <v>3182.8077456809356</v>
      </c>
      <c r="V627" s="347">
        <v>9.0130548121262457</v>
      </c>
      <c r="W627" s="347">
        <v>3182.8077456809356</v>
      </c>
      <c r="X627" s="14" t="s">
        <v>12</v>
      </c>
      <c r="Y627" s="346" t="s">
        <v>413</v>
      </c>
      <c r="Z627" s="14" t="str">
        <f>IF(ISBLANK(LCI_Table[[#This Row],[Notes for user]])," ",LCI_Table[[#This Row],[Notes for user]])</f>
        <v xml:space="preserve"> </v>
      </c>
      <c r="AA627" s="14"/>
      <c r="AB627" s="14"/>
      <c r="AC627" s="346">
        <f ca="1">LCI_Table[[#This Row],[Default Calculated Value]]-LCI_Table[[#This Row],[Calculated Value]]</f>
        <v>0</v>
      </c>
    </row>
    <row r="628" spans="1:29" x14ac:dyDescent="0.3">
      <c r="A6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STJGREETGREET(blank)_CornStover_Farming_P2O5P2O5</v>
      </c>
      <c r="B628" s="14" t="s">
        <v>135</v>
      </c>
      <c r="C628" s="14" t="s">
        <v>140</v>
      </c>
      <c r="D628" s="14" t="s">
        <v>29</v>
      </c>
      <c r="E628" s="48" t="s">
        <v>29</v>
      </c>
      <c r="F628" s="14" t="s">
        <v>31</v>
      </c>
      <c r="G628" s="14" t="b">
        <f>OR(LCI_Table[[#This Row],[Feedstock]]="All",LCI_Table[[#This Row],[Feedstock]]=SelectedFeedstock)</f>
        <v>0</v>
      </c>
      <c r="H628" s="14" t="b">
        <f>OR(LCI_Table[[#This Row],[Conversion]]="All",LCI_Table[[#This Row],[Conversion]]=SelectedConversion)</f>
        <v>0</v>
      </c>
      <c r="I628" s="14" t="b">
        <f>OR(LCI_Table[[#This Row],[Data Set]]="all",LCI_Table[[#This Row],[Data Set]]=SelectedDataSet)</f>
        <v>1</v>
      </c>
      <c r="J628" s="14" t="b">
        <f>OR(LCI_Table[[#This Row],[Technology]]="All",LCI_Table[[#This Row],[Technology]]=SelectedTechnology)</f>
        <v>1</v>
      </c>
      <c r="K628" s="14" t="b">
        <f>OR(LCI_Table[[#This Row],[Data Source]]="All",LCI_Table[[#This Row],[Data Source]]=SelectedDataSource)</f>
        <v>1</v>
      </c>
      <c r="L628" s="14" t="b">
        <f>TRUE</f>
        <v>1</v>
      </c>
      <c r="M628" s="14" t="b">
        <f>(LCI_Table[[#This Row],[Dev Notes]]="Do not display")</f>
        <v>0</v>
      </c>
      <c r="N628" s="14" t="b">
        <f>AND(LCI_Table[[#This Row],[Show Feedstock]:[Conditional]],NOT(LCI_Table[[#This Row],[Hide Row]]))</f>
        <v>0</v>
      </c>
      <c r="O628" s="14" t="b">
        <f>LCI_Table[[#This Row],[GREET1 Name Range]]=""</f>
        <v>0</v>
      </c>
      <c r="P628" s="14" t="s">
        <v>147</v>
      </c>
      <c r="Q628" s="14" t="s">
        <v>615</v>
      </c>
      <c r="R628" s="14" t="s">
        <v>112</v>
      </c>
      <c r="S628" s="37" cm="1">
        <f t="array" aca="1" ref="S6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6.4378962943758911</v>
      </c>
      <c r="T628" s="346" t="s">
        <v>1485</v>
      </c>
      <c r="U628" s="347">
        <f ca="1">S628/S626*lb2g</f>
        <v>2273.434104057812</v>
      </c>
      <c r="V628" s="347">
        <v>6.4378962943758911</v>
      </c>
      <c r="W628" s="347">
        <v>2273.434104057812</v>
      </c>
      <c r="X628" s="14" t="s">
        <v>12</v>
      </c>
      <c r="Y628" s="346" t="s">
        <v>413</v>
      </c>
      <c r="Z628" s="14" t="str">
        <f>IF(ISBLANK(LCI_Table[[#This Row],[Notes for user]])," ",LCI_Table[[#This Row],[Notes for user]])</f>
        <v xml:space="preserve"> </v>
      </c>
      <c r="AA628" s="14"/>
      <c r="AB628" s="14"/>
      <c r="AC628" s="346">
        <f ca="1">LCI_Table[[#This Row],[Default Calculated Value]]-LCI_Table[[#This Row],[Calculated Value]]</f>
        <v>0</v>
      </c>
    </row>
    <row r="629" spans="1:29" x14ac:dyDescent="0.3">
      <c r="A6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STJGREETGREET(blank)_CornStover_Farming_K2OK2O</v>
      </c>
      <c r="B629" s="14" t="s">
        <v>135</v>
      </c>
      <c r="C629" s="14" t="s">
        <v>140</v>
      </c>
      <c r="D629" s="14" t="s">
        <v>29</v>
      </c>
      <c r="E629" s="48" t="s">
        <v>29</v>
      </c>
      <c r="F629" s="14" t="s">
        <v>31</v>
      </c>
      <c r="G629" s="14" t="b">
        <f>OR(LCI_Table[[#This Row],[Feedstock]]="All",LCI_Table[[#This Row],[Feedstock]]=SelectedFeedstock)</f>
        <v>0</v>
      </c>
      <c r="H629" s="14" t="b">
        <f>OR(LCI_Table[[#This Row],[Conversion]]="All",LCI_Table[[#This Row],[Conversion]]=SelectedConversion)</f>
        <v>0</v>
      </c>
      <c r="I629" s="14" t="b">
        <f>OR(LCI_Table[[#This Row],[Data Set]]="all",LCI_Table[[#This Row],[Data Set]]=SelectedDataSet)</f>
        <v>1</v>
      </c>
      <c r="J629" s="14" t="b">
        <f>OR(LCI_Table[[#This Row],[Technology]]="All",LCI_Table[[#This Row],[Technology]]=SelectedTechnology)</f>
        <v>1</v>
      </c>
      <c r="K629" s="14" t="b">
        <f>OR(LCI_Table[[#This Row],[Data Source]]="All",LCI_Table[[#This Row],[Data Source]]=SelectedDataSource)</f>
        <v>1</v>
      </c>
      <c r="L629" s="14" t="b">
        <f>TRUE</f>
        <v>1</v>
      </c>
      <c r="M629" s="14" t="b">
        <f>(LCI_Table[[#This Row],[Dev Notes]]="Do not display")</f>
        <v>0</v>
      </c>
      <c r="N629" s="14" t="b">
        <f>AND(LCI_Table[[#This Row],[Show Feedstock]:[Conditional]],NOT(LCI_Table[[#This Row],[Hide Row]]))</f>
        <v>0</v>
      </c>
      <c r="O629" s="14" t="b">
        <f>LCI_Table[[#This Row],[GREET1 Name Range]]=""</f>
        <v>0</v>
      </c>
      <c r="P629" s="14" t="s">
        <v>147</v>
      </c>
      <c r="Q629" s="14" t="s">
        <v>611</v>
      </c>
      <c r="R629" s="14" t="s">
        <v>113</v>
      </c>
      <c r="S629" s="37" cm="1">
        <f t="array" aca="1" ref="S6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38.627377766255343</v>
      </c>
      <c r="T629" s="346" t="s">
        <v>1485</v>
      </c>
      <c r="U629" s="347">
        <f ca="1">S629/S626*lb2g</f>
        <v>13640.60462434687</v>
      </c>
      <c r="V629" s="347">
        <v>38.627377766255343</v>
      </c>
      <c r="W629" s="347">
        <v>13640.60462434687</v>
      </c>
      <c r="X629" s="14" t="s">
        <v>12</v>
      </c>
      <c r="Y629" s="346" t="s">
        <v>413</v>
      </c>
      <c r="Z629" s="14" t="str">
        <f>IF(ISBLANK(LCI_Table[[#This Row],[Notes for user]])," ",LCI_Table[[#This Row],[Notes for user]])</f>
        <v xml:space="preserve"> </v>
      </c>
      <c r="AA629" s="14"/>
      <c r="AB629" s="14"/>
      <c r="AC629" s="346">
        <f ca="1">LCI_Table[[#This Row],[Default Calculated Value]]-LCI_Table[[#This Row],[Calculated Value]]</f>
        <v>0</v>
      </c>
    </row>
    <row r="630" spans="1:29" x14ac:dyDescent="0.3">
      <c r="A6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STJGREETGREET(blank)_CornStover_Farming_HerbicidesHerbicides</v>
      </c>
      <c r="B630" s="14" t="s">
        <v>135</v>
      </c>
      <c r="C630" s="14" t="s">
        <v>140</v>
      </c>
      <c r="D630" s="14" t="s">
        <v>29</v>
      </c>
      <c r="E630" s="48" t="s">
        <v>29</v>
      </c>
      <c r="F630" s="14" t="s">
        <v>31</v>
      </c>
      <c r="G630" s="14" t="b">
        <f>OR(LCI_Table[[#This Row],[Feedstock]]="All",LCI_Table[[#This Row],[Feedstock]]=SelectedFeedstock)</f>
        <v>0</v>
      </c>
      <c r="H630" s="14" t="b">
        <f>OR(LCI_Table[[#This Row],[Conversion]]="All",LCI_Table[[#This Row],[Conversion]]=SelectedConversion)</f>
        <v>0</v>
      </c>
      <c r="I630" s="14" t="b">
        <f>OR(LCI_Table[[#This Row],[Data Set]]="all",LCI_Table[[#This Row],[Data Set]]=SelectedDataSet)</f>
        <v>1</v>
      </c>
      <c r="J630" s="14" t="b">
        <f>OR(LCI_Table[[#This Row],[Technology]]="All",LCI_Table[[#This Row],[Technology]]=SelectedTechnology)</f>
        <v>1</v>
      </c>
      <c r="K630" s="14" t="b">
        <f>OR(LCI_Table[[#This Row],[Data Source]]="All",LCI_Table[[#This Row],[Data Source]]=SelectedDataSource)</f>
        <v>1</v>
      </c>
      <c r="L630" s="14" t="b">
        <f>TRUE</f>
        <v>1</v>
      </c>
      <c r="M630" s="14" t="b">
        <f>(LCI_Table[[#This Row],[Dev Notes]]="Do not display")</f>
        <v>0</v>
      </c>
      <c r="N630" s="14" t="b">
        <f>AND(LCI_Table[[#This Row],[Show Feedstock]:[Conditional]],NOT(LCI_Table[[#This Row],[Hide Row]]))</f>
        <v>0</v>
      </c>
      <c r="O630" s="14" t="b">
        <f>LCI_Table[[#This Row],[GREET1 Name Range]]=""</f>
        <v>0</v>
      </c>
      <c r="P630" s="14" t="s">
        <v>147</v>
      </c>
      <c r="Q630" s="14" t="s">
        <v>609</v>
      </c>
      <c r="R630" s="14" t="s">
        <v>356</v>
      </c>
      <c r="S630" s="37" cm="1">
        <f t="array" aca="1" ref="S6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30" s="346" t="s">
        <v>1485</v>
      </c>
      <c r="U630" s="347">
        <f ca="1">S630/S626*lb2g</f>
        <v>0</v>
      </c>
      <c r="V630" s="347">
        <v>0</v>
      </c>
      <c r="W630" s="347">
        <v>0</v>
      </c>
      <c r="X630" s="14" t="s">
        <v>12</v>
      </c>
      <c r="Y630" s="346" t="s">
        <v>413</v>
      </c>
      <c r="Z630" s="14" t="str">
        <f>IF(ISBLANK(LCI_Table[[#This Row],[Notes for user]])," ",LCI_Table[[#This Row],[Notes for user]])</f>
        <v xml:space="preserve"> </v>
      </c>
      <c r="AA630" s="14"/>
      <c r="AB630" s="14"/>
      <c r="AC630" s="346">
        <f ca="1">LCI_Table[[#This Row],[Default Calculated Value]]-LCI_Table[[#This Row],[Calculated Value]]</f>
        <v>0</v>
      </c>
    </row>
    <row r="631" spans="1:29" x14ac:dyDescent="0.3">
      <c r="A6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STJGREETGREET(blank)_CornStover_Farming_InsecticideInsecticide</v>
      </c>
      <c r="B631" s="14" t="s">
        <v>135</v>
      </c>
      <c r="C631" s="14" t="s">
        <v>140</v>
      </c>
      <c r="D631" s="14" t="s">
        <v>29</v>
      </c>
      <c r="E631" s="48" t="s">
        <v>29</v>
      </c>
      <c r="F631" s="14" t="s">
        <v>31</v>
      </c>
      <c r="G631" s="14" t="b">
        <f>OR(LCI_Table[[#This Row],[Feedstock]]="All",LCI_Table[[#This Row],[Feedstock]]=SelectedFeedstock)</f>
        <v>0</v>
      </c>
      <c r="H631" s="14" t="b">
        <f>OR(LCI_Table[[#This Row],[Conversion]]="All",LCI_Table[[#This Row],[Conversion]]=SelectedConversion)</f>
        <v>0</v>
      </c>
      <c r="I631" s="14" t="b">
        <f>OR(LCI_Table[[#This Row],[Data Set]]="all",LCI_Table[[#This Row],[Data Set]]=SelectedDataSet)</f>
        <v>1</v>
      </c>
      <c r="J631" s="14" t="b">
        <f>OR(LCI_Table[[#This Row],[Technology]]="All",LCI_Table[[#This Row],[Technology]]=SelectedTechnology)</f>
        <v>1</v>
      </c>
      <c r="K631" s="14" t="b">
        <f>OR(LCI_Table[[#This Row],[Data Source]]="All",LCI_Table[[#This Row],[Data Source]]=SelectedDataSource)</f>
        <v>1</v>
      </c>
      <c r="L631" s="14" t="b">
        <f>TRUE</f>
        <v>1</v>
      </c>
      <c r="M631" s="14" t="b">
        <f>(LCI_Table[[#This Row],[Dev Notes]]="Do not display")</f>
        <v>0</v>
      </c>
      <c r="N631" s="14" t="b">
        <f>AND(LCI_Table[[#This Row],[Show Feedstock]:[Conditional]],NOT(LCI_Table[[#This Row],[Hide Row]]))</f>
        <v>0</v>
      </c>
      <c r="O631" s="14" t="b">
        <f>LCI_Table[[#This Row],[GREET1 Name Range]]=""</f>
        <v>0</v>
      </c>
      <c r="P631" s="14" t="s">
        <v>147</v>
      </c>
      <c r="Q631" s="14" t="s">
        <v>610</v>
      </c>
      <c r="R631" s="14" t="s">
        <v>114</v>
      </c>
      <c r="S631" s="37" cm="1">
        <f t="array" aca="1" ref="S6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31" s="346" t="s">
        <v>1485</v>
      </c>
      <c r="U631" s="347">
        <f ca="1">S631/S626*lb2g</f>
        <v>0</v>
      </c>
      <c r="V631" s="347">
        <v>0</v>
      </c>
      <c r="W631" s="347">
        <v>0</v>
      </c>
      <c r="X631" s="14" t="s">
        <v>12</v>
      </c>
      <c r="Y631" s="346" t="s">
        <v>413</v>
      </c>
      <c r="Z631" s="14" t="str">
        <f>IF(ISBLANK(LCI_Table[[#This Row],[Notes for user]])," ",LCI_Table[[#This Row],[Notes for user]])</f>
        <v xml:space="preserve"> </v>
      </c>
      <c r="AA631" s="14"/>
      <c r="AB631" s="14"/>
      <c r="AC631" s="346">
        <f ca="1">LCI_Table[[#This Row],[Default Calculated Value]]-LCI_Table[[#This Row],[Calculated Value]]</f>
        <v>0</v>
      </c>
    </row>
    <row r="632" spans="1:29" x14ac:dyDescent="0.3">
      <c r="A6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STJGREETGREET(blank)_CornStover_Farming_HDPEHDPE</v>
      </c>
      <c r="B632" s="14" t="s">
        <v>135</v>
      </c>
      <c r="C632" s="14" t="s">
        <v>140</v>
      </c>
      <c r="D632" s="14" t="s">
        <v>29</v>
      </c>
      <c r="E632" s="48" t="s">
        <v>29</v>
      </c>
      <c r="F632" s="14" t="s">
        <v>31</v>
      </c>
      <c r="G632" s="14" t="b">
        <f>OR(LCI_Table[[#This Row],[Feedstock]]="All",LCI_Table[[#This Row],[Feedstock]]=SelectedFeedstock)</f>
        <v>0</v>
      </c>
      <c r="H632" s="14" t="b">
        <f>OR(LCI_Table[[#This Row],[Conversion]]="All",LCI_Table[[#This Row],[Conversion]]=SelectedConversion)</f>
        <v>0</v>
      </c>
      <c r="I632" s="14" t="b">
        <f>OR(LCI_Table[[#This Row],[Data Set]]="all",LCI_Table[[#This Row],[Data Set]]=SelectedDataSet)</f>
        <v>1</v>
      </c>
      <c r="J632" s="14" t="b">
        <f>OR(LCI_Table[[#This Row],[Technology]]="All",LCI_Table[[#This Row],[Technology]]=SelectedTechnology)</f>
        <v>1</v>
      </c>
      <c r="K632" s="14" t="b">
        <f>OR(LCI_Table[[#This Row],[Data Source]]="All",LCI_Table[[#This Row],[Data Source]]=SelectedDataSource)</f>
        <v>1</v>
      </c>
      <c r="L632" s="14" t="b">
        <f>TRUE</f>
        <v>1</v>
      </c>
      <c r="M632" s="14" t="b">
        <f>(LCI_Table[[#This Row],[Dev Notes]]="Do not display")</f>
        <v>0</v>
      </c>
      <c r="N632" s="14" t="b">
        <f>AND(LCI_Table[[#This Row],[Show Feedstock]:[Conditional]],NOT(LCI_Table[[#This Row],[Hide Row]]))</f>
        <v>0</v>
      </c>
      <c r="O632" s="14" t="b">
        <f>LCI_Table[[#This Row],[GREET1 Name Range]]=""</f>
        <v>0</v>
      </c>
      <c r="P632" s="14" t="s">
        <v>147</v>
      </c>
      <c r="Q632" s="14" t="s">
        <v>608</v>
      </c>
      <c r="R632" s="14" t="s">
        <v>357</v>
      </c>
      <c r="S632" s="37" cm="1">
        <f t="array" aca="1" ref="S6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2.106854486992367E-3</v>
      </c>
      <c r="T632" s="346" t="s">
        <v>1485</v>
      </c>
      <c r="U632" s="347">
        <f ca="1">S632/S626*lb2g</f>
        <v>0.74400000000000155</v>
      </c>
      <c r="V632" s="347">
        <v>2.106854486992367E-3</v>
      </c>
      <c r="W632" s="347">
        <v>0.74400000000000155</v>
      </c>
      <c r="X632" s="14" t="s">
        <v>12</v>
      </c>
      <c r="Y632" s="346" t="s">
        <v>413</v>
      </c>
      <c r="Z632" s="14" t="str">
        <f>IF(ISBLANK(LCI_Table[[#This Row],[Notes for user]])," ",LCI_Table[[#This Row],[Notes for user]])</f>
        <v xml:space="preserve"> </v>
      </c>
      <c r="AA632" s="14"/>
      <c r="AB632" s="14"/>
      <c r="AC632" s="346">
        <f ca="1">LCI_Table[[#This Row],[Default Calculated Value]]-LCI_Table[[#This Row],[Calculated Value]]</f>
        <v>0</v>
      </c>
    </row>
    <row r="633" spans="1:29" x14ac:dyDescent="0.3">
      <c r="A6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STJGREETGREET(blank)_CornStover_Farming_Residual_oilResidual oil</v>
      </c>
      <c r="B633" s="14" t="s">
        <v>135</v>
      </c>
      <c r="C633" s="14" t="s">
        <v>140</v>
      </c>
      <c r="D633" s="14" t="s">
        <v>29</v>
      </c>
      <c r="E633" s="48" t="s">
        <v>29</v>
      </c>
      <c r="F633" s="14" t="s">
        <v>31</v>
      </c>
      <c r="G633" s="14" t="b">
        <f>OR(LCI_Table[[#This Row],[Feedstock]]="All",LCI_Table[[#This Row],[Feedstock]]=SelectedFeedstock)</f>
        <v>0</v>
      </c>
      <c r="H633" s="14" t="b">
        <f>OR(LCI_Table[[#This Row],[Conversion]]="All",LCI_Table[[#This Row],[Conversion]]=SelectedConversion)</f>
        <v>0</v>
      </c>
      <c r="I633" s="14" t="b">
        <f>OR(LCI_Table[[#This Row],[Data Set]]="all",LCI_Table[[#This Row],[Data Set]]=SelectedDataSet)</f>
        <v>1</v>
      </c>
      <c r="J633" s="14" t="b">
        <f>OR(LCI_Table[[#This Row],[Technology]]="All",LCI_Table[[#This Row],[Technology]]=SelectedTechnology)</f>
        <v>1</v>
      </c>
      <c r="K633" s="14" t="b">
        <f>OR(LCI_Table[[#This Row],[Data Source]]="All",LCI_Table[[#This Row],[Data Source]]=SelectedDataSource)</f>
        <v>1</v>
      </c>
      <c r="L633" s="14" t="b">
        <f>TRUE</f>
        <v>1</v>
      </c>
      <c r="M633" s="14" t="b">
        <f>(LCI_Table[[#This Row],[Dev Notes]]="Do not display")</f>
        <v>0</v>
      </c>
      <c r="N633" s="14" t="b">
        <f>AND(LCI_Table[[#This Row],[Show Feedstock]:[Conditional]],NOT(LCI_Table[[#This Row],[Hide Row]]))</f>
        <v>0</v>
      </c>
      <c r="O633" s="14" t="b">
        <f>LCI_Table[[#This Row],[GREET1 Name Range]]=""</f>
        <v>0</v>
      </c>
      <c r="P633" s="14" t="s">
        <v>147</v>
      </c>
      <c r="Q633" s="14" t="s">
        <v>616</v>
      </c>
      <c r="R633" s="14" t="s">
        <v>115</v>
      </c>
      <c r="S633" s="37" cm="1">
        <f t="array" aca="1" ref="S6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33" s="346" t="s">
        <v>1484</v>
      </c>
      <c r="U633" s="347">
        <f ca="1">S633*Fuel_Specs!$B$28/S626</f>
        <v>0</v>
      </c>
      <c r="V633" s="347">
        <v>0</v>
      </c>
      <c r="W633" s="347">
        <v>0</v>
      </c>
      <c r="X633" s="14" t="s">
        <v>5</v>
      </c>
      <c r="Y633" s="346" t="s">
        <v>413</v>
      </c>
      <c r="Z633" s="14" t="str">
        <f>IF(ISBLANK(LCI_Table[[#This Row],[Notes for user]])," ",LCI_Table[[#This Row],[Notes for user]])</f>
        <v xml:space="preserve"> </v>
      </c>
      <c r="AA633" s="14"/>
      <c r="AB633" s="14"/>
      <c r="AC633" s="346">
        <f ca="1">LCI_Table[[#This Row],[Default Calculated Value]]-LCI_Table[[#This Row],[Calculated Value]]</f>
        <v>0</v>
      </c>
    </row>
    <row r="634" spans="1:29" x14ac:dyDescent="0.3">
      <c r="A6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STJGREETGREET(blank)_CornStover_Farming_DieselDiesel</v>
      </c>
      <c r="B634" s="14" t="s">
        <v>135</v>
      </c>
      <c r="C634" s="14" t="s">
        <v>140</v>
      </c>
      <c r="D634" s="14" t="s">
        <v>29</v>
      </c>
      <c r="E634" s="48" t="s">
        <v>29</v>
      </c>
      <c r="F634" s="14" t="s">
        <v>31</v>
      </c>
      <c r="G634" s="14" t="b">
        <f>OR(LCI_Table[[#This Row],[Feedstock]]="All",LCI_Table[[#This Row],[Feedstock]]=SelectedFeedstock)</f>
        <v>0</v>
      </c>
      <c r="H634" s="14" t="b">
        <f>OR(LCI_Table[[#This Row],[Conversion]]="All",LCI_Table[[#This Row],[Conversion]]=SelectedConversion)</f>
        <v>0</v>
      </c>
      <c r="I634" s="14" t="b">
        <f>OR(LCI_Table[[#This Row],[Data Set]]="all",LCI_Table[[#This Row],[Data Set]]=SelectedDataSet)</f>
        <v>1</v>
      </c>
      <c r="J634" s="14" t="b">
        <f>OR(LCI_Table[[#This Row],[Technology]]="All",LCI_Table[[#This Row],[Technology]]=SelectedTechnology)</f>
        <v>1</v>
      </c>
      <c r="K634" s="14" t="b">
        <f>OR(LCI_Table[[#This Row],[Data Source]]="All",LCI_Table[[#This Row],[Data Source]]=SelectedDataSource)</f>
        <v>1</v>
      </c>
      <c r="L634" s="14" t="b">
        <f>TRUE</f>
        <v>1</v>
      </c>
      <c r="M634" s="14" t="b">
        <f>(LCI_Table[[#This Row],[Dev Notes]]="Do not display")</f>
        <v>0</v>
      </c>
      <c r="N634" s="14" t="b">
        <f>AND(LCI_Table[[#This Row],[Show Feedstock]:[Conditional]],NOT(LCI_Table[[#This Row],[Hide Row]]))</f>
        <v>0</v>
      </c>
      <c r="O634" s="14" t="b">
        <f>LCI_Table[[#This Row],[GREET1 Name Range]]=""</f>
        <v>0</v>
      </c>
      <c r="P634" s="14" t="s">
        <v>147</v>
      </c>
      <c r="Q634" s="14" t="s">
        <v>605</v>
      </c>
      <c r="R634" s="14" t="s">
        <v>106</v>
      </c>
      <c r="S634" s="37" cm="1">
        <f t="array" aca="1" ref="S6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2.2358876274453086</v>
      </c>
      <c r="T634" s="346" t="s">
        <v>1484</v>
      </c>
      <c r="U634" s="347">
        <f ca="1">S634*Fuel_Specs!$B$19/S626</f>
        <v>223592.24413408528</v>
      </c>
      <c r="V634" s="347">
        <v>2.2358876274453086</v>
      </c>
      <c r="W634" s="347">
        <v>223592.24413408528</v>
      </c>
      <c r="X634" s="14" t="s">
        <v>5</v>
      </c>
      <c r="Y634" s="346" t="s">
        <v>413</v>
      </c>
      <c r="Z634" s="14" t="str">
        <f>IF(ISBLANK(LCI_Table[[#This Row],[Notes for user]])," ",LCI_Table[[#This Row],[Notes for user]])</f>
        <v xml:space="preserve"> </v>
      </c>
      <c r="AA634" s="14"/>
      <c r="AB634" s="14"/>
      <c r="AC634" s="346">
        <f ca="1">LCI_Table[[#This Row],[Default Calculated Value]]-LCI_Table[[#This Row],[Calculated Value]]</f>
        <v>0</v>
      </c>
    </row>
    <row r="635" spans="1:29" x14ac:dyDescent="0.3">
      <c r="A6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STJGREETGREET(blank)_CornStover_Farming_GasolineGasoline</v>
      </c>
      <c r="B635" s="14" t="s">
        <v>135</v>
      </c>
      <c r="C635" s="14" t="s">
        <v>140</v>
      </c>
      <c r="D635" s="14" t="s">
        <v>29</v>
      </c>
      <c r="E635" s="48" t="s">
        <v>29</v>
      </c>
      <c r="F635" s="14" t="s">
        <v>31</v>
      </c>
      <c r="G635" s="14" t="b">
        <f>OR(LCI_Table[[#This Row],[Feedstock]]="All",LCI_Table[[#This Row],[Feedstock]]=SelectedFeedstock)</f>
        <v>0</v>
      </c>
      <c r="H635" s="14" t="b">
        <f>OR(LCI_Table[[#This Row],[Conversion]]="All",LCI_Table[[#This Row],[Conversion]]=SelectedConversion)</f>
        <v>0</v>
      </c>
      <c r="I635" s="14" t="b">
        <f>OR(LCI_Table[[#This Row],[Data Set]]="all",LCI_Table[[#This Row],[Data Set]]=SelectedDataSet)</f>
        <v>1</v>
      </c>
      <c r="J635" s="14" t="b">
        <f>OR(LCI_Table[[#This Row],[Technology]]="All",LCI_Table[[#This Row],[Technology]]=SelectedTechnology)</f>
        <v>1</v>
      </c>
      <c r="K635" s="14" t="b">
        <f>OR(LCI_Table[[#This Row],[Data Source]]="All",LCI_Table[[#This Row],[Data Source]]=SelectedDataSource)</f>
        <v>1</v>
      </c>
      <c r="L635" s="14" t="b">
        <f>TRUE</f>
        <v>1</v>
      </c>
      <c r="M635" s="14" t="b">
        <f>(LCI_Table[[#This Row],[Dev Notes]]="Do not display")</f>
        <v>0</v>
      </c>
      <c r="N635" s="14" t="b">
        <f>AND(LCI_Table[[#This Row],[Show Feedstock]:[Conditional]],NOT(LCI_Table[[#This Row],[Hide Row]]))</f>
        <v>0</v>
      </c>
      <c r="O635" s="14" t="b">
        <f>LCI_Table[[#This Row],[GREET1 Name Range]]=""</f>
        <v>0</v>
      </c>
      <c r="P635" s="14" t="s">
        <v>147</v>
      </c>
      <c r="Q635" s="14" t="s">
        <v>607</v>
      </c>
      <c r="R635" s="14" t="s">
        <v>107</v>
      </c>
      <c r="S635" s="37" cm="1">
        <f t="array" aca="1" ref="S6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35" s="346" t="s">
        <v>1484</v>
      </c>
      <c r="U635" s="347">
        <f ca="1">S635*Fuel_Specs!$B$15/S626</f>
        <v>0</v>
      </c>
      <c r="V635" s="347">
        <v>0</v>
      </c>
      <c r="W635" s="347">
        <v>0</v>
      </c>
      <c r="X635" s="14" t="s">
        <v>5</v>
      </c>
      <c r="Y635" s="346" t="s">
        <v>413</v>
      </c>
      <c r="Z635" s="14" t="str">
        <f>IF(ISBLANK(LCI_Table[[#This Row],[Notes for user]])," ",LCI_Table[[#This Row],[Notes for user]])</f>
        <v xml:space="preserve"> </v>
      </c>
      <c r="AA635" s="14"/>
      <c r="AB635" s="14"/>
      <c r="AC635" s="346">
        <f ca="1">LCI_Table[[#This Row],[Default Calculated Value]]-LCI_Table[[#This Row],[Calculated Value]]</f>
        <v>0</v>
      </c>
    </row>
    <row r="636" spans="1:29" x14ac:dyDescent="0.3">
      <c r="A6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STJGREETGREET(blank)_CornStover_Farming_Natural_gasNatural gas</v>
      </c>
      <c r="B636" s="14" t="s">
        <v>135</v>
      </c>
      <c r="C636" s="14" t="s">
        <v>140</v>
      </c>
      <c r="D636" s="14" t="s">
        <v>29</v>
      </c>
      <c r="E636" s="48" t="s">
        <v>29</v>
      </c>
      <c r="F636" s="14" t="s">
        <v>31</v>
      </c>
      <c r="G636" s="14" t="b">
        <f>OR(LCI_Table[[#This Row],[Feedstock]]="All",LCI_Table[[#This Row],[Feedstock]]=SelectedFeedstock)</f>
        <v>0</v>
      </c>
      <c r="H636" s="14" t="b">
        <f>OR(LCI_Table[[#This Row],[Conversion]]="All",LCI_Table[[#This Row],[Conversion]]=SelectedConversion)</f>
        <v>0</v>
      </c>
      <c r="I636" s="14" t="b">
        <f>OR(LCI_Table[[#This Row],[Data Set]]="all",LCI_Table[[#This Row],[Data Set]]=SelectedDataSet)</f>
        <v>1</v>
      </c>
      <c r="J636" s="14" t="b">
        <f>OR(LCI_Table[[#This Row],[Technology]]="All",LCI_Table[[#This Row],[Technology]]=SelectedTechnology)</f>
        <v>1</v>
      </c>
      <c r="K636" s="14" t="b">
        <f>OR(LCI_Table[[#This Row],[Data Source]]="All",LCI_Table[[#This Row],[Data Source]]=SelectedDataSource)</f>
        <v>1</v>
      </c>
      <c r="L636" s="14" t="b">
        <f>TRUE</f>
        <v>1</v>
      </c>
      <c r="M636" s="14" t="b">
        <f>(LCI_Table[[#This Row],[Dev Notes]]="Do not display")</f>
        <v>0</v>
      </c>
      <c r="N636" s="14" t="b">
        <f>AND(LCI_Table[[#This Row],[Show Feedstock]:[Conditional]],NOT(LCI_Table[[#This Row],[Hide Row]]))</f>
        <v>0</v>
      </c>
      <c r="O636" s="14" t="b">
        <f>LCI_Table[[#This Row],[GREET1 Name Range]]=""</f>
        <v>0</v>
      </c>
      <c r="P636" s="14" t="s">
        <v>147</v>
      </c>
      <c r="Q636" s="14" t="s">
        <v>613</v>
      </c>
      <c r="R636" s="14" t="s">
        <v>108</v>
      </c>
      <c r="S636" s="37" cm="1">
        <f t="array" aca="1" ref="S6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36" s="346" t="s">
        <v>2109</v>
      </c>
      <c r="U636" s="347">
        <f ca="1">S636*Fuel_Specs!$B$79/S626</f>
        <v>0</v>
      </c>
      <c r="V636" s="347">
        <v>0</v>
      </c>
      <c r="W636" s="347">
        <v>0</v>
      </c>
      <c r="X636" s="14" t="s">
        <v>351</v>
      </c>
      <c r="Y636" s="346" t="s">
        <v>413</v>
      </c>
      <c r="Z636" s="14" t="str">
        <f>IF(ISBLANK(LCI_Table[[#This Row],[Notes for user]])," ",LCI_Table[[#This Row],[Notes for user]])</f>
        <v xml:space="preserve"> </v>
      </c>
      <c r="AA636" s="14"/>
      <c r="AB636" s="14"/>
      <c r="AC636" s="346">
        <f ca="1">LCI_Table[[#This Row],[Default Calculated Value]]-LCI_Table[[#This Row],[Calculated Value]]</f>
        <v>0</v>
      </c>
    </row>
    <row r="637" spans="1:29" x14ac:dyDescent="0.3">
      <c r="A6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STJGREETGREET(blank)_CornStover_Farming_CoalCoal</v>
      </c>
      <c r="B637" s="14" t="s">
        <v>135</v>
      </c>
      <c r="C637" s="14" t="s">
        <v>140</v>
      </c>
      <c r="D637" s="14" t="s">
        <v>29</v>
      </c>
      <c r="E637" s="48" t="s">
        <v>29</v>
      </c>
      <c r="F637" s="14" t="s">
        <v>31</v>
      </c>
      <c r="G637" s="14" t="b">
        <f>OR(LCI_Table[[#This Row],[Feedstock]]="All",LCI_Table[[#This Row],[Feedstock]]=SelectedFeedstock)</f>
        <v>0</v>
      </c>
      <c r="H637" s="14" t="b">
        <f>OR(LCI_Table[[#This Row],[Conversion]]="All",LCI_Table[[#This Row],[Conversion]]=SelectedConversion)</f>
        <v>0</v>
      </c>
      <c r="I637" s="14" t="b">
        <f>OR(LCI_Table[[#This Row],[Data Set]]="all",LCI_Table[[#This Row],[Data Set]]=SelectedDataSet)</f>
        <v>1</v>
      </c>
      <c r="J637" s="14" t="b">
        <f>OR(LCI_Table[[#This Row],[Technology]]="All",LCI_Table[[#This Row],[Technology]]=SelectedTechnology)</f>
        <v>1</v>
      </c>
      <c r="K637" s="14" t="b">
        <f>OR(LCI_Table[[#This Row],[Data Source]]="All",LCI_Table[[#This Row],[Data Source]]=SelectedDataSource)</f>
        <v>1</v>
      </c>
      <c r="L637" s="14" t="b">
        <f>TRUE</f>
        <v>1</v>
      </c>
      <c r="M637" s="14" t="b">
        <f>(LCI_Table[[#This Row],[Dev Notes]]="Do not display")</f>
        <v>0</v>
      </c>
      <c r="N637" s="14" t="b">
        <f>AND(LCI_Table[[#This Row],[Show Feedstock]:[Conditional]],NOT(LCI_Table[[#This Row],[Hide Row]]))</f>
        <v>0</v>
      </c>
      <c r="O637" s="14" t="b">
        <f>LCI_Table[[#This Row],[GREET1 Name Range]]=""</f>
        <v>0</v>
      </c>
      <c r="P637" s="14" t="s">
        <v>147</v>
      </c>
      <c r="Q637" s="14" t="s">
        <v>604</v>
      </c>
      <c r="R637" s="14" t="s">
        <v>9</v>
      </c>
      <c r="S637" s="37" cm="1">
        <f t="array" aca="1" ref="S6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37" s="346" t="s">
        <v>2110</v>
      </c>
      <c r="U637" s="347">
        <f ca="1">S637/S626</f>
        <v>0</v>
      </c>
      <c r="V637" s="347">
        <v>0</v>
      </c>
      <c r="W637" s="347">
        <v>0</v>
      </c>
      <c r="X637" s="14" t="s">
        <v>117</v>
      </c>
      <c r="Y637" s="346" t="s">
        <v>413</v>
      </c>
      <c r="Z637" s="14" t="str">
        <f>IF(ISBLANK(LCI_Table[[#This Row],[Notes for user]])," ",LCI_Table[[#This Row],[Notes for user]])</f>
        <v xml:space="preserve"> </v>
      </c>
      <c r="AA637" s="14"/>
      <c r="AB637" s="14"/>
      <c r="AC637" s="346">
        <f ca="1">LCI_Table[[#This Row],[Default Calculated Value]]-LCI_Table[[#This Row],[Calculated Value]]</f>
        <v>0</v>
      </c>
    </row>
    <row r="638" spans="1:29" x14ac:dyDescent="0.3">
      <c r="A6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STJGREETGREET(blank)_CornStover_Farming_LPGLPG</v>
      </c>
      <c r="B638" s="14" t="s">
        <v>135</v>
      </c>
      <c r="C638" s="14" t="s">
        <v>140</v>
      </c>
      <c r="D638" s="14" t="s">
        <v>29</v>
      </c>
      <c r="E638" s="48" t="s">
        <v>29</v>
      </c>
      <c r="F638" s="14" t="s">
        <v>31</v>
      </c>
      <c r="G638" s="14" t="b">
        <f>OR(LCI_Table[[#This Row],[Feedstock]]="All",LCI_Table[[#This Row],[Feedstock]]=SelectedFeedstock)</f>
        <v>0</v>
      </c>
      <c r="H638" s="14" t="b">
        <f>OR(LCI_Table[[#This Row],[Conversion]]="All",LCI_Table[[#This Row],[Conversion]]=SelectedConversion)</f>
        <v>0</v>
      </c>
      <c r="I638" s="14" t="b">
        <f>OR(LCI_Table[[#This Row],[Data Set]]="all",LCI_Table[[#This Row],[Data Set]]=SelectedDataSet)</f>
        <v>1</v>
      </c>
      <c r="J638" s="14" t="b">
        <f>OR(LCI_Table[[#This Row],[Technology]]="All",LCI_Table[[#This Row],[Technology]]=SelectedTechnology)</f>
        <v>1</v>
      </c>
      <c r="K638" s="14" t="b">
        <f>OR(LCI_Table[[#This Row],[Data Source]]="All",LCI_Table[[#This Row],[Data Source]]=SelectedDataSource)</f>
        <v>1</v>
      </c>
      <c r="L638" s="14" t="b">
        <f>TRUE</f>
        <v>1</v>
      </c>
      <c r="M638" s="14" t="b">
        <f>(LCI_Table[[#This Row],[Dev Notes]]="Do not display")</f>
        <v>0</v>
      </c>
      <c r="N638" s="14" t="b">
        <f>AND(LCI_Table[[#This Row],[Show Feedstock]:[Conditional]],NOT(LCI_Table[[#This Row],[Hide Row]]))</f>
        <v>0</v>
      </c>
      <c r="O638" s="14" t="b">
        <f>LCI_Table[[#This Row],[GREET1 Name Range]]=""</f>
        <v>0</v>
      </c>
      <c r="P638" s="14" t="s">
        <v>147</v>
      </c>
      <c r="Q638" s="14" t="s">
        <v>612</v>
      </c>
      <c r="R638" s="14" t="s">
        <v>109</v>
      </c>
      <c r="S638" s="37" cm="1">
        <f t="array" aca="1" ref="S6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38" s="346" t="s">
        <v>1484</v>
      </c>
      <c r="U638" s="347">
        <f ca="1">S638*Fuel_Specs!$B$35/S626</f>
        <v>0</v>
      </c>
      <c r="V638" s="347">
        <v>0</v>
      </c>
      <c r="W638" s="347">
        <v>0</v>
      </c>
      <c r="X638" s="14" t="s">
        <v>5</v>
      </c>
      <c r="Y638" s="346" t="s">
        <v>413</v>
      </c>
      <c r="Z638" s="14" t="str">
        <f>IF(ISBLANK(LCI_Table[[#This Row],[Notes for user]])," ",LCI_Table[[#This Row],[Notes for user]])</f>
        <v xml:space="preserve"> </v>
      </c>
      <c r="AA638" s="14"/>
      <c r="AB638" s="14"/>
      <c r="AC638" s="346">
        <f ca="1">LCI_Table[[#This Row],[Default Calculated Value]]-LCI_Table[[#This Row],[Calculated Value]]</f>
        <v>0</v>
      </c>
    </row>
    <row r="639" spans="1:29" x14ac:dyDescent="0.3">
      <c r="A6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STJGREETGREET(blank)_CornStover_Farming_ElectricityElectricity</v>
      </c>
      <c r="B639" s="14" t="s">
        <v>135</v>
      </c>
      <c r="C639" s="14" t="s">
        <v>140</v>
      </c>
      <c r="D639" s="14" t="s">
        <v>29</v>
      </c>
      <c r="E639" s="48" t="s">
        <v>29</v>
      </c>
      <c r="F639" s="14" t="s">
        <v>31</v>
      </c>
      <c r="G639" s="14" t="b">
        <f>OR(LCI_Table[[#This Row],[Feedstock]]="All",LCI_Table[[#This Row],[Feedstock]]=SelectedFeedstock)</f>
        <v>0</v>
      </c>
      <c r="H639" s="14" t="b">
        <f>OR(LCI_Table[[#This Row],[Conversion]]="All",LCI_Table[[#This Row],[Conversion]]=SelectedConversion)</f>
        <v>0</v>
      </c>
      <c r="I639" s="14" t="b">
        <f>OR(LCI_Table[[#This Row],[Data Set]]="all",LCI_Table[[#This Row],[Data Set]]=SelectedDataSet)</f>
        <v>1</v>
      </c>
      <c r="J639" s="14" t="b">
        <f>OR(LCI_Table[[#This Row],[Technology]]="All",LCI_Table[[#This Row],[Technology]]=SelectedTechnology)</f>
        <v>1</v>
      </c>
      <c r="K639" s="14" t="b">
        <f>OR(LCI_Table[[#This Row],[Data Source]]="All",LCI_Table[[#This Row],[Data Source]]=SelectedDataSource)</f>
        <v>1</v>
      </c>
      <c r="L639" s="14" t="b">
        <f>TRUE</f>
        <v>1</v>
      </c>
      <c r="M639" s="14" t="b">
        <f>(LCI_Table[[#This Row],[Dev Notes]]="Do not display")</f>
        <v>0</v>
      </c>
      <c r="N639" s="14" t="b">
        <f>AND(LCI_Table[[#This Row],[Show Feedstock]:[Conditional]],NOT(LCI_Table[[#This Row],[Hide Row]]))</f>
        <v>0</v>
      </c>
      <c r="O639" s="14" t="b">
        <f>LCI_Table[[#This Row],[GREET1 Name Range]]=""</f>
        <v>0</v>
      </c>
      <c r="P639" s="14" t="s">
        <v>147</v>
      </c>
      <c r="Q639" s="14" t="s">
        <v>606</v>
      </c>
      <c r="R639" s="14" t="s">
        <v>110</v>
      </c>
      <c r="S639" s="37" cm="1">
        <f t="array" aca="1" ref="S6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39" s="346" t="s">
        <v>1561</v>
      </c>
      <c r="U639" s="347">
        <f ca="1">S639/BTU2kWh/S626</f>
        <v>0</v>
      </c>
      <c r="V639" s="347">
        <v>0</v>
      </c>
      <c r="W639" s="347">
        <v>0</v>
      </c>
      <c r="X639" s="14" t="s">
        <v>51</v>
      </c>
      <c r="Y639" s="346" t="s">
        <v>413</v>
      </c>
      <c r="Z639" s="14" t="str">
        <f>IF(ISBLANK(LCI_Table[[#This Row],[Notes for user]])," ",LCI_Table[[#This Row],[Notes for user]])</f>
        <v xml:space="preserve"> </v>
      </c>
      <c r="AA639" s="14"/>
      <c r="AB639" s="14"/>
      <c r="AC639" s="346">
        <f ca="1">LCI_Table[[#This Row],[Default Calculated Value]]-LCI_Table[[#This Row],[Calculated Value]]</f>
        <v>0</v>
      </c>
    </row>
    <row r="640" spans="1:29" x14ac:dyDescent="0.3">
      <c r="A6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STJGREETGREET(blank)_Cellulosic_Catalytic_STJ_Corn_stoverCorn stover</v>
      </c>
      <c r="B640" s="14" t="s">
        <v>135</v>
      </c>
      <c r="C640" s="14" t="s">
        <v>140</v>
      </c>
      <c r="D640" s="14" t="s">
        <v>29</v>
      </c>
      <c r="E640" s="48" t="s">
        <v>29</v>
      </c>
      <c r="F640" s="14" t="s">
        <v>31</v>
      </c>
      <c r="G640" s="14" t="b">
        <f>OR(LCI_Table[[#This Row],[Feedstock]]="All",LCI_Table[[#This Row],[Feedstock]]=SelectedFeedstock)</f>
        <v>0</v>
      </c>
      <c r="H640" s="14" t="b">
        <f>OR(LCI_Table[[#This Row],[Conversion]]="All",LCI_Table[[#This Row],[Conversion]]=SelectedConversion)</f>
        <v>0</v>
      </c>
      <c r="I640" s="14" t="b">
        <f>OR(LCI_Table[[#This Row],[Data Set]]="all",LCI_Table[[#This Row],[Data Set]]=SelectedDataSet)</f>
        <v>1</v>
      </c>
      <c r="J640" s="14" t="b">
        <f>OR(LCI_Table[[#This Row],[Technology]]="All",LCI_Table[[#This Row],[Technology]]=SelectedTechnology)</f>
        <v>1</v>
      </c>
      <c r="K640" s="14" t="b">
        <f>OR(LCI_Table[[#This Row],[Data Source]]="All",LCI_Table[[#This Row],[Data Source]]=SelectedDataSource)</f>
        <v>1</v>
      </c>
      <c r="L640" s="14" t="b">
        <f>TRUE</f>
        <v>1</v>
      </c>
      <c r="M640" s="14" t="b">
        <f>(LCI_Table[[#This Row],[Dev Notes]]="Do not display")</f>
        <v>0</v>
      </c>
      <c r="N640" s="14" t="b">
        <f>AND(LCI_Table[[#This Row],[Show Feedstock]:[Conditional]],NOT(LCI_Table[[#This Row],[Hide Row]]))</f>
        <v>0</v>
      </c>
      <c r="O640" s="14" t="b">
        <f>LCI_Table[[#This Row],[GREET1 Name Range]]=""</f>
        <v>0</v>
      </c>
      <c r="P640" s="14" t="s">
        <v>1448</v>
      </c>
      <c r="Q640" s="14" t="s">
        <v>548</v>
      </c>
      <c r="R640" s="14" t="s">
        <v>135</v>
      </c>
      <c r="S640" s="37" cm="1">
        <f t="array" aca="1" ref="S6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277.12987237874933</v>
      </c>
      <c r="T640" s="346" t="s">
        <v>2119</v>
      </c>
      <c r="U640" s="347">
        <f ca="1">S640/kg2lb/Allocations!$O$65*MJ2mmBTU</f>
        <v>0.1191443994268874</v>
      </c>
      <c r="V640" s="347">
        <v>277.12987237874933</v>
      </c>
      <c r="W640" s="347">
        <v>0.1191443994268874</v>
      </c>
      <c r="X640" s="37" t="s">
        <v>12</v>
      </c>
      <c r="Y640" s="346" t="s">
        <v>416</v>
      </c>
      <c r="Z640" s="14" t="str">
        <f>IF(ISBLANK(LCI_Table[[#This Row],[Notes for user]])," ",LCI_Table[[#This Row],[Notes for user]])</f>
        <v xml:space="preserve"> </v>
      </c>
      <c r="AA640" s="14"/>
      <c r="AB640" s="14"/>
      <c r="AC640" s="346">
        <f ca="1">LCI_Table[[#This Row],[Default Calculated Value]]-LCI_Table[[#This Row],[Calculated Value]]</f>
        <v>0</v>
      </c>
    </row>
    <row r="641" spans="1:29" x14ac:dyDescent="0.3">
      <c r="A6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STJGREETGREET(blank)_Cellulosic_Catalytic_STJ_HydrogenHydrogen</v>
      </c>
      <c r="B641" s="14" t="s">
        <v>135</v>
      </c>
      <c r="C641" s="14" t="s">
        <v>140</v>
      </c>
      <c r="D641" s="14" t="s">
        <v>29</v>
      </c>
      <c r="E641" s="48" t="s">
        <v>29</v>
      </c>
      <c r="F641" s="14" t="s">
        <v>31</v>
      </c>
      <c r="G641" s="14" t="b">
        <f>OR(LCI_Table[[#This Row],[Feedstock]]="All",LCI_Table[[#This Row],[Feedstock]]=SelectedFeedstock)</f>
        <v>0</v>
      </c>
      <c r="H641" s="14" t="b">
        <f>OR(LCI_Table[[#This Row],[Conversion]]="All",LCI_Table[[#This Row],[Conversion]]=SelectedConversion)</f>
        <v>0</v>
      </c>
      <c r="I641" s="14" t="b">
        <f>OR(LCI_Table[[#This Row],[Data Set]]="all",LCI_Table[[#This Row],[Data Set]]=SelectedDataSet)</f>
        <v>1</v>
      </c>
      <c r="J641" s="14" t="b">
        <f>OR(LCI_Table[[#This Row],[Technology]]="All",LCI_Table[[#This Row],[Technology]]=SelectedTechnology)</f>
        <v>1</v>
      </c>
      <c r="K641" s="14" t="b">
        <f>OR(LCI_Table[[#This Row],[Data Source]]="All",LCI_Table[[#This Row],[Data Source]]=SelectedDataSource)</f>
        <v>1</v>
      </c>
      <c r="L641" s="14" t="b">
        <f>TRUE</f>
        <v>1</v>
      </c>
      <c r="M641" s="14" t="b">
        <f>(LCI_Table[[#This Row],[Dev Notes]]="Do not display")</f>
        <v>0</v>
      </c>
      <c r="N641" s="14" t="b">
        <f>AND(LCI_Table[[#This Row],[Show Feedstock]:[Conditional]],NOT(LCI_Table[[#This Row],[Hide Row]]))</f>
        <v>0</v>
      </c>
      <c r="O641" s="14" t="b">
        <f>LCI_Table[[#This Row],[GREET1 Name Range]]=""</f>
        <v>0</v>
      </c>
      <c r="P641" s="14" t="s">
        <v>1448</v>
      </c>
      <c r="Q641" s="14" t="s">
        <v>553</v>
      </c>
      <c r="R641" s="14" t="s">
        <v>73</v>
      </c>
      <c r="S641" s="37" cm="1">
        <f t="array" aca="1" ref="S6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1820.5451247095659</v>
      </c>
      <c r="T641" s="346" t="s">
        <v>2120</v>
      </c>
      <c r="U641" s="347">
        <f ca="1">S641/kg2g*Fuel_Specs!$E$81/Allocations!$O$65*MJ2mmBTU</f>
        <v>4.4001367965585828E-3</v>
      </c>
      <c r="V641" s="347">
        <v>1820.5451247095659</v>
      </c>
      <c r="W641" s="347">
        <v>4.4001367965585828E-3</v>
      </c>
      <c r="X641" s="37" t="s">
        <v>351</v>
      </c>
      <c r="Y641" s="346" t="s">
        <v>416</v>
      </c>
      <c r="Z641" s="14" t="str">
        <f>IF(ISBLANK(LCI_Table[[#This Row],[Notes for user]])," ",LCI_Table[[#This Row],[Notes for user]])</f>
        <v xml:space="preserve"> </v>
      </c>
      <c r="AA641" s="14"/>
      <c r="AB641" s="14"/>
      <c r="AC641" s="346">
        <f ca="1">LCI_Table[[#This Row],[Default Calculated Value]]-LCI_Table[[#This Row],[Calculated Value]]</f>
        <v>0</v>
      </c>
    </row>
    <row r="642" spans="1:29" x14ac:dyDescent="0.3">
      <c r="A6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STJGREETGREET(blank)_Cellulosic_Catalytic_STJ_AmmoniaAmmonia</v>
      </c>
      <c r="B642" s="14" t="s">
        <v>135</v>
      </c>
      <c r="C642" s="14" t="s">
        <v>140</v>
      </c>
      <c r="D642" s="14" t="s">
        <v>29</v>
      </c>
      <c r="E642" s="48" t="s">
        <v>29</v>
      </c>
      <c r="F642" s="14" t="s">
        <v>31</v>
      </c>
      <c r="G642" s="14" t="b">
        <f>OR(LCI_Table[[#This Row],[Feedstock]]="All",LCI_Table[[#This Row],[Feedstock]]=SelectedFeedstock)</f>
        <v>0</v>
      </c>
      <c r="H642" s="14" t="b">
        <f>OR(LCI_Table[[#This Row],[Conversion]]="All",LCI_Table[[#This Row],[Conversion]]=SelectedConversion)</f>
        <v>0</v>
      </c>
      <c r="I642" s="14" t="b">
        <f>OR(LCI_Table[[#This Row],[Data Set]]="all",LCI_Table[[#This Row],[Data Set]]=SelectedDataSet)</f>
        <v>1</v>
      </c>
      <c r="J642" s="14" t="b">
        <f>OR(LCI_Table[[#This Row],[Technology]]="All",LCI_Table[[#This Row],[Technology]]=SelectedTechnology)</f>
        <v>1</v>
      </c>
      <c r="K642" s="14" t="b">
        <f>OR(LCI_Table[[#This Row],[Data Source]]="All",LCI_Table[[#This Row],[Data Source]]=SelectedDataSource)</f>
        <v>1</v>
      </c>
      <c r="L642" s="14" t="b">
        <f>TRUE</f>
        <v>1</v>
      </c>
      <c r="M642" s="14" t="b">
        <f>(LCI_Table[[#This Row],[Dev Notes]]="Do not display")</f>
        <v>0</v>
      </c>
      <c r="N642" s="14" t="b">
        <f>AND(LCI_Table[[#This Row],[Show Feedstock]:[Conditional]],NOT(LCI_Table[[#This Row],[Hide Row]]))</f>
        <v>0</v>
      </c>
      <c r="O642" s="14" t="b">
        <f>LCI_Table[[#This Row],[GREET1 Name Range]]=""</f>
        <v>0</v>
      </c>
      <c r="P642" s="14" t="s">
        <v>1448</v>
      </c>
      <c r="Q642" s="14" t="s">
        <v>544</v>
      </c>
      <c r="R642" s="14" t="s">
        <v>382</v>
      </c>
      <c r="S642" s="37" cm="1">
        <f t="array" aca="1" ref="S6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575.62257926708617</v>
      </c>
      <c r="T642" s="346" t="s">
        <v>2127</v>
      </c>
      <c r="U642" s="347">
        <f ca="1">S642/kg2g/Allocations!$O$65*MJ2mmBTU</f>
        <v>5.4558493682309436E-4</v>
      </c>
      <c r="V642" s="347">
        <v>575.62257926708617</v>
      </c>
      <c r="W642" s="347">
        <v>5.4558493682309436E-4</v>
      </c>
      <c r="X642" s="37" t="s">
        <v>6</v>
      </c>
      <c r="Y642" s="346" t="s">
        <v>416</v>
      </c>
      <c r="Z642" s="14" t="str">
        <f>IF(ISBLANK(LCI_Table[[#This Row],[Notes for user]])," ",LCI_Table[[#This Row],[Notes for user]])</f>
        <v xml:space="preserve"> </v>
      </c>
      <c r="AA642" s="14"/>
      <c r="AB642" s="14"/>
      <c r="AC642" s="346">
        <f ca="1">LCI_Table[[#This Row],[Default Calculated Value]]-LCI_Table[[#This Row],[Calculated Value]]</f>
        <v>0</v>
      </c>
    </row>
    <row r="643" spans="1:29" x14ac:dyDescent="0.3">
      <c r="A6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STJGREETGREET(blank)_Cellulosic_Catalytic_STJ_CatalystsCatalysts</v>
      </c>
      <c r="B643" s="14" t="s">
        <v>135</v>
      </c>
      <c r="C643" s="14" t="s">
        <v>140</v>
      </c>
      <c r="D643" s="14" t="s">
        <v>29</v>
      </c>
      <c r="E643" s="48" t="s">
        <v>29</v>
      </c>
      <c r="F643" s="14" t="s">
        <v>31</v>
      </c>
      <c r="G643" s="14" t="b">
        <f>OR(LCI_Table[[#This Row],[Feedstock]]="All",LCI_Table[[#This Row],[Feedstock]]=SelectedFeedstock)</f>
        <v>0</v>
      </c>
      <c r="H643" s="14" t="b">
        <f>OR(LCI_Table[[#This Row],[Conversion]]="All",LCI_Table[[#This Row],[Conversion]]=SelectedConversion)</f>
        <v>0</v>
      </c>
      <c r="I643" s="14" t="b">
        <f>OR(LCI_Table[[#This Row],[Data Set]]="all",LCI_Table[[#This Row],[Data Set]]=SelectedDataSet)</f>
        <v>1</v>
      </c>
      <c r="J643" s="14" t="b">
        <f>OR(LCI_Table[[#This Row],[Technology]]="All",LCI_Table[[#This Row],[Technology]]=SelectedTechnology)</f>
        <v>1</v>
      </c>
      <c r="K643" s="14" t="b">
        <f>OR(LCI_Table[[#This Row],[Data Source]]="All",LCI_Table[[#This Row],[Data Source]]=SelectedDataSource)</f>
        <v>1</v>
      </c>
      <c r="L643" s="14" t="b">
        <f>TRUE</f>
        <v>1</v>
      </c>
      <c r="M643" s="14" t="b">
        <f>(LCI_Table[[#This Row],[Dev Notes]]="Do not display")</f>
        <v>0</v>
      </c>
      <c r="N643" s="14" t="b">
        <f>AND(LCI_Table[[#This Row],[Show Feedstock]:[Conditional]],NOT(LCI_Table[[#This Row],[Hide Row]]))</f>
        <v>0</v>
      </c>
      <c r="O643" s="14" t="b">
        <f>LCI_Table[[#This Row],[GREET1 Name Range]]=""</f>
        <v>0</v>
      </c>
      <c r="P643" s="14" t="s">
        <v>1448</v>
      </c>
      <c r="Q643" s="14" t="s">
        <v>545</v>
      </c>
      <c r="R643" s="14" t="s">
        <v>142</v>
      </c>
      <c r="S643" s="37" cm="1">
        <f t="array" aca="1" ref="S6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13.27431524515293</v>
      </c>
      <c r="T643" s="346" t="s">
        <v>2127</v>
      </c>
      <c r="U643" s="347">
        <f ca="1">S643/kg2g/Allocations!$O$65*MJ2mmBTU</f>
        <v>1.2581623281035719E-5</v>
      </c>
      <c r="V643" s="347">
        <v>13.27431524515293</v>
      </c>
      <c r="W643" s="347">
        <v>1.2581623281035719E-5</v>
      </c>
      <c r="X643" s="37" t="s">
        <v>6</v>
      </c>
      <c r="Y643" s="346" t="s">
        <v>416</v>
      </c>
      <c r="Z643" s="14" t="str">
        <f>IF(ISBLANK(LCI_Table[[#This Row],[Notes for user]])," ",LCI_Table[[#This Row],[Notes for user]])</f>
        <v xml:space="preserve"> </v>
      </c>
      <c r="AA643" s="14"/>
      <c r="AB643" s="14"/>
      <c r="AC643" s="346">
        <f ca="1">LCI_Table[[#This Row],[Default Calculated Value]]-LCI_Table[[#This Row],[Calculated Value]]</f>
        <v>0</v>
      </c>
    </row>
    <row r="644" spans="1:29" x14ac:dyDescent="0.3">
      <c r="A6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STJGREETGREET(blank)_Cellulosic_Catalytic_STJ_Corn_oilDistillers Corn Oil</v>
      </c>
      <c r="B644" s="14" t="s">
        <v>135</v>
      </c>
      <c r="C644" s="14" t="s">
        <v>140</v>
      </c>
      <c r="D644" s="14" t="s">
        <v>29</v>
      </c>
      <c r="E644" s="48" t="s">
        <v>29</v>
      </c>
      <c r="F644" s="14" t="s">
        <v>31</v>
      </c>
      <c r="G644" s="14" t="b">
        <f>OR(LCI_Table[[#This Row],[Feedstock]]="All",LCI_Table[[#This Row],[Feedstock]]=SelectedFeedstock)</f>
        <v>0</v>
      </c>
      <c r="H644" s="14" t="b">
        <f>OR(LCI_Table[[#This Row],[Conversion]]="All",LCI_Table[[#This Row],[Conversion]]=SelectedConversion)</f>
        <v>0</v>
      </c>
      <c r="I644" s="14" t="b">
        <f>OR(LCI_Table[[#This Row],[Data Set]]="all",LCI_Table[[#This Row],[Data Set]]=SelectedDataSet)</f>
        <v>1</v>
      </c>
      <c r="J644" s="14" t="b">
        <f>OR(LCI_Table[[#This Row],[Technology]]="All",LCI_Table[[#This Row],[Technology]]=SelectedTechnology)</f>
        <v>1</v>
      </c>
      <c r="K644" s="14" t="b">
        <f>OR(LCI_Table[[#This Row],[Data Source]]="All",LCI_Table[[#This Row],[Data Source]]=SelectedDataSource)</f>
        <v>1</v>
      </c>
      <c r="L644" s="14" t="b">
        <f>TRUE</f>
        <v>1</v>
      </c>
      <c r="M644" s="14" t="b">
        <f>(LCI_Table[[#This Row],[Dev Notes]]="Do not display")</f>
        <v>0</v>
      </c>
      <c r="N644" s="14" t="b">
        <f>AND(LCI_Table[[#This Row],[Show Feedstock]:[Conditional]],NOT(LCI_Table[[#This Row],[Hide Row]]))</f>
        <v>0</v>
      </c>
      <c r="O644" s="14" t="b">
        <f>LCI_Table[[#This Row],[GREET1 Name Range]]=""</f>
        <v>0</v>
      </c>
      <c r="P644" s="14" t="s">
        <v>1448</v>
      </c>
      <c r="Q644" s="14" t="s">
        <v>546</v>
      </c>
      <c r="R644" s="14" t="s">
        <v>1911</v>
      </c>
      <c r="S644" s="37" cm="1">
        <f t="array" aca="1" ref="S6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8.4472915196427731</v>
      </c>
      <c r="T644" s="346" t="s">
        <v>2127</v>
      </c>
      <c r="U644" s="347">
        <f ca="1">S644/kg2g/Allocations!$O$65*MJ2mmBTU</f>
        <v>8.0064875424772737E-6</v>
      </c>
      <c r="V644" s="347">
        <v>8.4472915196427731</v>
      </c>
      <c r="W644" s="347">
        <v>8.0064875424772737E-6</v>
      </c>
      <c r="X644" s="37" t="s">
        <v>6</v>
      </c>
      <c r="Y644" s="346" t="s">
        <v>416</v>
      </c>
      <c r="Z644" s="14" t="str">
        <f>IF(ISBLANK(LCI_Table[[#This Row],[Notes for user]])," ",LCI_Table[[#This Row],[Notes for user]])</f>
        <v xml:space="preserve"> </v>
      </c>
      <c r="AA644" s="14"/>
      <c r="AB644" s="14"/>
      <c r="AC644" s="346">
        <f ca="1">LCI_Table[[#This Row],[Default Calculated Value]]-LCI_Table[[#This Row],[Calculated Value]]</f>
        <v>0</v>
      </c>
    </row>
    <row r="645" spans="1:29" x14ac:dyDescent="0.3">
      <c r="A6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STJGREETGREET(blank)_Cellulosic_Catalytic_STJ_Corn_steep_liquorCorn steep liquor</v>
      </c>
      <c r="B645" s="14" t="s">
        <v>135</v>
      </c>
      <c r="C645" s="14" t="s">
        <v>140</v>
      </c>
      <c r="D645" s="14" t="s">
        <v>29</v>
      </c>
      <c r="E645" s="48" t="s">
        <v>29</v>
      </c>
      <c r="F645" s="14" t="s">
        <v>31</v>
      </c>
      <c r="G645" s="14" t="b">
        <f>OR(LCI_Table[[#This Row],[Feedstock]]="All",LCI_Table[[#This Row],[Feedstock]]=SelectedFeedstock)</f>
        <v>0</v>
      </c>
      <c r="H645" s="14" t="b">
        <f>OR(LCI_Table[[#This Row],[Conversion]]="All",LCI_Table[[#This Row],[Conversion]]=SelectedConversion)</f>
        <v>0</v>
      </c>
      <c r="I645" s="14" t="b">
        <f>OR(LCI_Table[[#This Row],[Data Set]]="all",LCI_Table[[#This Row],[Data Set]]=SelectedDataSet)</f>
        <v>1</v>
      </c>
      <c r="J645" s="14" t="b">
        <f>OR(LCI_Table[[#This Row],[Technology]]="All",LCI_Table[[#This Row],[Technology]]=SelectedTechnology)</f>
        <v>1</v>
      </c>
      <c r="K645" s="14" t="b">
        <f>OR(LCI_Table[[#This Row],[Data Source]]="All",LCI_Table[[#This Row],[Data Source]]=SelectedDataSource)</f>
        <v>1</v>
      </c>
      <c r="L645" s="14" t="b">
        <f>TRUE</f>
        <v>1</v>
      </c>
      <c r="M645" s="14" t="b">
        <f>(LCI_Table[[#This Row],[Dev Notes]]="Do not display")</f>
        <v>0</v>
      </c>
      <c r="N645" s="14" t="b">
        <f>AND(LCI_Table[[#This Row],[Show Feedstock]:[Conditional]],NOT(LCI_Table[[#This Row],[Hide Row]]))</f>
        <v>0</v>
      </c>
      <c r="O645" s="14" t="b">
        <f>LCI_Table[[#This Row],[GREET1 Name Range]]=""</f>
        <v>0</v>
      </c>
      <c r="P645" s="14" t="s">
        <v>1448</v>
      </c>
      <c r="Q645" s="14" t="s">
        <v>547</v>
      </c>
      <c r="R645" s="14" t="s">
        <v>386</v>
      </c>
      <c r="S645" s="37" cm="1">
        <f t="array" aca="1" ref="S6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100.16074230433574</v>
      </c>
      <c r="T645" s="346" t="s">
        <v>2127</v>
      </c>
      <c r="U645" s="347">
        <f ca="1">S645/kg2g/Allocations!$O$65*MJ2mmBTU</f>
        <v>9.4934066575087697E-5</v>
      </c>
      <c r="V645" s="347">
        <v>100.16074230433574</v>
      </c>
      <c r="W645" s="347">
        <v>9.4934066575087697E-5</v>
      </c>
      <c r="X645" s="37" t="s">
        <v>6</v>
      </c>
      <c r="Y645" s="346" t="s">
        <v>416</v>
      </c>
      <c r="Z645" s="14" t="str">
        <f>IF(ISBLANK(LCI_Table[[#This Row],[Notes for user]])," ",LCI_Table[[#This Row],[Notes for user]])</f>
        <v xml:space="preserve"> </v>
      </c>
      <c r="AA645" s="14"/>
      <c r="AB645" s="14"/>
      <c r="AC645" s="346">
        <f ca="1">LCI_Table[[#This Row],[Default Calculated Value]]-LCI_Table[[#This Row],[Calculated Value]]</f>
        <v>0</v>
      </c>
    </row>
    <row r="646" spans="1:29" x14ac:dyDescent="0.3">
      <c r="A6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STJGREETGREET(blank)_Cellulosic_Catalytic_STJ_GlucoseGlucose</v>
      </c>
      <c r="B646" s="14" t="s">
        <v>135</v>
      </c>
      <c r="C646" s="14" t="s">
        <v>140</v>
      </c>
      <c r="D646" s="14" t="s">
        <v>29</v>
      </c>
      <c r="E646" s="48" t="s">
        <v>29</v>
      </c>
      <c r="F646" s="14" t="s">
        <v>31</v>
      </c>
      <c r="G646" s="14" t="b">
        <f>OR(LCI_Table[[#This Row],[Feedstock]]="All",LCI_Table[[#This Row],[Feedstock]]=SelectedFeedstock)</f>
        <v>0</v>
      </c>
      <c r="H646" s="14" t="b">
        <f>OR(LCI_Table[[#This Row],[Conversion]]="All",LCI_Table[[#This Row],[Conversion]]=SelectedConversion)</f>
        <v>0</v>
      </c>
      <c r="I646" s="14" t="b">
        <f>OR(LCI_Table[[#This Row],[Data Set]]="all",LCI_Table[[#This Row],[Data Set]]=SelectedDataSet)</f>
        <v>1</v>
      </c>
      <c r="J646" s="14" t="b">
        <f>OR(LCI_Table[[#This Row],[Technology]]="All",LCI_Table[[#This Row],[Technology]]=SelectedTechnology)</f>
        <v>1</v>
      </c>
      <c r="K646" s="14" t="b">
        <f>OR(LCI_Table[[#This Row],[Data Source]]="All",LCI_Table[[#This Row],[Data Source]]=SelectedDataSource)</f>
        <v>1</v>
      </c>
      <c r="L646" s="14" t="b">
        <f>TRUE</f>
        <v>1</v>
      </c>
      <c r="M646" s="14" t="b">
        <f>(LCI_Table[[#This Row],[Dev Notes]]="Do not display")</f>
        <v>0</v>
      </c>
      <c r="N646" s="14" t="b">
        <f>AND(LCI_Table[[#This Row],[Show Feedstock]:[Conditional]],NOT(LCI_Table[[#This Row],[Hide Row]]))</f>
        <v>0</v>
      </c>
      <c r="O646" s="14" t="b">
        <f>LCI_Table[[#This Row],[GREET1 Name Range]]=""</f>
        <v>0</v>
      </c>
      <c r="P646" s="14" t="s">
        <v>1448</v>
      </c>
      <c r="Q646" s="14" t="s">
        <v>550</v>
      </c>
      <c r="R646" s="14" t="s">
        <v>387</v>
      </c>
      <c r="S646" s="37" cm="1">
        <f t="array" aca="1" ref="S6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1463.7949447609549</v>
      </c>
      <c r="T646" s="346" t="s">
        <v>2127</v>
      </c>
      <c r="U646" s="347">
        <f ca="1">S646/kg2g/Allocations!$O$65*MJ2mmBTU</f>
        <v>1.3874099127178477E-3</v>
      </c>
      <c r="V646" s="347">
        <v>1463.7949447609549</v>
      </c>
      <c r="W646" s="347">
        <v>1.3874099127178477E-3</v>
      </c>
      <c r="X646" s="37" t="s">
        <v>6</v>
      </c>
      <c r="Y646" s="346" t="s">
        <v>416</v>
      </c>
      <c r="Z646" s="14" t="str">
        <f>IF(ISBLANK(LCI_Table[[#This Row],[Notes for user]])," ",LCI_Table[[#This Row],[Notes for user]])</f>
        <v xml:space="preserve"> </v>
      </c>
      <c r="AA646" s="14"/>
      <c r="AB646" s="14"/>
      <c r="AC646" s="346">
        <f ca="1">LCI_Table[[#This Row],[Default Calculated Value]]-LCI_Table[[#This Row],[Calculated Value]]</f>
        <v>0</v>
      </c>
    </row>
    <row r="647" spans="1:29" x14ac:dyDescent="0.3">
      <c r="A6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STJGREETGREET(blank)_Cellulosic_Catalytic_STJ_HClHCl</v>
      </c>
      <c r="B647" s="14" t="s">
        <v>135</v>
      </c>
      <c r="C647" s="14" t="s">
        <v>140</v>
      </c>
      <c r="D647" s="14" t="s">
        <v>29</v>
      </c>
      <c r="E647" s="48" t="s">
        <v>29</v>
      </c>
      <c r="F647" s="14" t="s">
        <v>31</v>
      </c>
      <c r="G647" s="14" t="b">
        <f>OR(LCI_Table[[#This Row],[Feedstock]]="All",LCI_Table[[#This Row],[Feedstock]]=SelectedFeedstock)</f>
        <v>0</v>
      </c>
      <c r="H647" s="14" t="b">
        <f>OR(LCI_Table[[#This Row],[Conversion]]="All",LCI_Table[[#This Row],[Conversion]]=SelectedConversion)</f>
        <v>0</v>
      </c>
      <c r="I647" s="14" t="b">
        <f>OR(LCI_Table[[#This Row],[Data Set]]="all",LCI_Table[[#This Row],[Data Set]]=SelectedDataSet)</f>
        <v>1</v>
      </c>
      <c r="J647" s="14" t="b">
        <f>OR(LCI_Table[[#This Row],[Technology]]="All",LCI_Table[[#This Row],[Technology]]=SelectedTechnology)</f>
        <v>1</v>
      </c>
      <c r="K647" s="14" t="b">
        <f>OR(LCI_Table[[#This Row],[Data Source]]="All",LCI_Table[[#This Row],[Data Source]]=SelectedDataSource)</f>
        <v>1</v>
      </c>
      <c r="L647" s="14" t="b">
        <f>TRUE</f>
        <v>1</v>
      </c>
      <c r="M647" s="14" t="b">
        <f>(LCI_Table[[#This Row],[Dev Notes]]="Do not display")</f>
        <v>0</v>
      </c>
      <c r="N647" s="14" t="b">
        <f>AND(LCI_Table[[#This Row],[Show Feedstock]:[Conditional]],NOT(LCI_Table[[#This Row],[Hide Row]]))</f>
        <v>0</v>
      </c>
      <c r="O647" s="14" t="b">
        <f>LCI_Table[[#This Row],[GREET1 Name Range]]=""</f>
        <v>0</v>
      </c>
      <c r="P647" s="14" t="s">
        <v>1448</v>
      </c>
      <c r="Q647" s="14" t="s">
        <v>551</v>
      </c>
      <c r="R647" s="14" t="s">
        <v>399</v>
      </c>
      <c r="S647" s="37" cm="1">
        <f t="array" aca="1" ref="S6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1353.9801550055988</v>
      </c>
      <c r="T647" s="346" t="s">
        <v>2127</v>
      </c>
      <c r="U647" s="347">
        <f ca="1">S647/kg2g/Allocations!$O$65*MJ2mmBTU</f>
        <v>1.2833255746656433E-3</v>
      </c>
      <c r="V647" s="347">
        <v>1353.9801550055988</v>
      </c>
      <c r="W647" s="347">
        <v>1.2833255746656433E-3</v>
      </c>
      <c r="X647" s="37" t="s">
        <v>6</v>
      </c>
      <c r="Y647" s="346" t="s">
        <v>416</v>
      </c>
      <c r="Z647" s="14" t="str">
        <f>IF(ISBLANK(LCI_Table[[#This Row],[Notes for user]])," ",LCI_Table[[#This Row],[Notes for user]])</f>
        <v xml:space="preserve"> </v>
      </c>
      <c r="AA647" s="14"/>
      <c r="AB647" s="14"/>
      <c r="AC647" s="346">
        <f ca="1">LCI_Table[[#This Row],[Default Calculated Value]]-LCI_Table[[#This Row],[Calculated Value]]</f>
        <v>0</v>
      </c>
    </row>
    <row r="648" spans="1:29" x14ac:dyDescent="0.3">
      <c r="A6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STJGREETGREET(blank)_Cellulosic_Catalytic_STJ_Host_nutrientsHost nutrients</v>
      </c>
      <c r="B648" s="14" t="s">
        <v>135</v>
      </c>
      <c r="C648" s="14" t="s">
        <v>140</v>
      </c>
      <c r="D648" s="14" t="s">
        <v>29</v>
      </c>
      <c r="E648" s="48" t="s">
        <v>29</v>
      </c>
      <c r="F648" s="14" t="s">
        <v>31</v>
      </c>
      <c r="G648" s="14" t="b">
        <f>OR(LCI_Table[[#This Row],[Feedstock]]="All",LCI_Table[[#This Row],[Feedstock]]=SelectedFeedstock)</f>
        <v>0</v>
      </c>
      <c r="H648" s="14" t="b">
        <f>OR(LCI_Table[[#This Row],[Conversion]]="All",LCI_Table[[#This Row],[Conversion]]=SelectedConversion)</f>
        <v>0</v>
      </c>
      <c r="I648" s="14" t="b">
        <f>OR(LCI_Table[[#This Row],[Data Set]]="all",LCI_Table[[#This Row],[Data Set]]=SelectedDataSet)</f>
        <v>1</v>
      </c>
      <c r="J648" s="14" t="b">
        <f>OR(LCI_Table[[#This Row],[Technology]]="All",LCI_Table[[#This Row],[Technology]]=SelectedTechnology)</f>
        <v>1</v>
      </c>
      <c r="K648" s="14" t="b">
        <f>OR(LCI_Table[[#This Row],[Data Source]]="All",LCI_Table[[#This Row],[Data Source]]=SelectedDataSource)</f>
        <v>1</v>
      </c>
      <c r="L648" s="14" t="b">
        <f>TRUE</f>
        <v>1</v>
      </c>
      <c r="M648" s="14" t="b">
        <f>(LCI_Table[[#This Row],[Dev Notes]]="Do not display")</f>
        <v>0</v>
      </c>
      <c r="N648" s="14" t="b">
        <f>AND(LCI_Table[[#This Row],[Show Feedstock]:[Conditional]],NOT(LCI_Table[[#This Row],[Hide Row]]))</f>
        <v>0</v>
      </c>
      <c r="O648" s="14" t="b">
        <f>LCI_Table[[#This Row],[GREET1 Name Range]]=""</f>
        <v>0</v>
      </c>
      <c r="P648" s="14" t="s">
        <v>1448</v>
      </c>
      <c r="Q648" s="14" t="s">
        <v>552</v>
      </c>
      <c r="R648" s="14" t="s">
        <v>388</v>
      </c>
      <c r="S648" s="37" cm="1">
        <f t="array" aca="1" ref="S6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41.029701666836324</v>
      </c>
      <c r="T648" s="346" t="s">
        <v>2127</v>
      </c>
      <c r="U648" s="347">
        <f ca="1">S648/kg2g/Allocations!$O$65*MJ2mmBTU</f>
        <v>3.8888653777746761E-5</v>
      </c>
      <c r="V648" s="347">
        <v>41.029701666836324</v>
      </c>
      <c r="W648" s="347">
        <v>3.8888653777746761E-5</v>
      </c>
      <c r="X648" s="37" t="s">
        <v>6</v>
      </c>
      <c r="Y648" s="346" t="s">
        <v>416</v>
      </c>
      <c r="Z648" s="14" t="str">
        <f>IF(ISBLANK(LCI_Table[[#This Row],[Notes for user]])," ",LCI_Table[[#This Row],[Notes for user]])</f>
        <v xml:space="preserve"> </v>
      </c>
      <c r="AA648" s="14"/>
      <c r="AB648" s="14"/>
      <c r="AC648" s="346">
        <f ca="1">LCI_Table[[#This Row],[Default Calculated Value]]-LCI_Table[[#This Row],[Calculated Value]]</f>
        <v>0</v>
      </c>
    </row>
    <row r="649" spans="1:29" x14ac:dyDescent="0.3">
      <c r="A6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STJGREETGREET(blank)_Cellulosic_Catalytic_STJ_LimeLime</v>
      </c>
      <c r="B649" s="14" t="s">
        <v>135</v>
      </c>
      <c r="C649" s="14" t="s">
        <v>140</v>
      </c>
      <c r="D649" s="14" t="s">
        <v>29</v>
      </c>
      <c r="E649" s="48" t="s">
        <v>29</v>
      </c>
      <c r="F649" s="14" t="s">
        <v>31</v>
      </c>
      <c r="G649" s="14" t="b">
        <f>OR(LCI_Table[[#This Row],[Feedstock]]="All",LCI_Table[[#This Row],[Feedstock]]=SelectedFeedstock)</f>
        <v>0</v>
      </c>
      <c r="H649" s="14" t="b">
        <f>OR(LCI_Table[[#This Row],[Conversion]]="All",LCI_Table[[#This Row],[Conversion]]=SelectedConversion)</f>
        <v>0</v>
      </c>
      <c r="I649" s="14" t="b">
        <f>OR(LCI_Table[[#This Row],[Data Set]]="all",LCI_Table[[#This Row],[Data Set]]=SelectedDataSet)</f>
        <v>1</v>
      </c>
      <c r="J649" s="14" t="b">
        <f>OR(LCI_Table[[#This Row],[Technology]]="All",LCI_Table[[#This Row],[Technology]]=SelectedTechnology)</f>
        <v>1</v>
      </c>
      <c r="K649" s="14" t="b">
        <f>OR(LCI_Table[[#This Row],[Data Source]]="All",LCI_Table[[#This Row],[Data Source]]=SelectedDataSource)</f>
        <v>1</v>
      </c>
      <c r="L649" s="14" t="b">
        <f>TRUE</f>
        <v>1</v>
      </c>
      <c r="M649" s="14" t="b">
        <f>(LCI_Table[[#This Row],[Dev Notes]]="Do not display")</f>
        <v>0</v>
      </c>
      <c r="N649" s="14" t="b">
        <f>AND(LCI_Table[[#This Row],[Show Feedstock]:[Conditional]],NOT(LCI_Table[[#This Row],[Hide Row]]))</f>
        <v>0</v>
      </c>
      <c r="O649" s="14" t="b">
        <f>LCI_Table[[#This Row],[GREET1 Name Range]]=""</f>
        <v>0</v>
      </c>
      <c r="P649" s="14" t="s">
        <v>1448</v>
      </c>
      <c r="Q649" s="14" t="s">
        <v>554</v>
      </c>
      <c r="R649" s="14" t="s">
        <v>143</v>
      </c>
      <c r="S649" s="37" cm="1">
        <f t="array" aca="1" ref="S6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217.21606764795703</v>
      </c>
      <c r="T649" s="346" t="s">
        <v>2127</v>
      </c>
      <c r="U649" s="347">
        <f ca="1">S649/kg2g/Allocations!$O$65*MJ2mmBTU</f>
        <v>2.0588110823512994E-4</v>
      </c>
      <c r="V649" s="347">
        <v>217.21606764795703</v>
      </c>
      <c r="W649" s="347">
        <v>2.0588110823512994E-4</v>
      </c>
      <c r="X649" s="14" t="s">
        <v>6</v>
      </c>
      <c r="Y649" s="346" t="s">
        <v>416</v>
      </c>
      <c r="Z649" s="14" t="str">
        <f>IF(ISBLANK(LCI_Table[[#This Row],[Notes for user]])," ",LCI_Table[[#This Row],[Notes for user]])</f>
        <v xml:space="preserve"> </v>
      </c>
      <c r="AA649" s="14"/>
      <c r="AB649" s="14"/>
      <c r="AC649" s="346">
        <f ca="1">LCI_Table[[#This Row],[Default Calculated Value]]-LCI_Table[[#This Row],[Calculated Value]]</f>
        <v>0</v>
      </c>
    </row>
    <row r="650" spans="1:29" x14ac:dyDescent="0.3">
      <c r="A6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STJGREETGREET(blank)_Cellulosic_Catalytic_STJ_SulfuricAcidSulfuric acid</v>
      </c>
      <c r="B650" s="14" t="s">
        <v>135</v>
      </c>
      <c r="C650" s="14" t="s">
        <v>140</v>
      </c>
      <c r="D650" s="14" t="s">
        <v>29</v>
      </c>
      <c r="E650" s="48" t="s">
        <v>29</v>
      </c>
      <c r="F650" s="14" t="s">
        <v>31</v>
      </c>
      <c r="G650" s="14" t="b">
        <f>OR(LCI_Table[[#This Row],[Feedstock]]="All",LCI_Table[[#This Row],[Feedstock]]=SelectedFeedstock)</f>
        <v>0</v>
      </c>
      <c r="H650" s="14" t="b">
        <f>OR(LCI_Table[[#This Row],[Conversion]]="All",LCI_Table[[#This Row],[Conversion]]=SelectedConversion)</f>
        <v>0</v>
      </c>
      <c r="I650" s="14" t="b">
        <f>OR(LCI_Table[[#This Row],[Data Set]]="all",LCI_Table[[#This Row],[Data Set]]=SelectedDataSet)</f>
        <v>1</v>
      </c>
      <c r="J650" s="14" t="b">
        <f>OR(LCI_Table[[#This Row],[Technology]]="All",LCI_Table[[#This Row],[Technology]]=SelectedTechnology)</f>
        <v>1</v>
      </c>
      <c r="K650" s="14" t="b">
        <f>OR(LCI_Table[[#This Row],[Data Source]]="All",LCI_Table[[#This Row],[Data Source]]=SelectedDataSource)</f>
        <v>1</v>
      </c>
      <c r="L650" s="14" t="b">
        <f>TRUE</f>
        <v>1</v>
      </c>
      <c r="M650" s="14" t="b">
        <f>(LCI_Table[[#This Row],[Dev Notes]]="Do not display")</f>
        <v>0</v>
      </c>
      <c r="N650" s="14" t="b">
        <f>AND(LCI_Table[[#This Row],[Show Feedstock]:[Conditional]],NOT(LCI_Table[[#This Row],[Hide Row]]))</f>
        <v>0</v>
      </c>
      <c r="O650" s="14" t="b">
        <f>LCI_Table[[#This Row],[GREET1 Name Range]]=""</f>
        <v>0</v>
      </c>
      <c r="P650" s="14" t="s">
        <v>1448</v>
      </c>
      <c r="Q650" s="14" t="s">
        <v>935</v>
      </c>
      <c r="R650" s="14" t="s">
        <v>384</v>
      </c>
      <c r="S650" s="37" cm="1">
        <f t="array" aca="1" ref="S6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2703.133286285688</v>
      </c>
      <c r="T650" s="346" t="s">
        <v>2127</v>
      </c>
      <c r="U650" s="347">
        <f ca="1">S650/kg2g/Allocations!$O$65*MJ2mmBTU</f>
        <v>2.5620760135927284E-3</v>
      </c>
      <c r="V650" s="347">
        <v>2703.133286285688</v>
      </c>
      <c r="W650" s="347">
        <v>2.5620760135927284E-3</v>
      </c>
      <c r="X650" s="37" t="s">
        <v>6</v>
      </c>
      <c r="Y650" s="346" t="s">
        <v>416</v>
      </c>
      <c r="Z650" s="14" t="str">
        <f>IF(ISBLANK(LCI_Table[[#This Row],[Notes for user]])," ",LCI_Table[[#This Row],[Notes for user]])</f>
        <v xml:space="preserve"> </v>
      </c>
      <c r="AA650" s="14"/>
      <c r="AB650" s="14"/>
      <c r="AC650" s="346">
        <f ca="1">LCI_Table[[#This Row],[Default Calculated Value]]-LCI_Table[[#This Row],[Calculated Value]]</f>
        <v>0</v>
      </c>
    </row>
    <row r="651" spans="1:29" x14ac:dyDescent="0.3">
      <c r="A6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STJGREETGREET(blank)_Cellulosic_Catalytic_STJ_WaterWater</v>
      </c>
      <c r="B651" s="14" t="s">
        <v>135</v>
      </c>
      <c r="C651" s="14" t="s">
        <v>140</v>
      </c>
      <c r="D651" s="14" t="s">
        <v>29</v>
      </c>
      <c r="E651" s="48" t="s">
        <v>29</v>
      </c>
      <c r="F651" s="14" t="s">
        <v>31</v>
      </c>
      <c r="G651" s="14" t="b">
        <f>OR(LCI_Table[[#This Row],[Feedstock]]="All",LCI_Table[[#This Row],[Feedstock]]=SelectedFeedstock)</f>
        <v>0</v>
      </c>
      <c r="H651" s="14" t="b">
        <f>OR(LCI_Table[[#This Row],[Conversion]]="All",LCI_Table[[#This Row],[Conversion]]=SelectedConversion)</f>
        <v>0</v>
      </c>
      <c r="I651" s="14" t="b">
        <f>OR(LCI_Table[[#This Row],[Data Set]]="all",LCI_Table[[#This Row],[Data Set]]=SelectedDataSet)</f>
        <v>1</v>
      </c>
      <c r="J651" s="14" t="b">
        <f>OR(LCI_Table[[#This Row],[Technology]]="All",LCI_Table[[#This Row],[Technology]]=SelectedTechnology)</f>
        <v>1</v>
      </c>
      <c r="K651" s="14" t="b">
        <f>OR(LCI_Table[[#This Row],[Data Source]]="All",LCI_Table[[#This Row],[Data Source]]=SelectedDataSource)</f>
        <v>1</v>
      </c>
      <c r="L651" s="14" t="b">
        <f>TRUE</f>
        <v>1</v>
      </c>
      <c r="M651" s="14" t="b">
        <f>(LCI_Table[[#This Row],[Dev Notes]]="Do not display")</f>
        <v>0</v>
      </c>
      <c r="N651" s="14" t="b">
        <f>AND(LCI_Table[[#This Row],[Show Feedstock]:[Conditional]],NOT(LCI_Table[[#This Row],[Hide Row]]))</f>
        <v>0</v>
      </c>
      <c r="O651" s="14" t="b">
        <f>LCI_Table[[#This Row],[GREET1 Name Range]]=""</f>
        <v>0</v>
      </c>
      <c r="P651" s="14" t="s">
        <v>1448</v>
      </c>
      <c r="Q651" s="14" t="s">
        <v>555</v>
      </c>
      <c r="R651" s="14" t="s">
        <v>146</v>
      </c>
      <c r="S651" s="37" cm="1">
        <f t="array" aca="1" ref="S6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50.845995350220299</v>
      </c>
      <c r="T651" s="346" t="s">
        <v>2128</v>
      </c>
      <c r="U651" s="347">
        <f ca="1">S651/kg2lb*Fuel_Specs!$K$4/Allocations!$O$65*MJ2mmBTU</f>
        <v>0.18189138398999874</v>
      </c>
      <c r="V651" s="347">
        <v>50.845995350220299</v>
      </c>
      <c r="W651" s="347">
        <v>0.18189138398999874</v>
      </c>
      <c r="X651" s="37" t="s">
        <v>5</v>
      </c>
      <c r="Y651" s="346" t="s">
        <v>416</v>
      </c>
      <c r="Z651" s="14" t="str">
        <f>IF(ISBLANK(LCI_Table[[#This Row],[Notes for user]])," ",LCI_Table[[#This Row],[Notes for user]])</f>
        <v xml:space="preserve"> </v>
      </c>
      <c r="AA651" s="14"/>
      <c r="AB651" s="14"/>
      <c r="AC651" s="346">
        <f ca="1">LCI_Table[[#This Row],[Default Calculated Value]]-LCI_Table[[#This Row],[Calculated Value]]</f>
        <v>0</v>
      </c>
    </row>
    <row r="652" spans="1:29" x14ac:dyDescent="0.3">
      <c r="A6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stoverCatalytic STJGREETGREET(blank)_Cellulosic_Catalytic_STJ_Electricity_co_producedElectricity (co-produced)</v>
      </c>
      <c r="B652" s="14" t="s">
        <v>135</v>
      </c>
      <c r="C652" s="14" t="s">
        <v>140</v>
      </c>
      <c r="D652" s="14" t="s">
        <v>29</v>
      </c>
      <c r="E652" s="48" t="s">
        <v>29</v>
      </c>
      <c r="F652" s="14" t="s">
        <v>31</v>
      </c>
      <c r="G652" s="14" t="b">
        <f>OR(LCI_Table[[#This Row],[Feedstock]]="All",LCI_Table[[#This Row],[Feedstock]]=SelectedFeedstock)</f>
        <v>0</v>
      </c>
      <c r="H652" s="14" t="b">
        <f>OR(LCI_Table[[#This Row],[Conversion]]="All",LCI_Table[[#This Row],[Conversion]]=SelectedConversion)</f>
        <v>0</v>
      </c>
      <c r="I652" s="14" t="b">
        <f>OR(LCI_Table[[#This Row],[Data Set]]="all",LCI_Table[[#This Row],[Data Set]]=SelectedDataSet)</f>
        <v>1</v>
      </c>
      <c r="J652" s="14" t="b">
        <f>OR(LCI_Table[[#This Row],[Technology]]="All",LCI_Table[[#This Row],[Technology]]=SelectedTechnology)</f>
        <v>1</v>
      </c>
      <c r="K652" s="14" t="b">
        <f>OR(LCI_Table[[#This Row],[Data Source]]="All",LCI_Table[[#This Row],[Data Source]]=SelectedDataSource)</f>
        <v>1</v>
      </c>
      <c r="L652" s="14" t="b">
        <f>TRUE</f>
        <v>1</v>
      </c>
      <c r="M652" s="14" t="b">
        <f>(LCI_Table[[#This Row],[Dev Notes]]="Do not display")</f>
        <v>0</v>
      </c>
      <c r="N652" s="14" t="b">
        <f>AND(LCI_Table[[#This Row],[Show Feedstock]:[Conditional]],NOT(LCI_Table[[#This Row],[Hide Row]]))</f>
        <v>0</v>
      </c>
      <c r="O652" s="14" t="b">
        <f>LCI_Table[[#This Row],[GREET1 Name Range]]=""</f>
        <v>0</v>
      </c>
      <c r="P652" s="14" t="s">
        <v>1448</v>
      </c>
      <c r="Q652" s="14" t="s">
        <v>549</v>
      </c>
      <c r="R652" s="14" t="s">
        <v>439</v>
      </c>
      <c r="S652" s="37" cm="1">
        <f t="array" aca="1" ref="S6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13.328619262064917</v>
      </c>
      <c r="T652" s="346" t="s">
        <v>2121</v>
      </c>
      <c r="U652" s="347">
        <f ca="1">S652/Allocations!$O$65*MJ2mmBTU</f>
        <v>1.2633093558094499E-2</v>
      </c>
      <c r="V652" s="347">
        <v>13.328619262064917</v>
      </c>
      <c r="W652" s="347">
        <v>1.2633093558094499E-2</v>
      </c>
      <c r="X652" s="37" t="s">
        <v>51</v>
      </c>
      <c r="Y652" s="346" t="s">
        <v>416</v>
      </c>
      <c r="Z652" s="14" t="str">
        <f>IF(ISBLANK(LCI_Table[[#This Row],[Notes for user]])," ",LCI_Table[[#This Row],[Notes for user]])</f>
        <v xml:space="preserve"> </v>
      </c>
      <c r="AA652" s="14"/>
      <c r="AB652" s="14"/>
      <c r="AC652" s="346">
        <f ca="1">LCI_Table[[#This Row],[Default Calculated Value]]-LCI_Table[[#This Row],[Calculated Value]]</f>
        <v>0</v>
      </c>
    </row>
    <row r="653" spans="1:29" x14ac:dyDescent="0.3">
      <c r="A6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dash_WillowBiological STJGREETGREET(blank)_Yield_Farming</v>
      </c>
      <c r="B653" s="48" t="s">
        <v>131</v>
      </c>
      <c r="C653" s="48" t="s">
        <v>139</v>
      </c>
      <c r="D653" s="48" t="s">
        <v>29</v>
      </c>
      <c r="E653" s="48" t="s">
        <v>29</v>
      </c>
      <c r="F653" s="48" t="s">
        <v>31</v>
      </c>
      <c r="G653" s="14" t="b">
        <f>OR(LCI_Table[[#This Row],[Feedstock]]="All",LCI_Table[[#This Row],[Feedstock]]=SelectedFeedstock)</f>
        <v>0</v>
      </c>
      <c r="H653" s="14" t="b">
        <f>OR(LCI_Table[[#This Row],[Conversion]]="All",LCI_Table[[#This Row],[Conversion]]=SelectedConversion)</f>
        <v>0</v>
      </c>
      <c r="I653" s="14" t="b">
        <f>OR(LCI_Table[[#This Row],[Data Set]]="all",LCI_Table[[#This Row],[Data Set]]=SelectedDataSet)</f>
        <v>1</v>
      </c>
      <c r="J653" s="14" t="b">
        <f>OR(LCI_Table[[#This Row],[Technology]]="All",LCI_Table[[#This Row],[Technology]]=SelectedTechnology)</f>
        <v>1</v>
      </c>
      <c r="K653" s="14" t="b">
        <f>OR(LCI_Table[[#This Row],[Data Source]]="All",LCI_Table[[#This Row],[Data Source]]=SelectedDataSource)</f>
        <v>1</v>
      </c>
      <c r="L653" s="14" t="b">
        <f>TRUE</f>
        <v>1</v>
      </c>
      <c r="M653" s="14" t="b">
        <f>(LCI_Table[[#This Row],[Dev Notes]]="Do not display")</f>
        <v>0</v>
      </c>
      <c r="N653" s="14" t="b">
        <f>AND(LCI_Table[[#This Row],[Show Feedstock]:[Conditional]],NOT(LCI_Table[[#This Row],[Hide Row]]))</f>
        <v>0</v>
      </c>
      <c r="O653" s="14" t="b">
        <f>LCI_Table[[#This Row],[GREET1 Name Range]]=""</f>
        <v>1</v>
      </c>
      <c r="P653" s="48" t="s">
        <v>14</v>
      </c>
      <c r="Q653" s="14" t="s">
        <v>361</v>
      </c>
      <c r="R653" s="48" t="s">
        <v>200</v>
      </c>
      <c r="S653" s="37" cm="1">
        <f t="array" aca="1" ref="S6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28.2</v>
      </c>
      <c r="T653" s="346" t="s">
        <v>2116</v>
      </c>
      <c r="U653" s="344"/>
      <c r="V653" s="344">
        <v>28.2</v>
      </c>
      <c r="W653" s="344"/>
      <c r="X653" s="48" t="s">
        <v>55</v>
      </c>
      <c r="Y653" s="346" t="s">
        <v>413</v>
      </c>
      <c r="Z653" s="14" t="str">
        <f>IF(ISBLANK(LCI_Table[[#This Row],[Notes for user]])," ",LCI_Table[[#This Row],[Notes for user]])</f>
        <v xml:space="preserve"> </v>
      </c>
      <c r="AA653" s="48"/>
      <c r="AB653" s="345"/>
      <c r="AC653" s="346">
        <f>LCI_Table[[#This Row],[Default Calculated Value]]-LCI_Table[[#This Row],[Calculated Value]]</f>
        <v>0</v>
      </c>
    </row>
    <row r="654" spans="1:29" x14ac:dyDescent="0.3">
      <c r="A6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STJGREETGREET(blank)_Willow_Farming_Nitrogen_fertilizerNitrogen fertilizer</v>
      </c>
      <c r="B654" s="14" t="s">
        <v>131</v>
      </c>
      <c r="C654" s="14" t="s">
        <v>139</v>
      </c>
      <c r="D654" s="14" t="s">
        <v>29</v>
      </c>
      <c r="E654" s="48" t="s">
        <v>29</v>
      </c>
      <c r="F654" s="14" t="s">
        <v>31</v>
      </c>
      <c r="G654" s="14" t="b">
        <f>OR(LCI_Table[[#This Row],[Feedstock]]="All",LCI_Table[[#This Row],[Feedstock]]=SelectedFeedstock)</f>
        <v>0</v>
      </c>
      <c r="H654" s="14" t="b">
        <f>OR(LCI_Table[[#This Row],[Conversion]]="All",LCI_Table[[#This Row],[Conversion]]=SelectedConversion)</f>
        <v>0</v>
      </c>
      <c r="I654" s="14" t="b">
        <f>OR(LCI_Table[[#This Row],[Data Set]]="all",LCI_Table[[#This Row],[Data Set]]=SelectedDataSet)</f>
        <v>1</v>
      </c>
      <c r="J654" s="14" t="b">
        <f>OR(LCI_Table[[#This Row],[Technology]]="All",LCI_Table[[#This Row],[Technology]]=SelectedTechnology)</f>
        <v>1</v>
      </c>
      <c r="K654" s="14" t="b">
        <f>OR(LCI_Table[[#This Row],[Data Source]]="All",LCI_Table[[#This Row],[Data Source]]=SelectedDataSource)</f>
        <v>1</v>
      </c>
      <c r="L654" s="14" t="b">
        <f>TRUE</f>
        <v>1</v>
      </c>
      <c r="M654" s="14" t="b">
        <f>(LCI_Table[[#This Row],[Dev Notes]]="Do not display")</f>
        <v>0</v>
      </c>
      <c r="N654" s="14" t="b">
        <f>AND(LCI_Table[[#This Row],[Show Feedstock]:[Conditional]],NOT(LCI_Table[[#This Row],[Hide Row]]))</f>
        <v>0</v>
      </c>
      <c r="O654" s="14" t="b">
        <f>LCI_Table[[#This Row],[GREET1 Name Range]]=""</f>
        <v>0</v>
      </c>
      <c r="P654" s="14" t="s">
        <v>14</v>
      </c>
      <c r="Q654" s="14" t="s">
        <v>853</v>
      </c>
      <c r="R654" s="14" t="s">
        <v>111</v>
      </c>
      <c r="S654" s="37" cm="1">
        <f t="array" aca="1" ref="S6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90.878828351189952</v>
      </c>
      <c r="T654" s="346" t="s">
        <v>1485</v>
      </c>
      <c r="U654" s="347">
        <f ca="1">S654/S653*lb2g</f>
        <v>1461.7710331432427</v>
      </c>
      <c r="V654" s="347">
        <v>90.878828351189952</v>
      </c>
      <c r="W654" s="347">
        <v>1461.7710331432427</v>
      </c>
      <c r="X654" s="14" t="s">
        <v>12</v>
      </c>
      <c r="Y654" s="346" t="s">
        <v>413</v>
      </c>
      <c r="Z654" s="14" t="str">
        <f>IF(ISBLANK(LCI_Table[[#This Row],[Notes for user]])," ",LCI_Table[[#This Row],[Notes for user]])</f>
        <v xml:space="preserve"> </v>
      </c>
      <c r="AA654" s="14"/>
      <c r="AB654" s="14"/>
      <c r="AC654" s="346">
        <f ca="1">LCI_Table[[#This Row],[Default Calculated Value]]-LCI_Table[[#This Row],[Calculated Value]]</f>
        <v>0</v>
      </c>
    </row>
    <row r="655" spans="1:29" x14ac:dyDescent="0.3">
      <c r="A6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STJGREETGREET(blank)_Willow_Farming_P2O5P2O5</v>
      </c>
      <c r="B655" s="14" t="s">
        <v>131</v>
      </c>
      <c r="C655" s="14" t="s">
        <v>139</v>
      </c>
      <c r="D655" s="14" t="s">
        <v>29</v>
      </c>
      <c r="E655" s="48" t="s">
        <v>29</v>
      </c>
      <c r="F655" s="14" t="s">
        <v>31</v>
      </c>
      <c r="G655" s="14" t="b">
        <f>OR(LCI_Table[[#This Row],[Feedstock]]="All",LCI_Table[[#This Row],[Feedstock]]=SelectedFeedstock)</f>
        <v>0</v>
      </c>
      <c r="H655" s="14" t="b">
        <f>OR(LCI_Table[[#This Row],[Conversion]]="All",LCI_Table[[#This Row],[Conversion]]=SelectedConversion)</f>
        <v>0</v>
      </c>
      <c r="I655" s="14" t="b">
        <f>OR(LCI_Table[[#This Row],[Data Set]]="all",LCI_Table[[#This Row],[Data Set]]=SelectedDataSet)</f>
        <v>1</v>
      </c>
      <c r="J655" s="14" t="b">
        <f>OR(LCI_Table[[#This Row],[Technology]]="All",LCI_Table[[#This Row],[Technology]]=SelectedTechnology)</f>
        <v>1</v>
      </c>
      <c r="K655" s="14" t="b">
        <f>OR(LCI_Table[[#This Row],[Data Source]]="All",LCI_Table[[#This Row],[Data Source]]=SelectedDataSource)</f>
        <v>1</v>
      </c>
      <c r="L655" s="14" t="b">
        <f>TRUE</f>
        <v>1</v>
      </c>
      <c r="M655" s="14" t="b">
        <f>(LCI_Table[[#This Row],[Dev Notes]]="Do not display")</f>
        <v>0</v>
      </c>
      <c r="N655" s="14" t="b">
        <f>AND(LCI_Table[[#This Row],[Show Feedstock]:[Conditional]],NOT(LCI_Table[[#This Row],[Hide Row]]))</f>
        <v>0</v>
      </c>
      <c r="O655" s="14" t="b">
        <f>LCI_Table[[#This Row],[GREET1 Name Range]]=""</f>
        <v>0</v>
      </c>
      <c r="P655" s="14" t="s">
        <v>14</v>
      </c>
      <c r="Q655" s="14" t="s">
        <v>854</v>
      </c>
      <c r="R655" s="14" t="s">
        <v>112</v>
      </c>
      <c r="S655" s="37" cm="1">
        <f t="array" aca="1" ref="S6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40.390590378306598</v>
      </c>
      <c r="T655" s="346" t="s">
        <v>1485</v>
      </c>
      <c r="U655" s="347">
        <f ca="1">S655/S653*lb2g</f>
        <v>649.67601473032937</v>
      </c>
      <c r="V655" s="347">
        <v>40.390590378306598</v>
      </c>
      <c r="W655" s="347">
        <v>649.67601473032937</v>
      </c>
      <c r="X655" s="14" t="s">
        <v>12</v>
      </c>
      <c r="Y655" s="346" t="s">
        <v>413</v>
      </c>
      <c r="Z655" s="14" t="str">
        <f>IF(ISBLANK(LCI_Table[[#This Row],[Notes for user]])," ",LCI_Table[[#This Row],[Notes for user]])</f>
        <v xml:space="preserve"> </v>
      </c>
      <c r="AA655" s="14"/>
      <c r="AB655" s="14"/>
      <c r="AC655" s="346">
        <f ca="1">LCI_Table[[#This Row],[Default Calculated Value]]-LCI_Table[[#This Row],[Calculated Value]]</f>
        <v>0</v>
      </c>
    </row>
    <row r="656" spans="1:29" x14ac:dyDescent="0.3">
      <c r="A6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STJGREETGREET(blank)_Willow_Farming_K2OK2O</v>
      </c>
      <c r="B656" s="14" t="s">
        <v>131</v>
      </c>
      <c r="C656" s="14" t="s">
        <v>139</v>
      </c>
      <c r="D656" s="14" t="s">
        <v>29</v>
      </c>
      <c r="E656" s="48" t="s">
        <v>29</v>
      </c>
      <c r="F656" s="14" t="s">
        <v>31</v>
      </c>
      <c r="G656" s="14" t="b">
        <f>OR(LCI_Table[[#This Row],[Feedstock]]="All",LCI_Table[[#This Row],[Feedstock]]=SelectedFeedstock)</f>
        <v>0</v>
      </c>
      <c r="H656" s="14" t="b">
        <f>OR(LCI_Table[[#This Row],[Conversion]]="All",LCI_Table[[#This Row],[Conversion]]=SelectedConversion)</f>
        <v>0</v>
      </c>
      <c r="I656" s="14" t="b">
        <f>OR(LCI_Table[[#This Row],[Data Set]]="all",LCI_Table[[#This Row],[Data Set]]=SelectedDataSet)</f>
        <v>1</v>
      </c>
      <c r="J656" s="14" t="b">
        <f>OR(LCI_Table[[#This Row],[Technology]]="All",LCI_Table[[#This Row],[Technology]]=SelectedTechnology)</f>
        <v>1</v>
      </c>
      <c r="K656" s="14" t="b">
        <f>OR(LCI_Table[[#This Row],[Data Source]]="All",LCI_Table[[#This Row],[Data Source]]=SelectedDataSource)</f>
        <v>1</v>
      </c>
      <c r="L656" s="14" t="b">
        <f>TRUE</f>
        <v>1</v>
      </c>
      <c r="M656" s="14" t="b">
        <f>(LCI_Table[[#This Row],[Dev Notes]]="Do not display")</f>
        <v>0</v>
      </c>
      <c r="N656" s="14" t="b">
        <f>AND(LCI_Table[[#This Row],[Show Feedstock]:[Conditional]],NOT(LCI_Table[[#This Row],[Hide Row]]))</f>
        <v>0</v>
      </c>
      <c r="O656" s="14" t="b">
        <f>LCI_Table[[#This Row],[GREET1 Name Range]]=""</f>
        <v>0</v>
      </c>
      <c r="P656" s="14" t="s">
        <v>14</v>
      </c>
      <c r="Q656" s="14" t="s">
        <v>850</v>
      </c>
      <c r="R656" s="14" t="s">
        <v>113</v>
      </c>
      <c r="S656" s="37" cm="1">
        <f t="array" aca="1" ref="S6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62.289440243223993</v>
      </c>
      <c r="T656" s="346" t="s">
        <v>1485</v>
      </c>
      <c r="U656" s="347">
        <f ca="1">S656/S653*lb2g</f>
        <v>1001.915419358062</v>
      </c>
      <c r="V656" s="347">
        <v>62.289440243223993</v>
      </c>
      <c r="W656" s="347">
        <v>1001.915419358062</v>
      </c>
      <c r="X656" s="14" t="s">
        <v>12</v>
      </c>
      <c r="Y656" s="346" t="s">
        <v>413</v>
      </c>
      <c r="Z656" s="14" t="str">
        <f>IF(ISBLANK(LCI_Table[[#This Row],[Notes for user]])," ",LCI_Table[[#This Row],[Notes for user]])</f>
        <v xml:space="preserve"> </v>
      </c>
      <c r="AA656" s="14"/>
      <c r="AB656" s="14"/>
      <c r="AC656" s="346">
        <f ca="1">LCI_Table[[#This Row],[Default Calculated Value]]-LCI_Table[[#This Row],[Calculated Value]]</f>
        <v>0</v>
      </c>
    </row>
    <row r="657" spans="1:29" x14ac:dyDescent="0.3">
      <c r="A6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STJGREETGREET(blank)_Willow_Farming_CaCO3CaCO3</v>
      </c>
      <c r="B657" s="14" t="s">
        <v>131</v>
      </c>
      <c r="C657" s="14" t="s">
        <v>139</v>
      </c>
      <c r="D657" s="14" t="s">
        <v>29</v>
      </c>
      <c r="E657" s="48" t="s">
        <v>29</v>
      </c>
      <c r="F657" s="14" t="s">
        <v>31</v>
      </c>
      <c r="G657" s="14" t="b">
        <f>OR(LCI_Table[[#This Row],[Feedstock]]="All",LCI_Table[[#This Row],[Feedstock]]=SelectedFeedstock)</f>
        <v>0</v>
      </c>
      <c r="H657" s="14" t="b">
        <f>OR(LCI_Table[[#This Row],[Conversion]]="All",LCI_Table[[#This Row],[Conversion]]=SelectedConversion)</f>
        <v>0</v>
      </c>
      <c r="I657" s="14" t="b">
        <f>OR(LCI_Table[[#This Row],[Data Set]]="all",LCI_Table[[#This Row],[Data Set]]=SelectedDataSet)</f>
        <v>1</v>
      </c>
      <c r="J657" s="14" t="b">
        <f>OR(LCI_Table[[#This Row],[Technology]]="All",LCI_Table[[#This Row],[Technology]]=SelectedTechnology)</f>
        <v>1</v>
      </c>
      <c r="K657" s="14" t="b">
        <f>OR(LCI_Table[[#This Row],[Data Source]]="All",LCI_Table[[#This Row],[Data Source]]=SelectedDataSource)</f>
        <v>1</v>
      </c>
      <c r="L657" s="14" t="b">
        <f>TRUE</f>
        <v>1</v>
      </c>
      <c r="M657" s="14" t="b">
        <f>(LCI_Table[[#This Row],[Dev Notes]]="Do not display")</f>
        <v>0</v>
      </c>
      <c r="N657" s="14" t="b">
        <f>AND(LCI_Table[[#This Row],[Show Feedstock]:[Conditional]],NOT(LCI_Table[[#This Row],[Hide Row]]))</f>
        <v>0</v>
      </c>
      <c r="O657" s="14" t="b">
        <f>LCI_Table[[#This Row],[GREET1 Name Range]]=""</f>
        <v>0</v>
      </c>
      <c r="P657" s="14" t="s">
        <v>14</v>
      </c>
      <c r="Q657" s="14" t="s">
        <v>842</v>
      </c>
      <c r="R657" s="14" t="s">
        <v>141</v>
      </c>
      <c r="S657" s="37" cm="1">
        <f t="array" aca="1" ref="S6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57" s="346" t="s">
        <v>1485</v>
      </c>
      <c r="U657" s="347">
        <f ca="1">S657/S653*lb2g</f>
        <v>0</v>
      </c>
      <c r="V657" s="347">
        <v>0</v>
      </c>
      <c r="W657" s="347">
        <v>0</v>
      </c>
      <c r="X657" s="14" t="s">
        <v>12</v>
      </c>
      <c r="Y657" s="346" t="s">
        <v>413</v>
      </c>
      <c r="Z657" s="14" t="str">
        <f>IF(ISBLANK(LCI_Table[[#This Row],[Notes for user]])," ",LCI_Table[[#This Row],[Notes for user]])</f>
        <v xml:space="preserve"> </v>
      </c>
      <c r="AA657" s="14"/>
      <c r="AB657" s="14"/>
      <c r="AC657" s="346">
        <f ca="1">LCI_Table[[#This Row],[Default Calculated Value]]-LCI_Table[[#This Row],[Calculated Value]]</f>
        <v>0</v>
      </c>
    </row>
    <row r="658" spans="1:29" x14ac:dyDescent="0.3">
      <c r="A6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STJGREETGREET(blank)_Willow_Farming_HerbicidesHerbicides</v>
      </c>
      <c r="B658" s="14" t="s">
        <v>131</v>
      </c>
      <c r="C658" s="14" t="s">
        <v>139</v>
      </c>
      <c r="D658" s="14" t="s">
        <v>29</v>
      </c>
      <c r="E658" s="48" t="s">
        <v>29</v>
      </c>
      <c r="F658" s="14" t="s">
        <v>31</v>
      </c>
      <c r="G658" s="14" t="b">
        <f>OR(LCI_Table[[#This Row],[Feedstock]]="All",LCI_Table[[#This Row],[Feedstock]]=SelectedFeedstock)</f>
        <v>0</v>
      </c>
      <c r="H658" s="14" t="b">
        <f>OR(LCI_Table[[#This Row],[Conversion]]="All",LCI_Table[[#This Row],[Conversion]]=SelectedConversion)</f>
        <v>0</v>
      </c>
      <c r="I658" s="14" t="b">
        <f>OR(LCI_Table[[#This Row],[Data Set]]="all",LCI_Table[[#This Row],[Data Set]]=SelectedDataSet)</f>
        <v>1</v>
      </c>
      <c r="J658" s="14" t="b">
        <f>OR(LCI_Table[[#This Row],[Technology]]="All",LCI_Table[[#This Row],[Technology]]=SelectedTechnology)</f>
        <v>1</v>
      </c>
      <c r="K658" s="14" t="b">
        <f>OR(LCI_Table[[#This Row],[Data Source]]="All",LCI_Table[[#This Row],[Data Source]]=SelectedDataSource)</f>
        <v>1</v>
      </c>
      <c r="L658" s="14" t="b">
        <f>TRUE</f>
        <v>1</v>
      </c>
      <c r="M658" s="14" t="b">
        <f>(LCI_Table[[#This Row],[Dev Notes]]="Do not display")</f>
        <v>0</v>
      </c>
      <c r="N658" s="14" t="b">
        <f>AND(LCI_Table[[#This Row],[Show Feedstock]:[Conditional]],NOT(LCI_Table[[#This Row],[Hide Row]]))</f>
        <v>0</v>
      </c>
      <c r="O658" s="14" t="b">
        <f>LCI_Table[[#This Row],[GREET1 Name Range]]=""</f>
        <v>0</v>
      </c>
      <c r="P658" s="14" t="s">
        <v>14</v>
      </c>
      <c r="Q658" s="14" t="s">
        <v>848</v>
      </c>
      <c r="R658" s="14" t="s">
        <v>356</v>
      </c>
      <c r="S658" s="37" cm="1">
        <f t="array" aca="1" ref="S6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0.99950933611942439</v>
      </c>
      <c r="T658" s="346" t="s">
        <v>1485</v>
      </c>
      <c r="U658" s="347">
        <f ca="1">S658/S653*lb2g</f>
        <v>16.076943567643134</v>
      </c>
      <c r="V658" s="347">
        <v>0.99950933611942439</v>
      </c>
      <c r="W658" s="347">
        <v>16.076943567643134</v>
      </c>
      <c r="X658" s="14" t="s">
        <v>12</v>
      </c>
      <c r="Y658" s="346" t="s">
        <v>413</v>
      </c>
      <c r="Z658" s="14" t="str">
        <f>IF(ISBLANK(LCI_Table[[#This Row],[Notes for user]])," ",LCI_Table[[#This Row],[Notes for user]])</f>
        <v xml:space="preserve"> </v>
      </c>
      <c r="AA658" s="14"/>
      <c r="AB658" s="14"/>
      <c r="AC658" s="346">
        <f ca="1">LCI_Table[[#This Row],[Default Calculated Value]]-LCI_Table[[#This Row],[Calculated Value]]</f>
        <v>0</v>
      </c>
    </row>
    <row r="659" spans="1:29" x14ac:dyDescent="0.3">
      <c r="A6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STJGREETGREET(blank)_Willow_Farming_InsecticideInsecticide</v>
      </c>
      <c r="B659" s="14" t="s">
        <v>131</v>
      </c>
      <c r="C659" s="14" t="s">
        <v>139</v>
      </c>
      <c r="D659" s="14" t="s">
        <v>29</v>
      </c>
      <c r="E659" s="48" t="s">
        <v>29</v>
      </c>
      <c r="F659" s="14" t="s">
        <v>31</v>
      </c>
      <c r="G659" s="14" t="b">
        <f>OR(LCI_Table[[#This Row],[Feedstock]]="All",LCI_Table[[#This Row],[Feedstock]]=SelectedFeedstock)</f>
        <v>0</v>
      </c>
      <c r="H659" s="14" t="b">
        <f>OR(LCI_Table[[#This Row],[Conversion]]="All",LCI_Table[[#This Row],[Conversion]]=SelectedConversion)</f>
        <v>0</v>
      </c>
      <c r="I659" s="14" t="b">
        <f>OR(LCI_Table[[#This Row],[Data Set]]="all",LCI_Table[[#This Row],[Data Set]]=SelectedDataSet)</f>
        <v>1</v>
      </c>
      <c r="J659" s="14" t="b">
        <f>OR(LCI_Table[[#This Row],[Technology]]="All",LCI_Table[[#This Row],[Technology]]=SelectedTechnology)</f>
        <v>1</v>
      </c>
      <c r="K659" s="14" t="b">
        <f>OR(LCI_Table[[#This Row],[Data Source]]="All",LCI_Table[[#This Row],[Data Source]]=SelectedDataSource)</f>
        <v>1</v>
      </c>
      <c r="L659" s="14" t="b">
        <f>TRUE</f>
        <v>1</v>
      </c>
      <c r="M659" s="14" t="b">
        <f>(LCI_Table[[#This Row],[Dev Notes]]="Do not display")</f>
        <v>0</v>
      </c>
      <c r="N659" s="14" t="b">
        <f>AND(LCI_Table[[#This Row],[Show Feedstock]:[Conditional]],NOT(LCI_Table[[#This Row],[Hide Row]]))</f>
        <v>0</v>
      </c>
      <c r="O659" s="14" t="b">
        <f>LCI_Table[[#This Row],[GREET1 Name Range]]=""</f>
        <v>0</v>
      </c>
      <c r="P659" s="14" t="s">
        <v>14</v>
      </c>
      <c r="Q659" s="14" t="s">
        <v>849</v>
      </c>
      <c r="R659" s="14" t="s">
        <v>114</v>
      </c>
      <c r="S659" s="37" cm="1">
        <f t="array" aca="1" ref="S6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59" s="346" t="s">
        <v>1485</v>
      </c>
      <c r="U659" s="347">
        <f ca="1">S659/S653*lb2g</f>
        <v>0</v>
      </c>
      <c r="V659" s="347">
        <v>0</v>
      </c>
      <c r="W659" s="347">
        <v>0</v>
      </c>
      <c r="X659" s="14" t="s">
        <v>12</v>
      </c>
      <c r="Y659" s="346" t="s">
        <v>413</v>
      </c>
      <c r="Z659" s="14" t="str">
        <f>IF(ISBLANK(LCI_Table[[#This Row],[Notes for user]])," ",LCI_Table[[#This Row],[Notes for user]])</f>
        <v xml:space="preserve"> </v>
      </c>
      <c r="AA659" s="14"/>
      <c r="AB659" s="14"/>
      <c r="AC659" s="346">
        <f ca="1">LCI_Table[[#This Row],[Default Calculated Value]]-LCI_Table[[#This Row],[Calculated Value]]</f>
        <v>0</v>
      </c>
    </row>
    <row r="660" spans="1:29" x14ac:dyDescent="0.3">
      <c r="A6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STJGREETGREET(blank)_Willow_Farming_Residual_oilResidual oil</v>
      </c>
      <c r="B660" s="14" t="s">
        <v>131</v>
      </c>
      <c r="C660" s="14" t="s">
        <v>139</v>
      </c>
      <c r="D660" s="14" t="s">
        <v>29</v>
      </c>
      <c r="E660" s="48" t="s">
        <v>29</v>
      </c>
      <c r="F660" s="14" t="s">
        <v>31</v>
      </c>
      <c r="G660" s="14" t="b">
        <f>OR(LCI_Table[[#This Row],[Feedstock]]="All",LCI_Table[[#This Row],[Feedstock]]=SelectedFeedstock)</f>
        <v>0</v>
      </c>
      <c r="H660" s="14" t="b">
        <f>OR(LCI_Table[[#This Row],[Conversion]]="All",LCI_Table[[#This Row],[Conversion]]=SelectedConversion)</f>
        <v>0</v>
      </c>
      <c r="I660" s="14" t="b">
        <f>OR(LCI_Table[[#This Row],[Data Set]]="all",LCI_Table[[#This Row],[Data Set]]=SelectedDataSet)</f>
        <v>1</v>
      </c>
      <c r="J660" s="14" t="b">
        <f>OR(LCI_Table[[#This Row],[Technology]]="All",LCI_Table[[#This Row],[Technology]]=SelectedTechnology)</f>
        <v>1</v>
      </c>
      <c r="K660" s="14" t="b">
        <f>OR(LCI_Table[[#This Row],[Data Source]]="All",LCI_Table[[#This Row],[Data Source]]=SelectedDataSource)</f>
        <v>1</v>
      </c>
      <c r="L660" s="14" t="b">
        <f>TRUE</f>
        <v>1</v>
      </c>
      <c r="M660" s="14" t="b">
        <f>(LCI_Table[[#This Row],[Dev Notes]]="Do not display")</f>
        <v>0</v>
      </c>
      <c r="N660" s="14" t="b">
        <f>AND(LCI_Table[[#This Row],[Show Feedstock]:[Conditional]],NOT(LCI_Table[[#This Row],[Hide Row]]))</f>
        <v>0</v>
      </c>
      <c r="O660" s="14" t="b">
        <f>LCI_Table[[#This Row],[GREET1 Name Range]]=""</f>
        <v>0</v>
      </c>
      <c r="P660" s="14" t="s">
        <v>14</v>
      </c>
      <c r="Q660" s="14" t="s">
        <v>855</v>
      </c>
      <c r="R660" s="14" t="s">
        <v>115</v>
      </c>
      <c r="S660" s="37" cm="1">
        <f t="array" aca="1" ref="S6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60" s="346" t="s">
        <v>1484</v>
      </c>
      <c r="U660" s="347">
        <f ca="1">S660*Fuel_Specs!$B$28/S653</f>
        <v>0</v>
      </c>
      <c r="V660" s="347">
        <v>0</v>
      </c>
      <c r="W660" s="347">
        <v>0</v>
      </c>
      <c r="X660" s="14" t="s">
        <v>5</v>
      </c>
      <c r="Y660" s="346" t="s">
        <v>413</v>
      </c>
      <c r="Z660" s="14" t="str">
        <f>IF(ISBLANK(LCI_Table[[#This Row],[Notes for user]])," ",LCI_Table[[#This Row],[Notes for user]])</f>
        <v xml:space="preserve"> </v>
      </c>
      <c r="AA660" s="14"/>
      <c r="AB660" s="14"/>
      <c r="AC660" s="346">
        <f ca="1">LCI_Table[[#This Row],[Default Calculated Value]]-LCI_Table[[#This Row],[Calculated Value]]</f>
        <v>0</v>
      </c>
    </row>
    <row r="661" spans="1:29" x14ac:dyDescent="0.3">
      <c r="A6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STJGREETGREET(blank)_Willow_Farming_DieselDiesel</v>
      </c>
      <c r="B661" s="14" t="s">
        <v>131</v>
      </c>
      <c r="C661" s="14" t="s">
        <v>139</v>
      </c>
      <c r="D661" s="14" t="s">
        <v>29</v>
      </c>
      <c r="E661" s="48" t="s">
        <v>29</v>
      </c>
      <c r="F661" s="14" t="s">
        <v>31</v>
      </c>
      <c r="G661" s="14" t="b">
        <f>OR(LCI_Table[[#This Row],[Feedstock]]="All",LCI_Table[[#This Row],[Feedstock]]=SelectedFeedstock)</f>
        <v>0</v>
      </c>
      <c r="H661" s="14" t="b">
        <f>OR(LCI_Table[[#This Row],[Conversion]]="All",LCI_Table[[#This Row],[Conversion]]=SelectedConversion)</f>
        <v>0</v>
      </c>
      <c r="I661" s="14" t="b">
        <f>OR(LCI_Table[[#This Row],[Data Set]]="all",LCI_Table[[#This Row],[Data Set]]=SelectedDataSet)</f>
        <v>1</v>
      </c>
      <c r="J661" s="14" t="b">
        <f>OR(LCI_Table[[#This Row],[Technology]]="All",LCI_Table[[#This Row],[Technology]]=SelectedTechnology)</f>
        <v>1</v>
      </c>
      <c r="K661" s="14" t="b">
        <f>OR(LCI_Table[[#This Row],[Data Source]]="All",LCI_Table[[#This Row],[Data Source]]=SelectedDataSource)</f>
        <v>1</v>
      </c>
      <c r="L661" s="14" t="b">
        <f>TRUE</f>
        <v>1</v>
      </c>
      <c r="M661" s="14" t="b">
        <f>(LCI_Table[[#This Row],[Dev Notes]]="Do not display")</f>
        <v>0</v>
      </c>
      <c r="N661" s="14" t="b">
        <f>AND(LCI_Table[[#This Row],[Show Feedstock]:[Conditional]],NOT(LCI_Table[[#This Row],[Hide Row]]))</f>
        <v>0</v>
      </c>
      <c r="O661" s="14" t="b">
        <f>LCI_Table[[#This Row],[GREET1 Name Range]]=""</f>
        <v>0</v>
      </c>
      <c r="P661" s="14" t="s">
        <v>14</v>
      </c>
      <c r="Q661" s="14" t="s">
        <v>844</v>
      </c>
      <c r="R661" s="14" t="s">
        <v>106</v>
      </c>
      <c r="S661" s="37" cm="1">
        <f t="array" aca="1" ref="S6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40.615060616502412</v>
      </c>
      <c r="T661" s="346" t="s">
        <v>1484</v>
      </c>
      <c r="U661" s="347">
        <f ca="1">S661*Fuel_Specs!$B$19/S653</f>
        <v>185000.16085779201</v>
      </c>
      <c r="V661" s="347">
        <v>40.615060616502412</v>
      </c>
      <c r="W661" s="347">
        <v>185000.16085779201</v>
      </c>
      <c r="X661" s="14" t="s">
        <v>5</v>
      </c>
      <c r="Y661" s="346" t="s">
        <v>413</v>
      </c>
      <c r="Z661" s="14" t="str">
        <f>IF(ISBLANK(LCI_Table[[#This Row],[Notes for user]])," ",LCI_Table[[#This Row],[Notes for user]])</f>
        <v xml:space="preserve"> </v>
      </c>
      <c r="AA661" s="14"/>
      <c r="AB661" s="14"/>
      <c r="AC661" s="346">
        <f ca="1">LCI_Table[[#This Row],[Default Calculated Value]]-LCI_Table[[#This Row],[Calculated Value]]</f>
        <v>0</v>
      </c>
    </row>
    <row r="662" spans="1:29" x14ac:dyDescent="0.3">
      <c r="A6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STJGREETGREET(blank)_Willow_Farming_GasolineGasoline</v>
      </c>
      <c r="B662" s="14" t="s">
        <v>131</v>
      </c>
      <c r="C662" s="14" t="s">
        <v>139</v>
      </c>
      <c r="D662" s="14" t="s">
        <v>29</v>
      </c>
      <c r="E662" s="48" t="s">
        <v>29</v>
      </c>
      <c r="F662" s="14" t="s">
        <v>31</v>
      </c>
      <c r="G662" s="14" t="b">
        <f>OR(LCI_Table[[#This Row],[Feedstock]]="All",LCI_Table[[#This Row],[Feedstock]]=SelectedFeedstock)</f>
        <v>0</v>
      </c>
      <c r="H662" s="14" t="b">
        <f>OR(LCI_Table[[#This Row],[Conversion]]="All",LCI_Table[[#This Row],[Conversion]]=SelectedConversion)</f>
        <v>0</v>
      </c>
      <c r="I662" s="14" t="b">
        <f>OR(LCI_Table[[#This Row],[Data Set]]="all",LCI_Table[[#This Row],[Data Set]]=SelectedDataSet)</f>
        <v>1</v>
      </c>
      <c r="J662" s="14" t="b">
        <f>OR(LCI_Table[[#This Row],[Technology]]="All",LCI_Table[[#This Row],[Technology]]=SelectedTechnology)</f>
        <v>1</v>
      </c>
      <c r="K662" s="14" t="b">
        <f>OR(LCI_Table[[#This Row],[Data Source]]="All",LCI_Table[[#This Row],[Data Source]]=SelectedDataSource)</f>
        <v>1</v>
      </c>
      <c r="L662" s="14" t="b">
        <f>TRUE</f>
        <v>1</v>
      </c>
      <c r="M662" s="14" t="b">
        <f>(LCI_Table[[#This Row],[Dev Notes]]="Do not display")</f>
        <v>0</v>
      </c>
      <c r="N662" s="14" t="b">
        <f>AND(LCI_Table[[#This Row],[Show Feedstock]:[Conditional]],NOT(LCI_Table[[#This Row],[Hide Row]]))</f>
        <v>0</v>
      </c>
      <c r="O662" s="14" t="b">
        <f>LCI_Table[[#This Row],[GREET1 Name Range]]=""</f>
        <v>0</v>
      </c>
      <c r="P662" s="14" t="s">
        <v>14</v>
      </c>
      <c r="Q662" s="14" t="s">
        <v>847</v>
      </c>
      <c r="R662" s="14" t="s">
        <v>107</v>
      </c>
      <c r="S662" s="37" cm="1">
        <f t="array" aca="1" ref="S6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62" s="346" t="s">
        <v>1484</v>
      </c>
      <c r="U662" s="347">
        <f ca="1">S662*Fuel_Specs!$B$15/S653</f>
        <v>0</v>
      </c>
      <c r="V662" s="347">
        <v>0</v>
      </c>
      <c r="W662" s="347">
        <v>0</v>
      </c>
      <c r="X662" s="14" t="s">
        <v>5</v>
      </c>
      <c r="Y662" s="346" t="s">
        <v>413</v>
      </c>
      <c r="Z662" s="14" t="str">
        <f>IF(ISBLANK(LCI_Table[[#This Row],[Notes for user]])," ",LCI_Table[[#This Row],[Notes for user]])</f>
        <v xml:space="preserve"> </v>
      </c>
      <c r="AA662" s="14"/>
      <c r="AB662" s="14"/>
      <c r="AC662" s="346">
        <f ca="1">LCI_Table[[#This Row],[Default Calculated Value]]-LCI_Table[[#This Row],[Calculated Value]]</f>
        <v>0</v>
      </c>
    </row>
    <row r="663" spans="1:29" x14ac:dyDescent="0.3">
      <c r="A6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STJGREETGREET(blank)_Willow_Farming_Natural_gasNatural gas</v>
      </c>
      <c r="B663" s="14" t="s">
        <v>131</v>
      </c>
      <c r="C663" s="14" t="s">
        <v>139</v>
      </c>
      <c r="D663" s="14" t="s">
        <v>29</v>
      </c>
      <c r="E663" s="48" t="s">
        <v>29</v>
      </c>
      <c r="F663" s="14" t="s">
        <v>31</v>
      </c>
      <c r="G663" s="14" t="b">
        <f>OR(LCI_Table[[#This Row],[Feedstock]]="All",LCI_Table[[#This Row],[Feedstock]]=SelectedFeedstock)</f>
        <v>0</v>
      </c>
      <c r="H663" s="14" t="b">
        <f>OR(LCI_Table[[#This Row],[Conversion]]="All",LCI_Table[[#This Row],[Conversion]]=SelectedConversion)</f>
        <v>0</v>
      </c>
      <c r="I663" s="14" t="b">
        <f>OR(LCI_Table[[#This Row],[Data Set]]="all",LCI_Table[[#This Row],[Data Set]]=SelectedDataSet)</f>
        <v>1</v>
      </c>
      <c r="J663" s="14" t="b">
        <f>OR(LCI_Table[[#This Row],[Technology]]="All",LCI_Table[[#This Row],[Technology]]=SelectedTechnology)</f>
        <v>1</v>
      </c>
      <c r="K663" s="14" t="b">
        <f>OR(LCI_Table[[#This Row],[Data Source]]="All",LCI_Table[[#This Row],[Data Source]]=SelectedDataSource)</f>
        <v>1</v>
      </c>
      <c r="L663" s="14" t="b">
        <f>TRUE</f>
        <v>1</v>
      </c>
      <c r="M663" s="14" t="b">
        <f>(LCI_Table[[#This Row],[Dev Notes]]="Do not display")</f>
        <v>0</v>
      </c>
      <c r="N663" s="14" t="b">
        <f>AND(LCI_Table[[#This Row],[Show Feedstock]:[Conditional]],NOT(LCI_Table[[#This Row],[Hide Row]]))</f>
        <v>0</v>
      </c>
      <c r="O663" s="14" t="b">
        <f>LCI_Table[[#This Row],[GREET1 Name Range]]=""</f>
        <v>0</v>
      </c>
      <c r="P663" s="14" t="s">
        <v>14</v>
      </c>
      <c r="Q663" s="14" t="s">
        <v>852</v>
      </c>
      <c r="R663" s="14" t="s">
        <v>108</v>
      </c>
      <c r="S663" s="37" cm="1">
        <f t="array" aca="1" ref="S6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63" s="346" t="s">
        <v>2109</v>
      </c>
      <c r="U663" s="347">
        <f ca="1">S663*Fuel_Specs!$B$79/S653</f>
        <v>0</v>
      </c>
      <c r="V663" s="347">
        <v>0</v>
      </c>
      <c r="W663" s="347">
        <v>0</v>
      </c>
      <c r="X663" s="14" t="s">
        <v>351</v>
      </c>
      <c r="Y663" s="346" t="s">
        <v>413</v>
      </c>
      <c r="Z663" s="14" t="str">
        <f>IF(ISBLANK(LCI_Table[[#This Row],[Notes for user]])," ",LCI_Table[[#This Row],[Notes for user]])</f>
        <v xml:space="preserve"> </v>
      </c>
      <c r="AA663" s="14"/>
      <c r="AB663" s="14"/>
      <c r="AC663" s="346">
        <f ca="1">LCI_Table[[#This Row],[Default Calculated Value]]-LCI_Table[[#This Row],[Calculated Value]]</f>
        <v>0</v>
      </c>
    </row>
    <row r="664" spans="1:29" x14ac:dyDescent="0.3">
      <c r="A6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STJGREETGREET(blank)_Willow_Farming_CoalCoal</v>
      </c>
      <c r="B664" s="14" t="s">
        <v>131</v>
      </c>
      <c r="C664" s="14" t="s">
        <v>139</v>
      </c>
      <c r="D664" s="14" t="s">
        <v>29</v>
      </c>
      <c r="E664" s="48" t="s">
        <v>29</v>
      </c>
      <c r="F664" s="14" t="s">
        <v>31</v>
      </c>
      <c r="G664" s="14" t="b">
        <f>OR(LCI_Table[[#This Row],[Feedstock]]="All",LCI_Table[[#This Row],[Feedstock]]=SelectedFeedstock)</f>
        <v>0</v>
      </c>
      <c r="H664" s="14" t="b">
        <f>OR(LCI_Table[[#This Row],[Conversion]]="All",LCI_Table[[#This Row],[Conversion]]=SelectedConversion)</f>
        <v>0</v>
      </c>
      <c r="I664" s="14" t="b">
        <f>OR(LCI_Table[[#This Row],[Data Set]]="all",LCI_Table[[#This Row],[Data Set]]=SelectedDataSet)</f>
        <v>1</v>
      </c>
      <c r="J664" s="14" t="b">
        <f>OR(LCI_Table[[#This Row],[Technology]]="All",LCI_Table[[#This Row],[Technology]]=SelectedTechnology)</f>
        <v>1</v>
      </c>
      <c r="K664" s="14" t="b">
        <f>OR(LCI_Table[[#This Row],[Data Source]]="All",LCI_Table[[#This Row],[Data Source]]=SelectedDataSource)</f>
        <v>1</v>
      </c>
      <c r="L664" s="14" t="b">
        <f>TRUE</f>
        <v>1</v>
      </c>
      <c r="M664" s="14" t="b">
        <f>(LCI_Table[[#This Row],[Dev Notes]]="Do not display")</f>
        <v>0</v>
      </c>
      <c r="N664" s="14" t="b">
        <f>AND(LCI_Table[[#This Row],[Show Feedstock]:[Conditional]],NOT(LCI_Table[[#This Row],[Hide Row]]))</f>
        <v>0</v>
      </c>
      <c r="O664" s="14" t="b">
        <f>LCI_Table[[#This Row],[GREET1 Name Range]]=""</f>
        <v>0</v>
      </c>
      <c r="P664" s="14" t="s">
        <v>14</v>
      </c>
      <c r="Q664" s="14" t="s">
        <v>843</v>
      </c>
      <c r="R664" s="14" t="s">
        <v>9</v>
      </c>
      <c r="S664" s="37" cm="1">
        <f t="array" aca="1" ref="S6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64" s="346" t="s">
        <v>2110</v>
      </c>
      <c r="U664" s="347">
        <f ca="1">S664/S653</f>
        <v>0</v>
      </c>
      <c r="V664" s="347">
        <v>0</v>
      </c>
      <c r="W664" s="347">
        <v>0</v>
      </c>
      <c r="X664" s="14" t="s">
        <v>117</v>
      </c>
      <c r="Y664" s="346" t="s">
        <v>413</v>
      </c>
      <c r="Z664" s="14" t="str">
        <f>IF(ISBLANK(LCI_Table[[#This Row],[Notes for user]])," ",LCI_Table[[#This Row],[Notes for user]])</f>
        <v xml:space="preserve"> </v>
      </c>
      <c r="AA664" s="14"/>
      <c r="AB664" s="14"/>
      <c r="AC664" s="346">
        <f ca="1">LCI_Table[[#This Row],[Default Calculated Value]]-LCI_Table[[#This Row],[Calculated Value]]</f>
        <v>0</v>
      </c>
    </row>
    <row r="665" spans="1:29" x14ac:dyDescent="0.3">
      <c r="A6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STJGREETGREET(blank)_Willow_Farming_LPGLPG</v>
      </c>
      <c r="B665" s="14" t="s">
        <v>131</v>
      </c>
      <c r="C665" s="14" t="s">
        <v>139</v>
      </c>
      <c r="D665" s="14" t="s">
        <v>29</v>
      </c>
      <c r="E665" s="48" t="s">
        <v>29</v>
      </c>
      <c r="F665" s="14" t="s">
        <v>31</v>
      </c>
      <c r="G665" s="14" t="b">
        <f>OR(LCI_Table[[#This Row],[Feedstock]]="All",LCI_Table[[#This Row],[Feedstock]]=SelectedFeedstock)</f>
        <v>0</v>
      </c>
      <c r="H665" s="14" t="b">
        <f>OR(LCI_Table[[#This Row],[Conversion]]="All",LCI_Table[[#This Row],[Conversion]]=SelectedConversion)</f>
        <v>0</v>
      </c>
      <c r="I665" s="14" t="b">
        <f>OR(LCI_Table[[#This Row],[Data Set]]="all",LCI_Table[[#This Row],[Data Set]]=SelectedDataSet)</f>
        <v>1</v>
      </c>
      <c r="J665" s="14" t="b">
        <f>OR(LCI_Table[[#This Row],[Technology]]="All",LCI_Table[[#This Row],[Technology]]=SelectedTechnology)</f>
        <v>1</v>
      </c>
      <c r="K665" s="14" t="b">
        <f>OR(LCI_Table[[#This Row],[Data Source]]="All",LCI_Table[[#This Row],[Data Source]]=SelectedDataSource)</f>
        <v>1</v>
      </c>
      <c r="L665" s="14" t="b">
        <f>TRUE</f>
        <v>1</v>
      </c>
      <c r="M665" s="14" t="b">
        <f>(LCI_Table[[#This Row],[Dev Notes]]="Do not display")</f>
        <v>0</v>
      </c>
      <c r="N665" s="14" t="b">
        <f>AND(LCI_Table[[#This Row],[Show Feedstock]:[Conditional]],NOT(LCI_Table[[#This Row],[Hide Row]]))</f>
        <v>0</v>
      </c>
      <c r="O665" s="14" t="b">
        <f>LCI_Table[[#This Row],[GREET1 Name Range]]=""</f>
        <v>0</v>
      </c>
      <c r="P665" s="14" t="s">
        <v>14</v>
      </c>
      <c r="Q665" s="14" t="s">
        <v>851</v>
      </c>
      <c r="R665" s="14" t="s">
        <v>109</v>
      </c>
      <c r="S665" s="37" cm="1">
        <f t="array" aca="1" ref="S6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65" s="346" t="s">
        <v>1484</v>
      </c>
      <c r="U665" s="347">
        <f ca="1">S665*Fuel_Specs!$B$35/S653</f>
        <v>0</v>
      </c>
      <c r="V665" s="347">
        <v>0</v>
      </c>
      <c r="W665" s="347">
        <v>0</v>
      </c>
      <c r="X665" s="14" t="s">
        <v>5</v>
      </c>
      <c r="Y665" s="346" t="s">
        <v>413</v>
      </c>
      <c r="Z665" s="14" t="str">
        <f>IF(ISBLANK(LCI_Table[[#This Row],[Notes for user]])," ",LCI_Table[[#This Row],[Notes for user]])</f>
        <v xml:space="preserve"> </v>
      </c>
      <c r="AA665" s="14"/>
      <c r="AB665" s="14"/>
      <c r="AC665" s="346">
        <f ca="1">LCI_Table[[#This Row],[Default Calculated Value]]-LCI_Table[[#This Row],[Calculated Value]]</f>
        <v>0</v>
      </c>
    </row>
    <row r="666" spans="1:29" x14ac:dyDescent="0.3">
      <c r="A6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STJGREETGREET(blank)_Willow_Farming_Forest_residueForest residue</v>
      </c>
      <c r="B666" s="14" t="s">
        <v>131</v>
      </c>
      <c r="C666" s="14" t="s">
        <v>139</v>
      </c>
      <c r="D666" s="14" t="s">
        <v>29</v>
      </c>
      <c r="E666" s="48" t="s">
        <v>29</v>
      </c>
      <c r="F666" s="14" t="s">
        <v>31</v>
      </c>
      <c r="G666" s="14" t="b">
        <f>OR(LCI_Table[[#This Row],[Feedstock]]="All",LCI_Table[[#This Row],[Feedstock]]=SelectedFeedstock)</f>
        <v>0</v>
      </c>
      <c r="H666" s="14" t="b">
        <f>OR(LCI_Table[[#This Row],[Conversion]]="All",LCI_Table[[#This Row],[Conversion]]=SelectedConversion)</f>
        <v>0</v>
      </c>
      <c r="I666" s="14" t="b">
        <f>OR(LCI_Table[[#This Row],[Data Set]]="all",LCI_Table[[#This Row],[Data Set]]=SelectedDataSet)</f>
        <v>1</v>
      </c>
      <c r="J666" s="14" t="b">
        <f>OR(LCI_Table[[#This Row],[Technology]]="All",LCI_Table[[#This Row],[Technology]]=SelectedTechnology)</f>
        <v>1</v>
      </c>
      <c r="K666" s="14" t="b">
        <f>OR(LCI_Table[[#This Row],[Data Source]]="All",LCI_Table[[#This Row],[Data Source]]=SelectedDataSource)</f>
        <v>1</v>
      </c>
      <c r="L666" s="14" t="b">
        <f>TRUE</f>
        <v>1</v>
      </c>
      <c r="M666" s="14" t="b">
        <f>(LCI_Table[[#This Row],[Dev Notes]]="Do not display")</f>
        <v>0</v>
      </c>
      <c r="N666" s="14" t="b">
        <f>AND(LCI_Table[[#This Row],[Show Feedstock]:[Conditional]],NOT(LCI_Table[[#This Row],[Hide Row]]))</f>
        <v>0</v>
      </c>
      <c r="O666" s="14" t="b">
        <f>LCI_Table[[#This Row],[GREET1 Name Range]]=""</f>
        <v>0</v>
      </c>
      <c r="P666" s="14" t="s">
        <v>14</v>
      </c>
      <c r="Q666" s="14" t="s">
        <v>846</v>
      </c>
      <c r="R666" s="14" t="s">
        <v>316</v>
      </c>
      <c r="S666" s="37" cm="1">
        <f t="array" aca="1" ref="S6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66" s="346" t="s">
        <v>1485</v>
      </c>
      <c r="U666" s="347">
        <f ca="1">S666*Fuel_Specs!$B$100*ton2lb/S653</f>
        <v>0</v>
      </c>
      <c r="V666" s="347">
        <v>0</v>
      </c>
      <c r="W666" s="347">
        <v>0</v>
      </c>
      <c r="X666" s="14" t="s">
        <v>12</v>
      </c>
      <c r="Y666" s="346" t="s">
        <v>413</v>
      </c>
      <c r="Z666" s="14" t="str">
        <f>IF(ISBLANK(LCI_Table[[#This Row],[Notes for user]])," ",LCI_Table[[#This Row],[Notes for user]])</f>
        <v xml:space="preserve"> </v>
      </c>
      <c r="AA666" s="14"/>
      <c r="AB666" s="14"/>
      <c r="AC666" s="346">
        <f ca="1">LCI_Table[[#This Row],[Default Calculated Value]]-LCI_Table[[#This Row],[Calculated Value]]</f>
        <v>0</v>
      </c>
    </row>
    <row r="667" spans="1:29" x14ac:dyDescent="0.3">
      <c r="A6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STJGREETGREET(blank)_Willow_Farming_ElectricityElectricity</v>
      </c>
      <c r="B667" s="14" t="s">
        <v>131</v>
      </c>
      <c r="C667" s="14" t="s">
        <v>139</v>
      </c>
      <c r="D667" s="14" t="s">
        <v>29</v>
      </c>
      <c r="E667" s="48" t="s">
        <v>29</v>
      </c>
      <c r="F667" s="14" t="s">
        <v>31</v>
      </c>
      <c r="G667" s="14" t="b">
        <f>OR(LCI_Table[[#This Row],[Feedstock]]="All",LCI_Table[[#This Row],[Feedstock]]=SelectedFeedstock)</f>
        <v>0</v>
      </c>
      <c r="H667" s="14" t="b">
        <f>OR(LCI_Table[[#This Row],[Conversion]]="All",LCI_Table[[#This Row],[Conversion]]=SelectedConversion)</f>
        <v>0</v>
      </c>
      <c r="I667" s="14" t="b">
        <f>OR(LCI_Table[[#This Row],[Data Set]]="all",LCI_Table[[#This Row],[Data Set]]=SelectedDataSet)</f>
        <v>1</v>
      </c>
      <c r="J667" s="14" t="b">
        <f>OR(LCI_Table[[#This Row],[Technology]]="All",LCI_Table[[#This Row],[Technology]]=SelectedTechnology)</f>
        <v>1</v>
      </c>
      <c r="K667" s="14" t="b">
        <f>OR(LCI_Table[[#This Row],[Data Source]]="All",LCI_Table[[#This Row],[Data Source]]=SelectedDataSource)</f>
        <v>1</v>
      </c>
      <c r="L667" s="14" t="b">
        <f>TRUE</f>
        <v>1</v>
      </c>
      <c r="M667" s="14" t="b">
        <f>(LCI_Table[[#This Row],[Dev Notes]]="Do not display")</f>
        <v>0</v>
      </c>
      <c r="N667" s="14" t="b">
        <f>AND(LCI_Table[[#This Row],[Show Feedstock]:[Conditional]],NOT(LCI_Table[[#This Row],[Hide Row]]))</f>
        <v>0</v>
      </c>
      <c r="O667" s="14" t="b">
        <f>LCI_Table[[#This Row],[GREET1 Name Range]]=""</f>
        <v>0</v>
      </c>
      <c r="P667" s="14" t="s">
        <v>14</v>
      </c>
      <c r="Q667" s="14" t="s">
        <v>845</v>
      </c>
      <c r="R667" s="14" t="s">
        <v>110</v>
      </c>
      <c r="S667" s="37" cm="1">
        <f t="array" aca="1" ref="S6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3.4361703143240527</v>
      </c>
      <c r="T667" s="346" t="s">
        <v>1561</v>
      </c>
      <c r="U667" s="347">
        <f ca="1">S667/BTU2kWh/S653</f>
        <v>415.76949706167198</v>
      </c>
      <c r="V667" s="347">
        <v>3.4361703143240527</v>
      </c>
      <c r="W667" s="347">
        <v>415.76949706167198</v>
      </c>
      <c r="X667" s="14" t="s">
        <v>51</v>
      </c>
      <c r="Y667" s="346" t="s">
        <v>413</v>
      </c>
      <c r="Z667" s="14" t="str">
        <f>IF(ISBLANK(LCI_Table[[#This Row],[Notes for user]])," ",LCI_Table[[#This Row],[Notes for user]])</f>
        <v xml:space="preserve"> </v>
      </c>
      <c r="AA667" s="14"/>
      <c r="AB667" s="14"/>
      <c r="AC667" s="346">
        <f ca="1">LCI_Table[[#This Row],[Default Calculated Value]]-LCI_Table[[#This Row],[Calculated Value]]</f>
        <v>0</v>
      </c>
    </row>
    <row r="668" spans="1:29" x14ac:dyDescent="0.3">
      <c r="A6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STJGREETGREET(blank)_Cellulosic_Biological_STJ_Corn_stoverWillow</v>
      </c>
      <c r="B668" s="14" t="s">
        <v>131</v>
      </c>
      <c r="C668" s="14" t="s">
        <v>139</v>
      </c>
      <c r="D668" s="14" t="s">
        <v>29</v>
      </c>
      <c r="E668" s="48" t="s">
        <v>29</v>
      </c>
      <c r="F668" s="14" t="s">
        <v>31</v>
      </c>
      <c r="G668" s="14" t="b">
        <f>OR(LCI_Table[[#This Row],[Feedstock]]="All",LCI_Table[[#This Row],[Feedstock]]=SelectedFeedstock)</f>
        <v>0</v>
      </c>
      <c r="H668" s="14" t="b">
        <f>OR(LCI_Table[[#This Row],[Conversion]]="All",LCI_Table[[#This Row],[Conversion]]=SelectedConversion)</f>
        <v>0</v>
      </c>
      <c r="I668" s="14" t="b">
        <f>OR(LCI_Table[[#This Row],[Data Set]]="all",LCI_Table[[#This Row],[Data Set]]=SelectedDataSet)</f>
        <v>1</v>
      </c>
      <c r="J668" s="14" t="b">
        <f>OR(LCI_Table[[#This Row],[Technology]]="All",LCI_Table[[#This Row],[Technology]]=SelectedTechnology)</f>
        <v>1</v>
      </c>
      <c r="K668" s="14" t="b">
        <f>OR(LCI_Table[[#This Row],[Data Source]]="All",LCI_Table[[#This Row],[Data Source]]=SelectedDataSource)</f>
        <v>1</v>
      </c>
      <c r="L668" s="14" t="b">
        <f>TRUE</f>
        <v>1</v>
      </c>
      <c r="M668" s="14" t="b">
        <f>(LCI_Table[[#This Row],[Dev Notes]]="Do not display")</f>
        <v>0</v>
      </c>
      <c r="N668" s="14" t="b">
        <f>AND(LCI_Table[[#This Row],[Show Feedstock]:[Conditional]],NOT(LCI_Table[[#This Row],[Hide Row]]))</f>
        <v>0</v>
      </c>
      <c r="O668" s="14" t="b">
        <f>LCI_Table[[#This Row],[GREET1 Name Range]]=""</f>
        <v>0</v>
      </c>
      <c r="P668" s="14" t="s">
        <v>1448</v>
      </c>
      <c r="Q668" s="14" t="s">
        <v>535</v>
      </c>
      <c r="R668" s="14" t="s">
        <v>131</v>
      </c>
      <c r="S668" s="37" cm="1">
        <f t="array" aca="1" ref="S6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525.83196221027424</v>
      </c>
      <c r="T668" s="346" t="s">
        <v>2119</v>
      </c>
      <c r="U668" s="347">
        <f ca="1">S668/kg2lb/Allocations!$O$67*MJ2mmBTU</f>
        <v>0.22606705224250284</v>
      </c>
      <c r="V668" s="347">
        <v>525.83196221027424</v>
      </c>
      <c r="W668" s="347">
        <v>0.22606705224250284</v>
      </c>
      <c r="X668" s="37" t="s">
        <v>12</v>
      </c>
      <c r="Y668" s="346" t="s">
        <v>416</v>
      </c>
      <c r="Z668" s="14" t="str">
        <f>IF(ISBLANK(LCI_Table[[#This Row],[Notes for user]])," ",LCI_Table[[#This Row],[Notes for user]])</f>
        <v xml:space="preserve"> </v>
      </c>
      <c r="AA668" s="14"/>
      <c r="AB668" s="14"/>
      <c r="AC668" s="346">
        <f ca="1">LCI_Table[[#This Row],[Default Calculated Value]]-LCI_Table[[#This Row],[Calculated Value]]</f>
        <v>0</v>
      </c>
    </row>
    <row r="669" spans="1:29" x14ac:dyDescent="0.3">
      <c r="A6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STJGREETGREET(blank)_Cellulosic_Biological_STJ_HydrogenHydrogen</v>
      </c>
      <c r="B669" s="14" t="s">
        <v>131</v>
      </c>
      <c r="C669" s="14" t="s">
        <v>139</v>
      </c>
      <c r="D669" s="14" t="s">
        <v>29</v>
      </c>
      <c r="E669" s="48" t="s">
        <v>29</v>
      </c>
      <c r="F669" s="14" t="s">
        <v>31</v>
      </c>
      <c r="G669" s="14" t="b">
        <f>OR(LCI_Table[[#This Row],[Feedstock]]="All",LCI_Table[[#This Row],[Feedstock]]=SelectedFeedstock)</f>
        <v>0</v>
      </c>
      <c r="H669" s="14" t="b">
        <f>OR(LCI_Table[[#This Row],[Conversion]]="All",LCI_Table[[#This Row],[Conversion]]=SelectedConversion)</f>
        <v>0</v>
      </c>
      <c r="I669" s="14" t="b">
        <f>OR(LCI_Table[[#This Row],[Data Set]]="all",LCI_Table[[#This Row],[Data Set]]=SelectedDataSet)</f>
        <v>1</v>
      </c>
      <c r="J669" s="14" t="b">
        <f>OR(LCI_Table[[#This Row],[Technology]]="All",LCI_Table[[#This Row],[Technology]]=SelectedTechnology)</f>
        <v>1</v>
      </c>
      <c r="K669" s="14" t="b">
        <f>OR(LCI_Table[[#This Row],[Data Source]]="All",LCI_Table[[#This Row],[Data Source]]=SelectedDataSource)</f>
        <v>1</v>
      </c>
      <c r="L669" s="14" t="b">
        <f>TRUE</f>
        <v>1</v>
      </c>
      <c r="M669" s="14" t="b">
        <f>(LCI_Table[[#This Row],[Dev Notes]]="Do not display")</f>
        <v>0</v>
      </c>
      <c r="N669" s="14" t="b">
        <f>AND(LCI_Table[[#This Row],[Show Feedstock]:[Conditional]],NOT(LCI_Table[[#This Row],[Hide Row]]))</f>
        <v>0</v>
      </c>
      <c r="O669" s="14" t="b">
        <f>LCI_Table[[#This Row],[GREET1 Name Range]]=""</f>
        <v>0</v>
      </c>
      <c r="P669" s="14" t="s">
        <v>1448</v>
      </c>
      <c r="Q669" s="14" t="s">
        <v>540</v>
      </c>
      <c r="R669" s="14" t="s">
        <v>73</v>
      </c>
      <c r="S669" s="37" cm="1">
        <f t="array" aca="1" ref="S6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423.82286488101443</v>
      </c>
      <c r="T669" s="346" t="s">
        <v>2120</v>
      </c>
      <c r="U669" s="347">
        <f ca="1">S669/kg2g*Fuel_Specs!$E$81/Allocations!$O$67*MJ2mmBTU</f>
        <v>1.0243517491956343E-3</v>
      </c>
      <c r="V669" s="347">
        <v>423.82286488101443</v>
      </c>
      <c r="W669" s="347">
        <v>1.0243517491956343E-3</v>
      </c>
      <c r="X669" s="37" t="s">
        <v>351</v>
      </c>
      <c r="Y669" s="346" t="s">
        <v>416</v>
      </c>
      <c r="Z669" s="14" t="str">
        <f>IF(ISBLANK(LCI_Table[[#This Row],[Notes for user]])," ",LCI_Table[[#This Row],[Notes for user]])</f>
        <v xml:space="preserve"> </v>
      </c>
      <c r="AA669" s="14"/>
      <c r="AB669" s="14"/>
      <c r="AC669" s="346">
        <f ca="1">LCI_Table[[#This Row],[Default Calculated Value]]-LCI_Table[[#This Row],[Calculated Value]]</f>
        <v>0</v>
      </c>
    </row>
    <row r="670" spans="1:29" x14ac:dyDescent="0.3">
      <c r="A6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STJGREETGREET(blank)_Cellulosic_Biological_STJ_AmmoniaAmmonia</v>
      </c>
      <c r="B670" s="14" t="s">
        <v>131</v>
      </c>
      <c r="C670" s="14" t="s">
        <v>139</v>
      </c>
      <c r="D670" s="14" t="s">
        <v>29</v>
      </c>
      <c r="E670" s="48" t="s">
        <v>29</v>
      </c>
      <c r="F670" s="14" t="s">
        <v>31</v>
      </c>
      <c r="G670" s="14" t="b">
        <f>OR(LCI_Table[[#This Row],[Feedstock]]="All",LCI_Table[[#This Row],[Feedstock]]=SelectedFeedstock)</f>
        <v>0</v>
      </c>
      <c r="H670" s="14" t="b">
        <f>OR(LCI_Table[[#This Row],[Conversion]]="All",LCI_Table[[#This Row],[Conversion]]=SelectedConversion)</f>
        <v>0</v>
      </c>
      <c r="I670" s="14" t="b">
        <f>OR(LCI_Table[[#This Row],[Data Set]]="all",LCI_Table[[#This Row],[Data Set]]=SelectedDataSet)</f>
        <v>1</v>
      </c>
      <c r="J670" s="14" t="b">
        <f>OR(LCI_Table[[#This Row],[Technology]]="All",LCI_Table[[#This Row],[Technology]]=SelectedTechnology)</f>
        <v>1</v>
      </c>
      <c r="K670" s="14" t="b">
        <f>OR(LCI_Table[[#This Row],[Data Source]]="All",LCI_Table[[#This Row],[Data Source]]=SelectedDataSource)</f>
        <v>1</v>
      </c>
      <c r="L670" s="14" t="b">
        <f>TRUE</f>
        <v>1</v>
      </c>
      <c r="M670" s="14" t="b">
        <f>(LCI_Table[[#This Row],[Dev Notes]]="Do not display")</f>
        <v>0</v>
      </c>
      <c r="N670" s="14" t="b">
        <f>AND(LCI_Table[[#This Row],[Show Feedstock]:[Conditional]],NOT(LCI_Table[[#This Row],[Hide Row]]))</f>
        <v>0</v>
      </c>
      <c r="O670" s="14" t="b">
        <f>LCI_Table[[#This Row],[GREET1 Name Range]]=""</f>
        <v>0</v>
      </c>
      <c r="P670" s="14" t="s">
        <v>1448</v>
      </c>
      <c r="Q670" s="14" t="s">
        <v>532</v>
      </c>
      <c r="R670" s="14" t="s">
        <v>382</v>
      </c>
      <c r="S670" s="37" cm="1">
        <f t="array" aca="1" ref="S6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1124.2530041827843</v>
      </c>
      <c r="T670" s="346" t="s">
        <v>2127</v>
      </c>
      <c r="U670" s="347">
        <f ca="1">S670/kg2g/Allocations!$O$67*MJ2mmBTU</f>
        <v>1.0655862475742722E-3</v>
      </c>
      <c r="V670" s="347">
        <v>1124.2530041827843</v>
      </c>
      <c r="W670" s="347">
        <v>1.0655862475742722E-3</v>
      </c>
      <c r="X670" s="37" t="s">
        <v>6</v>
      </c>
      <c r="Y670" s="346" t="s">
        <v>416</v>
      </c>
      <c r="Z670" s="14" t="str">
        <f>IF(ISBLANK(LCI_Table[[#This Row],[Notes for user]])," ",LCI_Table[[#This Row],[Notes for user]])</f>
        <v xml:space="preserve"> </v>
      </c>
      <c r="AA670" s="14"/>
      <c r="AB670" s="14"/>
      <c r="AC670" s="346">
        <f ca="1">LCI_Table[[#This Row],[Default Calculated Value]]-LCI_Table[[#This Row],[Calculated Value]]</f>
        <v>0</v>
      </c>
    </row>
    <row r="671" spans="1:29" x14ac:dyDescent="0.3">
      <c r="A6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STJGREETGREET(blank)_Cellulosic_Biological_STJ_Corn_oilDistillers Corn Oil</v>
      </c>
      <c r="B671" s="14" t="s">
        <v>131</v>
      </c>
      <c r="C671" s="14" t="s">
        <v>139</v>
      </c>
      <c r="D671" s="14" t="s">
        <v>29</v>
      </c>
      <c r="E671" s="48" t="s">
        <v>29</v>
      </c>
      <c r="F671" s="14" t="s">
        <v>31</v>
      </c>
      <c r="G671" s="14" t="b">
        <f>OR(LCI_Table[[#This Row],[Feedstock]]="All",LCI_Table[[#This Row],[Feedstock]]=SelectedFeedstock)</f>
        <v>0</v>
      </c>
      <c r="H671" s="14" t="b">
        <f>OR(LCI_Table[[#This Row],[Conversion]]="All",LCI_Table[[#This Row],[Conversion]]=SelectedConversion)</f>
        <v>0</v>
      </c>
      <c r="I671" s="14" t="b">
        <f>OR(LCI_Table[[#This Row],[Data Set]]="all",LCI_Table[[#This Row],[Data Set]]=SelectedDataSet)</f>
        <v>1</v>
      </c>
      <c r="J671" s="14" t="b">
        <f>OR(LCI_Table[[#This Row],[Technology]]="All",LCI_Table[[#This Row],[Technology]]=SelectedTechnology)</f>
        <v>1</v>
      </c>
      <c r="K671" s="14" t="b">
        <f>OR(LCI_Table[[#This Row],[Data Source]]="All",LCI_Table[[#This Row],[Data Source]]=SelectedDataSource)</f>
        <v>1</v>
      </c>
      <c r="L671" s="14" t="b">
        <f>TRUE</f>
        <v>1</v>
      </c>
      <c r="M671" s="14" t="b">
        <f>(LCI_Table[[#This Row],[Dev Notes]]="Do not display")</f>
        <v>0</v>
      </c>
      <c r="N671" s="14" t="b">
        <f>AND(LCI_Table[[#This Row],[Show Feedstock]:[Conditional]],NOT(LCI_Table[[#This Row],[Hide Row]]))</f>
        <v>0</v>
      </c>
      <c r="O671" s="14" t="b">
        <f>LCI_Table[[#This Row],[GREET1 Name Range]]=""</f>
        <v>0</v>
      </c>
      <c r="P671" s="14" t="s">
        <v>1448</v>
      </c>
      <c r="Q671" s="14" t="s">
        <v>533</v>
      </c>
      <c r="R671" s="14" t="s">
        <v>1911</v>
      </c>
      <c r="S671" s="37" cm="1">
        <f t="array" aca="1" ref="S6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295.37400720891884</v>
      </c>
      <c r="T671" s="346" t="s">
        <v>2127</v>
      </c>
      <c r="U671" s="347">
        <f ca="1">S671/kg2g/Allocations!$O$67*MJ2mmBTU</f>
        <v>2.7996054162338308E-4</v>
      </c>
      <c r="V671" s="347">
        <v>295.37400720891884</v>
      </c>
      <c r="W671" s="347">
        <v>2.7996054162338308E-4</v>
      </c>
      <c r="X671" s="37" t="s">
        <v>6</v>
      </c>
      <c r="Y671" s="346" t="s">
        <v>416</v>
      </c>
      <c r="Z671" s="14" t="str">
        <f>IF(ISBLANK(LCI_Table[[#This Row],[Notes for user]])," ",LCI_Table[[#This Row],[Notes for user]])</f>
        <v xml:space="preserve"> </v>
      </c>
      <c r="AA671" s="14"/>
      <c r="AB671" s="14"/>
      <c r="AC671" s="346">
        <f ca="1">LCI_Table[[#This Row],[Default Calculated Value]]-LCI_Table[[#This Row],[Calculated Value]]</f>
        <v>0</v>
      </c>
    </row>
    <row r="672" spans="1:29" x14ac:dyDescent="0.3">
      <c r="A6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STJGREETGREET(blank)_Cellulosic_Biological_STJ_Corn_steep_liquorCorn steep liquor</v>
      </c>
      <c r="B672" s="14" t="s">
        <v>131</v>
      </c>
      <c r="C672" s="14" t="s">
        <v>139</v>
      </c>
      <c r="D672" s="14" t="s">
        <v>29</v>
      </c>
      <c r="E672" s="48" t="s">
        <v>29</v>
      </c>
      <c r="F672" s="14" t="s">
        <v>31</v>
      </c>
      <c r="G672" s="14" t="b">
        <f>OR(LCI_Table[[#This Row],[Feedstock]]="All",LCI_Table[[#This Row],[Feedstock]]=SelectedFeedstock)</f>
        <v>0</v>
      </c>
      <c r="H672" s="14" t="b">
        <f>OR(LCI_Table[[#This Row],[Conversion]]="All",LCI_Table[[#This Row],[Conversion]]=SelectedConversion)</f>
        <v>0</v>
      </c>
      <c r="I672" s="14" t="b">
        <f>OR(LCI_Table[[#This Row],[Data Set]]="all",LCI_Table[[#This Row],[Data Set]]=SelectedDataSet)</f>
        <v>1</v>
      </c>
      <c r="J672" s="14" t="b">
        <f>OR(LCI_Table[[#This Row],[Technology]]="All",LCI_Table[[#This Row],[Technology]]=SelectedTechnology)</f>
        <v>1</v>
      </c>
      <c r="K672" s="14" t="b">
        <f>OR(LCI_Table[[#This Row],[Data Source]]="All",LCI_Table[[#This Row],[Data Source]]=SelectedDataSource)</f>
        <v>1</v>
      </c>
      <c r="L672" s="14" t="b">
        <f>TRUE</f>
        <v>1</v>
      </c>
      <c r="M672" s="14" t="b">
        <f>(LCI_Table[[#This Row],[Dev Notes]]="Do not display")</f>
        <v>0</v>
      </c>
      <c r="N672" s="14" t="b">
        <f>AND(LCI_Table[[#This Row],[Show Feedstock]:[Conditional]],NOT(LCI_Table[[#This Row],[Hide Row]]))</f>
        <v>0</v>
      </c>
      <c r="O672" s="14" t="b">
        <f>LCI_Table[[#This Row],[GREET1 Name Range]]=""</f>
        <v>0</v>
      </c>
      <c r="P672" s="14" t="s">
        <v>1448</v>
      </c>
      <c r="Q672" s="14" t="s">
        <v>534</v>
      </c>
      <c r="R672" s="14" t="s">
        <v>386</v>
      </c>
      <c r="S672" s="37" cm="1">
        <f t="array" aca="1" ref="S6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3402.525385367856</v>
      </c>
      <c r="T672" s="346" t="s">
        <v>2127</v>
      </c>
      <c r="U672" s="347">
        <f ca="1">S672/kg2g/Allocations!$O$67*MJ2mmBTU</f>
        <v>3.2249718205608316E-3</v>
      </c>
      <c r="V672" s="347">
        <v>3402.525385367856</v>
      </c>
      <c r="W672" s="347">
        <v>3.2249718205608316E-3</v>
      </c>
      <c r="X672" s="37" t="s">
        <v>6</v>
      </c>
      <c r="Y672" s="346" t="s">
        <v>416</v>
      </c>
      <c r="Z672" s="14" t="str">
        <f>IF(ISBLANK(LCI_Table[[#This Row],[Notes for user]])," ",LCI_Table[[#This Row],[Notes for user]])</f>
        <v xml:space="preserve"> </v>
      </c>
      <c r="AA672" s="14"/>
      <c r="AB672" s="14"/>
      <c r="AC672" s="346">
        <f ca="1">LCI_Table[[#This Row],[Default Calculated Value]]-LCI_Table[[#This Row],[Calculated Value]]</f>
        <v>0</v>
      </c>
    </row>
    <row r="673" spans="1:29" x14ac:dyDescent="0.3">
      <c r="A6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STJGREETGREET(blank)_Cellulosic_Biological_STJ_DAPDAP</v>
      </c>
      <c r="B673" s="14" t="s">
        <v>131</v>
      </c>
      <c r="C673" s="14" t="s">
        <v>139</v>
      </c>
      <c r="D673" s="14" t="s">
        <v>29</v>
      </c>
      <c r="E673" s="48" t="s">
        <v>29</v>
      </c>
      <c r="F673" s="14" t="s">
        <v>31</v>
      </c>
      <c r="G673" s="14" t="b">
        <f>OR(LCI_Table[[#This Row],[Feedstock]]="All",LCI_Table[[#This Row],[Feedstock]]=SelectedFeedstock)</f>
        <v>0</v>
      </c>
      <c r="H673" s="14" t="b">
        <f>OR(LCI_Table[[#This Row],[Conversion]]="All",LCI_Table[[#This Row],[Conversion]]=SelectedConversion)</f>
        <v>0</v>
      </c>
      <c r="I673" s="14" t="b">
        <f>OR(LCI_Table[[#This Row],[Data Set]]="all",LCI_Table[[#This Row],[Data Set]]=SelectedDataSet)</f>
        <v>1</v>
      </c>
      <c r="J673" s="14" t="b">
        <f>OR(LCI_Table[[#This Row],[Technology]]="All",LCI_Table[[#This Row],[Technology]]=SelectedTechnology)</f>
        <v>1</v>
      </c>
      <c r="K673" s="14" t="b">
        <f>OR(LCI_Table[[#This Row],[Data Source]]="All",LCI_Table[[#This Row],[Data Source]]=SelectedDataSource)</f>
        <v>1</v>
      </c>
      <c r="L673" s="14" t="b">
        <f>TRUE</f>
        <v>1</v>
      </c>
      <c r="M673" s="14" t="b">
        <f>(LCI_Table[[#This Row],[Dev Notes]]="Do not display")</f>
        <v>0</v>
      </c>
      <c r="N673" s="14" t="b">
        <f>AND(LCI_Table[[#This Row],[Show Feedstock]:[Conditional]],NOT(LCI_Table[[#This Row],[Hide Row]]))</f>
        <v>0</v>
      </c>
      <c r="O673" s="14" t="b">
        <f>LCI_Table[[#This Row],[GREET1 Name Range]]=""</f>
        <v>0</v>
      </c>
      <c r="P673" s="14" t="s">
        <v>1448</v>
      </c>
      <c r="Q673" s="14" t="s">
        <v>536</v>
      </c>
      <c r="R673" s="14" t="s">
        <v>383</v>
      </c>
      <c r="S673" s="37" cm="1">
        <f t="array" aca="1" ref="S6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290.79456523668756</v>
      </c>
      <c r="T673" s="346" t="s">
        <v>2127</v>
      </c>
      <c r="U673" s="347">
        <f ca="1">S673/kg2g/Allocations!$O$67*MJ2mmBTU</f>
        <v>2.7562006810984228E-4</v>
      </c>
      <c r="V673" s="347">
        <v>290.79456523668756</v>
      </c>
      <c r="W673" s="347">
        <v>2.7562006810984228E-4</v>
      </c>
      <c r="X673" s="37" t="s">
        <v>6</v>
      </c>
      <c r="Y673" s="346" t="s">
        <v>416</v>
      </c>
      <c r="Z673" s="14" t="str">
        <f>IF(ISBLANK(LCI_Table[[#This Row],[Notes for user]])," ",LCI_Table[[#This Row],[Notes for user]])</f>
        <v xml:space="preserve"> </v>
      </c>
      <c r="AA673" s="14"/>
      <c r="AB673" s="14"/>
      <c r="AC673" s="346">
        <f ca="1">LCI_Table[[#This Row],[Default Calculated Value]]-LCI_Table[[#This Row],[Calculated Value]]</f>
        <v>0</v>
      </c>
    </row>
    <row r="674" spans="1:29" x14ac:dyDescent="0.3">
      <c r="A6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STJGREETGREET(blank)_Cellulosic_Biological_STJ_GlucoseGlucose</v>
      </c>
      <c r="B674" s="14" t="s">
        <v>131</v>
      </c>
      <c r="C674" s="14" t="s">
        <v>139</v>
      </c>
      <c r="D674" s="14" t="s">
        <v>29</v>
      </c>
      <c r="E674" s="48" t="s">
        <v>29</v>
      </c>
      <c r="F674" s="14" t="s">
        <v>31</v>
      </c>
      <c r="G674" s="14" t="b">
        <f>OR(LCI_Table[[#This Row],[Feedstock]]="All",LCI_Table[[#This Row],[Feedstock]]=SelectedFeedstock)</f>
        <v>0</v>
      </c>
      <c r="H674" s="14" t="b">
        <f>OR(LCI_Table[[#This Row],[Conversion]]="All",LCI_Table[[#This Row],[Conversion]]=SelectedConversion)</f>
        <v>0</v>
      </c>
      <c r="I674" s="14" t="b">
        <f>OR(LCI_Table[[#This Row],[Data Set]]="all",LCI_Table[[#This Row],[Data Set]]=SelectedDataSet)</f>
        <v>1</v>
      </c>
      <c r="J674" s="14" t="b">
        <f>OR(LCI_Table[[#This Row],[Technology]]="All",LCI_Table[[#This Row],[Technology]]=SelectedTechnology)</f>
        <v>1</v>
      </c>
      <c r="K674" s="14" t="b">
        <f>OR(LCI_Table[[#This Row],[Data Source]]="All",LCI_Table[[#This Row],[Data Source]]=SelectedDataSource)</f>
        <v>1</v>
      </c>
      <c r="L674" s="14" t="b">
        <f>TRUE</f>
        <v>1</v>
      </c>
      <c r="M674" s="14" t="b">
        <f>(LCI_Table[[#This Row],[Dev Notes]]="Do not display")</f>
        <v>0</v>
      </c>
      <c r="N674" s="14" t="b">
        <f>AND(LCI_Table[[#This Row],[Show Feedstock]:[Conditional]],NOT(LCI_Table[[#This Row],[Hide Row]]))</f>
        <v>0</v>
      </c>
      <c r="O674" s="14" t="b">
        <f>LCI_Table[[#This Row],[GREET1 Name Range]]=""</f>
        <v>0</v>
      </c>
      <c r="P674" s="14" t="s">
        <v>1448</v>
      </c>
      <c r="Q674" s="14" t="s">
        <v>538</v>
      </c>
      <c r="R674" s="14" t="s">
        <v>387</v>
      </c>
      <c r="S674" s="37" cm="1">
        <f t="array" aca="1" ref="S6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2777.431556158283</v>
      </c>
      <c r="T674" s="346" t="s">
        <v>2127</v>
      </c>
      <c r="U674" s="347">
        <f ca="1">S674/kg2g/Allocations!$O$67*MJ2mmBTU</f>
        <v>2.632497185962509E-3</v>
      </c>
      <c r="V674" s="347">
        <v>2777.431556158283</v>
      </c>
      <c r="W674" s="347">
        <v>2.632497185962509E-3</v>
      </c>
      <c r="X674" s="37" t="s">
        <v>6</v>
      </c>
      <c r="Y674" s="346" t="s">
        <v>416</v>
      </c>
      <c r="Z674" s="14" t="str">
        <f>IF(ISBLANK(LCI_Table[[#This Row],[Notes for user]])," ",LCI_Table[[#This Row],[Notes for user]])</f>
        <v xml:space="preserve"> </v>
      </c>
      <c r="AA674" s="14"/>
      <c r="AB674" s="14"/>
      <c r="AC674" s="346">
        <f ca="1">LCI_Table[[#This Row],[Default Calculated Value]]-LCI_Table[[#This Row],[Calculated Value]]</f>
        <v>0</v>
      </c>
    </row>
    <row r="675" spans="1:29" x14ac:dyDescent="0.3">
      <c r="A6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STJGREETGREET(blank)_Cellulosic_Biological_STJ_Host_nutrientsHost nutrients</v>
      </c>
      <c r="B675" s="14" t="s">
        <v>131</v>
      </c>
      <c r="C675" s="14" t="s">
        <v>139</v>
      </c>
      <c r="D675" s="14" t="s">
        <v>29</v>
      </c>
      <c r="E675" s="48" t="s">
        <v>29</v>
      </c>
      <c r="F675" s="14" t="s">
        <v>31</v>
      </c>
      <c r="G675" s="14" t="b">
        <f>OR(LCI_Table[[#This Row],[Feedstock]]="All",LCI_Table[[#This Row],[Feedstock]]=SelectedFeedstock)</f>
        <v>0</v>
      </c>
      <c r="H675" s="14" t="b">
        <f>OR(LCI_Table[[#This Row],[Conversion]]="All",LCI_Table[[#This Row],[Conversion]]=SelectedConversion)</f>
        <v>0</v>
      </c>
      <c r="I675" s="14" t="b">
        <f>OR(LCI_Table[[#This Row],[Data Set]]="all",LCI_Table[[#This Row],[Data Set]]=SelectedDataSet)</f>
        <v>1</v>
      </c>
      <c r="J675" s="14" t="b">
        <f>OR(LCI_Table[[#This Row],[Technology]]="All",LCI_Table[[#This Row],[Technology]]=SelectedTechnology)</f>
        <v>1</v>
      </c>
      <c r="K675" s="14" t="b">
        <f>OR(LCI_Table[[#This Row],[Data Source]]="All",LCI_Table[[#This Row],[Data Source]]=SelectedDataSource)</f>
        <v>1</v>
      </c>
      <c r="L675" s="14" t="b">
        <f>TRUE</f>
        <v>1</v>
      </c>
      <c r="M675" s="14" t="b">
        <f>(LCI_Table[[#This Row],[Dev Notes]]="Do not display")</f>
        <v>0</v>
      </c>
      <c r="N675" s="14" t="b">
        <f>AND(LCI_Table[[#This Row],[Show Feedstock]:[Conditional]],NOT(LCI_Table[[#This Row],[Hide Row]]))</f>
        <v>0</v>
      </c>
      <c r="O675" s="14" t="b">
        <f>LCI_Table[[#This Row],[GREET1 Name Range]]=""</f>
        <v>0</v>
      </c>
      <c r="P675" s="14" t="s">
        <v>1448</v>
      </c>
      <c r="Q675" s="14" t="s">
        <v>539</v>
      </c>
      <c r="R675" s="14" t="s">
        <v>388</v>
      </c>
      <c r="S675" s="37" cm="1">
        <f t="array" aca="1" ref="S6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77.850513527932108</v>
      </c>
      <c r="T675" s="346" t="s">
        <v>2127</v>
      </c>
      <c r="U675" s="347">
        <f ca="1">S675/kg2g/Allocations!$O$67*MJ2mmBTU</f>
        <v>7.3788049730194008E-5</v>
      </c>
      <c r="V675" s="347">
        <v>77.850513527932108</v>
      </c>
      <c r="W675" s="347">
        <v>7.3788049730194008E-5</v>
      </c>
      <c r="X675" s="37" t="s">
        <v>6</v>
      </c>
      <c r="Y675" s="346" t="s">
        <v>416</v>
      </c>
      <c r="Z675" s="14" t="str">
        <f>IF(ISBLANK(LCI_Table[[#This Row],[Notes for user]])," ",LCI_Table[[#This Row],[Notes for user]])</f>
        <v xml:space="preserve"> </v>
      </c>
      <c r="AA675" s="14"/>
      <c r="AB675" s="14"/>
      <c r="AC675" s="346">
        <f ca="1">LCI_Table[[#This Row],[Default Calculated Value]]-LCI_Table[[#This Row],[Calculated Value]]</f>
        <v>0</v>
      </c>
    </row>
    <row r="676" spans="1:29" x14ac:dyDescent="0.3">
      <c r="A6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STJGREETGREET(blank)_Cellulosic_Biological_STJ_LimeLime</v>
      </c>
      <c r="B676" s="14" t="s">
        <v>131</v>
      </c>
      <c r="C676" s="14" t="s">
        <v>139</v>
      </c>
      <c r="D676" s="14" t="s">
        <v>29</v>
      </c>
      <c r="E676" s="48" t="s">
        <v>29</v>
      </c>
      <c r="F676" s="14" t="s">
        <v>31</v>
      </c>
      <c r="G676" s="14" t="b">
        <f>OR(LCI_Table[[#This Row],[Feedstock]]="All",LCI_Table[[#This Row],[Feedstock]]=SelectedFeedstock)</f>
        <v>0</v>
      </c>
      <c r="H676" s="14" t="b">
        <f>OR(LCI_Table[[#This Row],[Conversion]]="All",LCI_Table[[#This Row],[Conversion]]=SelectedConversion)</f>
        <v>0</v>
      </c>
      <c r="I676" s="14" t="b">
        <f>OR(LCI_Table[[#This Row],[Data Set]]="all",LCI_Table[[#This Row],[Data Set]]=SelectedDataSet)</f>
        <v>1</v>
      </c>
      <c r="J676" s="14" t="b">
        <f>OR(LCI_Table[[#This Row],[Technology]]="All",LCI_Table[[#This Row],[Technology]]=SelectedTechnology)</f>
        <v>1</v>
      </c>
      <c r="K676" s="14" t="b">
        <f>OR(LCI_Table[[#This Row],[Data Source]]="All",LCI_Table[[#This Row],[Data Source]]=SelectedDataSource)</f>
        <v>1</v>
      </c>
      <c r="L676" s="14" t="b">
        <f>TRUE</f>
        <v>1</v>
      </c>
      <c r="M676" s="14" t="b">
        <f>(LCI_Table[[#This Row],[Dev Notes]]="Do not display")</f>
        <v>0</v>
      </c>
      <c r="N676" s="14" t="b">
        <f>AND(LCI_Table[[#This Row],[Show Feedstock]:[Conditional]],NOT(LCI_Table[[#This Row],[Hide Row]]))</f>
        <v>0</v>
      </c>
      <c r="O676" s="14" t="b">
        <f>LCI_Table[[#This Row],[GREET1 Name Range]]=""</f>
        <v>0</v>
      </c>
      <c r="P676" s="14" t="s">
        <v>1448</v>
      </c>
      <c r="Q676" s="14" t="s">
        <v>541</v>
      </c>
      <c r="R676" s="14" t="s">
        <v>143</v>
      </c>
      <c r="S676" s="37" cm="1">
        <f t="array" aca="1" ref="S6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437.33670834808913</v>
      </c>
      <c r="T676" s="346" t="s">
        <v>2127</v>
      </c>
      <c r="U676" s="347">
        <f ca="1">S676/kg2g/Allocations!$O$67*MJ2mmBTU</f>
        <v>4.1451522054314859E-4</v>
      </c>
      <c r="V676" s="347">
        <v>437.33670834808913</v>
      </c>
      <c r="W676" s="347">
        <v>4.1451522054314859E-4</v>
      </c>
      <c r="X676" s="14" t="s">
        <v>6</v>
      </c>
      <c r="Y676" s="346" t="s">
        <v>416</v>
      </c>
      <c r="Z676" s="14" t="str">
        <f>IF(ISBLANK(LCI_Table[[#This Row],[Notes for user]])," ",LCI_Table[[#This Row],[Notes for user]])</f>
        <v xml:space="preserve"> </v>
      </c>
      <c r="AA676" s="14"/>
      <c r="AB676" s="14"/>
      <c r="AC676" s="346">
        <f ca="1">LCI_Table[[#This Row],[Default Calculated Value]]-LCI_Table[[#This Row],[Calculated Value]]</f>
        <v>0</v>
      </c>
    </row>
    <row r="677" spans="1:29" x14ac:dyDescent="0.3">
      <c r="A6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STJGREETGREET(blank)_Cellulosic_Biological_STJ_Sulfuric_acidSulfuric acid</v>
      </c>
      <c r="B677" s="14" t="s">
        <v>131</v>
      </c>
      <c r="C677" s="14" t="s">
        <v>139</v>
      </c>
      <c r="D677" s="14" t="s">
        <v>29</v>
      </c>
      <c r="E677" s="48" t="s">
        <v>29</v>
      </c>
      <c r="F677" s="14" t="s">
        <v>31</v>
      </c>
      <c r="G677" s="14" t="b">
        <f>OR(LCI_Table[[#This Row],[Feedstock]]="All",LCI_Table[[#This Row],[Feedstock]]=SelectedFeedstock)</f>
        <v>0</v>
      </c>
      <c r="H677" s="14" t="b">
        <f>OR(LCI_Table[[#This Row],[Conversion]]="All",LCI_Table[[#This Row],[Conversion]]=SelectedConversion)</f>
        <v>0</v>
      </c>
      <c r="I677" s="14" t="b">
        <f>OR(LCI_Table[[#This Row],[Data Set]]="all",LCI_Table[[#This Row],[Data Set]]=SelectedDataSet)</f>
        <v>1</v>
      </c>
      <c r="J677" s="14" t="b">
        <f>OR(LCI_Table[[#This Row],[Technology]]="All",LCI_Table[[#This Row],[Technology]]=SelectedTechnology)</f>
        <v>1</v>
      </c>
      <c r="K677" s="14" t="b">
        <f>OR(LCI_Table[[#This Row],[Data Source]]="All",LCI_Table[[#This Row],[Data Source]]=SelectedDataSource)</f>
        <v>1</v>
      </c>
      <c r="L677" s="14" t="b">
        <f>TRUE</f>
        <v>1</v>
      </c>
      <c r="M677" s="14" t="b">
        <f>(LCI_Table[[#This Row],[Dev Notes]]="Do not display")</f>
        <v>0</v>
      </c>
      <c r="N677" s="14" t="b">
        <f>AND(LCI_Table[[#This Row],[Show Feedstock]:[Conditional]],NOT(LCI_Table[[#This Row],[Hide Row]]))</f>
        <v>0</v>
      </c>
      <c r="O677" s="14" t="b">
        <f>LCI_Table[[#This Row],[GREET1 Name Range]]=""</f>
        <v>0</v>
      </c>
      <c r="P677" s="14" t="s">
        <v>1448</v>
      </c>
      <c r="Q677" s="14" t="s">
        <v>542</v>
      </c>
      <c r="R677" s="14" t="s">
        <v>384</v>
      </c>
      <c r="S677" s="37" cm="1">
        <f t="array" aca="1" ref="S6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5128.9750088990568</v>
      </c>
      <c r="T677" s="346" t="s">
        <v>2127</v>
      </c>
      <c r="U677" s="347">
        <f ca="1">S677/kg2g/Allocations!$O$67*MJ2mmBTU</f>
        <v>4.8613303351657229E-3</v>
      </c>
      <c r="V677" s="347">
        <v>5128.9750088990568</v>
      </c>
      <c r="W677" s="347">
        <v>4.8613303351657229E-3</v>
      </c>
      <c r="X677" s="37" t="s">
        <v>6</v>
      </c>
      <c r="Y677" s="346" t="s">
        <v>416</v>
      </c>
      <c r="Z677" s="14" t="str">
        <f>IF(ISBLANK(LCI_Table[[#This Row],[Notes for user]])," ",LCI_Table[[#This Row],[Notes for user]])</f>
        <v xml:space="preserve"> </v>
      </c>
      <c r="AA677" s="14"/>
      <c r="AB677" s="14"/>
      <c r="AC677" s="346">
        <f ca="1">LCI_Table[[#This Row],[Default Calculated Value]]-LCI_Table[[#This Row],[Calculated Value]]</f>
        <v>0</v>
      </c>
    </row>
    <row r="678" spans="1:29" x14ac:dyDescent="0.3">
      <c r="A6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STJGREETGREET(blank)_Cellulosic_Biological_STJ_WaterWater</v>
      </c>
      <c r="B678" s="14" t="s">
        <v>131</v>
      </c>
      <c r="C678" s="14" t="s">
        <v>139</v>
      </c>
      <c r="D678" s="14" t="s">
        <v>29</v>
      </c>
      <c r="E678" s="48" t="s">
        <v>29</v>
      </c>
      <c r="F678" s="14" t="s">
        <v>31</v>
      </c>
      <c r="G678" s="14" t="b">
        <f>OR(LCI_Table[[#This Row],[Feedstock]]="All",LCI_Table[[#This Row],[Feedstock]]=SelectedFeedstock)</f>
        <v>0</v>
      </c>
      <c r="H678" s="14" t="b">
        <f>OR(LCI_Table[[#This Row],[Conversion]]="All",LCI_Table[[#This Row],[Conversion]]=SelectedConversion)</f>
        <v>0</v>
      </c>
      <c r="I678" s="14" t="b">
        <f>OR(LCI_Table[[#This Row],[Data Set]]="all",LCI_Table[[#This Row],[Data Set]]=SelectedDataSet)</f>
        <v>1</v>
      </c>
      <c r="J678" s="14" t="b">
        <f>OR(LCI_Table[[#This Row],[Technology]]="All",LCI_Table[[#This Row],[Technology]]=SelectedTechnology)</f>
        <v>1</v>
      </c>
      <c r="K678" s="14" t="b">
        <f>OR(LCI_Table[[#This Row],[Data Source]]="All",LCI_Table[[#This Row],[Data Source]]=SelectedDataSource)</f>
        <v>1</v>
      </c>
      <c r="L678" s="14" t="b">
        <f>TRUE</f>
        <v>1</v>
      </c>
      <c r="M678" s="14" t="b">
        <f>(LCI_Table[[#This Row],[Dev Notes]]="Do not display")</f>
        <v>0</v>
      </c>
      <c r="N678" s="14" t="b">
        <f>AND(LCI_Table[[#This Row],[Show Feedstock]:[Conditional]],NOT(LCI_Table[[#This Row],[Hide Row]]))</f>
        <v>0</v>
      </c>
      <c r="O678" s="14" t="b">
        <f>LCI_Table[[#This Row],[GREET1 Name Range]]=""</f>
        <v>0</v>
      </c>
      <c r="P678" s="14" t="s">
        <v>1448</v>
      </c>
      <c r="Q678" s="14" t="s">
        <v>543</v>
      </c>
      <c r="R678" s="14" t="s">
        <v>146</v>
      </c>
      <c r="S678" s="37" cm="1">
        <f t="array" aca="1" ref="S6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133.25118652693723</v>
      </c>
      <c r="T678" s="346" t="s">
        <v>2128</v>
      </c>
      <c r="U678" s="347">
        <f ca="1">S678/kg2lb*Fuel_Specs!$K$4/Allocations!$O$67*MJ2mmBTU</f>
        <v>0.47667948220408035</v>
      </c>
      <c r="V678" s="347">
        <v>133.25118652693723</v>
      </c>
      <c r="W678" s="347">
        <v>0.47667948220408035</v>
      </c>
      <c r="X678" s="37" t="s">
        <v>5</v>
      </c>
      <c r="Y678" s="346" t="s">
        <v>416</v>
      </c>
      <c r="Z678" s="14" t="str">
        <f>IF(ISBLANK(LCI_Table[[#This Row],[Notes for user]])," ",LCI_Table[[#This Row],[Notes for user]])</f>
        <v xml:space="preserve"> </v>
      </c>
      <c r="AA678" s="14"/>
      <c r="AB678" s="14"/>
      <c r="AC678" s="346">
        <f ca="1">LCI_Table[[#This Row],[Default Calculated Value]]-LCI_Table[[#This Row],[Calculated Value]]</f>
        <v>0</v>
      </c>
    </row>
    <row r="679" spans="1:29" x14ac:dyDescent="0.3">
      <c r="A6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WillowBiological STJGREETGREET(blank)_Cellulosic_Biological_STJ_Electricity_co_producedElectricity (co-produced)</v>
      </c>
      <c r="B679" s="14" t="s">
        <v>131</v>
      </c>
      <c r="C679" s="14" t="s">
        <v>139</v>
      </c>
      <c r="D679" s="14" t="s">
        <v>29</v>
      </c>
      <c r="E679" s="48" t="s">
        <v>29</v>
      </c>
      <c r="F679" s="14" t="s">
        <v>31</v>
      </c>
      <c r="G679" s="14" t="b">
        <f>OR(LCI_Table[[#This Row],[Feedstock]]="All",LCI_Table[[#This Row],[Feedstock]]=SelectedFeedstock)</f>
        <v>0</v>
      </c>
      <c r="H679" s="14" t="b">
        <f>OR(LCI_Table[[#This Row],[Conversion]]="All",LCI_Table[[#This Row],[Conversion]]=SelectedConversion)</f>
        <v>0</v>
      </c>
      <c r="I679" s="14" t="b">
        <f>OR(LCI_Table[[#This Row],[Data Set]]="all",LCI_Table[[#This Row],[Data Set]]=SelectedDataSet)</f>
        <v>1</v>
      </c>
      <c r="J679" s="14" t="b">
        <f>OR(LCI_Table[[#This Row],[Technology]]="All",LCI_Table[[#This Row],[Technology]]=SelectedTechnology)</f>
        <v>1</v>
      </c>
      <c r="K679" s="14" t="b">
        <f>OR(LCI_Table[[#This Row],[Data Source]]="All",LCI_Table[[#This Row],[Data Source]]=SelectedDataSource)</f>
        <v>1</v>
      </c>
      <c r="L679" s="14" t="b">
        <f>TRUE</f>
        <v>1</v>
      </c>
      <c r="M679" s="14" t="b">
        <f>(LCI_Table[[#This Row],[Dev Notes]]="Do not display")</f>
        <v>0</v>
      </c>
      <c r="N679" s="14" t="b">
        <f>AND(LCI_Table[[#This Row],[Show Feedstock]:[Conditional]],NOT(LCI_Table[[#This Row],[Hide Row]]))</f>
        <v>0</v>
      </c>
      <c r="O679" s="14" t="b">
        <f>LCI_Table[[#This Row],[GREET1 Name Range]]=""</f>
        <v>0</v>
      </c>
      <c r="P679" s="14" t="s">
        <v>1448</v>
      </c>
      <c r="Q679" s="14" t="s">
        <v>537</v>
      </c>
      <c r="R679" s="14" t="s">
        <v>439</v>
      </c>
      <c r="S679" s="37" cm="1">
        <f t="array" aca="1" ref="S6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23.554359784171666</v>
      </c>
      <c r="T679" s="346" t="s">
        <v>2121</v>
      </c>
      <c r="U679" s="347">
        <f ca="1">S679/Allocations!$O$67*MJ2mmBTU</f>
        <v>2.2325225516897199E-2</v>
      </c>
      <c r="V679" s="347">
        <v>23.554359784171666</v>
      </c>
      <c r="W679" s="347">
        <v>2.2325225516897199E-2</v>
      </c>
      <c r="X679" s="37" t="s">
        <v>51</v>
      </c>
      <c r="Y679" s="346" t="s">
        <v>416</v>
      </c>
      <c r="Z679" s="14" t="str">
        <f>IF(ISBLANK(LCI_Table[[#This Row],[Notes for user]])," ",LCI_Table[[#This Row],[Notes for user]])</f>
        <v xml:space="preserve"> </v>
      </c>
      <c r="AA679" s="14"/>
      <c r="AB679" s="14"/>
      <c r="AC679" s="346">
        <f ca="1">LCI_Table[[#This Row],[Default Calculated Value]]-LCI_Table[[#This Row],[Calculated Value]]</f>
        <v>0</v>
      </c>
    </row>
    <row r="680" spans="1:29" x14ac:dyDescent="0.3">
      <c r="A6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dash_WillowCatalytic STJGREETGREET(blank)_Yield_Farming</v>
      </c>
      <c r="B680" s="48" t="s">
        <v>131</v>
      </c>
      <c r="C680" s="48" t="s">
        <v>140</v>
      </c>
      <c r="D680" s="48" t="s">
        <v>29</v>
      </c>
      <c r="E680" s="48" t="s">
        <v>29</v>
      </c>
      <c r="F680" s="48" t="s">
        <v>31</v>
      </c>
      <c r="G680" s="14" t="b">
        <f>OR(LCI_Table[[#This Row],[Feedstock]]="All",LCI_Table[[#This Row],[Feedstock]]=SelectedFeedstock)</f>
        <v>0</v>
      </c>
      <c r="H680" s="14" t="b">
        <f>OR(LCI_Table[[#This Row],[Conversion]]="All",LCI_Table[[#This Row],[Conversion]]=SelectedConversion)</f>
        <v>0</v>
      </c>
      <c r="I680" s="14" t="b">
        <f>OR(LCI_Table[[#This Row],[Data Set]]="all",LCI_Table[[#This Row],[Data Set]]=SelectedDataSet)</f>
        <v>1</v>
      </c>
      <c r="J680" s="14" t="b">
        <f>OR(LCI_Table[[#This Row],[Technology]]="All",LCI_Table[[#This Row],[Technology]]=SelectedTechnology)</f>
        <v>1</v>
      </c>
      <c r="K680" s="14" t="b">
        <f>OR(LCI_Table[[#This Row],[Data Source]]="All",LCI_Table[[#This Row],[Data Source]]=SelectedDataSource)</f>
        <v>1</v>
      </c>
      <c r="L680" s="14" t="b">
        <f>TRUE</f>
        <v>1</v>
      </c>
      <c r="M680" s="14" t="b">
        <f>(LCI_Table[[#This Row],[Dev Notes]]="Do not display")</f>
        <v>0</v>
      </c>
      <c r="N680" s="14" t="b">
        <f>AND(LCI_Table[[#This Row],[Show Feedstock]:[Conditional]],NOT(LCI_Table[[#This Row],[Hide Row]]))</f>
        <v>0</v>
      </c>
      <c r="O680" s="14" t="b">
        <f>LCI_Table[[#This Row],[GREET1 Name Range]]=""</f>
        <v>1</v>
      </c>
      <c r="P680" s="48" t="s">
        <v>14</v>
      </c>
      <c r="Q680" s="14" t="s">
        <v>361</v>
      </c>
      <c r="R680" s="48" t="s">
        <v>200</v>
      </c>
      <c r="S680" s="37" cm="1">
        <f t="array" aca="1" ref="S6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28.2</v>
      </c>
      <c r="T680" s="346" t="s">
        <v>2116</v>
      </c>
      <c r="U680" s="344"/>
      <c r="V680" s="344">
        <v>28.2</v>
      </c>
      <c r="W680" s="344"/>
      <c r="X680" s="48" t="s">
        <v>55</v>
      </c>
      <c r="Y680" s="346" t="s">
        <v>413</v>
      </c>
      <c r="Z680" s="14" t="str">
        <f>IF(ISBLANK(LCI_Table[[#This Row],[Notes for user]])," ",LCI_Table[[#This Row],[Notes for user]])</f>
        <v xml:space="preserve"> </v>
      </c>
      <c r="AA680" s="48"/>
      <c r="AB680" s="345"/>
      <c r="AC680" s="346">
        <f>LCI_Table[[#This Row],[Default Calculated Value]]-LCI_Table[[#This Row],[Calculated Value]]</f>
        <v>0</v>
      </c>
    </row>
    <row r="681" spans="1:29" x14ac:dyDescent="0.3">
      <c r="A6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STJGREETGREET(blank)_Willow_Farming_Nitrogen_fertilizerNitrogen fertilizer</v>
      </c>
      <c r="B681" s="14" t="s">
        <v>131</v>
      </c>
      <c r="C681" s="14" t="s">
        <v>140</v>
      </c>
      <c r="D681" s="14" t="s">
        <v>29</v>
      </c>
      <c r="E681" s="48" t="s">
        <v>29</v>
      </c>
      <c r="F681" s="14" t="s">
        <v>31</v>
      </c>
      <c r="G681" s="14" t="b">
        <f>OR(LCI_Table[[#This Row],[Feedstock]]="All",LCI_Table[[#This Row],[Feedstock]]=SelectedFeedstock)</f>
        <v>0</v>
      </c>
      <c r="H681" s="14" t="b">
        <f>OR(LCI_Table[[#This Row],[Conversion]]="All",LCI_Table[[#This Row],[Conversion]]=SelectedConversion)</f>
        <v>0</v>
      </c>
      <c r="I681" s="14" t="b">
        <f>OR(LCI_Table[[#This Row],[Data Set]]="all",LCI_Table[[#This Row],[Data Set]]=SelectedDataSet)</f>
        <v>1</v>
      </c>
      <c r="J681" s="14" t="b">
        <f>OR(LCI_Table[[#This Row],[Technology]]="All",LCI_Table[[#This Row],[Technology]]=SelectedTechnology)</f>
        <v>1</v>
      </c>
      <c r="K681" s="14" t="b">
        <f>OR(LCI_Table[[#This Row],[Data Source]]="All",LCI_Table[[#This Row],[Data Source]]=SelectedDataSource)</f>
        <v>1</v>
      </c>
      <c r="L681" s="14" t="b">
        <f>TRUE</f>
        <v>1</v>
      </c>
      <c r="M681" s="14" t="b">
        <f>(LCI_Table[[#This Row],[Dev Notes]]="Do not display")</f>
        <v>0</v>
      </c>
      <c r="N681" s="14" t="b">
        <f>AND(LCI_Table[[#This Row],[Show Feedstock]:[Conditional]],NOT(LCI_Table[[#This Row],[Hide Row]]))</f>
        <v>0</v>
      </c>
      <c r="O681" s="14" t="b">
        <f>LCI_Table[[#This Row],[GREET1 Name Range]]=""</f>
        <v>0</v>
      </c>
      <c r="P681" s="14" t="s">
        <v>14</v>
      </c>
      <c r="Q681" s="14" t="s">
        <v>853</v>
      </c>
      <c r="R681" s="14" t="s">
        <v>111</v>
      </c>
      <c r="S681" s="37" cm="1">
        <f t="array" aca="1" ref="S6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90.878828351189952</v>
      </c>
      <c r="T681" s="346" t="s">
        <v>1485</v>
      </c>
      <c r="U681" s="347">
        <f ca="1">S681/S680*lb2g</f>
        <v>1461.7710331432427</v>
      </c>
      <c r="V681" s="347">
        <v>90.878828351189952</v>
      </c>
      <c r="W681" s="347">
        <v>1461.7710331432427</v>
      </c>
      <c r="X681" s="14" t="s">
        <v>12</v>
      </c>
      <c r="Y681" s="346" t="s">
        <v>413</v>
      </c>
      <c r="Z681" s="14" t="str">
        <f>IF(ISBLANK(LCI_Table[[#This Row],[Notes for user]])," ",LCI_Table[[#This Row],[Notes for user]])</f>
        <v xml:space="preserve"> </v>
      </c>
      <c r="AA681" s="14"/>
      <c r="AB681" s="14"/>
      <c r="AC681" s="346">
        <f ca="1">LCI_Table[[#This Row],[Default Calculated Value]]-LCI_Table[[#This Row],[Calculated Value]]</f>
        <v>0</v>
      </c>
    </row>
    <row r="682" spans="1:29" x14ac:dyDescent="0.3">
      <c r="A6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STJGREETGREET(blank)_Willow_Farming_P2O5P2O5</v>
      </c>
      <c r="B682" s="14" t="s">
        <v>131</v>
      </c>
      <c r="C682" s="14" t="s">
        <v>140</v>
      </c>
      <c r="D682" s="14" t="s">
        <v>29</v>
      </c>
      <c r="E682" s="48" t="s">
        <v>29</v>
      </c>
      <c r="F682" s="14" t="s">
        <v>31</v>
      </c>
      <c r="G682" s="14" t="b">
        <f>OR(LCI_Table[[#This Row],[Feedstock]]="All",LCI_Table[[#This Row],[Feedstock]]=SelectedFeedstock)</f>
        <v>0</v>
      </c>
      <c r="H682" s="14" t="b">
        <f>OR(LCI_Table[[#This Row],[Conversion]]="All",LCI_Table[[#This Row],[Conversion]]=SelectedConversion)</f>
        <v>0</v>
      </c>
      <c r="I682" s="14" t="b">
        <f>OR(LCI_Table[[#This Row],[Data Set]]="all",LCI_Table[[#This Row],[Data Set]]=SelectedDataSet)</f>
        <v>1</v>
      </c>
      <c r="J682" s="14" t="b">
        <f>OR(LCI_Table[[#This Row],[Technology]]="All",LCI_Table[[#This Row],[Technology]]=SelectedTechnology)</f>
        <v>1</v>
      </c>
      <c r="K682" s="14" t="b">
        <f>OR(LCI_Table[[#This Row],[Data Source]]="All",LCI_Table[[#This Row],[Data Source]]=SelectedDataSource)</f>
        <v>1</v>
      </c>
      <c r="L682" s="14" t="b">
        <f>TRUE</f>
        <v>1</v>
      </c>
      <c r="M682" s="14" t="b">
        <f>(LCI_Table[[#This Row],[Dev Notes]]="Do not display")</f>
        <v>0</v>
      </c>
      <c r="N682" s="14" t="b">
        <f>AND(LCI_Table[[#This Row],[Show Feedstock]:[Conditional]],NOT(LCI_Table[[#This Row],[Hide Row]]))</f>
        <v>0</v>
      </c>
      <c r="O682" s="14" t="b">
        <f>LCI_Table[[#This Row],[GREET1 Name Range]]=""</f>
        <v>0</v>
      </c>
      <c r="P682" s="14" t="s">
        <v>14</v>
      </c>
      <c r="Q682" s="14" t="s">
        <v>854</v>
      </c>
      <c r="R682" s="14" t="s">
        <v>112</v>
      </c>
      <c r="S682" s="37" cm="1">
        <f t="array" aca="1" ref="S6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40.390590378306598</v>
      </c>
      <c r="T682" s="346" t="s">
        <v>1485</v>
      </c>
      <c r="U682" s="347">
        <f ca="1">S682/S680*lb2g</f>
        <v>649.67601473032937</v>
      </c>
      <c r="V682" s="347">
        <v>40.390590378306598</v>
      </c>
      <c r="W682" s="347">
        <v>649.67601473032937</v>
      </c>
      <c r="X682" s="14" t="s">
        <v>12</v>
      </c>
      <c r="Y682" s="346" t="s">
        <v>413</v>
      </c>
      <c r="Z682" s="14" t="str">
        <f>IF(ISBLANK(LCI_Table[[#This Row],[Notes for user]])," ",LCI_Table[[#This Row],[Notes for user]])</f>
        <v xml:space="preserve"> </v>
      </c>
      <c r="AA682" s="14"/>
      <c r="AB682" s="14"/>
      <c r="AC682" s="346">
        <f ca="1">LCI_Table[[#This Row],[Default Calculated Value]]-LCI_Table[[#This Row],[Calculated Value]]</f>
        <v>0</v>
      </c>
    </row>
    <row r="683" spans="1:29" x14ac:dyDescent="0.3">
      <c r="A6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STJGREETGREET(blank)_Willow_Farming_K2OK2O</v>
      </c>
      <c r="B683" s="14" t="s">
        <v>131</v>
      </c>
      <c r="C683" s="14" t="s">
        <v>140</v>
      </c>
      <c r="D683" s="14" t="s">
        <v>29</v>
      </c>
      <c r="E683" s="48" t="s">
        <v>29</v>
      </c>
      <c r="F683" s="14" t="s">
        <v>31</v>
      </c>
      <c r="G683" s="14" t="b">
        <f>OR(LCI_Table[[#This Row],[Feedstock]]="All",LCI_Table[[#This Row],[Feedstock]]=SelectedFeedstock)</f>
        <v>0</v>
      </c>
      <c r="H683" s="14" t="b">
        <f>OR(LCI_Table[[#This Row],[Conversion]]="All",LCI_Table[[#This Row],[Conversion]]=SelectedConversion)</f>
        <v>0</v>
      </c>
      <c r="I683" s="14" t="b">
        <f>OR(LCI_Table[[#This Row],[Data Set]]="all",LCI_Table[[#This Row],[Data Set]]=SelectedDataSet)</f>
        <v>1</v>
      </c>
      <c r="J683" s="14" t="b">
        <f>OR(LCI_Table[[#This Row],[Technology]]="All",LCI_Table[[#This Row],[Technology]]=SelectedTechnology)</f>
        <v>1</v>
      </c>
      <c r="K683" s="14" t="b">
        <f>OR(LCI_Table[[#This Row],[Data Source]]="All",LCI_Table[[#This Row],[Data Source]]=SelectedDataSource)</f>
        <v>1</v>
      </c>
      <c r="L683" s="14" t="b">
        <f>TRUE</f>
        <v>1</v>
      </c>
      <c r="M683" s="14" t="b">
        <f>(LCI_Table[[#This Row],[Dev Notes]]="Do not display")</f>
        <v>0</v>
      </c>
      <c r="N683" s="14" t="b">
        <f>AND(LCI_Table[[#This Row],[Show Feedstock]:[Conditional]],NOT(LCI_Table[[#This Row],[Hide Row]]))</f>
        <v>0</v>
      </c>
      <c r="O683" s="14" t="b">
        <f>LCI_Table[[#This Row],[GREET1 Name Range]]=""</f>
        <v>0</v>
      </c>
      <c r="P683" s="14" t="s">
        <v>14</v>
      </c>
      <c r="Q683" s="14" t="s">
        <v>850</v>
      </c>
      <c r="R683" s="14" t="s">
        <v>113</v>
      </c>
      <c r="S683" s="37" cm="1">
        <f t="array" aca="1" ref="S6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62.289440243223993</v>
      </c>
      <c r="T683" s="346" t="s">
        <v>1485</v>
      </c>
      <c r="U683" s="347">
        <f ca="1">S683/S680*lb2g</f>
        <v>1001.915419358062</v>
      </c>
      <c r="V683" s="347">
        <v>62.289440243223993</v>
      </c>
      <c r="W683" s="347">
        <v>1001.915419358062</v>
      </c>
      <c r="X683" s="14" t="s">
        <v>12</v>
      </c>
      <c r="Y683" s="346" t="s">
        <v>413</v>
      </c>
      <c r="Z683" s="14" t="str">
        <f>IF(ISBLANK(LCI_Table[[#This Row],[Notes for user]])," ",LCI_Table[[#This Row],[Notes for user]])</f>
        <v xml:space="preserve"> </v>
      </c>
      <c r="AA683" s="14"/>
      <c r="AB683" s="14"/>
      <c r="AC683" s="346">
        <f ca="1">LCI_Table[[#This Row],[Default Calculated Value]]-LCI_Table[[#This Row],[Calculated Value]]</f>
        <v>0</v>
      </c>
    </row>
    <row r="684" spans="1:29" x14ac:dyDescent="0.3">
      <c r="A6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STJGREETGREET(blank)_Willow_Farming_CaCO3CaCO3</v>
      </c>
      <c r="B684" s="14" t="s">
        <v>131</v>
      </c>
      <c r="C684" s="14" t="s">
        <v>140</v>
      </c>
      <c r="D684" s="14" t="s">
        <v>29</v>
      </c>
      <c r="E684" s="48" t="s">
        <v>29</v>
      </c>
      <c r="F684" s="14" t="s">
        <v>31</v>
      </c>
      <c r="G684" s="14" t="b">
        <f>OR(LCI_Table[[#This Row],[Feedstock]]="All",LCI_Table[[#This Row],[Feedstock]]=SelectedFeedstock)</f>
        <v>0</v>
      </c>
      <c r="H684" s="14" t="b">
        <f>OR(LCI_Table[[#This Row],[Conversion]]="All",LCI_Table[[#This Row],[Conversion]]=SelectedConversion)</f>
        <v>0</v>
      </c>
      <c r="I684" s="14" t="b">
        <f>OR(LCI_Table[[#This Row],[Data Set]]="all",LCI_Table[[#This Row],[Data Set]]=SelectedDataSet)</f>
        <v>1</v>
      </c>
      <c r="J684" s="14" t="b">
        <f>OR(LCI_Table[[#This Row],[Technology]]="All",LCI_Table[[#This Row],[Technology]]=SelectedTechnology)</f>
        <v>1</v>
      </c>
      <c r="K684" s="14" t="b">
        <f>OR(LCI_Table[[#This Row],[Data Source]]="All",LCI_Table[[#This Row],[Data Source]]=SelectedDataSource)</f>
        <v>1</v>
      </c>
      <c r="L684" s="14" t="b">
        <f>TRUE</f>
        <v>1</v>
      </c>
      <c r="M684" s="14" t="b">
        <f>(LCI_Table[[#This Row],[Dev Notes]]="Do not display")</f>
        <v>0</v>
      </c>
      <c r="N684" s="14" t="b">
        <f>AND(LCI_Table[[#This Row],[Show Feedstock]:[Conditional]],NOT(LCI_Table[[#This Row],[Hide Row]]))</f>
        <v>0</v>
      </c>
      <c r="O684" s="14" t="b">
        <f>LCI_Table[[#This Row],[GREET1 Name Range]]=""</f>
        <v>0</v>
      </c>
      <c r="P684" s="14" t="s">
        <v>14</v>
      </c>
      <c r="Q684" s="14" t="s">
        <v>842</v>
      </c>
      <c r="R684" s="14" t="s">
        <v>141</v>
      </c>
      <c r="S684" s="37" cm="1">
        <f t="array" aca="1" ref="S6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84" s="346" t="s">
        <v>1485</v>
      </c>
      <c r="U684" s="347">
        <f ca="1">S684/S680*lb2g</f>
        <v>0</v>
      </c>
      <c r="V684" s="347">
        <v>0</v>
      </c>
      <c r="W684" s="347">
        <v>0</v>
      </c>
      <c r="X684" s="14" t="s">
        <v>12</v>
      </c>
      <c r="Y684" s="346" t="s">
        <v>413</v>
      </c>
      <c r="Z684" s="14" t="str">
        <f>IF(ISBLANK(LCI_Table[[#This Row],[Notes for user]])," ",LCI_Table[[#This Row],[Notes for user]])</f>
        <v xml:space="preserve"> </v>
      </c>
      <c r="AA684" s="14"/>
      <c r="AB684" s="14"/>
      <c r="AC684" s="346">
        <f ca="1">LCI_Table[[#This Row],[Default Calculated Value]]-LCI_Table[[#This Row],[Calculated Value]]</f>
        <v>0</v>
      </c>
    </row>
    <row r="685" spans="1:29" x14ac:dyDescent="0.3">
      <c r="A6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STJGREETGREET(blank)_Willow_Farming_HerbicidesHerbicides</v>
      </c>
      <c r="B685" s="14" t="s">
        <v>131</v>
      </c>
      <c r="C685" s="14" t="s">
        <v>140</v>
      </c>
      <c r="D685" s="14" t="s">
        <v>29</v>
      </c>
      <c r="E685" s="48" t="s">
        <v>29</v>
      </c>
      <c r="F685" s="14" t="s">
        <v>31</v>
      </c>
      <c r="G685" s="14" t="b">
        <f>OR(LCI_Table[[#This Row],[Feedstock]]="All",LCI_Table[[#This Row],[Feedstock]]=SelectedFeedstock)</f>
        <v>0</v>
      </c>
      <c r="H685" s="14" t="b">
        <f>OR(LCI_Table[[#This Row],[Conversion]]="All",LCI_Table[[#This Row],[Conversion]]=SelectedConversion)</f>
        <v>0</v>
      </c>
      <c r="I685" s="14" t="b">
        <f>OR(LCI_Table[[#This Row],[Data Set]]="all",LCI_Table[[#This Row],[Data Set]]=SelectedDataSet)</f>
        <v>1</v>
      </c>
      <c r="J685" s="14" t="b">
        <f>OR(LCI_Table[[#This Row],[Technology]]="All",LCI_Table[[#This Row],[Technology]]=SelectedTechnology)</f>
        <v>1</v>
      </c>
      <c r="K685" s="14" t="b">
        <f>OR(LCI_Table[[#This Row],[Data Source]]="All",LCI_Table[[#This Row],[Data Source]]=SelectedDataSource)</f>
        <v>1</v>
      </c>
      <c r="L685" s="14" t="b">
        <f>TRUE</f>
        <v>1</v>
      </c>
      <c r="M685" s="14" t="b">
        <f>(LCI_Table[[#This Row],[Dev Notes]]="Do not display")</f>
        <v>0</v>
      </c>
      <c r="N685" s="14" t="b">
        <f>AND(LCI_Table[[#This Row],[Show Feedstock]:[Conditional]],NOT(LCI_Table[[#This Row],[Hide Row]]))</f>
        <v>0</v>
      </c>
      <c r="O685" s="14" t="b">
        <f>LCI_Table[[#This Row],[GREET1 Name Range]]=""</f>
        <v>0</v>
      </c>
      <c r="P685" s="14" t="s">
        <v>14</v>
      </c>
      <c r="Q685" s="14" t="s">
        <v>848</v>
      </c>
      <c r="R685" s="14" t="s">
        <v>356</v>
      </c>
      <c r="S685" s="37" cm="1">
        <f t="array" aca="1" ref="S6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0.99950933611942439</v>
      </c>
      <c r="T685" s="346" t="s">
        <v>1485</v>
      </c>
      <c r="U685" s="347">
        <f ca="1">S685/S680*lb2g</f>
        <v>16.076943567643134</v>
      </c>
      <c r="V685" s="347">
        <v>0.99950933611942439</v>
      </c>
      <c r="W685" s="347">
        <v>16.076943567643134</v>
      </c>
      <c r="X685" s="14" t="s">
        <v>12</v>
      </c>
      <c r="Y685" s="346" t="s">
        <v>413</v>
      </c>
      <c r="Z685" s="14" t="str">
        <f>IF(ISBLANK(LCI_Table[[#This Row],[Notes for user]])," ",LCI_Table[[#This Row],[Notes for user]])</f>
        <v xml:space="preserve"> </v>
      </c>
      <c r="AA685" s="14"/>
      <c r="AB685" s="14"/>
      <c r="AC685" s="346">
        <f ca="1">LCI_Table[[#This Row],[Default Calculated Value]]-LCI_Table[[#This Row],[Calculated Value]]</f>
        <v>0</v>
      </c>
    </row>
    <row r="686" spans="1:29" x14ac:dyDescent="0.3">
      <c r="A6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STJGREETGREET(blank)_Willow_Farming_InsecticideInsecticide</v>
      </c>
      <c r="B686" s="14" t="s">
        <v>131</v>
      </c>
      <c r="C686" s="14" t="s">
        <v>140</v>
      </c>
      <c r="D686" s="14" t="s">
        <v>29</v>
      </c>
      <c r="E686" s="48" t="s">
        <v>29</v>
      </c>
      <c r="F686" s="14" t="s">
        <v>31</v>
      </c>
      <c r="G686" s="14" t="b">
        <f>OR(LCI_Table[[#This Row],[Feedstock]]="All",LCI_Table[[#This Row],[Feedstock]]=SelectedFeedstock)</f>
        <v>0</v>
      </c>
      <c r="H686" s="14" t="b">
        <f>OR(LCI_Table[[#This Row],[Conversion]]="All",LCI_Table[[#This Row],[Conversion]]=SelectedConversion)</f>
        <v>0</v>
      </c>
      <c r="I686" s="14" t="b">
        <f>OR(LCI_Table[[#This Row],[Data Set]]="all",LCI_Table[[#This Row],[Data Set]]=SelectedDataSet)</f>
        <v>1</v>
      </c>
      <c r="J686" s="14" t="b">
        <f>OR(LCI_Table[[#This Row],[Technology]]="All",LCI_Table[[#This Row],[Technology]]=SelectedTechnology)</f>
        <v>1</v>
      </c>
      <c r="K686" s="14" t="b">
        <f>OR(LCI_Table[[#This Row],[Data Source]]="All",LCI_Table[[#This Row],[Data Source]]=SelectedDataSource)</f>
        <v>1</v>
      </c>
      <c r="L686" s="14" t="b">
        <f>TRUE</f>
        <v>1</v>
      </c>
      <c r="M686" s="14" t="b">
        <f>(LCI_Table[[#This Row],[Dev Notes]]="Do not display")</f>
        <v>0</v>
      </c>
      <c r="N686" s="14" t="b">
        <f>AND(LCI_Table[[#This Row],[Show Feedstock]:[Conditional]],NOT(LCI_Table[[#This Row],[Hide Row]]))</f>
        <v>0</v>
      </c>
      <c r="O686" s="14" t="b">
        <f>LCI_Table[[#This Row],[GREET1 Name Range]]=""</f>
        <v>0</v>
      </c>
      <c r="P686" s="14" t="s">
        <v>14</v>
      </c>
      <c r="Q686" s="14" t="s">
        <v>849</v>
      </c>
      <c r="R686" s="14" t="s">
        <v>114</v>
      </c>
      <c r="S686" s="37" cm="1">
        <f t="array" aca="1" ref="S6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86" s="346" t="s">
        <v>1485</v>
      </c>
      <c r="U686" s="347">
        <f ca="1">S686/S680*lb2g</f>
        <v>0</v>
      </c>
      <c r="V686" s="347">
        <v>0</v>
      </c>
      <c r="W686" s="347">
        <v>0</v>
      </c>
      <c r="X686" s="14" t="s">
        <v>12</v>
      </c>
      <c r="Y686" s="346" t="s">
        <v>413</v>
      </c>
      <c r="Z686" s="14" t="str">
        <f>IF(ISBLANK(LCI_Table[[#This Row],[Notes for user]])," ",LCI_Table[[#This Row],[Notes for user]])</f>
        <v xml:space="preserve"> </v>
      </c>
      <c r="AA686" s="14"/>
      <c r="AB686" s="14"/>
      <c r="AC686" s="346">
        <f ca="1">LCI_Table[[#This Row],[Default Calculated Value]]-LCI_Table[[#This Row],[Calculated Value]]</f>
        <v>0</v>
      </c>
    </row>
    <row r="687" spans="1:29" x14ac:dyDescent="0.3">
      <c r="A6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STJGREETGREET(blank)_Willow_Farming_Residual_oilResidual oil</v>
      </c>
      <c r="B687" s="14" t="s">
        <v>131</v>
      </c>
      <c r="C687" s="14" t="s">
        <v>140</v>
      </c>
      <c r="D687" s="14" t="s">
        <v>29</v>
      </c>
      <c r="E687" s="48" t="s">
        <v>29</v>
      </c>
      <c r="F687" s="14" t="s">
        <v>31</v>
      </c>
      <c r="G687" s="14" t="b">
        <f>OR(LCI_Table[[#This Row],[Feedstock]]="All",LCI_Table[[#This Row],[Feedstock]]=SelectedFeedstock)</f>
        <v>0</v>
      </c>
      <c r="H687" s="14" t="b">
        <f>OR(LCI_Table[[#This Row],[Conversion]]="All",LCI_Table[[#This Row],[Conversion]]=SelectedConversion)</f>
        <v>0</v>
      </c>
      <c r="I687" s="14" t="b">
        <f>OR(LCI_Table[[#This Row],[Data Set]]="all",LCI_Table[[#This Row],[Data Set]]=SelectedDataSet)</f>
        <v>1</v>
      </c>
      <c r="J687" s="14" t="b">
        <f>OR(LCI_Table[[#This Row],[Technology]]="All",LCI_Table[[#This Row],[Technology]]=SelectedTechnology)</f>
        <v>1</v>
      </c>
      <c r="K687" s="14" t="b">
        <f>OR(LCI_Table[[#This Row],[Data Source]]="All",LCI_Table[[#This Row],[Data Source]]=SelectedDataSource)</f>
        <v>1</v>
      </c>
      <c r="L687" s="14" t="b">
        <f>TRUE</f>
        <v>1</v>
      </c>
      <c r="M687" s="14" t="b">
        <f>(LCI_Table[[#This Row],[Dev Notes]]="Do not display")</f>
        <v>0</v>
      </c>
      <c r="N687" s="14" t="b">
        <f>AND(LCI_Table[[#This Row],[Show Feedstock]:[Conditional]],NOT(LCI_Table[[#This Row],[Hide Row]]))</f>
        <v>0</v>
      </c>
      <c r="O687" s="14" t="b">
        <f>LCI_Table[[#This Row],[GREET1 Name Range]]=""</f>
        <v>0</v>
      </c>
      <c r="P687" s="14" t="s">
        <v>14</v>
      </c>
      <c r="Q687" s="14" t="s">
        <v>855</v>
      </c>
      <c r="R687" s="14" t="s">
        <v>115</v>
      </c>
      <c r="S687" s="37" cm="1">
        <f t="array" aca="1" ref="S6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87" s="346" t="s">
        <v>1484</v>
      </c>
      <c r="U687" s="347">
        <f ca="1">S687*Fuel_Specs!$B$28/S680</f>
        <v>0</v>
      </c>
      <c r="V687" s="347">
        <v>0</v>
      </c>
      <c r="W687" s="347">
        <v>0</v>
      </c>
      <c r="X687" s="14" t="s">
        <v>5</v>
      </c>
      <c r="Y687" s="346" t="s">
        <v>413</v>
      </c>
      <c r="Z687" s="14" t="str">
        <f>IF(ISBLANK(LCI_Table[[#This Row],[Notes for user]])," ",LCI_Table[[#This Row],[Notes for user]])</f>
        <v xml:space="preserve"> </v>
      </c>
      <c r="AA687" s="14"/>
      <c r="AB687" s="14"/>
      <c r="AC687" s="346">
        <f ca="1">LCI_Table[[#This Row],[Default Calculated Value]]-LCI_Table[[#This Row],[Calculated Value]]</f>
        <v>0</v>
      </c>
    </row>
    <row r="688" spans="1:29" x14ac:dyDescent="0.3">
      <c r="A6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STJGREETGREET(blank)_Willow_Farming_DieselDiesel</v>
      </c>
      <c r="B688" s="14" t="s">
        <v>131</v>
      </c>
      <c r="C688" s="14" t="s">
        <v>140</v>
      </c>
      <c r="D688" s="14" t="s">
        <v>29</v>
      </c>
      <c r="E688" s="48" t="s">
        <v>29</v>
      </c>
      <c r="F688" s="14" t="s">
        <v>31</v>
      </c>
      <c r="G688" s="14" t="b">
        <f>OR(LCI_Table[[#This Row],[Feedstock]]="All",LCI_Table[[#This Row],[Feedstock]]=SelectedFeedstock)</f>
        <v>0</v>
      </c>
      <c r="H688" s="14" t="b">
        <f>OR(LCI_Table[[#This Row],[Conversion]]="All",LCI_Table[[#This Row],[Conversion]]=SelectedConversion)</f>
        <v>0</v>
      </c>
      <c r="I688" s="14" t="b">
        <f>OR(LCI_Table[[#This Row],[Data Set]]="all",LCI_Table[[#This Row],[Data Set]]=SelectedDataSet)</f>
        <v>1</v>
      </c>
      <c r="J688" s="14" t="b">
        <f>OR(LCI_Table[[#This Row],[Technology]]="All",LCI_Table[[#This Row],[Technology]]=SelectedTechnology)</f>
        <v>1</v>
      </c>
      <c r="K688" s="14" t="b">
        <f>OR(LCI_Table[[#This Row],[Data Source]]="All",LCI_Table[[#This Row],[Data Source]]=SelectedDataSource)</f>
        <v>1</v>
      </c>
      <c r="L688" s="14" t="b">
        <f>TRUE</f>
        <v>1</v>
      </c>
      <c r="M688" s="14" t="b">
        <f>(LCI_Table[[#This Row],[Dev Notes]]="Do not display")</f>
        <v>0</v>
      </c>
      <c r="N688" s="14" t="b">
        <f>AND(LCI_Table[[#This Row],[Show Feedstock]:[Conditional]],NOT(LCI_Table[[#This Row],[Hide Row]]))</f>
        <v>0</v>
      </c>
      <c r="O688" s="14" t="b">
        <f>LCI_Table[[#This Row],[GREET1 Name Range]]=""</f>
        <v>0</v>
      </c>
      <c r="P688" s="14" t="s">
        <v>14</v>
      </c>
      <c r="Q688" s="14" t="s">
        <v>844</v>
      </c>
      <c r="R688" s="14" t="s">
        <v>106</v>
      </c>
      <c r="S688" s="37" cm="1">
        <f t="array" aca="1" ref="S6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40.615060616502412</v>
      </c>
      <c r="T688" s="346" t="s">
        <v>1484</v>
      </c>
      <c r="U688" s="347">
        <f ca="1">S688*Fuel_Specs!$B$19/S680</f>
        <v>185000.16085779201</v>
      </c>
      <c r="V688" s="347">
        <v>40.615060616502412</v>
      </c>
      <c r="W688" s="347">
        <v>185000.16085779201</v>
      </c>
      <c r="X688" s="14" t="s">
        <v>5</v>
      </c>
      <c r="Y688" s="346" t="s">
        <v>413</v>
      </c>
      <c r="Z688" s="14" t="str">
        <f>IF(ISBLANK(LCI_Table[[#This Row],[Notes for user]])," ",LCI_Table[[#This Row],[Notes for user]])</f>
        <v xml:space="preserve"> </v>
      </c>
      <c r="AA688" s="14"/>
      <c r="AB688" s="14"/>
      <c r="AC688" s="346">
        <f ca="1">LCI_Table[[#This Row],[Default Calculated Value]]-LCI_Table[[#This Row],[Calculated Value]]</f>
        <v>0</v>
      </c>
    </row>
    <row r="689" spans="1:29" x14ac:dyDescent="0.3">
      <c r="A6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STJGREETGREET(blank)_Willow_Farming_GasolineGasoline</v>
      </c>
      <c r="B689" s="14" t="s">
        <v>131</v>
      </c>
      <c r="C689" s="14" t="s">
        <v>140</v>
      </c>
      <c r="D689" s="14" t="s">
        <v>29</v>
      </c>
      <c r="E689" s="48" t="s">
        <v>29</v>
      </c>
      <c r="F689" s="14" t="s">
        <v>31</v>
      </c>
      <c r="G689" s="14" t="b">
        <f>OR(LCI_Table[[#This Row],[Feedstock]]="All",LCI_Table[[#This Row],[Feedstock]]=SelectedFeedstock)</f>
        <v>0</v>
      </c>
      <c r="H689" s="14" t="b">
        <f>OR(LCI_Table[[#This Row],[Conversion]]="All",LCI_Table[[#This Row],[Conversion]]=SelectedConversion)</f>
        <v>0</v>
      </c>
      <c r="I689" s="14" t="b">
        <f>OR(LCI_Table[[#This Row],[Data Set]]="all",LCI_Table[[#This Row],[Data Set]]=SelectedDataSet)</f>
        <v>1</v>
      </c>
      <c r="J689" s="14" t="b">
        <f>OR(LCI_Table[[#This Row],[Technology]]="All",LCI_Table[[#This Row],[Technology]]=SelectedTechnology)</f>
        <v>1</v>
      </c>
      <c r="K689" s="14" t="b">
        <f>OR(LCI_Table[[#This Row],[Data Source]]="All",LCI_Table[[#This Row],[Data Source]]=SelectedDataSource)</f>
        <v>1</v>
      </c>
      <c r="L689" s="14" t="b">
        <f>TRUE</f>
        <v>1</v>
      </c>
      <c r="M689" s="14" t="b">
        <f>(LCI_Table[[#This Row],[Dev Notes]]="Do not display")</f>
        <v>0</v>
      </c>
      <c r="N689" s="14" t="b">
        <f>AND(LCI_Table[[#This Row],[Show Feedstock]:[Conditional]],NOT(LCI_Table[[#This Row],[Hide Row]]))</f>
        <v>0</v>
      </c>
      <c r="O689" s="14" t="b">
        <f>LCI_Table[[#This Row],[GREET1 Name Range]]=""</f>
        <v>0</v>
      </c>
      <c r="P689" s="14" t="s">
        <v>14</v>
      </c>
      <c r="Q689" s="14" t="s">
        <v>847</v>
      </c>
      <c r="R689" s="14" t="s">
        <v>107</v>
      </c>
      <c r="S689" s="37" cm="1">
        <f t="array" aca="1" ref="S6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89" s="346" t="s">
        <v>1484</v>
      </c>
      <c r="U689" s="347">
        <f ca="1">S689*Fuel_Specs!$B$15/S680</f>
        <v>0</v>
      </c>
      <c r="V689" s="347">
        <v>0</v>
      </c>
      <c r="W689" s="347">
        <v>0</v>
      </c>
      <c r="X689" s="14" t="s">
        <v>5</v>
      </c>
      <c r="Y689" s="346" t="s">
        <v>413</v>
      </c>
      <c r="Z689" s="14" t="str">
        <f>IF(ISBLANK(LCI_Table[[#This Row],[Notes for user]])," ",LCI_Table[[#This Row],[Notes for user]])</f>
        <v xml:space="preserve"> </v>
      </c>
      <c r="AA689" s="14"/>
      <c r="AB689" s="14"/>
      <c r="AC689" s="346">
        <f ca="1">LCI_Table[[#This Row],[Default Calculated Value]]-LCI_Table[[#This Row],[Calculated Value]]</f>
        <v>0</v>
      </c>
    </row>
    <row r="690" spans="1:29" x14ac:dyDescent="0.3">
      <c r="A6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STJGREETGREET(blank)_Willow_Farming_Natural_gasNatural gas</v>
      </c>
      <c r="B690" s="14" t="s">
        <v>131</v>
      </c>
      <c r="C690" s="14" t="s">
        <v>140</v>
      </c>
      <c r="D690" s="14" t="s">
        <v>29</v>
      </c>
      <c r="E690" s="48" t="s">
        <v>29</v>
      </c>
      <c r="F690" s="14" t="s">
        <v>31</v>
      </c>
      <c r="G690" s="14" t="b">
        <f>OR(LCI_Table[[#This Row],[Feedstock]]="All",LCI_Table[[#This Row],[Feedstock]]=SelectedFeedstock)</f>
        <v>0</v>
      </c>
      <c r="H690" s="14" t="b">
        <f>OR(LCI_Table[[#This Row],[Conversion]]="All",LCI_Table[[#This Row],[Conversion]]=SelectedConversion)</f>
        <v>0</v>
      </c>
      <c r="I690" s="14" t="b">
        <f>OR(LCI_Table[[#This Row],[Data Set]]="all",LCI_Table[[#This Row],[Data Set]]=SelectedDataSet)</f>
        <v>1</v>
      </c>
      <c r="J690" s="14" t="b">
        <f>OR(LCI_Table[[#This Row],[Technology]]="All",LCI_Table[[#This Row],[Technology]]=SelectedTechnology)</f>
        <v>1</v>
      </c>
      <c r="K690" s="14" t="b">
        <f>OR(LCI_Table[[#This Row],[Data Source]]="All",LCI_Table[[#This Row],[Data Source]]=SelectedDataSource)</f>
        <v>1</v>
      </c>
      <c r="L690" s="14" t="b">
        <f>TRUE</f>
        <v>1</v>
      </c>
      <c r="M690" s="14" t="b">
        <f>(LCI_Table[[#This Row],[Dev Notes]]="Do not display")</f>
        <v>0</v>
      </c>
      <c r="N690" s="14" t="b">
        <f>AND(LCI_Table[[#This Row],[Show Feedstock]:[Conditional]],NOT(LCI_Table[[#This Row],[Hide Row]]))</f>
        <v>0</v>
      </c>
      <c r="O690" s="14" t="b">
        <f>LCI_Table[[#This Row],[GREET1 Name Range]]=""</f>
        <v>0</v>
      </c>
      <c r="P690" s="14" t="s">
        <v>14</v>
      </c>
      <c r="Q690" s="14" t="s">
        <v>852</v>
      </c>
      <c r="R690" s="14" t="s">
        <v>108</v>
      </c>
      <c r="S690" s="37" cm="1">
        <f t="array" aca="1" ref="S6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90" s="346" t="s">
        <v>2109</v>
      </c>
      <c r="U690" s="347">
        <f ca="1">S690*Fuel_Specs!$B$79/S680</f>
        <v>0</v>
      </c>
      <c r="V690" s="347">
        <v>0</v>
      </c>
      <c r="W690" s="347">
        <v>0</v>
      </c>
      <c r="X690" s="14" t="s">
        <v>351</v>
      </c>
      <c r="Y690" s="346" t="s">
        <v>413</v>
      </c>
      <c r="Z690" s="14" t="str">
        <f>IF(ISBLANK(LCI_Table[[#This Row],[Notes for user]])," ",LCI_Table[[#This Row],[Notes for user]])</f>
        <v xml:space="preserve"> </v>
      </c>
      <c r="AA690" s="14"/>
      <c r="AB690" s="14"/>
      <c r="AC690" s="346">
        <f ca="1">LCI_Table[[#This Row],[Default Calculated Value]]-LCI_Table[[#This Row],[Calculated Value]]</f>
        <v>0</v>
      </c>
    </row>
    <row r="691" spans="1:29" x14ac:dyDescent="0.3">
      <c r="A6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STJGREETGREET(blank)_Willow_Farming_CoalCoal</v>
      </c>
      <c r="B691" s="14" t="s">
        <v>131</v>
      </c>
      <c r="C691" s="14" t="s">
        <v>140</v>
      </c>
      <c r="D691" s="14" t="s">
        <v>29</v>
      </c>
      <c r="E691" s="48" t="s">
        <v>29</v>
      </c>
      <c r="F691" s="14" t="s">
        <v>31</v>
      </c>
      <c r="G691" s="14" t="b">
        <f>OR(LCI_Table[[#This Row],[Feedstock]]="All",LCI_Table[[#This Row],[Feedstock]]=SelectedFeedstock)</f>
        <v>0</v>
      </c>
      <c r="H691" s="14" t="b">
        <f>OR(LCI_Table[[#This Row],[Conversion]]="All",LCI_Table[[#This Row],[Conversion]]=SelectedConversion)</f>
        <v>0</v>
      </c>
      <c r="I691" s="14" t="b">
        <f>OR(LCI_Table[[#This Row],[Data Set]]="all",LCI_Table[[#This Row],[Data Set]]=SelectedDataSet)</f>
        <v>1</v>
      </c>
      <c r="J691" s="14" t="b">
        <f>OR(LCI_Table[[#This Row],[Technology]]="All",LCI_Table[[#This Row],[Technology]]=SelectedTechnology)</f>
        <v>1</v>
      </c>
      <c r="K691" s="14" t="b">
        <f>OR(LCI_Table[[#This Row],[Data Source]]="All",LCI_Table[[#This Row],[Data Source]]=SelectedDataSource)</f>
        <v>1</v>
      </c>
      <c r="L691" s="14" t="b">
        <f>TRUE</f>
        <v>1</v>
      </c>
      <c r="M691" s="14" t="b">
        <f>(LCI_Table[[#This Row],[Dev Notes]]="Do not display")</f>
        <v>0</v>
      </c>
      <c r="N691" s="14" t="b">
        <f>AND(LCI_Table[[#This Row],[Show Feedstock]:[Conditional]],NOT(LCI_Table[[#This Row],[Hide Row]]))</f>
        <v>0</v>
      </c>
      <c r="O691" s="14" t="b">
        <f>LCI_Table[[#This Row],[GREET1 Name Range]]=""</f>
        <v>0</v>
      </c>
      <c r="P691" s="14" t="s">
        <v>14</v>
      </c>
      <c r="Q691" s="14" t="s">
        <v>843</v>
      </c>
      <c r="R691" s="14" t="s">
        <v>9</v>
      </c>
      <c r="S691" s="37" cm="1">
        <f t="array" aca="1" ref="S6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91" s="346" t="s">
        <v>2110</v>
      </c>
      <c r="U691" s="347">
        <f ca="1">S691/S680</f>
        <v>0</v>
      </c>
      <c r="V691" s="347">
        <v>0</v>
      </c>
      <c r="W691" s="347">
        <v>0</v>
      </c>
      <c r="X691" s="14" t="s">
        <v>117</v>
      </c>
      <c r="Y691" s="346" t="s">
        <v>413</v>
      </c>
      <c r="Z691" s="14" t="str">
        <f>IF(ISBLANK(LCI_Table[[#This Row],[Notes for user]])," ",LCI_Table[[#This Row],[Notes for user]])</f>
        <v xml:space="preserve"> </v>
      </c>
      <c r="AA691" s="14"/>
      <c r="AB691" s="14"/>
      <c r="AC691" s="346">
        <f ca="1">LCI_Table[[#This Row],[Default Calculated Value]]-LCI_Table[[#This Row],[Calculated Value]]</f>
        <v>0</v>
      </c>
    </row>
    <row r="692" spans="1:29" x14ac:dyDescent="0.3">
      <c r="A6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STJGREETGREET(blank)_Willow_Farming_LPGLPG</v>
      </c>
      <c r="B692" s="14" t="s">
        <v>131</v>
      </c>
      <c r="C692" s="14" t="s">
        <v>140</v>
      </c>
      <c r="D692" s="14" t="s">
        <v>29</v>
      </c>
      <c r="E692" s="48" t="s">
        <v>29</v>
      </c>
      <c r="F692" s="14" t="s">
        <v>31</v>
      </c>
      <c r="G692" s="14" t="b">
        <f>OR(LCI_Table[[#This Row],[Feedstock]]="All",LCI_Table[[#This Row],[Feedstock]]=SelectedFeedstock)</f>
        <v>0</v>
      </c>
      <c r="H692" s="14" t="b">
        <f>OR(LCI_Table[[#This Row],[Conversion]]="All",LCI_Table[[#This Row],[Conversion]]=SelectedConversion)</f>
        <v>0</v>
      </c>
      <c r="I692" s="14" t="b">
        <f>OR(LCI_Table[[#This Row],[Data Set]]="all",LCI_Table[[#This Row],[Data Set]]=SelectedDataSet)</f>
        <v>1</v>
      </c>
      <c r="J692" s="14" t="b">
        <f>OR(LCI_Table[[#This Row],[Technology]]="All",LCI_Table[[#This Row],[Technology]]=SelectedTechnology)</f>
        <v>1</v>
      </c>
      <c r="K692" s="14" t="b">
        <f>OR(LCI_Table[[#This Row],[Data Source]]="All",LCI_Table[[#This Row],[Data Source]]=SelectedDataSource)</f>
        <v>1</v>
      </c>
      <c r="L692" s="14" t="b">
        <f>TRUE</f>
        <v>1</v>
      </c>
      <c r="M692" s="14" t="b">
        <f>(LCI_Table[[#This Row],[Dev Notes]]="Do not display")</f>
        <v>0</v>
      </c>
      <c r="N692" s="14" t="b">
        <f>AND(LCI_Table[[#This Row],[Show Feedstock]:[Conditional]],NOT(LCI_Table[[#This Row],[Hide Row]]))</f>
        <v>0</v>
      </c>
      <c r="O692" s="14" t="b">
        <f>LCI_Table[[#This Row],[GREET1 Name Range]]=""</f>
        <v>0</v>
      </c>
      <c r="P692" s="14" t="s">
        <v>14</v>
      </c>
      <c r="Q692" s="14" t="s">
        <v>851</v>
      </c>
      <c r="R692" s="14" t="s">
        <v>109</v>
      </c>
      <c r="S692" s="37" cm="1">
        <f t="array" aca="1" ref="S6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92" s="346" t="s">
        <v>1484</v>
      </c>
      <c r="U692" s="347">
        <f ca="1">S692*Fuel_Specs!$B$35/S680</f>
        <v>0</v>
      </c>
      <c r="V692" s="347">
        <v>0</v>
      </c>
      <c r="W692" s="347">
        <v>0</v>
      </c>
      <c r="X692" s="14" t="s">
        <v>5</v>
      </c>
      <c r="Y692" s="346" t="s">
        <v>413</v>
      </c>
      <c r="Z692" s="14" t="str">
        <f>IF(ISBLANK(LCI_Table[[#This Row],[Notes for user]])," ",LCI_Table[[#This Row],[Notes for user]])</f>
        <v xml:space="preserve"> </v>
      </c>
      <c r="AA692" s="14"/>
      <c r="AB692" s="14"/>
      <c r="AC692" s="346">
        <f ca="1">LCI_Table[[#This Row],[Default Calculated Value]]-LCI_Table[[#This Row],[Calculated Value]]</f>
        <v>0</v>
      </c>
    </row>
    <row r="693" spans="1:29" x14ac:dyDescent="0.3">
      <c r="A6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STJGREETGREET(blank)_Willow_Farming_Forest_residueForest residue</v>
      </c>
      <c r="B693" s="14" t="s">
        <v>131</v>
      </c>
      <c r="C693" s="14" t="s">
        <v>140</v>
      </c>
      <c r="D693" s="14" t="s">
        <v>29</v>
      </c>
      <c r="E693" s="48" t="s">
        <v>29</v>
      </c>
      <c r="F693" s="14" t="s">
        <v>31</v>
      </c>
      <c r="G693" s="14" t="b">
        <f>OR(LCI_Table[[#This Row],[Feedstock]]="All",LCI_Table[[#This Row],[Feedstock]]=SelectedFeedstock)</f>
        <v>0</v>
      </c>
      <c r="H693" s="14" t="b">
        <f>OR(LCI_Table[[#This Row],[Conversion]]="All",LCI_Table[[#This Row],[Conversion]]=SelectedConversion)</f>
        <v>0</v>
      </c>
      <c r="I693" s="14" t="b">
        <f>OR(LCI_Table[[#This Row],[Data Set]]="all",LCI_Table[[#This Row],[Data Set]]=SelectedDataSet)</f>
        <v>1</v>
      </c>
      <c r="J693" s="14" t="b">
        <f>OR(LCI_Table[[#This Row],[Technology]]="All",LCI_Table[[#This Row],[Technology]]=SelectedTechnology)</f>
        <v>1</v>
      </c>
      <c r="K693" s="14" t="b">
        <f>OR(LCI_Table[[#This Row],[Data Source]]="All",LCI_Table[[#This Row],[Data Source]]=SelectedDataSource)</f>
        <v>1</v>
      </c>
      <c r="L693" s="14" t="b">
        <f>TRUE</f>
        <v>1</v>
      </c>
      <c r="M693" s="14" t="b">
        <f>(LCI_Table[[#This Row],[Dev Notes]]="Do not display")</f>
        <v>0</v>
      </c>
      <c r="N693" s="14" t="b">
        <f>AND(LCI_Table[[#This Row],[Show Feedstock]:[Conditional]],NOT(LCI_Table[[#This Row],[Hide Row]]))</f>
        <v>0</v>
      </c>
      <c r="O693" s="14" t="b">
        <f>LCI_Table[[#This Row],[GREET1 Name Range]]=""</f>
        <v>0</v>
      </c>
      <c r="P693" s="14" t="s">
        <v>14</v>
      </c>
      <c r="Q693" s="14" t="s">
        <v>846</v>
      </c>
      <c r="R693" s="14" t="s">
        <v>316</v>
      </c>
      <c r="S693" s="37" cm="1">
        <f t="array" aca="1" ref="S6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693" s="346" t="s">
        <v>1485</v>
      </c>
      <c r="U693" s="347">
        <f ca="1">S693*Fuel_Specs!$B$100*ton2lb/S680</f>
        <v>0</v>
      </c>
      <c r="V693" s="347">
        <v>0</v>
      </c>
      <c r="W693" s="347">
        <v>0</v>
      </c>
      <c r="X693" s="14" t="s">
        <v>12</v>
      </c>
      <c r="Y693" s="346" t="s">
        <v>413</v>
      </c>
      <c r="Z693" s="14" t="str">
        <f>IF(ISBLANK(LCI_Table[[#This Row],[Notes for user]])," ",LCI_Table[[#This Row],[Notes for user]])</f>
        <v xml:space="preserve"> </v>
      </c>
      <c r="AA693" s="14"/>
      <c r="AB693" s="14"/>
      <c r="AC693" s="346">
        <f ca="1">LCI_Table[[#This Row],[Default Calculated Value]]-LCI_Table[[#This Row],[Calculated Value]]</f>
        <v>0</v>
      </c>
    </row>
    <row r="694" spans="1:29" x14ac:dyDescent="0.3">
      <c r="A6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STJGREETGREET(blank)_Willow_Farming_ElectricityElectricity</v>
      </c>
      <c r="B694" s="14" t="s">
        <v>131</v>
      </c>
      <c r="C694" s="14" t="s">
        <v>140</v>
      </c>
      <c r="D694" s="14" t="s">
        <v>29</v>
      </c>
      <c r="E694" s="48" t="s">
        <v>29</v>
      </c>
      <c r="F694" s="14" t="s">
        <v>31</v>
      </c>
      <c r="G694" s="14" t="b">
        <f>OR(LCI_Table[[#This Row],[Feedstock]]="All",LCI_Table[[#This Row],[Feedstock]]=SelectedFeedstock)</f>
        <v>0</v>
      </c>
      <c r="H694" s="14" t="b">
        <f>OR(LCI_Table[[#This Row],[Conversion]]="All",LCI_Table[[#This Row],[Conversion]]=SelectedConversion)</f>
        <v>0</v>
      </c>
      <c r="I694" s="14" t="b">
        <f>OR(LCI_Table[[#This Row],[Data Set]]="all",LCI_Table[[#This Row],[Data Set]]=SelectedDataSet)</f>
        <v>1</v>
      </c>
      <c r="J694" s="14" t="b">
        <f>OR(LCI_Table[[#This Row],[Technology]]="All",LCI_Table[[#This Row],[Technology]]=SelectedTechnology)</f>
        <v>1</v>
      </c>
      <c r="K694" s="14" t="b">
        <f>OR(LCI_Table[[#This Row],[Data Source]]="All",LCI_Table[[#This Row],[Data Source]]=SelectedDataSource)</f>
        <v>1</v>
      </c>
      <c r="L694" s="14" t="b">
        <f>TRUE</f>
        <v>1</v>
      </c>
      <c r="M694" s="14" t="b">
        <f>(LCI_Table[[#This Row],[Dev Notes]]="Do not display")</f>
        <v>0</v>
      </c>
      <c r="N694" s="14" t="b">
        <f>AND(LCI_Table[[#This Row],[Show Feedstock]:[Conditional]],NOT(LCI_Table[[#This Row],[Hide Row]]))</f>
        <v>0</v>
      </c>
      <c r="O694" s="14" t="b">
        <f>LCI_Table[[#This Row],[GREET1 Name Range]]=""</f>
        <v>0</v>
      </c>
      <c r="P694" s="14" t="s">
        <v>14</v>
      </c>
      <c r="Q694" s="14" t="s">
        <v>845</v>
      </c>
      <c r="R694" s="14" t="s">
        <v>110</v>
      </c>
      <c r="S694" s="37" cm="1">
        <f t="array" aca="1" ref="S6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3.4361703143240527</v>
      </c>
      <c r="T694" s="346" t="s">
        <v>1561</v>
      </c>
      <c r="U694" s="347">
        <f ca="1">S694/BTU2kWh/S680</f>
        <v>415.76949706167198</v>
      </c>
      <c r="V694" s="347">
        <v>3.4361703143240527</v>
      </c>
      <c r="W694" s="347">
        <v>415.76949706167198</v>
      </c>
      <c r="X694" s="14" t="s">
        <v>51</v>
      </c>
      <c r="Y694" s="346" t="s">
        <v>413</v>
      </c>
      <c r="Z694" s="14" t="str">
        <f>IF(ISBLANK(LCI_Table[[#This Row],[Notes for user]])," ",LCI_Table[[#This Row],[Notes for user]])</f>
        <v xml:space="preserve"> </v>
      </c>
      <c r="AA694" s="14"/>
      <c r="AB694" s="14"/>
      <c r="AC694" s="346">
        <f ca="1">LCI_Table[[#This Row],[Default Calculated Value]]-LCI_Table[[#This Row],[Calculated Value]]</f>
        <v>0</v>
      </c>
    </row>
    <row r="695" spans="1:29" x14ac:dyDescent="0.3">
      <c r="A6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STJGREETGREET(blank)_Cellulosic_Catalytic_STJ_Corn_stoverWillow</v>
      </c>
      <c r="B695" s="14" t="s">
        <v>131</v>
      </c>
      <c r="C695" s="14" t="s">
        <v>140</v>
      </c>
      <c r="D695" s="14" t="s">
        <v>29</v>
      </c>
      <c r="E695" s="48" t="s">
        <v>29</v>
      </c>
      <c r="F695" s="14" t="s">
        <v>31</v>
      </c>
      <c r="G695" s="14" t="b">
        <f>OR(LCI_Table[[#This Row],[Feedstock]]="All",LCI_Table[[#This Row],[Feedstock]]=SelectedFeedstock)</f>
        <v>0</v>
      </c>
      <c r="H695" s="14" t="b">
        <f>OR(LCI_Table[[#This Row],[Conversion]]="All",LCI_Table[[#This Row],[Conversion]]=SelectedConversion)</f>
        <v>0</v>
      </c>
      <c r="I695" s="14" t="b">
        <f>OR(LCI_Table[[#This Row],[Data Set]]="all",LCI_Table[[#This Row],[Data Set]]=SelectedDataSet)</f>
        <v>1</v>
      </c>
      <c r="J695" s="14" t="b">
        <f>OR(LCI_Table[[#This Row],[Technology]]="All",LCI_Table[[#This Row],[Technology]]=SelectedTechnology)</f>
        <v>1</v>
      </c>
      <c r="K695" s="14" t="b">
        <f>OR(LCI_Table[[#This Row],[Data Source]]="All",LCI_Table[[#This Row],[Data Source]]=SelectedDataSource)</f>
        <v>1</v>
      </c>
      <c r="L695" s="14" t="b">
        <f>TRUE</f>
        <v>1</v>
      </c>
      <c r="M695" s="14" t="b">
        <f>(LCI_Table[[#This Row],[Dev Notes]]="Do not display")</f>
        <v>0</v>
      </c>
      <c r="N695" s="14" t="b">
        <f>AND(LCI_Table[[#This Row],[Show Feedstock]:[Conditional]],NOT(LCI_Table[[#This Row],[Hide Row]]))</f>
        <v>0</v>
      </c>
      <c r="O695" s="14" t="b">
        <f>LCI_Table[[#This Row],[GREET1 Name Range]]=""</f>
        <v>0</v>
      </c>
      <c r="P695" s="14" t="s">
        <v>1448</v>
      </c>
      <c r="Q695" s="14" t="s">
        <v>548</v>
      </c>
      <c r="R695" s="14" t="s">
        <v>131</v>
      </c>
      <c r="S695" s="37" cm="1">
        <f t="array" aca="1" ref="S6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277.13020195600819</v>
      </c>
      <c r="T695" s="346" t="s">
        <v>2119</v>
      </c>
      <c r="U695" s="347">
        <f ca="1">S695/kg2lb/Allocations!$O$69*MJ2mmBTU</f>
        <v>0.11914454111960437</v>
      </c>
      <c r="V695" s="347">
        <v>277.13020195600819</v>
      </c>
      <c r="W695" s="347">
        <v>0.11914454111960437</v>
      </c>
      <c r="X695" s="37" t="s">
        <v>12</v>
      </c>
      <c r="Y695" s="346" t="s">
        <v>416</v>
      </c>
      <c r="Z695" s="14" t="str">
        <f>IF(ISBLANK(LCI_Table[[#This Row],[Notes for user]])," ",LCI_Table[[#This Row],[Notes for user]])</f>
        <v xml:space="preserve"> </v>
      </c>
      <c r="AA695" s="14"/>
      <c r="AB695" s="14"/>
      <c r="AC695" s="346">
        <f ca="1">LCI_Table[[#This Row],[Default Calculated Value]]-LCI_Table[[#This Row],[Calculated Value]]</f>
        <v>0</v>
      </c>
    </row>
    <row r="696" spans="1:29" x14ac:dyDescent="0.3">
      <c r="A6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STJGREETGREET(blank)_Cellulosic_Catalytic_STJ_HydrogenHydrogen</v>
      </c>
      <c r="B696" s="14" t="s">
        <v>131</v>
      </c>
      <c r="C696" s="14" t="s">
        <v>140</v>
      </c>
      <c r="D696" s="14" t="s">
        <v>29</v>
      </c>
      <c r="E696" s="48" t="s">
        <v>29</v>
      </c>
      <c r="F696" s="14" t="s">
        <v>31</v>
      </c>
      <c r="G696" s="14" t="b">
        <f>OR(LCI_Table[[#This Row],[Feedstock]]="All",LCI_Table[[#This Row],[Feedstock]]=SelectedFeedstock)</f>
        <v>0</v>
      </c>
      <c r="H696" s="14" t="b">
        <f>OR(LCI_Table[[#This Row],[Conversion]]="All",LCI_Table[[#This Row],[Conversion]]=SelectedConversion)</f>
        <v>0</v>
      </c>
      <c r="I696" s="14" t="b">
        <f>OR(LCI_Table[[#This Row],[Data Set]]="all",LCI_Table[[#This Row],[Data Set]]=SelectedDataSet)</f>
        <v>1</v>
      </c>
      <c r="J696" s="14" t="b">
        <f>OR(LCI_Table[[#This Row],[Technology]]="All",LCI_Table[[#This Row],[Technology]]=SelectedTechnology)</f>
        <v>1</v>
      </c>
      <c r="K696" s="14" t="b">
        <f>OR(LCI_Table[[#This Row],[Data Source]]="All",LCI_Table[[#This Row],[Data Source]]=SelectedDataSource)</f>
        <v>1</v>
      </c>
      <c r="L696" s="14" t="b">
        <f>TRUE</f>
        <v>1</v>
      </c>
      <c r="M696" s="14" t="b">
        <f>(LCI_Table[[#This Row],[Dev Notes]]="Do not display")</f>
        <v>0</v>
      </c>
      <c r="N696" s="14" t="b">
        <f>AND(LCI_Table[[#This Row],[Show Feedstock]:[Conditional]],NOT(LCI_Table[[#This Row],[Hide Row]]))</f>
        <v>0</v>
      </c>
      <c r="O696" s="14" t="b">
        <f>LCI_Table[[#This Row],[GREET1 Name Range]]=""</f>
        <v>0</v>
      </c>
      <c r="P696" s="14" t="s">
        <v>1448</v>
      </c>
      <c r="Q696" s="14" t="s">
        <v>553</v>
      </c>
      <c r="R696" s="14" t="s">
        <v>73</v>
      </c>
      <c r="S696" s="37" cm="1">
        <f t="array" aca="1" ref="S6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1820.5451247095659</v>
      </c>
      <c r="T696" s="346" t="s">
        <v>2120</v>
      </c>
      <c r="U696" s="347">
        <f ca="1">S696/kg2g*Fuel_Specs!$E$81/Allocations!$O$69*MJ2mmBTU</f>
        <v>4.4001367965585828E-3</v>
      </c>
      <c r="V696" s="347">
        <v>1820.5451247095659</v>
      </c>
      <c r="W696" s="347">
        <v>4.4001367965585828E-3</v>
      </c>
      <c r="X696" s="37" t="s">
        <v>351</v>
      </c>
      <c r="Y696" s="346" t="s">
        <v>416</v>
      </c>
      <c r="Z696" s="14" t="str">
        <f>IF(ISBLANK(LCI_Table[[#This Row],[Notes for user]])," ",LCI_Table[[#This Row],[Notes for user]])</f>
        <v xml:space="preserve"> </v>
      </c>
      <c r="AA696" s="14"/>
      <c r="AB696" s="14"/>
      <c r="AC696" s="346">
        <f ca="1">LCI_Table[[#This Row],[Default Calculated Value]]-LCI_Table[[#This Row],[Calculated Value]]</f>
        <v>0</v>
      </c>
    </row>
    <row r="697" spans="1:29" x14ac:dyDescent="0.3">
      <c r="A6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STJGREETGREET(blank)_Cellulosic_Catalytic_STJ_AmmoniaAmmonia</v>
      </c>
      <c r="B697" s="14" t="s">
        <v>131</v>
      </c>
      <c r="C697" s="14" t="s">
        <v>140</v>
      </c>
      <c r="D697" s="14" t="s">
        <v>29</v>
      </c>
      <c r="E697" s="48" t="s">
        <v>29</v>
      </c>
      <c r="F697" s="14" t="s">
        <v>31</v>
      </c>
      <c r="G697" s="14" t="b">
        <f>OR(LCI_Table[[#This Row],[Feedstock]]="All",LCI_Table[[#This Row],[Feedstock]]=SelectedFeedstock)</f>
        <v>0</v>
      </c>
      <c r="H697" s="14" t="b">
        <f>OR(LCI_Table[[#This Row],[Conversion]]="All",LCI_Table[[#This Row],[Conversion]]=SelectedConversion)</f>
        <v>0</v>
      </c>
      <c r="I697" s="14" t="b">
        <f>OR(LCI_Table[[#This Row],[Data Set]]="all",LCI_Table[[#This Row],[Data Set]]=SelectedDataSet)</f>
        <v>1</v>
      </c>
      <c r="J697" s="14" t="b">
        <f>OR(LCI_Table[[#This Row],[Technology]]="All",LCI_Table[[#This Row],[Technology]]=SelectedTechnology)</f>
        <v>1</v>
      </c>
      <c r="K697" s="14" t="b">
        <f>OR(LCI_Table[[#This Row],[Data Source]]="All",LCI_Table[[#This Row],[Data Source]]=SelectedDataSource)</f>
        <v>1</v>
      </c>
      <c r="L697" s="14" t="b">
        <f>TRUE</f>
        <v>1</v>
      </c>
      <c r="M697" s="14" t="b">
        <f>(LCI_Table[[#This Row],[Dev Notes]]="Do not display")</f>
        <v>0</v>
      </c>
      <c r="N697" s="14" t="b">
        <f>AND(LCI_Table[[#This Row],[Show Feedstock]:[Conditional]],NOT(LCI_Table[[#This Row],[Hide Row]]))</f>
        <v>0</v>
      </c>
      <c r="O697" s="14" t="b">
        <f>LCI_Table[[#This Row],[GREET1 Name Range]]=""</f>
        <v>0</v>
      </c>
      <c r="P697" s="14" t="s">
        <v>1448</v>
      </c>
      <c r="Q697" s="14" t="s">
        <v>544</v>
      </c>
      <c r="R697" s="14" t="s">
        <v>382</v>
      </c>
      <c r="S697" s="37" cm="1">
        <f t="array" aca="1" ref="S6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575.62257926708617</v>
      </c>
      <c r="T697" s="346" t="s">
        <v>2127</v>
      </c>
      <c r="U697" s="347">
        <f ca="1">S697/kg2g/Allocations!$O$69*MJ2mmBTU</f>
        <v>5.4558493682309436E-4</v>
      </c>
      <c r="V697" s="347">
        <v>575.62257926708617</v>
      </c>
      <c r="W697" s="347">
        <v>5.4558493682309436E-4</v>
      </c>
      <c r="X697" s="37" t="s">
        <v>6</v>
      </c>
      <c r="Y697" s="346" t="s">
        <v>416</v>
      </c>
      <c r="Z697" s="14" t="str">
        <f>IF(ISBLANK(LCI_Table[[#This Row],[Notes for user]])," ",LCI_Table[[#This Row],[Notes for user]])</f>
        <v xml:space="preserve"> </v>
      </c>
      <c r="AA697" s="14"/>
      <c r="AB697" s="14"/>
      <c r="AC697" s="346">
        <f ca="1">LCI_Table[[#This Row],[Default Calculated Value]]-LCI_Table[[#This Row],[Calculated Value]]</f>
        <v>0</v>
      </c>
    </row>
    <row r="698" spans="1:29" x14ac:dyDescent="0.3">
      <c r="A6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STJGREETGREET(blank)_Cellulosic_Catalytic_STJ_CatalystsCatalysts</v>
      </c>
      <c r="B698" s="14" t="s">
        <v>131</v>
      </c>
      <c r="C698" s="14" t="s">
        <v>140</v>
      </c>
      <c r="D698" s="14" t="s">
        <v>29</v>
      </c>
      <c r="E698" s="48" t="s">
        <v>29</v>
      </c>
      <c r="F698" s="14" t="s">
        <v>31</v>
      </c>
      <c r="G698" s="14" t="b">
        <f>OR(LCI_Table[[#This Row],[Feedstock]]="All",LCI_Table[[#This Row],[Feedstock]]=SelectedFeedstock)</f>
        <v>0</v>
      </c>
      <c r="H698" s="14" t="b">
        <f>OR(LCI_Table[[#This Row],[Conversion]]="All",LCI_Table[[#This Row],[Conversion]]=SelectedConversion)</f>
        <v>0</v>
      </c>
      <c r="I698" s="14" t="b">
        <f>OR(LCI_Table[[#This Row],[Data Set]]="all",LCI_Table[[#This Row],[Data Set]]=SelectedDataSet)</f>
        <v>1</v>
      </c>
      <c r="J698" s="14" t="b">
        <f>OR(LCI_Table[[#This Row],[Technology]]="All",LCI_Table[[#This Row],[Technology]]=SelectedTechnology)</f>
        <v>1</v>
      </c>
      <c r="K698" s="14" t="b">
        <f>OR(LCI_Table[[#This Row],[Data Source]]="All",LCI_Table[[#This Row],[Data Source]]=SelectedDataSource)</f>
        <v>1</v>
      </c>
      <c r="L698" s="14" t="b">
        <f>TRUE</f>
        <v>1</v>
      </c>
      <c r="M698" s="14" t="b">
        <f>(LCI_Table[[#This Row],[Dev Notes]]="Do not display")</f>
        <v>0</v>
      </c>
      <c r="N698" s="14" t="b">
        <f>AND(LCI_Table[[#This Row],[Show Feedstock]:[Conditional]],NOT(LCI_Table[[#This Row],[Hide Row]]))</f>
        <v>0</v>
      </c>
      <c r="O698" s="14" t="b">
        <f>LCI_Table[[#This Row],[GREET1 Name Range]]=""</f>
        <v>0</v>
      </c>
      <c r="P698" s="14" t="s">
        <v>1448</v>
      </c>
      <c r="Q698" s="14" t="s">
        <v>545</v>
      </c>
      <c r="R698" s="14" t="s">
        <v>142</v>
      </c>
      <c r="S698" s="37" cm="1">
        <f t="array" aca="1" ref="S6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13.27431524515293</v>
      </c>
      <c r="T698" s="346" t="s">
        <v>2127</v>
      </c>
      <c r="U698" s="347">
        <f ca="1">S698/kg2g/Allocations!$O$69*MJ2mmBTU</f>
        <v>1.2581623281035719E-5</v>
      </c>
      <c r="V698" s="347">
        <v>13.27431524515293</v>
      </c>
      <c r="W698" s="347">
        <v>1.2581623281035719E-5</v>
      </c>
      <c r="X698" s="37" t="s">
        <v>6</v>
      </c>
      <c r="Y698" s="346" t="s">
        <v>416</v>
      </c>
      <c r="Z698" s="14" t="str">
        <f>IF(ISBLANK(LCI_Table[[#This Row],[Notes for user]])," ",LCI_Table[[#This Row],[Notes for user]])</f>
        <v xml:space="preserve"> </v>
      </c>
      <c r="AA698" s="14"/>
      <c r="AB698" s="14"/>
      <c r="AC698" s="346">
        <f ca="1">LCI_Table[[#This Row],[Default Calculated Value]]-LCI_Table[[#This Row],[Calculated Value]]</f>
        <v>0</v>
      </c>
    </row>
    <row r="699" spans="1:29" x14ac:dyDescent="0.3">
      <c r="A6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STJGREETGREET(blank)_Cellulosic_Catalytic_STJ_Corn_oilDistillers Corn Oil</v>
      </c>
      <c r="B699" s="14" t="s">
        <v>131</v>
      </c>
      <c r="C699" s="14" t="s">
        <v>140</v>
      </c>
      <c r="D699" s="14" t="s">
        <v>29</v>
      </c>
      <c r="E699" s="48" t="s">
        <v>29</v>
      </c>
      <c r="F699" s="14" t="s">
        <v>31</v>
      </c>
      <c r="G699" s="14" t="b">
        <f>OR(LCI_Table[[#This Row],[Feedstock]]="All",LCI_Table[[#This Row],[Feedstock]]=SelectedFeedstock)</f>
        <v>0</v>
      </c>
      <c r="H699" s="14" t="b">
        <f>OR(LCI_Table[[#This Row],[Conversion]]="All",LCI_Table[[#This Row],[Conversion]]=SelectedConversion)</f>
        <v>0</v>
      </c>
      <c r="I699" s="14" t="b">
        <f>OR(LCI_Table[[#This Row],[Data Set]]="all",LCI_Table[[#This Row],[Data Set]]=SelectedDataSet)</f>
        <v>1</v>
      </c>
      <c r="J699" s="14" t="b">
        <f>OR(LCI_Table[[#This Row],[Technology]]="All",LCI_Table[[#This Row],[Technology]]=SelectedTechnology)</f>
        <v>1</v>
      </c>
      <c r="K699" s="14" t="b">
        <f>OR(LCI_Table[[#This Row],[Data Source]]="All",LCI_Table[[#This Row],[Data Source]]=SelectedDataSource)</f>
        <v>1</v>
      </c>
      <c r="L699" s="14" t="b">
        <f>TRUE</f>
        <v>1</v>
      </c>
      <c r="M699" s="14" t="b">
        <f>(LCI_Table[[#This Row],[Dev Notes]]="Do not display")</f>
        <v>0</v>
      </c>
      <c r="N699" s="14" t="b">
        <f>AND(LCI_Table[[#This Row],[Show Feedstock]:[Conditional]],NOT(LCI_Table[[#This Row],[Hide Row]]))</f>
        <v>0</v>
      </c>
      <c r="O699" s="14" t="b">
        <f>LCI_Table[[#This Row],[GREET1 Name Range]]=""</f>
        <v>0</v>
      </c>
      <c r="P699" s="14" t="s">
        <v>1448</v>
      </c>
      <c r="Q699" s="14" t="s">
        <v>546</v>
      </c>
      <c r="R699" s="14" t="s">
        <v>1911</v>
      </c>
      <c r="S699" s="37" cm="1">
        <f t="array" aca="1" ref="S6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8.4472915196427731</v>
      </c>
      <c r="T699" s="346" t="s">
        <v>2127</v>
      </c>
      <c r="U699" s="347">
        <f ca="1">S699/kg2g/Allocations!$O$69*MJ2mmBTU</f>
        <v>8.0064875424772737E-6</v>
      </c>
      <c r="V699" s="347">
        <v>8.4472915196427731</v>
      </c>
      <c r="W699" s="347">
        <v>8.0064875424772737E-6</v>
      </c>
      <c r="X699" s="37" t="s">
        <v>6</v>
      </c>
      <c r="Y699" s="346" t="s">
        <v>416</v>
      </c>
      <c r="Z699" s="14" t="str">
        <f>IF(ISBLANK(LCI_Table[[#This Row],[Notes for user]])," ",LCI_Table[[#This Row],[Notes for user]])</f>
        <v xml:space="preserve"> </v>
      </c>
      <c r="AA699" s="14"/>
      <c r="AB699" s="14"/>
      <c r="AC699" s="346">
        <f ca="1">LCI_Table[[#This Row],[Default Calculated Value]]-LCI_Table[[#This Row],[Calculated Value]]</f>
        <v>0</v>
      </c>
    </row>
    <row r="700" spans="1:29" x14ac:dyDescent="0.3">
      <c r="A7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STJGREETGREET(blank)_Cellulosic_Catalytic_STJ_Corn_steep_liquorCorn steep liquor</v>
      </c>
      <c r="B700" s="14" t="s">
        <v>131</v>
      </c>
      <c r="C700" s="14" t="s">
        <v>140</v>
      </c>
      <c r="D700" s="14" t="s">
        <v>29</v>
      </c>
      <c r="E700" s="48" t="s">
        <v>29</v>
      </c>
      <c r="F700" s="14" t="s">
        <v>31</v>
      </c>
      <c r="G700" s="14" t="b">
        <f>OR(LCI_Table[[#This Row],[Feedstock]]="All",LCI_Table[[#This Row],[Feedstock]]=SelectedFeedstock)</f>
        <v>0</v>
      </c>
      <c r="H700" s="14" t="b">
        <f>OR(LCI_Table[[#This Row],[Conversion]]="All",LCI_Table[[#This Row],[Conversion]]=SelectedConversion)</f>
        <v>0</v>
      </c>
      <c r="I700" s="14" t="b">
        <f>OR(LCI_Table[[#This Row],[Data Set]]="all",LCI_Table[[#This Row],[Data Set]]=SelectedDataSet)</f>
        <v>1</v>
      </c>
      <c r="J700" s="14" t="b">
        <f>OR(LCI_Table[[#This Row],[Technology]]="All",LCI_Table[[#This Row],[Technology]]=SelectedTechnology)</f>
        <v>1</v>
      </c>
      <c r="K700" s="14" t="b">
        <f>OR(LCI_Table[[#This Row],[Data Source]]="All",LCI_Table[[#This Row],[Data Source]]=SelectedDataSource)</f>
        <v>1</v>
      </c>
      <c r="L700" s="14" t="b">
        <f>TRUE</f>
        <v>1</v>
      </c>
      <c r="M700" s="14" t="b">
        <f>(LCI_Table[[#This Row],[Dev Notes]]="Do not display")</f>
        <v>0</v>
      </c>
      <c r="N700" s="14" t="b">
        <f>AND(LCI_Table[[#This Row],[Show Feedstock]:[Conditional]],NOT(LCI_Table[[#This Row],[Hide Row]]))</f>
        <v>0</v>
      </c>
      <c r="O700" s="14" t="b">
        <f>LCI_Table[[#This Row],[GREET1 Name Range]]=""</f>
        <v>0</v>
      </c>
      <c r="P700" s="14" t="s">
        <v>1448</v>
      </c>
      <c r="Q700" s="14" t="s">
        <v>547</v>
      </c>
      <c r="R700" s="14" t="s">
        <v>386</v>
      </c>
      <c r="S700" s="37" cm="1">
        <f t="array" aca="1" ref="S7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100.16074230433574</v>
      </c>
      <c r="T700" s="346" t="s">
        <v>2127</v>
      </c>
      <c r="U700" s="347">
        <f ca="1">S700/kg2g/Allocations!$O$69*MJ2mmBTU</f>
        <v>9.4934066575087697E-5</v>
      </c>
      <c r="V700" s="347">
        <v>100.16074230433574</v>
      </c>
      <c r="W700" s="347">
        <v>9.4934066575087697E-5</v>
      </c>
      <c r="X700" s="37" t="s">
        <v>6</v>
      </c>
      <c r="Y700" s="346" t="s">
        <v>416</v>
      </c>
      <c r="Z700" s="14" t="str">
        <f>IF(ISBLANK(LCI_Table[[#This Row],[Notes for user]])," ",LCI_Table[[#This Row],[Notes for user]])</f>
        <v xml:space="preserve"> </v>
      </c>
      <c r="AA700" s="14"/>
      <c r="AB700" s="14"/>
      <c r="AC700" s="346">
        <f ca="1">LCI_Table[[#This Row],[Default Calculated Value]]-LCI_Table[[#This Row],[Calculated Value]]</f>
        <v>0</v>
      </c>
    </row>
    <row r="701" spans="1:29" x14ac:dyDescent="0.3">
      <c r="A7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STJGREETGREET(blank)_Cellulosic_Catalytic_STJ_GlucoseGlucose</v>
      </c>
      <c r="B701" s="14" t="s">
        <v>131</v>
      </c>
      <c r="C701" s="14" t="s">
        <v>140</v>
      </c>
      <c r="D701" s="14" t="s">
        <v>29</v>
      </c>
      <c r="E701" s="48" t="s">
        <v>29</v>
      </c>
      <c r="F701" s="14" t="s">
        <v>31</v>
      </c>
      <c r="G701" s="14" t="b">
        <f>OR(LCI_Table[[#This Row],[Feedstock]]="All",LCI_Table[[#This Row],[Feedstock]]=SelectedFeedstock)</f>
        <v>0</v>
      </c>
      <c r="H701" s="14" t="b">
        <f>OR(LCI_Table[[#This Row],[Conversion]]="All",LCI_Table[[#This Row],[Conversion]]=SelectedConversion)</f>
        <v>0</v>
      </c>
      <c r="I701" s="14" t="b">
        <f>OR(LCI_Table[[#This Row],[Data Set]]="all",LCI_Table[[#This Row],[Data Set]]=SelectedDataSet)</f>
        <v>1</v>
      </c>
      <c r="J701" s="14" t="b">
        <f>OR(LCI_Table[[#This Row],[Technology]]="All",LCI_Table[[#This Row],[Technology]]=SelectedTechnology)</f>
        <v>1</v>
      </c>
      <c r="K701" s="14" t="b">
        <f>OR(LCI_Table[[#This Row],[Data Source]]="All",LCI_Table[[#This Row],[Data Source]]=SelectedDataSource)</f>
        <v>1</v>
      </c>
      <c r="L701" s="14" t="b">
        <f>TRUE</f>
        <v>1</v>
      </c>
      <c r="M701" s="14" t="b">
        <f>(LCI_Table[[#This Row],[Dev Notes]]="Do not display")</f>
        <v>0</v>
      </c>
      <c r="N701" s="14" t="b">
        <f>AND(LCI_Table[[#This Row],[Show Feedstock]:[Conditional]],NOT(LCI_Table[[#This Row],[Hide Row]]))</f>
        <v>0</v>
      </c>
      <c r="O701" s="14" t="b">
        <f>LCI_Table[[#This Row],[GREET1 Name Range]]=""</f>
        <v>0</v>
      </c>
      <c r="P701" s="14" t="s">
        <v>1448</v>
      </c>
      <c r="Q701" s="14" t="s">
        <v>550</v>
      </c>
      <c r="R701" s="14" t="s">
        <v>387</v>
      </c>
      <c r="S701" s="37" cm="1">
        <f t="array" aca="1" ref="S7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1463.7949447609549</v>
      </c>
      <c r="T701" s="346" t="s">
        <v>2127</v>
      </c>
      <c r="U701" s="347">
        <f ca="1">S701/kg2g/Allocations!$O$69*MJ2mmBTU</f>
        <v>1.3874099127178477E-3</v>
      </c>
      <c r="V701" s="347">
        <v>1463.7949447609549</v>
      </c>
      <c r="W701" s="347">
        <v>1.3874099127178477E-3</v>
      </c>
      <c r="X701" s="37" t="s">
        <v>6</v>
      </c>
      <c r="Y701" s="346" t="s">
        <v>416</v>
      </c>
      <c r="Z701" s="14" t="str">
        <f>IF(ISBLANK(LCI_Table[[#This Row],[Notes for user]])," ",LCI_Table[[#This Row],[Notes for user]])</f>
        <v xml:space="preserve"> </v>
      </c>
      <c r="AA701" s="14"/>
      <c r="AB701" s="14"/>
      <c r="AC701" s="346">
        <f ca="1">LCI_Table[[#This Row],[Default Calculated Value]]-LCI_Table[[#This Row],[Calculated Value]]</f>
        <v>0</v>
      </c>
    </row>
    <row r="702" spans="1:29" x14ac:dyDescent="0.3">
      <c r="A7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STJGREETGREET(blank)_Cellulosic_Catalytic_STJ_HClHCl</v>
      </c>
      <c r="B702" s="14" t="s">
        <v>131</v>
      </c>
      <c r="C702" s="14" t="s">
        <v>140</v>
      </c>
      <c r="D702" s="14" t="s">
        <v>29</v>
      </c>
      <c r="E702" s="48" t="s">
        <v>29</v>
      </c>
      <c r="F702" s="14" t="s">
        <v>31</v>
      </c>
      <c r="G702" s="14" t="b">
        <f>OR(LCI_Table[[#This Row],[Feedstock]]="All",LCI_Table[[#This Row],[Feedstock]]=SelectedFeedstock)</f>
        <v>0</v>
      </c>
      <c r="H702" s="14" t="b">
        <f>OR(LCI_Table[[#This Row],[Conversion]]="All",LCI_Table[[#This Row],[Conversion]]=SelectedConversion)</f>
        <v>0</v>
      </c>
      <c r="I702" s="14" t="b">
        <f>OR(LCI_Table[[#This Row],[Data Set]]="all",LCI_Table[[#This Row],[Data Set]]=SelectedDataSet)</f>
        <v>1</v>
      </c>
      <c r="J702" s="14" t="b">
        <f>OR(LCI_Table[[#This Row],[Technology]]="All",LCI_Table[[#This Row],[Technology]]=SelectedTechnology)</f>
        <v>1</v>
      </c>
      <c r="K702" s="14" t="b">
        <f>OR(LCI_Table[[#This Row],[Data Source]]="All",LCI_Table[[#This Row],[Data Source]]=SelectedDataSource)</f>
        <v>1</v>
      </c>
      <c r="L702" s="14" t="b">
        <f>TRUE</f>
        <v>1</v>
      </c>
      <c r="M702" s="14" t="b">
        <f>(LCI_Table[[#This Row],[Dev Notes]]="Do not display")</f>
        <v>0</v>
      </c>
      <c r="N702" s="14" t="b">
        <f>AND(LCI_Table[[#This Row],[Show Feedstock]:[Conditional]],NOT(LCI_Table[[#This Row],[Hide Row]]))</f>
        <v>0</v>
      </c>
      <c r="O702" s="14" t="b">
        <f>LCI_Table[[#This Row],[GREET1 Name Range]]=""</f>
        <v>0</v>
      </c>
      <c r="P702" s="14" t="s">
        <v>1448</v>
      </c>
      <c r="Q702" s="14" t="s">
        <v>551</v>
      </c>
      <c r="R702" s="14" t="s">
        <v>399</v>
      </c>
      <c r="S702" s="37" cm="1">
        <f t="array" aca="1" ref="S7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1353.9801550055988</v>
      </c>
      <c r="T702" s="346" t="s">
        <v>2127</v>
      </c>
      <c r="U702" s="347">
        <f ca="1">S702/kg2g/Allocations!$O$69*MJ2mmBTU</f>
        <v>1.2833255746656433E-3</v>
      </c>
      <c r="V702" s="347">
        <v>1353.9801550055988</v>
      </c>
      <c r="W702" s="347">
        <v>1.2833255746656433E-3</v>
      </c>
      <c r="X702" s="37" t="s">
        <v>6</v>
      </c>
      <c r="Y702" s="346" t="s">
        <v>416</v>
      </c>
      <c r="Z702" s="14" t="str">
        <f>IF(ISBLANK(LCI_Table[[#This Row],[Notes for user]])," ",LCI_Table[[#This Row],[Notes for user]])</f>
        <v xml:space="preserve"> </v>
      </c>
      <c r="AA702" s="14"/>
      <c r="AB702" s="14"/>
      <c r="AC702" s="346">
        <f ca="1">LCI_Table[[#This Row],[Default Calculated Value]]-LCI_Table[[#This Row],[Calculated Value]]</f>
        <v>0</v>
      </c>
    </row>
    <row r="703" spans="1:29" x14ac:dyDescent="0.3">
      <c r="A7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STJGREETGREET(blank)_Cellulosic_Catalytic_STJ_Host_nutrientsHost nutrients</v>
      </c>
      <c r="B703" s="14" t="s">
        <v>131</v>
      </c>
      <c r="C703" s="14" t="s">
        <v>140</v>
      </c>
      <c r="D703" s="14" t="s">
        <v>29</v>
      </c>
      <c r="E703" s="48" t="s">
        <v>29</v>
      </c>
      <c r="F703" s="14" t="s">
        <v>31</v>
      </c>
      <c r="G703" s="14" t="b">
        <f>OR(LCI_Table[[#This Row],[Feedstock]]="All",LCI_Table[[#This Row],[Feedstock]]=SelectedFeedstock)</f>
        <v>0</v>
      </c>
      <c r="H703" s="14" t="b">
        <f>OR(LCI_Table[[#This Row],[Conversion]]="All",LCI_Table[[#This Row],[Conversion]]=SelectedConversion)</f>
        <v>0</v>
      </c>
      <c r="I703" s="14" t="b">
        <f>OR(LCI_Table[[#This Row],[Data Set]]="all",LCI_Table[[#This Row],[Data Set]]=SelectedDataSet)</f>
        <v>1</v>
      </c>
      <c r="J703" s="14" t="b">
        <f>OR(LCI_Table[[#This Row],[Technology]]="All",LCI_Table[[#This Row],[Technology]]=SelectedTechnology)</f>
        <v>1</v>
      </c>
      <c r="K703" s="14" t="b">
        <f>OR(LCI_Table[[#This Row],[Data Source]]="All",LCI_Table[[#This Row],[Data Source]]=SelectedDataSource)</f>
        <v>1</v>
      </c>
      <c r="L703" s="14" t="b">
        <f>TRUE</f>
        <v>1</v>
      </c>
      <c r="M703" s="14" t="b">
        <f>(LCI_Table[[#This Row],[Dev Notes]]="Do not display")</f>
        <v>0</v>
      </c>
      <c r="N703" s="14" t="b">
        <f>AND(LCI_Table[[#This Row],[Show Feedstock]:[Conditional]],NOT(LCI_Table[[#This Row],[Hide Row]]))</f>
        <v>0</v>
      </c>
      <c r="O703" s="14" t="b">
        <f>LCI_Table[[#This Row],[GREET1 Name Range]]=""</f>
        <v>0</v>
      </c>
      <c r="P703" s="14" t="s">
        <v>1448</v>
      </c>
      <c r="Q703" s="14" t="s">
        <v>552</v>
      </c>
      <c r="R703" s="14" t="s">
        <v>388</v>
      </c>
      <c r="S703" s="37" cm="1">
        <f t="array" aca="1" ref="S7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41.029701666836324</v>
      </c>
      <c r="T703" s="346" t="s">
        <v>2127</v>
      </c>
      <c r="U703" s="347">
        <f ca="1">S703/kg2g/Allocations!$O$69*MJ2mmBTU</f>
        <v>3.8888653777746761E-5</v>
      </c>
      <c r="V703" s="347">
        <v>41.029701666836324</v>
      </c>
      <c r="W703" s="347">
        <v>3.8888653777746761E-5</v>
      </c>
      <c r="X703" s="37" t="s">
        <v>6</v>
      </c>
      <c r="Y703" s="346" t="s">
        <v>416</v>
      </c>
      <c r="Z703" s="14" t="str">
        <f>IF(ISBLANK(LCI_Table[[#This Row],[Notes for user]])," ",LCI_Table[[#This Row],[Notes for user]])</f>
        <v xml:space="preserve"> </v>
      </c>
      <c r="AA703" s="14"/>
      <c r="AB703" s="14"/>
      <c r="AC703" s="346">
        <f ca="1">LCI_Table[[#This Row],[Default Calculated Value]]-LCI_Table[[#This Row],[Calculated Value]]</f>
        <v>0</v>
      </c>
    </row>
    <row r="704" spans="1:29" x14ac:dyDescent="0.3">
      <c r="A7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STJGREETGREET(blank)_Cellulosic_Catalytic_STJ_LimeLime</v>
      </c>
      <c r="B704" s="14" t="s">
        <v>131</v>
      </c>
      <c r="C704" s="14" t="s">
        <v>140</v>
      </c>
      <c r="D704" s="14" t="s">
        <v>29</v>
      </c>
      <c r="E704" s="48" t="s">
        <v>29</v>
      </c>
      <c r="F704" s="14" t="s">
        <v>31</v>
      </c>
      <c r="G704" s="14" t="b">
        <f>OR(LCI_Table[[#This Row],[Feedstock]]="All",LCI_Table[[#This Row],[Feedstock]]=SelectedFeedstock)</f>
        <v>0</v>
      </c>
      <c r="H704" s="14" t="b">
        <f>OR(LCI_Table[[#This Row],[Conversion]]="All",LCI_Table[[#This Row],[Conversion]]=SelectedConversion)</f>
        <v>0</v>
      </c>
      <c r="I704" s="14" t="b">
        <f>OR(LCI_Table[[#This Row],[Data Set]]="all",LCI_Table[[#This Row],[Data Set]]=SelectedDataSet)</f>
        <v>1</v>
      </c>
      <c r="J704" s="14" t="b">
        <f>OR(LCI_Table[[#This Row],[Technology]]="All",LCI_Table[[#This Row],[Technology]]=SelectedTechnology)</f>
        <v>1</v>
      </c>
      <c r="K704" s="14" t="b">
        <f>OR(LCI_Table[[#This Row],[Data Source]]="All",LCI_Table[[#This Row],[Data Source]]=SelectedDataSource)</f>
        <v>1</v>
      </c>
      <c r="L704" s="14" t="b">
        <f>TRUE</f>
        <v>1</v>
      </c>
      <c r="M704" s="14" t="b">
        <f>(LCI_Table[[#This Row],[Dev Notes]]="Do not display")</f>
        <v>0</v>
      </c>
      <c r="N704" s="14" t="b">
        <f>AND(LCI_Table[[#This Row],[Show Feedstock]:[Conditional]],NOT(LCI_Table[[#This Row],[Hide Row]]))</f>
        <v>0</v>
      </c>
      <c r="O704" s="14" t="b">
        <f>LCI_Table[[#This Row],[GREET1 Name Range]]=""</f>
        <v>0</v>
      </c>
      <c r="P704" s="14" t="s">
        <v>1448</v>
      </c>
      <c r="Q704" s="14" t="s">
        <v>554</v>
      </c>
      <c r="R704" s="14" t="s">
        <v>143</v>
      </c>
      <c r="S704" s="37" cm="1">
        <f t="array" aca="1" ref="S7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217.21606764795703</v>
      </c>
      <c r="T704" s="346" t="s">
        <v>2127</v>
      </c>
      <c r="U704" s="347">
        <f ca="1">S704/kg2g/Allocations!$O$69*MJ2mmBTU</f>
        <v>2.0588110823512994E-4</v>
      </c>
      <c r="V704" s="347">
        <v>217.21606764795703</v>
      </c>
      <c r="W704" s="347">
        <v>2.0588110823512994E-4</v>
      </c>
      <c r="X704" s="14" t="s">
        <v>6</v>
      </c>
      <c r="Y704" s="346" t="s">
        <v>416</v>
      </c>
      <c r="Z704" s="14" t="str">
        <f>IF(ISBLANK(LCI_Table[[#This Row],[Notes for user]])," ",LCI_Table[[#This Row],[Notes for user]])</f>
        <v xml:space="preserve"> </v>
      </c>
      <c r="AA704" s="14"/>
      <c r="AB704" s="14"/>
      <c r="AC704" s="346">
        <f ca="1">LCI_Table[[#This Row],[Default Calculated Value]]-LCI_Table[[#This Row],[Calculated Value]]</f>
        <v>0</v>
      </c>
    </row>
    <row r="705" spans="1:29" x14ac:dyDescent="0.3">
      <c r="A7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STJGREETGREET(blank)_Cellulosic_Catalytic_STJ_SulfuricAcidSulfuric acid</v>
      </c>
      <c r="B705" s="14" t="s">
        <v>131</v>
      </c>
      <c r="C705" s="14" t="s">
        <v>140</v>
      </c>
      <c r="D705" s="14" t="s">
        <v>29</v>
      </c>
      <c r="E705" s="48" t="s">
        <v>29</v>
      </c>
      <c r="F705" s="14" t="s">
        <v>31</v>
      </c>
      <c r="G705" s="14" t="b">
        <f>OR(LCI_Table[[#This Row],[Feedstock]]="All",LCI_Table[[#This Row],[Feedstock]]=SelectedFeedstock)</f>
        <v>0</v>
      </c>
      <c r="H705" s="14" t="b">
        <f>OR(LCI_Table[[#This Row],[Conversion]]="All",LCI_Table[[#This Row],[Conversion]]=SelectedConversion)</f>
        <v>0</v>
      </c>
      <c r="I705" s="14" t="b">
        <f>OR(LCI_Table[[#This Row],[Data Set]]="all",LCI_Table[[#This Row],[Data Set]]=SelectedDataSet)</f>
        <v>1</v>
      </c>
      <c r="J705" s="14" t="b">
        <f>OR(LCI_Table[[#This Row],[Technology]]="All",LCI_Table[[#This Row],[Technology]]=SelectedTechnology)</f>
        <v>1</v>
      </c>
      <c r="K705" s="14" t="b">
        <f>OR(LCI_Table[[#This Row],[Data Source]]="All",LCI_Table[[#This Row],[Data Source]]=SelectedDataSource)</f>
        <v>1</v>
      </c>
      <c r="L705" s="14" t="b">
        <f>TRUE</f>
        <v>1</v>
      </c>
      <c r="M705" s="14" t="b">
        <f>(LCI_Table[[#This Row],[Dev Notes]]="Do not display")</f>
        <v>0</v>
      </c>
      <c r="N705" s="14" t="b">
        <f>AND(LCI_Table[[#This Row],[Show Feedstock]:[Conditional]],NOT(LCI_Table[[#This Row],[Hide Row]]))</f>
        <v>0</v>
      </c>
      <c r="O705" s="14" t="b">
        <f>LCI_Table[[#This Row],[GREET1 Name Range]]=""</f>
        <v>0</v>
      </c>
      <c r="P705" s="14" t="s">
        <v>1448</v>
      </c>
      <c r="Q705" s="14" t="s">
        <v>935</v>
      </c>
      <c r="R705" s="14" t="s">
        <v>384</v>
      </c>
      <c r="S705" s="37" cm="1">
        <f t="array" aca="1" ref="S7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2703.133286285688</v>
      </c>
      <c r="T705" s="346" t="s">
        <v>2127</v>
      </c>
      <c r="U705" s="347">
        <f ca="1">S705/kg2g/Allocations!$O$69*MJ2mmBTU</f>
        <v>2.5620760135927284E-3</v>
      </c>
      <c r="V705" s="347">
        <v>2703.133286285688</v>
      </c>
      <c r="W705" s="347">
        <v>2.5620760135927284E-3</v>
      </c>
      <c r="X705" s="37" t="s">
        <v>6</v>
      </c>
      <c r="Y705" s="346" t="s">
        <v>416</v>
      </c>
      <c r="Z705" s="14" t="str">
        <f>IF(ISBLANK(LCI_Table[[#This Row],[Notes for user]])," ",LCI_Table[[#This Row],[Notes for user]])</f>
        <v xml:space="preserve"> </v>
      </c>
      <c r="AA705" s="14"/>
      <c r="AB705" s="14"/>
      <c r="AC705" s="346">
        <f ca="1">LCI_Table[[#This Row],[Default Calculated Value]]-LCI_Table[[#This Row],[Calculated Value]]</f>
        <v>0</v>
      </c>
    </row>
    <row r="706" spans="1:29" x14ac:dyDescent="0.3">
      <c r="A7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STJGREETGREET(blank)_Cellulosic_Catalytic_STJ_WaterWater</v>
      </c>
      <c r="B706" s="14" t="s">
        <v>131</v>
      </c>
      <c r="C706" s="14" t="s">
        <v>140</v>
      </c>
      <c r="D706" s="14" t="s">
        <v>29</v>
      </c>
      <c r="E706" s="48" t="s">
        <v>29</v>
      </c>
      <c r="F706" s="14" t="s">
        <v>31</v>
      </c>
      <c r="G706" s="14" t="b">
        <f>OR(LCI_Table[[#This Row],[Feedstock]]="All",LCI_Table[[#This Row],[Feedstock]]=SelectedFeedstock)</f>
        <v>0</v>
      </c>
      <c r="H706" s="14" t="b">
        <f>OR(LCI_Table[[#This Row],[Conversion]]="All",LCI_Table[[#This Row],[Conversion]]=SelectedConversion)</f>
        <v>0</v>
      </c>
      <c r="I706" s="14" t="b">
        <f>OR(LCI_Table[[#This Row],[Data Set]]="all",LCI_Table[[#This Row],[Data Set]]=SelectedDataSet)</f>
        <v>1</v>
      </c>
      <c r="J706" s="14" t="b">
        <f>OR(LCI_Table[[#This Row],[Technology]]="All",LCI_Table[[#This Row],[Technology]]=SelectedTechnology)</f>
        <v>1</v>
      </c>
      <c r="K706" s="14" t="b">
        <f>OR(LCI_Table[[#This Row],[Data Source]]="All",LCI_Table[[#This Row],[Data Source]]=SelectedDataSource)</f>
        <v>1</v>
      </c>
      <c r="L706" s="14" t="b">
        <f>TRUE</f>
        <v>1</v>
      </c>
      <c r="M706" s="14" t="b">
        <f>(LCI_Table[[#This Row],[Dev Notes]]="Do not display")</f>
        <v>0</v>
      </c>
      <c r="N706" s="14" t="b">
        <f>AND(LCI_Table[[#This Row],[Show Feedstock]:[Conditional]],NOT(LCI_Table[[#This Row],[Hide Row]]))</f>
        <v>0</v>
      </c>
      <c r="O706" s="14" t="b">
        <f>LCI_Table[[#This Row],[GREET1 Name Range]]=""</f>
        <v>0</v>
      </c>
      <c r="P706" s="14" t="s">
        <v>1448</v>
      </c>
      <c r="Q706" s="14" t="s">
        <v>555</v>
      </c>
      <c r="R706" s="14" t="s">
        <v>146</v>
      </c>
      <c r="S706" s="37" cm="1">
        <f t="array" aca="1" ref="S7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50.845995350220299</v>
      </c>
      <c r="T706" s="346" t="s">
        <v>2128</v>
      </c>
      <c r="U706" s="347">
        <f ca="1">S706/kg2lb*Fuel_Specs!$K$4/Allocations!$O$69*MJ2mmBTU</f>
        <v>0.18189138398999874</v>
      </c>
      <c r="V706" s="347">
        <v>50.845995350220299</v>
      </c>
      <c r="W706" s="347">
        <v>0.18189138398999874</v>
      </c>
      <c r="X706" s="37" t="s">
        <v>5</v>
      </c>
      <c r="Y706" s="346" t="s">
        <v>416</v>
      </c>
      <c r="Z706" s="14" t="str">
        <f>IF(ISBLANK(LCI_Table[[#This Row],[Notes for user]])," ",LCI_Table[[#This Row],[Notes for user]])</f>
        <v xml:space="preserve"> </v>
      </c>
      <c r="AA706" s="14"/>
      <c r="AB706" s="14"/>
      <c r="AC706" s="346">
        <f ca="1">LCI_Table[[#This Row],[Default Calculated Value]]-LCI_Table[[#This Row],[Calculated Value]]</f>
        <v>0</v>
      </c>
    </row>
    <row r="707" spans="1:29" x14ac:dyDescent="0.3">
      <c r="A7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WillowCatalytic STJGREETGREET(blank)_Cellulosic_Catalytic_STJ_Electricity_co_producedElectricity (co-produced)</v>
      </c>
      <c r="B707" s="14" t="s">
        <v>131</v>
      </c>
      <c r="C707" s="14" t="s">
        <v>140</v>
      </c>
      <c r="D707" s="14" t="s">
        <v>29</v>
      </c>
      <c r="E707" s="48" t="s">
        <v>29</v>
      </c>
      <c r="F707" s="14" t="s">
        <v>31</v>
      </c>
      <c r="G707" s="14" t="b">
        <f>OR(LCI_Table[[#This Row],[Feedstock]]="All",LCI_Table[[#This Row],[Feedstock]]=SelectedFeedstock)</f>
        <v>0</v>
      </c>
      <c r="H707" s="14" t="b">
        <f>OR(LCI_Table[[#This Row],[Conversion]]="All",LCI_Table[[#This Row],[Conversion]]=SelectedConversion)</f>
        <v>0</v>
      </c>
      <c r="I707" s="14" t="b">
        <f>OR(LCI_Table[[#This Row],[Data Set]]="all",LCI_Table[[#This Row],[Data Set]]=SelectedDataSet)</f>
        <v>1</v>
      </c>
      <c r="J707" s="14" t="b">
        <f>OR(LCI_Table[[#This Row],[Technology]]="All",LCI_Table[[#This Row],[Technology]]=SelectedTechnology)</f>
        <v>1</v>
      </c>
      <c r="K707" s="14" t="b">
        <f>OR(LCI_Table[[#This Row],[Data Source]]="All",LCI_Table[[#This Row],[Data Source]]=SelectedDataSource)</f>
        <v>1</v>
      </c>
      <c r="L707" s="14" t="b">
        <f>TRUE</f>
        <v>1</v>
      </c>
      <c r="M707" s="14" t="b">
        <f>(LCI_Table[[#This Row],[Dev Notes]]="Do not display")</f>
        <v>0</v>
      </c>
      <c r="N707" s="14" t="b">
        <f>AND(LCI_Table[[#This Row],[Show Feedstock]:[Conditional]],NOT(LCI_Table[[#This Row],[Hide Row]]))</f>
        <v>0</v>
      </c>
      <c r="O707" s="14" t="b">
        <f>LCI_Table[[#This Row],[GREET1 Name Range]]=""</f>
        <v>0</v>
      </c>
      <c r="P707" s="14" t="s">
        <v>1448</v>
      </c>
      <c r="Q707" s="14" t="s">
        <v>549</v>
      </c>
      <c r="R707" s="14" t="s">
        <v>439</v>
      </c>
      <c r="S707" s="37" cm="1">
        <f t="array" aca="1" ref="S7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13.328619262064917</v>
      </c>
      <c r="T707" s="346" t="s">
        <v>2121</v>
      </c>
      <c r="U707" s="347">
        <f ca="1">S707/Allocations!$O$69*MJ2mmBTU</f>
        <v>1.2633093558094499E-2</v>
      </c>
      <c r="V707" s="347">
        <v>13.328619262064917</v>
      </c>
      <c r="W707" s="347">
        <v>1.2633093558094499E-2</v>
      </c>
      <c r="X707" s="37" t="s">
        <v>51</v>
      </c>
      <c r="Y707" s="346" t="s">
        <v>416</v>
      </c>
      <c r="Z707" s="14" t="str">
        <f>IF(ISBLANK(LCI_Table[[#This Row],[Notes for user]])," ",LCI_Table[[#This Row],[Notes for user]])</f>
        <v xml:space="preserve"> </v>
      </c>
      <c r="AA707" s="14"/>
      <c r="AB707" s="14"/>
      <c r="AC707" s="346">
        <f ca="1">LCI_Table[[#This Row],[Default Calculated Value]]-LCI_Table[[#This Row],[Calculated Value]]</f>
        <v>0</v>
      </c>
    </row>
    <row r="708" spans="1:29" x14ac:dyDescent="0.3">
      <c r="A7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dash_PoplarBiological STJGREETGREET(blank)_Yield_Farming</v>
      </c>
      <c r="B708" s="48" t="s">
        <v>132</v>
      </c>
      <c r="C708" s="48" t="s">
        <v>139</v>
      </c>
      <c r="D708" s="48" t="s">
        <v>29</v>
      </c>
      <c r="E708" s="48" t="s">
        <v>29</v>
      </c>
      <c r="F708" s="48" t="s">
        <v>31</v>
      </c>
      <c r="G708" s="14" t="b">
        <f>OR(LCI_Table[[#This Row],[Feedstock]]="All",LCI_Table[[#This Row],[Feedstock]]=SelectedFeedstock)</f>
        <v>0</v>
      </c>
      <c r="H708" s="14" t="b">
        <f>OR(LCI_Table[[#This Row],[Conversion]]="All",LCI_Table[[#This Row],[Conversion]]=SelectedConversion)</f>
        <v>0</v>
      </c>
      <c r="I708" s="14" t="b">
        <f>OR(LCI_Table[[#This Row],[Data Set]]="all",LCI_Table[[#This Row],[Data Set]]=SelectedDataSet)</f>
        <v>1</v>
      </c>
      <c r="J708" s="14" t="b">
        <f>OR(LCI_Table[[#This Row],[Technology]]="All",LCI_Table[[#This Row],[Technology]]=SelectedTechnology)</f>
        <v>1</v>
      </c>
      <c r="K708" s="14" t="b">
        <f>OR(LCI_Table[[#This Row],[Data Source]]="All",LCI_Table[[#This Row],[Data Source]]=SelectedDataSource)</f>
        <v>1</v>
      </c>
      <c r="L708" s="14" t="b">
        <f>TRUE</f>
        <v>1</v>
      </c>
      <c r="M708" s="14" t="b">
        <f>(LCI_Table[[#This Row],[Dev Notes]]="Do not display")</f>
        <v>0</v>
      </c>
      <c r="N708" s="14" t="b">
        <f>AND(LCI_Table[[#This Row],[Show Feedstock]:[Conditional]],NOT(LCI_Table[[#This Row],[Hide Row]]))</f>
        <v>0</v>
      </c>
      <c r="O708" s="14" t="b">
        <f>LCI_Table[[#This Row],[GREET1 Name Range]]=""</f>
        <v>1</v>
      </c>
      <c r="P708" s="48" t="s">
        <v>14</v>
      </c>
      <c r="Q708" s="14" t="s">
        <v>361</v>
      </c>
      <c r="R708" s="48" t="s">
        <v>200</v>
      </c>
      <c r="S708" s="37" cm="1">
        <f t="array" aca="1" ref="S7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42.9</v>
      </c>
      <c r="T708" s="346" t="s">
        <v>2116</v>
      </c>
      <c r="U708" s="344"/>
      <c r="V708" s="344">
        <v>42.9</v>
      </c>
      <c r="W708" s="344"/>
      <c r="X708" s="48" t="s">
        <v>55</v>
      </c>
      <c r="Y708" s="346" t="s">
        <v>413</v>
      </c>
      <c r="Z708" s="14" t="str">
        <f>IF(ISBLANK(LCI_Table[[#This Row],[Notes for user]])," ",LCI_Table[[#This Row],[Notes for user]])</f>
        <v xml:space="preserve"> </v>
      </c>
      <c r="AA708" s="48"/>
      <c r="AB708" s="345"/>
      <c r="AC708" s="346">
        <f>LCI_Table[[#This Row],[Default Calculated Value]]-LCI_Table[[#This Row],[Calculated Value]]</f>
        <v>0</v>
      </c>
    </row>
    <row r="709" spans="1:29" x14ac:dyDescent="0.3">
      <c r="A7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STJGREETGREET(blank)_Poplar_Farming_Nitrogen_fertilizerNitrogen fertilizer</v>
      </c>
      <c r="B709" s="14" t="s">
        <v>132</v>
      </c>
      <c r="C709" s="14" t="s">
        <v>139</v>
      </c>
      <c r="D709" s="14" t="s">
        <v>29</v>
      </c>
      <c r="E709" s="48" t="s">
        <v>29</v>
      </c>
      <c r="F709" s="14" t="s">
        <v>31</v>
      </c>
      <c r="G709" s="14" t="b">
        <f>OR(LCI_Table[[#This Row],[Feedstock]]="All",LCI_Table[[#This Row],[Feedstock]]=SelectedFeedstock)</f>
        <v>0</v>
      </c>
      <c r="H709" s="14" t="b">
        <f>OR(LCI_Table[[#This Row],[Conversion]]="All",LCI_Table[[#This Row],[Conversion]]=SelectedConversion)</f>
        <v>0</v>
      </c>
      <c r="I709" s="14" t="b">
        <f>OR(LCI_Table[[#This Row],[Data Set]]="all",LCI_Table[[#This Row],[Data Set]]=SelectedDataSet)</f>
        <v>1</v>
      </c>
      <c r="J709" s="14" t="b">
        <f>OR(LCI_Table[[#This Row],[Technology]]="All",LCI_Table[[#This Row],[Technology]]=SelectedTechnology)</f>
        <v>1</v>
      </c>
      <c r="K709" s="14" t="b">
        <f>OR(LCI_Table[[#This Row],[Data Source]]="All",LCI_Table[[#This Row],[Data Source]]=SelectedDataSource)</f>
        <v>1</v>
      </c>
      <c r="L709" s="14" t="b">
        <f>TRUE</f>
        <v>1</v>
      </c>
      <c r="M709" s="14" t="b">
        <f>(LCI_Table[[#This Row],[Dev Notes]]="Do not display")</f>
        <v>0</v>
      </c>
      <c r="N709" s="14" t="b">
        <f>AND(LCI_Table[[#This Row],[Show Feedstock]:[Conditional]],NOT(LCI_Table[[#This Row],[Hide Row]]))</f>
        <v>0</v>
      </c>
      <c r="O709" s="14" t="b">
        <f>LCI_Table[[#This Row],[GREET1 Name Range]]=""</f>
        <v>0</v>
      </c>
      <c r="P709" s="14" t="s">
        <v>14</v>
      </c>
      <c r="Q709" s="14" t="s">
        <v>776</v>
      </c>
      <c r="R709" s="14" t="s">
        <v>111</v>
      </c>
      <c r="S709" s="37" cm="1">
        <f t="array" aca="1" ref="S7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186.27525835114722</v>
      </c>
      <c r="T709" s="346" t="s">
        <v>1485</v>
      </c>
      <c r="U709" s="347">
        <f ca="1">S709/S708*lb2g</f>
        <v>1969.5346365468338</v>
      </c>
      <c r="V709" s="347">
        <v>186.27525835114722</v>
      </c>
      <c r="W709" s="347">
        <v>1969.5346365468338</v>
      </c>
      <c r="X709" s="14" t="s">
        <v>12</v>
      </c>
      <c r="Y709" s="346" t="s">
        <v>413</v>
      </c>
      <c r="Z709" s="14" t="str">
        <f>IF(ISBLANK(LCI_Table[[#This Row],[Notes for user]])," ",LCI_Table[[#This Row],[Notes for user]])</f>
        <v xml:space="preserve"> </v>
      </c>
      <c r="AA709" s="14"/>
      <c r="AB709" s="14"/>
      <c r="AC709" s="346">
        <f ca="1">LCI_Table[[#This Row],[Default Calculated Value]]-LCI_Table[[#This Row],[Calculated Value]]</f>
        <v>0</v>
      </c>
    </row>
    <row r="710" spans="1:29" x14ac:dyDescent="0.3">
      <c r="A7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STJGREETGREET(blank)_Poplar_Farming_P2O5P2O5</v>
      </c>
      <c r="B710" s="14" t="s">
        <v>132</v>
      </c>
      <c r="C710" s="14" t="s">
        <v>139</v>
      </c>
      <c r="D710" s="14" t="s">
        <v>29</v>
      </c>
      <c r="E710" s="48" t="s">
        <v>29</v>
      </c>
      <c r="F710" s="14" t="s">
        <v>31</v>
      </c>
      <c r="G710" s="14" t="b">
        <f>OR(LCI_Table[[#This Row],[Feedstock]]="All",LCI_Table[[#This Row],[Feedstock]]=SelectedFeedstock)</f>
        <v>0</v>
      </c>
      <c r="H710" s="14" t="b">
        <f>OR(LCI_Table[[#This Row],[Conversion]]="All",LCI_Table[[#This Row],[Conversion]]=SelectedConversion)</f>
        <v>0</v>
      </c>
      <c r="I710" s="14" t="b">
        <f>OR(LCI_Table[[#This Row],[Data Set]]="all",LCI_Table[[#This Row],[Data Set]]=SelectedDataSet)</f>
        <v>1</v>
      </c>
      <c r="J710" s="14" t="b">
        <f>OR(LCI_Table[[#This Row],[Technology]]="All",LCI_Table[[#This Row],[Technology]]=SelectedTechnology)</f>
        <v>1</v>
      </c>
      <c r="K710" s="14" t="b">
        <f>OR(LCI_Table[[#This Row],[Data Source]]="All",LCI_Table[[#This Row],[Data Source]]=SelectedDataSource)</f>
        <v>1</v>
      </c>
      <c r="L710" s="14" t="b">
        <f>TRUE</f>
        <v>1</v>
      </c>
      <c r="M710" s="14" t="b">
        <f>(LCI_Table[[#This Row],[Dev Notes]]="Do not display")</f>
        <v>0</v>
      </c>
      <c r="N710" s="14" t="b">
        <f>AND(LCI_Table[[#This Row],[Show Feedstock]:[Conditional]],NOT(LCI_Table[[#This Row],[Hide Row]]))</f>
        <v>0</v>
      </c>
      <c r="O710" s="14" t="b">
        <f>LCI_Table[[#This Row],[GREET1 Name Range]]=""</f>
        <v>0</v>
      </c>
      <c r="P710" s="14" t="s">
        <v>14</v>
      </c>
      <c r="Q710" s="14" t="s">
        <v>777</v>
      </c>
      <c r="R710" s="14" t="s">
        <v>112</v>
      </c>
      <c r="S710" s="37" cm="1">
        <f t="array" aca="1" ref="S7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55.895441662900694</v>
      </c>
      <c r="T710" s="346" t="s">
        <v>1485</v>
      </c>
      <c r="U710" s="347">
        <f ca="1">S710/S708*lb2g</f>
        <v>590.99640690144224</v>
      </c>
      <c r="V710" s="347">
        <v>55.895441662900694</v>
      </c>
      <c r="W710" s="347">
        <v>590.99640690144224</v>
      </c>
      <c r="X710" s="14" t="s">
        <v>12</v>
      </c>
      <c r="Y710" s="346" t="s">
        <v>413</v>
      </c>
      <c r="Z710" s="14" t="str">
        <f>IF(ISBLANK(LCI_Table[[#This Row],[Notes for user]])," ",LCI_Table[[#This Row],[Notes for user]])</f>
        <v xml:space="preserve"> </v>
      </c>
      <c r="AA710" s="14"/>
      <c r="AB710" s="14"/>
      <c r="AC710" s="346">
        <f ca="1">LCI_Table[[#This Row],[Default Calculated Value]]-LCI_Table[[#This Row],[Calculated Value]]</f>
        <v>0</v>
      </c>
    </row>
    <row r="711" spans="1:29" x14ac:dyDescent="0.3">
      <c r="A7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STJGREETGREET(blank)_Poplar_Farming_K2OK2O</v>
      </c>
      <c r="B711" s="14" t="s">
        <v>132</v>
      </c>
      <c r="C711" s="14" t="s">
        <v>139</v>
      </c>
      <c r="D711" s="14" t="s">
        <v>29</v>
      </c>
      <c r="E711" s="48" t="s">
        <v>29</v>
      </c>
      <c r="F711" s="14" t="s">
        <v>31</v>
      </c>
      <c r="G711" s="14" t="b">
        <f>OR(LCI_Table[[#This Row],[Feedstock]]="All",LCI_Table[[#This Row],[Feedstock]]=SelectedFeedstock)</f>
        <v>0</v>
      </c>
      <c r="H711" s="14" t="b">
        <f>OR(LCI_Table[[#This Row],[Conversion]]="All",LCI_Table[[#This Row],[Conversion]]=SelectedConversion)</f>
        <v>0</v>
      </c>
      <c r="I711" s="14" t="b">
        <f>OR(LCI_Table[[#This Row],[Data Set]]="all",LCI_Table[[#This Row],[Data Set]]=SelectedDataSet)</f>
        <v>1</v>
      </c>
      <c r="J711" s="14" t="b">
        <f>OR(LCI_Table[[#This Row],[Technology]]="All",LCI_Table[[#This Row],[Technology]]=SelectedTechnology)</f>
        <v>1</v>
      </c>
      <c r="K711" s="14" t="b">
        <f>OR(LCI_Table[[#This Row],[Data Source]]="All",LCI_Table[[#This Row],[Data Source]]=SelectedDataSource)</f>
        <v>1</v>
      </c>
      <c r="L711" s="14" t="b">
        <f>TRUE</f>
        <v>1</v>
      </c>
      <c r="M711" s="14" t="b">
        <f>(LCI_Table[[#This Row],[Dev Notes]]="Do not display")</f>
        <v>0</v>
      </c>
      <c r="N711" s="14" t="b">
        <f>AND(LCI_Table[[#This Row],[Show Feedstock]:[Conditional]],NOT(LCI_Table[[#This Row],[Hide Row]]))</f>
        <v>0</v>
      </c>
      <c r="O711" s="14" t="b">
        <f>LCI_Table[[#This Row],[GREET1 Name Range]]=""</f>
        <v>0</v>
      </c>
      <c r="P711" s="14" t="s">
        <v>14</v>
      </c>
      <c r="Q711" s="14" t="s">
        <v>773</v>
      </c>
      <c r="R711" s="14" t="s">
        <v>113</v>
      </c>
      <c r="S711" s="37" cm="1">
        <f t="array" aca="1" ref="S7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49.414799490679876</v>
      </c>
      <c r="T711" s="346" t="s">
        <v>1485</v>
      </c>
      <c r="U711" s="347">
        <f ca="1">S711/S708*lb2g</f>
        <v>522.47496536252402</v>
      </c>
      <c r="V711" s="347">
        <v>49.414799490679876</v>
      </c>
      <c r="W711" s="347">
        <v>522.47496536252402</v>
      </c>
      <c r="X711" s="14" t="s">
        <v>12</v>
      </c>
      <c r="Y711" s="346" t="s">
        <v>413</v>
      </c>
      <c r="Z711" s="14" t="str">
        <f>IF(ISBLANK(LCI_Table[[#This Row],[Notes for user]])," ",LCI_Table[[#This Row],[Notes for user]])</f>
        <v xml:space="preserve"> </v>
      </c>
      <c r="AA711" s="14"/>
      <c r="AB711" s="14"/>
      <c r="AC711" s="346">
        <f ca="1">LCI_Table[[#This Row],[Default Calculated Value]]-LCI_Table[[#This Row],[Calculated Value]]</f>
        <v>0</v>
      </c>
    </row>
    <row r="712" spans="1:29" x14ac:dyDescent="0.3">
      <c r="A7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STJGREETGREET(blank)_Poplar_Farming_CaCO3CaCO3</v>
      </c>
      <c r="B712" s="14" t="s">
        <v>132</v>
      </c>
      <c r="C712" s="14" t="s">
        <v>139</v>
      </c>
      <c r="D712" s="14" t="s">
        <v>29</v>
      </c>
      <c r="E712" s="48" t="s">
        <v>29</v>
      </c>
      <c r="F712" s="14" t="s">
        <v>31</v>
      </c>
      <c r="G712" s="14" t="b">
        <f>OR(LCI_Table[[#This Row],[Feedstock]]="All",LCI_Table[[#This Row],[Feedstock]]=SelectedFeedstock)</f>
        <v>0</v>
      </c>
      <c r="H712" s="14" t="b">
        <f>OR(LCI_Table[[#This Row],[Conversion]]="All",LCI_Table[[#This Row],[Conversion]]=SelectedConversion)</f>
        <v>0</v>
      </c>
      <c r="I712" s="14" t="b">
        <f>OR(LCI_Table[[#This Row],[Data Set]]="all",LCI_Table[[#This Row],[Data Set]]=SelectedDataSet)</f>
        <v>1</v>
      </c>
      <c r="J712" s="14" t="b">
        <f>OR(LCI_Table[[#This Row],[Technology]]="All",LCI_Table[[#This Row],[Technology]]=SelectedTechnology)</f>
        <v>1</v>
      </c>
      <c r="K712" s="14" t="b">
        <f>OR(LCI_Table[[#This Row],[Data Source]]="All",LCI_Table[[#This Row],[Data Source]]=SelectedDataSource)</f>
        <v>1</v>
      </c>
      <c r="L712" s="14" t="b">
        <f>TRUE</f>
        <v>1</v>
      </c>
      <c r="M712" s="14" t="b">
        <f>(LCI_Table[[#This Row],[Dev Notes]]="Do not display")</f>
        <v>0</v>
      </c>
      <c r="N712" s="14" t="b">
        <f>AND(LCI_Table[[#This Row],[Show Feedstock]:[Conditional]],NOT(LCI_Table[[#This Row],[Hide Row]]))</f>
        <v>0</v>
      </c>
      <c r="O712" s="14" t="b">
        <f>LCI_Table[[#This Row],[GREET1 Name Range]]=""</f>
        <v>0</v>
      </c>
      <c r="P712" s="14" t="s">
        <v>14</v>
      </c>
      <c r="Q712" s="14" t="s">
        <v>766</v>
      </c>
      <c r="R712" s="14" t="s">
        <v>141</v>
      </c>
      <c r="S712" s="37" cm="1">
        <f t="array" aca="1" ref="S7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2197.7257847655173</v>
      </c>
      <c r="T712" s="346" t="s">
        <v>1485</v>
      </c>
      <c r="U712" s="347">
        <f ca="1">S712/S708*lb2g</f>
        <v>23237.101336174848</v>
      </c>
      <c r="V712" s="347">
        <v>2197.7257847655173</v>
      </c>
      <c r="W712" s="347">
        <v>23237.101336174848</v>
      </c>
      <c r="X712" s="14" t="s">
        <v>12</v>
      </c>
      <c r="Y712" s="346" t="s">
        <v>413</v>
      </c>
      <c r="Z712" s="14" t="str">
        <f>IF(ISBLANK(LCI_Table[[#This Row],[Notes for user]])," ",LCI_Table[[#This Row],[Notes for user]])</f>
        <v xml:space="preserve"> </v>
      </c>
      <c r="AA712" s="14"/>
      <c r="AB712" s="14"/>
      <c r="AC712" s="346">
        <f ca="1">LCI_Table[[#This Row],[Default Calculated Value]]-LCI_Table[[#This Row],[Calculated Value]]</f>
        <v>0</v>
      </c>
    </row>
    <row r="713" spans="1:29" x14ac:dyDescent="0.3">
      <c r="A7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STJGREETGREET(blank)_Poplar_Farming_HerbicidesHerbicides</v>
      </c>
      <c r="B713" s="14" t="s">
        <v>132</v>
      </c>
      <c r="C713" s="14" t="s">
        <v>139</v>
      </c>
      <c r="D713" s="14" t="s">
        <v>29</v>
      </c>
      <c r="E713" s="48" t="s">
        <v>29</v>
      </c>
      <c r="F713" s="14" t="s">
        <v>31</v>
      </c>
      <c r="G713" s="14" t="b">
        <f>OR(LCI_Table[[#This Row],[Feedstock]]="All",LCI_Table[[#This Row],[Feedstock]]=SelectedFeedstock)</f>
        <v>0</v>
      </c>
      <c r="H713" s="14" t="b">
        <f>OR(LCI_Table[[#This Row],[Conversion]]="All",LCI_Table[[#This Row],[Conversion]]=SelectedConversion)</f>
        <v>0</v>
      </c>
      <c r="I713" s="14" t="b">
        <f>OR(LCI_Table[[#This Row],[Data Set]]="all",LCI_Table[[#This Row],[Data Set]]=SelectedDataSet)</f>
        <v>1</v>
      </c>
      <c r="J713" s="14" t="b">
        <f>OR(LCI_Table[[#This Row],[Technology]]="All",LCI_Table[[#This Row],[Technology]]=SelectedTechnology)</f>
        <v>1</v>
      </c>
      <c r="K713" s="14" t="b">
        <f>OR(LCI_Table[[#This Row],[Data Source]]="All",LCI_Table[[#This Row],[Data Source]]=SelectedDataSource)</f>
        <v>1</v>
      </c>
      <c r="L713" s="14" t="b">
        <f>TRUE</f>
        <v>1</v>
      </c>
      <c r="M713" s="14" t="b">
        <f>(LCI_Table[[#This Row],[Dev Notes]]="Do not display")</f>
        <v>0</v>
      </c>
      <c r="N713" s="14" t="b">
        <f>AND(LCI_Table[[#This Row],[Show Feedstock]:[Conditional]],NOT(LCI_Table[[#This Row],[Hide Row]]))</f>
        <v>0</v>
      </c>
      <c r="O713" s="14" t="b">
        <f>LCI_Table[[#This Row],[GREET1 Name Range]]=""</f>
        <v>0</v>
      </c>
      <c r="P713" s="14" t="s">
        <v>14</v>
      </c>
      <c r="Q713" s="14" t="s">
        <v>771</v>
      </c>
      <c r="R713" s="14" t="s">
        <v>356</v>
      </c>
      <c r="S713" s="37" cm="1">
        <f t="array" aca="1" ref="S7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5.8353457116647274</v>
      </c>
      <c r="T713" s="346" t="s">
        <v>1485</v>
      </c>
      <c r="U713" s="347">
        <f ca="1">S713/S708*lb2g</f>
        <v>61.698561564646631</v>
      </c>
      <c r="V713" s="347">
        <v>5.8353457116647274</v>
      </c>
      <c r="W713" s="347">
        <v>61.698561564646631</v>
      </c>
      <c r="X713" s="14" t="s">
        <v>12</v>
      </c>
      <c r="Y713" s="346" t="s">
        <v>413</v>
      </c>
      <c r="Z713" s="14" t="str">
        <f>IF(ISBLANK(LCI_Table[[#This Row],[Notes for user]])," ",LCI_Table[[#This Row],[Notes for user]])</f>
        <v xml:space="preserve"> </v>
      </c>
      <c r="AA713" s="14"/>
      <c r="AB713" s="14"/>
      <c r="AC713" s="346">
        <f ca="1">LCI_Table[[#This Row],[Default Calculated Value]]-LCI_Table[[#This Row],[Calculated Value]]</f>
        <v>0</v>
      </c>
    </row>
    <row r="714" spans="1:29" x14ac:dyDescent="0.3">
      <c r="A7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STJGREETGREET(blank)_Poplar_Farming_InsecticideInsecticide</v>
      </c>
      <c r="B714" s="14" t="s">
        <v>132</v>
      </c>
      <c r="C714" s="14" t="s">
        <v>139</v>
      </c>
      <c r="D714" s="14" t="s">
        <v>29</v>
      </c>
      <c r="E714" s="48" t="s">
        <v>29</v>
      </c>
      <c r="F714" s="14" t="s">
        <v>31</v>
      </c>
      <c r="G714" s="14" t="b">
        <f>OR(LCI_Table[[#This Row],[Feedstock]]="All",LCI_Table[[#This Row],[Feedstock]]=SelectedFeedstock)</f>
        <v>0</v>
      </c>
      <c r="H714" s="14" t="b">
        <f>OR(LCI_Table[[#This Row],[Conversion]]="All",LCI_Table[[#This Row],[Conversion]]=SelectedConversion)</f>
        <v>0</v>
      </c>
      <c r="I714" s="14" t="b">
        <f>OR(LCI_Table[[#This Row],[Data Set]]="all",LCI_Table[[#This Row],[Data Set]]=SelectedDataSet)</f>
        <v>1</v>
      </c>
      <c r="J714" s="14" t="b">
        <f>OR(LCI_Table[[#This Row],[Technology]]="All",LCI_Table[[#This Row],[Technology]]=SelectedTechnology)</f>
        <v>1</v>
      </c>
      <c r="K714" s="14" t="b">
        <f>OR(LCI_Table[[#This Row],[Data Source]]="All",LCI_Table[[#This Row],[Data Source]]=SelectedDataSource)</f>
        <v>1</v>
      </c>
      <c r="L714" s="14" t="b">
        <f>TRUE</f>
        <v>1</v>
      </c>
      <c r="M714" s="14" t="b">
        <f>(LCI_Table[[#This Row],[Dev Notes]]="Do not display")</f>
        <v>0</v>
      </c>
      <c r="N714" s="14" t="b">
        <f>AND(LCI_Table[[#This Row],[Show Feedstock]:[Conditional]],NOT(LCI_Table[[#This Row],[Hide Row]]))</f>
        <v>0</v>
      </c>
      <c r="O714" s="14" t="b">
        <f>LCI_Table[[#This Row],[GREET1 Name Range]]=""</f>
        <v>0</v>
      </c>
      <c r="P714" s="14" t="s">
        <v>14</v>
      </c>
      <c r="Q714" s="14" t="s">
        <v>772</v>
      </c>
      <c r="R714" s="14" t="s">
        <v>114</v>
      </c>
      <c r="S714" s="37" cm="1">
        <f t="array" aca="1" ref="S7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1.1124479480821168</v>
      </c>
      <c r="T714" s="346" t="s">
        <v>1485</v>
      </c>
      <c r="U714" s="347">
        <f ca="1">S714/S708*lb2g</f>
        <v>11.762188840843924</v>
      </c>
      <c r="V714" s="347">
        <v>1.1124479480821168</v>
      </c>
      <c r="W714" s="347">
        <v>11.762188840843924</v>
      </c>
      <c r="X714" s="14" t="s">
        <v>12</v>
      </c>
      <c r="Y714" s="346" t="s">
        <v>413</v>
      </c>
      <c r="Z714" s="14" t="str">
        <f>IF(ISBLANK(LCI_Table[[#This Row],[Notes for user]])," ",LCI_Table[[#This Row],[Notes for user]])</f>
        <v xml:space="preserve"> </v>
      </c>
      <c r="AA714" s="14"/>
      <c r="AB714" s="14"/>
      <c r="AC714" s="346">
        <f ca="1">LCI_Table[[#This Row],[Default Calculated Value]]-LCI_Table[[#This Row],[Calculated Value]]</f>
        <v>0</v>
      </c>
    </row>
    <row r="715" spans="1:29" x14ac:dyDescent="0.3">
      <c r="A7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STJGREETGREET(blank)_Poplar_Farming_Residual_oilResidual oil</v>
      </c>
      <c r="B715" s="14" t="s">
        <v>132</v>
      </c>
      <c r="C715" s="14" t="s">
        <v>139</v>
      </c>
      <c r="D715" s="14" t="s">
        <v>29</v>
      </c>
      <c r="E715" s="48" t="s">
        <v>29</v>
      </c>
      <c r="F715" s="14" t="s">
        <v>31</v>
      </c>
      <c r="G715" s="14" t="b">
        <f>OR(LCI_Table[[#This Row],[Feedstock]]="All",LCI_Table[[#This Row],[Feedstock]]=SelectedFeedstock)</f>
        <v>0</v>
      </c>
      <c r="H715" s="14" t="b">
        <f>OR(LCI_Table[[#This Row],[Conversion]]="All",LCI_Table[[#This Row],[Conversion]]=SelectedConversion)</f>
        <v>0</v>
      </c>
      <c r="I715" s="14" t="b">
        <f>OR(LCI_Table[[#This Row],[Data Set]]="all",LCI_Table[[#This Row],[Data Set]]=SelectedDataSet)</f>
        <v>1</v>
      </c>
      <c r="J715" s="14" t="b">
        <f>OR(LCI_Table[[#This Row],[Technology]]="All",LCI_Table[[#This Row],[Technology]]=SelectedTechnology)</f>
        <v>1</v>
      </c>
      <c r="K715" s="14" t="b">
        <f>OR(LCI_Table[[#This Row],[Data Source]]="All",LCI_Table[[#This Row],[Data Source]]=SelectedDataSource)</f>
        <v>1</v>
      </c>
      <c r="L715" s="14" t="b">
        <f>TRUE</f>
        <v>1</v>
      </c>
      <c r="M715" s="14" t="b">
        <f>(LCI_Table[[#This Row],[Dev Notes]]="Do not display")</f>
        <v>0</v>
      </c>
      <c r="N715" s="14" t="b">
        <f>AND(LCI_Table[[#This Row],[Show Feedstock]:[Conditional]],NOT(LCI_Table[[#This Row],[Hide Row]]))</f>
        <v>0</v>
      </c>
      <c r="O715" s="14" t="b">
        <f>LCI_Table[[#This Row],[GREET1 Name Range]]=""</f>
        <v>0</v>
      </c>
      <c r="P715" s="14" t="s">
        <v>14</v>
      </c>
      <c r="Q715" s="14" t="s">
        <v>778</v>
      </c>
      <c r="R715" s="14" t="s">
        <v>115</v>
      </c>
      <c r="S715" s="37" cm="1">
        <f t="array" aca="1" ref="S7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15" s="346" t="s">
        <v>1484</v>
      </c>
      <c r="U715" s="347">
        <f ca="1">S715*Fuel_Specs!$B$28/S708</f>
        <v>0</v>
      </c>
      <c r="V715" s="347">
        <v>0</v>
      </c>
      <c r="W715" s="347">
        <v>0</v>
      </c>
      <c r="X715" s="14" t="s">
        <v>5</v>
      </c>
      <c r="Y715" s="346" t="s">
        <v>413</v>
      </c>
      <c r="Z715" s="14" t="str">
        <f>IF(ISBLANK(LCI_Table[[#This Row],[Notes for user]])," ",LCI_Table[[#This Row],[Notes for user]])</f>
        <v xml:space="preserve"> </v>
      </c>
      <c r="AA715" s="14"/>
      <c r="AB715" s="14"/>
      <c r="AC715" s="346">
        <f ca="1">LCI_Table[[#This Row],[Default Calculated Value]]-LCI_Table[[#This Row],[Calculated Value]]</f>
        <v>0</v>
      </c>
    </row>
    <row r="716" spans="1:29" x14ac:dyDescent="0.3">
      <c r="A7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STJGREETGREET(blank)_Poplar_Farming_DieselDiesel</v>
      </c>
      <c r="B716" s="14" t="s">
        <v>132</v>
      </c>
      <c r="C716" s="14" t="s">
        <v>139</v>
      </c>
      <c r="D716" s="14" t="s">
        <v>29</v>
      </c>
      <c r="E716" s="48" t="s">
        <v>29</v>
      </c>
      <c r="F716" s="14" t="s">
        <v>31</v>
      </c>
      <c r="G716" s="14" t="b">
        <f>OR(LCI_Table[[#This Row],[Feedstock]]="All",LCI_Table[[#This Row],[Feedstock]]=SelectedFeedstock)</f>
        <v>0</v>
      </c>
      <c r="H716" s="14" t="b">
        <f>OR(LCI_Table[[#This Row],[Conversion]]="All",LCI_Table[[#This Row],[Conversion]]=SelectedConversion)</f>
        <v>0</v>
      </c>
      <c r="I716" s="14" t="b">
        <f>OR(LCI_Table[[#This Row],[Data Set]]="all",LCI_Table[[#This Row],[Data Set]]=SelectedDataSet)</f>
        <v>1</v>
      </c>
      <c r="J716" s="14" t="b">
        <f>OR(LCI_Table[[#This Row],[Technology]]="All",LCI_Table[[#This Row],[Technology]]=SelectedTechnology)</f>
        <v>1</v>
      </c>
      <c r="K716" s="14" t="b">
        <f>OR(LCI_Table[[#This Row],[Data Source]]="All",LCI_Table[[#This Row],[Data Source]]=SelectedDataSource)</f>
        <v>1</v>
      </c>
      <c r="L716" s="14" t="b">
        <f>TRUE</f>
        <v>1</v>
      </c>
      <c r="M716" s="14" t="b">
        <f>(LCI_Table[[#This Row],[Dev Notes]]="Do not display")</f>
        <v>0</v>
      </c>
      <c r="N716" s="14" t="b">
        <f>AND(LCI_Table[[#This Row],[Show Feedstock]:[Conditional]],NOT(LCI_Table[[#This Row],[Hide Row]]))</f>
        <v>0</v>
      </c>
      <c r="O716" s="14" t="b">
        <f>LCI_Table[[#This Row],[GREET1 Name Range]]=""</f>
        <v>0</v>
      </c>
      <c r="P716" s="14" t="s">
        <v>14</v>
      </c>
      <c r="Q716" s="14" t="s">
        <v>768</v>
      </c>
      <c r="R716" s="14" t="s">
        <v>106</v>
      </c>
      <c r="S716" s="37" cm="1">
        <f t="array" aca="1" ref="S7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89.706602120382115</v>
      </c>
      <c r="T716" s="346" t="s">
        <v>1484</v>
      </c>
      <c r="U716" s="347">
        <f ca="1">S716*Fuel_Specs!$B$19/S708</f>
        <v>268597.0406145241</v>
      </c>
      <c r="V716" s="347">
        <v>89.706602120382115</v>
      </c>
      <c r="W716" s="347">
        <v>268597.0406145241</v>
      </c>
      <c r="X716" s="14" t="s">
        <v>5</v>
      </c>
      <c r="Y716" s="346" t="s">
        <v>413</v>
      </c>
      <c r="Z716" s="14" t="str">
        <f>IF(ISBLANK(LCI_Table[[#This Row],[Notes for user]])," ",LCI_Table[[#This Row],[Notes for user]])</f>
        <v xml:space="preserve"> </v>
      </c>
      <c r="AA716" s="14"/>
      <c r="AB716" s="14"/>
      <c r="AC716" s="346">
        <f ca="1">LCI_Table[[#This Row],[Default Calculated Value]]-LCI_Table[[#This Row],[Calculated Value]]</f>
        <v>0</v>
      </c>
    </row>
    <row r="717" spans="1:29" x14ac:dyDescent="0.3">
      <c r="A7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STJGREETGREET(blank)_Poplar_Farming_GasolineGasoline</v>
      </c>
      <c r="B717" s="14" t="s">
        <v>132</v>
      </c>
      <c r="C717" s="14" t="s">
        <v>139</v>
      </c>
      <c r="D717" s="14" t="s">
        <v>29</v>
      </c>
      <c r="E717" s="48" t="s">
        <v>29</v>
      </c>
      <c r="F717" s="14" t="s">
        <v>31</v>
      </c>
      <c r="G717" s="14" t="b">
        <f>OR(LCI_Table[[#This Row],[Feedstock]]="All",LCI_Table[[#This Row],[Feedstock]]=SelectedFeedstock)</f>
        <v>0</v>
      </c>
      <c r="H717" s="14" t="b">
        <f>OR(LCI_Table[[#This Row],[Conversion]]="All",LCI_Table[[#This Row],[Conversion]]=SelectedConversion)</f>
        <v>0</v>
      </c>
      <c r="I717" s="14" t="b">
        <f>OR(LCI_Table[[#This Row],[Data Set]]="all",LCI_Table[[#This Row],[Data Set]]=SelectedDataSet)</f>
        <v>1</v>
      </c>
      <c r="J717" s="14" t="b">
        <f>OR(LCI_Table[[#This Row],[Technology]]="All",LCI_Table[[#This Row],[Technology]]=SelectedTechnology)</f>
        <v>1</v>
      </c>
      <c r="K717" s="14" t="b">
        <f>OR(LCI_Table[[#This Row],[Data Source]]="All",LCI_Table[[#This Row],[Data Source]]=SelectedDataSource)</f>
        <v>1</v>
      </c>
      <c r="L717" s="14" t="b">
        <f>TRUE</f>
        <v>1</v>
      </c>
      <c r="M717" s="14" t="b">
        <f>(LCI_Table[[#This Row],[Dev Notes]]="Do not display")</f>
        <v>0</v>
      </c>
      <c r="N717" s="14" t="b">
        <f>AND(LCI_Table[[#This Row],[Show Feedstock]:[Conditional]],NOT(LCI_Table[[#This Row],[Hide Row]]))</f>
        <v>0</v>
      </c>
      <c r="O717" s="14" t="b">
        <f>LCI_Table[[#This Row],[GREET1 Name Range]]=""</f>
        <v>0</v>
      </c>
      <c r="P717" s="14" t="s">
        <v>14</v>
      </c>
      <c r="Q717" s="14" t="s">
        <v>770</v>
      </c>
      <c r="R717" s="14" t="s">
        <v>107</v>
      </c>
      <c r="S717" s="37" cm="1">
        <f t="array" aca="1" ref="S7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17" s="346" t="s">
        <v>1484</v>
      </c>
      <c r="U717" s="347">
        <f ca="1">S717*Fuel_Specs!$B$15/S708</f>
        <v>0</v>
      </c>
      <c r="V717" s="347">
        <v>0</v>
      </c>
      <c r="W717" s="347">
        <v>0</v>
      </c>
      <c r="X717" s="14" t="s">
        <v>5</v>
      </c>
      <c r="Y717" s="346" t="s">
        <v>413</v>
      </c>
      <c r="Z717" s="14" t="str">
        <f>IF(ISBLANK(LCI_Table[[#This Row],[Notes for user]])," ",LCI_Table[[#This Row],[Notes for user]])</f>
        <v xml:space="preserve"> </v>
      </c>
      <c r="AA717" s="14"/>
      <c r="AB717" s="14"/>
      <c r="AC717" s="346">
        <f ca="1">LCI_Table[[#This Row],[Default Calculated Value]]-LCI_Table[[#This Row],[Calculated Value]]</f>
        <v>0</v>
      </c>
    </row>
    <row r="718" spans="1:29" x14ac:dyDescent="0.3">
      <c r="A7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STJGREETGREET(blank)_Poplar_Farming_Natural_gasNatural gas</v>
      </c>
      <c r="B718" s="14" t="s">
        <v>132</v>
      </c>
      <c r="C718" s="14" t="s">
        <v>139</v>
      </c>
      <c r="D718" s="14" t="s">
        <v>29</v>
      </c>
      <c r="E718" s="48" t="s">
        <v>29</v>
      </c>
      <c r="F718" s="14" t="s">
        <v>31</v>
      </c>
      <c r="G718" s="14" t="b">
        <f>OR(LCI_Table[[#This Row],[Feedstock]]="All",LCI_Table[[#This Row],[Feedstock]]=SelectedFeedstock)</f>
        <v>0</v>
      </c>
      <c r="H718" s="14" t="b">
        <f>OR(LCI_Table[[#This Row],[Conversion]]="All",LCI_Table[[#This Row],[Conversion]]=SelectedConversion)</f>
        <v>0</v>
      </c>
      <c r="I718" s="14" t="b">
        <f>OR(LCI_Table[[#This Row],[Data Set]]="all",LCI_Table[[#This Row],[Data Set]]=SelectedDataSet)</f>
        <v>1</v>
      </c>
      <c r="J718" s="14" t="b">
        <f>OR(LCI_Table[[#This Row],[Technology]]="All",LCI_Table[[#This Row],[Technology]]=SelectedTechnology)</f>
        <v>1</v>
      </c>
      <c r="K718" s="14" t="b">
        <f>OR(LCI_Table[[#This Row],[Data Source]]="All",LCI_Table[[#This Row],[Data Source]]=SelectedDataSource)</f>
        <v>1</v>
      </c>
      <c r="L718" s="14" t="b">
        <f>TRUE</f>
        <v>1</v>
      </c>
      <c r="M718" s="14" t="b">
        <f>(LCI_Table[[#This Row],[Dev Notes]]="Do not display")</f>
        <v>0</v>
      </c>
      <c r="N718" s="14" t="b">
        <f>AND(LCI_Table[[#This Row],[Show Feedstock]:[Conditional]],NOT(LCI_Table[[#This Row],[Hide Row]]))</f>
        <v>0</v>
      </c>
      <c r="O718" s="14" t="b">
        <f>LCI_Table[[#This Row],[GREET1 Name Range]]=""</f>
        <v>0</v>
      </c>
      <c r="P718" s="14" t="s">
        <v>14</v>
      </c>
      <c r="Q718" s="14" t="s">
        <v>775</v>
      </c>
      <c r="R718" s="14" t="s">
        <v>108</v>
      </c>
      <c r="S718" s="37" cm="1">
        <f t="array" aca="1" ref="S7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18" s="346" t="s">
        <v>2109</v>
      </c>
      <c r="U718" s="347">
        <f ca="1">S718*Fuel_Specs!$B$79/S708</f>
        <v>0</v>
      </c>
      <c r="V718" s="347">
        <v>0</v>
      </c>
      <c r="W718" s="347">
        <v>0</v>
      </c>
      <c r="X718" s="14" t="s">
        <v>351</v>
      </c>
      <c r="Y718" s="346" t="s">
        <v>413</v>
      </c>
      <c r="Z718" s="14" t="str">
        <f>IF(ISBLANK(LCI_Table[[#This Row],[Notes for user]])," ",LCI_Table[[#This Row],[Notes for user]])</f>
        <v xml:space="preserve"> </v>
      </c>
      <c r="AA718" s="14"/>
      <c r="AB718" s="14"/>
      <c r="AC718" s="346">
        <f ca="1">LCI_Table[[#This Row],[Default Calculated Value]]-LCI_Table[[#This Row],[Calculated Value]]</f>
        <v>0</v>
      </c>
    </row>
    <row r="719" spans="1:29" x14ac:dyDescent="0.3">
      <c r="A7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STJGREETGREET(blank)_Poplar_Farming_CoalCoal</v>
      </c>
      <c r="B719" s="14" t="s">
        <v>132</v>
      </c>
      <c r="C719" s="14" t="s">
        <v>139</v>
      </c>
      <c r="D719" s="14" t="s">
        <v>29</v>
      </c>
      <c r="E719" s="48" t="s">
        <v>29</v>
      </c>
      <c r="F719" s="14" t="s">
        <v>31</v>
      </c>
      <c r="G719" s="14" t="b">
        <f>OR(LCI_Table[[#This Row],[Feedstock]]="All",LCI_Table[[#This Row],[Feedstock]]=SelectedFeedstock)</f>
        <v>0</v>
      </c>
      <c r="H719" s="14" t="b">
        <f>OR(LCI_Table[[#This Row],[Conversion]]="All",LCI_Table[[#This Row],[Conversion]]=SelectedConversion)</f>
        <v>0</v>
      </c>
      <c r="I719" s="14" t="b">
        <f>OR(LCI_Table[[#This Row],[Data Set]]="all",LCI_Table[[#This Row],[Data Set]]=SelectedDataSet)</f>
        <v>1</v>
      </c>
      <c r="J719" s="14" t="b">
        <f>OR(LCI_Table[[#This Row],[Technology]]="All",LCI_Table[[#This Row],[Technology]]=SelectedTechnology)</f>
        <v>1</v>
      </c>
      <c r="K719" s="14" t="b">
        <f>OR(LCI_Table[[#This Row],[Data Source]]="All",LCI_Table[[#This Row],[Data Source]]=SelectedDataSource)</f>
        <v>1</v>
      </c>
      <c r="L719" s="14" t="b">
        <f>TRUE</f>
        <v>1</v>
      </c>
      <c r="M719" s="14" t="b">
        <f>(LCI_Table[[#This Row],[Dev Notes]]="Do not display")</f>
        <v>0</v>
      </c>
      <c r="N719" s="14" t="b">
        <f>AND(LCI_Table[[#This Row],[Show Feedstock]:[Conditional]],NOT(LCI_Table[[#This Row],[Hide Row]]))</f>
        <v>0</v>
      </c>
      <c r="O719" s="14" t="b">
        <f>LCI_Table[[#This Row],[GREET1 Name Range]]=""</f>
        <v>0</v>
      </c>
      <c r="P719" s="14" t="s">
        <v>14</v>
      </c>
      <c r="Q719" s="14" t="s">
        <v>767</v>
      </c>
      <c r="R719" s="14" t="s">
        <v>9</v>
      </c>
      <c r="S719" s="37" cm="1">
        <f t="array" aca="1" ref="S7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19" s="346" t="s">
        <v>2110</v>
      </c>
      <c r="U719" s="347">
        <f ca="1">S719/S708</f>
        <v>0</v>
      </c>
      <c r="V719" s="347">
        <v>0</v>
      </c>
      <c r="W719" s="347">
        <v>0</v>
      </c>
      <c r="X719" s="14" t="s">
        <v>117</v>
      </c>
      <c r="Y719" s="346" t="s">
        <v>413</v>
      </c>
      <c r="Z719" s="14" t="str">
        <f>IF(ISBLANK(LCI_Table[[#This Row],[Notes for user]])," ",LCI_Table[[#This Row],[Notes for user]])</f>
        <v xml:space="preserve"> </v>
      </c>
      <c r="AA719" s="14"/>
      <c r="AB719" s="14"/>
      <c r="AC719" s="346">
        <f ca="1">LCI_Table[[#This Row],[Default Calculated Value]]-LCI_Table[[#This Row],[Calculated Value]]</f>
        <v>0</v>
      </c>
    </row>
    <row r="720" spans="1:29" x14ac:dyDescent="0.3">
      <c r="A7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STJGREETGREET(blank)_Poplar_Farming_LPGLPG</v>
      </c>
      <c r="B720" s="14" t="s">
        <v>132</v>
      </c>
      <c r="C720" s="14" t="s">
        <v>139</v>
      </c>
      <c r="D720" s="14" t="s">
        <v>29</v>
      </c>
      <c r="E720" s="48" t="s">
        <v>29</v>
      </c>
      <c r="F720" s="14" t="s">
        <v>31</v>
      </c>
      <c r="G720" s="14" t="b">
        <f>OR(LCI_Table[[#This Row],[Feedstock]]="All",LCI_Table[[#This Row],[Feedstock]]=SelectedFeedstock)</f>
        <v>0</v>
      </c>
      <c r="H720" s="14" t="b">
        <f>OR(LCI_Table[[#This Row],[Conversion]]="All",LCI_Table[[#This Row],[Conversion]]=SelectedConversion)</f>
        <v>0</v>
      </c>
      <c r="I720" s="14" t="b">
        <f>OR(LCI_Table[[#This Row],[Data Set]]="all",LCI_Table[[#This Row],[Data Set]]=SelectedDataSet)</f>
        <v>1</v>
      </c>
      <c r="J720" s="14" t="b">
        <f>OR(LCI_Table[[#This Row],[Technology]]="All",LCI_Table[[#This Row],[Technology]]=SelectedTechnology)</f>
        <v>1</v>
      </c>
      <c r="K720" s="14" t="b">
        <f>OR(LCI_Table[[#This Row],[Data Source]]="All",LCI_Table[[#This Row],[Data Source]]=SelectedDataSource)</f>
        <v>1</v>
      </c>
      <c r="L720" s="14" t="b">
        <f>TRUE</f>
        <v>1</v>
      </c>
      <c r="M720" s="14" t="b">
        <f>(LCI_Table[[#This Row],[Dev Notes]]="Do not display")</f>
        <v>0</v>
      </c>
      <c r="N720" s="14" t="b">
        <f>AND(LCI_Table[[#This Row],[Show Feedstock]:[Conditional]],NOT(LCI_Table[[#This Row],[Hide Row]]))</f>
        <v>0</v>
      </c>
      <c r="O720" s="14" t="b">
        <f>LCI_Table[[#This Row],[GREET1 Name Range]]=""</f>
        <v>0</v>
      </c>
      <c r="P720" s="14" t="s">
        <v>14</v>
      </c>
      <c r="Q720" s="14" t="s">
        <v>774</v>
      </c>
      <c r="R720" s="14" t="s">
        <v>109</v>
      </c>
      <c r="S720" s="37" cm="1">
        <f t="array" aca="1" ref="S7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20" s="346" t="s">
        <v>1484</v>
      </c>
      <c r="U720" s="347">
        <f ca="1">S720*Fuel_Specs!$B$35/S708</f>
        <v>0</v>
      </c>
      <c r="V720" s="347">
        <v>0</v>
      </c>
      <c r="W720" s="347">
        <v>0</v>
      </c>
      <c r="X720" s="14" t="s">
        <v>5</v>
      </c>
      <c r="Y720" s="346" t="s">
        <v>413</v>
      </c>
      <c r="Z720" s="14" t="str">
        <f>IF(ISBLANK(LCI_Table[[#This Row],[Notes for user]])," ",LCI_Table[[#This Row],[Notes for user]])</f>
        <v xml:space="preserve"> </v>
      </c>
      <c r="AA720" s="14"/>
      <c r="AB720" s="14"/>
      <c r="AC720" s="346">
        <f ca="1">LCI_Table[[#This Row],[Default Calculated Value]]-LCI_Table[[#This Row],[Calculated Value]]</f>
        <v>0</v>
      </c>
    </row>
    <row r="721" spans="1:29" x14ac:dyDescent="0.3">
      <c r="A7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STJGREETGREET(blank)_Poplar_Farming_ElectricityElectricity</v>
      </c>
      <c r="B721" s="14" t="s">
        <v>132</v>
      </c>
      <c r="C721" s="14" t="s">
        <v>139</v>
      </c>
      <c r="D721" s="14" t="s">
        <v>29</v>
      </c>
      <c r="E721" s="48" t="s">
        <v>29</v>
      </c>
      <c r="F721" s="14" t="s">
        <v>31</v>
      </c>
      <c r="G721" s="14" t="b">
        <f>OR(LCI_Table[[#This Row],[Feedstock]]="All",LCI_Table[[#This Row],[Feedstock]]=SelectedFeedstock)</f>
        <v>0</v>
      </c>
      <c r="H721" s="14" t="b">
        <f>OR(LCI_Table[[#This Row],[Conversion]]="All",LCI_Table[[#This Row],[Conversion]]=SelectedConversion)</f>
        <v>0</v>
      </c>
      <c r="I721" s="14" t="b">
        <f>OR(LCI_Table[[#This Row],[Data Set]]="all",LCI_Table[[#This Row],[Data Set]]=SelectedDataSet)</f>
        <v>1</v>
      </c>
      <c r="J721" s="14" t="b">
        <f>OR(LCI_Table[[#This Row],[Technology]]="All",LCI_Table[[#This Row],[Technology]]=SelectedTechnology)</f>
        <v>1</v>
      </c>
      <c r="K721" s="14" t="b">
        <f>OR(LCI_Table[[#This Row],[Data Source]]="All",LCI_Table[[#This Row],[Data Source]]=SelectedDataSource)</f>
        <v>1</v>
      </c>
      <c r="L721" s="14" t="b">
        <f>TRUE</f>
        <v>1</v>
      </c>
      <c r="M721" s="14" t="b">
        <f>(LCI_Table[[#This Row],[Dev Notes]]="Do not display")</f>
        <v>0</v>
      </c>
      <c r="N721" s="14" t="b">
        <f>AND(LCI_Table[[#This Row],[Show Feedstock]:[Conditional]],NOT(LCI_Table[[#This Row],[Hide Row]]))</f>
        <v>0</v>
      </c>
      <c r="O721" s="14" t="b">
        <f>LCI_Table[[#This Row],[GREET1 Name Range]]=""</f>
        <v>0</v>
      </c>
      <c r="P721" s="14" t="s">
        <v>14</v>
      </c>
      <c r="Q721" s="14" t="s">
        <v>769</v>
      </c>
      <c r="R721" s="14" t="s">
        <v>110</v>
      </c>
      <c r="S721" s="37" cm="1">
        <f t="array" aca="1" ref="S7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21" s="346" t="s">
        <v>1561</v>
      </c>
      <c r="U721" s="347">
        <f ca="1">S721/BTU2kWh/S708</f>
        <v>0</v>
      </c>
      <c r="V721" s="347">
        <v>0</v>
      </c>
      <c r="W721" s="347">
        <v>0</v>
      </c>
      <c r="X721" s="14" t="s">
        <v>51</v>
      </c>
      <c r="Y721" s="346" t="s">
        <v>413</v>
      </c>
      <c r="Z721" s="14" t="str">
        <f>IF(ISBLANK(LCI_Table[[#This Row],[Notes for user]])," ",LCI_Table[[#This Row],[Notes for user]])</f>
        <v xml:space="preserve"> </v>
      </c>
      <c r="AA721" s="14"/>
      <c r="AB721" s="14"/>
      <c r="AC721" s="346">
        <f ca="1">LCI_Table[[#This Row],[Default Calculated Value]]-LCI_Table[[#This Row],[Calculated Value]]</f>
        <v>0</v>
      </c>
    </row>
    <row r="722" spans="1:29" x14ac:dyDescent="0.3">
      <c r="A7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STJGREETGREET(blank)_Cellulosic_Biological_STJ_Corn_stoverPoplar</v>
      </c>
      <c r="B722" s="14" t="s">
        <v>132</v>
      </c>
      <c r="C722" s="14" t="s">
        <v>139</v>
      </c>
      <c r="D722" s="14" t="s">
        <v>29</v>
      </c>
      <c r="E722" s="48" t="s">
        <v>29</v>
      </c>
      <c r="F722" s="14" t="s">
        <v>31</v>
      </c>
      <c r="G722" s="14" t="b">
        <f>OR(LCI_Table[[#This Row],[Feedstock]]="All",LCI_Table[[#This Row],[Feedstock]]=SelectedFeedstock)</f>
        <v>0</v>
      </c>
      <c r="H722" s="14" t="b">
        <f>OR(LCI_Table[[#This Row],[Conversion]]="All",LCI_Table[[#This Row],[Conversion]]=SelectedConversion)</f>
        <v>0</v>
      </c>
      <c r="I722" s="14" t="b">
        <f>OR(LCI_Table[[#This Row],[Data Set]]="all",LCI_Table[[#This Row],[Data Set]]=SelectedDataSet)</f>
        <v>1</v>
      </c>
      <c r="J722" s="14" t="b">
        <f>OR(LCI_Table[[#This Row],[Technology]]="All",LCI_Table[[#This Row],[Technology]]=SelectedTechnology)</f>
        <v>1</v>
      </c>
      <c r="K722" s="14" t="b">
        <f>OR(LCI_Table[[#This Row],[Data Source]]="All",LCI_Table[[#This Row],[Data Source]]=SelectedDataSource)</f>
        <v>1</v>
      </c>
      <c r="L722" s="14" t="b">
        <f>TRUE</f>
        <v>1</v>
      </c>
      <c r="M722" s="14" t="b">
        <f>(LCI_Table[[#This Row],[Dev Notes]]="Do not display")</f>
        <v>0</v>
      </c>
      <c r="N722" s="14" t="b">
        <f>AND(LCI_Table[[#This Row],[Show Feedstock]:[Conditional]],NOT(LCI_Table[[#This Row],[Hide Row]]))</f>
        <v>0</v>
      </c>
      <c r="O722" s="14" t="b">
        <f>LCI_Table[[#This Row],[GREET1 Name Range]]=""</f>
        <v>0</v>
      </c>
      <c r="P722" s="14" t="s">
        <v>1448</v>
      </c>
      <c r="Q722" s="14" t="s">
        <v>535</v>
      </c>
      <c r="R722" s="14" t="s">
        <v>132</v>
      </c>
      <c r="S722" s="37" cm="1">
        <f t="array" aca="1" ref="S7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525.83196221027515</v>
      </c>
      <c r="T722" s="346" t="s">
        <v>2119</v>
      </c>
      <c r="U722" s="347">
        <f ca="1">S722/kg2lb/Allocations!$O$71*MJ2mmBTU</f>
        <v>0.22606705224250326</v>
      </c>
      <c r="V722" s="347">
        <v>525.83196221027515</v>
      </c>
      <c r="W722" s="347">
        <v>0.22606705224250326</v>
      </c>
      <c r="X722" s="37" t="s">
        <v>12</v>
      </c>
      <c r="Y722" s="346" t="s">
        <v>416</v>
      </c>
      <c r="Z722" s="14" t="str">
        <f>IF(ISBLANK(LCI_Table[[#This Row],[Notes for user]])," ",LCI_Table[[#This Row],[Notes for user]])</f>
        <v xml:space="preserve"> </v>
      </c>
      <c r="AA722" s="14"/>
      <c r="AB722" s="14"/>
      <c r="AC722" s="346">
        <f ca="1">LCI_Table[[#This Row],[Default Calculated Value]]-LCI_Table[[#This Row],[Calculated Value]]</f>
        <v>0</v>
      </c>
    </row>
    <row r="723" spans="1:29" x14ac:dyDescent="0.3">
      <c r="A7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STJGREETGREET(blank)_Cellulosic_Biological_STJ_HydrogenHydrogen</v>
      </c>
      <c r="B723" s="14" t="s">
        <v>132</v>
      </c>
      <c r="C723" s="14" t="s">
        <v>139</v>
      </c>
      <c r="D723" s="14" t="s">
        <v>29</v>
      </c>
      <c r="E723" s="48" t="s">
        <v>29</v>
      </c>
      <c r="F723" s="14" t="s">
        <v>31</v>
      </c>
      <c r="G723" s="14" t="b">
        <f>OR(LCI_Table[[#This Row],[Feedstock]]="All",LCI_Table[[#This Row],[Feedstock]]=SelectedFeedstock)</f>
        <v>0</v>
      </c>
      <c r="H723" s="14" t="b">
        <f>OR(LCI_Table[[#This Row],[Conversion]]="All",LCI_Table[[#This Row],[Conversion]]=SelectedConversion)</f>
        <v>0</v>
      </c>
      <c r="I723" s="14" t="b">
        <f>OR(LCI_Table[[#This Row],[Data Set]]="all",LCI_Table[[#This Row],[Data Set]]=SelectedDataSet)</f>
        <v>1</v>
      </c>
      <c r="J723" s="14" t="b">
        <f>OR(LCI_Table[[#This Row],[Technology]]="All",LCI_Table[[#This Row],[Technology]]=SelectedTechnology)</f>
        <v>1</v>
      </c>
      <c r="K723" s="14" t="b">
        <f>OR(LCI_Table[[#This Row],[Data Source]]="All",LCI_Table[[#This Row],[Data Source]]=SelectedDataSource)</f>
        <v>1</v>
      </c>
      <c r="L723" s="14" t="b">
        <f>TRUE</f>
        <v>1</v>
      </c>
      <c r="M723" s="14" t="b">
        <f>(LCI_Table[[#This Row],[Dev Notes]]="Do not display")</f>
        <v>0</v>
      </c>
      <c r="N723" s="14" t="b">
        <f>AND(LCI_Table[[#This Row],[Show Feedstock]:[Conditional]],NOT(LCI_Table[[#This Row],[Hide Row]]))</f>
        <v>0</v>
      </c>
      <c r="O723" s="14" t="b">
        <f>LCI_Table[[#This Row],[GREET1 Name Range]]=""</f>
        <v>0</v>
      </c>
      <c r="P723" s="14" t="s">
        <v>1448</v>
      </c>
      <c r="Q723" s="14" t="s">
        <v>540</v>
      </c>
      <c r="R723" s="14" t="s">
        <v>73</v>
      </c>
      <c r="S723" s="37" cm="1">
        <f t="array" aca="1" ref="S7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423.82286488101443</v>
      </c>
      <c r="T723" s="346" t="s">
        <v>2120</v>
      </c>
      <c r="U723" s="347">
        <f ca="1">S723/kg2g*Fuel_Specs!$E$81/Allocations!$O$71*MJ2mmBTU</f>
        <v>1.0243517491956343E-3</v>
      </c>
      <c r="V723" s="347">
        <v>423.82286488101443</v>
      </c>
      <c r="W723" s="347">
        <v>1.0243517491956343E-3</v>
      </c>
      <c r="X723" s="37" t="s">
        <v>351</v>
      </c>
      <c r="Y723" s="346" t="s">
        <v>416</v>
      </c>
      <c r="Z723" s="14" t="str">
        <f>IF(ISBLANK(LCI_Table[[#This Row],[Notes for user]])," ",LCI_Table[[#This Row],[Notes for user]])</f>
        <v xml:space="preserve"> </v>
      </c>
      <c r="AA723" s="14"/>
      <c r="AB723" s="14"/>
      <c r="AC723" s="346">
        <f ca="1">LCI_Table[[#This Row],[Default Calculated Value]]-LCI_Table[[#This Row],[Calculated Value]]</f>
        <v>0</v>
      </c>
    </row>
    <row r="724" spans="1:29" x14ac:dyDescent="0.3">
      <c r="A7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STJGREETGREET(blank)_Cellulosic_Biological_STJ_AmmoniaAmmonia</v>
      </c>
      <c r="B724" s="14" t="s">
        <v>132</v>
      </c>
      <c r="C724" s="14" t="s">
        <v>139</v>
      </c>
      <c r="D724" s="14" t="s">
        <v>29</v>
      </c>
      <c r="E724" s="48" t="s">
        <v>29</v>
      </c>
      <c r="F724" s="14" t="s">
        <v>31</v>
      </c>
      <c r="G724" s="14" t="b">
        <f>OR(LCI_Table[[#This Row],[Feedstock]]="All",LCI_Table[[#This Row],[Feedstock]]=SelectedFeedstock)</f>
        <v>0</v>
      </c>
      <c r="H724" s="14" t="b">
        <f>OR(LCI_Table[[#This Row],[Conversion]]="All",LCI_Table[[#This Row],[Conversion]]=SelectedConversion)</f>
        <v>0</v>
      </c>
      <c r="I724" s="14" t="b">
        <f>OR(LCI_Table[[#This Row],[Data Set]]="all",LCI_Table[[#This Row],[Data Set]]=SelectedDataSet)</f>
        <v>1</v>
      </c>
      <c r="J724" s="14" t="b">
        <f>OR(LCI_Table[[#This Row],[Technology]]="All",LCI_Table[[#This Row],[Technology]]=SelectedTechnology)</f>
        <v>1</v>
      </c>
      <c r="K724" s="14" t="b">
        <f>OR(LCI_Table[[#This Row],[Data Source]]="All",LCI_Table[[#This Row],[Data Source]]=SelectedDataSource)</f>
        <v>1</v>
      </c>
      <c r="L724" s="14" t="b">
        <f>TRUE</f>
        <v>1</v>
      </c>
      <c r="M724" s="14" t="b">
        <f>(LCI_Table[[#This Row],[Dev Notes]]="Do not display")</f>
        <v>0</v>
      </c>
      <c r="N724" s="14" t="b">
        <f>AND(LCI_Table[[#This Row],[Show Feedstock]:[Conditional]],NOT(LCI_Table[[#This Row],[Hide Row]]))</f>
        <v>0</v>
      </c>
      <c r="O724" s="14" t="b">
        <f>LCI_Table[[#This Row],[GREET1 Name Range]]=""</f>
        <v>0</v>
      </c>
      <c r="P724" s="14" t="s">
        <v>1448</v>
      </c>
      <c r="Q724" s="14" t="s">
        <v>532</v>
      </c>
      <c r="R724" s="14" t="s">
        <v>382</v>
      </c>
      <c r="S724" s="37" cm="1">
        <f t="array" aca="1" ref="S7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1124.2530041827843</v>
      </c>
      <c r="T724" s="346" t="s">
        <v>2127</v>
      </c>
      <c r="U724" s="347">
        <f ca="1">S724/kg2g/Allocations!$O$71*MJ2mmBTU</f>
        <v>1.0655862475742722E-3</v>
      </c>
      <c r="V724" s="347">
        <v>1124.2530041827843</v>
      </c>
      <c r="W724" s="347">
        <v>1.0655862475742722E-3</v>
      </c>
      <c r="X724" s="37" t="s">
        <v>6</v>
      </c>
      <c r="Y724" s="346" t="s">
        <v>416</v>
      </c>
      <c r="Z724" s="14" t="str">
        <f>IF(ISBLANK(LCI_Table[[#This Row],[Notes for user]])," ",LCI_Table[[#This Row],[Notes for user]])</f>
        <v xml:space="preserve"> </v>
      </c>
      <c r="AA724" s="14"/>
      <c r="AB724" s="14"/>
      <c r="AC724" s="346">
        <f ca="1">LCI_Table[[#This Row],[Default Calculated Value]]-LCI_Table[[#This Row],[Calculated Value]]</f>
        <v>0</v>
      </c>
    </row>
    <row r="725" spans="1:29" x14ac:dyDescent="0.3">
      <c r="A7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STJGREETGREET(blank)_Cellulosic_Biological_STJ_Corn_oilDistillers Corn Oil</v>
      </c>
      <c r="B725" s="14" t="s">
        <v>132</v>
      </c>
      <c r="C725" s="14" t="s">
        <v>139</v>
      </c>
      <c r="D725" s="14" t="s">
        <v>29</v>
      </c>
      <c r="E725" s="48" t="s">
        <v>29</v>
      </c>
      <c r="F725" s="14" t="s">
        <v>31</v>
      </c>
      <c r="G725" s="14" t="b">
        <f>OR(LCI_Table[[#This Row],[Feedstock]]="All",LCI_Table[[#This Row],[Feedstock]]=SelectedFeedstock)</f>
        <v>0</v>
      </c>
      <c r="H725" s="14" t="b">
        <f>OR(LCI_Table[[#This Row],[Conversion]]="All",LCI_Table[[#This Row],[Conversion]]=SelectedConversion)</f>
        <v>0</v>
      </c>
      <c r="I725" s="14" t="b">
        <f>OR(LCI_Table[[#This Row],[Data Set]]="all",LCI_Table[[#This Row],[Data Set]]=SelectedDataSet)</f>
        <v>1</v>
      </c>
      <c r="J725" s="14" t="b">
        <f>OR(LCI_Table[[#This Row],[Technology]]="All",LCI_Table[[#This Row],[Technology]]=SelectedTechnology)</f>
        <v>1</v>
      </c>
      <c r="K725" s="14" t="b">
        <f>OR(LCI_Table[[#This Row],[Data Source]]="All",LCI_Table[[#This Row],[Data Source]]=SelectedDataSource)</f>
        <v>1</v>
      </c>
      <c r="L725" s="14" t="b">
        <f>TRUE</f>
        <v>1</v>
      </c>
      <c r="M725" s="14" t="b">
        <f>(LCI_Table[[#This Row],[Dev Notes]]="Do not display")</f>
        <v>0</v>
      </c>
      <c r="N725" s="14" t="b">
        <f>AND(LCI_Table[[#This Row],[Show Feedstock]:[Conditional]],NOT(LCI_Table[[#This Row],[Hide Row]]))</f>
        <v>0</v>
      </c>
      <c r="O725" s="14" t="b">
        <f>LCI_Table[[#This Row],[GREET1 Name Range]]=""</f>
        <v>0</v>
      </c>
      <c r="P725" s="14" t="s">
        <v>1448</v>
      </c>
      <c r="Q725" s="14" t="s">
        <v>533</v>
      </c>
      <c r="R725" s="14" t="s">
        <v>1911</v>
      </c>
      <c r="S725" s="37" cm="1">
        <f t="array" aca="1" ref="S7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295.37400720891884</v>
      </c>
      <c r="T725" s="346" t="s">
        <v>2127</v>
      </c>
      <c r="U725" s="347">
        <f ca="1">S725/kg2g/Allocations!$O$71*MJ2mmBTU</f>
        <v>2.7996054162338308E-4</v>
      </c>
      <c r="V725" s="347">
        <v>295.37400720891884</v>
      </c>
      <c r="W725" s="347">
        <v>2.7996054162338308E-4</v>
      </c>
      <c r="X725" s="37" t="s">
        <v>6</v>
      </c>
      <c r="Y725" s="346" t="s">
        <v>416</v>
      </c>
      <c r="Z725" s="14" t="str">
        <f>IF(ISBLANK(LCI_Table[[#This Row],[Notes for user]])," ",LCI_Table[[#This Row],[Notes for user]])</f>
        <v xml:space="preserve"> </v>
      </c>
      <c r="AA725" s="14"/>
      <c r="AB725" s="14"/>
      <c r="AC725" s="346">
        <f ca="1">LCI_Table[[#This Row],[Default Calculated Value]]-LCI_Table[[#This Row],[Calculated Value]]</f>
        <v>0</v>
      </c>
    </row>
    <row r="726" spans="1:29" x14ac:dyDescent="0.3">
      <c r="A7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STJGREETGREET(blank)_Cellulosic_Biological_STJ_Corn_steep_liquorCorn steep liquor</v>
      </c>
      <c r="B726" s="14" t="s">
        <v>132</v>
      </c>
      <c r="C726" s="14" t="s">
        <v>139</v>
      </c>
      <c r="D726" s="14" t="s">
        <v>29</v>
      </c>
      <c r="E726" s="48" t="s">
        <v>29</v>
      </c>
      <c r="F726" s="14" t="s">
        <v>31</v>
      </c>
      <c r="G726" s="14" t="b">
        <f>OR(LCI_Table[[#This Row],[Feedstock]]="All",LCI_Table[[#This Row],[Feedstock]]=SelectedFeedstock)</f>
        <v>0</v>
      </c>
      <c r="H726" s="14" t="b">
        <f>OR(LCI_Table[[#This Row],[Conversion]]="All",LCI_Table[[#This Row],[Conversion]]=SelectedConversion)</f>
        <v>0</v>
      </c>
      <c r="I726" s="14" t="b">
        <f>OR(LCI_Table[[#This Row],[Data Set]]="all",LCI_Table[[#This Row],[Data Set]]=SelectedDataSet)</f>
        <v>1</v>
      </c>
      <c r="J726" s="14" t="b">
        <f>OR(LCI_Table[[#This Row],[Technology]]="All",LCI_Table[[#This Row],[Technology]]=SelectedTechnology)</f>
        <v>1</v>
      </c>
      <c r="K726" s="14" t="b">
        <f>OR(LCI_Table[[#This Row],[Data Source]]="All",LCI_Table[[#This Row],[Data Source]]=SelectedDataSource)</f>
        <v>1</v>
      </c>
      <c r="L726" s="14" t="b">
        <f>TRUE</f>
        <v>1</v>
      </c>
      <c r="M726" s="14" t="b">
        <f>(LCI_Table[[#This Row],[Dev Notes]]="Do not display")</f>
        <v>0</v>
      </c>
      <c r="N726" s="14" t="b">
        <f>AND(LCI_Table[[#This Row],[Show Feedstock]:[Conditional]],NOT(LCI_Table[[#This Row],[Hide Row]]))</f>
        <v>0</v>
      </c>
      <c r="O726" s="14" t="b">
        <f>LCI_Table[[#This Row],[GREET1 Name Range]]=""</f>
        <v>0</v>
      </c>
      <c r="P726" s="14" t="s">
        <v>1448</v>
      </c>
      <c r="Q726" s="14" t="s">
        <v>534</v>
      </c>
      <c r="R726" s="14" t="s">
        <v>386</v>
      </c>
      <c r="S726" s="37" cm="1">
        <f t="array" aca="1" ref="S7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3402.525385367856</v>
      </c>
      <c r="T726" s="346" t="s">
        <v>2127</v>
      </c>
      <c r="U726" s="347">
        <f ca="1">S726/kg2g/Allocations!$O$71*MJ2mmBTU</f>
        <v>3.2249718205608316E-3</v>
      </c>
      <c r="V726" s="347">
        <v>3402.525385367856</v>
      </c>
      <c r="W726" s="347">
        <v>3.2249718205608316E-3</v>
      </c>
      <c r="X726" s="37" t="s">
        <v>6</v>
      </c>
      <c r="Y726" s="346" t="s">
        <v>416</v>
      </c>
      <c r="Z726" s="14" t="str">
        <f>IF(ISBLANK(LCI_Table[[#This Row],[Notes for user]])," ",LCI_Table[[#This Row],[Notes for user]])</f>
        <v xml:space="preserve"> </v>
      </c>
      <c r="AA726" s="14"/>
      <c r="AB726" s="14"/>
      <c r="AC726" s="346">
        <f ca="1">LCI_Table[[#This Row],[Default Calculated Value]]-LCI_Table[[#This Row],[Calculated Value]]</f>
        <v>0</v>
      </c>
    </row>
    <row r="727" spans="1:29" x14ac:dyDescent="0.3">
      <c r="A7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STJGREETGREET(blank)_Cellulosic_Biological_STJ_DAPDAP</v>
      </c>
      <c r="B727" s="14" t="s">
        <v>132</v>
      </c>
      <c r="C727" s="14" t="s">
        <v>139</v>
      </c>
      <c r="D727" s="14" t="s">
        <v>29</v>
      </c>
      <c r="E727" s="48" t="s">
        <v>29</v>
      </c>
      <c r="F727" s="14" t="s">
        <v>31</v>
      </c>
      <c r="G727" s="14" t="b">
        <f>OR(LCI_Table[[#This Row],[Feedstock]]="All",LCI_Table[[#This Row],[Feedstock]]=SelectedFeedstock)</f>
        <v>0</v>
      </c>
      <c r="H727" s="14" t="b">
        <f>OR(LCI_Table[[#This Row],[Conversion]]="All",LCI_Table[[#This Row],[Conversion]]=SelectedConversion)</f>
        <v>0</v>
      </c>
      <c r="I727" s="14" t="b">
        <f>OR(LCI_Table[[#This Row],[Data Set]]="all",LCI_Table[[#This Row],[Data Set]]=SelectedDataSet)</f>
        <v>1</v>
      </c>
      <c r="J727" s="14" t="b">
        <f>OR(LCI_Table[[#This Row],[Technology]]="All",LCI_Table[[#This Row],[Technology]]=SelectedTechnology)</f>
        <v>1</v>
      </c>
      <c r="K727" s="14" t="b">
        <f>OR(LCI_Table[[#This Row],[Data Source]]="All",LCI_Table[[#This Row],[Data Source]]=SelectedDataSource)</f>
        <v>1</v>
      </c>
      <c r="L727" s="14" t="b">
        <f>TRUE</f>
        <v>1</v>
      </c>
      <c r="M727" s="14" t="b">
        <f>(LCI_Table[[#This Row],[Dev Notes]]="Do not display")</f>
        <v>0</v>
      </c>
      <c r="N727" s="14" t="b">
        <f>AND(LCI_Table[[#This Row],[Show Feedstock]:[Conditional]],NOT(LCI_Table[[#This Row],[Hide Row]]))</f>
        <v>0</v>
      </c>
      <c r="O727" s="14" t="b">
        <f>LCI_Table[[#This Row],[GREET1 Name Range]]=""</f>
        <v>0</v>
      </c>
      <c r="P727" s="14" t="s">
        <v>1448</v>
      </c>
      <c r="Q727" s="14" t="s">
        <v>536</v>
      </c>
      <c r="R727" s="14" t="s">
        <v>383</v>
      </c>
      <c r="S727" s="37" cm="1">
        <f t="array" aca="1" ref="S7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290.79456523668756</v>
      </c>
      <c r="T727" s="346" t="s">
        <v>2127</v>
      </c>
      <c r="U727" s="347">
        <f ca="1">S727/kg2g/Allocations!$O$71*MJ2mmBTU</f>
        <v>2.7562006810984228E-4</v>
      </c>
      <c r="V727" s="347">
        <v>290.79456523668756</v>
      </c>
      <c r="W727" s="347">
        <v>2.7562006810984228E-4</v>
      </c>
      <c r="X727" s="37" t="s">
        <v>6</v>
      </c>
      <c r="Y727" s="346" t="s">
        <v>416</v>
      </c>
      <c r="Z727" s="14" t="str">
        <f>IF(ISBLANK(LCI_Table[[#This Row],[Notes for user]])," ",LCI_Table[[#This Row],[Notes for user]])</f>
        <v xml:space="preserve"> </v>
      </c>
      <c r="AA727" s="14"/>
      <c r="AB727" s="14"/>
      <c r="AC727" s="346">
        <f ca="1">LCI_Table[[#This Row],[Default Calculated Value]]-LCI_Table[[#This Row],[Calculated Value]]</f>
        <v>0</v>
      </c>
    </row>
    <row r="728" spans="1:29" x14ac:dyDescent="0.3">
      <c r="A7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STJGREETGREET(blank)_Cellulosic_Biological_STJ_GlucoseGlucose</v>
      </c>
      <c r="B728" s="14" t="s">
        <v>132</v>
      </c>
      <c r="C728" s="14" t="s">
        <v>139</v>
      </c>
      <c r="D728" s="14" t="s">
        <v>29</v>
      </c>
      <c r="E728" s="48" t="s">
        <v>29</v>
      </c>
      <c r="F728" s="14" t="s">
        <v>31</v>
      </c>
      <c r="G728" s="14" t="b">
        <f>OR(LCI_Table[[#This Row],[Feedstock]]="All",LCI_Table[[#This Row],[Feedstock]]=SelectedFeedstock)</f>
        <v>0</v>
      </c>
      <c r="H728" s="14" t="b">
        <f>OR(LCI_Table[[#This Row],[Conversion]]="All",LCI_Table[[#This Row],[Conversion]]=SelectedConversion)</f>
        <v>0</v>
      </c>
      <c r="I728" s="14" t="b">
        <f>OR(LCI_Table[[#This Row],[Data Set]]="all",LCI_Table[[#This Row],[Data Set]]=SelectedDataSet)</f>
        <v>1</v>
      </c>
      <c r="J728" s="14" t="b">
        <f>OR(LCI_Table[[#This Row],[Technology]]="All",LCI_Table[[#This Row],[Technology]]=SelectedTechnology)</f>
        <v>1</v>
      </c>
      <c r="K728" s="14" t="b">
        <f>OR(LCI_Table[[#This Row],[Data Source]]="All",LCI_Table[[#This Row],[Data Source]]=SelectedDataSource)</f>
        <v>1</v>
      </c>
      <c r="L728" s="14" t="b">
        <f>TRUE</f>
        <v>1</v>
      </c>
      <c r="M728" s="14" t="b">
        <f>(LCI_Table[[#This Row],[Dev Notes]]="Do not display")</f>
        <v>0</v>
      </c>
      <c r="N728" s="14" t="b">
        <f>AND(LCI_Table[[#This Row],[Show Feedstock]:[Conditional]],NOT(LCI_Table[[#This Row],[Hide Row]]))</f>
        <v>0</v>
      </c>
      <c r="O728" s="14" t="b">
        <f>LCI_Table[[#This Row],[GREET1 Name Range]]=""</f>
        <v>0</v>
      </c>
      <c r="P728" s="14" t="s">
        <v>1448</v>
      </c>
      <c r="Q728" s="14" t="s">
        <v>538</v>
      </c>
      <c r="R728" s="14" t="s">
        <v>387</v>
      </c>
      <c r="S728" s="37" cm="1">
        <f t="array" aca="1" ref="S7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2777.431556158283</v>
      </c>
      <c r="T728" s="346" t="s">
        <v>2127</v>
      </c>
      <c r="U728" s="347">
        <f ca="1">S728/kg2g/Allocations!$O$71*MJ2mmBTU</f>
        <v>2.632497185962509E-3</v>
      </c>
      <c r="V728" s="347">
        <v>2777.431556158283</v>
      </c>
      <c r="W728" s="347">
        <v>2.632497185962509E-3</v>
      </c>
      <c r="X728" s="37" t="s">
        <v>6</v>
      </c>
      <c r="Y728" s="346" t="s">
        <v>416</v>
      </c>
      <c r="Z728" s="14" t="str">
        <f>IF(ISBLANK(LCI_Table[[#This Row],[Notes for user]])," ",LCI_Table[[#This Row],[Notes for user]])</f>
        <v xml:space="preserve"> </v>
      </c>
      <c r="AA728" s="14"/>
      <c r="AB728" s="14"/>
      <c r="AC728" s="346">
        <f ca="1">LCI_Table[[#This Row],[Default Calculated Value]]-LCI_Table[[#This Row],[Calculated Value]]</f>
        <v>0</v>
      </c>
    </row>
    <row r="729" spans="1:29" x14ac:dyDescent="0.3">
      <c r="A7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STJGREETGREET(blank)_Cellulosic_Biological_STJ_Host_nutrientsHost nutrients</v>
      </c>
      <c r="B729" s="14" t="s">
        <v>132</v>
      </c>
      <c r="C729" s="14" t="s">
        <v>139</v>
      </c>
      <c r="D729" s="14" t="s">
        <v>29</v>
      </c>
      <c r="E729" s="48" t="s">
        <v>29</v>
      </c>
      <c r="F729" s="14" t="s">
        <v>31</v>
      </c>
      <c r="G729" s="14" t="b">
        <f>OR(LCI_Table[[#This Row],[Feedstock]]="All",LCI_Table[[#This Row],[Feedstock]]=SelectedFeedstock)</f>
        <v>0</v>
      </c>
      <c r="H729" s="14" t="b">
        <f>OR(LCI_Table[[#This Row],[Conversion]]="All",LCI_Table[[#This Row],[Conversion]]=SelectedConversion)</f>
        <v>0</v>
      </c>
      <c r="I729" s="14" t="b">
        <f>OR(LCI_Table[[#This Row],[Data Set]]="all",LCI_Table[[#This Row],[Data Set]]=SelectedDataSet)</f>
        <v>1</v>
      </c>
      <c r="J729" s="14" t="b">
        <f>OR(LCI_Table[[#This Row],[Technology]]="All",LCI_Table[[#This Row],[Technology]]=SelectedTechnology)</f>
        <v>1</v>
      </c>
      <c r="K729" s="14" t="b">
        <f>OR(LCI_Table[[#This Row],[Data Source]]="All",LCI_Table[[#This Row],[Data Source]]=SelectedDataSource)</f>
        <v>1</v>
      </c>
      <c r="L729" s="14" t="b">
        <f>TRUE</f>
        <v>1</v>
      </c>
      <c r="M729" s="14" t="b">
        <f>(LCI_Table[[#This Row],[Dev Notes]]="Do not display")</f>
        <v>0</v>
      </c>
      <c r="N729" s="14" t="b">
        <f>AND(LCI_Table[[#This Row],[Show Feedstock]:[Conditional]],NOT(LCI_Table[[#This Row],[Hide Row]]))</f>
        <v>0</v>
      </c>
      <c r="O729" s="14" t="b">
        <f>LCI_Table[[#This Row],[GREET1 Name Range]]=""</f>
        <v>0</v>
      </c>
      <c r="P729" s="14" t="s">
        <v>1448</v>
      </c>
      <c r="Q729" s="14" t="s">
        <v>539</v>
      </c>
      <c r="R729" s="14" t="s">
        <v>388</v>
      </c>
      <c r="S729" s="37" cm="1">
        <f t="array" aca="1" ref="S7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77.850513527932108</v>
      </c>
      <c r="T729" s="346" t="s">
        <v>2127</v>
      </c>
      <c r="U729" s="347">
        <f ca="1">S729/kg2g/Allocations!$O$71*MJ2mmBTU</f>
        <v>7.3788049730194008E-5</v>
      </c>
      <c r="V729" s="347">
        <v>77.850513527932108</v>
      </c>
      <c r="W729" s="347">
        <v>7.3788049730194008E-5</v>
      </c>
      <c r="X729" s="37" t="s">
        <v>6</v>
      </c>
      <c r="Y729" s="346" t="s">
        <v>416</v>
      </c>
      <c r="Z729" s="14" t="str">
        <f>IF(ISBLANK(LCI_Table[[#This Row],[Notes for user]])," ",LCI_Table[[#This Row],[Notes for user]])</f>
        <v xml:space="preserve"> </v>
      </c>
      <c r="AA729" s="14"/>
      <c r="AB729" s="14"/>
      <c r="AC729" s="346">
        <f ca="1">LCI_Table[[#This Row],[Default Calculated Value]]-LCI_Table[[#This Row],[Calculated Value]]</f>
        <v>0</v>
      </c>
    </row>
    <row r="730" spans="1:29" x14ac:dyDescent="0.3">
      <c r="A7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STJGREETGREET(blank)_Cellulosic_Biological_STJ_LimeLime</v>
      </c>
      <c r="B730" s="14" t="s">
        <v>132</v>
      </c>
      <c r="C730" s="14" t="s">
        <v>139</v>
      </c>
      <c r="D730" s="14" t="s">
        <v>29</v>
      </c>
      <c r="E730" s="48" t="s">
        <v>29</v>
      </c>
      <c r="F730" s="14" t="s">
        <v>31</v>
      </c>
      <c r="G730" s="14" t="b">
        <f>OR(LCI_Table[[#This Row],[Feedstock]]="All",LCI_Table[[#This Row],[Feedstock]]=SelectedFeedstock)</f>
        <v>0</v>
      </c>
      <c r="H730" s="14" t="b">
        <f>OR(LCI_Table[[#This Row],[Conversion]]="All",LCI_Table[[#This Row],[Conversion]]=SelectedConversion)</f>
        <v>0</v>
      </c>
      <c r="I730" s="14" t="b">
        <f>OR(LCI_Table[[#This Row],[Data Set]]="all",LCI_Table[[#This Row],[Data Set]]=SelectedDataSet)</f>
        <v>1</v>
      </c>
      <c r="J730" s="14" t="b">
        <f>OR(LCI_Table[[#This Row],[Technology]]="All",LCI_Table[[#This Row],[Technology]]=SelectedTechnology)</f>
        <v>1</v>
      </c>
      <c r="K730" s="14" t="b">
        <f>OR(LCI_Table[[#This Row],[Data Source]]="All",LCI_Table[[#This Row],[Data Source]]=SelectedDataSource)</f>
        <v>1</v>
      </c>
      <c r="L730" s="14" t="b">
        <f>TRUE</f>
        <v>1</v>
      </c>
      <c r="M730" s="14" t="b">
        <f>(LCI_Table[[#This Row],[Dev Notes]]="Do not display")</f>
        <v>0</v>
      </c>
      <c r="N730" s="14" t="b">
        <f>AND(LCI_Table[[#This Row],[Show Feedstock]:[Conditional]],NOT(LCI_Table[[#This Row],[Hide Row]]))</f>
        <v>0</v>
      </c>
      <c r="O730" s="14" t="b">
        <f>LCI_Table[[#This Row],[GREET1 Name Range]]=""</f>
        <v>0</v>
      </c>
      <c r="P730" s="14" t="s">
        <v>1448</v>
      </c>
      <c r="Q730" s="14" t="s">
        <v>541</v>
      </c>
      <c r="R730" s="14" t="s">
        <v>143</v>
      </c>
      <c r="S730" s="37" cm="1">
        <f t="array" aca="1" ref="S7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437.33670834808913</v>
      </c>
      <c r="T730" s="346" t="s">
        <v>2127</v>
      </c>
      <c r="U730" s="347">
        <f ca="1">S730/kg2g/Allocations!$O$71*MJ2mmBTU</f>
        <v>4.1451522054314859E-4</v>
      </c>
      <c r="V730" s="347">
        <v>437.33670834808913</v>
      </c>
      <c r="W730" s="347">
        <v>4.1451522054314859E-4</v>
      </c>
      <c r="X730" s="14" t="s">
        <v>6</v>
      </c>
      <c r="Y730" s="346" t="s">
        <v>416</v>
      </c>
      <c r="Z730" s="14" t="str">
        <f>IF(ISBLANK(LCI_Table[[#This Row],[Notes for user]])," ",LCI_Table[[#This Row],[Notes for user]])</f>
        <v xml:space="preserve"> </v>
      </c>
      <c r="AA730" s="14"/>
      <c r="AB730" s="14"/>
      <c r="AC730" s="346">
        <f ca="1">LCI_Table[[#This Row],[Default Calculated Value]]-LCI_Table[[#This Row],[Calculated Value]]</f>
        <v>0</v>
      </c>
    </row>
    <row r="731" spans="1:29" x14ac:dyDescent="0.3">
      <c r="A7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STJGREETGREET(blank)_Cellulosic_Biological_STJ_Sulfuric_acidSulfuric acid</v>
      </c>
      <c r="B731" s="14" t="s">
        <v>132</v>
      </c>
      <c r="C731" s="14" t="s">
        <v>139</v>
      </c>
      <c r="D731" s="14" t="s">
        <v>29</v>
      </c>
      <c r="E731" s="48" t="s">
        <v>29</v>
      </c>
      <c r="F731" s="14" t="s">
        <v>31</v>
      </c>
      <c r="G731" s="14" t="b">
        <f>OR(LCI_Table[[#This Row],[Feedstock]]="All",LCI_Table[[#This Row],[Feedstock]]=SelectedFeedstock)</f>
        <v>0</v>
      </c>
      <c r="H731" s="14" t="b">
        <f>OR(LCI_Table[[#This Row],[Conversion]]="All",LCI_Table[[#This Row],[Conversion]]=SelectedConversion)</f>
        <v>0</v>
      </c>
      <c r="I731" s="14" t="b">
        <f>OR(LCI_Table[[#This Row],[Data Set]]="all",LCI_Table[[#This Row],[Data Set]]=SelectedDataSet)</f>
        <v>1</v>
      </c>
      <c r="J731" s="14" t="b">
        <f>OR(LCI_Table[[#This Row],[Technology]]="All",LCI_Table[[#This Row],[Technology]]=SelectedTechnology)</f>
        <v>1</v>
      </c>
      <c r="K731" s="14" t="b">
        <f>OR(LCI_Table[[#This Row],[Data Source]]="All",LCI_Table[[#This Row],[Data Source]]=SelectedDataSource)</f>
        <v>1</v>
      </c>
      <c r="L731" s="14" t="b">
        <f>TRUE</f>
        <v>1</v>
      </c>
      <c r="M731" s="14" t="b">
        <f>(LCI_Table[[#This Row],[Dev Notes]]="Do not display")</f>
        <v>0</v>
      </c>
      <c r="N731" s="14" t="b">
        <f>AND(LCI_Table[[#This Row],[Show Feedstock]:[Conditional]],NOT(LCI_Table[[#This Row],[Hide Row]]))</f>
        <v>0</v>
      </c>
      <c r="O731" s="14" t="b">
        <f>LCI_Table[[#This Row],[GREET1 Name Range]]=""</f>
        <v>0</v>
      </c>
      <c r="P731" s="14" t="s">
        <v>1448</v>
      </c>
      <c r="Q731" s="14" t="s">
        <v>542</v>
      </c>
      <c r="R731" s="14" t="s">
        <v>384</v>
      </c>
      <c r="S731" s="37" cm="1">
        <f t="array" aca="1" ref="S7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5128.9750088990568</v>
      </c>
      <c r="T731" s="346" t="s">
        <v>2127</v>
      </c>
      <c r="U731" s="347">
        <f ca="1">S731/kg2g/Allocations!$O$71*MJ2mmBTU</f>
        <v>4.8613303351657229E-3</v>
      </c>
      <c r="V731" s="347">
        <v>5128.9750088990568</v>
      </c>
      <c r="W731" s="347">
        <v>4.8613303351657229E-3</v>
      </c>
      <c r="X731" s="37" t="s">
        <v>6</v>
      </c>
      <c r="Y731" s="346" t="s">
        <v>416</v>
      </c>
      <c r="Z731" s="14" t="str">
        <f>IF(ISBLANK(LCI_Table[[#This Row],[Notes for user]])," ",LCI_Table[[#This Row],[Notes for user]])</f>
        <v xml:space="preserve"> </v>
      </c>
      <c r="AA731" s="14"/>
      <c r="AB731" s="14"/>
      <c r="AC731" s="346">
        <f ca="1">LCI_Table[[#This Row],[Default Calculated Value]]-LCI_Table[[#This Row],[Calculated Value]]</f>
        <v>0</v>
      </c>
    </row>
    <row r="732" spans="1:29" x14ac:dyDescent="0.3">
      <c r="A7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STJGREETGREET(blank)_Cellulosic_Biological_STJ_WaterWater</v>
      </c>
      <c r="B732" s="14" t="s">
        <v>132</v>
      </c>
      <c r="C732" s="14" t="s">
        <v>139</v>
      </c>
      <c r="D732" s="14" t="s">
        <v>29</v>
      </c>
      <c r="E732" s="48" t="s">
        <v>29</v>
      </c>
      <c r="F732" s="14" t="s">
        <v>31</v>
      </c>
      <c r="G732" s="14" t="b">
        <f>OR(LCI_Table[[#This Row],[Feedstock]]="All",LCI_Table[[#This Row],[Feedstock]]=SelectedFeedstock)</f>
        <v>0</v>
      </c>
      <c r="H732" s="14" t="b">
        <f>OR(LCI_Table[[#This Row],[Conversion]]="All",LCI_Table[[#This Row],[Conversion]]=SelectedConversion)</f>
        <v>0</v>
      </c>
      <c r="I732" s="14" t="b">
        <f>OR(LCI_Table[[#This Row],[Data Set]]="all",LCI_Table[[#This Row],[Data Set]]=SelectedDataSet)</f>
        <v>1</v>
      </c>
      <c r="J732" s="14" t="b">
        <f>OR(LCI_Table[[#This Row],[Technology]]="All",LCI_Table[[#This Row],[Technology]]=SelectedTechnology)</f>
        <v>1</v>
      </c>
      <c r="K732" s="14" t="b">
        <f>OR(LCI_Table[[#This Row],[Data Source]]="All",LCI_Table[[#This Row],[Data Source]]=SelectedDataSource)</f>
        <v>1</v>
      </c>
      <c r="L732" s="14" t="b">
        <f>TRUE</f>
        <v>1</v>
      </c>
      <c r="M732" s="14" t="b">
        <f>(LCI_Table[[#This Row],[Dev Notes]]="Do not display")</f>
        <v>0</v>
      </c>
      <c r="N732" s="14" t="b">
        <f>AND(LCI_Table[[#This Row],[Show Feedstock]:[Conditional]],NOT(LCI_Table[[#This Row],[Hide Row]]))</f>
        <v>0</v>
      </c>
      <c r="O732" s="14" t="b">
        <f>LCI_Table[[#This Row],[GREET1 Name Range]]=""</f>
        <v>0</v>
      </c>
      <c r="P732" s="14" t="s">
        <v>1448</v>
      </c>
      <c r="Q732" s="14" t="s">
        <v>543</v>
      </c>
      <c r="R732" s="14" t="s">
        <v>146</v>
      </c>
      <c r="S732" s="37" cm="1">
        <f t="array" aca="1" ref="S7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133.25118652693723</v>
      </c>
      <c r="T732" s="346" t="s">
        <v>2128</v>
      </c>
      <c r="U732" s="347">
        <f ca="1">S732/kg2lb*Fuel_Specs!$K$4/Allocations!$O$71*MJ2mmBTU</f>
        <v>0.47667948220408035</v>
      </c>
      <c r="V732" s="347">
        <v>133.25118652693723</v>
      </c>
      <c r="W732" s="347">
        <v>0.47667948220408035</v>
      </c>
      <c r="X732" s="37" t="s">
        <v>5</v>
      </c>
      <c r="Y732" s="346" t="s">
        <v>416</v>
      </c>
      <c r="Z732" s="14" t="str">
        <f>IF(ISBLANK(LCI_Table[[#This Row],[Notes for user]])," ",LCI_Table[[#This Row],[Notes for user]])</f>
        <v xml:space="preserve"> </v>
      </c>
      <c r="AA732" s="14"/>
      <c r="AB732" s="14"/>
      <c r="AC732" s="346">
        <f ca="1">LCI_Table[[#This Row],[Default Calculated Value]]-LCI_Table[[#This Row],[Calculated Value]]</f>
        <v>0</v>
      </c>
    </row>
    <row r="733" spans="1:29" x14ac:dyDescent="0.3">
      <c r="A7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PoplarBiological STJGREETGREET(blank)_Cellulosic_Biological_STJ_Electricity_co_producedElectricity (co-produced)</v>
      </c>
      <c r="B733" s="14" t="s">
        <v>132</v>
      </c>
      <c r="C733" s="14" t="s">
        <v>139</v>
      </c>
      <c r="D733" s="14" t="s">
        <v>29</v>
      </c>
      <c r="E733" s="48" t="s">
        <v>29</v>
      </c>
      <c r="F733" s="14" t="s">
        <v>31</v>
      </c>
      <c r="G733" s="14" t="b">
        <f>OR(LCI_Table[[#This Row],[Feedstock]]="All",LCI_Table[[#This Row],[Feedstock]]=SelectedFeedstock)</f>
        <v>0</v>
      </c>
      <c r="H733" s="14" t="b">
        <f>OR(LCI_Table[[#This Row],[Conversion]]="All",LCI_Table[[#This Row],[Conversion]]=SelectedConversion)</f>
        <v>0</v>
      </c>
      <c r="I733" s="14" t="b">
        <f>OR(LCI_Table[[#This Row],[Data Set]]="all",LCI_Table[[#This Row],[Data Set]]=SelectedDataSet)</f>
        <v>1</v>
      </c>
      <c r="J733" s="14" t="b">
        <f>OR(LCI_Table[[#This Row],[Technology]]="All",LCI_Table[[#This Row],[Technology]]=SelectedTechnology)</f>
        <v>1</v>
      </c>
      <c r="K733" s="14" t="b">
        <f>OR(LCI_Table[[#This Row],[Data Source]]="All",LCI_Table[[#This Row],[Data Source]]=SelectedDataSource)</f>
        <v>1</v>
      </c>
      <c r="L733" s="14" t="b">
        <f>TRUE</f>
        <v>1</v>
      </c>
      <c r="M733" s="14" t="b">
        <f>(LCI_Table[[#This Row],[Dev Notes]]="Do not display")</f>
        <v>0</v>
      </c>
      <c r="N733" s="14" t="b">
        <f>AND(LCI_Table[[#This Row],[Show Feedstock]:[Conditional]],NOT(LCI_Table[[#This Row],[Hide Row]]))</f>
        <v>0</v>
      </c>
      <c r="O733" s="14" t="b">
        <f>LCI_Table[[#This Row],[GREET1 Name Range]]=""</f>
        <v>0</v>
      </c>
      <c r="P733" s="14" t="s">
        <v>1448</v>
      </c>
      <c r="Q733" s="14" t="s">
        <v>537</v>
      </c>
      <c r="R733" s="14" t="s">
        <v>439</v>
      </c>
      <c r="S733" s="37" cm="1">
        <f t="array" aca="1" ref="S7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23.554359784171666</v>
      </c>
      <c r="T733" s="346" t="s">
        <v>2121</v>
      </c>
      <c r="U733" s="347">
        <f ca="1">S733/Allocations!$O$71*MJ2mmBTU</f>
        <v>2.2325225516897199E-2</v>
      </c>
      <c r="V733" s="347">
        <v>23.554359784171666</v>
      </c>
      <c r="W733" s="347">
        <v>2.2325225516897199E-2</v>
      </c>
      <c r="X733" s="37" t="s">
        <v>51</v>
      </c>
      <c r="Y733" s="346" t="s">
        <v>416</v>
      </c>
      <c r="Z733" s="14" t="str">
        <f>IF(ISBLANK(LCI_Table[[#This Row],[Notes for user]])," ",LCI_Table[[#This Row],[Notes for user]])</f>
        <v xml:space="preserve"> </v>
      </c>
      <c r="AA733" s="14"/>
      <c r="AB733" s="14"/>
      <c r="AC733" s="346">
        <f ca="1">LCI_Table[[#This Row],[Default Calculated Value]]-LCI_Table[[#This Row],[Calculated Value]]</f>
        <v>0</v>
      </c>
    </row>
    <row r="734" spans="1:29" x14ac:dyDescent="0.3">
      <c r="A7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dash_PoplarCatalytic STJGREETGREET(blank)_Yield_Farming</v>
      </c>
      <c r="B734" s="48" t="s">
        <v>132</v>
      </c>
      <c r="C734" s="48" t="s">
        <v>140</v>
      </c>
      <c r="D734" s="48" t="s">
        <v>29</v>
      </c>
      <c r="E734" s="48" t="s">
        <v>29</v>
      </c>
      <c r="F734" s="48" t="s">
        <v>31</v>
      </c>
      <c r="G734" s="14" t="b">
        <f>OR(LCI_Table[[#This Row],[Feedstock]]="All",LCI_Table[[#This Row],[Feedstock]]=SelectedFeedstock)</f>
        <v>0</v>
      </c>
      <c r="H734" s="14" t="b">
        <f>OR(LCI_Table[[#This Row],[Conversion]]="All",LCI_Table[[#This Row],[Conversion]]=SelectedConversion)</f>
        <v>0</v>
      </c>
      <c r="I734" s="14" t="b">
        <f>OR(LCI_Table[[#This Row],[Data Set]]="all",LCI_Table[[#This Row],[Data Set]]=SelectedDataSet)</f>
        <v>1</v>
      </c>
      <c r="J734" s="14" t="b">
        <f>OR(LCI_Table[[#This Row],[Technology]]="All",LCI_Table[[#This Row],[Technology]]=SelectedTechnology)</f>
        <v>1</v>
      </c>
      <c r="K734" s="14" t="b">
        <f>OR(LCI_Table[[#This Row],[Data Source]]="All",LCI_Table[[#This Row],[Data Source]]=SelectedDataSource)</f>
        <v>1</v>
      </c>
      <c r="L734" s="14" t="b">
        <f>TRUE</f>
        <v>1</v>
      </c>
      <c r="M734" s="14" t="b">
        <f>(LCI_Table[[#This Row],[Dev Notes]]="Do not display")</f>
        <v>0</v>
      </c>
      <c r="N734" s="14" t="b">
        <f>AND(LCI_Table[[#This Row],[Show Feedstock]:[Conditional]],NOT(LCI_Table[[#This Row],[Hide Row]]))</f>
        <v>0</v>
      </c>
      <c r="O734" s="14" t="b">
        <f>LCI_Table[[#This Row],[GREET1 Name Range]]=""</f>
        <v>1</v>
      </c>
      <c r="P734" s="48" t="s">
        <v>14</v>
      </c>
      <c r="Q734" s="14" t="s">
        <v>361</v>
      </c>
      <c r="R734" s="48" t="s">
        <v>200</v>
      </c>
      <c r="S734" s="37" cm="1">
        <f t="array" aca="1" ref="S7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42.9</v>
      </c>
      <c r="T734" s="346" t="s">
        <v>2116</v>
      </c>
      <c r="U734" s="344"/>
      <c r="V734" s="344">
        <v>42.9</v>
      </c>
      <c r="W734" s="344"/>
      <c r="X734" s="48" t="s">
        <v>55</v>
      </c>
      <c r="Y734" s="346" t="s">
        <v>413</v>
      </c>
      <c r="Z734" s="14" t="str">
        <f>IF(ISBLANK(LCI_Table[[#This Row],[Notes for user]])," ",LCI_Table[[#This Row],[Notes for user]])</f>
        <v xml:space="preserve"> </v>
      </c>
      <c r="AA734" s="48"/>
      <c r="AB734" s="345"/>
      <c r="AC734" s="346">
        <f>LCI_Table[[#This Row],[Default Calculated Value]]-LCI_Table[[#This Row],[Calculated Value]]</f>
        <v>0</v>
      </c>
    </row>
    <row r="735" spans="1:29" x14ac:dyDescent="0.3">
      <c r="A7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STJGREETGREET(blank)_Poplar_Farming_Nitrogen_fertilizerNitrogen fertilizer</v>
      </c>
      <c r="B735" s="14" t="s">
        <v>132</v>
      </c>
      <c r="C735" s="14" t="s">
        <v>140</v>
      </c>
      <c r="D735" s="14" t="s">
        <v>29</v>
      </c>
      <c r="E735" s="48" t="s">
        <v>29</v>
      </c>
      <c r="F735" s="14" t="s">
        <v>31</v>
      </c>
      <c r="G735" s="14" t="b">
        <f>OR(LCI_Table[[#This Row],[Feedstock]]="All",LCI_Table[[#This Row],[Feedstock]]=SelectedFeedstock)</f>
        <v>0</v>
      </c>
      <c r="H735" s="14" t="b">
        <f>OR(LCI_Table[[#This Row],[Conversion]]="All",LCI_Table[[#This Row],[Conversion]]=SelectedConversion)</f>
        <v>0</v>
      </c>
      <c r="I735" s="14" t="b">
        <f>OR(LCI_Table[[#This Row],[Data Set]]="all",LCI_Table[[#This Row],[Data Set]]=SelectedDataSet)</f>
        <v>1</v>
      </c>
      <c r="J735" s="14" t="b">
        <f>OR(LCI_Table[[#This Row],[Technology]]="All",LCI_Table[[#This Row],[Technology]]=SelectedTechnology)</f>
        <v>1</v>
      </c>
      <c r="K735" s="14" t="b">
        <f>OR(LCI_Table[[#This Row],[Data Source]]="All",LCI_Table[[#This Row],[Data Source]]=SelectedDataSource)</f>
        <v>1</v>
      </c>
      <c r="L735" s="14" t="b">
        <f>TRUE</f>
        <v>1</v>
      </c>
      <c r="M735" s="14" t="b">
        <f>(LCI_Table[[#This Row],[Dev Notes]]="Do not display")</f>
        <v>0</v>
      </c>
      <c r="N735" s="14" t="b">
        <f>AND(LCI_Table[[#This Row],[Show Feedstock]:[Conditional]],NOT(LCI_Table[[#This Row],[Hide Row]]))</f>
        <v>0</v>
      </c>
      <c r="O735" s="14" t="b">
        <f>LCI_Table[[#This Row],[GREET1 Name Range]]=""</f>
        <v>0</v>
      </c>
      <c r="P735" s="14" t="s">
        <v>14</v>
      </c>
      <c r="Q735" s="14" t="s">
        <v>776</v>
      </c>
      <c r="R735" s="14" t="s">
        <v>111</v>
      </c>
      <c r="S735" s="37" cm="1">
        <f t="array" aca="1" ref="S7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186.27525835114722</v>
      </c>
      <c r="T735" s="346" t="s">
        <v>1485</v>
      </c>
      <c r="U735" s="347">
        <f ca="1">S735/S734*lb2g</f>
        <v>1969.5346365468338</v>
      </c>
      <c r="V735" s="347">
        <v>186.27525835114722</v>
      </c>
      <c r="W735" s="347">
        <v>1969.5346365468338</v>
      </c>
      <c r="X735" s="14" t="s">
        <v>12</v>
      </c>
      <c r="Y735" s="346" t="s">
        <v>413</v>
      </c>
      <c r="Z735" s="14" t="str">
        <f>IF(ISBLANK(LCI_Table[[#This Row],[Notes for user]])," ",LCI_Table[[#This Row],[Notes for user]])</f>
        <v xml:space="preserve"> </v>
      </c>
      <c r="AA735" s="14"/>
      <c r="AB735" s="14"/>
      <c r="AC735" s="346">
        <f ca="1">LCI_Table[[#This Row],[Default Calculated Value]]-LCI_Table[[#This Row],[Calculated Value]]</f>
        <v>0</v>
      </c>
    </row>
    <row r="736" spans="1:29" x14ac:dyDescent="0.3">
      <c r="A7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STJGREETGREET(blank)_Poplar_Farming_P2O5P2O5</v>
      </c>
      <c r="B736" s="14" t="s">
        <v>132</v>
      </c>
      <c r="C736" s="14" t="s">
        <v>140</v>
      </c>
      <c r="D736" s="14" t="s">
        <v>29</v>
      </c>
      <c r="E736" s="48" t="s">
        <v>29</v>
      </c>
      <c r="F736" s="14" t="s">
        <v>31</v>
      </c>
      <c r="G736" s="14" t="b">
        <f>OR(LCI_Table[[#This Row],[Feedstock]]="All",LCI_Table[[#This Row],[Feedstock]]=SelectedFeedstock)</f>
        <v>0</v>
      </c>
      <c r="H736" s="14" t="b">
        <f>OR(LCI_Table[[#This Row],[Conversion]]="All",LCI_Table[[#This Row],[Conversion]]=SelectedConversion)</f>
        <v>0</v>
      </c>
      <c r="I736" s="14" t="b">
        <f>OR(LCI_Table[[#This Row],[Data Set]]="all",LCI_Table[[#This Row],[Data Set]]=SelectedDataSet)</f>
        <v>1</v>
      </c>
      <c r="J736" s="14" t="b">
        <f>OR(LCI_Table[[#This Row],[Technology]]="All",LCI_Table[[#This Row],[Technology]]=SelectedTechnology)</f>
        <v>1</v>
      </c>
      <c r="K736" s="14" t="b">
        <f>OR(LCI_Table[[#This Row],[Data Source]]="All",LCI_Table[[#This Row],[Data Source]]=SelectedDataSource)</f>
        <v>1</v>
      </c>
      <c r="L736" s="14" t="b">
        <f>TRUE</f>
        <v>1</v>
      </c>
      <c r="M736" s="14" t="b">
        <f>(LCI_Table[[#This Row],[Dev Notes]]="Do not display")</f>
        <v>0</v>
      </c>
      <c r="N736" s="14" t="b">
        <f>AND(LCI_Table[[#This Row],[Show Feedstock]:[Conditional]],NOT(LCI_Table[[#This Row],[Hide Row]]))</f>
        <v>0</v>
      </c>
      <c r="O736" s="14" t="b">
        <f>LCI_Table[[#This Row],[GREET1 Name Range]]=""</f>
        <v>0</v>
      </c>
      <c r="P736" s="14" t="s">
        <v>14</v>
      </c>
      <c r="Q736" s="14" t="s">
        <v>777</v>
      </c>
      <c r="R736" s="14" t="s">
        <v>112</v>
      </c>
      <c r="S736" s="37" cm="1">
        <f t="array" aca="1" ref="S7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55.895441662900694</v>
      </c>
      <c r="T736" s="346" t="s">
        <v>1485</v>
      </c>
      <c r="U736" s="347">
        <f ca="1">S736/S734*lb2g</f>
        <v>590.99640690144224</v>
      </c>
      <c r="V736" s="347">
        <v>55.895441662900694</v>
      </c>
      <c r="W736" s="347">
        <v>590.99640690144224</v>
      </c>
      <c r="X736" s="14" t="s">
        <v>12</v>
      </c>
      <c r="Y736" s="346" t="s">
        <v>413</v>
      </c>
      <c r="Z736" s="14" t="str">
        <f>IF(ISBLANK(LCI_Table[[#This Row],[Notes for user]])," ",LCI_Table[[#This Row],[Notes for user]])</f>
        <v xml:space="preserve"> </v>
      </c>
      <c r="AA736" s="14"/>
      <c r="AB736" s="14"/>
      <c r="AC736" s="346">
        <f ca="1">LCI_Table[[#This Row],[Default Calculated Value]]-LCI_Table[[#This Row],[Calculated Value]]</f>
        <v>0</v>
      </c>
    </row>
    <row r="737" spans="1:29" x14ac:dyDescent="0.3">
      <c r="A7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STJGREETGREET(blank)_Poplar_Farming_K2OK2O</v>
      </c>
      <c r="B737" s="14" t="s">
        <v>132</v>
      </c>
      <c r="C737" s="14" t="s">
        <v>140</v>
      </c>
      <c r="D737" s="14" t="s">
        <v>29</v>
      </c>
      <c r="E737" s="48" t="s">
        <v>29</v>
      </c>
      <c r="F737" s="14" t="s">
        <v>31</v>
      </c>
      <c r="G737" s="14" t="b">
        <f>OR(LCI_Table[[#This Row],[Feedstock]]="All",LCI_Table[[#This Row],[Feedstock]]=SelectedFeedstock)</f>
        <v>0</v>
      </c>
      <c r="H737" s="14" t="b">
        <f>OR(LCI_Table[[#This Row],[Conversion]]="All",LCI_Table[[#This Row],[Conversion]]=SelectedConversion)</f>
        <v>0</v>
      </c>
      <c r="I737" s="14" t="b">
        <f>OR(LCI_Table[[#This Row],[Data Set]]="all",LCI_Table[[#This Row],[Data Set]]=SelectedDataSet)</f>
        <v>1</v>
      </c>
      <c r="J737" s="14" t="b">
        <f>OR(LCI_Table[[#This Row],[Technology]]="All",LCI_Table[[#This Row],[Technology]]=SelectedTechnology)</f>
        <v>1</v>
      </c>
      <c r="K737" s="14" t="b">
        <f>OR(LCI_Table[[#This Row],[Data Source]]="All",LCI_Table[[#This Row],[Data Source]]=SelectedDataSource)</f>
        <v>1</v>
      </c>
      <c r="L737" s="14" t="b">
        <f>TRUE</f>
        <v>1</v>
      </c>
      <c r="M737" s="14" t="b">
        <f>(LCI_Table[[#This Row],[Dev Notes]]="Do not display")</f>
        <v>0</v>
      </c>
      <c r="N737" s="14" t="b">
        <f>AND(LCI_Table[[#This Row],[Show Feedstock]:[Conditional]],NOT(LCI_Table[[#This Row],[Hide Row]]))</f>
        <v>0</v>
      </c>
      <c r="O737" s="14" t="b">
        <f>LCI_Table[[#This Row],[GREET1 Name Range]]=""</f>
        <v>0</v>
      </c>
      <c r="P737" s="14" t="s">
        <v>14</v>
      </c>
      <c r="Q737" s="14" t="s">
        <v>773</v>
      </c>
      <c r="R737" s="14" t="s">
        <v>113</v>
      </c>
      <c r="S737" s="37" cm="1">
        <f t="array" aca="1" ref="S7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49.414799490679876</v>
      </c>
      <c r="T737" s="346" t="s">
        <v>1485</v>
      </c>
      <c r="U737" s="347">
        <f ca="1">S737/S734*lb2g</f>
        <v>522.47496536252402</v>
      </c>
      <c r="V737" s="347">
        <v>49.414799490679876</v>
      </c>
      <c r="W737" s="347">
        <v>522.47496536252402</v>
      </c>
      <c r="X737" s="14" t="s">
        <v>12</v>
      </c>
      <c r="Y737" s="346" t="s">
        <v>413</v>
      </c>
      <c r="Z737" s="14" t="str">
        <f>IF(ISBLANK(LCI_Table[[#This Row],[Notes for user]])," ",LCI_Table[[#This Row],[Notes for user]])</f>
        <v xml:space="preserve"> </v>
      </c>
      <c r="AA737" s="14"/>
      <c r="AB737" s="14"/>
      <c r="AC737" s="346">
        <f ca="1">LCI_Table[[#This Row],[Default Calculated Value]]-LCI_Table[[#This Row],[Calculated Value]]</f>
        <v>0</v>
      </c>
    </row>
    <row r="738" spans="1:29" x14ac:dyDescent="0.3">
      <c r="A7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STJGREETGREET(blank)_Poplar_Farming_CaCO3CaCO3</v>
      </c>
      <c r="B738" s="14" t="s">
        <v>132</v>
      </c>
      <c r="C738" s="14" t="s">
        <v>140</v>
      </c>
      <c r="D738" s="14" t="s">
        <v>29</v>
      </c>
      <c r="E738" s="48" t="s">
        <v>29</v>
      </c>
      <c r="F738" s="14" t="s">
        <v>31</v>
      </c>
      <c r="G738" s="14" t="b">
        <f>OR(LCI_Table[[#This Row],[Feedstock]]="All",LCI_Table[[#This Row],[Feedstock]]=SelectedFeedstock)</f>
        <v>0</v>
      </c>
      <c r="H738" s="14" t="b">
        <f>OR(LCI_Table[[#This Row],[Conversion]]="All",LCI_Table[[#This Row],[Conversion]]=SelectedConversion)</f>
        <v>0</v>
      </c>
      <c r="I738" s="14" t="b">
        <f>OR(LCI_Table[[#This Row],[Data Set]]="all",LCI_Table[[#This Row],[Data Set]]=SelectedDataSet)</f>
        <v>1</v>
      </c>
      <c r="J738" s="14" t="b">
        <f>OR(LCI_Table[[#This Row],[Technology]]="All",LCI_Table[[#This Row],[Technology]]=SelectedTechnology)</f>
        <v>1</v>
      </c>
      <c r="K738" s="14" t="b">
        <f>OR(LCI_Table[[#This Row],[Data Source]]="All",LCI_Table[[#This Row],[Data Source]]=SelectedDataSource)</f>
        <v>1</v>
      </c>
      <c r="L738" s="14" t="b">
        <f>TRUE</f>
        <v>1</v>
      </c>
      <c r="M738" s="14" t="b">
        <f>(LCI_Table[[#This Row],[Dev Notes]]="Do not display")</f>
        <v>0</v>
      </c>
      <c r="N738" s="14" t="b">
        <f>AND(LCI_Table[[#This Row],[Show Feedstock]:[Conditional]],NOT(LCI_Table[[#This Row],[Hide Row]]))</f>
        <v>0</v>
      </c>
      <c r="O738" s="14" t="b">
        <f>LCI_Table[[#This Row],[GREET1 Name Range]]=""</f>
        <v>0</v>
      </c>
      <c r="P738" s="14" t="s">
        <v>14</v>
      </c>
      <c r="Q738" s="14" t="s">
        <v>766</v>
      </c>
      <c r="R738" s="14" t="s">
        <v>141</v>
      </c>
      <c r="S738" s="37" cm="1">
        <f t="array" aca="1" ref="S7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2197.7257847655173</v>
      </c>
      <c r="T738" s="346" t="s">
        <v>1485</v>
      </c>
      <c r="U738" s="347">
        <f ca="1">S738/S734*lb2g</f>
        <v>23237.101336174848</v>
      </c>
      <c r="V738" s="347">
        <v>2197.7257847655173</v>
      </c>
      <c r="W738" s="347">
        <v>23237.101336174848</v>
      </c>
      <c r="X738" s="14" t="s">
        <v>12</v>
      </c>
      <c r="Y738" s="346" t="s">
        <v>413</v>
      </c>
      <c r="Z738" s="14" t="str">
        <f>IF(ISBLANK(LCI_Table[[#This Row],[Notes for user]])," ",LCI_Table[[#This Row],[Notes for user]])</f>
        <v xml:space="preserve"> </v>
      </c>
      <c r="AA738" s="14"/>
      <c r="AB738" s="14"/>
      <c r="AC738" s="346">
        <f ca="1">LCI_Table[[#This Row],[Default Calculated Value]]-LCI_Table[[#This Row],[Calculated Value]]</f>
        <v>0</v>
      </c>
    </row>
    <row r="739" spans="1:29" x14ac:dyDescent="0.3">
      <c r="A7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STJGREETGREET(blank)_Poplar_Farming_HerbicidesHerbicides</v>
      </c>
      <c r="B739" s="14" t="s">
        <v>132</v>
      </c>
      <c r="C739" s="14" t="s">
        <v>140</v>
      </c>
      <c r="D739" s="14" t="s">
        <v>29</v>
      </c>
      <c r="E739" s="48" t="s">
        <v>29</v>
      </c>
      <c r="F739" s="14" t="s">
        <v>31</v>
      </c>
      <c r="G739" s="14" t="b">
        <f>OR(LCI_Table[[#This Row],[Feedstock]]="All",LCI_Table[[#This Row],[Feedstock]]=SelectedFeedstock)</f>
        <v>0</v>
      </c>
      <c r="H739" s="14" t="b">
        <f>OR(LCI_Table[[#This Row],[Conversion]]="All",LCI_Table[[#This Row],[Conversion]]=SelectedConversion)</f>
        <v>0</v>
      </c>
      <c r="I739" s="14" t="b">
        <f>OR(LCI_Table[[#This Row],[Data Set]]="all",LCI_Table[[#This Row],[Data Set]]=SelectedDataSet)</f>
        <v>1</v>
      </c>
      <c r="J739" s="14" t="b">
        <f>OR(LCI_Table[[#This Row],[Technology]]="All",LCI_Table[[#This Row],[Technology]]=SelectedTechnology)</f>
        <v>1</v>
      </c>
      <c r="K739" s="14" t="b">
        <f>OR(LCI_Table[[#This Row],[Data Source]]="All",LCI_Table[[#This Row],[Data Source]]=SelectedDataSource)</f>
        <v>1</v>
      </c>
      <c r="L739" s="14" t="b">
        <f>TRUE</f>
        <v>1</v>
      </c>
      <c r="M739" s="14" t="b">
        <f>(LCI_Table[[#This Row],[Dev Notes]]="Do not display")</f>
        <v>0</v>
      </c>
      <c r="N739" s="14" t="b">
        <f>AND(LCI_Table[[#This Row],[Show Feedstock]:[Conditional]],NOT(LCI_Table[[#This Row],[Hide Row]]))</f>
        <v>0</v>
      </c>
      <c r="O739" s="14" t="b">
        <f>LCI_Table[[#This Row],[GREET1 Name Range]]=""</f>
        <v>0</v>
      </c>
      <c r="P739" s="14" t="s">
        <v>14</v>
      </c>
      <c r="Q739" s="14" t="s">
        <v>771</v>
      </c>
      <c r="R739" s="14" t="s">
        <v>356</v>
      </c>
      <c r="S739" s="37" cm="1">
        <f t="array" aca="1" ref="S7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5.8353457116647274</v>
      </c>
      <c r="T739" s="346" t="s">
        <v>1485</v>
      </c>
      <c r="U739" s="347">
        <f ca="1">S739/S734*lb2g</f>
        <v>61.698561564646631</v>
      </c>
      <c r="V739" s="347">
        <v>5.8353457116647274</v>
      </c>
      <c r="W739" s="347">
        <v>61.698561564646631</v>
      </c>
      <c r="X739" s="14" t="s">
        <v>12</v>
      </c>
      <c r="Y739" s="346" t="s">
        <v>413</v>
      </c>
      <c r="Z739" s="14" t="str">
        <f>IF(ISBLANK(LCI_Table[[#This Row],[Notes for user]])," ",LCI_Table[[#This Row],[Notes for user]])</f>
        <v xml:space="preserve"> </v>
      </c>
      <c r="AA739" s="14"/>
      <c r="AB739" s="14"/>
      <c r="AC739" s="346">
        <f ca="1">LCI_Table[[#This Row],[Default Calculated Value]]-LCI_Table[[#This Row],[Calculated Value]]</f>
        <v>0</v>
      </c>
    </row>
    <row r="740" spans="1:29" x14ac:dyDescent="0.3">
      <c r="A7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STJGREETGREET(blank)_Poplar_Farming_InsecticideInsecticide</v>
      </c>
      <c r="B740" s="14" t="s">
        <v>132</v>
      </c>
      <c r="C740" s="14" t="s">
        <v>140</v>
      </c>
      <c r="D740" s="14" t="s">
        <v>29</v>
      </c>
      <c r="E740" s="48" t="s">
        <v>29</v>
      </c>
      <c r="F740" s="14" t="s">
        <v>31</v>
      </c>
      <c r="G740" s="14" t="b">
        <f>OR(LCI_Table[[#This Row],[Feedstock]]="All",LCI_Table[[#This Row],[Feedstock]]=SelectedFeedstock)</f>
        <v>0</v>
      </c>
      <c r="H740" s="14" t="b">
        <f>OR(LCI_Table[[#This Row],[Conversion]]="All",LCI_Table[[#This Row],[Conversion]]=SelectedConversion)</f>
        <v>0</v>
      </c>
      <c r="I740" s="14" t="b">
        <f>OR(LCI_Table[[#This Row],[Data Set]]="all",LCI_Table[[#This Row],[Data Set]]=SelectedDataSet)</f>
        <v>1</v>
      </c>
      <c r="J740" s="14" t="b">
        <f>OR(LCI_Table[[#This Row],[Technology]]="All",LCI_Table[[#This Row],[Technology]]=SelectedTechnology)</f>
        <v>1</v>
      </c>
      <c r="K740" s="14" t="b">
        <f>OR(LCI_Table[[#This Row],[Data Source]]="All",LCI_Table[[#This Row],[Data Source]]=SelectedDataSource)</f>
        <v>1</v>
      </c>
      <c r="L740" s="14" t="b">
        <f>TRUE</f>
        <v>1</v>
      </c>
      <c r="M740" s="14" t="b">
        <f>(LCI_Table[[#This Row],[Dev Notes]]="Do not display")</f>
        <v>0</v>
      </c>
      <c r="N740" s="14" t="b">
        <f>AND(LCI_Table[[#This Row],[Show Feedstock]:[Conditional]],NOT(LCI_Table[[#This Row],[Hide Row]]))</f>
        <v>0</v>
      </c>
      <c r="O740" s="14" t="b">
        <f>LCI_Table[[#This Row],[GREET1 Name Range]]=""</f>
        <v>0</v>
      </c>
      <c r="P740" s="14" t="s">
        <v>14</v>
      </c>
      <c r="Q740" s="14" t="s">
        <v>772</v>
      </c>
      <c r="R740" s="14" t="s">
        <v>114</v>
      </c>
      <c r="S740" s="37" cm="1">
        <f t="array" aca="1" ref="S7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1.1124479480821168</v>
      </c>
      <c r="T740" s="346" t="s">
        <v>1485</v>
      </c>
      <c r="U740" s="347">
        <f ca="1">S740/S734*lb2g</f>
        <v>11.762188840843924</v>
      </c>
      <c r="V740" s="347">
        <v>1.1124479480821168</v>
      </c>
      <c r="W740" s="347">
        <v>11.762188840843924</v>
      </c>
      <c r="X740" s="14" t="s">
        <v>12</v>
      </c>
      <c r="Y740" s="346" t="s">
        <v>413</v>
      </c>
      <c r="Z740" s="14" t="str">
        <f>IF(ISBLANK(LCI_Table[[#This Row],[Notes for user]])," ",LCI_Table[[#This Row],[Notes for user]])</f>
        <v xml:space="preserve"> </v>
      </c>
      <c r="AA740" s="14"/>
      <c r="AB740" s="14"/>
      <c r="AC740" s="346">
        <f ca="1">LCI_Table[[#This Row],[Default Calculated Value]]-LCI_Table[[#This Row],[Calculated Value]]</f>
        <v>0</v>
      </c>
    </row>
    <row r="741" spans="1:29" x14ac:dyDescent="0.3">
      <c r="A7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STJGREETGREET(blank)_Poplar_Farming_Residual_oilResidual oil</v>
      </c>
      <c r="B741" s="14" t="s">
        <v>132</v>
      </c>
      <c r="C741" s="14" t="s">
        <v>140</v>
      </c>
      <c r="D741" s="14" t="s">
        <v>29</v>
      </c>
      <c r="E741" s="48" t="s">
        <v>29</v>
      </c>
      <c r="F741" s="14" t="s">
        <v>31</v>
      </c>
      <c r="G741" s="14" t="b">
        <f>OR(LCI_Table[[#This Row],[Feedstock]]="All",LCI_Table[[#This Row],[Feedstock]]=SelectedFeedstock)</f>
        <v>0</v>
      </c>
      <c r="H741" s="14" t="b">
        <f>OR(LCI_Table[[#This Row],[Conversion]]="All",LCI_Table[[#This Row],[Conversion]]=SelectedConversion)</f>
        <v>0</v>
      </c>
      <c r="I741" s="14" t="b">
        <f>OR(LCI_Table[[#This Row],[Data Set]]="all",LCI_Table[[#This Row],[Data Set]]=SelectedDataSet)</f>
        <v>1</v>
      </c>
      <c r="J741" s="14" t="b">
        <f>OR(LCI_Table[[#This Row],[Technology]]="All",LCI_Table[[#This Row],[Technology]]=SelectedTechnology)</f>
        <v>1</v>
      </c>
      <c r="K741" s="14" t="b">
        <f>OR(LCI_Table[[#This Row],[Data Source]]="All",LCI_Table[[#This Row],[Data Source]]=SelectedDataSource)</f>
        <v>1</v>
      </c>
      <c r="L741" s="14" t="b">
        <f>TRUE</f>
        <v>1</v>
      </c>
      <c r="M741" s="14" t="b">
        <f>(LCI_Table[[#This Row],[Dev Notes]]="Do not display")</f>
        <v>0</v>
      </c>
      <c r="N741" s="14" t="b">
        <f>AND(LCI_Table[[#This Row],[Show Feedstock]:[Conditional]],NOT(LCI_Table[[#This Row],[Hide Row]]))</f>
        <v>0</v>
      </c>
      <c r="O741" s="14" t="b">
        <f>LCI_Table[[#This Row],[GREET1 Name Range]]=""</f>
        <v>0</v>
      </c>
      <c r="P741" s="14" t="s">
        <v>14</v>
      </c>
      <c r="Q741" s="14" t="s">
        <v>778</v>
      </c>
      <c r="R741" s="14" t="s">
        <v>115</v>
      </c>
      <c r="S741" s="37" cm="1">
        <f t="array" aca="1" ref="S7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41" s="346" t="s">
        <v>1484</v>
      </c>
      <c r="U741" s="347">
        <f ca="1">S741*Fuel_Specs!$B$28/S734</f>
        <v>0</v>
      </c>
      <c r="V741" s="347">
        <v>0</v>
      </c>
      <c r="W741" s="347">
        <v>0</v>
      </c>
      <c r="X741" s="14" t="s">
        <v>5</v>
      </c>
      <c r="Y741" s="346" t="s">
        <v>413</v>
      </c>
      <c r="Z741" s="14" t="str">
        <f>IF(ISBLANK(LCI_Table[[#This Row],[Notes for user]])," ",LCI_Table[[#This Row],[Notes for user]])</f>
        <v xml:space="preserve"> </v>
      </c>
      <c r="AA741" s="14"/>
      <c r="AB741" s="14"/>
      <c r="AC741" s="346">
        <f ca="1">LCI_Table[[#This Row],[Default Calculated Value]]-LCI_Table[[#This Row],[Calculated Value]]</f>
        <v>0</v>
      </c>
    </row>
    <row r="742" spans="1:29" x14ac:dyDescent="0.3">
      <c r="A7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STJGREETGREET(blank)_Poplar_Farming_DieselDiesel</v>
      </c>
      <c r="B742" s="14" t="s">
        <v>132</v>
      </c>
      <c r="C742" s="14" t="s">
        <v>140</v>
      </c>
      <c r="D742" s="14" t="s">
        <v>29</v>
      </c>
      <c r="E742" s="48" t="s">
        <v>29</v>
      </c>
      <c r="F742" s="14" t="s">
        <v>31</v>
      </c>
      <c r="G742" s="14" t="b">
        <f>OR(LCI_Table[[#This Row],[Feedstock]]="All",LCI_Table[[#This Row],[Feedstock]]=SelectedFeedstock)</f>
        <v>0</v>
      </c>
      <c r="H742" s="14" t="b">
        <f>OR(LCI_Table[[#This Row],[Conversion]]="All",LCI_Table[[#This Row],[Conversion]]=SelectedConversion)</f>
        <v>0</v>
      </c>
      <c r="I742" s="14" t="b">
        <f>OR(LCI_Table[[#This Row],[Data Set]]="all",LCI_Table[[#This Row],[Data Set]]=SelectedDataSet)</f>
        <v>1</v>
      </c>
      <c r="J742" s="14" t="b">
        <f>OR(LCI_Table[[#This Row],[Technology]]="All",LCI_Table[[#This Row],[Technology]]=SelectedTechnology)</f>
        <v>1</v>
      </c>
      <c r="K742" s="14" t="b">
        <f>OR(LCI_Table[[#This Row],[Data Source]]="All",LCI_Table[[#This Row],[Data Source]]=SelectedDataSource)</f>
        <v>1</v>
      </c>
      <c r="L742" s="14" t="b">
        <f>TRUE</f>
        <v>1</v>
      </c>
      <c r="M742" s="14" t="b">
        <f>(LCI_Table[[#This Row],[Dev Notes]]="Do not display")</f>
        <v>0</v>
      </c>
      <c r="N742" s="14" t="b">
        <f>AND(LCI_Table[[#This Row],[Show Feedstock]:[Conditional]],NOT(LCI_Table[[#This Row],[Hide Row]]))</f>
        <v>0</v>
      </c>
      <c r="O742" s="14" t="b">
        <f>LCI_Table[[#This Row],[GREET1 Name Range]]=""</f>
        <v>0</v>
      </c>
      <c r="P742" s="14" t="s">
        <v>14</v>
      </c>
      <c r="Q742" s="14" t="s">
        <v>768</v>
      </c>
      <c r="R742" s="14" t="s">
        <v>106</v>
      </c>
      <c r="S742" s="37" cm="1">
        <f t="array" aca="1" ref="S7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89.706602120382115</v>
      </c>
      <c r="T742" s="346" t="s">
        <v>1484</v>
      </c>
      <c r="U742" s="347">
        <f ca="1">S742*Fuel_Specs!$B$19/S734</f>
        <v>268597.0406145241</v>
      </c>
      <c r="V742" s="347">
        <v>89.706602120382115</v>
      </c>
      <c r="W742" s="347">
        <v>268597.0406145241</v>
      </c>
      <c r="X742" s="14" t="s">
        <v>5</v>
      </c>
      <c r="Y742" s="346" t="s">
        <v>413</v>
      </c>
      <c r="Z742" s="14" t="str">
        <f>IF(ISBLANK(LCI_Table[[#This Row],[Notes for user]])," ",LCI_Table[[#This Row],[Notes for user]])</f>
        <v xml:space="preserve"> </v>
      </c>
      <c r="AA742" s="14"/>
      <c r="AB742" s="14"/>
      <c r="AC742" s="346">
        <f ca="1">LCI_Table[[#This Row],[Default Calculated Value]]-LCI_Table[[#This Row],[Calculated Value]]</f>
        <v>0</v>
      </c>
    </row>
    <row r="743" spans="1:29" x14ac:dyDescent="0.3">
      <c r="A7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STJGREETGREET(blank)_Poplar_Farming_GasolineGasoline</v>
      </c>
      <c r="B743" s="14" t="s">
        <v>132</v>
      </c>
      <c r="C743" s="14" t="s">
        <v>140</v>
      </c>
      <c r="D743" s="14" t="s">
        <v>29</v>
      </c>
      <c r="E743" s="48" t="s">
        <v>29</v>
      </c>
      <c r="F743" s="14" t="s">
        <v>31</v>
      </c>
      <c r="G743" s="14" t="b">
        <f>OR(LCI_Table[[#This Row],[Feedstock]]="All",LCI_Table[[#This Row],[Feedstock]]=SelectedFeedstock)</f>
        <v>0</v>
      </c>
      <c r="H743" s="14" t="b">
        <f>OR(LCI_Table[[#This Row],[Conversion]]="All",LCI_Table[[#This Row],[Conversion]]=SelectedConversion)</f>
        <v>0</v>
      </c>
      <c r="I743" s="14" t="b">
        <f>OR(LCI_Table[[#This Row],[Data Set]]="all",LCI_Table[[#This Row],[Data Set]]=SelectedDataSet)</f>
        <v>1</v>
      </c>
      <c r="J743" s="14" t="b">
        <f>OR(LCI_Table[[#This Row],[Technology]]="All",LCI_Table[[#This Row],[Technology]]=SelectedTechnology)</f>
        <v>1</v>
      </c>
      <c r="K743" s="14" t="b">
        <f>OR(LCI_Table[[#This Row],[Data Source]]="All",LCI_Table[[#This Row],[Data Source]]=SelectedDataSource)</f>
        <v>1</v>
      </c>
      <c r="L743" s="14" t="b">
        <f>TRUE</f>
        <v>1</v>
      </c>
      <c r="M743" s="14" t="b">
        <f>(LCI_Table[[#This Row],[Dev Notes]]="Do not display")</f>
        <v>0</v>
      </c>
      <c r="N743" s="14" t="b">
        <f>AND(LCI_Table[[#This Row],[Show Feedstock]:[Conditional]],NOT(LCI_Table[[#This Row],[Hide Row]]))</f>
        <v>0</v>
      </c>
      <c r="O743" s="14" t="b">
        <f>LCI_Table[[#This Row],[GREET1 Name Range]]=""</f>
        <v>0</v>
      </c>
      <c r="P743" s="14" t="s">
        <v>14</v>
      </c>
      <c r="Q743" s="14" t="s">
        <v>770</v>
      </c>
      <c r="R743" s="14" t="s">
        <v>107</v>
      </c>
      <c r="S743" s="37" cm="1">
        <f t="array" aca="1" ref="S7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43" s="346" t="s">
        <v>1484</v>
      </c>
      <c r="U743" s="347">
        <f ca="1">S743*Fuel_Specs!$B$15/S734</f>
        <v>0</v>
      </c>
      <c r="V743" s="347">
        <v>0</v>
      </c>
      <c r="W743" s="347">
        <v>0</v>
      </c>
      <c r="X743" s="14" t="s">
        <v>5</v>
      </c>
      <c r="Y743" s="346" t="s">
        <v>413</v>
      </c>
      <c r="Z743" s="14" t="str">
        <f>IF(ISBLANK(LCI_Table[[#This Row],[Notes for user]])," ",LCI_Table[[#This Row],[Notes for user]])</f>
        <v xml:space="preserve"> </v>
      </c>
      <c r="AA743" s="14"/>
      <c r="AB743" s="14"/>
      <c r="AC743" s="346">
        <f ca="1">LCI_Table[[#This Row],[Default Calculated Value]]-LCI_Table[[#This Row],[Calculated Value]]</f>
        <v>0</v>
      </c>
    </row>
    <row r="744" spans="1:29" x14ac:dyDescent="0.3">
      <c r="A7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STJGREETGREET(blank)_Poplar_Farming_Natural_gasNatural gas</v>
      </c>
      <c r="B744" s="14" t="s">
        <v>132</v>
      </c>
      <c r="C744" s="14" t="s">
        <v>140</v>
      </c>
      <c r="D744" s="14" t="s">
        <v>29</v>
      </c>
      <c r="E744" s="48" t="s">
        <v>29</v>
      </c>
      <c r="F744" s="14" t="s">
        <v>31</v>
      </c>
      <c r="G744" s="14" t="b">
        <f>OR(LCI_Table[[#This Row],[Feedstock]]="All",LCI_Table[[#This Row],[Feedstock]]=SelectedFeedstock)</f>
        <v>0</v>
      </c>
      <c r="H744" s="14" t="b">
        <f>OR(LCI_Table[[#This Row],[Conversion]]="All",LCI_Table[[#This Row],[Conversion]]=SelectedConversion)</f>
        <v>0</v>
      </c>
      <c r="I744" s="14" t="b">
        <f>OR(LCI_Table[[#This Row],[Data Set]]="all",LCI_Table[[#This Row],[Data Set]]=SelectedDataSet)</f>
        <v>1</v>
      </c>
      <c r="J744" s="14" t="b">
        <f>OR(LCI_Table[[#This Row],[Technology]]="All",LCI_Table[[#This Row],[Technology]]=SelectedTechnology)</f>
        <v>1</v>
      </c>
      <c r="K744" s="14" t="b">
        <f>OR(LCI_Table[[#This Row],[Data Source]]="All",LCI_Table[[#This Row],[Data Source]]=SelectedDataSource)</f>
        <v>1</v>
      </c>
      <c r="L744" s="14" t="b">
        <f>TRUE</f>
        <v>1</v>
      </c>
      <c r="M744" s="14" t="b">
        <f>(LCI_Table[[#This Row],[Dev Notes]]="Do not display")</f>
        <v>0</v>
      </c>
      <c r="N744" s="14" t="b">
        <f>AND(LCI_Table[[#This Row],[Show Feedstock]:[Conditional]],NOT(LCI_Table[[#This Row],[Hide Row]]))</f>
        <v>0</v>
      </c>
      <c r="O744" s="14" t="b">
        <f>LCI_Table[[#This Row],[GREET1 Name Range]]=""</f>
        <v>0</v>
      </c>
      <c r="P744" s="14" t="s">
        <v>14</v>
      </c>
      <c r="Q744" s="14" t="s">
        <v>775</v>
      </c>
      <c r="R744" s="14" t="s">
        <v>108</v>
      </c>
      <c r="S744" s="37" cm="1">
        <f t="array" aca="1" ref="S7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44" s="346" t="s">
        <v>2109</v>
      </c>
      <c r="U744" s="347">
        <f ca="1">S744*Fuel_Specs!$B$79/S734</f>
        <v>0</v>
      </c>
      <c r="V744" s="347">
        <v>0</v>
      </c>
      <c r="W744" s="347">
        <v>0</v>
      </c>
      <c r="X744" s="14" t="s">
        <v>351</v>
      </c>
      <c r="Y744" s="346" t="s">
        <v>413</v>
      </c>
      <c r="Z744" s="14" t="str">
        <f>IF(ISBLANK(LCI_Table[[#This Row],[Notes for user]])," ",LCI_Table[[#This Row],[Notes for user]])</f>
        <v xml:space="preserve"> </v>
      </c>
      <c r="AA744" s="14"/>
      <c r="AB744" s="14"/>
      <c r="AC744" s="346">
        <f ca="1">LCI_Table[[#This Row],[Default Calculated Value]]-LCI_Table[[#This Row],[Calculated Value]]</f>
        <v>0</v>
      </c>
    </row>
    <row r="745" spans="1:29" x14ac:dyDescent="0.3">
      <c r="A7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STJGREETGREET(blank)_Poplar_Farming_CoalCoal</v>
      </c>
      <c r="B745" s="14" t="s">
        <v>132</v>
      </c>
      <c r="C745" s="14" t="s">
        <v>140</v>
      </c>
      <c r="D745" s="14" t="s">
        <v>29</v>
      </c>
      <c r="E745" s="48" t="s">
        <v>29</v>
      </c>
      <c r="F745" s="14" t="s">
        <v>31</v>
      </c>
      <c r="G745" s="14" t="b">
        <f>OR(LCI_Table[[#This Row],[Feedstock]]="All",LCI_Table[[#This Row],[Feedstock]]=SelectedFeedstock)</f>
        <v>0</v>
      </c>
      <c r="H745" s="14" t="b">
        <f>OR(LCI_Table[[#This Row],[Conversion]]="All",LCI_Table[[#This Row],[Conversion]]=SelectedConversion)</f>
        <v>0</v>
      </c>
      <c r="I745" s="14" t="b">
        <f>OR(LCI_Table[[#This Row],[Data Set]]="all",LCI_Table[[#This Row],[Data Set]]=SelectedDataSet)</f>
        <v>1</v>
      </c>
      <c r="J745" s="14" t="b">
        <f>OR(LCI_Table[[#This Row],[Technology]]="All",LCI_Table[[#This Row],[Technology]]=SelectedTechnology)</f>
        <v>1</v>
      </c>
      <c r="K745" s="14" t="b">
        <f>OR(LCI_Table[[#This Row],[Data Source]]="All",LCI_Table[[#This Row],[Data Source]]=SelectedDataSource)</f>
        <v>1</v>
      </c>
      <c r="L745" s="14" t="b">
        <f>TRUE</f>
        <v>1</v>
      </c>
      <c r="M745" s="14" t="b">
        <f>(LCI_Table[[#This Row],[Dev Notes]]="Do not display")</f>
        <v>0</v>
      </c>
      <c r="N745" s="14" t="b">
        <f>AND(LCI_Table[[#This Row],[Show Feedstock]:[Conditional]],NOT(LCI_Table[[#This Row],[Hide Row]]))</f>
        <v>0</v>
      </c>
      <c r="O745" s="14" t="b">
        <f>LCI_Table[[#This Row],[GREET1 Name Range]]=""</f>
        <v>0</v>
      </c>
      <c r="P745" s="14" t="s">
        <v>14</v>
      </c>
      <c r="Q745" s="14" t="s">
        <v>767</v>
      </c>
      <c r="R745" s="14" t="s">
        <v>9</v>
      </c>
      <c r="S745" s="37" cm="1">
        <f t="array" aca="1" ref="S7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45" s="346" t="s">
        <v>2110</v>
      </c>
      <c r="U745" s="347">
        <f ca="1">S745/S734</f>
        <v>0</v>
      </c>
      <c r="V745" s="347">
        <v>0</v>
      </c>
      <c r="W745" s="347">
        <v>0</v>
      </c>
      <c r="X745" s="14" t="s">
        <v>117</v>
      </c>
      <c r="Y745" s="346" t="s">
        <v>413</v>
      </c>
      <c r="Z745" s="14" t="str">
        <f>IF(ISBLANK(LCI_Table[[#This Row],[Notes for user]])," ",LCI_Table[[#This Row],[Notes for user]])</f>
        <v xml:space="preserve"> </v>
      </c>
      <c r="AA745" s="14"/>
      <c r="AB745" s="14"/>
      <c r="AC745" s="346">
        <f ca="1">LCI_Table[[#This Row],[Default Calculated Value]]-LCI_Table[[#This Row],[Calculated Value]]</f>
        <v>0</v>
      </c>
    </row>
    <row r="746" spans="1:29" x14ac:dyDescent="0.3">
      <c r="A7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STJGREETGREET(blank)_Poplar_Farming_LPGLPG</v>
      </c>
      <c r="B746" s="14" t="s">
        <v>132</v>
      </c>
      <c r="C746" s="14" t="s">
        <v>140</v>
      </c>
      <c r="D746" s="14" t="s">
        <v>29</v>
      </c>
      <c r="E746" s="48" t="s">
        <v>29</v>
      </c>
      <c r="F746" s="14" t="s">
        <v>31</v>
      </c>
      <c r="G746" s="14" t="b">
        <f>OR(LCI_Table[[#This Row],[Feedstock]]="All",LCI_Table[[#This Row],[Feedstock]]=SelectedFeedstock)</f>
        <v>0</v>
      </c>
      <c r="H746" s="14" t="b">
        <f>OR(LCI_Table[[#This Row],[Conversion]]="All",LCI_Table[[#This Row],[Conversion]]=SelectedConversion)</f>
        <v>0</v>
      </c>
      <c r="I746" s="14" t="b">
        <f>OR(LCI_Table[[#This Row],[Data Set]]="all",LCI_Table[[#This Row],[Data Set]]=SelectedDataSet)</f>
        <v>1</v>
      </c>
      <c r="J746" s="14" t="b">
        <f>OR(LCI_Table[[#This Row],[Technology]]="All",LCI_Table[[#This Row],[Technology]]=SelectedTechnology)</f>
        <v>1</v>
      </c>
      <c r="K746" s="14" t="b">
        <f>OR(LCI_Table[[#This Row],[Data Source]]="All",LCI_Table[[#This Row],[Data Source]]=SelectedDataSource)</f>
        <v>1</v>
      </c>
      <c r="L746" s="14" t="b">
        <f>TRUE</f>
        <v>1</v>
      </c>
      <c r="M746" s="14" t="b">
        <f>(LCI_Table[[#This Row],[Dev Notes]]="Do not display")</f>
        <v>0</v>
      </c>
      <c r="N746" s="14" t="b">
        <f>AND(LCI_Table[[#This Row],[Show Feedstock]:[Conditional]],NOT(LCI_Table[[#This Row],[Hide Row]]))</f>
        <v>0</v>
      </c>
      <c r="O746" s="14" t="b">
        <f>LCI_Table[[#This Row],[GREET1 Name Range]]=""</f>
        <v>0</v>
      </c>
      <c r="P746" s="14" t="s">
        <v>14</v>
      </c>
      <c r="Q746" s="14" t="s">
        <v>774</v>
      </c>
      <c r="R746" s="14" t="s">
        <v>109</v>
      </c>
      <c r="S746" s="37" cm="1">
        <f t="array" aca="1" ref="S7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46" s="346" t="s">
        <v>1484</v>
      </c>
      <c r="U746" s="347">
        <f ca="1">S746*Fuel_Specs!$B$35/S734</f>
        <v>0</v>
      </c>
      <c r="V746" s="347">
        <v>0</v>
      </c>
      <c r="W746" s="347">
        <v>0</v>
      </c>
      <c r="X746" s="14" t="s">
        <v>5</v>
      </c>
      <c r="Y746" s="346" t="s">
        <v>413</v>
      </c>
      <c r="Z746" s="14" t="str">
        <f>IF(ISBLANK(LCI_Table[[#This Row],[Notes for user]])," ",LCI_Table[[#This Row],[Notes for user]])</f>
        <v xml:space="preserve"> </v>
      </c>
      <c r="AA746" s="14"/>
      <c r="AB746" s="14"/>
      <c r="AC746" s="346">
        <f ca="1">LCI_Table[[#This Row],[Default Calculated Value]]-LCI_Table[[#This Row],[Calculated Value]]</f>
        <v>0</v>
      </c>
    </row>
    <row r="747" spans="1:29" x14ac:dyDescent="0.3">
      <c r="A7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STJGREETGREET(blank)_Poplar_Farming_ElectricityElectricity</v>
      </c>
      <c r="B747" s="14" t="s">
        <v>132</v>
      </c>
      <c r="C747" s="14" t="s">
        <v>140</v>
      </c>
      <c r="D747" s="14" t="s">
        <v>29</v>
      </c>
      <c r="E747" s="48" t="s">
        <v>29</v>
      </c>
      <c r="F747" s="14" t="s">
        <v>31</v>
      </c>
      <c r="G747" s="14" t="b">
        <f>OR(LCI_Table[[#This Row],[Feedstock]]="All",LCI_Table[[#This Row],[Feedstock]]=SelectedFeedstock)</f>
        <v>0</v>
      </c>
      <c r="H747" s="14" t="b">
        <f>OR(LCI_Table[[#This Row],[Conversion]]="All",LCI_Table[[#This Row],[Conversion]]=SelectedConversion)</f>
        <v>0</v>
      </c>
      <c r="I747" s="14" t="b">
        <f>OR(LCI_Table[[#This Row],[Data Set]]="all",LCI_Table[[#This Row],[Data Set]]=SelectedDataSet)</f>
        <v>1</v>
      </c>
      <c r="J747" s="14" t="b">
        <f>OR(LCI_Table[[#This Row],[Technology]]="All",LCI_Table[[#This Row],[Technology]]=SelectedTechnology)</f>
        <v>1</v>
      </c>
      <c r="K747" s="14" t="b">
        <f>OR(LCI_Table[[#This Row],[Data Source]]="All",LCI_Table[[#This Row],[Data Source]]=SelectedDataSource)</f>
        <v>1</v>
      </c>
      <c r="L747" s="14" t="b">
        <f>TRUE</f>
        <v>1</v>
      </c>
      <c r="M747" s="14" t="b">
        <f>(LCI_Table[[#This Row],[Dev Notes]]="Do not display")</f>
        <v>0</v>
      </c>
      <c r="N747" s="14" t="b">
        <f>AND(LCI_Table[[#This Row],[Show Feedstock]:[Conditional]],NOT(LCI_Table[[#This Row],[Hide Row]]))</f>
        <v>0</v>
      </c>
      <c r="O747" s="14" t="b">
        <f>LCI_Table[[#This Row],[GREET1 Name Range]]=""</f>
        <v>0</v>
      </c>
      <c r="P747" s="14" t="s">
        <v>14</v>
      </c>
      <c r="Q747" s="14" t="s">
        <v>769</v>
      </c>
      <c r="R747" s="14" t="s">
        <v>110</v>
      </c>
      <c r="S747" s="37" cm="1">
        <f t="array" aca="1" ref="S7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47" s="346" t="s">
        <v>1561</v>
      </c>
      <c r="U747" s="347">
        <f ca="1">S747/BTU2kWh/S734</f>
        <v>0</v>
      </c>
      <c r="V747" s="347">
        <v>0</v>
      </c>
      <c r="W747" s="347">
        <v>0</v>
      </c>
      <c r="X747" s="14" t="s">
        <v>51</v>
      </c>
      <c r="Y747" s="346" t="s">
        <v>413</v>
      </c>
      <c r="Z747" s="14" t="str">
        <f>IF(ISBLANK(LCI_Table[[#This Row],[Notes for user]])," ",LCI_Table[[#This Row],[Notes for user]])</f>
        <v xml:space="preserve"> </v>
      </c>
      <c r="AA747" s="14"/>
      <c r="AB747" s="14"/>
      <c r="AC747" s="346">
        <f ca="1">LCI_Table[[#This Row],[Default Calculated Value]]-LCI_Table[[#This Row],[Calculated Value]]</f>
        <v>0</v>
      </c>
    </row>
    <row r="748" spans="1:29" x14ac:dyDescent="0.3">
      <c r="A7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STJGREETGREET(blank)_Cellulosic_Catalytic_STJ_Corn_stoverPoplar</v>
      </c>
      <c r="B748" s="14" t="s">
        <v>132</v>
      </c>
      <c r="C748" s="14" t="s">
        <v>140</v>
      </c>
      <c r="D748" s="14" t="s">
        <v>29</v>
      </c>
      <c r="E748" s="48" t="s">
        <v>29</v>
      </c>
      <c r="F748" s="14" t="s">
        <v>31</v>
      </c>
      <c r="G748" s="14" t="b">
        <f>OR(LCI_Table[[#This Row],[Feedstock]]="All",LCI_Table[[#This Row],[Feedstock]]=SelectedFeedstock)</f>
        <v>0</v>
      </c>
      <c r="H748" s="14" t="b">
        <f>OR(LCI_Table[[#This Row],[Conversion]]="All",LCI_Table[[#This Row],[Conversion]]=SelectedConversion)</f>
        <v>0</v>
      </c>
      <c r="I748" s="14" t="b">
        <f>OR(LCI_Table[[#This Row],[Data Set]]="all",LCI_Table[[#This Row],[Data Set]]=SelectedDataSet)</f>
        <v>1</v>
      </c>
      <c r="J748" s="14" t="b">
        <f>OR(LCI_Table[[#This Row],[Technology]]="All",LCI_Table[[#This Row],[Technology]]=SelectedTechnology)</f>
        <v>1</v>
      </c>
      <c r="K748" s="14" t="b">
        <f>OR(LCI_Table[[#This Row],[Data Source]]="All",LCI_Table[[#This Row],[Data Source]]=SelectedDataSource)</f>
        <v>1</v>
      </c>
      <c r="L748" s="14" t="b">
        <f>TRUE</f>
        <v>1</v>
      </c>
      <c r="M748" s="14" t="b">
        <f>(LCI_Table[[#This Row],[Dev Notes]]="Do not display")</f>
        <v>0</v>
      </c>
      <c r="N748" s="14" t="b">
        <f>AND(LCI_Table[[#This Row],[Show Feedstock]:[Conditional]],NOT(LCI_Table[[#This Row],[Hide Row]]))</f>
        <v>0</v>
      </c>
      <c r="O748" s="14" t="b">
        <f>LCI_Table[[#This Row],[GREET1 Name Range]]=""</f>
        <v>0</v>
      </c>
      <c r="P748" s="14" t="s">
        <v>1448</v>
      </c>
      <c r="Q748" s="14" t="s">
        <v>548</v>
      </c>
      <c r="R748" s="14" t="s">
        <v>132</v>
      </c>
      <c r="S748" s="37" cm="1">
        <f t="array" aca="1" ref="S7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277.13020195600785</v>
      </c>
      <c r="T748" s="346" t="s">
        <v>2119</v>
      </c>
      <c r="U748" s="347">
        <f ca="1">S748/kg2lb/Allocations!$O$73*MJ2mmBTU</f>
        <v>0.11914454111960422</v>
      </c>
      <c r="V748" s="347">
        <v>277.13020195600785</v>
      </c>
      <c r="W748" s="347">
        <v>0.11914454111960422</v>
      </c>
      <c r="X748" s="37" t="s">
        <v>12</v>
      </c>
      <c r="Y748" s="346" t="s">
        <v>416</v>
      </c>
      <c r="Z748" s="14" t="str">
        <f>IF(ISBLANK(LCI_Table[[#This Row],[Notes for user]])," ",LCI_Table[[#This Row],[Notes for user]])</f>
        <v xml:space="preserve"> </v>
      </c>
      <c r="AA748" s="14"/>
      <c r="AB748" s="14"/>
      <c r="AC748" s="346">
        <f ca="1">LCI_Table[[#This Row],[Default Calculated Value]]-LCI_Table[[#This Row],[Calculated Value]]</f>
        <v>0</v>
      </c>
    </row>
    <row r="749" spans="1:29" x14ac:dyDescent="0.3">
      <c r="A7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STJGREETGREET(blank)_Cellulosic_Catalytic_STJ_HydrogenHydrogen</v>
      </c>
      <c r="B749" s="14" t="s">
        <v>132</v>
      </c>
      <c r="C749" s="14" t="s">
        <v>140</v>
      </c>
      <c r="D749" s="14" t="s">
        <v>29</v>
      </c>
      <c r="E749" s="48" t="s">
        <v>29</v>
      </c>
      <c r="F749" s="14" t="s">
        <v>31</v>
      </c>
      <c r="G749" s="14" t="b">
        <f>OR(LCI_Table[[#This Row],[Feedstock]]="All",LCI_Table[[#This Row],[Feedstock]]=SelectedFeedstock)</f>
        <v>0</v>
      </c>
      <c r="H749" s="14" t="b">
        <f>OR(LCI_Table[[#This Row],[Conversion]]="All",LCI_Table[[#This Row],[Conversion]]=SelectedConversion)</f>
        <v>0</v>
      </c>
      <c r="I749" s="14" t="b">
        <f>OR(LCI_Table[[#This Row],[Data Set]]="all",LCI_Table[[#This Row],[Data Set]]=SelectedDataSet)</f>
        <v>1</v>
      </c>
      <c r="J749" s="14" t="b">
        <f>OR(LCI_Table[[#This Row],[Technology]]="All",LCI_Table[[#This Row],[Technology]]=SelectedTechnology)</f>
        <v>1</v>
      </c>
      <c r="K749" s="14" t="b">
        <f>OR(LCI_Table[[#This Row],[Data Source]]="All",LCI_Table[[#This Row],[Data Source]]=SelectedDataSource)</f>
        <v>1</v>
      </c>
      <c r="L749" s="14" t="b">
        <f>TRUE</f>
        <v>1</v>
      </c>
      <c r="M749" s="14" t="b">
        <f>(LCI_Table[[#This Row],[Dev Notes]]="Do not display")</f>
        <v>0</v>
      </c>
      <c r="N749" s="14" t="b">
        <f>AND(LCI_Table[[#This Row],[Show Feedstock]:[Conditional]],NOT(LCI_Table[[#This Row],[Hide Row]]))</f>
        <v>0</v>
      </c>
      <c r="O749" s="14" t="b">
        <f>LCI_Table[[#This Row],[GREET1 Name Range]]=""</f>
        <v>0</v>
      </c>
      <c r="P749" s="14" t="s">
        <v>1448</v>
      </c>
      <c r="Q749" s="14" t="s">
        <v>553</v>
      </c>
      <c r="R749" s="14" t="s">
        <v>73</v>
      </c>
      <c r="S749" s="37" cm="1">
        <f t="array" aca="1" ref="S7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1820.5451247095659</v>
      </c>
      <c r="T749" s="346" t="s">
        <v>2120</v>
      </c>
      <c r="U749" s="347">
        <f ca="1">S749/kg2g*Fuel_Specs!$E$81/Allocations!$O$73*MJ2mmBTU</f>
        <v>4.4001367965585828E-3</v>
      </c>
      <c r="V749" s="347">
        <v>1820.5451247095659</v>
      </c>
      <c r="W749" s="347">
        <v>4.4001367965585828E-3</v>
      </c>
      <c r="X749" s="37" t="s">
        <v>351</v>
      </c>
      <c r="Y749" s="346" t="s">
        <v>416</v>
      </c>
      <c r="Z749" s="14" t="str">
        <f>IF(ISBLANK(LCI_Table[[#This Row],[Notes for user]])," ",LCI_Table[[#This Row],[Notes for user]])</f>
        <v xml:space="preserve"> </v>
      </c>
      <c r="AA749" s="14"/>
      <c r="AB749" s="14"/>
      <c r="AC749" s="346">
        <f ca="1">LCI_Table[[#This Row],[Default Calculated Value]]-LCI_Table[[#This Row],[Calculated Value]]</f>
        <v>0</v>
      </c>
    </row>
    <row r="750" spans="1:29" x14ac:dyDescent="0.3">
      <c r="A7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STJGREETGREET(blank)_Cellulosic_Catalytic_STJ_AmmoniaAmmonia</v>
      </c>
      <c r="B750" s="14" t="s">
        <v>132</v>
      </c>
      <c r="C750" s="14" t="s">
        <v>140</v>
      </c>
      <c r="D750" s="14" t="s">
        <v>29</v>
      </c>
      <c r="E750" s="48" t="s">
        <v>29</v>
      </c>
      <c r="F750" s="14" t="s">
        <v>31</v>
      </c>
      <c r="G750" s="14" t="b">
        <f>OR(LCI_Table[[#This Row],[Feedstock]]="All",LCI_Table[[#This Row],[Feedstock]]=SelectedFeedstock)</f>
        <v>0</v>
      </c>
      <c r="H750" s="14" t="b">
        <f>OR(LCI_Table[[#This Row],[Conversion]]="All",LCI_Table[[#This Row],[Conversion]]=SelectedConversion)</f>
        <v>0</v>
      </c>
      <c r="I750" s="14" t="b">
        <f>OR(LCI_Table[[#This Row],[Data Set]]="all",LCI_Table[[#This Row],[Data Set]]=SelectedDataSet)</f>
        <v>1</v>
      </c>
      <c r="J750" s="14" t="b">
        <f>OR(LCI_Table[[#This Row],[Technology]]="All",LCI_Table[[#This Row],[Technology]]=SelectedTechnology)</f>
        <v>1</v>
      </c>
      <c r="K750" s="14" t="b">
        <f>OR(LCI_Table[[#This Row],[Data Source]]="All",LCI_Table[[#This Row],[Data Source]]=SelectedDataSource)</f>
        <v>1</v>
      </c>
      <c r="L750" s="14" t="b">
        <f>TRUE</f>
        <v>1</v>
      </c>
      <c r="M750" s="14" t="b">
        <f>(LCI_Table[[#This Row],[Dev Notes]]="Do not display")</f>
        <v>0</v>
      </c>
      <c r="N750" s="14" t="b">
        <f>AND(LCI_Table[[#This Row],[Show Feedstock]:[Conditional]],NOT(LCI_Table[[#This Row],[Hide Row]]))</f>
        <v>0</v>
      </c>
      <c r="O750" s="14" t="b">
        <f>LCI_Table[[#This Row],[GREET1 Name Range]]=""</f>
        <v>0</v>
      </c>
      <c r="P750" s="14" t="s">
        <v>1448</v>
      </c>
      <c r="Q750" s="14" t="s">
        <v>544</v>
      </c>
      <c r="R750" s="14" t="s">
        <v>382</v>
      </c>
      <c r="S750" s="37" cm="1">
        <f t="array" aca="1" ref="S7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575.62257926708617</v>
      </c>
      <c r="T750" s="346" t="s">
        <v>2127</v>
      </c>
      <c r="U750" s="347">
        <f ca="1">S750/kg2g/Allocations!$O$73*MJ2mmBTU</f>
        <v>5.4558493682309436E-4</v>
      </c>
      <c r="V750" s="347">
        <v>575.62257926708617</v>
      </c>
      <c r="W750" s="347">
        <v>5.4558493682309436E-4</v>
      </c>
      <c r="X750" s="37" t="s">
        <v>6</v>
      </c>
      <c r="Y750" s="346" t="s">
        <v>416</v>
      </c>
      <c r="Z750" s="14" t="str">
        <f>IF(ISBLANK(LCI_Table[[#This Row],[Notes for user]])," ",LCI_Table[[#This Row],[Notes for user]])</f>
        <v xml:space="preserve"> </v>
      </c>
      <c r="AA750" s="14"/>
      <c r="AB750" s="14"/>
      <c r="AC750" s="346">
        <f ca="1">LCI_Table[[#This Row],[Default Calculated Value]]-LCI_Table[[#This Row],[Calculated Value]]</f>
        <v>0</v>
      </c>
    </row>
    <row r="751" spans="1:29" x14ac:dyDescent="0.3">
      <c r="A7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STJGREETGREET(blank)_Cellulosic_Catalytic_STJ_CatalystsCatalysts</v>
      </c>
      <c r="B751" s="14" t="s">
        <v>132</v>
      </c>
      <c r="C751" s="14" t="s">
        <v>140</v>
      </c>
      <c r="D751" s="14" t="s">
        <v>29</v>
      </c>
      <c r="E751" s="48" t="s">
        <v>29</v>
      </c>
      <c r="F751" s="14" t="s">
        <v>31</v>
      </c>
      <c r="G751" s="14" t="b">
        <f>OR(LCI_Table[[#This Row],[Feedstock]]="All",LCI_Table[[#This Row],[Feedstock]]=SelectedFeedstock)</f>
        <v>0</v>
      </c>
      <c r="H751" s="14" t="b">
        <f>OR(LCI_Table[[#This Row],[Conversion]]="All",LCI_Table[[#This Row],[Conversion]]=SelectedConversion)</f>
        <v>0</v>
      </c>
      <c r="I751" s="14" t="b">
        <f>OR(LCI_Table[[#This Row],[Data Set]]="all",LCI_Table[[#This Row],[Data Set]]=SelectedDataSet)</f>
        <v>1</v>
      </c>
      <c r="J751" s="14" t="b">
        <f>OR(LCI_Table[[#This Row],[Technology]]="All",LCI_Table[[#This Row],[Technology]]=SelectedTechnology)</f>
        <v>1</v>
      </c>
      <c r="K751" s="14" t="b">
        <f>OR(LCI_Table[[#This Row],[Data Source]]="All",LCI_Table[[#This Row],[Data Source]]=SelectedDataSource)</f>
        <v>1</v>
      </c>
      <c r="L751" s="14" t="b">
        <f>TRUE</f>
        <v>1</v>
      </c>
      <c r="M751" s="14" t="b">
        <f>(LCI_Table[[#This Row],[Dev Notes]]="Do not display")</f>
        <v>0</v>
      </c>
      <c r="N751" s="14" t="b">
        <f>AND(LCI_Table[[#This Row],[Show Feedstock]:[Conditional]],NOT(LCI_Table[[#This Row],[Hide Row]]))</f>
        <v>0</v>
      </c>
      <c r="O751" s="14" t="b">
        <f>LCI_Table[[#This Row],[GREET1 Name Range]]=""</f>
        <v>0</v>
      </c>
      <c r="P751" s="14" t="s">
        <v>1448</v>
      </c>
      <c r="Q751" s="14" t="s">
        <v>545</v>
      </c>
      <c r="R751" s="14" t="s">
        <v>142</v>
      </c>
      <c r="S751" s="37" cm="1">
        <f t="array" aca="1" ref="S7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13.27431524515293</v>
      </c>
      <c r="T751" s="346" t="s">
        <v>2127</v>
      </c>
      <c r="U751" s="347">
        <f ca="1">S751/kg2g/Allocations!$O$73*MJ2mmBTU</f>
        <v>1.2581623281035719E-5</v>
      </c>
      <c r="V751" s="347">
        <v>13.27431524515293</v>
      </c>
      <c r="W751" s="347">
        <v>1.2581623281035719E-5</v>
      </c>
      <c r="X751" s="37" t="s">
        <v>6</v>
      </c>
      <c r="Y751" s="346" t="s">
        <v>416</v>
      </c>
      <c r="Z751" s="14" t="str">
        <f>IF(ISBLANK(LCI_Table[[#This Row],[Notes for user]])," ",LCI_Table[[#This Row],[Notes for user]])</f>
        <v xml:space="preserve"> </v>
      </c>
      <c r="AA751" s="14"/>
      <c r="AB751" s="14"/>
      <c r="AC751" s="346">
        <f ca="1">LCI_Table[[#This Row],[Default Calculated Value]]-LCI_Table[[#This Row],[Calculated Value]]</f>
        <v>0</v>
      </c>
    </row>
    <row r="752" spans="1:29" x14ac:dyDescent="0.3">
      <c r="A7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STJGREETGREET(blank)_Cellulosic_Catalytic_STJ_Corn_oilDistillers Corn Oil</v>
      </c>
      <c r="B752" s="14" t="s">
        <v>132</v>
      </c>
      <c r="C752" s="14" t="s">
        <v>140</v>
      </c>
      <c r="D752" s="14" t="s">
        <v>29</v>
      </c>
      <c r="E752" s="48" t="s">
        <v>29</v>
      </c>
      <c r="F752" s="14" t="s">
        <v>31</v>
      </c>
      <c r="G752" s="14" t="b">
        <f>OR(LCI_Table[[#This Row],[Feedstock]]="All",LCI_Table[[#This Row],[Feedstock]]=SelectedFeedstock)</f>
        <v>0</v>
      </c>
      <c r="H752" s="14" t="b">
        <f>OR(LCI_Table[[#This Row],[Conversion]]="All",LCI_Table[[#This Row],[Conversion]]=SelectedConversion)</f>
        <v>0</v>
      </c>
      <c r="I752" s="14" t="b">
        <f>OR(LCI_Table[[#This Row],[Data Set]]="all",LCI_Table[[#This Row],[Data Set]]=SelectedDataSet)</f>
        <v>1</v>
      </c>
      <c r="J752" s="14" t="b">
        <f>OR(LCI_Table[[#This Row],[Technology]]="All",LCI_Table[[#This Row],[Technology]]=SelectedTechnology)</f>
        <v>1</v>
      </c>
      <c r="K752" s="14" t="b">
        <f>OR(LCI_Table[[#This Row],[Data Source]]="All",LCI_Table[[#This Row],[Data Source]]=SelectedDataSource)</f>
        <v>1</v>
      </c>
      <c r="L752" s="14" t="b">
        <f>TRUE</f>
        <v>1</v>
      </c>
      <c r="M752" s="14" t="b">
        <f>(LCI_Table[[#This Row],[Dev Notes]]="Do not display")</f>
        <v>0</v>
      </c>
      <c r="N752" s="14" t="b">
        <f>AND(LCI_Table[[#This Row],[Show Feedstock]:[Conditional]],NOT(LCI_Table[[#This Row],[Hide Row]]))</f>
        <v>0</v>
      </c>
      <c r="O752" s="14" t="b">
        <f>LCI_Table[[#This Row],[GREET1 Name Range]]=""</f>
        <v>0</v>
      </c>
      <c r="P752" s="14" t="s">
        <v>1448</v>
      </c>
      <c r="Q752" s="14" t="s">
        <v>546</v>
      </c>
      <c r="R752" s="14" t="s">
        <v>1911</v>
      </c>
      <c r="S752" s="37" cm="1">
        <f t="array" aca="1" ref="S7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8.4472915196427731</v>
      </c>
      <c r="T752" s="346" t="s">
        <v>2127</v>
      </c>
      <c r="U752" s="347">
        <f ca="1">S752/kg2g/Allocations!$O$73*MJ2mmBTU</f>
        <v>8.0064875424772737E-6</v>
      </c>
      <c r="V752" s="347">
        <v>8.4472915196427731</v>
      </c>
      <c r="W752" s="347">
        <v>8.0064875424772737E-6</v>
      </c>
      <c r="X752" s="37" t="s">
        <v>6</v>
      </c>
      <c r="Y752" s="346" t="s">
        <v>416</v>
      </c>
      <c r="Z752" s="14" t="str">
        <f>IF(ISBLANK(LCI_Table[[#This Row],[Notes for user]])," ",LCI_Table[[#This Row],[Notes for user]])</f>
        <v xml:space="preserve"> </v>
      </c>
      <c r="AA752" s="14"/>
      <c r="AB752" s="14"/>
      <c r="AC752" s="346">
        <f ca="1">LCI_Table[[#This Row],[Default Calculated Value]]-LCI_Table[[#This Row],[Calculated Value]]</f>
        <v>0</v>
      </c>
    </row>
    <row r="753" spans="1:29" x14ac:dyDescent="0.3">
      <c r="A7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STJGREETGREET(blank)_Cellulosic_Catalytic_STJ_Corn_steep_liquorCorn steep liquor</v>
      </c>
      <c r="B753" s="14" t="s">
        <v>132</v>
      </c>
      <c r="C753" s="14" t="s">
        <v>140</v>
      </c>
      <c r="D753" s="14" t="s">
        <v>29</v>
      </c>
      <c r="E753" s="48" t="s">
        <v>29</v>
      </c>
      <c r="F753" s="14" t="s">
        <v>31</v>
      </c>
      <c r="G753" s="14" t="b">
        <f>OR(LCI_Table[[#This Row],[Feedstock]]="All",LCI_Table[[#This Row],[Feedstock]]=SelectedFeedstock)</f>
        <v>0</v>
      </c>
      <c r="H753" s="14" t="b">
        <f>OR(LCI_Table[[#This Row],[Conversion]]="All",LCI_Table[[#This Row],[Conversion]]=SelectedConversion)</f>
        <v>0</v>
      </c>
      <c r="I753" s="14" t="b">
        <f>OR(LCI_Table[[#This Row],[Data Set]]="all",LCI_Table[[#This Row],[Data Set]]=SelectedDataSet)</f>
        <v>1</v>
      </c>
      <c r="J753" s="14" t="b">
        <f>OR(LCI_Table[[#This Row],[Technology]]="All",LCI_Table[[#This Row],[Technology]]=SelectedTechnology)</f>
        <v>1</v>
      </c>
      <c r="K753" s="14" t="b">
        <f>OR(LCI_Table[[#This Row],[Data Source]]="All",LCI_Table[[#This Row],[Data Source]]=SelectedDataSource)</f>
        <v>1</v>
      </c>
      <c r="L753" s="14" t="b">
        <f>TRUE</f>
        <v>1</v>
      </c>
      <c r="M753" s="14" t="b">
        <f>(LCI_Table[[#This Row],[Dev Notes]]="Do not display")</f>
        <v>0</v>
      </c>
      <c r="N753" s="14" t="b">
        <f>AND(LCI_Table[[#This Row],[Show Feedstock]:[Conditional]],NOT(LCI_Table[[#This Row],[Hide Row]]))</f>
        <v>0</v>
      </c>
      <c r="O753" s="14" t="b">
        <f>LCI_Table[[#This Row],[GREET1 Name Range]]=""</f>
        <v>0</v>
      </c>
      <c r="P753" s="14" t="s">
        <v>1448</v>
      </c>
      <c r="Q753" s="14" t="s">
        <v>547</v>
      </c>
      <c r="R753" s="14" t="s">
        <v>386</v>
      </c>
      <c r="S753" s="37" cm="1">
        <f t="array" aca="1" ref="S7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100.16074230433574</v>
      </c>
      <c r="T753" s="346" t="s">
        <v>2127</v>
      </c>
      <c r="U753" s="347">
        <f ca="1">S753/kg2g/Allocations!$O$73*MJ2mmBTU</f>
        <v>9.4934066575087697E-5</v>
      </c>
      <c r="V753" s="347">
        <v>100.16074230433574</v>
      </c>
      <c r="W753" s="347">
        <v>9.4934066575087697E-5</v>
      </c>
      <c r="X753" s="37" t="s">
        <v>6</v>
      </c>
      <c r="Y753" s="346" t="s">
        <v>416</v>
      </c>
      <c r="Z753" s="14" t="str">
        <f>IF(ISBLANK(LCI_Table[[#This Row],[Notes for user]])," ",LCI_Table[[#This Row],[Notes for user]])</f>
        <v xml:space="preserve"> </v>
      </c>
      <c r="AA753" s="14"/>
      <c r="AB753" s="14"/>
      <c r="AC753" s="346">
        <f ca="1">LCI_Table[[#This Row],[Default Calculated Value]]-LCI_Table[[#This Row],[Calculated Value]]</f>
        <v>0</v>
      </c>
    </row>
    <row r="754" spans="1:29" x14ac:dyDescent="0.3">
      <c r="A7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STJGREETGREET(blank)_Cellulosic_Catalytic_STJ_GlucoseGlucose</v>
      </c>
      <c r="B754" s="14" t="s">
        <v>132</v>
      </c>
      <c r="C754" s="14" t="s">
        <v>140</v>
      </c>
      <c r="D754" s="14" t="s">
        <v>29</v>
      </c>
      <c r="E754" s="48" t="s">
        <v>29</v>
      </c>
      <c r="F754" s="14" t="s">
        <v>31</v>
      </c>
      <c r="G754" s="14" t="b">
        <f>OR(LCI_Table[[#This Row],[Feedstock]]="All",LCI_Table[[#This Row],[Feedstock]]=SelectedFeedstock)</f>
        <v>0</v>
      </c>
      <c r="H754" s="14" t="b">
        <f>OR(LCI_Table[[#This Row],[Conversion]]="All",LCI_Table[[#This Row],[Conversion]]=SelectedConversion)</f>
        <v>0</v>
      </c>
      <c r="I754" s="14" t="b">
        <f>OR(LCI_Table[[#This Row],[Data Set]]="all",LCI_Table[[#This Row],[Data Set]]=SelectedDataSet)</f>
        <v>1</v>
      </c>
      <c r="J754" s="14" t="b">
        <f>OR(LCI_Table[[#This Row],[Technology]]="All",LCI_Table[[#This Row],[Technology]]=SelectedTechnology)</f>
        <v>1</v>
      </c>
      <c r="K754" s="14" t="b">
        <f>OR(LCI_Table[[#This Row],[Data Source]]="All",LCI_Table[[#This Row],[Data Source]]=SelectedDataSource)</f>
        <v>1</v>
      </c>
      <c r="L754" s="14" t="b">
        <f>TRUE</f>
        <v>1</v>
      </c>
      <c r="M754" s="14" t="b">
        <f>(LCI_Table[[#This Row],[Dev Notes]]="Do not display")</f>
        <v>0</v>
      </c>
      <c r="N754" s="14" t="b">
        <f>AND(LCI_Table[[#This Row],[Show Feedstock]:[Conditional]],NOT(LCI_Table[[#This Row],[Hide Row]]))</f>
        <v>0</v>
      </c>
      <c r="O754" s="14" t="b">
        <f>LCI_Table[[#This Row],[GREET1 Name Range]]=""</f>
        <v>0</v>
      </c>
      <c r="P754" s="14" t="s">
        <v>1448</v>
      </c>
      <c r="Q754" s="14" t="s">
        <v>550</v>
      </c>
      <c r="R754" s="14" t="s">
        <v>387</v>
      </c>
      <c r="S754" s="37" cm="1">
        <f t="array" aca="1" ref="S7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1463.7949447609549</v>
      </c>
      <c r="T754" s="346" t="s">
        <v>2127</v>
      </c>
      <c r="U754" s="347">
        <f ca="1">S754/kg2g/Allocations!$O$73*MJ2mmBTU</f>
        <v>1.3874099127178477E-3</v>
      </c>
      <c r="V754" s="347">
        <v>1463.7949447609549</v>
      </c>
      <c r="W754" s="347">
        <v>1.3874099127178477E-3</v>
      </c>
      <c r="X754" s="37" t="s">
        <v>6</v>
      </c>
      <c r="Y754" s="346" t="s">
        <v>416</v>
      </c>
      <c r="Z754" s="14" t="str">
        <f>IF(ISBLANK(LCI_Table[[#This Row],[Notes for user]])," ",LCI_Table[[#This Row],[Notes for user]])</f>
        <v xml:space="preserve"> </v>
      </c>
      <c r="AA754" s="14"/>
      <c r="AB754" s="14"/>
      <c r="AC754" s="346">
        <f ca="1">LCI_Table[[#This Row],[Default Calculated Value]]-LCI_Table[[#This Row],[Calculated Value]]</f>
        <v>0</v>
      </c>
    </row>
    <row r="755" spans="1:29" x14ac:dyDescent="0.3">
      <c r="A7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STJGREETGREET(blank)_Cellulosic_Catalytic_STJ_HClHCl</v>
      </c>
      <c r="B755" s="14" t="s">
        <v>132</v>
      </c>
      <c r="C755" s="14" t="s">
        <v>140</v>
      </c>
      <c r="D755" s="14" t="s">
        <v>29</v>
      </c>
      <c r="E755" s="48" t="s">
        <v>29</v>
      </c>
      <c r="F755" s="14" t="s">
        <v>31</v>
      </c>
      <c r="G755" s="14" t="b">
        <f>OR(LCI_Table[[#This Row],[Feedstock]]="All",LCI_Table[[#This Row],[Feedstock]]=SelectedFeedstock)</f>
        <v>0</v>
      </c>
      <c r="H755" s="14" t="b">
        <f>OR(LCI_Table[[#This Row],[Conversion]]="All",LCI_Table[[#This Row],[Conversion]]=SelectedConversion)</f>
        <v>0</v>
      </c>
      <c r="I755" s="14" t="b">
        <f>OR(LCI_Table[[#This Row],[Data Set]]="all",LCI_Table[[#This Row],[Data Set]]=SelectedDataSet)</f>
        <v>1</v>
      </c>
      <c r="J755" s="14" t="b">
        <f>OR(LCI_Table[[#This Row],[Technology]]="All",LCI_Table[[#This Row],[Technology]]=SelectedTechnology)</f>
        <v>1</v>
      </c>
      <c r="K755" s="14" t="b">
        <f>OR(LCI_Table[[#This Row],[Data Source]]="All",LCI_Table[[#This Row],[Data Source]]=SelectedDataSource)</f>
        <v>1</v>
      </c>
      <c r="L755" s="14" t="b">
        <f>TRUE</f>
        <v>1</v>
      </c>
      <c r="M755" s="14" t="b">
        <f>(LCI_Table[[#This Row],[Dev Notes]]="Do not display")</f>
        <v>0</v>
      </c>
      <c r="N755" s="14" t="b">
        <f>AND(LCI_Table[[#This Row],[Show Feedstock]:[Conditional]],NOT(LCI_Table[[#This Row],[Hide Row]]))</f>
        <v>0</v>
      </c>
      <c r="O755" s="14" t="b">
        <f>LCI_Table[[#This Row],[GREET1 Name Range]]=""</f>
        <v>0</v>
      </c>
      <c r="P755" s="14" t="s">
        <v>1448</v>
      </c>
      <c r="Q755" s="14" t="s">
        <v>551</v>
      </c>
      <c r="R755" s="14" t="s">
        <v>399</v>
      </c>
      <c r="S755" s="37" cm="1">
        <f t="array" aca="1" ref="S7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1353.9801550055988</v>
      </c>
      <c r="T755" s="346" t="s">
        <v>2127</v>
      </c>
      <c r="U755" s="347">
        <f ca="1">S755/kg2g/Allocations!$O$73*MJ2mmBTU</f>
        <v>1.2833255746656433E-3</v>
      </c>
      <c r="V755" s="347">
        <v>1353.9801550055988</v>
      </c>
      <c r="W755" s="347">
        <v>1.2833255746656433E-3</v>
      </c>
      <c r="X755" s="37" t="s">
        <v>6</v>
      </c>
      <c r="Y755" s="346" t="s">
        <v>416</v>
      </c>
      <c r="Z755" s="14" t="str">
        <f>IF(ISBLANK(LCI_Table[[#This Row],[Notes for user]])," ",LCI_Table[[#This Row],[Notes for user]])</f>
        <v xml:space="preserve"> </v>
      </c>
      <c r="AA755" s="14"/>
      <c r="AB755" s="14"/>
      <c r="AC755" s="346">
        <f ca="1">LCI_Table[[#This Row],[Default Calculated Value]]-LCI_Table[[#This Row],[Calculated Value]]</f>
        <v>0</v>
      </c>
    </row>
    <row r="756" spans="1:29" x14ac:dyDescent="0.3">
      <c r="A7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STJGREETGREET(blank)_Cellulosic_Catalytic_STJ_Host_nutrientsHost nutrients</v>
      </c>
      <c r="B756" s="14" t="s">
        <v>132</v>
      </c>
      <c r="C756" s="14" t="s">
        <v>140</v>
      </c>
      <c r="D756" s="14" t="s">
        <v>29</v>
      </c>
      <c r="E756" s="48" t="s">
        <v>29</v>
      </c>
      <c r="F756" s="14" t="s">
        <v>31</v>
      </c>
      <c r="G756" s="14" t="b">
        <f>OR(LCI_Table[[#This Row],[Feedstock]]="All",LCI_Table[[#This Row],[Feedstock]]=SelectedFeedstock)</f>
        <v>0</v>
      </c>
      <c r="H756" s="14" t="b">
        <f>OR(LCI_Table[[#This Row],[Conversion]]="All",LCI_Table[[#This Row],[Conversion]]=SelectedConversion)</f>
        <v>0</v>
      </c>
      <c r="I756" s="14" t="b">
        <f>OR(LCI_Table[[#This Row],[Data Set]]="all",LCI_Table[[#This Row],[Data Set]]=SelectedDataSet)</f>
        <v>1</v>
      </c>
      <c r="J756" s="14" t="b">
        <f>OR(LCI_Table[[#This Row],[Technology]]="All",LCI_Table[[#This Row],[Technology]]=SelectedTechnology)</f>
        <v>1</v>
      </c>
      <c r="K756" s="14" t="b">
        <f>OR(LCI_Table[[#This Row],[Data Source]]="All",LCI_Table[[#This Row],[Data Source]]=SelectedDataSource)</f>
        <v>1</v>
      </c>
      <c r="L756" s="14" t="b">
        <f>TRUE</f>
        <v>1</v>
      </c>
      <c r="M756" s="14" t="b">
        <f>(LCI_Table[[#This Row],[Dev Notes]]="Do not display")</f>
        <v>0</v>
      </c>
      <c r="N756" s="14" t="b">
        <f>AND(LCI_Table[[#This Row],[Show Feedstock]:[Conditional]],NOT(LCI_Table[[#This Row],[Hide Row]]))</f>
        <v>0</v>
      </c>
      <c r="O756" s="14" t="b">
        <f>LCI_Table[[#This Row],[GREET1 Name Range]]=""</f>
        <v>0</v>
      </c>
      <c r="P756" s="14" t="s">
        <v>1448</v>
      </c>
      <c r="Q756" s="14" t="s">
        <v>552</v>
      </c>
      <c r="R756" s="14" t="s">
        <v>388</v>
      </c>
      <c r="S756" s="37" cm="1">
        <f t="array" aca="1" ref="S7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41.029701666836324</v>
      </c>
      <c r="T756" s="346" t="s">
        <v>2127</v>
      </c>
      <c r="U756" s="347">
        <f ca="1">S756/kg2g/Allocations!$O$73*MJ2mmBTU</f>
        <v>3.8888653777746761E-5</v>
      </c>
      <c r="V756" s="347">
        <v>41.029701666836324</v>
      </c>
      <c r="W756" s="347">
        <v>3.8888653777746761E-5</v>
      </c>
      <c r="X756" s="37" t="s">
        <v>6</v>
      </c>
      <c r="Y756" s="346" t="s">
        <v>416</v>
      </c>
      <c r="Z756" s="14" t="str">
        <f>IF(ISBLANK(LCI_Table[[#This Row],[Notes for user]])," ",LCI_Table[[#This Row],[Notes for user]])</f>
        <v xml:space="preserve"> </v>
      </c>
      <c r="AA756" s="14"/>
      <c r="AB756" s="14"/>
      <c r="AC756" s="346">
        <f ca="1">LCI_Table[[#This Row],[Default Calculated Value]]-LCI_Table[[#This Row],[Calculated Value]]</f>
        <v>0</v>
      </c>
    </row>
    <row r="757" spans="1:29" x14ac:dyDescent="0.3">
      <c r="A7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STJGREETGREET(blank)_Cellulosic_Catalytic_STJ_LimeLime</v>
      </c>
      <c r="B757" s="14" t="s">
        <v>132</v>
      </c>
      <c r="C757" s="14" t="s">
        <v>140</v>
      </c>
      <c r="D757" s="14" t="s">
        <v>29</v>
      </c>
      <c r="E757" s="48" t="s">
        <v>29</v>
      </c>
      <c r="F757" s="14" t="s">
        <v>31</v>
      </c>
      <c r="G757" s="14" t="b">
        <f>OR(LCI_Table[[#This Row],[Feedstock]]="All",LCI_Table[[#This Row],[Feedstock]]=SelectedFeedstock)</f>
        <v>0</v>
      </c>
      <c r="H757" s="14" t="b">
        <f>OR(LCI_Table[[#This Row],[Conversion]]="All",LCI_Table[[#This Row],[Conversion]]=SelectedConversion)</f>
        <v>0</v>
      </c>
      <c r="I757" s="14" t="b">
        <f>OR(LCI_Table[[#This Row],[Data Set]]="all",LCI_Table[[#This Row],[Data Set]]=SelectedDataSet)</f>
        <v>1</v>
      </c>
      <c r="J757" s="14" t="b">
        <f>OR(LCI_Table[[#This Row],[Technology]]="All",LCI_Table[[#This Row],[Technology]]=SelectedTechnology)</f>
        <v>1</v>
      </c>
      <c r="K757" s="14" t="b">
        <f>OR(LCI_Table[[#This Row],[Data Source]]="All",LCI_Table[[#This Row],[Data Source]]=SelectedDataSource)</f>
        <v>1</v>
      </c>
      <c r="L757" s="14" t="b">
        <f>TRUE</f>
        <v>1</v>
      </c>
      <c r="M757" s="14" t="b">
        <f>(LCI_Table[[#This Row],[Dev Notes]]="Do not display")</f>
        <v>0</v>
      </c>
      <c r="N757" s="14" t="b">
        <f>AND(LCI_Table[[#This Row],[Show Feedstock]:[Conditional]],NOT(LCI_Table[[#This Row],[Hide Row]]))</f>
        <v>0</v>
      </c>
      <c r="O757" s="14" t="b">
        <f>LCI_Table[[#This Row],[GREET1 Name Range]]=""</f>
        <v>0</v>
      </c>
      <c r="P757" s="14" t="s">
        <v>1448</v>
      </c>
      <c r="Q757" s="14" t="s">
        <v>554</v>
      </c>
      <c r="R757" s="14" t="s">
        <v>143</v>
      </c>
      <c r="S757" s="37" cm="1">
        <f t="array" aca="1" ref="S7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217.21606764795703</v>
      </c>
      <c r="T757" s="346" t="s">
        <v>2127</v>
      </c>
      <c r="U757" s="347">
        <f ca="1">S757/kg2g/Allocations!$O$73*MJ2mmBTU</f>
        <v>2.0588110823512994E-4</v>
      </c>
      <c r="V757" s="347">
        <v>217.21606764795703</v>
      </c>
      <c r="W757" s="347">
        <v>2.0588110823512994E-4</v>
      </c>
      <c r="X757" s="14" t="s">
        <v>6</v>
      </c>
      <c r="Y757" s="346" t="s">
        <v>416</v>
      </c>
      <c r="Z757" s="14" t="str">
        <f>IF(ISBLANK(LCI_Table[[#This Row],[Notes for user]])," ",LCI_Table[[#This Row],[Notes for user]])</f>
        <v xml:space="preserve"> </v>
      </c>
      <c r="AA757" s="14"/>
      <c r="AB757" s="14"/>
      <c r="AC757" s="346">
        <f ca="1">LCI_Table[[#This Row],[Default Calculated Value]]-LCI_Table[[#This Row],[Calculated Value]]</f>
        <v>0</v>
      </c>
    </row>
    <row r="758" spans="1:29" x14ac:dyDescent="0.3">
      <c r="A7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STJGREETGREET(blank)_Cellulosic_Catalytic_STJ_SulfuricAcidSulfuric acid</v>
      </c>
      <c r="B758" s="14" t="s">
        <v>132</v>
      </c>
      <c r="C758" s="14" t="s">
        <v>140</v>
      </c>
      <c r="D758" s="14" t="s">
        <v>29</v>
      </c>
      <c r="E758" s="48" t="s">
        <v>29</v>
      </c>
      <c r="F758" s="14" t="s">
        <v>31</v>
      </c>
      <c r="G758" s="14" t="b">
        <f>OR(LCI_Table[[#This Row],[Feedstock]]="All",LCI_Table[[#This Row],[Feedstock]]=SelectedFeedstock)</f>
        <v>0</v>
      </c>
      <c r="H758" s="14" t="b">
        <f>OR(LCI_Table[[#This Row],[Conversion]]="All",LCI_Table[[#This Row],[Conversion]]=SelectedConversion)</f>
        <v>0</v>
      </c>
      <c r="I758" s="14" t="b">
        <f>OR(LCI_Table[[#This Row],[Data Set]]="all",LCI_Table[[#This Row],[Data Set]]=SelectedDataSet)</f>
        <v>1</v>
      </c>
      <c r="J758" s="14" t="b">
        <f>OR(LCI_Table[[#This Row],[Technology]]="All",LCI_Table[[#This Row],[Technology]]=SelectedTechnology)</f>
        <v>1</v>
      </c>
      <c r="K758" s="14" t="b">
        <f>OR(LCI_Table[[#This Row],[Data Source]]="All",LCI_Table[[#This Row],[Data Source]]=SelectedDataSource)</f>
        <v>1</v>
      </c>
      <c r="L758" s="14" t="b">
        <f>TRUE</f>
        <v>1</v>
      </c>
      <c r="M758" s="14" t="b">
        <f>(LCI_Table[[#This Row],[Dev Notes]]="Do not display")</f>
        <v>0</v>
      </c>
      <c r="N758" s="14" t="b">
        <f>AND(LCI_Table[[#This Row],[Show Feedstock]:[Conditional]],NOT(LCI_Table[[#This Row],[Hide Row]]))</f>
        <v>0</v>
      </c>
      <c r="O758" s="14" t="b">
        <f>LCI_Table[[#This Row],[GREET1 Name Range]]=""</f>
        <v>0</v>
      </c>
      <c r="P758" s="14" t="s">
        <v>1448</v>
      </c>
      <c r="Q758" s="14" t="s">
        <v>935</v>
      </c>
      <c r="R758" s="14" t="s">
        <v>384</v>
      </c>
      <c r="S758" s="37" cm="1">
        <f t="array" aca="1" ref="S7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2703.133286285688</v>
      </c>
      <c r="T758" s="346" t="s">
        <v>2127</v>
      </c>
      <c r="U758" s="347">
        <f ca="1">S758/kg2g/Allocations!$O$73*MJ2mmBTU</f>
        <v>2.5620760135927284E-3</v>
      </c>
      <c r="V758" s="347">
        <v>2703.133286285688</v>
      </c>
      <c r="W758" s="347">
        <v>2.5620760135927284E-3</v>
      </c>
      <c r="X758" s="37" t="s">
        <v>6</v>
      </c>
      <c r="Y758" s="346" t="s">
        <v>416</v>
      </c>
      <c r="Z758" s="14" t="str">
        <f>IF(ISBLANK(LCI_Table[[#This Row],[Notes for user]])," ",LCI_Table[[#This Row],[Notes for user]])</f>
        <v xml:space="preserve"> </v>
      </c>
      <c r="AA758" s="14"/>
      <c r="AB758" s="14"/>
      <c r="AC758" s="346">
        <f ca="1">LCI_Table[[#This Row],[Default Calculated Value]]-LCI_Table[[#This Row],[Calculated Value]]</f>
        <v>0</v>
      </c>
    </row>
    <row r="759" spans="1:29" x14ac:dyDescent="0.3">
      <c r="A7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STJGREETGREET(blank)_Cellulosic_Catalytic_STJ_WaterWater</v>
      </c>
      <c r="B759" s="14" t="s">
        <v>132</v>
      </c>
      <c r="C759" s="14" t="s">
        <v>140</v>
      </c>
      <c r="D759" s="14" t="s">
        <v>29</v>
      </c>
      <c r="E759" s="48" t="s">
        <v>29</v>
      </c>
      <c r="F759" s="14" t="s">
        <v>31</v>
      </c>
      <c r="G759" s="14" t="b">
        <f>OR(LCI_Table[[#This Row],[Feedstock]]="All",LCI_Table[[#This Row],[Feedstock]]=SelectedFeedstock)</f>
        <v>0</v>
      </c>
      <c r="H759" s="14" t="b">
        <f>OR(LCI_Table[[#This Row],[Conversion]]="All",LCI_Table[[#This Row],[Conversion]]=SelectedConversion)</f>
        <v>0</v>
      </c>
      <c r="I759" s="14" t="b">
        <f>OR(LCI_Table[[#This Row],[Data Set]]="all",LCI_Table[[#This Row],[Data Set]]=SelectedDataSet)</f>
        <v>1</v>
      </c>
      <c r="J759" s="14" t="b">
        <f>OR(LCI_Table[[#This Row],[Technology]]="All",LCI_Table[[#This Row],[Technology]]=SelectedTechnology)</f>
        <v>1</v>
      </c>
      <c r="K759" s="14" t="b">
        <f>OR(LCI_Table[[#This Row],[Data Source]]="All",LCI_Table[[#This Row],[Data Source]]=SelectedDataSource)</f>
        <v>1</v>
      </c>
      <c r="L759" s="14" t="b">
        <f>TRUE</f>
        <v>1</v>
      </c>
      <c r="M759" s="14" t="b">
        <f>(LCI_Table[[#This Row],[Dev Notes]]="Do not display")</f>
        <v>0</v>
      </c>
      <c r="N759" s="14" t="b">
        <f>AND(LCI_Table[[#This Row],[Show Feedstock]:[Conditional]],NOT(LCI_Table[[#This Row],[Hide Row]]))</f>
        <v>0</v>
      </c>
      <c r="O759" s="14" t="b">
        <f>LCI_Table[[#This Row],[GREET1 Name Range]]=""</f>
        <v>0</v>
      </c>
      <c r="P759" s="14" t="s">
        <v>1448</v>
      </c>
      <c r="Q759" s="14" t="s">
        <v>555</v>
      </c>
      <c r="R759" s="14" t="s">
        <v>146</v>
      </c>
      <c r="S759" s="37" cm="1">
        <f t="array" aca="1" ref="S7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50.845995350220299</v>
      </c>
      <c r="T759" s="346" t="s">
        <v>2128</v>
      </c>
      <c r="U759" s="347">
        <f ca="1">S759/kg2lb*Fuel_Specs!$K$4/Allocations!$O$73*MJ2mmBTU</f>
        <v>0.18189138398999874</v>
      </c>
      <c r="V759" s="347">
        <v>50.845995350220299</v>
      </c>
      <c r="W759" s="347">
        <v>0.18189138398999874</v>
      </c>
      <c r="X759" s="37" t="s">
        <v>5</v>
      </c>
      <c r="Y759" s="346" t="s">
        <v>416</v>
      </c>
      <c r="Z759" s="14" t="str">
        <f>IF(ISBLANK(LCI_Table[[#This Row],[Notes for user]])," ",LCI_Table[[#This Row],[Notes for user]])</f>
        <v xml:space="preserve"> </v>
      </c>
      <c r="AA759" s="14"/>
      <c r="AB759" s="14"/>
      <c r="AC759" s="346">
        <f ca="1">LCI_Table[[#This Row],[Default Calculated Value]]-LCI_Table[[#This Row],[Calculated Value]]</f>
        <v>0</v>
      </c>
    </row>
    <row r="760" spans="1:29" x14ac:dyDescent="0.3">
      <c r="A7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PoplarCatalytic STJGREETGREET(blank)_Cellulosic_Catalytic_STJ_Electricity_co_producedElectricity (co-produced)</v>
      </c>
      <c r="B760" s="14" t="s">
        <v>132</v>
      </c>
      <c r="C760" s="14" t="s">
        <v>140</v>
      </c>
      <c r="D760" s="14" t="s">
        <v>29</v>
      </c>
      <c r="E760" s="48" t="s">
        <v>29</v>
      </c>
      <c r="F760" s="14" t="s">
        <v>31</v>
      </c>
      <c r="G760" s="14" t="b">
        <f>OR(LCI_Table[[#This Row],[Feedstock]]="All",LCI_Table[[#This Row],[Feedstock]]=SelectedFeedstock)</f>
        <v>0</v>
      </c>
      <c r="H760" s="14" t="b">
        <f>OR(LCI_Table[[#This Row],[Conversion]]="All",LCI_Table[[#This Row],[Conversion]]=SelectedConversion)</f>
        <v>0</v>
      </c>
      <c r="I760" s="14" t="b">
        <f>OR(LCI_Table[[#This Row],[Data Set]]="all",LCI_Table[[#This Row],[Data Set]]=SelectedDataSet)</f>
        <v>1</v>
      </c>
      <c r="J760" s="14" t="b">
        <f>OR(LCI_Table[[#This Row],[Technology]]="All",LCI_Table[[#This Row],[Technology]]=SelectedTechnology)</f>
        <v>1</v>
      </c>
      <c r="K760" s="14" t="b">
        <f>OR(LCI_Table[[#This Row],[Data Source]]="All",LCI_Table[[#This Row],[Data Source]]=SelectedDataSource)</f>
        <v>1</v>
      </c>
      <c r="L760" s="14" t="b">
        <f>TRUE</f>
        <v>1</v>
      </c>
      <c r="M760" s="14" t="b">
        <f>(LCI_Table[[#This Row],[Dev Notes]]="Do not display")</f>
        <v>0</v>
      </c>
      <c r="N760" s="14" t="b">
        <f>AND(LCI_Table[[#This Row],[Show Feedstock]:[Conditional]],NOT(LCI_Table[[#This Row],[Hide Row]]))</f>
        <v>0</v>
      </c>
      <c r="O760" s="14" t="b">
        <f>LCI_Table[[#This Row],[GREET1 Name Range]]=""</f>
        <v>0</v>
      </c>
      <c r="P760" s="14" t="s">
        <v>1448</v>
      </c>
      <c r="Q760" s="14" t="s">
        <v>549</v>
      </c>
      <c r="R760" s="14" t="s">
        <v>439</v>
      </c>
      <c r="S760" s="37" cm="1">
        <f t="array" aca="1" ref="S7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13.328619262064917</v>
      </c>
      <c r="T760" s="346" t="s">
        <v>2121</v>
      </c>
      <c r="U760" s="347">
        <f ca="1">S760/Allocations!$O$73*MJ2mmBTU</f>
        <v>1.2633093558094499E-2</v>
      </c>
      <c r="V760" s="347">
        <v>13.328619262064917</v>
      </c>
      <c r="W760" s="347">
        <v>1.2633093558094499E-2</v>
      </c>
      <c r="X760" s="37" t="s">
        <v>51</v>
      </c>
      <c r="Y760" s="346" t="s">
        <v>416</v>
      </c>
      <c r="Z760" s="14" t="str">
        <f>IF(ISBLANK(LCI_Table[[#This Row],[Notes for user]])," ",LCI_Table[[#This Row],[Notes for user]])</f>
        <v xml:space="preserve"> </v>
      </c>
      <c r="AA760" s="14"/>
      <c r="AB760" s="14"/>
      <c r="AC760" s="346">
        <f ca="1">LCI_Table[[#This Row],[Default Calculated Value]]-LCI_Table[[#This Row],[Calculated Value]]</f>
        <v>0</v>
      </c>
    </row>
    <row r="761" spans="1:29" x14ac:dyDescent="0.3">
      <c r="A7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dash_SwitchgrassBiological STJGREETGREET(blank)_Yield_Farming</v>
      </c>
      <c r="B761" s="48" t="s">
        <v>133</v>
      </c>
      <c r="C761" s="48" t="s">
        <v>139</v>
      </c>
      <c r="D761" s="48" t="s">
        <v>29</v>
      </c>
      <c r="E761" s="48" t="s">
        <v>29</v>
      </c>
      <c r="F761" s="48" t="s">
        <v>31</v>
      </c>
      <c r="G761" s="14" t="b">
        <f>OR(LCI_Table[[#This Row],[Feedstock]]="All",LCI_Table[[#This Row],[Feedstock]]=SelectedFeedstock)</f>
        <v>0</v>
      </c>
      <c r="H761" s="14" t="b">
        <f>OR(LCI_Table[[#This Row],[Conversion]]="All",LCI_Table[[#This Row],[Conversion]]=SelectedConversion)</f>
        <v>0</v>
      </c>
      <c r="I761" s="14" t="b">
        <f>OR(LCI_Table[[#This Row],[Data Set]]="all",LCI_Table[[#This Row],[Data Set]]=SelectedDataSet)</f>
        <v>1</v>
      </c>
      <c r="J761" s="14" t="b">
        <f>OR(LCI_Table[[#This Row],[Technology]]="All",LCI_Table[[#This Row],[Technology]]=SelectedTechnology)</f>
        <v>1</v>
      </c>
      <c r="K761" s="14" t="b">
        <f>OR(LCI_Table[[#This Row],[Data Source]]="All",LCI_Table[[#This Row],[Data Source]]=SelectedDataSource)</f>
        <v>1</v>
      </c>
      <c r="L761" s="14" t="b">
        <f>TRUE</f>
        <v>1</v>
      </c>
      <c r="M761" s="14" t="b">
        <f>(LCI_Table[[#This Row],[Dev Notes]]="Do not display")</f>
        <v>0</v>
      </c>
      <c r="N761" s="14" t="b">
        <f>AND(LCI_Table[[#This Row],[Show Feedstock]:[Conditional]],NOT(LCI_Table[[#This Row],[Hide Row]]))</f>
        <v>0</v>
      </c>
      <c r="O761" s="14" t="b">
        <f>LCI_Table[[#This Row],[GREET1 Name Range]]=""</f>
        <v>1</v>
      </c>
      <c r="P761" s="48" t="s">
        <v>14</v>
      </c>
      <c r="Q761" s="14" t="s">
        <v>361</v>
      </c>
      <c r="R761" s="48" t="s">
        <v>200</v>
      </c>
      <c r="S761" s="37" cm="1">
        <f t="array" aca="1" ref="S7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5.8</v>
      </c>
      <c r="T761" s="346" t="s">
        <v>2116</v>
      </c>
      <c r="U761" s="344"/>
      <c r="V761" s="344">
        <v>5.8</v>
      </c>
      <c r="W761" s="344"/>
      <c r="X761" s="48" t="s">
        <v>55</v>
      </c>
      <c r="Y761" s="346" t="s">
        <v>413</v>
      </c>
      <c r="Z761" s="14" t="str">
        <f>IF(ISBLANK(LCI_Table[[#This Row],[Notes for user]])," ",LCI_Table[[#This Row],[Notes for user]])</f>
        <v xml:space="preserve"> </v>
      </c>
      <c r="AA761" s="48"/>
      <c r="AB761" s="345"/>
      <c r="AC761" s="346">
        <f>LCI_Table[[#This Row],[Default Calculated Value]]-LCI_Table[[#This Row],[Calculated Value]]</f>
        <v>0</v>
      </c>
    </row>
    <row r="762" spans="1:29" x14ac:dyDescent="0.3">
      <c r="A7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STJGREETGREET(blank)_Switchgrass_Farming_Nitrogen_fertilizerNitrogen fertilizer</v>
      </c>
      <c r="B762" s="14" t="s">
        <v>133</v>
      </c>
      <c r="C762" s="14" t="s">
        <v>139</v>
      </c>
      <c r="D762" s="14" t="s">
        <v>29</v>
      </c>
      <c r="E762" s="48" t="s">
        <v>29</v>
      </c>
      <c r="F762" s="14" t="s">
        <v>31</v>
      </c>
      <c r="G762" s="14" t="b">
        <f>OR(LCI_Table[[#This Row],[Feedstock]]="All",LCI_Table[[#This Row],[Feedstock]]=SelectedFeedstock)</f>
        <v>0</v>
      </c>
      <c r="H762" s="14" t="b">
        <f>OR(LCI_Table[[#This Row],[Conversion]]="All",LCI_Table[[#This Row],[Conversion]]=SelectedConversion)</f>
        <v>0</v>
      </c>
      <c r="I762" s="14" t="b">
        <f>OR(LCI_Table[[#This Row],[Data Set]]="all",LCI_Table[[#This Row],[Data Set]]=SelectedDataSet)</f>
        <v>1</v>
      </c>
      <c r="J762" s="14" t="b">
        <f>OR(LCI_Table[[#This Row],[Technology]]="All",LCI_Table[[#This Row],[Technology]]=SelectedTechnology)</f>
        <v>1</v>
      </c>
      <c r="K762" s="14" t="b">
        <f>OR(LCI_Table[[#This Row],[Data Source]]="All",LCI_Table[[#This Row],[Data Source]]=SelectedDataSource)</f>
        <v>1</v>
      </c>
      <c r="L762" s="14" t="b">
        <f>TRUE</f>
        <v>1</v>
      </c>
      <c r="M762" s="14" t="b">
        <f>(LCI_Table[[#This Row],[Dev Notes]]="Do not display")</f>
        <v>0</v>
      </c>
      <c r="N762" s="14" t="b">
        <f>AND(LCI_Table[[#This Row],[Show Feedstock]:[Conditional]],NOT(LCI_Table[[#This Row],[Hide Row]]))</f>
        <v>0</v>
      </c>
      <c r="O762" s="14" t="b">
        <f>LCI_Table[[#This Row],[GREET1 Name Range]]=""</f>
        <v>0</v>
      </c>
      <c r="P762" s="14" t="s">
        <v>14</v>
      </c>
      <c r="Q762" s="14" t="s">
        <v>818</v>
      </c>
      <c r="R762" s="14" t="s">
        <v>111</v>
      </c>
      <c r="S762" s="37" cm="1">
        <f t="array" aca="1" ref="S7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62.365776576701215</v>
      </c>
      <c r="T762" s="346" t="s">
        <v>1485</v>
      </c>
      <c r="U762" s="347">
        <f ca="1">S762/S761*lb2g</f>
        <v>4877.3517938476534</v>
      </c>
      <c r="V762" s="347">
        <v>62.365776576701215</v>
      </c>
      <c r="W762" s="347">
        <v>4877.3517938476534</v>
      </c>
      <c r="X762" s="37" t="s">
        <v>12</v>
      </c>
      <c r="Y762" s="346" t="s">
        <v>413</v>
      </c>
      <c r="Z762" s="14" t="str">
        <f>IF(ISBLANK(LCI_Table[[#This Row],[Notes for user]])," ",LCI_Table[[#This Row],[Notes for user]])</f>
        <v xml:space="preserve"> </v>
      </c>
      <c r="AA762" s="14"/>
      <c r="AB762" s="14"/>
      <c r="AC762" s="346">
        <f ca="1">LCI_Table[[#This Row],[Default Calculated Value]]-LCI_Table[[#This Row],[Calculated Value]]</f>
        <v>0</v>
      </c>
    </row>
    <row r="763" spans="1:29" x14ac:dyDescent="0.3">
      <c r="A7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STJGREETGREET(blank)_Switchgrass_Farming_P2O5P2O5</v>
      </c>
      <c r="B763" s="14" t="s">
        <v>133</v>
      </c>
      <c r="C763" s="14" t="s">
        <v>139</v>
      </c>
      <c r="D763" s="14" t="s">
        <v>29</v>
      </c>
      <c r="E763" s="48" t="s">
        <v>29</v>
      </c>
      <c r="F763" s="14" t="s">
        <v>31</v>
      </c>
      <c r="G763" s="14" t="b">
        <f>OR(LCI_Table[[#This Row],[Feedstock]]="All",LCI_Table[[#This Row],[Feedstock]]=SelectedFeedstock)</f>
        <v>0</v>
      </c>
      <c r="H763" s="14" t="b">
        <f>OR(LCI_Table[[#This Row],[Conversion]]="All",LCI_Table[[#This Row],[Conversion]]=SelectedConversion)</f>
        <v>0</v>
      </c>
      <c r="I763" s="14" t="b">
        <f>OR(LCI_Table[[#This Row],[Data Set]]="all",LCI_Table[[#This Row],[Data Set]]=SelectedDataSet)</f>
        <v>1</v>
      </c>
      <c r="J763" s="14" t="b">
        <f>OR(LCI_Table[[#This Row],[Technology]]="All",LCI_Table[[#This Row],[Technology]]=SelectedTechnology)</f>
        <v>1</v>
      </c>
      <c r="K763" s="14" t="b">
        <f>OR(LCI_Table[[#This Row],[Data Source]]="All",LCI_Table[[#This Row],[Data Source]]=SelectedDataSource)</f>
        <v>1</v>
      </c>
      <c r="L763" s="14" t="b">
        <f>TRUE</f>
        <v>1</v>
      </c>
      <c r="M763" s="14" t="b">
        <f>(LCI_Table[[#This Row],[Dev Notes]]="Do not display")</f>
        <v>0</v>
      </c>
      <c r="N763" s="14" t="b">
        <f>AND(LCI_Table[[#This Row],[Show Feedstock]:[Conditional]],NOT(LCI_Table[[#This Row],[Hide Row]]))</f>
        <v>0</v>
      </c>
      <c r="O763" s="14" t="b">
        <f>LCI_Table[[#This Row],[GREET1 Name Range]]=""</f>
        <v>0</v>
      </c>
      <c r="P763" s="14" t="s">
        <v>14</v>
      </c>
      <c r="Q763" s="14" t="s">
        <v>819</v>
      </c>
      <c r="R763" s="14" t="s">
        <v>112</v>
      </c>
      <c r="S763" s="37" cm="1">
        <f t="array" aca="1" ref="S7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29.509463992754132</v>
      </c>
      <c r="T763" s="346" t="s">
        <v>1485</v>
      </c>
      <c r="U763" s="347">
        <f ca="1">S763/S761*lb2g</f>
        <v>2307.8047775694845</v>
      </c>
      <c r="V763" s="347">
        <v>29.509463992754132</v>
      </c>
      <c r="W763" s="347">
        <v>2307.8047775694845</v>
      </c>
      <c r="X763" s="37" t="s">
        <v>12</v>
      </c>
      <c r="Y763" s="346" t="s">
        <v>413</v>
      </c>
      <c r="Z763" s="14" t="str">
        <f>IF(ISBLANK(LCI_Table[[#This Row],[Notes for user]])," ",LCI_Table[[#This Row],[Notes for user]])</f>
        <v xml:space="preserve"> </v>
      </c>
      <c r="AA763" s="14"/>
      <c r="AB763" s="14"/>
      <c r="AC763" s="346">
        <f ca="1">LCI_Table[[#This Row],[Default Calculated Value]]-LCI_Table[[#This Row],[Calculated Value]]</f>
        <v>0</v>
      </c>
    </row>
    <row r="764" spans="1:29" x14ac:dyDescent="0.3">
      <c r="A7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STJGREETGREET(blank)_Switchgrass_Farming_K2OK2O</v>
      </c>
      <c r="B764" s="14" t="s">
        <v>133</v>
      </c>
      <c r="C764" s="14" t="s">
        <v>139</v>
      </c>
      <c r="D764" s="14" t="s">
        <v>29</v>
      </c>
      <c r="E764" s="48" t="s">
        <v>29</v>
      </c>
      <c r="F764" s="14" t="s">
        <v>31</v>
      </c>
      <c r="G764" s="14" t="b">
        <f>OR(LCI_Table[[#This Row],[Feedstock]]="All",LCI_Table[[#This Row],[Feedstock]]=SelectedFeedstock)</f>
        <v>0</v>
      </c>
      <c r="H764" s="14" t="b">
        <f>OR(LCI_Table[[#This Row],[Conversion]]="All",LCI_Table[[#This Row],[Conversion]]=SelectedConversion)</f>
        <v>0</v>
      </c>
      <c r="I764" s="14" t="b">
        <f>OR(LCI_Table[[#This Row],[Data Set]]="all",LCI_Table[[#This Row],[Data Set]]=SelectedDataSet)</f>
        <v>1</v>
      </c>
      <c r="J764" s="14" t="b">
        <f>OR(LCI_Table[[#This Row],[Technology]]="All",LCI_Table[[#This Row],[Technology]]=SelectedTechnology)</f>
        <v>1</v>
      </c>
      <c r="K764" s="14" t="b">
        <f>OR(LCI_Table[[#This Row],[Data Source]]="All",LCI_Table[[#This Row],[Data Source]]=SelectedDataSource)</f>
        <v>1</v>
      </c>
      <c r="L764" s="14" t="b">
        <f>TRUE</f>
        <v>1</v>
      </c>
      <c r="M764" s="14" t="b">
        <f>(LCI_Table[[#This Row],[Dev Notes]]="Do not display")</f>
        <v>0</v>
      </c>
      <c r="N764" s="14" t="b">
        <f>AND(LCI_Table[[#This Row],[Show Feedstock]:[Conditional]],NOT(LCI_Table[[#This Row],[Hide Row]]))</f>
        <v>0</v>
      </c>
      <c r="O764" s="14" t="b">
        <f>LCI_Table[[#This Row],[GREET1 Name Range]]=""</f>
        <v>0</v>
      </c>
      <c r="P764" s="14" t="s">
        <v>14</v>
      </c>
      <c r="Q764" s="14" t="s">
        <v>815</v>
      </c>
      <c r="R764" s="14" t="s">
        <v>113</v>
      </c>
      <c r="S764" s="37" cm="1">
        <f t="array" aca="1" ref="S7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40.923203330302059</v>
      </c>
      <c r="T764" s="346" t="s">
        <v>1485</v>
      </c>
      <c r="U764" s="347">
        <f ca="1">S764/S761*lb2g</f>
        <v>3200.4228942385525</v>
      </c>
      <c r="V764" s="347">
        <v>40.923203330302059</v>
      </c>
      <c r="W764" s="347">
        <v>3200.4228942385525</v>
      </c>
      <c r="X764" s="37" t="s">
        <v>12</v>
      </c>
      <c r="Y764" s="346" t="s">
        <v>413</v>
      </c>
      <c r="Z764" s="14" t="str">
        <f>IF(ISBLANK(LCI_Table[[#This Row],[Notes for user]])," ",LCI_Table[[#This Row],[Notes for user]])</f>
        <v xml:space="preserve"> </v>
      </c>
      <c r="AA764" s="14"/>
      <c r="AB764" s="14"/>
      <c r="AC764" s="346">
        <f ca="1">LCI_Table[[#This Row],[Default Calculated Value]]-LCI_Table[[#This Row],[Calculated Value]]</f>
        <v>0</v>
      </c>
    </row>
    <row r="765" spans="1:29" x14ac:dyDescent="0.3">
      <c r="A7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STJGREETGREET(blank)_Switchgrass_Farming_CaCO3CaCO3</v>
      </c>
      <c r="B765" s="14" t="s">
        <v>133</v>
      </c>
      <c r="C765" s="14" t="s">
        <v>139</v>
      </c>
      <c r="D765" s="14" t="s">
        <v>29</v>
      </c>
      <c r="E765" s="48" t="s">
        <v>29</v>
      </c>
      <c r="F765" s="14" t="s">
        <v>31</v>
      </c>
      <c r="G765" s="14" t="b">
        <f>OR(LCI_Table[[#This Row],[Feedstock]]="All",LCI_Table[[#This Row],[Feedstock]]=SelectedFeedstock)</f>
        <v>0</v>
      </c>
      <c r="H765" s="14" t="b">
        <f>OR(LCI_Table[[#This Row],[Conversion]]="All",LCI_Table[[#This Row],[Conversion]]=SelectedConversion)</f>
        <v>0</v>
      </c>
      <c r="I765" s="14" t="b">
        <f>OR(LCI_Table[[#This Row],[Data Set]]="all",LCI_Table[[#This Row],[Data Set]]=SelectedDataSet)</f>
        <v>1</v>
      </c>
      <c r="J765" s="14" t="b">
        <f>OR(LCI_Table[[#This Row],[Technology]]="All",LCI_Table[[#This Row],[Technology]]=SelectedTechnology)</f>
        <v>1</v>
      </c>
      <c r="K765" s="14" t="b">
        <f>OR(LCI_Table[[#This Row],[Data Source]]="All",LCI_Table[[#This Row],[Data Source]]=SelectedDataSource)</f>
        <v>1</v>
      </c>
      <c r="L765" s="14" t="b">
        <f>TRUE</f>
        <v>1</v>
      </c>
      <c r="M765" s="14" t="b">
        <f>(LCI_Table[[#This Row],[Dev Notes]]="Do not display")</f>
        <v>0</v>
      </c>
      <c r="N765" s="14" t="b">
        <f>AND(LCI_Table[[#This Row],[Show Feedstock]:[Conditional]],NOT(LCI_Table[[#This Row],[Hide Row]]))</f>
        <v>0</v>
      </c>
      <c r="O765" s="14" t="b">
        <f>LCI_Table[[#This Row],[GREET1 Name Range]]=""</f>
        <v>0</v>
      </c>
      <c r="P765" s="14" t="s">
        <v>14</v>
      </c>
      <c r="Q765" s="14" t="s">
        <v>807</v>
      </c>
      <c r="R765" s="14" t="s">
        <v>141</v>
      </c>
      <c r="S765" s="37" cm="1">
        <f t="array" aca="1" ref="S7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74.763553146278454</v>
      </c>
      <c r="T765" s="346" t="s">
        <v>1485</v>
      </c>
      <c r="U765" s="347">
        <f ca="1">S765/S761*lb2g</f>
        <v>5846.9271140071378</v>
      </c>
      <c r="V765" s="347">
        <v>74.763553146278454</v>
      </c>
      <c r="W765" s="347">
        <v>5846.9271140071378</v>
      </c>
      <c r="X765" s="37" t="s">
        <v>12</v>
      </c>
      <c r="Y765" s="346" t="s">
        <v>413</v>
      </c>
      <c r="Z765" s="14" t="str">
        <f>IF(ISBLANK(LCI_Table[[#This Row],[Notes for user]])," ",LCI_Table[[#This Row],[Notes for user]])</f>
        <v xml:space="preserve"> </v>
      </c>
      <c r="AA765" s="14"/>
      <c r="AB765" s="14"/>
      <c r="AC765" s="346">
        <f ca="1">LCI_Table[[#This Row],[Default Calculated Value]]-LCI_Table[[#This Row],[Calculated Value]]</f>
        <v>0</v>
      </c>
    </row>
    <row r="766" spans="1:29" x14ac:dyDescent="0.3">
      <c r="A7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STJGREETGREET(blank)_Switchgrass_Farming_HerbicidesHerbicides</v>
      </c>
      <c r="B766" s="14" t="s">
        <v>133</v>
      </c>
      <c r="C766" s="14" t="s">
        <v>139</v>
      </c>
      <c r="D766" s="14" t="s">
        <v>29</v>
      </c>
      <c r="E766" s="48" t="s">
        <v>29</v>
      </c>
      <c r="F766" s="14" t="s">
        <v>31</v>
      </c>
      <c r="G766" s="14" t="b">
        <f>OR(LCI_Table[[#This Row],[Feedstock]]="All",LCI_Table[[#This Row],[Feedstock]]=SelectedFeedstock)</f>
        <v>0</v>
      </c>
      <c r="H766" s="14" t="b">
        <f>OR(LCI_Table[[#This Row],[Conversion]]="All",LCI_Table[[#This Row],[Conversion]]=SelectedConversion)</f>
        <v>0</v>
      </c>
      <c r="I766" s="14" t="b">
        <f>OR(LCI_Table[[#This Row],[Data Set]]="all",LCI_Table[[#This Row],[Data Set]]=SelectedDataSet)</f>
        <v>1</v>
      </c>
      <c r="J766" s="14" t="b">
        <f>OR(LCI_Table[[#This Row],[Technology]]="All",LCI_Table[[#This Row],[Technology]]=SelectedTechnology)</f>
        <v>1</v>
      </c>
      <c r="K766" s="14" t="b">
        <f>OR(LCI_Table[[#This Row],[Data Source]]="All",LCI_Table[[#This Row],[Data Source]]=SelectedDataSource)</f>
        <v>1</v>
      </c>
      <c r="L766" s="14" t="b">
        <f>TRUE</f>
        <v>1</v>
      </c>
      <c r="M766" s="14" t="b">
        <f>(LCI_Table[[#This Row],[Dev Notes]]="Do not display")</f>
        <v>0</v>
      </c>
      <c r="N766" s="14" t="b">
        <f>AND(LCI_Table[[#This Row],[Show Feedstock]:[Conditional]],NOT(LCI_Table[[#This Row],[Hide Row]]))</f>
        <v>0</v>
      </c>
      <c r="O766" s="14" t="b">
        <f>LCI_Table[[#This Row],[GREET1 Name Range]]=""</f>
        <v>0</v>
      </c>
      <c r="P766" s="14" t="s">
        <v>14</v>
      </c>
      <c r="Q766" s="14" t="s">
        <v>813</v>
      </c>
      <c r="R766" s="14" t="s">
        <v>356</v>
      </c>
      <c r="S766" s="37" cm="1">
        <f t="array" aca="1" ref="S7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0.67899722027655607</v>
      </c>
      <c r="T766" s="346" t="s">
        <v>1485</v>
      </c>
      <c r="U766" s="347">
        <f ca="1">S766/S761*lb2g</f>
        <v>53.101372132526748</v>
      </c>
      <c r="V766" s="347">
        <v>0.67899722027655607</v>
      </c>
      <c r="W766" s="347">
        <v>53.101372132526748</v>
      </c>
      <c r="X766" s="37" t="s">
        <v>12</v>
      </c>
      <c r="Y766" s="346" t="s">
        <v>413</v>
      </c>
      <c r="Z766" s="14" t="str">
        <f>IF(ISBLANK(LCI_Table[[#This Row],[Notes for user]])," ",LCI_Table[[#This Row],[Notes for user]])</f>
        <v xml:space="preserve"> </v>
      </c>
      <c r="AA766" s="14"/>
      <c r="AB766" s="14"/>
      <c r="AC766" s="346">
        <f ca="1">LCI_Table[[#This Row],[Default Calculated Value]]-LCI_Table[[#This Row],[Calculated Value]]</f>
        <v>0</v>
      </c>
    </row>
    <row r="767" spans="1:29" x14ac:dyDescent="0.3">
      <c r="A7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STJGREETGREET(blank)_Switchgrass_Farming_InsecticideInsecticide</v>
      </c>
      <c r="B767" s="14" t="s">
        <v>133</v>
      </c>
      <c r="C767" s="14" t="s">
        <v>139</v>
      </c>
      <c r="D767" s="14" t="s">
        <v>29</v>
      </c>
      <c r="E767" s="48" t="s">
        <v>29</v>
      </c>
      <c r="F767" s="14" t="s">
        <v>31</v>
      </c>
      <c r="G767" s="14" t="b">
        <f>OR(LCI_Table[[#This Row],[Feedstock]]="All",LCI_Table[[#This Row],[Feedstock]]=SelectedFeedstock)</f>
        <v>0</v>
      </c>
      <c r="H767" s="14" t="b">
        <f>OR(LCI_Table[[#This Row],[Conversion]]="All",LCI_Table[[#This Row],[Conversion]]=SelectedConversion)</f>
        <v>0</v>
      </c>
      <c r="I767" s="14" t="b">
        <f>OR(LCI_Table[[#This Row],[Data Set]]="all",LCI_Table[[#This Row],[Data Set]]=SelectedDataSet)</f>
        <v>1</v>
      </c>
      <c r="J767" s="14" t="b">
        <f>OR(LCI_Table[[#This Row],[Technology]]="All",LCI_Table[[#This Row],[Technology]]=SelectedTechnology)</f>
        <v>1</v>
      </c>
      <c r="K767" s="14" t="b">
        <f>OR(LCI_Table[[#This Row],[Data Source]]="All",LCI_Table[[#This Row],[Data Source]]=SelectedDataSource)</f>
        <v>1</v>
      </c>
      <c r="L767" s="14" t="b">
        <f>TRUE</f>
        <v>1</v>
      </c>
      <c r="M767" s="14" t="b">
        <f>(LCI_Table[[#This Row],[Dev Notes]]="Do not display")</f>
        <v>0</v>
      </c>
      <c r="N767" s="14" t="b">
        <f>AND(LCI_Table[[#This Row],[Show Feedstock]:[Conditional]],NOT(LCI_Table[[#This Row],[Hide Row]]))</f>
        <v>0</v>
      </c>
      <c r="O767" s="14" t="b">
        <f>LCI_Table[[#This Row],[GREET1 Name Range]]=""</f>
        <v>0</v>
      </c>
      <c r="P767" s="14" t="s">
        <v>14</v>
      </c>
      <c r="Q767" s="14" t="s">
        <v>814</v>
      </c>
      <c r="R767" s="14" t="s">
        <v>114</v>
      </c>
      <c r="S767" s="37" cm="1">
        <f t="array" aca="1" ref="S7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67" s="346" t="s">
        <v>1485</v>
      </c>
      <c r="U767" s="347">
        <f ca="1">S767/S761*lb2g</f>
        <v>0</v>
      </c>
      <c r="V767" s="347">
        <v>0</v>
      </c>
      <c r="W767" s="347">
        <v>0</v>
      </c>
      <c r="X767" s="37" t="s">
        <v>12</v>
      </c>
      <c r="Y767" s="346" t="s">
        <v>413</v>
      </c>
      <c r="Z767" s="14" t="str">
        <f>IF(ISBLANK(LCI_Table[[#This Row],[Notes for user]])," ",LCI_Table[[#This Row],[Notes for user]])</f>
        <v xml:space="preserve"> </v>
      </c>
      <c r="AA767" s="14"/>
      <c r="AB767" s="14"/>
      <c r="AC767" s="346">
        <f ca="1">LCI_Table[[#This Row],[Default Calculated Value]]-LCI_Table[[#This Row],[Calculated Value]]</f>
        <v>0</v>
      </c>
    </row>
    <row r="768" spans="1:29" x14ac:dyDescent="0.3">
      <c r="A7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STJGREETGREET(blank)_Switchgrass_Farming_HDPEHDPE</v>
      </c>
      <c r="B768" s="14" t="s">
        <v>133</v>
      </c>
      <c r="C768" s="14" t="s">
        <v>139</v>
      </c>
      <c r="D768" s="14" t="s">
        <v>29</v>
      </c>
      <c r="E768" s="48" t="s">
        <v>29</v>
      </c>
      <c r="F768" s="14" t="s">
        <v>31</v>
      </c>
      <c r="G768" s="14" t="b">
        <f>OR(LCI_Table[[#This Row],[Feedstock]]="All",LCI_Table[[#This Row],[Feedstock]]=SelectedFeedstock)</f>
        <v>0</v>
      </c>
      <c r="H768" s="14" t="b">
        <f>OR(LCI_Table[[#This Row],[Conversion]]="All",LCI_Table[[#This Row],[Conversion]]=SelectedConversion)</f>
        <v>0</v>
      </c>
      <c r="I768" s="14" t="b">
        <f>OR(LCI_Table[[#This Row],[Data Set]]="all",LCI_Table[[#This Row],[Data Set]]=SelectedDataSet)</f>
        <v>1</v>
      </c>
      <c r="J768" s="14" t="b">
        <f>OR(LCI_Table[[#This Row],[Technology]]="All",LCI_Table[[#This Row],[Technology]]=SelectedTechnology)</f>
        <v>1</v>
      </c>
      <c r="K768" s="14" t="b">
        <f>OR(LCI_Table[[#This Row],[Data Source]]="All",LCI_Table[[#This Row],[Data Source]]=SelectedDataSource)</f>
        <v>1</v>
      </c>
      <c r="L768" s="14" t="b">
        <f>TRUE</f>
        <v>1</v>
      </c>
      <c r="M768" s="14" t="b">
        <f>(LCI_Table[[#This Row],[Dev Notes]]="Do not display")</f>
        <v>0</v>
      </c>
      <c r="N768" s="14" t="b">
        <f>AND(LCI_Table[[#This Row],[Show Feedstock]:[Conditional]],NOT(LCI_Table[[#This Row],[Hide Row]]))</f>
        <v>0</v>
      </c>
      <c r="O768" s="14" t="b">
        <f>LCI_Table[[#This Row],[GREET1 Name Range]]=""</f>
        <v>0</v>
      </c>
      <c r="P768" s="14" t="s">
        <v>14</v>
      </c>
      <c r="Q768" s="14" t="s">
        <v>812</v>
      </c>
      <c r="R768" s="14" t="s">
        <v>357</v>
      </c>
      <c r="S768" s="37" cm="1">
        <f t="array" aca="1" ref="S7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9.5133875378018568E-3</v>
      </c>
      <c r="T768" s="346" t="s">
        <v>1485</v>
      </c>
      <c r="U768" s="347">
        <f ca="1">S768/S761*lb2g</f>
        <v>0.74400000000000166</v>
      </c>
      <c r="V768" s="347">
        <v>9.5133875378018568E-3</v>
      </c>
      <c r="W768" s="347">
        <v>0.74400000000000166</v>
      </c>
      <c r="X768" s="37" t="s">
        <v>12</v>
      </c>
      <c r="Y768" s="346" t="s">
        <v>413</v>
      </c>
      <c r="Z768" s="14" t="str">
        <f>IF(ISBLANK(LCI_Table[[#This Row],[Notes for user]])," ",LCI_Table[[#This Row],[Notes for user]])</f>
        <v xml:space="preserve"> </v>
      </c>
      <c r="AA768" s="14"/>
      <c r="AB768" s="14"/>
      <c r="AC768" s="346">
        <f ca="1">LCI_Table[[#This Row],[Default Calculated Value]]-LCI_Table[[#This Row],[Calculated Value]]</f>
        <v>0</v>
      </c>
    </row>
    <row r="769" spans="1:29" x14ac:dyDescent="0.3">
      <c r="A7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STJGREETGREET(blank)_Switchgrass_Farming_Residual_oilResidual oil</v>
      </c>
      <c r="B769" s="14" t="s">
        <v>133</v>
      </c>
      <c r="C769" s="14" t="s">
        <v>139</v>
      </c>
      <c r="D769" s="14" t="s">
        <v>29</v>
      </c>
      <c r="E769" s="48" t="s">
        <v>29</v>
      </c>
      <c r="F769" s="14" t="s">
        <v>31</v>
      </c>
      <c r="G769" s="14" t="b">
        <f>OR(LCI_Table[[#This Row],[Feedstock]]="All",LCI_Table[[#This Row],[Feedstock]]=SelectedFeedstock)</f>
        <v>0</v>
      </c>
      <c r="H769" s="14" t="b">
        <f>OR(LCI_Table[[#This Row],[Conversion]]="All",LCI_Table[[#This Row],[Conversion]]=SelectedConversion)</f>
        <v>0</v>
      </c>
      <c r="I769" s="14" t="b">
        <f>OR(LCI_Table[[#This Row],[Data Set]]="all",LCI_Table[[#This Row],[Data Set]]=SelectedDataSet)</f>
        <v>1</v>
      </c>
      <c r="J769" s="14" t="b">
        <f>OR(LCI_Table[[#This Row],[Technology]]="All",LCI_Table[[#This Row],[Technology]]=SelectedTechnology)</f>
        <v>1</v>
      </c>
      <c r="K769" s="14" t="b">
        <f>OR(LCI_Table[[#This Row],[Data Source]]="All",LCI_Table[[#This Row],[Data Source]]=SelectedDataSource)</f>
        <v>1</v>
      </c>
      <c r="L769" s="14" t="b">
        <f>TRUE</f>
        <v>1</v>
      </c>
      <c r="M769" s="14" t="b">
        <f>(LCI_Table[[#This Row],[Dev Notes]]="Do not display")</f>
        <v>0</v>
      </c>
      <c r="N769" s="14" t="b">
        <f>AND(LCI_Table[[#This Row],[Show Feedstock]:[Conditional]],NOT(LCI_Table[[#This Row],[Hide Row]]))</f>
        <v>0</v>
      </c>
      <c r="O769" s="14" t="b">
        <f>LCI_Table[[#This Row],[GREET1 Name Range]]=""</f>
        <v>0</v>
      </c>
      <c r="P769" s="14" t="s">
        <v>14</v>
      </c>
      <c r="Q769" s="14" t="s">
        <v>820</v>
      </c>
      <c r="R769" s="14" t="s">
        <v>115</v>
      </c>
      <c r="S769" s="37" cm="1">
        <f t="array" aca="1" ref="S7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69" s="346" t="s">
        <v>1484</v>
      </c>
      <c r="U769" s="347">
        <f ca="1">S769*Fuel_Specs!$B$28/S761</f>
        <v>0</v>
      </c>
      <c r="V769" s="347">
        <v>0</v>
      </c>
      <c r="W769" s="347">
        <v>0</v>
      </c>
      <c r="X769" s="37" t="s">
        <v>5</v>
      </c>
      <c r="Y769" s="346" t="s">
        <v>413</v>
      </c>
      <c r="Z769" s="14" t="str">
        <f>IF(ISBLANK(LCI_Table[[#This Row],[Notes for user]])," ",LCI_Table[[#This Row],[Notes for user]])</f>
        <v xml:space="preserve"> </v>
      </c>
      <c r="AA769" s="14"/>
      <c r="AB769" s="14"/>
      <c r="AC769" s="346">
        <f ca="1">LCI_Table[[#This Row],[Default Calculated Value]]-LCI_Table[[#This Row],[Calculated Value]]</f>
        <v>0</v>
      </c>
    </row>
    <row r="770" spans="1:29" x14ac:dyDescent="0.3">
      <c r="A7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STJGREETGREET(blank)_Switchgrass_Farming_DieselDiesel</v>
      </c>
      <c r="B770" s="14" t="s">
        <v>133</v>
      </c>
      <c r="C770" s="14" t="s">
        <v>139</v>
      </c>
      <c r="D770" s="14" t="s">
        <v>29</v>
      </c>
      <c r="E770" s="48" t="s">
        <v>29</v>
      </c>
      <c r="F770" s="14" t="s">
        <v>31</v>
      </c>
      <c r="G770" s="14" t="b">
        <f>OR(LCI_Table[[#This Row],[Feedstock]]="All",LCI_Table[[#This Row],[Feedstock]]=SelectedFeedstock)</f>
        <v>0</v>
      </c>
      <c r="H770" s="14" t="b">
        <f>OR(LCI_Table[[#This Row],[Conversion]]="All",LCI_Table[[#This Row],[Conversion]]=SelectedConversion)</f>
        <v>0</v>
      </c>
      <c r="I770" s="14" t="b">
        <f>OR(LCI_Table[[#This Row],[Data Set]]="all",LCI_Table[[#This Row],[Data Set]]=SelectedDataSet)</f>
        <v>1</v>
      </c>
      <c r="J770" s="14" t="b">
        <f>OR(LCI_Table[[#This Row],[Technology]]="All",LCI_Table[[#This Row],[Technology]]=SelectedTechnology)</f>
        <v>1</v>
      </c>
      <c r="K770" s="14" t="b">
        <f>OR(LCI_Table[[#This Row],[Data Source]]="All",LCI_Table[[#This Row],[Data Source]]=SelectedDataSource)</f>
        <v>1</v>
      </c>
      <c r="L770" s="14" t="b">
        <f>TRUE</f>
        <v>1</v>
      </c>
      <c r="M770" s="14" t="b">
        <f>(LCI_Table[[#This Row],[Dev Notes]]="Do not display")</f>
        <v>0</v>
      </c>
      <c r="N770" s="14" t="b">
        <f>AND(LCI_Table[[#This Row],[Show Feedstock]:[Conditional]],NOT(LCI_Table[[#This Row],[Hide Row]]))</f>
        <v>0</v>
      </c>
      <c r="O770" s="14" t="b">
        <f>LCI_Table[[#This Row],[GREET1 Name Range]]=""</f>
        <v>0</v>
      </c>
      <c r="P770" s="14" t="s">
        <v>14</v>
      </c>
      <c r="Q770" s="14" t="s">
        <v>809</v>
      </c>
      <c r="R770" s="14" t="s">
        <v>106</v>
      </c>
      <c r="S770" s="37" cm="1">
        <f t="array" aca="1" ref="S7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2.8274499667405526</v>
      </c>
      <c r="T770" s="346" t="s">
        <v>1484</v>
      </c>
      <c r="U770" s="347">
        <f ca="1">S770*Fuel_Specs!$B$19/S761</f>
        <v>62618.266935831729</v>
      </c>
      <c r="V770" s="347">
        <v>2.8274499667405526</v>
      </c>
      <c r="W770" s="347">
        <v>62618.266935831729</v>
      </c>
      <c r="X770" s="37" t="s">
        <v>5</v>
      </c>
      <c r="Y770" s="346" t="s">
        <v>413</v>
      </c>
      <c r="Z770" s="14" t="str">
        <f>IF(ISBLANK(LCI_Table[[#This Row],[Notes for user]])," ",LCI_Table[[#This Row],[Notes for user]])</f>
        <v xml:space="preserve"> </v>
      </c>
      <c r="AA770" s="14"/>
      <c r="AB770" s="14"/>
      <c r="AC770" s="346">
        <f ca="1">LCI_Table[[#This Row],[Default Calculated Value]]-LCI_Table[[#This Row],[Calculated Value]]</f>
        <v>0</v>
      </c>
    </row>
    <row r="771" spans="1:29" x14ac:dyDescent="0.3">
      <c r="A7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STJGREETGREET(blank)_Switchgrass_Farming_GasolineGasoline</v>
      </c>
      <c r="B771" s="14" t="s">
        <v>133</v>
      </c>
      <c r="C771" s="14" t="s">
        <v>139</v>
      </c>
      <c r="D771" s="14" t="s">
        <v>29</v>
      </c>
      <c r="E771" s="48" t="s">
        <v>29</v>
      </c>
      <c r="F771" s="14" t="s">
        <v>31</v>
      </c>
      <c r="G771" s="14" t="b">
        <f>OR(LCI_Table[[#This Row],[Feedstock]]="All",LCI_Table[[#This Row],[Feedstock]]=SelectedFeedstock)</f>
        <v>0</v>
      </c>
      <c r="H771" s="14" t="b">
        <f>OR(LCI_Table[[#This Row],[Conversion]]="All",LCI_Table[[#This Row],[Conversion]]=SelectedConversion)</f>
        <v>0</v>
      </c>
      <c r="I771" s="14" t="b">
        <f>OR(LCI_Table[[#This Row],[Data Set]]="all",LCI_Table[[#This Row],[Data Set]]=SelectedDataSet)</f>
        <v>1</v>
      </c>
      <c r="J771" s="14" t="b">
        <f>OR(LCI_Table[[#This Row],[Technology]]="All",LCI_Table[[#This Row],[Technology]]=SelectedTechnology)</f>
        <v>1</v>
      </c>
      <c r="K771" s="14" t="b">
        <f>OR(LCI_Table[[#This Row],[Data Source]]="All",LCI_Table[[#This Row],[Data Source]]=SelectedDataSource)</f>
        <v>1</v>
      </c>
      <c r="L771" s="14" t="b">
        <f>TRUE</f>
        <v>1</v>
      </c>
      <c r="M771" s="14" t="b">
        <f>(LCI_Table[[#This Row],[Dev Notes]]="Do not display")</f>
        <v>0</v>
      </c>
      <c r="N771" s="14" t="b">
        <f>AND(LCI_Table[[#This Row],[Show Feedstock]:[Conditional]],NOT(LCI_Table[[#This Row],[Hide Row]]))</f>
        <v>0</v>
      </c>
      <c r="O771" s="14" t="b">
        <f>LCI_Table[[#This Row],[GREET1 Name Range]]=""</f>
        <v>0</v>
      </c>
      <c r="P771" s="14" t="s">
        <v>14</v>
      </c>
      <c r="Q771" s="14" t="s">
        <v>811</v>
      </c>
      <c r="R771" s="14" t="s">
        <v>107</v>
      </c>
      <c r="S771" s="37" cm="1">
        <f t="array" aca="1" ref="S7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71" s="346" t="s">
        <v>1484</v>
      </c>
      <c r="U771" s="347">
        <f ca="1">S771*Fuel_Specs!$B$15/S761</f>
        <v>0</v>
      </c>
      <c r="V771" s="347">
        <v>0</v>
      </c>
      <c r="W771" s="347">
        <v>0</v>
      </c>
      <c r="X771" s="37" t="s">
        <v>5</v>
      </c>
      <c r="Y771" s="346" t="s">
        <v>413</v>
      </c>
      <c r="Z771" s="14" t="str">
        <f>IF(ISBLANK(LCI_Table[[#This Row],[Notes for user]])," ",LCI_Table[[#This Row],[Notes for user]])</f>
        <v xml:space="preserve"> </v>
      </c>
      <c r="AA771" s="14"/>
      <c r="AB771" s="14"/>
      <c r="AC771" s="346">
        <f ca="1">LCI_Table[[#This Row],[Default Calculated Value]]-LCI_Table[[#This Row],[Calculated Value]]</f>
        <v>0</v>
      </c>
    </row>
    <row r="772" spans="1:29" x14ac:dyDescent="0.3">
      <c r="A7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STJGREETGREET(blank)_Switchgrass_Farming_Natural_gasNatural gas</v>
      </c>
      <c r="B772" s="14" t="s">
        <v>133</v>
      </c>
      <c r="C772" s="14" t="s">
        <v>139</v>
      </c>
      <c r="D772" s="14" t="s">
        <v>29</v>
      </c>
      <c r="E772" s="48" t="s">
        <v>29</v>
      </c>
      <c r="F772" s="14" t="s">
        <v>31</v>
      </c>
      <c r="G772" s="14" t="b">
        <f>OR(LCI_Table[[#This Row],[Feedstock]]="All",LCI_Table[[#This Row],[Feedstock]]=SelectedFeedstock)</f>
        <v>0</v>
      </c>
      <c r="H772" s="14" t="b">
        <f>OR(LCI_Table[[#This Row],[Conversion]]="All",LCI_Table[[#This Row],[Conversion]]=SelectedConversion)</f>
        <v>0</v>
      </c>
      <c r="I772" s="14" t="b">
        <f>OR(LCI_Table[[#This Row],[Data Set]]="all",LCI_Table[[#This Row],[Data Set]]=SelectedDataSet)</f>
        <v>1</v>
      </c>
      <c r="J772" s="14" t="b">
        <f>OR(LCI_Table[[#This Row],[Technology]]="All",LCI_Table[[#This Row],[Technology]]=SelectedTechnology)</f>
        <v>1</v>
      </c>
      <c r="K772" s="14" t="b">
        <f>OR(LCI_Table[[#This Row],[Data Source]]="All",LCI_Table[[#This Row],[Data Source]]=SelectedDataSource)</f>
        <v>1</v>
      </c>
      <c r="L772" s="14" t="b">
        <f>TRUE</f>
        <v>1</v>
      </c>
      <c r="M772" s="14" t="b">
        <f>(LCI_Table[[#This Row],[Dev Notes]]="Do not display")</f>
        <v>0</v>
      </c>
      <c r="N772" s="14" t="b">
        <f>AND(LCI_Table[[#This Row],[Show Feedstock]:[Conditional]],NOT(LCI_Table[[#This Row],[Hide Row]]))</f>
        <v>0</v>
      </c>
      <c r="O772" s="14" t="b">
        <f>LCI_Table[[#This Row],[GREET1 Name Range]]=""</f>
        <v>0</v>
      </c>
      <c r="P772" s="14" t="s">
        <v>14</v>
      </c>
      <c r="Q772" s="14" t="s">
        <v>817</v>
      </c>
      <c r="R772" s="14" t="s">
        <v>108</v>
      </c>
      <c r="S772" s="37" cm="1">
        <f t="array" aca="1" ref="S7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72" s="346" t="s">
        <v>2109</v>
      </c>
      <c r="U772" s="347">
        <f ca="1">S772*Fuel_Specs!$B$79/S761</f>
        <v>0</v>
      </c>
      <c r="V772" s="347">
        <v>0</v>
      </c>
      <c r="W772" s="347">
        <v>0</v>
      </c>
      <c r="X772" s="37" t="s">
        <v>351</v>
      </c>
      <c r="Y772" s="346" t="s">
        <v>413</v>
      </c>
      <c r="Z772" s="14" t="str">
        <f>IF(ISBLANK(LCI_Table[[#This Row],[Notes for user]])," ",LCI_Table[[#This Row],[Notes for user]])</f>
        <v xml:space="preserve"> </v>
      </c>
      <c r="AA772" s="14"/>
      <c r="AB772" s="14"/>
      <c r="AC772" s="346">
        <f ca="1">LCI_Table[[#This Row],[Default Calculated Value]]-LCI_Table[[#This Row],[Calculated Value]]</f>
        <v>0</v>
      </c>
    </row>
    <row r="773" spans="1:29" x14ac:dyDescent="0.3">
      <c r="A7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STJGREETGREET(blank)_Switchgrass_Farming_CoalCoal</v>
      </c>
      <c r="B773" s="14" t="s">
        <v>133</v>
      </c>
      <c r="C773" s="14" t="s">
        <v>139</v>
      </c>
      <c r="D773" s="14" t="s">
        <v>29</v>
      </c>
      <c r="E773" s="48" t="s">
        <v>29</v>
      </c>
      <c r="F773" s="14" t="s">
        <v>31</v>
      </c>
      <c r="G773" s="14" t="b">
        <f>OR(LCI_Table[[#This Row],[Feedstock]]="All",LCI_Table[[#This Row],[Feedstock]]=SelectedFeedstock)</f>
        <v>0</v>
      </c>
      <c r="H773" s="14" t="b">
        <f>OR(LCI_Table[[#This Row],[Conversion]]="All",LCI_Table[[#This Row],[Conversion]]=SelectedConversion)</f>
        <v>0</v>
      </c>
      <c r="I773" s="14" t="b">
        <f>OR(LCI_Table[[#This Row],[Data Set]]="all",LCI_Table[[#This Row],[Data Set]]=SelectedDataSet)</f>
        <v>1</v>
      </c>
      <c r="J773" s="14" t="b">
        <f>OR(LCI_Table[[#This Row],[Technology]]="All",LCI_Table[[#This Row],[Technology]]=SelectedTechnology)</f>
        <v>1</v>
      </c>
      <c r="K773" s="14" t="b">
        <f>OR(LCI_Table[[#This Row],[Data Source]]="All",LCI_Table[[#This Row],[Data Source]]=SelectedDataSource)</f>
        <v>1</v>
      </c>
      <c r="L773" s="14" t="b">
        <f>TRUE</f>
        <v>1</v>
      </c>
      <c r="M773" s="14" t="b">
        <f>(LCI_Table[[#This Row],[Dev Notes]]="Do not display")</f>
        <v>0</v>
      </c>
      <c r="N773" s="14" t="b">
        <f>AND(LCI_Table[[#This Row],[Show Feedstock]:[Conditional]],NOT(LCI_Table[[#This Row],[Hide Row]]))</f>
        <v>0</v>
      </c>
      <c r="O773" s="14" t="b">
        <f>LCI_Table[[#This Row],[GREET1 Name Range]]=""</f>
        <v>0</v>
      </c>
      <c r="P773" s="14" t="s">
        <v>14</v>
      </c>
      <c r="Q773" s="14" t="s">
        <v>808</v>
      </c>
      <c r="R773" s="14" t="s">
        <v>9</v>
      </c>
      <c r="S773" s="37" cm="1">
        <f t="array" aca="1" ref="S7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73" s="346" t="s">
        <v>2110</v>
      </c>
      <c r="U773" s="347">
        <f ca="1">S773/S761</f>
        <v>0</v>
      </c>
      <c r="V773" s="347">
        <v>0</v>
      </c>
      <c r="W773" s="347">
        <v>0</v>
      </c>
      <c r="X773" s="37" t="s">
        <v>117</v>
      </c>
      <c r="Y773" s="346" t="s">
        <v>413</v>
      </c>
      <c r="Z773" s="14" t="str">
        <f>IF(ISBLANK(LCI_Table[[#This Row],[Notes for user]])," ",LCI_Table[[#This Row],[Notes for user]])</f>
        <v xml:space="preserve"> </v>
      </c>
      <c r="AA773" s="14"/>
      <c r="AB773" s="14"/>
      <c r="AC773" s="346">
        <f ca="1">LCI_Table[[#This Row],[Default Calculated Value]]-LCI_Table[[#This Row],[Calculated Value]]</f>
        <v>0</v>
      </c>
    </row>
    <row r="774" spans="1:29" x14ac:dyDescent="0.3">
      <c r="A7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STJGREETGREET(blank)_Switchgrass_Farming_LPGLPG</v>
      </c>
      <c r="B774" s="14" t="s">
        <v>133</v>
      </c>
      <c r="C774" s="14" t="s">
        <v>139</v>
      </c>
      <c r="D774" s="14" t="s">
        <v>29</v>
      </c>
      <c r="E774" s="48" t="s">
        <v>29</v>
      </c>
      <c r="F774" s="14" t="s">
        <v>31</v>
      </c>
      <c r="G774" s="14" t="b">
        <f>OR(LCI_Table[[#This Row],[Feedstock]]="All",LCI_Table[[#This Row],[Feedstock]]=SelectedFeedstock)</f>
        <v>0</v>
      </c>
      <c r="H774" s="14" t="b">
        <f>OR(LCI_Table[[#This Row],[Conversion]]="All",LCI_Table[[#This Row],[Conversion]]=SelectedConversion)</f>
        <v>0</v>
      </c>
      <c r="I774" s="14" t="b">
        <f>OR(LCI_Table[[#This Row],[Data Set]]="all",LCI_Table[[#This Row],[Data Set]]=SelectedDataSet)</f>
        <v>1</v>
      </c>
      <c r="J774" s="14" t="b">
        <f>OR(LCI_Table[[#This Row],[Technology]]="All",LCI_Table[[#This Row],[Technology]]=SelectedTechnology)</f>
        <v>1</v>
      </c>
      <c r="K774" s="14" t="b">
        <f>OR(LCI_Table[[#This Row],[Data Source]]="All",LCI_Table[[#This Row],[Data Source]]=SelectedDataSource)</f>
        <v>1</v>
      </c>
      <c r="L774" s="14" t="b">
        <f>TRUE</f>
        <v>1</v>
      </c>
      <c r="M774" s="14" t="b">
        <f>(LCI_Table[[#This Row],[Dev Notes]]="Do not display")</f>
        <v>0</v>
      </c>
      <c r="N774" s="14" t="b">
        <f>AND(LCI_Table[[#This Row],[Show Feedstock]:[Conditional]],NOT(LCI_Table[[#This Row],[Hide Row]]))</f>
        <v>0</v>
      </c>
      <c r="O774" s="14" t="b">
        <f>LCI_Table[[#This Row],[GREET1 Name Range]]=""</f>
        <v>0</v>
      </c>
      <c r="P774" s="14" t="s">
        <v>14</v>
      </c>
      <c r="Q774" s="14" t="s">
        <v>816</v>
      </c>
      <c r="R774" s="14" t="s">
        <v>109</v>
      </c>
      <c r="S774" s="37" cm="1">
        <f t="array" aca="1" ref="S7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74" s="346" t="s">
        <v>1484</v>
      </c>
      <c r="U774" s="347">
        <f ca="1">S774*Fuel_Specs!$B$35/S761</f>
        <v>0</v>
      </c>
      <c r="V774" s="347">
        <v>0</v>
      </c>
      <c r="W774" s="347">
        <v>0</v>
      </c>
      <c r="X774" s="37" t="s">
        <v>5</v>
      </c>
      <c r="Y774" s="346" t="s">
        <v>413</v>
      </c>
      <c r="Z774" s="14" t="str">
        <f>IF(ISBLANK(LCI_Table[[#This Row],[Notes for user]])," ",LCI_Table[[#This Row],[Notes for user]])</f>
        <v xml:space="preserve"> </v>
      </c>
      <c r="AA774" s="14"/>
      <c r="AB774" s="14"/>
      <c r="AC774" s="346">
        <f ca="1">LCI_Table[[#This Row],[Default Calculated Value]]-LCI_Table[[#This Row],[Calculated Value]]</f>
        <v>0</v>
      </c>
    </row>
    <row r="775" spans="1:29" x14ac:dyDescent="0.3">
      <c r="A7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STJGREETGREET(blank)_Switchgrass_Farming_ElectricityElectricity</v>
      </c>
      <c r="B775" s="14" t="s">
        <v>133</v>
      </c>
      <c r="C775" s="14" t="s">
        <v>139</v>
      </c>
      <c r="D775" s="14" t="s">
        <v>29</v>
      </c>
      <c r="E775" s="48" t="s">
        <v>29</v>
      </c>
      <c r="F775" s="14" t="s">
        <v>31</v>
      </c>
      <c r="G775" s="14" t="b">
        <f>OR(LCI_Table[[#This Row],[Feedstock]]="All",LCI_Table[[#This Row],[Feedstock]]=SelectedFeedstock)</f>
        <v>0</v>
      </c>
      <c r="H775" s="14" t="b">
        <f>OR(LCI_Table[[#This Row],[Conversion]]="All",LCI_Table[[#This Row],[Conversion]]=SelectedConversion)</f>
        <v>0</v>
      </c>
      <c r="I775" s="14" t="b">
        <f>OR(LCI_Table[[#This Row],[Data Set]]="all",LCI_Table[[#This Row],[Data Set]]=SelectedDataSet)</f>
        <v>1</v>
      </c>
      <c r="J775" s="14" t="b">
        <f>OR(LCI_Table[[#This Row],[Technology]]="All",LCI_Table[[#This Row],[Technology]]=SelectedTechnology)</f>
        <v>1</v>
      </c>
      <c r="K775" s="14" t="b">
        <f>OR(LCI_Table[[#This Row],[Data Source]]="All",LCI_Table[[#This Row],[Data Source]]=SelectedDataSource)</f>
        <v>1</v>
      </c>
      <c r="L775" s="14" t="b">
        <f>TRUE</f>
        <v>1</v>
      </c>
      <c r="M775" s="14" t="b">
        <f>(LCI_Table[[#This Row],[Dev Notes]]="Do not display")</f>
        <v>0</v>
      </c>
      <c r="N775" s="14" t="b">
        <f>AND(LCI_Table[[#This Row],[Show Feedstock]:[Conditional]],NOT(LCI_Table[[#This Row],[Hide Row]]))</f>
        <v>0</v>
      </c>
      <c r="O775" s="14" t="b">
        <f>LCI_Table[[#This Row],[GREET1 Name Range]]=""</f>
        <v>0</v>
      </c>
      <c r="P775" s="14" t="s">
        <v>14</v>
      </c>
      <c r="Q775" s="14" t="s">
        <v>810</v>
      </c>
      <c r="R775" s="14" t="s">
        <v>110</v>
      </c>
      <c r="S775" s="37" cm="1">
        <f t="array" aca="1" ref="S7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8.2585639276448628</v>
      </c>
      <c r="T775" s="346" t="s">
        <v>1561</v>
      </c>
      <c r="U775" s="347">
        <f ca="1">S775/BTU2kWh/S761</f>
        <v>4858.5154960936197</v>
      </c>
      <c r="V775" s="347">
        <v>8.2585639276448628</v>
      </c>
      <c r="W775" s="347">
        <v>4858.5154960936197</v>
      </c>
      <c r="X775" s="37" t="s">
        <v>51</v>
      </c>
      <c r="Y775" s="346" t="s">
        <v>413</v>
      </c>
      <c r="Z775" s="14" t="str">
        <f>IF(ISBLANK(LCI_Table[[#This Row],[Notes for user]])," ",LCI_Table[[#This Row],[Notes for user]])</f>
        <v xml:space="preserve"> </v>
      </c>
      <c r="AA775" s="14"/>
      <c r="AB775" s="14"/>
      <c r="AC775" s="346">
        <f ca="1">LCI_Table[[#This Row],[Default Calculated Value]]-LCI_Table[[#This Row],[Calculated Value]]</f>
        <v>0</v>
      </c>
    </row>
    <row r="776" spans="1:29" x14ac:dyDescent="0.3">
      <c r="A7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STJGREETGREET(blank)_Cellulosic_Biological_STJ_Corn_stoverSwitchgrass</v>
      </c>
      <c r="B776" s="14" t="s">
        <v>133</v>
      </c>
      <c r="C776" s="14" t="s">
        <v>139</v>
      </c>
      <c r="D776" s="14" t="s">
        <v>29</v>
      </c>
      <c r="E776" s="48" t="s">
        <v>29</v>
      </c>
      <c r="F776" s="14" t="s">
        <v>31</v>
      </c>
      <c r="G776" s="14" t="b">
        <f>OR(LCI_Table[[#This Row],[Feedstock]]="All",LCI_Table[[#This Row],[Feedstock]]=SelectedFeedstock)</f>
        <v>0</v>
      </c>
      <c r="H776" s="14" t="b">
        <f>OR(LCI_Table[[#This Row],[Conversion]]="All",LCI_Table[[#This Row],[Conversion]]=SelectedConversion)</f>
        <v>0</v>
      </c>
      <c r="I776" s="14" t="b">
        <f>OR(LCI_Table[[#This Row],[Data Set]]="all",LCI_Table[[#This Row],[Data Set]]=SelectedDataSet)</f>
        <v>1</v>
      </c>
      <c r="J776" s="14" t="b">
        <f>OR(LCI_Table[[#This Row],[Technology]]="All",LCI_Table[[#This Row],[Technology]]=SelectedTechnology)</f>
        <v>1</v>
      </c>
      <c r="K776" s="14" t="b">
        <f>OR(LCI_Table[[#This Row],[Data Source]]="All",LCI_Table[[#This Row],[Data Source]]=SelectedDataSource)</f>
        <v>1</v>
      </c>
      <c r="L776" s="14" t="b">
        <f>TRUE</f>
        <v>1</v>
      </c>
      <c r="M776" s="14" t="b">
        <f>(LCI_Table[[#This Row],[Dev Notes]]="Do not display")</f>
        <v>0</v>
      </c>
      <c r="N776" s="14" t="b">
        <f>AND(LCI_Table[[#This Row],[Show Feedstock]:[Conditional]],NOT(LCI_Table[[#This Row],[Hide Row]]))</f>
        <v>0</v>
      </c>
      <c r="O776" s="14" t="b">
        <f>LCI_Table[[#This Row],[GREET1 Name Range]]=""</f>
        <v>0</v>
      </c>
      <c r="P776" s="14" t="s">
        <v>1448</v>
      </c>
      <c r="Q776" s="14" t="s">
        <v>535</v>
      </c>
      <c r="R776" s="14" t="s">
        <v>133</v>
      </c>
      <c r="S776" s="37" cm="1">
        <f t="array" aca="1" ref="S7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525.83196221027424</v>
      </c>
      <c r="T776" s="346" t="s">
        <v>2119</v>
      </c>
      <c r="U776" s="347">
        <f ca="1">S776/kg2lb/Allocations!$O$75*MJ2mmBTU</f>
        <v>0.22606705224250284</v>
      </c>
      <c r="V776" s="347">
        <v>525.83196221027424</v>
      </c>
      <c r="W776" s="347">
        <v>0.22606705224250284</v>
      </c>
      <c r="X776" s="37" t="s">
        <v>12</v>
      </c>
      <c r="Y776" s="346" t="s">
        <v>416</v>
      </c>
      <c r="Z776" s="14" t="str">
        <f>IF(ISBLANK(LCI_Table[[#This Row],[Notes for user]])," ",LCI_Table[[#This Row],[Notes for user]])</f>
        <v xml:space="preserve"> </v>
      </c>
      <c r="AA776" s="14"/>
      <c r="AB776" s="14"/>
      <c r="AC776" s="346">
        <f ca="1">LCI_Table[[#This Row],[Default Calculated Value]]-LCI_Table[[#This Row],[Calculated Value]]</f>
        <v>0</v>
      </c>
    </row>
    <row r="777" spans="1:29" x14ac:dyDescent="0.3">
      <c r="A7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STJGREETGREET(blank)_Cellulosic_Biological_STJ_HydrogenHydrogen</v>
      </c>
      <c r="B777" s="14" t="s">
        <v>133</v>
      </c>
      <c r="C777" s="14" t="s">
        <v>139</v>
      </c>
      <c r="D777" s="14" t="s">
        <v>29</v>
      </c>
      <c r="E777" s="48" t="s">
        <v>29</v>
      </c>
      <c r="F777" s="14" t="s">
        <v>31</v>
      </c>
      <c r="G777" s="14" t="b">
        <f>OR(LCI_Table[[#This Row],[Feedstock]]="All",LCI_Table[[#This Row],[Feedstock]]=SelectedFeedstock)</f>
        <v>0</v>
      </c>
      <c r="H777" s="14" t="b">
        <f>OR(LCI_Table[[#This Row],[Conversion]]="All",LCI_Table[[#This Row],[Conversion]]=SelectedConversion)</f>
        <v>0</v>
      </c>
      <c r="I777" s="14" t="b">
        <f>OR(LCI_Table[[#This Row],[Data Set]]="all",LCI_Table[[#This Row],[Data Set]]=SelectedDataSet)</f>
        <v>1</v>
      </c>
      <c r="J777" s="14" t="b">
        <f>OR(LCI_Table[[#This Row],[Technology]]="All",LCI_Table[[#This Row],[Technology]]=SelectedTechnology)</f>
        <v>1</v>
      </c>
      <c r="K777" s="14" t="b">
        <f>OR(LCI_Table[[#This Row],[Data Source]]="All",LCI_Table[[#This Row],[Data Source]]=SelectedDataSource)</f>
        <v>1</v>
      </c>
      <c r="L777" s="14" t="b">
        <f>TRUE</f>
        <v>1</v>
      </c>
      <c r="M777" s="14" t="b">
        <f>(LCI_Table[[#This Row],[Dev Notes]]="Do not display")</f>
        <v>0</v>
      </c>
      <c r="N777" s="14" t="b">
        <f>AND(LCI_Table[[#This Row],[Show Feedstock]:[Conditional]],NOT(LCI_Table[[#This Row],[Hide Row]]))</f>
        <v>0</v>
      </c>
      <c r="O777" s="14" t="b">
        <f>LCI_Table[[#This Row],[GREET1 Name Range]]=""</f>
        <v>0</v>
      </c>
      <c r="P777" s="14" t="s">
        <v>1448</v>
      </c>
      <c r="Q777" s="14" t="s">
        <v>540</v>
      </c>
      <c r="R777" s="14" t="s">
        <v>73</v>
      </c>
      <c r="S777" s="37" cm="1">
        <f t="array" aca="1" ref="S7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423.82286488101443</v>
      </c>
      <c r="T777" s="346" t="s">
        <v>2120</v>
      </c>
      <c r="U777" s="347">
        <f ca="1">S777/kg2g*Fuel_Specs!$E$81/Allocations!$O$75*MJ2mmBTU</f>
        <v>1.0243517491956343E-3</v>
      </c>
      <c r="V777" s="347">
        <v>423.82286488101443</v>
      </c>
      <c r="W777" s="347">
        <v>1.0243517491956343E-3</v>
      </c>
      <c r="X777" s="37" t="s">
        <v>351</v>
      </c>
      <c r="Y777" s="346" t="s">
        <v>416</v>
      </c>
      <c r="Z777" s="14" t="str">
        <f>IF(ISBLANK(LCI_Table[[#This Row],[Notes for user]])," ",LCI_Table[[#This Row],[Notes for user]])</f>
        <v xml:space="preserve"> </v>
      </c>
      <c r="AA777" s="14"/>
      <c r="AB777" s="14"/>
      <c r="AC777" s="346">
        <f ca="1">LCI_Table[[#This Row],[Default Calculated Value]]-LCI_Table[[#This Row],[Calculated Value]]</f>
        <v>0</v>
      </c>
    </row>
    <row r="778" spans="1:29" x14ac:dyDescent="0.3">
      <c r="A7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STJGREETGREET(blank)_Cellulosic_Biological_STJ_AmmoniaAmmonia</v>
      </c>
      <c r="B778" s="14" t="s">
        <v>133</v>
      </c>
      <c r="C778" s="14" t="s">
        <v>139</v>
      </c>
      <c r="D778" s="14" t="s">
        <v>29</v>
      </c>
      <c r="E778" s="48" t="s">
        <v>29</v>
      </c>
      <c r="F778" s="14" t="s">
        <v>31</v>
      </c>
      <c r="G778" s="14" t="b">
        <f>OR(LCI_Table[[#This Row],[Feedstock]]="All",LCI_Table[[#This Row],[Feedstock]]=SelectedFeedstock)</f>
        <v>0</v>
      </c>
      <c r="H778" s="14" t="b">
        <f>OR(LCI_Table[[#This Row],[Conversion]]="All",LCI_Table[[#This Row],[Conversion]]=SelectedConversion)</f>
        <v>0</v>
      </c>
      <c r="I778" s="14" t="b">
        <f>OR(LCI_Table[[#This Row],[Data Set]]="all",LCI_Table[[#This Row],[Data Set]]=SelectedDataSet)</f>
        <v>1</v>
      </c>
      <c r="J778" s="14" t="b">
        <f>OR(LCI_Table[[#This Row],[Technology]]="All",LCI_Table[[#This Row],[Technology]]=SelectedTechnology)</f>
        <v>1</v>
      </c>
      <c r="K778" s="14" t="b">
        <f>OR(LCI_Table[[#This Row],[Data Source]]="All",LCI_Table[[#This Row],[Data Source]]=SelectedDataSource)</f>
        <v>1</v>
      </c>
      <c r="L778" s="14" t="b">
        <f>TRUE</f>
        <v>1</v>
      </c>
      <c r="M778" s="14" t="b">
        <f>(LCI_Table[[#This Row],[Dev Notes]]="Do not display")</f>
        <v>0</v>
      </c>
      <c r="N778" s="14" t="b">
        <f>AND(LCI_Table[[#This Row],[Show Feedstock]:[Conditional]],NOT(LCI_Table[[#This Row],[Hide Row]]))</f>
        <v>0</v>
      </c>
      <c r="O778" s="14" t="b">
        <f>LCI_Table[[#This Row],[GREET1 Name Range]]=""</f>
        <v>0</v>
      </c>
      <c r="P778" s="14" t="s">
        <v>1448</v>
      </c>
      <c r="Q778" s="14" t="s">
        <v>532</v>
      </c>
      <c r="R778" s="14" t="s">
        <v>382</v>
      </c>
      <c r="S778" s="37" cm="1">
        <f t="array" aca="1" ref="S7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1124.2530041827843</v>
      </c>
      <c r="T778" s="346" t="s">
        <v>2127</v>
      </c>
      <c r="U778" s="347">
        <f ca="1">S778/kg2g/Allocations!$O$75*MJ2mmBTU</f>
        <v>1.0655862475742722E-3</v>
      </c>
      <c r="V778" s="347">
        <v>1124.2530041827843</v>
      </c>
      <c r="W778" s="347">
        <v>1.0655862475742722E-3</v>
      </c>
      <c r="X778" s="37" t="s">
        <v>6</v>
      </c>
      <c r="Y778" s="346" t="s">
        <v>416</v>
      </c>
      <c r="Z778" s="14" t="str">
        <f>IF(ISBLANK(LCI_Table[[#This Row],[Notes for user]])," ",LCI_Table[[#This Row],[Notes for user]])</f>
        <v xml:space="preserve"> </v>
      </c>
      <c r="AA778" s="14"/>
      <c r="AB778" s="14"/>
      <c r="AC778" s="346">
        <f ca="1">LCI_Table[[#This Row],[Default Calculated Value]]-LCI_Table[[#This Row],[Calculated Value]]</f>
        <v>0</v>
      </c>
    </row>
    <row r="779" spans="1:29" x14ac:dyDescent="0.3">
      <c r="A7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STJGREETGREET(blank)_Cellulosic_Biological_STJ_Corn_oilDistillers Corn Oil</v>
      </c>
      <c r="B779" s="14" t="s">
        <v>133</v>
      </c>
      <c r="C779" s="14" t="s">
        <v>139</v>
      </c>
      <c r="D779" s="14" t="s">
        <v>29</v>
      </c>
      <c r="E779" s="48" t="s">
        <v>29</v>
      </c>
      <c r="F779" s="14" t="s">
        <v>31</v>
      </c>
      <c r="G779" s="14" t="b">
        <f>OR(LCI_Table[[#This Row],[Feedstock]]="All",LCI_Table[[#This Row],[Feedstock]]=SelectedFeedstock)</f>
        <v>0</v>
      </c>
      <c r="H779" s="14" t="b">
        <f>OR(LCI_Table[[#This Row],[Conversion]]="All",LCI_Table[[#This Row],[Conversion]]=SelectedConversion)</f>
        <v>0</v>
      </c>
      <c r="I779" s="14" t="b">
        <f>OR(LCI_Table[[#This Row],[Data Set]]="all",LCI_Table[[#This Row],[Data Set]]=SelectedDataSet)</f>
        <v>1</v>
      </c>
      <c r="J779" s="14" t="b">
        <f>OR(LCI_Table[[#This Row],[Technology]]="All",LCI_Table[[#This Row],[Technology]]=SelectedTechnology)</f>
        <v>1</v>
      </c>
      <c r="K779" s="14" t="b">
        <f>OR(LCI_Table[[#This Row],[Data Source]]="All",LCI_Table[[#This Row],[Data Source]]=SelectedDataSource)</f>
        <v>1</v>
      </c>
      <c r="L779" s="14" t="b">
        <f>TRUE</f>
        <v>1</v>
      </c>
      <c r="M779" s="14" t="b">
        <f>(LCI_Table[[#This Row],[Dev Notes]]="Do not display")</f>
        <v>0</v>
      </c>
      <c r="N779" s="14" t="b">
        <f>AND(LCI_Table[[#This Row],[Show Feedstock]:[Conditional]],NOT(LCI_Table[[#This Row],[Hide Row]]))</f>
        <v>0</v>
      </c>
      <c r="O779" s="14" t="b">
        <f>LCI_Table[[#This Row],[GREET1 Name Range]]=""</f>
        <v>0</v>
      </c>
      <c r="P779" s="14" t="s">
        <v>1448</v>
      </c>
      <c r="Q779" s="14" t="s">
        <v>533</v>
      </c>
      <c r="R779" s="14" t="s">
        <v>1911</v>
      </c>
      <c r="S779" s="37" cm="1">
        <f t="array" aca="1" ref="S7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295.37400720891884</v>
      </c>
      <c r="T779" s="346" t="s">
        <v>2127</v>
      </c>
      <c r="U779" s="347">
        <f ca="1">S779/kg2g/Allocations!$O$75*MJ2mmBTU</f>
        <v>2.7996054162338308E-4</v>
      </c>
      <c r="V779" s="347">
        <v>295.37400720891884</v>
      </c>
      <c r="W779" s="347">
        <v>2.7996054162338308E-4</v>
      </c>
      <c r="X779" s="37" t="s">
        <v>6</v>
      </c>
      <c r="Y779" s="346" t="s">
        <v>416</v>
      </c>
      <c r="Z779" s="14" t="str">
        <f>IF(ISBLANK(LCI_Table[[#This Row],[Notes for user]])," ",LCI_Table[[#This Row],[Notes for user]])</f>
        <v xml:space="preserve"> </v>
      </c>
      <c r="AA779" s="14"/>
      <c r="AB779" s="14"/>
      <c r="AC779" s="346">
        <f ca="1">LCI_Table[[#This Row],[Default Calculated Value]]-LCI_Table[[#This Row],[Calculated Value]]</f>
        <v>0</v>
      </c>
    </row>
    <row r="780" spans="1:29" x14ac:dyDescent="0.3">
      <c r="A7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STJGREETGREET(blank)_Cellulosic_Biological_STJ_Corn_steep_liquorCorn steep liquor</v>
      </c>
      <c r="B780" s="14" t="s">
        <v>133</v>
      </c>
      <c r="C780" s="14" t="s">
        <v>139</v>
      </c>
      <c r="D780" s="14" t="s">
        <v>29</v>
      </c>
      <c r="E780" s="48" t="s">
        <v>29</v>
      </c>
      <c r="F780" s="14" t="s">
        <v>31</v>
      </c>
      <c r="G780" s="14" t="b">
        <f>OR(LCI_Table[[#This Row],[Feedstock]]="All",LCI_Table[[#This Row],[Feedstock]]=SelectedFeedstock)</f>
        <v>0</v>
      </c>
      <c r="H780" s="14" t="b">
        <f>OR(LCI_Table[[#This Row],[Conversion]]="All",LCI_Table[[#This Row],[Conversion]]=SelectedConversion)</f>
        <v>0</v>
      </c>
      <c r="I780" s="14" t="b">
        <f>OR(LCI_Table[[#This Row],[Data Set]]="all",LCI_Table[[#This Row],[Data Set]]=SelectedDataSet)</f>
        <v>1</v>
      </c>
      <c r="J780" s="14" t="b">
        <f>OR(LCI_Table[[#This Row],[Technology]]="All",LCI_Table[[#This Row],[Technology]]=SelectedTechnology)</f>
        <v>1</v>
      </c>
      <c r="K780" s="14" t="b">
        <f>OR(LCI_Table[[#This Row],[Data Source]]="All",LCI_Table[[#This Row],[Data Source]]=SelectedDataSource)</f>
        <v>1</v>
      </c>
      <c r="L780" s="14" t="b">
        <f>TRUE</f>
        <v>1</v>
      </c>
      <c r="M780" s="14" t="b">
        <f>(LCI_Table[[#This Row],[Dev Notes]]="Do not display")</f>
        <v>0</v>
      </c>
      <c r="N780" s="14" t="b">
        <f>AND(LCI_Table[[#This Row],[Show Feedstock]:[Conditional]],NOT(LCI_Table[[#This Row],[Hide Row]]))</f>
        <v>0</v>
      </c>
      <c r="O780" s="14" t="b">
        <f>LCI_Table[[#This Row],[GREET1 Name Range]]=""</f>
        <v>0</v>
      </c>
      <c r="P780" s="14" t="s">
        <v>1448</v>
      </c>
      <c r="Q780" s="14" t="s">
        <v>534</v>
      </c>
      <c r="R780" s="14" t="s">
        <v>386</v>
      </c>
      <c r="S780" s="37" cm="1">
        <f t="array" aca="1" ref="S7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3402.525385367856</v>
      </c>
      <c r="T780" s="346" t="s">
        <v>2127</v>
      </c>
      <c r="U780" s="347">
        <f ca="1">S780/kg2g/Allocations!$O$75*MJ2mmBTU</f>
        <v>3.2249718205608316E-3</v>
      </c>
      <c r="V780" s="347">
        <v>3402.525385367856</v>
      </c>
      <c r="W780" s="347">
        <v>3.2249718205608316E-3</v>
      </c>
      <c r="X780" s="37" t="s">
        <v>6</v>
      </c>
      <c r="Y780" s="346" t="s">
        <v>416</v>
      </c>
      <c r="Z780" s="14" t="str">
        <f>IF(ISBLANK(LCI_Table[[#This Row],[Notes for user]])," ",LCI_Table[[#This Row],[Notes for user]])</f>
        <v xml:space="preserve"> </v>
      </c>
      <c r="AA780" s="14"/>
      <c r="AB780" s="14"/>
      <c r="AC780" s="346">
        <f ca="1">LCI_Table[[#This Row],[Default Calculated Value]]-LCI_Table[[#This Row],[Calculated Value]]</f>
        <v>0</v>
      </c>
    </row>
    <row r="781" spans="1:29" x14ac:dyDescent="0.3">
      <c r="A7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STJGREETGREET(blank)_Cellulosic_Biological_STJ_DAPDAP</v>
      </c>
      <c r="B781" s="14" t="s">
        <v>133</v>
      </c>
      <c r="C781" s="14" t="s">
        <v>139</v>
      </c>
      <c r="D781" s="14" t="s">
        <v>29</v>
      </c>
      <c r="E781" s="48" t="s">
        <v>29</v>
      </c>
      <c r="F781" s="14" t="s">
        <v>31</v>
      </c>
      <c r="G781" s="14" t="b">
        <f>OR(LCI_Table[[#This Row],[Feedstock]]="All",LCI_Table[[#This Row],[Feedstock]]=SelectedFeedstock)</f>
        <v>0</v>
      </c>
      <c r="H781" s="14" t="b">
        <f>OR(LCI_Table[[#This Row],[Conversion]]="All",LCI_Table[[#This Row],[Conversion]]=SelectedConversion)</f>
        <v>0</v>
      </c>
      <c r="I781" s="14" t="b">
        <f>OR(LCI_Table[[#This Row],[Data Set]]="all",LCI_Table[[#This Row],[Data Set]]=SelectedDataSet)</f>
        <v>1</v>
      </c>
      <c r="J781" s="14" t="b">
        <f>OR(LCI_Table[[#This Row],[Technology]]="All",LCI_Table[[#This Row],[Technology]]=SelectedTechnology)</f>
        <v>1</v>
      </c>
      <c r="K781" s="14" t="b">
        <f>OR(LCI_Table[[#This Row],[Data Source]]="All",LCI_Table[[#This Row],[Data Source]]=SelectedDataSource)</f>
        <v>1</v>
      </c>
      <c r="L781" s="14" t="b">
        <f>TRUE</f>
        <v>1</v>
      </c>
      <c r="M781" s="14" t="b">
        <f>(LCI_Table[[#This Row],[Dev Notes]]="Do not display")</f>
        <v>0</v>
      </c>
      <c r="N781" s="14" t="b">
        <f>AND(LCI_Table[[#This Row],[Show Feedstock]:[Conditional]],NOT(LCI_Table[[#This Row],[Hide Row]]))</f>
        <v>0</v>
      </c>
      <c r="O781" s="14" t="b">
        <f>LCI_Table[[#This Row],[GREET1 Name Range]]=""</f>
        <v>0</v>
      </c>
      <c r="P781" s="14" t="s">
        <v>1448</v>
      </c>
      <c r="Q781" s="14" t="s">
        <v>536</v>
      </c>
      <c r="R781" s="14" t="s">
        <v>383</v>
      </c>
      <c r="S781" s="37" cm="1">
        <f t="array" aca="1" ref="S7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290.79456523668756</v>
      </c>
      <c r="T781" s="346" t="s">
        <v>2127</v>
      </c>
      <c r="U781" s="347">
        <f ca="1">S781/kg2g/Allocations!$O$75*MJ2mmBTU</f>
        <v>2.7562006810984228E-4</v>
      </c>
      <c r="V781" s="347">
        <v>290.79456523668756</v>
      </c>
      <c r="W781" s="347">
        <v>2.7562006810984228E-4</v>
      </c>
      <c r="X781" s="37" t="s">
        <v>6</v>
      </c>
      <c r="Y781" s="346" t="s">
        <v>416</v>
      </c>
      <c r="Z781" s="14" t="str">
        <f>IF(ISBLANK(LCI_Table[[#This Row],[Notes for user]])," ",LCI_Table[[#This Row],[Notes for user]])</f>
        <v xml:space="preserve"> </v>
      </c>
      <c r="AA781" s="14"/>
      <c r="AB781" s="14"/>
      <c r="AC781" s="346">
        <f ca="1">LCI_Table[[#This Row],[Default Calculated Value]]-LCI_Table[[#This Row],[Calculated Value]]</f>
        <v>0</v>
      </c>
    </row>
    <row r="782" spans="1:29" x14ac:dyDescent="0.3">
      <c r="A7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STJGREETGREET(blank)_Cellulosic_Biological_STJ_GlucoseGlucose</v>
      </c>
      <c r="B782" s="14" t="s">
        <v>133</v>
      </c>
      <c r="C782" s="14" t="s">
        <v>139</v>
      </c>
      <c r="D782" s="14" t="s">
        <v>29</v>
      </c>
      <c r="E782" s="48" t="s">
        <v>29</v>
      </c>
      <c r="F782" s="14" t="s">
        <v>31</v>
      </c>
      <c r="G782" s="14" t="b">
        <f>OR(LCI_Table[[#This Row],[Feedstock]]="All",LCI_Table[[#This Row],[Feedstock]]=SelectedFeedstock)</f>
        <v>0</v>
      </c>
      <c r="H782" s="14" t="b">
        <f>OR(LCI_Table[[#This Row],[Conversion]]="All",LCI_Table[[#This Row],[Conversion]]=SelectedConversion)</f>
        <v>0</v>
      </c>
      <c r="I782" s="14" t="b">
        <f>OR(LCI_Table[[#This Row],[Data Set]]="all",LCI_Table[[#This Row],[Data Set]]=SelectedDataSet)</f>
        <v>1</v>
      </c>
      <c r="J782" s="14" t="b">
        <f>OR(LCI_Table[[#This Row],[Technology]]="All",LCI_Table[[#This Row],[Technology]]=SelectedTechnology)</f>
        <v>1</v>
      </c>
      <c r="K782" s="14" t="b">
        <f>OR(LCI_Table[[#This Row],[Data Source]]="All",LCI_Table[[#This Row],[Data Source]]=SelectedDataSource)</f>
        <v>1</v>
      </c>
      <c r="L782" s="14" t="b">
        <f>TRUE</f>
        <v>1</v>
      </c>
      <c r="M782" s="14" t="b">
        <f>(LCI_Table[[#This Row],[Dev Notes]]="Do not display")</f>
        <v>0</v>
      </c>
      <c r="N782" s="14" t="b">
        <f>AND(LCI_Table[[#This Row],[Show Feedstock]:[Conditional]],NOT(LCI_Table[[#This Row],[Hide Row]]))</f>
        <v>0</v>
      </c>
      <c r="O782" s="14" t="b">
        <f>LCI_Table[[#This Row],[GREET1 Name Range]]=""</f>
        <v>0</v>
      </c>
      <c r="P782" s="14" t="s">
        <v>1448</v>
      </c>
      <c r="Q782" s="14" t="s">
        <v>538</v>
      </c>
      <c r="R782" s="14" t="s">
        <v>387</v>
      </c>
      <c r="S782" s="37" cm="1">
        <f t="array" aca="1" ref="S7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2777.431556158283</v>
      </c>
      <c r="T782" s="346" t="s">
        <v>2127</v>
      </c>
      <c r="U782" s="347">
        <f ca="1">S782/kg2g/Allocations!$O$75*MJ2mmBTU</f>
        <v>2.632497185962509E-3</v>
      </c>
      <c r="V782" s="347">
        <v>2777.431556158283</v>
      </c>
      <c r="W782" s="347">
        <v>2.632497185962509E-3</v>
      </c>
      <c r="X782" s="37" t="s">
        <v>6</v>
      </c>
      <c r="Y782" s="346" t="s">
        <v>416</v>
      </c>
      <c r="Z782" s="14" t="str">
        <f>IF(ISBLANK(LCI_Table[[#This Row],[Notes for user]])," ",LCI_Table[[#This Row],[Notes for user]])</f>
        <v xml:space="preserve"> </v>
      </c>
      <c r="AA782" s="14"/>
      <c r="AB782" s="14"/>
      <c r="AC782" s="346">
        <f ca="1">LCI_Table[[#This Row],[Default Calculated Value]]-LCI_Table[[#This Row],[Calculated Value]]</f>
        <v>0</v>
      </c>
    </row>
    <row r="783" spans="1:29" x14ac:dyDescent="0.3">
      <c r="A7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STJGREETGREET(blank)_Cellulosic_Biological_STJ_Host_nutrientsHost nutrients</v>
      </c>
      <c r="B783" s="14" t="s">
        <v>133</v>
      </c>
      <c r="C783" s="14" t="s">
        <v>139</v>
      </c>
      <c r="D783" s="14" t="s">
        <v>29</v>
      </c>
      <c r="E783" s="48" t="s">
        <v>29</v>
      </c>
      <c r="F783" s="14" t="s">
        <v>31</v>
      </c>
      <c r="G783" s="14" t="b">
        <f>OR(LCI_Table[[#This Row],[Feedstock]]="All",LCI_Table[[#This Row],[Feedstock]]=SelectedFeedstock)</f>
        <v>0</v>
      </c>
      <c r="H783" s="14" t="b">
        <f>OR(LCI_Table[[#This Row],[Conversion]]="All",LCI_Table[[#This Row],[Conversion]]=SelectedConversion)</f>
        <v>0</v>
      </c>
      <c r="I783" s="14" t="b">
        <f>OR(LCI_Table[[#This Row],[Data Set]]="all",LCI_Table[[#This Row],[Data Set]]=SelectedDataSet)</f>
        <v>1</v>
      </c>
      <c r="J783" s="14" t="b">
        <f>OR(LCI_Table[[#This Row],[Technology]]="All",LCI_Table[[#This Row],[Technology]]=SelectedTechnology)</f>
        <v>1</v>
      </c>
      <c r="K783" s="14" t="b">
        <f>OR(LCI_Table[[#This Row],[Data Source]]="All",LCI_Table[[#This Row],[Data Source]]=SelectedDataSource)</f>
        <v>1</v>
      </c>
      <c r="L783" s="14" t="b">
        <f>TRUE</f>
        <v>1</v>
      </c>
      <c r="M783" s="14" t="b">
        <f>(LCI_Table[[#This Row],[Dev Notes]]="Do not display")</f>
        <v>0</v>
      </c>
      <c r="N783" s="14" t="b">
        <f>AND(LCI_Table[[#This Row],[Show Feedstock]:[Conditional]],NOT(LCI_Table[[#This Row],[Hide Row]]))</f>
        <v>0</v>
      </c>
      <c r="O783" s="14" t="b">
        <f>LCI_Table[[#This Row],[GREET1 Name Range]]=""</f>
        <v>0</v>
      </c>
      <c r="P783" s="14" t="s">
        <v>1448</v>
      </c>
      <c r="Q783" s="14" t="s">
        <v>539</v>
      </c>
      <c r="R783" s="14" t="s">
        <v>388</v>
      </c>
      <c r="S783" s="37" cm="1">
        <f t="array" aca="1" ref="S7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77.850513527932108</v>
      </c>
      <c r="T783" s="346" t="s">
        <v>2127</v>
      </c>
      <c r="U783" s="347">
        <f ca="1">S783/kg2g/Allocations!$O$75*MJ2mmBTU</f>
        <v>7.3788049730194008E-5</v>
      </c>
      <c r="V783" s="347">
        <v>77.850513527932108</v>
      </c>
      <c r="W783" s="347">
        <v>7.3788049730194008E-5</v>
      </c>
      <c r="X783" s="37" t="s">
        <v>6</v>
      </c>
      <c r="Y783" s="346" t="s">
        <v>416</v>
      </c>
      <c r="Z783" s="14" t="str">
        <f>IF(ISBLANK(LCI_Table[[#This Row],[Notes for user]])," ",LCI_Table[[#This Row],[Notes for user]])</f>
        <v xml:space="preserve"> </v>
      </c>
      <c r="AA783" s="14"/>
      <c r="AB783" s="14"/>
      <c r="AC783" s="346">
        <f ca="1">LCI_Table[[#This Row],[Default Calculated Value]]-LCI_Table[[#This Row],[Calculated Value]]</f>
        <v>0</v>
      </c>
    </row>
    <row r="784" spans="1:29" x14ac:dyDescent="0.3">
      <c r="A7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STJGREETGREET(blank)_Cellulosic_Biological_STJ_LimeLime</v>
      </c>
      <c r="B784" s="14" t="s">
        <v>133</v>
      </c>
      <c r="C784" s="14" t="s">
        <v>139</v>
      </c>
      <c r="D784" s="14" t="s">
        <v>29</v>
      </c>
      <c r="E784" s="48" t="s">
        <v>29</v>
      </c>
      <c r="F784" s="14" t="s">
        <v>31</v>
      </c>
      <c r="G784" s="14" t="b">
        <f>OR(LCI_Table[[#This Row],[Feedstock]]="All",LCI_Table[[#This Row],[Feedstock]]=SelectedFeedstock)</f>
        <v>0</v>
      </c>
      <c r="H784" s="14" t="b">
        <f>OR(LCI_Table[[#This Row],[Conversion]]="All",LCI_Table[[#This Row],[Conversion]]=SelectedConversion)</f>
        <v>0</v>
      </c>
      <c r="I784" s="14" t="b">
        <f>OR(LCI_Table[[#This Row],[Data Set]]="all",LCI_Table[[#This Row],[Data Set]]=SelectedDataSet)</f>
        <v>1</v>
      </c>
      <c r="J784" s="14" t="b">
        <f>OR(LCI_Table[[#This Row],[Technology]]="All",LCI_Table[[#This Row],[Technology]]=SelectedTechnology)</f>
        <v>1</v>
      </c>
      <c r="K784" s="14" t="b">
        <f>OR(LCI_Table[[#This Row],[Data Source]]="All",LCI_Table[[#This Row],[Data Source]]=SelectedDataSource)</f>
        <v>1</v>
      </c>
      <c r="L784" s="14" t="b">
        <f>TRUE</f>
        <v>1</v>
      </c>
      <c r="M784" s="14" t="b">
        <f>(LCI_Table[[#This Row],[Dev Notes]]="Do not display")</f>
        <v>0</v>
      </c>
      <c r="N784" s="14" t="b">
        <f>AND(LCI_Table[[#This Row],[Show Feedstock]:[Conditional]],NOT(LCI_Table[[#This Row],[Hide Row]]))</f>
        <v>0</v>
      </c>
      <c r="O784" s="14" t="b">
        <f>LCI_Table[[#This Row],[GREET1 Name Range]]=""</f>
        <v>0</v>
      </c>
      <c r="P784" s="14" t="s">
        <v>1448</v>
      </c>
      <c r="Q784" s="14" t="s">
        <v>541</v>
      </c>
      <c r="R784" s="14" t="s">
        <v>143</v>
      </c>
      <c r="S784" s="37" cm="1">
        <f t="array" aca="1" ref="S7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437.33670834808913</v>
      </c>
      <c r="T784" s="346" t="s">
        <v>2127</v>
      </c>
      <c r="U784" s="347">
        <f ca="1">S784/kg2g/Allocations!$O$75*MJ2mmBTU</f>
        <v>4.1451522054314859E-4</v>
      </c>
      <c r="V784" s="347">
        <v>437.33670834808913</v>
      </c>
      <c r="W784" s="347">
        <v>4.1451522054314859E-4</v>
      </c>
      <c r="X784" s="14" t="s">
        <v>6</v>
      </c>
      <c r="Y784" s="346" t="s">
        <v>416</v>
      </c>
      <c r="Z784" s="14" t="str">
        <f>IF(ISBLANK(LCI_Table[[#This Row],[Notes for user]])," ",LCI_Table[[#This Row],[Notes for user]])</f>
        <v xml:space="preserve"> </v>
      </c>
      <c r="AA784" s="14"/>
      <c r="AB784" s="14"/>
      <c r="AC784" s="346">
        <f ca="1">LCI_Table[[#This Row],[Default Calculated Value]]-LCI_Table[[#This Row],[Calculated Value]]</f>
        <v>0</v>
      </c>
    </row>
    <row r="785" spans="1:29" x14ac:dyDescent="0.3">
      <c r="A7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STJGREETGREET(blank)_Cellulosic_Biological_STJ_Sulfuric_acidSulfuric acid</v>
      </c>
      <c r="B785" s="14" t="s">
        <v>133</v>
      </c>
      <c r="C785" s="14" t="s">
        <v>139</v>
      </c>
      <c r="D785" s="14" t="s">
        <v>29</v>
      </c>
      <c r="E785" s="48" t="s">
        <v>29</v>
      </c>
      <c r="F785" s="14" t="s">
        <v>31</v>
      </c>
      <c r="G785" s="14" t="b">
        <f>OR(LCI_Table[[#This Row],[Feedstock]]="All",LCI_Table[[#This Row],[Feedstock]]=SelectedFeedstock)</f>
        <v>0</v>
      </c>
      <c r="H785" s="14" t="b">
        <f>OR(LCI_Table[[#This Row],[Conversion]]="All",LCI_Table[[#This Row],[Conversion]]=SelectedConversion)</f>
        <v>0</v>
      </c>
      <c r="I785" s="14" t="b">
        <f>OR(LCI_Table[[#This Row],[Data Set]]="all",LCI_Table[[#This Row],[Data Set]]=SelectedDataSet)</f>
        <v>1</v>
      </c>
      <c r="J785" s="14" t="b">
        <f>OR(LCI_Table[[#This Row],[Technology]]="All",LCI_Table[[#This Row],[Technology]]=SelectedTechnology)</f>
        <v>1</v>
      </c>
      <c r="K785" s="14" t="b">
        <f>OR(LCI_Table[[#This Row],[Data Source]]="All",LCI_Table[[#This Row],[Data Source]]=SelectedDataSource)</f>
        <v>1</v>
      </c>
      <c r="L785" s="14" t="b">
        <f>TRUE</f>
        <v>1</v>
      </c>
      <c r="M785" s="14" t="b">
        <f>(LCI_Table[[#This Row],[Dev Notes]]="Do not display")</f>
        <v>0</v>
      </c>
      <c r="N785" s="14" t="b">
        <f>AND(LCI_Table[[#This Row],[Show Feedstock]:[Conditional]],NOT(LCI_Table[[#This Row],[Hide Row]]))</f>
        <v>0</v>
      </c>
      <c r="O785" s="14" t="b">
        <f>LCI_Table[[#This Row],[GREET1 Name Range]]=""</f>
        <v>0</v>
      </c>
      <c r="P785" s="14" t="s">
        <v>1448</v>
      </c>
      <c r="Q785" s="14" t="s">
        <v>542</v>
      </c>
      <c r="R785" s="14" t="s">
        <v>384</v>
      </c>
      <c r="S785" s="37" cm="1">
        <f t="array" aca="1" ref="S7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5128.9750088990568</v>
      </c>
      <c r="T785" s="346" t="s">
        <v>2127</v>
      </c>
      <c r="U785" s="347">
        <f ca="1">S785/kg2g/Allocations!$O$75*MJ2mmBTU</f>
        <v>4.8613303351657229E-3</v>
      </c>
      <c r="V785" s="347">
        <v>5128.9750088990568</v>
      </c>
      <c r="W785" s="347">
        <v>4.8613303351657229E-3</v>
      </c>
      <c r="X785" s="37" t="s">
        <v>6</v>
      </c>
      <c r="Y785" s="346" t="s">
        <v>416</v>
      </c>
      <c r="Z785" s="14" t="str">
        <f>IF(ISBLANK(LCI_Table[[#This Row],[Notes for user]])," ",LCI_Table[[#This Row],[Notes for user]])</f>
        <v xml:space="preserve"> </v>
      </c>
      <c r="AA785" s="14"/>
      <c r="AB785" s="14"/>
      <c r="AC785" s="346">
        <f ca="1">LCI_Table[[#This Row],[Default Calculated Value]]-LCI_Table[[#This Row],[Calculated Value]]</f>
        <v>0</v>
      </c>
    </row>
    <row r="786" spans="1:29" x14ac:dyDescent="0.3">
      <c r="A7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STJGREETGREET(blank)_Cellulosic_Biological_STJ_WaterWater</v>
      </c>
      <c r="B786" s="14" t="s">
        <v>133</v>
      </c>
      <c r="C786" s="14" t="s">
        <v>139</v>
      </c>
      <c r="D786" s="14" t="s">
        <v>29</v>
      </c>
      <c r="E786" s="48" t="s">
        <v>29</v>
      </c>
      <c r="F786" s="14" t="s">
        <v>31</v>
      </c>
      <c r="G786" s="14" t="b">
        <f>OR(LCI_Table[[#This Row],[Feedstock]]="All",LCI_Table[[#This Row],[Feedstock]]=SelectedFeedstock)</f>
        <v>0</v>
      </c>
      <c r="H786" s="14" t="b">
        <f>OR(LCI_Table[[#This Row],[Conversion]]="All",LCI_Table[[#This Row],[Conversion]]=SelectedConversion)</f>
        <v>0</v>
      </c>
      <c r="I786" s="14" t="b">
        <f>OR(LCI_Table[[#This Row],[Data Set]]="all",LCI_Table[[#This Row],[Data Set]]=SelectedDataSet)</f>
        <v>1</v>
      </c>
      <c r="J786" s="14" t="b">
        <f>OR(LCI_Table[[#This Row],[Technology]]="All",LCI_Table[[#This Row],[Technology]]=SelectedTechnology)</f>
        <v>1</v>
      </c>
      <c r="K786" s="14" t="b">
        <f>OR(LCI_Table[[#This Row],[Data Source]]="All",LCI_Table[[#This Row],[Data Source]]=SelectedDataSource)</f>
        <v>1</v>
      </c>
      <c r="L786" s="14" t="b">
        <f>TRUE</f>
        <v>1</v>
      </c>
      <c r="M786" s="14" t="b">
        <f>(LCI_Table[[#This Row],[Dev Notes]]="Do not display")</f>
        <v>0</v>
      </c>
      <c r="N786" s="14" t="b">
        <f>AND(LCI_Table[[#This Row],[Show Feedstock]:[Conditional]],NOT(LCI_Table[[#This Row],[Hide Row]]))</f>
        <v>0</v>
      </c>
      <c r="O786" s="14" t="b">
        <f>LCI_Table[[#This Row],[GREET1 Name Range]]=""</f>
        <v>0</v>
      </c>
      <c r="P786" s="14" t="s">
        <v>1448</v>
      </c>
      <c r="Q786" s="14" t="s">
        <v>543</v>
      </c>
      <c r="R786" s="14" t="s">
        <v>146</v>
      </c>
      <c r="S786" s="37" cm="1">
        <f t="array" aca="1" ref="S7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133.25118652693723</v>
      </c>
      <c r="T786" s="346" t="s">
        <v>2128</v>
      </c>
      <c r="U786" s="347">
        <f ca="1">S786/kg2lb*Fuel_Specs!$K$4/Allocations!$O$75*MJ2mmBTU</f>
        <v>0.47667948220408035</v>
      </c>
      <c r="V786" s="347">
        <v>133.25118652693723</v>
      </c>
      <c r="W786" s="347">
        <v>0.47667948220408035</v>
      </c>
      <c r="X786" s="37" t="s">
        <v>5</v>
      </c>
      <c r="Y786" s="346" t="s">
        <v>416</v>
      </c>
      <c r="Z786" s="14" t="str">
        <f>IF(ISBLANK(LCI_Table[[#This Row],[Notes for user]])," ",LCI_Table[[#This Row],[Notes for user]])</f>
        <v xml:space="preserve"> </v>
      </c>
      <c r="AA786" s="14"/>
      <c r="AB786" s="14"/>
      <c r="AC786" s="346">
        <f ca="1">LCI_Table[[#This Row],[Default Calculated Value]]-LCI_Table[[#This Row],[Calculated Value]]</f>
        <v>0</v>
      </c>
    </row>
    <row r="787" spans="1:29" x14ac:dyDescent="0.3">
      <c r="A7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SwitchgrassBiological STJGREETGREET(blank)_Cellulosic_Biological_STJ_Electricity_co_producedElectricity (co-produced)</v>
      </c>
      <c r="B787" s="14" t="s">
        <v>133</v>
      </c>
      <c r="C787" s="14" t="s">
        <v>139</v>
      </c>
      <c r="D787" s="14" t="s">
        <v>29</v>
      </c>
      <c r="E787" s="48" t="s">
        <v>29</v>
      </c>
      <c r="F787" s="14" t="s">
        <v>31</v>
      </c>
      <c r="G787" s="14" t="b">
        <f>OR(LCI_Table[[#This Row],[Feedstock]]="All",LCI_Table[[#This Row],[Feedstock]]=SelectedFeedstock)</f>
        <v>0</v>
      </c>
      <c r="H787" s="14" t="b">
        <f>OR(LCI_Table[[#This Row],[Conversion]]="All",LCI_Table[[#This Row],[Conversion]]=SelectedConversion)</f>
        <v>0</v>
      </c>
      <c r="I787" s="14" t="b">
        <f>OR(LCI_Table[[#This Row],[Data Set]]="all",LCI_Table[[#This Row],[Data Set]]=SelectedDataSet)</f>
        <v>1</v>
      </c>
      <c r="J787" s="14" t="b">
        <f>OR(LCI_Table[[#This Row],[Technology]]="All",LCI_Table[[#This Row],[Technology]]=SelectedTechnology)</f>
        <v>1</v>
      </c>
      <c r="K787" s="14" t="b">
        <f>OR(LCI_Table[[#This Row],[Data Source]]="All",LCI_Table[[#This Row],[Data Source]]=SelectedDataSource)</f>
        <v>1</v>
      </c>
      <c r="L787" s="14" t="b">
        <f>TRUE</f>
        <v>1</v>
      </c>
      <c r="M787" s="14" t="b">
        <f>(LCI_Table[[#This Row],[Dev Notes]]="Do not display")</f>
        <v>0</v>
      </c>
      <c r="N787" s="14" t="b">
        <f>AND(LCI_Table[[#This Row],[Show Feedstock]:[Conditional]],NOT(LCI_Table[[#This Row],[Hide Row]]))</f>
        <v>0</v>
      </c>
      <c r="O787" s="14" t="b">
        <f>LCI_Table[[#This Row],[GREET1 Name Range]]=""</f>
        <v>0</v>
      </c>
      <c r="P787" s="14" t="s">
        <v>1448</v>
      </c>
      <c r="Q787" s="14" t="s">
        <v>537</v>
      </c>
      <c r="R787" s="14" t="s">
        <v>439</v>
      </c>
      <c r="S787" s="37" cm="1">
        <f t="array" aca="1" ref="S7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23.554359784171666</v>
      </c>
      <c r="T787" s="346" t="s">
        <v>2121</v>
      </c>
      <c r="U787" s="347">
        <f ca="1">S787/Allocations!$O$75*MJ2mmBTU</f>
        <v>2.2325225516897199E-2</v>
      </c>
      <c r="V787" s="347">
        <v>23.554359784171666</v>
      </c>
      <c r="W787" s="347">
        <v>2.2325225516897199E-2</v>
      </c>
      <c r="X787" s="37" t="s">
        <v>51</v>
      </c>
      <c r="Y787" s="346" t="s">
        <v>416</v>
      </c>
      <c r="Z787" s="14" t="str">
        <f>IF(ISBLANK(LCI_Table[[#This Row],[Notes for user]])," ",LCI_Table[[#This Row],[Notes for user]])</f>
        <v xml:space="preserve"> </v>
      </c>
      <c r="AA787" s="14"/>
      <c r="AB787" s="14"/>
      <c r="AC787" s="346">
        <f ca="1">LCI_Table[[#This Row],[Default Calculated Value]]-LCI_Table[[#This Row],[Calculated Value]]</f>
        <v>0</v>
      </c>
    </row>
    <row r="788" spans="1:29" x14ac:dyDescent="0.3">
      <c r="A7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dash_SwitchgrassCatalytic STJGREETGREET(blank)_Yield_Farming</v>
      </c>
      <c r="B788" s="48" t="s">
        <v>133</v>
      </c>
      <c r="C788" s="48" t="s">
        <v>140</v>
      </c>
      <c r="D788" s="48" t="s">
        <v>29</v>
      </c>
      <c r="E788" s="48" t="s">
        <v>29</v>
      </c>
      <c r="F788" s="48" t="s">
        <v>31</v>
      </c>
      <c r="G788" s="14" t="b">
        <f>OR(LCI_Table[[#This Row],[Feedstock]]="All",LCI_Table[[#This Row],[Feedstock]]=SelectedFeedstock)</f>
        <v>0</v>
      </c>
      <c r="H788" s="14" t="b">
        <f>OR(LCI_Table[[#This Row],[Conversion]]="All",LCI_Table[[#This Row],[Conversion]]=SelectedConversion)</f>
        <v>0</v>
      </c>
      <c r="I788" s="14" t="b">
        <f>OR(LCI_Table[[#This Row],[Data Set]]="all",LCI_Table[[#This Row],[Data Set]]=SelectedDataSet)</f>
        <v>1</v>
      </c>
      <c r="J788" s="14" t="b">
        <f>OR(LCI_Table[[#This Row],[Technology]]="All",LCI_Table[[#This Row],[Technology]]=SelectedTechnology)</f>
        <v>1</v>
      </c>
      <c r="K788" s="14" t="b">
        <f>OR(LCI_Table[[#This Row],[Data Source]]="All",LCI_Table[[#This Row],[Data Source]]=SelectedDataSource)</f>
        <v>1</v>
      </c>
      <c r="L788" s="14" t="b">
        <f>TRUE</f>
        <v>1</v>
      </c>
      <c r="M788" s="14" t="b">
        <f>(LCI_Table[[#This Row],[Dev Notes]]="Do not display")</f>
        <v>0</v>
      </c>
      <c r="N788" s="14" t="b">
        <f>AND(LCI_Table[[#This Row],[Show Feedstock]:[Conditional]],NOT(LCI_Table[[#This Row],[Hide Row]]))</f>
        <v>0</v>
      </c>
      <c r="O788" s="14" t="b">
        <f>LCI_Table[[#This Row],[GREET1 Name Range]]=""</f>
        <v>1</v>
      </c>
      <c r="P788" s="48" t="s">
        <v>14</v>
      </c>
      <c r="Q788" s="14" t="s">
        <v>361</v>
      </c>
      <c r="R788" s="48" t="s">
        <v>200</v>
      </c>
      <c r="S788" s="37" cm="1">
        <f t="array" aca="1" ref="S7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5.8</v>
      </c>
      <c r="T788" s="346" t="s">
        <v>2116</v>
      </c>
      <c r="U788" s="344"/>
      <c r="V788" s="344">
        <v>5.8</v>
      </c>
      <c r="W788" s="344"/>
      <c r="X788" s="48" t="s">
        <v>55</v>
      </c>
      <c r="Y788" s="346" t="s">
        <v>413</v>
      </c>
      <c r="Z788" s="14" t="str">
        <f>IF(ISBLANK(LCI_Table[[#This Row],[Notes for user]])," ",LCI_Table[[#This Row],[Notes for user]])</f>
        <v xml:space="preserve"> </v>
      </c>
      <c r="AA788" s="48"/>
      <c r="AB788" s="345"/>
      <c r="AC788" s="346">
        <f>LCI_Table[[#This Row],[Default Calculated Value]]-LCI_Table[[#This Row],[Calculated Value]]</f>
        <v>0</v>
      </c>
    </row>
    <row r="789" spans="1:29" x14ac:dyDescent="0.3">
      <c r="A7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STJGREETGREET(blank)_Switchgrass_Farming_Nitrogen_fertilizerNitrogen fertilizer</v>
      </c>
      <c r="B789" s="14" t="s">
        <v>133</v>
      </c>
      <c r="C789" s="14" t="s">
        <v>140</v>
      </c>
      <c r="D789" s="14" t="s">
        <v>29</v>
      </c>
      <c r="E789" s="48" t="s">
        <v>29</v>
      </c>
      <c r="F789" s="14" t="s">
        <v>31</v>
      </c>
      <c r="G789" s="14" t="b">
        <f>OR(LCI_Table[[#This Row],[Feedstock]]="All",LCI_Table[[#This Row],[Feedstock]]=SelectedFeedstock)</f>
        <v>0</v>
      </c>
      <c r="H789" s="14" t="b">
        <f>OR(LCI_Table[[#This Row],[Conversion]]="All",LCI_Table[[#This Row],[Conversion]]=SelectedConversion)</f>
        <v>0</v>
      </c>
      <c r="I789" s="14" t="b">
        <f>OR(LCI_Table[[#This Row],[Data Set]]="all",LCI_Table[[#This Row],[Data Set]]=SelectedDataSet)</f>
        <v>1</v>
      </c>
      <c r="J789" s="14" t="b">
        <f>OR(LCI_Table[[#This Row],[Technology]]="All",LCI_Table[[#This Row],[Technology]]=SelectedTechnology)</f>
        <v>1</v>
      </c>
      <c r="K789" s="14" t="b">
        <f>OR(LCI_Table[[#This Row],[Data Source]]="All",LCI_Table[[#This Row],[Data Source]]=SelectedDataSource)</f>
        <v>1</v>
      </c>
      <c r="L789" s="14" t="b">
        <f>TRUE</f>
        <v>1</v>
      </c>
      <c r="M789" s="14" t="b">
        <f>(LCI_Table[[#This Row],[Dev Notes]]="Do not display")</f>
        <v>0</v>
      </c>
      <c r="N789" s="14" t="b">
        <f>AND(LCI_Table[[#This Row],[Show Feedstock]:[Conditional]],NOT(LCI_Table[[#This Row],[Hide Row]]))</f>
        <v>0</v>
      </c>
      <c r="O789" s="14" t="b">
        <f>LCI_Table[[#This Row],[GREET1 Name Range]]=""</f>
        <v>0</v>
      </c>
      <c r="P789" s="14" t="s">
        <v>14</v>
      </c>
      <c r="Q789" s="14" t="s">
        <v>818</v>
      </c>
      <c r="R789" s="14" t="s">
        <v>111</v>
      </c>
      <c r="S789" s="37" cm="1">
        <f t="array" aca="1" ref="S7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62.365776576701215</v>
      </c>
      <c r="T789" s="346" t="s">
        <v>1485</v>
      </c>
      <c r="U789" s="347">
        <f ca="1">S789/S788*lb2g</f>
        <v>4877.3517938476534</v>
      </c>
      <c r="V789" s="347">
        <v>62.365776576701215</v>
      </c>
      <c r="W789" s="347">
        <v>4877.3517938476534</v>
      </c>
      <c r="X789" s="37" t="s">
        <v>12</v>
      </c>
      <c r="Y789" s="346" t="s">
        <v>413</v>
      </c>
      <c r="Z789" s="14" t="str">
        <f>IF(ISBLANK(LCI_Table[[#This Row],[Notes for user]])," ",LCI_Table[[#This Row],[Notes for user]])</f>
        <v xml:space="preserve"> </v>
      </c>
      <c r="AA789" s="14"/>
      <c r="AB789" s="14"/>
      <c r="AC789" s="346">
        <f ca="1">LCI_Table[[#This Row],[Default Calculated Value]]-LCI_Table[[#This Row],[Calculated Value]]</f>
        <v>0</v>
      </c>
    </row>
    <row r="790" spans="1:29" x14ac:dyDescent="0.3">
      <c r="A7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STJGREETGREET(blank)_Switchgrass_Farming_P2O5P2O5</v>
      </c>
      <c r="B790" s="14" t="s">
        <v>133</v>
      </c>
      <c r="C790" s="14" t="s">
        <v>140</v>
      </c>
      <c r="D790" s="14" t="s">
        <v>29</v>
      </c>
      <c r="E790" s="48" t="s">
        <v>29</v>
      </c>
      <c r="F790" s="14" t="s">
        <v>31</v>
      </c>
      <c r="G790" s="14" t="b">
        <f>OR(LCI_Table[[#This Row],[Feedstock]]="All",LCI_Table[[#This Row],[Feedstock]]=SelectedFeedstock)</f>
        <v>0</v>
      </c>
      <c r="H790" s="14" t="b">
        <f>OR(LCI_Table[[#This Row],[Conversion]]="All",LCI_Table[[#This Row],[Conversion]]=SelectedConversion)</f>
        <v>0</v>
      </c>
      <c r="I790" s="14" t="b">
        <f>OR(LCI_Table[[#This Row],[Data Set]]="all",LCI_Table[[#This Row],[Data Set]]=SelectedDataSet)</f>
        <v>1</v>
      </c>
      <c r="J790" s="14" t="b">
        <f>OR(LCI_Table[[#This Row],[Technology]]="All",LCI_Table[[#This Row],[Technology]]=SelectedTechnology)</f>
        <v>1</v>
      </c>
      <c r="K790" s="14" t="b">
        <f>OR(LCI_Table[[#This Row],[Data Source]]="All",LCI_Table[[#This Row],[Data Source]]=SelectedDataSource)</f>
        <v>1</v>
      </c>
      <c r="L790" s="14" t="b">
        <f>TRUE</f>
        <v>1</v>
      </c>
      <c r="M790" s="14" t="b">
        <f>(LCI_Table[[#This Row],[Dev Notes]]="Do not display")</f>
        <v>0</v>
      </c>
      <c r="N790" s="14" t="b">
        <f>AND(LCI_Table[[#This Row],[Show Feedstock]:[Conditional]],NOT(LCI_Table[[#This Row],[Hide Row]]))</f>
        <v>0</v>
      </c>
      <c r="O790" s="14" t="b">
        <f>LCI_Table[[#This Row],[GREET1 Name Range]]=""</f>
        <v>0</v>
      </c>
      <c r="P790" s="14" t="s">
        <v>14</v>
      </c>
      <c r="Q790" s="14" t="s">
        <v>819</v>
      </c>
      <c r="R790" s="14" t="s">
        <v>112</v>
      </c>
      <c r="S790" s="37" cm="1">
        <f t="array" aca="1" ref="S7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29.509463992754132</v>
      </c>
      <c r="T790" s="346" t="s">
        <v>1485</v>
      </c>
      <c r="U790" s="347">
        <f ca="1">S790/S788*lb2g</f>
        <v>2307.8047775694845</v>
      </c>
      <c r="V790" s="347">
        <v>29.509463992754132</v>
      </c>
      <c r="W790" s="347">
        <v>2307.8047775694845</v>
      </c>
      <c r="X790" s="37" t="s">
        <v>12</v>
      </c>
      <c r="Y790" s="346" t="s">
        <v>413</v>
      </c>
      <c r="Z790" s="14" t="str">
        <f>IF(ISBLANK(LCI_Table[[#This Row],[Notes for user]])," ",LCI_Table[[#This Row],[Notes for user]])</f>
        <v xml:space="preserve"> </v>
      </c>
      <c r="AA790" s="14"/>
      <c r="AB790" s="14"/>
      <c r="AC790" s="346">
        <f ca="1">LCI_Table[[#This Row],[Default Calculated Value]]-LCI_Table[[#This Row],[Calculated Value]]</f>
        <v>0</v>
      </c>
    </row>
    <row r="791" spans="1:29" x14ac:dyDescent="0.3">
      <c r="A7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STJGREETGREET(blank)_Switchgrass_Farming_K2OK2O</v>
      </c>
      <c r="B791" s="14" t="s">
        <v>133</v>
      </c>
      <c r="C791" s="14" t="s">
        <v>140</v>
      </c>
      <c r="D791" s="14" t="s">
        <v>29</v>
      </c>
      <c r="E791" s="48" t="s">
        <v>29</v>
      </c>
      <c r="F791" s="14" t="s">
        <v>31</v>
      </c>
      <c r="G791" s="14" t="b">
        <f>OR(LCI_Table[[#This Row],[Feedstock]]="All",LCI_Table[[#This Row],[Feedstock]]=SelectedFeedstock)</f>
        <v>0</v>
      </c>
      <c r="H791" s="14" t="b">
        <f>OR(LCI_Table[[#This Row],[Conversion]]="All",LCI_Table[[#This Row],[Conversion]]=SelectedConversion)</f>
        <v>0</v>
      </c>
      <c r="I791" s="14" t="b">
        <f>OR(LCI_Table[[#This Row],[Data Set]]="all",LCI_Table[[#This Row],[Data Set]]=SelectedDataSet)</f>
        <v>1</v>
      </c>
      <c r="J791" s="14" t="b">
        <f>OR(LCI_Table[[#This Row],[Technology]]="All",LCI_Table[[#This Row],[Technology]]=SelectedTechnology)</f>
        <v>1</v>
      </c>
      <c r="K791" s="14" t="b">
        <f>OR(LCI_Table[[#This Row],[Data Source]]="All",LCI_Table[[#This Row],[Data Source]]=SelectedDataSource)</f>
        <v>1</v>
      </c>
      <c r="L791" s="14" t="b">
        <f>TRUE</f>
        <v>1</v>
      </c>
      <c r="M791" s="14" t="b">
        <f>(LCI_Table[[#This Row],[Dev Notes]]="Do not display")</f>
        <v>0</v>
      </c>
      <c r="N791" s="14" t="b">
        <f>AND(LCI_Table[[#This Row],[Show Feedstock]:[Conditional]],NOT(LCI_Table[[#This Row],[Hide Row]]))</f>
        <v>0</v>
      </c>
      <c r="O791" s="14" t="b">
        <f>LCI_Table[[#This Row],[GREET1 Name Range]]=""</f>
        <v>0</v>
      </c>
      <c r="P791" s="14" t="s">
        <v>14</v>
      </c>
      <c r="Q791" s="14" t="s">
        <v>815</v>
      </c>
      <c r="R791" s="14" t="s">
        <v>113</v>
      </c>
      <c r="S791" s="37" cm="1">
        <f t="array" aca="1" ref="S7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40.923203330302059</v>
      </c>
      <c r="T791" s="346" t="s">
        <v>1485</v>
      </c>
      <c r="U791" s="347">
        <f ca="1">S791/S788*lb2g</f>
        <v>3200.4228942385525</v>
      </c>
      <c r="V791" s="347">
        <v>40.923203330302059</v>
      </c>
      <c r="W791" s="347">
        <v>3200.4228942385525</v>
      </c>
      <c r="X791" s="37" t="s">
        <v>12</v>
      </c>
      <c r="Y791" s="346" t="s">
        <v>413</v>
      </c>
      <c r="Z791" s="14" t="str">
        <f>IF(ISBLANK(LCI_Table[[#This Row],[Notes for user]])," ",LCI_Table[[#This Row],[Notes for user]])</f>
        <v xml:space="preserve"> </v>
      </c>
      <c r="AA791" s="14"/>
      <c r="AB791" s="14"/>
      <c r="AC791" s="346">
        <f ca="1">LCI_Table[[#This Row],[Default Calculated Value]]-LCI_Table[[#This Row],[Calculated Value]]</f>
        <v>0</v>
      </c>
    </row>
    <row r="792" spans="1:29" x14ac:dyDescent="0.3">
      <c r="A7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STJGREETGREET(blank)_Switchgrass_Farming_CaCO3CaCO3</v>
      </c>
      <c r="B792" s="14" t="s">
        <v>133</v>
      </c>
      <c r="C792" s="14" t="s">
        <v>140</v>
      </c>
      <c r="D792" s="14" t="s">
        <v>29</v>
      </c>
      <c r="E792" s="48" t="s">
        <v>29</v>
      </c>
      <c r="F792" s="14" t="s">
        <v>31</v>
      </c>
      <c r="G792" s="14" t="b">
        <f>OR(LCI_Table[[#This Row],[Feedstock]]="All",LCI_Table[[#This Row],[Feedstock]]=SelectedFeedstock)</f>
        <v>0</v>
      </c>
      <c r="H792" s="14" t="b">
        <f>OR(LCI_Table[[#This Row],[Conversion]]="All",LCI_Table[[#This Row],[Conversion]]=SelectedConversion)</f>
        <v>0</v>
      </c>
      <c r="I792" s="14" t="b">
        <f>OR(LCI_Table[[#This Row],[Data Set]]="all",LCI_Table[[#This Row],[Data Set]]=SelectedDataSet)</f>
        <v>1</v>
      </c>
      <c r="J792" s="14" t="b">
        <f>OR(LCI_Table[[#This Row],[Technology]]="All",LCI_Table[[#This Row],[Technology]]=SelectedTechnology)</f>
        <v>1</v>
      </c>
      <c r="K792" s="14" t="b">
        <f>OR(LCI_Table[[#This Row],[Data Source]]="All",LCI_Table[[#This Row],[Data Source]]=SelectedDataSource)</f>
        <v>1</v>
      </c>
      <c r="L792" s="14" t="b">
        <f>TRUE</f>
        <v>1</v>
      </c>
      <c r="M792" s="14" t="b">
        <f>(LCI_Table[[#This Row],[Dev Notes]]="Do not display")</f>
        <v>0</v>
      </c>
      <c r="N792" s="14" t="b">
        <f>AND(LCI_Table[[#This Row],[Show Feedstock]:[Conditional]],NOT(LCI_Table[[#This Row],[Hide Row]]))</f>
        <v>0</v>
      </c>
      <c r="O792" s="14" t="b">
        <f>LCI_Table[[#This Row],[GREET1 Name Range]]=""</f>
        <v>0</v>
      </c>
      <c r="P792" s="14" t="s">
        <v>14</v>
      </c>
      <c r="Q792" s="14" t="s">
        <v>807</v>
      </c>
      <c r="R792" s="14" t="s">
        <v>141</v>
      </c>
      <c r="S792" s="37" cm="1">
        <f t="array" aca="1" ref="S7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74.763553146278454</v>
      </c>
      <c r="T792" s="346" t="s">
        <v>1485</v>
      </c>
      <c r="U792" s="347">
        <f ca="1">S792/S788*lb2g</f>
        <v>5846.9271140071378</v>
      </c>
      <c r="V792" s="347">
        <v>74.763553146278454</v>
      </c>
      <c r="W792" s="347">
        <v>5846.9271140071378</v>
      </c>
      <c r="X792" s="37" t="s">
        <v>12</v>
      </c>
      <c r="Y792" s="346" t="s">
        <v>413</v>
      </c>
      <c r="Z792" s="14" t="str">
        <f>IF(ISBLANK(LCI_Table[[#This Row],[Notes for user]])," ",LCI_Table[[#This Row],[Notes for user]])</f>
        <v xml:space="preserve"> </v>
      </c>
      <c r="AA792" s="14"/>
      <c r="AB792" s="14"/>
      <c r="AC792" s="346">
        <f ca="1">LCI_Table[[#This Row],[Default Calculated Value]]-LCI_Table[[#This Row],[Calculated Value]]</f>
        <v>0</v>
      </c>
    </row>
    <row r="793" spans="1:29" x14ac:dyDescent="0.3">
      <c r="A7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STJGREETGREET(blank)_Switchgrass_Farming_HerbicidesHerbicides</v>
      </c>
      <c r="B793" s="14" t="s">
        <v>133</v>
      </c>
      <c r="C793" s="14" t="s">
        <v>140</v>
      </c>
      <c r="D793" s="14" t="s">
        <v>29</v>
      </c>
      <c r="E793" s="48" t="s">
        <v>29</v>
      </c>
      <c r="F793" s="14" t="s">
        <v>31</v>
      </c>
      <c r="G793" s="14" t="b">
        <f>OR(LCI_Table[[#This Row],[Feedstock]]="All",LCI_Table[[#This Row],[Feedstock]]=SelectedFeedstock)</f>
        <v>0</v>
      </c>
      <c r="H793" s="14" t="b">
        <f>OR(LCI_Table[[#This Row],[Conversion]]="All",LCI_Table[[#This Row],[Conversion]]=SelectedConversion)</f>
        <v>0</v>
      </c>
      <c r="I793" s="14" t="b">
        <f>OR(LCI_Table[[#This Row],[Data Set]]="all",LCI_Table[[#This Row],[Data Set]]=SelectedDataSet)</f>
        <v>1</v>
      </c>
      <c r="J793" s="14" t="b">
        <f>OR(LCI_Table[[#This Row],[Technology]]="All",LCI_Table[[#This Row],[Technology]]=SelectedTechnology)</f>
        <v>1</v>
      </c>
      <c r="K793" s="14" t="b">
        <f>OR(LCI_Table[[#This Row],[Data Source]]="All",LCI_Table[[#This Row],[Data Source]]=SelectedDataSource)</f>
        <v>1</v>
      </c>
      <c r="L793" s="14" t="b">
        <f>TRUE</f>
        <v>1</v>
      </c>
      <c r="M793" s="14" t="b">
        <f>(LCI_Table[[#This Row],[Dev Notes]]="Do not display")</f>
        <v>0</v>
      </c>
      <c r="N793" s="14" t="b">
        <f>AND(LCI_Table[[#This Row],[Show Feedstock]:[Conditional]],NOT(LCI_Table[[#This Row],[Hide Row]]))</f>
        <v>0</v>
      </c>
      <c r="O793" s="14" t="b">
        <f>LCI_Table[[#This Row],[GREET1 Name Range]]=""</f>
        <v>0</v>
      </c>
      <c r="P793" s="14" t="s">
        <v>14</v>
      </c>
      <c r="Q793" s="14" t="s">
        <v>813</v>
      </c>
      <c r="R793" s="14" t="s">
        <v>356</v>
      </c>
      <c r="S793" s="37" cm="1">
        <f t="array" aca="1" ref="S7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0.67899722027655607</v>
      </c>
      <c r="T793" s="346" t="s">
        <v>1485</v>
      </c>
      <c r="U793" s="347">
        <f ca="1">S793/S788*lb2g</f>
        <v>53.101372132526748</v>
      </c>
      <c r="V793" s="347">
        <v>0.67899722027655607</v>
      </c>
      <c r="W793" s="347">
        <v>53.101372132526748</v>
      </c>
      <c r="X793" s="37" t="s">
        <v>12</v>
      </c>
      <c r="Y793" s="346" t="s">
        <v>413</v>
      </c>
      <c r="Z793" s="14" t="str">
        <f>IF(ISBLANK(LCI_Table[[#This Row],[Notes for user]])," ",LCI_Table[[#This Row],[Notes for user]])</f>
        <v xml:space="preserve"> </v>
      </c>
      <c r="AA793" s="14"/>
      <c r="AB793" s="14"/>
      <c r="AC793" s="346">
        <f ca="1">LCI_Table[[#This Row],[Default Calculated Value]]-LCI_Table[[#This Row],[Calculated Value]]</f>
        <v>0</v>
      </c>
    </row>
    <row r="794" spans="1:29" x14ac:dyDescent="0.3">
      <c r="A7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STJGREETGREET(blank)_Switchgrass_Farming_InsecticideInsecticide</v>
      </c>
      <c r="B794" s="14" t="s">
        <v>133</v>
      </c>
      <c r="C794" s="14" t="s">
        <v>140</v>
      </c>
      <c r="D794" s="14" t="s">
        <v>29</v>
      </c>
      <c r="E794" s="48" t="s">
        <v>29</v>
      </c>
      <c r="F794" s="14" t="s">
        <v>31</v>
      </c>
      <c r="G794" s="14" t="b">
        <f>OR(LCI_Table[[#This Row],[Feedstock]]="All",LCI_Table[[#This Row],[Feedstock]]=SelectedFeedstock)</f>
        <v>0</v>
      </c>
      <c r="H794" s="14" t="b">
        <f>OR(LCI_Table[[#This Row],[Conversion]]="All",LCI_Table[[#This Row],[Conversion]]=SelectedConversion)</f>
        <v>0</v>
      </c>
      <c r="I794" s="14" t="b">
        <f>OR(LCI_Table[[#This Row],[Data Set]]="all",LCI_Table[[#This Row],[Data Set]]=SelectedDataSet)</f>
        <v>1</v>
      </c>
      <c r="J794" s="14" t="b">
        <f>OR(LCI_Table[[#This Row],[Technology]]="All",LCI_Table[[#This Row],[Technology]]=SelectedTechnology)</f>
        <v>1</v>
      </c>
      <c r="K794" s="14" t="b">
        <f>OR(LCI_Table[[#This Row],[Data Source]]="All",LCI_Table[[#This Row],[Data Source]]=SelectedDataSource)</f>
        <v>1</v>
      </c>
      <c r="L794" s="14" t="b">
        <f>TRUE</f>
        <v>1</v>
      </c>
      <c r="M794" s="14" t="b">
        <f>(LCI_Table[[#This Row],[Dev Notes]]="Do not display")</f>
        <v>0</v>
      </c>
      <c r="N794" s="14" t="b">
        <f>AND(LCI_Table[[#This Row],[Show Feedstock]:[Conditional]],NOT(LCI_Table[[#This Row],[Hide Row]]))</f>
        <v>0</v>
      </c>
      <c r="O794" s="14" t="b">
        <f>LCI_Table[[#This Row],[GREET1 Name Range]]=""</f>
        <v>0</v>
      </c>
      <c r="P794" s="14" t="s">
        <v>14</v>
      </c>
      <c r="Q794" s="14" t="s">
        <v>814</v>
      </c>
      <c r="R794" s="14" t="s">
        <v>114</v>
      </c>
      <c r="S794" s="37" cm="1">
        <f t="array" aca="1" ref="S7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94" s="346" t="s">
        <v>1485</v>
      </c>
      <c r="U794" s="347">
        <f ca="1">S794/S788*lb2g</f>
        <v>0</v>
      </c>
      <c r="V794" s="347">
        <v>0</v>
      </c>
      <c r="W794" s="347">
        <v>0</v>
      </c>
      <c r="X794" s="37" t="s">
        <v>12</v>
      </c>
      <c r="Y794" s="346" t="s">
        <v>413</v>
      </c>
      <c r="Z794" s="14" t="str">
        <f>IF(ISBLANK(LCI_Table[[#This Row],[Notes for user]])," ",LCI_Table[[#This Row],[Notes for user]])</f>
        <v xml:space="preserve"> </v>
      </c>
      <c r="AA794" s="14"/>
      <c r="AB794" s="14"/>
      <c r="AC794" s="346">
        <f ca="1">LCI_Table[[#This Row],[Default Calculated Value]]-LCI_Table[[#This Row],[Calculated Value]]</f>
        <v>0</v>
      </c>
    </row>
    <row r="795" spans="1:29" x14ac:dyDescent="0.3">
      <c r="A7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STJGREETGREET(blank)_Switchgrass_Farming_HDPEHDPE</v>
      </c>
      <c r="B795" s="14" t="s">
        <v>133</v>
      </c>
      <c r="C795" s="14" t="s">
        <v>140</v>
      </c>
      <c r="D795" s="14" t="s">
        <v>29</v>
      </c>
      <c r="E795" s="48" t="s">
        <v>29</v>
      </c>
      <c r="F795" s="14" t="s">
        <v>31</v>
      </c>
      <c r="G795" s="14" t="b">
        <f>OR(LCI_Table[[#This Row],[Feedstock]]="All",LCI_Table[[#This Row],[Feedstock]]=SelectedFeedstock)</f>
        <v>0</v>
      </c>
      <c r="H795" s="14" t="b">
        <f>OR(LCI_Table[[#This Row],[Conversion]]="All",LCI_Table[[#This Row],[Conversion]]=SelectedConversion)</f>
        <v>0</v>
      </c>
      <c r="I795" s="14" t="b">
        <f>OR(LCI_Table[[#This Row],[Data Set]]="all",LCI_Table[[#This Row],[Data Set]]=SelectedDataSet)</f>
        <v>1</v>
      </c>
      <c r="J795" s="14" t="b">
        <f>OR(LCI_Table[[#This Row],[Technology]]="All",LCI_Table[[#This Row],[Technology]]=SelectedTechnology)</f>
        <v>1</v>
      </c>
      <c r="K795" s="14" t="b">
        <f>OR(LCI_Table[[#This Row],[Data Source]]="All",LCI_Table[[#This Row],[Data Source]]=SelectedDataSource)</f>
        <v>1</v>
      </c>
      <c r="L795" s="14" t="b">
        <f>TRUE</f>
        <v>1</v>
      </c>
      <c r="M795" s="14" t="b">
        <f>(LCI_Table[[#This Row],[Dev Notes]]="Do not display")</f>
        <v>0</v>
      </c>
      <c r="N795" s="14" t="b">
        <f>AND(LCI_Table[[#This Row],[Show Feedstock]:[Conditional]],NOT(LCI_Table[[#This Row],[Hide Row]]))</f>
        <v>0</v>
      </c>
      <c r="O795" s="14" t="b">
        <f>LCI_Table[[#This Row],[GREET1 Name Range]]=""</f>
        <v>0</v>
      </c>
      <c r="P795" s="14" t="s">
        <v>14</v>
      </c>
      <c r="Q795" s="14" t="s">
        <v>812</v>
      </c>
      <c r="R795" s="14" t="s">
        <v>357</v>
      </c>
      <c r="S795" s="37" cm="1">
        <f t="array" aca="1" ref="S7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9.5133875378018568E-3</v>
      </c>
      <c r="T795" s="346" t="s">
        <v>1485</v>
      </c>
      <c r="U795" s="347">
        <f ca="1">S795/S788*lb2g</f>
        <v>0.74400000000000166</v>
      </c>
      <c r="V795" s="347">
        <v>9.5133875378018568E-3</v>
      </c>
      <c r="W795" s="347">
        <v>0.74400000000000166</v>
      </c>
      <c r="X795" s="37" t="s">
        <v>12</v>
      </c>
      <c r="Y795" s="346" t="s">
        <v>413</v>
      </c>
      <c r="Z795" s="14" t="str">
        <f>IF(ISBLANK(LCI_Table[[#This Row],[Notes for user]])," ",LCI_Table[[#This Row],[Notes for user]])</f>
        <v xml:space="preserve"> </v>
      </c>
      <c r="AA795" s="14"/>
      <c r="AB795" s="14"/>
      <c r="AC795" s="346">
        <f ca="1">LCI_Table[[#This Row],[Default Calculated Value]]-LCI_Table[[#This Row],[Calculated Value]]</f>
        <v>0</v>
      </c>
    </row>
    <row r="796" spans="1:29" x14ac:dyDescent="0.3">
      <c r="A7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STJGREETGREET(blank)_Switchgrass_Farming_Residual_oilResidual oil</v>
      </c>
      <c r="B796" s="14" t="s">
        <v>133</v>
      </c>
      <c r="C796" s="14" t="s">
        <v>140</v>
      </c>
      <c r="D796" s="14" t="s">
        <v>29</v>
      </c>
      <c r="E796" s="48" t="s">
        <v>29</v>
      </c>
      <c r="F796" s="14" t="s">
        <v>31</v>
      </c>
      <c r="G796" s="14" t="b">
        <f>OR(LCI_Table[[#This Row],[Feedstock]]="All",LCI_Table[[#This Row],[Feedstock]]=SelectedFeedstock)</f>
        <v>0</v>
      </c>
      <c r="H796" s="14" t="b">
        <f>OR(LCI_Table[[#This Row],[Conversion]]="All",LCI_Table[[#This Row],[Conversion]]=SelectedConversion)</f>
        <v>0</v>
      </c>
      <c r="I796" s="14" t="b">
        <f>OR(LCI_Table[[#This Row],[Data Set]]="all",LCI_Table[[#This Row],[Data Set]]=SelectedDataSet)</f>
        <v>1</v>
      </c>
      <c r="J796" s="14" t="b">
        <f>OR(LCI_Table[[#This Row],[Technology]]="All",LCI_Table[[#This Row],[Technology]]=SelectedTechnology)</f>
        <v>1</v>
      </c>
      <c r="K796" s="14" t="b">
        <f>OR(LCI_Table[[#This Row],[Data Source]]="All",LCI_Table[[#This Row],[Data Source]]=SelectedDataSource)</f>
        <v>1</v>
      </c>
      <c r="L796" s="14" t="b">
        <f>TRUE</f>
        <v>1</v>
      </c>
      <c r="M796" s="14" t="b">
        <f>(LCI_Table[[#This Row],[Dev Notes]]="Do not display")</f>
        <v>0</v>
      </c>
      <c r="N796" s="14" t="b">
        <f>AND(LCI_Table[[#This Row],[Show Feedstock]:[Conditional]],NOT(LCI_Table[[#This Row],[Hide Row]]))</f>
        <v>0</v>
      </c>
      <c r="O796" s="14" t="b">
        <f>LCI_Table[[#This Row],[GREET1 Name Range]]=""</f>
        <v>0</v>
      </c>
      <c r="P796" s="14" t="s">
        <v>14</v>
      </c>
      <c r="Q796" s="14" t="s">
        <v>820</v>
      </c>
      <c r="R796" s="14" t="s">
        <v>115</v>
      </c>
      <c r="S796" s="37" cm="1">
        <f t="array" aca="1" ref="S7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96" s="346" t="s">
        <v>1484</v>
      </c>
      <c r="U796" s="347">
        <f ca="1">S796*Fuel_Specs!$B$28/S788</f>
        <v>0</v>
      </c>
      <c r="V796" s="347">
        <v>0</v>
      </c>
      <c r="W796" s="347">
        <v>0</v>
      </c>
      <c r="X796" s="37" t="s">
        <v>5</v>
      </c>
      <c r="Y796" s="346" t="s">
        <v>413</v>
      </c>
      <c r="Z796" s="14" t="str">
        <f>IF(ISBLANK(LCI_Table[[#This Row],[Notes for user]])," ",LCI_Table[[#This Row],[Notes for user]])</f>
        <v xml:space="preserve"> </v>
      </c>
      <c r="AA796" s="14"/>
      <c r="AB796" s="14"/>
      <c r="AC796" s="346">
        <f ca="1">LCI_Table[[#This Row],[Default Calculated Value]]-LCI_Table[[#This Row],[Calculated Value]]</f>
        <v>0</v>
      </c>
    </row>
    <row r="797" spans="1:29" x14ac:dyDescent="0.3">
      <c r="A7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STJGREETGREET(blank)_Switchgrass_Farming_DieselDiesel</v>
      </c>
      <c r="B797" s="14" t="s">
        <v>133</v>
      </c>
      <c r="C797" s="14" t="s">
        <v>140</v>
      </c>
      <c r="D797" s="14" t="s">
        <v>29</v>
      </c>
      <c r="E797" s="48" t="s">
        <v>29</v>
      </c>
      <c r="F797" s="14" t="s">
        <v>31</v>
      </c>
      <c r="G797" s="14" t="b">
        <f>OR(LCI_Table[[#This Row],[Feedstock]]="All",LCI_Table[[#This Row],[Feedstock]]=SelectedFeedstock)</f>
        <v>0</v>
      </c>
      <c r="H797" s="14" t="b">
        <f>OR(LCI_Table[[#This Row],[Conversion]]="All",LCI_Table[[#This Row],[Conversion]]=SelectedConversion)</f>
        <v>0</v>
      </c>
      <c r="I797" s="14" t="b">
        <f>OR(LCI_Table[[#This Row],[Data Set]]="all",LCI_Table[[#This Row],[Data Set]]=SelectedDataSet)</f>
        <v>1</v>
      </c>
      <c r="J797" s="14" t="b">
        <f>OR(LCI_Table[[#This Row],[Technology]]="All",LCI_Table[[#This Row],[Technology]]=SelectedTechnology)</f>
        <v>1</v>
      </c>
      <c r="K797" s="14" t="b">
        <f>OR(LCI_Table[[#This Row],[Data Source]]="All",LCI_Table[[#This Row],[Data Source]]=SelectedDataSource)</f>
        <v>1</v>
      </c>
      <c r="L797" s="14" t="b">
        <f>TRUE</f>
        <v>1</v>
      </c>
      <c r="M797" s="14" t="b">
        <f>(LCI_Table[[#This Row],[Dev Notes]]="Do not display")</f>
        <v>0</v>
      </c>
      <c r="N797" s="14" t="b">
        <f>AND(LCI_Table[[#This Row],[Show Feedstock]:[Conditional]],NOT(LCI_Table[[#This Row],[Hide Row]]))</f>
        <v>0</v>
      </c>
      <c r="O797" s="14" t="b">
        <f>LCI_Table[[#This Row],[GREET1 Name Range]]=""</f>
        <v>0</v>
      </c>
      <c r="P797" s="14" t="s">
        <v>14</v>
      </c>
      <c r="Q797" s="14" t="s">
        <v>809</v>
      </c>
      <c r="R797" s="14" t="s">
        <v>106</v>
      </c>
      <c r="S797" s="37" cm="1">
        <f t="array" aca="1" ref="S7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2.8274499667405526</v>
      </c>
      <c r="T797" s="346" t="s">
        <v>1484</v>
      </c>
      <c r="U797" s="347">
        <f ca="1">S797*Fuel_Specs!$B$19/S788</f>
        <v>62618.266935831729</v>
      </c>
      <c r="V797" s="347">
        <v>2.8274499667405526</v>
      </c>
      <c r="W797" s="347">
        <v>62618.266935831729</v>
      </c>
      <c r="X797" s="37" t="s">
        <v>5</v>
      </c>
      <c r="Y797" s="346" t="s">
        <v>413</v>
      </c>
      <c r="Z797" s="14" t="str">
        <f>IF(ISBLANK(LCI_Table[[#This Row],[Notes for user]])," ",LCI_Table[[#This Row],[Notes for user]])</f>
        <v xml:space="preserve"> </v>
      </c>
      <c r="AA797" s="14"/>
      <c r="AB797" s="14"/>
      <c r="AC797" s="346">
        <f ca="1">LCI_Table[[#This Row],[Default Calculated Value]]-LCI_Table[[#This Row],[Calculated Value]]</f>
        <v>0</v>
      </c>
    </row>
    <row r="798" spans="1:29" x14ac:dyDescent="0.3">
      <c r="A7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STJGREETGREET(blank)_Switchgrass_Farming_GasolineGasoline</v>
      </c>
      <c r="B798" s="14" t="s">
        <v>133</v>
      </c>
      <c r="C798" s="14" t="s">
        <v>140</v>
      </c>
      <c r="D798" s="14" t="s">
        <v>29</v>
      </c>
      <c r="E798" s="48" t="s">
        <v>29</v>
      </c>
      <c r="F798" s="14" t="s">
        <v>31</v>
      </c>
      <c r="G798" s="14" t="b">
        <f>OR(LCI_Table[[#This Row],[Feedstock]]="All",LCI_Table[[#This Row],[Feedstock]]=SelectedFeedstock)</f>
        <v>0</v>
      </c>
      <c r="H798" s="14" t="b">
        <f>OR(LCI_Table[[#This Row],[Conversion]]="All",LCI_Table[[#This Row],[Conversion]]=SelectedConversion)</f>
        <v>0</v>
      </c>
      <c r="I798" s="14" t="b">
        <f>OR(LCI_Table[[#This Row],[Data Set]]="all",LCI_Table[[#This Row],[Data Set]]=SelectedDataSet)</f>
        <v>1</v>
      </c>
      <c r="J798" s="14" t="b">
        <f>OR(LCI_Table[[#This Row],[Technology]]="All",LCI_Table[[#This Row],[Technology]]=SelectedTechnology)</f>
        <v>1</v>
      </c>
      <c r="K798" s="14" t="b">
        <f>OR(LCI_Table[[#This Row],[Data Source]]="All",LCI_Table[[#This Row],[Data Source]]=SelectedDataSource)</f>
        <v>1</v>
      </c>
      <c r="L798" s="14" t="b">
        <f>TRUE</f>
        <v>1</v>
      </c>
      <c r="M798" s="14" t="b">
        <f>(LCI_Table[[#This Row],[Dev Notes]]="Do not display")</f>
        <v>0</v>
      </c>
      <c r="N798" s="14" t="b">
        <f>AND(LCI_Table[[#This Row],[Show Feedstock]:[Conditional]],NOT(LCI_Table[[#This Row],[Hide Row]]))</f>
        <v>0</v>
      </c>
      <c r="O798" s="14" t="b">
        <f>LCI_Table[[#This Row],[GREET1 Name Range]]=""</f>
        <v>0</v>
      </c>
      <c r="P798" s="14" t="s">
        <v>14</v>
      </c>
      <c r="Q798" s="14" t="s">
        <v>811</v>
      </c>
      <c r="R798" s="14" t="s">
        <v>107</v>
      </c>
      <c r="S798" s="37" cm="1">
        <f t="array" aca="1" ref="S7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98" s="346" t="s">
        <v>1484</v>
      </c>
      <c r="U798" s="347">
        <f ca="1">S798*Fuel_Specs!$B$15/S788</f>
        <v>0</v>
      </c>
      <c r="V798" s="347">
        <v>0</v>
      </c>
      <c r="W798" s="347">
        <v>0</v>
      </c>
      <c r="X798" s="37" t="s">
        <v>5</v>
      </c>
      <c r="Y798" s="346" t="s">
        <v>413</v>
      </c>
      <c r="Z798" s="14" t="str">
        <f>IF(ISBLANK(LCI_Table[[#This Row],[Notes for user]])," ",LCI_Table[[#This Row],[Notes for user]])</f>
        <v xml:space="preserve"> </v>
      </c>
      <c r="AA798" s="14"/>
      <c r="AB798" s="14"/>
      <c r="AC798" s="346">
        <f ca="1">LCI_Table[[#This Row],[Default Calculated Value]]-LCI_Table[[#This Row],[Calculated Value]]</f>
        <v>0</v>
      </c>
    </row>
    <row r="799" spans="1:29" x14ac:dyDescent="0.3">
      <c r="A7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STJGREETGREET(blank)_Switchgrass_Farming_Natural_gasNatural gas</v>
      </c>
      <c r="B799" s="14" t="s">
        <v>133</v>
      </c>
      <c r="C799" s="14" t="s">
        <v>140</v>
      </c>
      <c r="D799" s="14" t="s">
        <v>29</v>
      </c>
      <c r="E799" s="48" t="s">
        <v>29</v>
      </c>
      <c r="F799" s="14" t="s">
        <v>31</v>
      </c>
      <c r="G799" s="14" t="b">
        <f>OR(LCI_Table[[#This Row],[Feedstock]]="All",LCI_Table[[#This Row],[Feedstock]]=SelectedFeedstock)</f>
        <v>0</v>
      </c>
      <c r="H799" s="14" t="b">
        <f>OR(LCI_Table[[#This Row],[Conversion]]="All",LCI_Table[[#This Row],[Conversion]]=SelectedConversion)</f>
        <v>0</v>
      </c>
      <c r="I799" s="14" t="b">
        <f>OR(LCI_Table[[#This Row],[Data Set]]="all",LCI_Table[[#This Row],[Data Set]]=SelectedDataSet)</f>
        <v>1</v>
      </c>
      <c r="J799" s="14" t="b">
        <f>OR(LCI_Table[[#This Row],[Technology]]="All",LCI_Table[[#This Row],[Technology]]=SelectedTechnology)</f>
        <v>1</v>
      </c>
      <c r="K799" s="14" t="b">
        <f>OR(LCI_Table[[#This Row],[Data Source]]="All",LCI_Table[[#This Row],[Data Source]]=SelectedDataSource)</f>
        <v>1</v>
      </c>
      <c r="L799" s="14" t="b">
        <f>TRUE</f>
        <v>1</v>
      </c>
      <c r="M799" s="14" t="b">
        <f>(LCI_Table[[#This Row],[Dev Notes]]="Do not display")</f>
        <v>0</v>
      </c>
      <c r="N799" s="14" t="b">
        <f>AND(LCI_Table[[#This Row],[Show Feedstock]:[Conditional]],NOT(LCI_Table[[#This Row],[Hide Row]]))</f>
        <v>0</v>
      </c>
      <c r="O799" s="14" t="b">
        <f>LCI_Table[[#This Row],[GREET1 Name Range]]=""</f>
        <v>0</v>
      </c>
      <c r="P799" s="14" t="s">
        <v>14</v>
      </c>
      <c r="Q799" s="14" t="s">
        <v>817</v>
      </c>
      <c r="R799" s="14" t="s">
        <v>108</v>
      </c>
      <c r="S799" s="37" cm="1">
        <f t="array" aca="1" ref="S7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799" s="346" t="s">
        <v>2109</v>
      </c>
      <c r="U799" s="347">
        <f ca="1">S799*Fuel_Specs!$B$79/S788</f>
        <v>0</v>
      </c>
      <c r="V799" s="347">
        <v>0</v>
      </c>
      <c r="W799" s="347">
        <v>0</v>
      </c>
      <c r="X799" s="37" t="s">
        <v>351</v>
      </c>
      <c r="Y799" s="346" t="s">
        <v>413</v>
      </c>
      <c r="Z799" s="14" t="str">
        <f>IF(ISBLANK(LCI_Table[[#This Row],[Notes for user]])," ",LCI_Table[[#This Row],[Notes for user]])</f>
        <v xml:space="preserve"> </v>
      </c>
      <c r="AA799" s="14"/>
      <c r="AB799" s="14"/>
      <c r="AC799" s="346">
        <f ca="1">LCI_Table[[#This Row],[Default Calculated Value]]-LCI_Table[[#This Row],[Calculated Value]]</f>
        <v>0</v>
      </c>
    </row>
    <row r="800" spans="1:29" x14ac:dyDescent="0.3">
      <c r="A8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STJGREETGREET(blank)_Switchgrass_Farming_CoalCoal</v>
      </c>
      <c r="B800" s="14" t="s">
        <v>133</v>
      </c>
      <c r="C800" s="14" t="s">
        <v>140</v>
      </c>
      <c r="D800" s="14" t="s">
        <v>29</v>
      </c>
      <c r="E800" s="48" t="s">
        <v>29</v>
      </c>
      <c r="F800" s="14" t="s">
        <v>31</v>
      </c>
      <c r="G800" s="14" t="b">
        <f>OR(LCI_Table[[#This Row],[Feedstock]]="All",LCI_Table[[#This Row],[Feedstock]]=SelectedFeedstock)</f>
        <v>0</v>
      </c>
      <c r="H800" s="14" t="b">
        <f>OR(LCI_Table[[#This Row],[Conversion]]="All",LCI_Table[[#This Row],[Conversion]]=SelectedConversion)</f>
        <v>0</v>
      </c>
      <c r="I800" s="14" t="b">
        <f>OR(LCI_Table[[#This Row],[Data Set]]="all",LCI_Table[[#This Row],[Data Set]]=SelectedDataSet)</f>
        <v>1</v>
      </c>
      <c r="J800" s="14" t="b">
        <f>OR(LCI_Table[[#This Row],[Technology]]="All",LCI_Table[[#This Row],[Technology]]=SelectedTechnology)</f>
        <v>1</v>
      </c>
      <c r="K800" s="14" t="b">
        <f>OR(LCI_Table[[#This Row],[Data Source]]="All",LCI_Table[[#This Row],[Data Source]]=SelectedDataSource)</f>
        <v>1</v>
      </c>
      <c r="L800" s="14" t="b">
        <f>TRUE</f>
        <v>1</v>
      </c>
      <c r="M800" s="14" t="b">
        <f>(LCI_Table[[#This Row],[Dev Notes]]="Do not display")</f>
        <v>0</v>
      </c>
      <c r="N800" s="14" t="b">
        <f>AND(LCI_Table[[#This Row],[Show Feedstock]:[Conditional]],NOT(LCI_Table[[#This Row],[Hide Row]]))</f>
        <v>0</v>
      </c>
      <c r="O800" s="14" t="b">
        <f>LCI_Table[[#This Row],[GREET1 Name Range]]=""</f>
        <v>0</v>
      </c>
      <c r="P800" s="14" t="s">
        <v>14</v>
      </c>
      <c r="Q800" s="14" t="s">
        <v>808</v>
      </c>
      <c r="R800" s="14" t="s">
        <v>9</v>
      </c>
      <c r="S800" s="37" cm="1">
        <f t="array" aca="1" ref="S8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00" s="346" t="s">
        <v>2110</v>
      </c>
      <c r="U800" s="347">
        <f ca="1">S800/S788</f>
        <v>0</v>
      </c>
      <c r="V800" s="347">
        <v>0</v>
      </c>
      <c r="W800" s="347">
        <v>0</v>
      </c>
      <c r="X800" s="37" t="s">
        <v>117</v>
      </c>
      <c r="Y800" s="346" t="s">
        <v>413</v>
      </c>
      <c r="Z800" s="14" t="str">
        <f>IF(ISBLANK(LCI_Table[[#This Row],[Notes for user]])," ",LCI_Table[[#This Row],[Notes for user]])</f>
        <v xml:space="preserve"> </v>
      </c>
      <c r="AA800" s="14"/>
      <c r="AB800" s="14"/>
      <c r="AC800" s="346">
        <f ca="1">LCI_Table[[#This Row],[Default Calculated Value]]-LCI_Table[[#This Row],[Calculated Value]]</f>
        <v>0</v>
      </c>
    </row>
    <row r="801" spans="1:29" x14ac:dyDescent="0.3">
      <c r="A8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STJGREETGREET(blank)_Switchgrass_Farming_LPGLPG</v>
      </c>
      <c r="B801" s="14" t="s">
        <v>133</v>
      </c>
      <c r="C801" s="14" t="s">
        <v>140</v>
      </c>
      <c r="D801" s="14" t="s">
        <v>29</v>
      </c>
      <c r="E801" s="48" t="s">
        <v>29</v>
      </c>
      <c r="F801" s="14" t="s">
        <v>31</v>
      </c>
      <c r="G801" s="14" t="b">
        <f>OR(LCI_Table[[#This Row],[Feedstock]]="All",LCI_Table[[#This Row],[Feedstock]]=SelectedFeedstock)</f>
        <v>0</v>
      </c>
      <c r="H801" s="14" t="b">
        <f>OR(LCI_Table[[#This Row],[Conversion]]="All",LCI_Table[[#This Row],[Conversion]]=SelectedConversion)</f>
        <v>0</v>
      </c>
      <c r="I801" s="14" t="b">
        <f>OR(LCI_Table[[#This Row],[Data Set]]="all",LCI_Table[[#This Row],[Data Set]]=SelectedDataSet)</f>
        <v>1</v>
      </c>
      <c r="J801" s="14" t="b">
        <f>OR(LCI_Table[[#This Row],[Technology]]="All",LCI_Table[[#This Row],[Technology]]=SelectedTechnology)</f>
        <v>1</v>
      </c>
      <c r="K801" s="14" t="b">
        <f>OR(LCI_Table[[#This Row],[Data Source]]="All",LCI_Table[[#This Row],[Data Source]]=SelectedDataSource)</f>
        <v>1</v>
      </c>
      <c r="L801" s="14" t="b">
        <f>TRUE</f>
        <v>1</v>
      </c>
      <c r="M801" s="14" t="b">
        <f>(LCI_Table[[#This Row],[Dev Notes]]="Do not display")</f>
        <v>0</v>
      </c>
      <c r="N801" s="14" t="b">
        <f>AND(LCI_Table[[#This Row],[Show Feedstock]:[Conditional]],NOT(LCI_Table[[#This Row],[Hide Row]]))</f>
        <v>0</v>
      </c>
      <c r="O801" s="14" t="b">
        <f>LCI_Table[[#This Row],[GREET1 Name Range]]=""</f>
        <v>0</v>
      </c>
      <c r="P801" s="14" t="s">
        <v>14</v>
      </c>
      <c r="Q801" s="14" t="s">
        <v>816</v>
      </c>
      <c r="R801" s="14" t="s">
        <v>109</v>
      </c>
      <c r="S801" s="37" cm="1">
        <f t="array" aca="1" ref="S8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01" s="346" t="s">
        <v>1484</v>
      </c>
      <c r="U801" s="347">
        <f ca="1">S801*Fuel_Specs!$B$35/S788</f>
        <v>0</v>
      </c>
      <c r="V801" s="347">
        <v>0</v>
      </c>
      <c r="W801" s="347">
        <v>0</v>
      </c>
      <c r="X801" s="37" t="s">
        <v>5</v>
      </c>
      <c r="Y801" s="346" t="s">
        <v>413</v>
      </c>
      <c r="Z801" s="14" t="str">
        <f>IF(ISBLANK(LCI_Table[[#This Row],[Notes for user]])," ",LCI_Table[[#This Row],[Notes for user]])</f>
        <v xml:space="preserve"> </v>
      </c>
      <c r="AA801" s="14"/>
      <c r="AB801" s="14"/>
      <c r="AC801" s="346">
        <f ca="1">LCI_Table[[#This Row],[Default Calculated Value]]-LCI_Table[[#This Row],[Calculated Value]]</f>
        <v>0</v>
      </c>
    </row>
    <row r="802" spans="1:29" x14ac:dyDescent="0.3">
      <c r="A8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STJGREETGREET(blank)_Switchgrass_Farming_ElectricityElectricity</v>
      </c>
      <c r="B802" s="14" t="s">
        <v>133</v>
      </c>
      <c r="C802" s="14" t="s">
        <v>140</v>
      </c>
      <c r="D802" s="14" t="s">
        <v>29</v>
      </c>
      <c r="E802" s="48" t="s">
        <v>29</v>
      </c>
      <c r="F802" s="14" t="s">
        <v>31</v>
      </c>
      <c r="G802" s="14" t="b">
        <f>OR(LCI_Table[[#This Row],[Feedstock]]="All",LCI_Table[[#This Row],[Feedstock]]=SelectedFeedstock)</f>
        <v>0</v>
      </c>
      <c r="H802" s="14" t="b">
        <f>OR(LCI_Table[[#This Row],[Conversion]]="All",LCI_Table[[#This Row],[Conversion]]=SelectedConversion)</f>
        <v>0</v>
      </c>
      <c r="I802" s="14" t="b">
        <f>OR(LCI_Table[[#This Row],[Data Set]]="all",LCI_Table[[#This Row],[Data Set]]=SelectedDataSet)</f>
        <v>1</v>
      </c>
      <c r="J802" s="14" t="b">
        <f>OR(LCI_Table[[#This Row],[Technology]]="All",LCI_Table[[#This Row],[Technology]]=SelectedTechnology)</f>
        <v>1</v>
      </c>
      <c r="K802" s="14" t="b">
        <f>OR(LCI_Table[[#This Row],[Data Source]]="All",LCI_Table[[#This Row],[Data Source]]=SelectedDataSource)</f>
        <v>1</v>
      </c>
      <c r="L802" s="14" t="b">
        <f>TRUE</f>
        <v>1</v>
      </c>
      <c r="M802" s="14" t="b">
        <f>(LCI_Table[[#This Row],[Dev Notes]]="Do not display")</f>
        <v>0</v>
      </c>
      <c r="N802" s="14" t="b">
        <f>AND(LCI_Table[[#This Row],[Show Feedstock]:[Conditional]],NOT(LCI_Table[[#This Row],[Hide Row]]))</f>
        <v>0</v>
      </c>
      <c r="O802" s="14" t="b">
        <f>LCI_Table[[#This Row],[GREET1 Name Range]]=""</f>
        <v>0</v>
      </c>
      <c r="P802" s="14" t="s">
        <v>14</v>
      </c>
      <c r="Q802" s="14" t="s">
        <v>810</v>
      </c>
      <c r="R802" s="14" t="s">
        <v>110</v>
      </c>
      <c r="S802" s="37" cm="1">
        <f t="array" aca="1" ref="S8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8.2585639276448628</v>
      </c>
      <c r="T802" s="346" t="s">
        <v>1561</v>
      </c>
      <c r="U802" s="347">
        <f ca="1">S802/BTU2kWh/S788</f>
        <v>4858.5154960936197</v>
      </c>
      <c r="V802" s="347">
        <v>8.2585639276448628</v>
      </c>
      <c r="W802" s="347">
        <v>4858.5154960936197</v>
      </c>
      <c r="X802" s="37" t="s">
        <v>51</v>
      </c>
      <c r="Y802" s="346" t="s">
        <v>413</v>
      </c>
      <c r="Z802" s="14" t="str">
        <f>IF(ISBLANK(LCI_Table[[#This Row],[Notes for user]])," ",LCI_Table[[#This Row],[Notes for user]])</f>
        <v xml:space="preserve"> </v>
      </c>
      <c r="AA802" s="14"/>
      <c r="AB802" s="14"/>
      <c r="AC802" s="346">
        <f ca="1">LCI_Table[[#This Row],[Default Calculated Value]]-LCI_Table[[#This Row],[Calculated Value]]</f>
        <v>0</v>
      </c>
    </row>
    <row r="803" spans="1:29" x14ac:dyDescent="0.3">
      <c r="A8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STJGREETGREET(blank)_Cellulosic_Catalytic_STJ_Corn_stoverSwitchgrass</v>
      </c>
      <c r="B803" s="14" t="s">
        <v>133</v>
      </c>
      <c r="C803" s="14" t="s">
        <v>140</v>
      </c>
      <c r="D803" s="14" t="s">
        <v>29</v>
      </c>
      <c r="E803" s="48" t="s">
        <v>29</v>
      </c>
      <c r="F803" s="14" t="s">
        <v>31</v>
      </c>
      <c r="G803" s="14" t="b">
        <f>OR(LCI_Table[[#This Row],[Feedstock]]="All",LCI_Table[[#This Row],[Feedstock]]=SelectedFeedstock)</f>
        <v>0</v>
      </c>
      <c r="H803" s="14" t="b">
        <f>OR(LCI_Table[[#This Row],[Conversion]]="All",LCI_Table[[#This Row],[Conversion]]=SelectedConversion)</f>
        <v>0</v>
      </c>
      <c r="I803" s="14" t="b">
        <f>OR(LCI_Table[[#This Row],[Data Set]]="all",LCI_Table[[#This Row],[Data Set]]=SelectedDataSet)</f>
        <v>1</v>
      </c>
      <c r="J803" s="14" t="b">
        <f>OR(LCI_Table[[#This Row],[Technology]]="All",LCI_Table[[#This Row],[Technology]]=SelectedTechnology)</f>
        <v>1</v>
      </c>
      <c r="K803" s="14" t="b">
        <f>OR(LCI_Table[[#This Row],[Data Source]]="All",LCI_Table[[#This Row],[Data Source]]=SelectedDataSource)</f>
        <v>1</v>
      </c>
      <c r="L803" s="14" t="b">
        <f>TRUE</f>
        <v>1</v>
      </c>
      <c r="M803" s="14" t="b">
        <f>(LCI_Table[[#This Row],[Dev Notes]]="Do not display")</f>
        <v>0</v>
      </c>
      <c r="N803" s="14" t="b">
        <f>AND(LCI_Table[[#This Row],[Show Feedstock]:[Conditional]],NOT(LCI_Table[[#This Row],[Hide Row]]))</f>
        <v>0</v>
      </c>
      <c r="O803" s="14" t="b">
        <f>LCI_Table[[#This Row],[GREET1 Name Range]]=""</f>
        <v>0</v>
      </c>
      <c r="P803" s="14" t="s">
        <v>1448</v>
      </c>
      <c r="Q803" s="14" t="s">
        <v>548</v>
      </c>
      <c r="R803" s="14" t="s">
        <v>133</v>
      </c>
      <c r="S803" s="37" cm="1">
        <f t="array" aca="1" ref="S8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277.13020195600717</v>
      </c>
      <c r="T803" s="346" t="s">
        <v>2119</v>
      </c>
      <c r="U803" s="347">
        <f ca="1">S803/kg2lb/Allocations!$O$77*MJ2mmBTU</f>
        <v>0.11914454111960393</v>
      </c>
      <c r="V803" s="347">
        <v>277.13020195600717</v>
      </c>
      <c r="W803" s="347">
        <v>0.11914454111960393</v>
      </c>
      <c r="X803" s="37" t="s">
        <v>12</v>
      </c>
      <c r="Y803" s="346" t="s">
        <v>416</v>
      </c>
      <c r="Z803" s="14" t="str">
        <f>IF(ISBLANK(LCI_Table[[#This Row],[Notes for user]])," ",LCI_Table[[#This Row],[Notes for user]])</f>
        <v xml:space="preserve"> </v>
      </c>
      <c r="AA803" s="14"/>
      <c r="AB803" s="14"/>
      <c r="AC803" s="346">
        <f ca="1">LCI_Table[[#This Row],[Default Calculated Value]]-LCI_Table[[#This Row],[Calculated Value]]</f>
        <v>0</v>
      </c>
    </row>
    <row r="804" spans="1:29" x14ac:dyDescent="0.3">
      <c r="A8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STJGREETGREET(blank)_Cellulosic_Catalytic_STJ_HydrogenHydrogen</v>
      </c>
      <c r="B804" s="14" t="s">
        <v>133</v>
      </c>
      <c r="C804" s="14" t="s">
        <v>140</v>
      </c>
      <c r="D804" s="14" t="s">
        <v>29</v>
      </c>
      <c r="E804" s="48" t="s">
        <v>29</v>
      </c>
      <c r="F804" s="14" t="s">
        <v>31</v>
      </c>
      <c r="G804" s="14" t="b">
        <f>OR(LCI_Table[[#This Row],[Feedstock]]="All",LCI_Table[[#This Row],[Feedstock]]=SelectedFeedstock)</f>
        <v>0</v>
      </c>
      <c r="H804" s="14" t="b">
        <f>OR(LCI_Table[[#This Row],[Conversion]]="All",LCI_Table[[#This Row],[Conversion]]=SelectedConversion)</f>
        <v>0</v>
      </c>
      <c r="I804" s="14" t="b">
        <f>OR(LCI_Table[[#This Row],[Data Set]]="all",LCI_Table[[#This Row],[Data Set]]=SelectedDataSet)</f>
        <v>1</v>
      </c>
      <c r="J804" s="14" t="b">
        <f>OR(LCI_Table[[#This Row],[Technology]]="All",LCI_Table[[#This Row],[Technology]]=SelectedTechnology)</f>
        <v>1</v>
      </c>
      <c r="K804" s="14" t="b">
        <f>OR(LCI_Table[[#This Row],[Data Source]]="All",LCI_Table[[#This Row],[Data Source]]=SelectedDataSource)</f>
        <v>1</v>
      </c>
      <c r="L804" s="14" t="b">
        <f>TRUE</f>
        <v>1</v>
      </c>
      <c r="M804" s="14" t="b">
        <f>(LCI_Table[[#This Row],[Dev Notes]]="Do not display")</f>
        <v>0</v>
      </c>
      <c r="N804" s="14" t="b">
        <f>AND(LCI_Table[[#This Row],[Show Feedstock]:[Conditional]],NOT(LCI_Table[[#This Row],[Hide Row]]))</f>
        <v>0</v>
      </c>
      <c r="O804" s="14" t="b">
        <f>LCI_Table[[#This Row],[GREET1 Name Range]]=""</f>
        <v>0</v>
      </c>
      <c r="P804" s="14" t="s">
        <v>1448</v>
      </c>
      <c r="Q804" s="14" t="s">
        <v>553</v>
      </c>
      <c r="R804" s="14" t="s">
        <v>73</v>
      </c>
      <c r="S804" s="37" cm="1">
        <f t="array" aca="1" ref="S8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1820.5451247095659</v>
      </c>
      <c r="T804" s="346" t="s">
        <v>2120</v>
      </c>
      <c r="U804" s="347">
        <f ca="1">S804/kg2g*Fuel_Specs!$E$81/Allocations!$O$77*MJ2mmBTU</f>
        <v>4.4001367965585828E-3</v>
      </c>
      <c r="V804" s="347">
        <v>1820.5451247095659</v>
      </c>
      <c r="W804" s="347">
        <v>4.4001367965585828E-3</v>
      </c>
      <c r="X804" s="37" t="s">
        <v>351</v>
      </c>
      <c r="Y804" s="346" t="s">
        <v>416</v>
      </c>
      <c r="Z804" s="14" t="str">
        <f>IF(ISBLANK(LCI_Table[[#This Row],[Notes for user]])," ",LCI_Table[[#This Row],[Notes for user]])</f>
        <v xml:space="preserve"> </v>
      </c>
      <c r="AA804" s="14"/>
      <c r="AB804" s="14"/>
      <c r="AC804" s="346">
        <f ca="1">LCI_Table[[#This Row],[Default Calculated Value]]-LCI_Table[[#This Row],[Calculated Value]]</f>
        <v>0</v>
      </c>
    </row>
    <row r="805" spans="1:29" x14ac:dyDescent="0.3">
      <c r="A8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STJGREETGREET(blank)_Cellulosic_Catalytic_STJ_AmmoniaAmmonia</v>
      </c>
      <c r="B805" s="14" t="s">
        <v>133</v>
      </c>
      <c r="C805" s="14" t="s">
        <v>140</v>
      </c>
      <c r="D805" s="14" t="s">
        <v>29</v>
      </c>
      <c r="E805" s="48" t="s">
        <v>29</v>
      </c>
      <c r="F805" s="14" t="s">
        <v>31</v>
      </c>
      <c r="G805" s="14" t="b">
        <f>OR(LCI_Table[[#This Row],[Feedstock]]="All",LCI_Table[[#This Row],[Feedstock]]=SelectedFeedstock)</f>
        <v>0</v>
      </c>
      <c r="H805" s="14" t="b">
        <f>OR(LCI_Table[[#This Row],[Conversion]]="All",LCI_Table[[#This Row],[Conversion]]=SelectedConversion)</f>
        <v>0</v>
      </c>
      <c r="I805" s="14" t="b">
        <f>OR(LCI_Table[[#This Row],[Data Set]]="all",LCI_Table[[#This Row],[Data Set]]=SelectedDataSet)</f>
        <v>1</v>
      </c>
      <c r="J805" s="14" t="b">
        <f>OR(LCI_Table[[#This Row],[Technology]]="All",LCI_Table[[#This Row],[Technology]]=SelectedTechnology)</f>
        <v>1</v>
      </c>
      <c r="K805" s="14" t="b">
        <f>OR(LCI_Table[[#This Row],[Data Source]]="All",LCI_Table[[#This Row],[Data Source]]=SelectedDataSource)</f>
        <v>1</v>
      </c>
      <c r="L805" s="14" t="b">
        <f>TRUE</f>
        <v>1</v>
      </c>
      <c r="M805" s="14" t="b">
        <f>(LCI_Table[[#This Row],[Dev Notes]]="Do not display")</f>
        <v>0</v>
      </c>
      <c r="N805" s="14" t="b">
        <f>AND(LCI_Table[[#This Row],[Show Feedstock]:[Conditional]],NOT(LCI_Table[[#This Row],[Hide Row]]))</f>
        <v>0</v>
      </c>
      <c r="O805" s="14" t="b">
        <f>LCI_Table[[#This Row],[GREET1 Name Range]]=""</f>
        <v>0</v>
      </c>
      <c r="P805" s="14" t="s">
        <v>1448</v>
      </c>
      <c r="Q805" s="14" t="s">
        <v>544</v>
      </c>
      <c r="R805" s="14" t="s">
        <v>382</v>
      </c>
      <c r="S805" s="37" cm="1">
        <f t="array" aca="1" ref="S8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575.62257926708617</v>
      </c>
      <c r="T805" s="346" t="s">
        <v>2127</v>
      </c>
      <c r="U805" s="347">
        <f ca="1">S805/kg2g/Allocations!$O$77*MJ2mmBTU</f>
        <v>5.4558493682309436E-4</v>
      </c>
      <c r="V805" s="347">
        <v>575.62257926708617</v>
      </c>
      <c r="W805" s="347">
        <v>5.4558493682309436E-4</v>
      </c>
      <c r="X805" s="37" t="s">
        <v>6</v>
      </c>
      <c r="Y805" s="346" t="s">
        <v>416</v>
      </c>
      <c r="Z805" s="14" t="str">
        <f>IF(ISBLANK(LCI_Table[[#This Row],[Notes for user]])," ",LCI_Table[[#This Row],[Notes for user]])</f>
        <v xml:space="preserve"> </v>
      </c>
      <c r="AA805" s="14"/>
      <c r="AB805" s="14"/>
      <c r="AC805" s="346">
        <f ca="1">LCI_Table[[#This Row],[Default Calculated Value]]-LCI_Table[[#This Row],[Calculated Value]]</f>
        <v>0</v>
      </c>
    </row>
    <row r="806" spans="1:29" x14ac:dyDescent="0.3">
      <c r="A8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STJGREETGREET(blank)_Cellulosic_Catalytic_STJ_CatalystsCatalysts</v>
      </c>
      <c r="B806" s="14" t="s">
        <v>133</v>
      </c>
      <c r="C806" s="14" t="s">
        <v>140</v>
      </c>
      <c r="D806" s="14" t="s">
        <v>29</v>
      </c>
      <c r="E806" s="48" t="s">
        <v>29</v>
      </c>
      <c r="F806" s="14" t="s">
        <v>31</v>
      </c>
      <c r="G806" s="14" t="b">
        <f>OR(LCI_Table[[#This Row],[Feedstock]]="All",LCI_Table[[#This Row],[Feedstock]]=SelectedFeedstock)</f>
        <v>0</v>
      </c>
      <c r="H806" s="14" t="b">
        <f>OR(LCI_Table[[#This Row],[Conversion]]="All",LCI_Table[[#This Row],[Conversion]]=SelectedConversion)</f>
        <v>0</v>
      </c>
      <c r="I806" s="14" t="b">
        <f>OR(LCI_Table[[#This Row],[Data Set]]="all",LCI_Table[[#This Row],[Data Set]]=SelectedDataSet)</f>
        <v>1</v>
      </c>
      <c r="J806" s="14" t="b">
        <f>OR(LCI_Table[[#This Row],[Technology]]="All",LCI_Table[[#This Row],[Technology]]=SelectedTechnology)</f>
        <v>1</v>
      </c>
      <c r="K806" s="14" t="b">
        <f>OR(LCI_Table[[#This Row],[Data Source]]="All",LCI_Table[[#This Row],[Data Source]]=SelectedDataSource)</f>
        <v>1</v>
      </c>
      <c r="L806" s="14" t="b">
        <f>TRUE</f>
        <v>1</v>
      </c>
      <c r="M806" s="14" t="b">
        <f>(LCI_Table[[#This Row],[Dev Notes]]="Do not display")</f>
        <v>0</v>
      </c>
      <c r="N806" s="14" t="b">
        <f>AND(LCI_Table[[#This Row],[Show Feedstock]:[Conditional]],NOT(LCI_Table[[#This Row],[Hide Row]]))</f>
        <v>0</v>
      </c>
      <c r="O806" s="14" t="b">
        <f>LCI_Table[[#This Row],[GREET1 Name Range]]=""</f>
        <v>0</v>
      </c>
      <c r="P806" s="14" t="s">
        <v>1448</v>
      </c>
      <c r="Q806" s="14" t="s">
        <v>545</v>
      </c>
      <c r="R806" s="14" t="s">
        <v>142</v>
      </c>
      <c r="S806" s="37" cm="1">
        <f t="array" aca="1" ref="S8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13.27431524515293</v>
      </c>
      <c r="T806" s="346" t="s">
        <v>2127</v>
      </c>
      <c r="U806" s="347">
        <f ca="1">S806/kg2g/Allocations!$O$77*MJ2mmBTU</f>
        <v>1.2581623281035719E-5</v>
      </c>
      <c r="V806" s="347">
        <v>13.27431524515293</v>
      </c>
      <c r="W806" s="347">
        <v>1.2581623281035719E-5</v>
      </c>
      <c r="X806" s="37" t="s">
        <v>6</v>
      </c>
      <c r="Y806" s="346" t="s">
        <v>416</v>
      </c>
      <c r="Z806" s="14" t="str">
        <f>IF(ISBLANK(LCI_Table[[#This Row],[Notes for user]])," ",LCI_Table[[#This Row],[Notes for user]])</f>
        <v xml:space="preserve"> </v>
      </c>
      <c r="AA806" s="14"/>
      <c r="AB806" s="14"/>
      <c r="AC806" s="346">
        <f ca="1">LCI_Table[[#This Row],[Default Calculated Value]]-LCI_Table[[#This Row],[Calculated Value]]</f>
        <v>0</v>
      </c>
    </row>
    <row r="807" spans="1:29" x14ac:dyDescent="0.3">
      <c r="A8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STJGREETGREET(blank)_Cellulosic_Catalytic_STJ_Corn_oilDistillers Corn Oil</v>
      </c>
      <c r="B807" s="14" t="s">
        <v>133</v>
      </c>
      <c r="C807" s="14" t="s">
        <v>140</v>
      </c>
      <c r="D807" s="14" t="s">
        <v>29</v>
      </c>
      <c r="E807" s="48" t="s">
        <v>29</v>
      </c>
      <c r="F807" s="14" t="s">
        <v>31</v>
      </c>
      <c r="G807" s="14" t="b">
        <f>OR(LCI_Table[[#This Row],[Feedstock]]="All",LCI_Table[[#This Row],[Feedstock]]=SelectedFeedstock)</f>
        <v>0</v>
      </c>
      <c r="H807" s="14" t="b">
        <f>OR(LCI_Table[[#This Row],[Conversion]]="All",LCI_Table[[#This Row],[Conversion]]=SelectedConversion)</f>
        <v>0</v>
      </c>
      <c r="I807" s="14" t="b">
        <f>OR(LCI_Table[[#This Row],[Data Set]]="all",LCI_Table[[#This Row],[Data Set]]=SelectedDataSet)</f>
        <v>1</v>
      </c>
      <c r="J807" s="14" t="b">
        <f>OR(LCI_Table[[#This Row],[Technology]]="All",LCI_Table[[#This Row],[Technology]]=SelectedTechnology)</f>
        <v>1</v>
      </c>
      <c r="K807" s="14" t="b">
        <f>OR(LCI_Table[[#This Row],[Data Source]]="All",LCI_Table[[#This Row],[Data Source]]=SelectedDataSource)</f>
        <v>1</v>
      </c>
      <c r="L807" s="14" t="b">
        <f>TRUE</f>
        <v>1</v>
      </c>
      <c r="M807" s="14" t="b">
        <f>(LCI_Table[[#This Row],[Dev Notes]]="Do not display")</f>
        <v>0</v>
      </c>
      <c r="N807" s="14" t="b">
        <f>AND(LCI_Table[[#This Row],[Show Feedstock]:[Conditional]],NOT(LCI_Table[[#This Row],[Hide Row]]))</f>
        <v>0</v>
      </c>
      <c r="O807" s="14" t="b">
        <f>LCI_Table[[#This Row],[GREET1 Name Range]]=""</f>
        <v>0</v>
      </c>
      <c r="P807" s="14" t="s">
        <v>1448</v>
      </c>
      <c r="Q807" s="14" t="s">
        <v>546</v>
      </c>
      <c r="R807" s="14" t="s">
        <v>1911</v>
      </c>
      <c r="S807" s="37" cm="1">
        <f t="array" aca="1" ref="S8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8.4472915196427731</v>
      </c>
      <c r="T807" s="346" t="s">
        <v>2127</v>
      </c>
      <c r="U807" s="347">
        <f ca="1">S807/kg2g/Allocations!$O$77*MJ2mmBTU</f>
        <v>8.0064875424772737E-6</v>
      </c>
      <c r="V807" s="347">
        <v>8.4472915196427731</v>
      </c>
      <c r="W807" s="347">
        <v>8.0064875424772737E-6</v>
      </c>
      <c r="X807" s="37" t="s">
        <v>6</v>
      </c>
      <c r="Y807" s="346" t="s">
        <v>416</v>
      </c>
      <c r="Z807" s="14" t="str">
        <f>IF(ISBLANK(LCI_Table[[#This Row],[Notes for user]])," ",LCI_Table[[#This Row],[Notes for user]])</f>
        <v xml:space="preserve"> </v>
      </c>
      <c r="AA807" s="14"/>
      <c r="AB807" s="14"/>
      <c r="AC807" s="346">
        <f ca="1">LCI_Table[[#This Row],[Default Calculated Value]]-LCI_Table[[#This Row],[Calculated Value]]</f>
        <v>0</v>
      </c>
    </row>
    <row r="808" spans="1:29" x14ac:dyDescent="0.3">
      <c r="A8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STJGREETGREET(blank)_Cellulosic_Catalytic_STJ_Corn_steep_liquorCorn steep liquor</v>
      </c>
      <c r="B808" s="14" t="s">
        <v>133</v>
      </c>
      <c r="C808" s="14" t="s">
        <v>140</v>
      </c>
      <c r="D808" s="14" t="s">
        <v>29</v>
      </c>
      <c r="E808" s="48" t="s">
        <v>29</v>
      </c>
      <c r="F808" s="14" t="s">
        <v>31</v>
      </c>
      <c r="G808" s="14" t="b">
        <f>OR(LCI_Table[[#This Row],[Feedstock]]="All",LCI_Table[[#This Row],[Feedstock]]=SelectedFeedstock)</f>
        <v>0</v>
      </c>
      <c r="H808" s="14" t="b">
        <f>OR(LCI_Table[[#This Row],[Conversion]]="All",LCI_Table[[#This Row],[Conversion]]=SelectedConversion)</f>
        <v>0</v>
      </c>
      <c r="I808" s="14" t="b">
        <f>OR(LCI_Table[[#This Row],[Data Set]]="all",LCI_Table[[#This Row],[Data Set]]=SelectedDataSet)</f>
        <v>1</v>
      </c>
      <c r="J808" s="14" t="b">
        <f>OR(LCI_Table[[#This Row],[Technology]]="All",LCI_Table[[#This Row],[Technology]]=SelectedTechnology)</f>
        <v>1</v>
      </c>
      <c r="K808" s="14" t="b">
        <f>OR(LCI_Table[[#This Row],[Data Source]]="All",LCI_Table[[#This Row],[Data Source]]=SelectedDataSource)</f>
        <v>1</v>
      </c>
      <c r="L808" s="14" t="b">
        <f>TRUE</f>
        <v>1</v>
      </c>
      <c r="M808" s="14" t="b">
        <f>(LCI_Table[[#This Row],[Dev Notes]]="Do not display")</f>
        <v>0</v>
      </c>
      <c r="N808" s="14" t="b">
        <f>AND(LCI_Table[[#This Row],[Show Feedstock]:[Conditional]],NOT(LCI_Table[[#This Row],[Hide Row]]))</f>
        <v>0</v>
      </c>
      <c r="O808" s="14" t="b">
        <f>LCI_Table[[#This Row],[GREET1 Name Range]]=""</f>
        <v>0</v>
      </c>
      <c r="P808" s="14" t="s">
        <v>1448</v>
      </c>
      <c r="Q808" s="14" t="s">
        <v>547</v>
      </c>
      <c r="R808" s="14" t="s">
        <v>386</v>
      </c>
      <c r="S808" s="37" cm="1">
        <f t="array" aca="1" ref="S8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100.16074230433574</v>
      </c>
      <c r="T808" s="346" t="s">
        <v>2127</v>
      </c>
      <c r="U808" s="347">
        <f ca="1">S808/kg2g/Allocations!$O$77*MJ2mmBTU</f>
        <v>9.4934066575087697E-5</v>
      </c>
      <c r="V808" s="347">
        <v>100.16074230433574</v>
      </c>
      <c r="W808" s="347">
        <v>9.4934066575087697E-5</v>
      </c>
      <c r="X808" s="37" t="s">
        <v>6</v>
      </c>
      <c r="Y808" s="346" t="s">
        <v>416</v>
      </c>
      <c r="Z808" s="14" t="str">
        <f>IF(ISBLANK(LCI_Table[[#This Row],[Notes for user]])," ",LCI_Table[[#This Row],[Notes for user]])</f>
        <v xml:space="preserve"> </v>
      </c>
      <c r="AA808" s="14"/>
      <c r="AB808" s="14"/>
      <c r="AC808" s="346">
        <f ca="1">LCI_Table[[#This Row],[Default Calculated Value]]-LCI_Table[[#This Row],[Calculated Value]]</f>
        <v>0</v>
      </c>
    </row>
    <row r="809" spans="1:29" x14ac:dyDescent="0.3">
      <c r="A8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STJGREETGREET(blank)_Cellulosic_Catalytic_STJ_GlucoseGlucose</v>
      </c>
      <c r="B809" s="14" t="s">
        <v>133</v>
      </c>
      <c r="C809" s="14" t="s">
        <v>140</v>
      </c>
      <c r="D809" s="14" t="s">
        <v>29</v>
      </c>
      <c r="E809" s="48" t="s">
        <v>29</v>
      </c>
      <c r="F809" s="14" t="s">
        <v>31</v>
      </c>
      <c r="G809" s="14" t="b">
        <f>OR(LCI_Table[[#This Row],[Feedstock]]="All",LCI_Table[[#This Row],[Feedstock]]=SelectedFeedstock)</f>
        <v>0</v>
      </c>
      <c r="H809" s="14" t="b">
        <f>OR(LCI_Table[[#This Row],[Conversion]]="All",LCI_Table[[#This Row],[Conversion]]=SelectedConversion)</f>
        <v>0</v>
      </c>
      <c r="I809" s="14" t="b">
        <f>OR(LCI_Table[[#This Row],[Data Set]]="all",LCI_Table[[#This Row],[Data Set]]=SelectedDataSet)</f>
        <v>1</v>
      </c>
      <c r="J809" s="14" t="b">
        <f>OR(LCI_Table[[#This Row],[Technology]]="All",LCI_Table[[#This Row],[Technology]]=SelectedTechnology)</f>
        <v>1</v>
      </c>
      <c r="K809" s="14" t="b">
        <f>OR(LCI_Table[[#This Row],[Data Source]]="All",LCI_Table[[#This Row],[Data Source]]=SelectedDataSource)</f>
        <v>1</v>
      </c>
      <c r="L809" s="14" t="b">
        <f>TRUE</f>
        <v>1</v>
      </c>
      <c r="M809" s="14" t="b">
        <f>(LCI_Table[[#This Row],[Dev Notes]]="Do not display")</f>
        <v>0</v>
      </c>
      <c r="N809" s="14" t="b">
        <f>AND(LCI_Table[[#This Row],[Show Feedstock]:[Conditional]],NOT(LCI_Table[[#This Row],[Hide Row]]))</f>
        <v>0</v>
      </c>
      <c r="O809" s="14" t="b">
        <f>LCI_Table[[#This Row],[GREET1 Name Range]]=""</f>
        <v>0</v>
      </c>
      <c r="P809" s="14" t="s">
        <v>1448</v>
      </c>
      <c r="Q809" s="14" t="s">
        <v>550</v>
      </c>
      <c r="R809" s="14" t="s">
        <v>387</v>
      </c>
      <c r="S809" s="37" cm="1">
        <f t="array" aca="1" ref="S8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1463.7949447609549</v>
      </c>
      <c r="T809" s="346" t="s">
        <v>2127</v>
      </c>
      <c r="U809" s="347">
        <f ca="1">S809/kg2g/Allocations!$O$77*MJ2mmBTU</f>
        <v>1.3874099127178477E-3</v>
      </c>
      <c r="V809" s="347">
        <v>1463.7949447609549</v>
      </c>
      <c r="W809" s="347">
        <v>1.3874099127178477E-3</v>
      </c>
      <c r="X809" s="37" t="s">
        <v>6</v>
      </c>
      <c r="Y809" s="346" t="s">
        <v>416</v>
      </c>
      <c r="Z809" s="14" t="str">
        <f>IF(ISBLANK(LCI_Table[[#This Row],[Notes for user]])," ",LCI_Table[[#This Row],[Notes for user]])</f>
        <v xml:space="preserve"> </v>
      </c>
      <c r="AA809" s="14"/>
      <c r="AB809" s="14"/>
      <c r="AC809" s="346">
        <f ca="1">LCI_Table[[#This Row],[Default Calculated Value]]-LCI_Table[[#This Row],[Calculated Value]]</f>
        <v>0</v>
      </c>
    </row>
    <row r="810" spans="1:29" x14ac:dyDescent="0.3">
      <c r="A8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STJGREETGREET(blank)_Cellulosic_Catalytic_STJ_HClHCl</v>
      </c>
      <c r="B810" s="14" t="s">
        <v>133</v>
      </c>
      <c r="C810" s="14" t="s">
        <v>140</v>
      </c>
      <c r="D810" s="14" t="s">
        <v>29</v>
      </c>
      <c r="E810" s="48" t="s">
        <v>29</v>
      </c>
      <c r="F810" s="14" t="s">
        <v>31</v>
      </c>
      <c r="G810" s="14" t="b">
        <f>OR(LCI_Table[[#This Row],[Feedstock]]="All",LCI_Table[[#This Row],[Feedstock]]=SelectedFeedstock)</f>
        <v>0</v>
      </c>
      <c r="H810" s="14" t="b">
        <f>OR(LCI_Table[[#This Row],[Conversion]]="All",LCI_Table[[#This Row],[Conversion]]=SelectedConversion)</f>
        <v>0</v>
      </c>
      <c r="I810" s="14" t="b">
        <f>OR(LCI_Table[[#This Row],[Data Set]]="all",LCI_Table[[#This Row],[Data Set]]=SelectedDataSet)</f>
        <v>1</v>
      </c>
      <c r="J810" s="14" t="b">
        <f>OR(LCI_Table[[#This Row],[Technology]]="All",LCI_Table[[#This Row],[Technology]]=SelectedTechnology)</f>
        <v>1</v>
      </c>
      <c r="K810" s="14" t="b">
        <f>OR(LCI_Table[[#This Row],[Data Source]]="All",LCI_Table[[#This Row],[Data Source]]=SelectedDataSource)</f>
        <v>1</v>
      </c>
      <c r="L810" s="14" t="b">
        <f>TRUE</f>
        <v>1</v>
      </c>
      <c r="M810" s="14" t="b">
        <f>(LCI_Table[[#This Row],[Dev Notes]]="Do not display")</f>
        <v>0</v>
      </c>
      <c r="N810" s="14" t="b">
        <f>AND(LCI_Table[[#This Row],[Show Feedstock]:[Conditional]],NOT(LCI_Table[[#This Row],[Hide Row]]))</f>
        <v>0</v>
      </c>
      <c r="O810" s="14" t="b">
        <f>LCI_Table[[#This Row],[GREET1 Name Range]]=""</f>
        <v>0</v>
      </c>
      <c r="P810" s="14" t="s">
        <v>1448</v>
      </c>
      <c r="Q810" s="14" t="s">
        <v>551</v>
      </c>
      <c r="R810" s="14" t="s">
        <v>399</v>
      </c>
      <c r="S810" s="37" cm="1">
        <f t="array" aca="1" ref="S8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1353.9801550055988</v>
      </c>
      <c r="T810" s="346" t="s">
        <v>2127</v>
      </c>
      <c r="U810" s="347">
        <f ca="1">S810/kg2g/Allocations!$O$77*MJ2mmBTU</f>
        <v>1.2833255746656433E-3</v>
      </c>
      <c r="V810" s="347">
        <v>1353.9801550055988</v>
      </c>
      <c r="W810" s="347">
        <v>1.2833255746656433E-3</v>
      </c>
      <c r="X810" s="37" t="s">
        <v>6</v>
      </c>
      <c r="Y810" s="346" t="s">
        <v>416</v>
      </c>
      <c r="Z810" s="14" t="str">
        <f>IF(ISBLANK(LCI_Table[[#This Row],[Notes for user]])," ",LCI_Table[[#This Row],[Notes for user]])</f>
        <v xml:space="preserve"> </v>
      </c>
      <c r="AA810" s="14"/>
      <c r="AB810" s="14"/>
      <c r="AC810" s="346">
        <f ca="1">LCI_Table[[#This Row],[Default Calculated Value]]-LCI_Table[[#This Row],[Calculated Value]]</f>
        <v>0</v>
      </c>
    </row>
    <row r="811" spans="1:29" x14ac:dyDescent="0.3">
      <c r="A8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STJGREETGREET(blank)_Cellulosic_Catalytic_STJ_Host_nutrientsHost nutrients</v>
      </c>
      <c r="B811" s="14" t="s">
        <v>133</v>
      </c>
      <c r="C811" s="14" t="s">
        <v>140</v>
      </c>
      <c r="D811" s="14" t="s">
        <v>29</v>
      </c>
      <c r="E811" s="48" t="s">
        <v>29</v>
      </c>
      <c r="F811" s="14" t="s">
        <v>31</v>
      </c>
      <c r="G811" s="14" t="b">
        <f>OR(LCI_Table[[#This Row],[Feedstock]]="All",LCI_Table[[#This Row],[Feedstock]]=SelectedFeedstock)</f>
        <v>0</v>
      </c>
      <c r="H811" s="14" t="b">
        <f>OR(LCI_Table[[#This Row],[Conversion]]="All",LCI_Table[[#This Row],[Conversion]]=SelectedConversion)</f>
        <v>0</v>
      </c>
      <c r="I811" s="14" t="b">
        <f>OR(LCI_Table[[#This Row],[Data Set]]="all",LCI_Table[[#This Row],[Data Set]]=SelectedDataSet)</f>
        <v>1</v>
      </c>
      <c r="J811" s="14" t="b">
        <f>OR(LCI_Table[[#This Row],[Technology]]="All",LCI_Table[[#This Row],[Technology]]=SelectedTechnology)</f>
        <v>1</v>
      </c>
      <c r="K811" s="14" t="b">
        <f>OR(LCI_Table[[#This Row],[Data Source]]="All",LCI_Table[[#This Row],[Data Source]]=SelectedDataSource)</f>
        <v>1</v>
      </c>
      <c r="L811" s="14" t="b">
        <f>TRUE</f>
        <v>1</v>
      </c>
      <c r="M811" s="14" t="b">
        <f>(LCI_Table[[#This Row],[Dev Notes]]="Do not display")</f>
        <v>0</v>
      </c>
      <c r="N811" s="14" t="b">
        <f>AND(LCI_Table[[#This Row],[Show Feedstock]:[Conditional]],NOT(LCI_Table[[#This Row],[Hide Row]]))</f>
        <v>0</v>
      </c>
      <c r="O811" s="14" t="b">
        <f>LCI_Table[[#This Row],[GREET1 Name Range]]=""</f>
        <v>0</v>
      </c>
      <c r="P811" s="14" t="s">
        <v>1448</v>
      </c>
      <c r="Q811" s="14" t="s">
        <v>552</v>
      </c>
      <c r="R811" s="14" t="s">
        <v>388</v>
      </c>
      <c r="S811" s="37" cm="1">
        <f t="array" aca="1" ref="S8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41.029701666836324</v>
      </c>
      <c r="T811" s="346" t="s">
        <v>2127</v>
      </c>
      <c r="U811" s="347">
        <f ca="1">S811/kg2g/Allocations!$O$77*MJ2mmBTU</f>
        <v>3.8888653777746761E-5</v>
      </c>
      <c r="V811" s="347">
        <v>41.029701666836324</v>
      </c>
      <c r="W811" s="347">
        <v>3.8888653777746761E-5</v>
      </c>
      <c r="X811" s="37" t="s">
        <v>6</v>
      </c>
      <c r="Y811" s="346" t="s">
        <v>416</v>
      </c>
      <c r="Z811" s="14" t="str">
        <f>IF(ISBLANK(LCI_Table[[#This Row],[Notes for user]])," ",LCI_Table[[#This Row],[Notes for user]])</f>
        <v xml:space="preserve"> </v>
      </c>
      <c r="AA811" s="14"/>
      <c r="AB811" s="14"/>
      <c r="AC811" s="346">
        <f ca="1">LCI_Table[[#This Row],[Default Calculated Value]]-LCI_Table[[#This Row],[Calculated Value]]</f>
        <v>0</v>
      </c>
    </row>
    <row r="812" spans="1:29" x14ac:dyDescent="0.3">
      <c r="A8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STJGREETGREET(blank)_Cellulosic_Catalytic_STJ_LimeLime</v>
      </c>
      <c r="B812" s="14" t="s">
        <v>133</v>
      </c>
      <c r="C812" s="14" t="s">
        <v>140</v>
      </c>
      <c r="D812" s="14" t="s">
        <v>29</v>
      </c>
      <c r="E812" s="48" t="s">
        <v>29</v>
      </c>
      <c r="F812" s="14" t="s">
        <v>31</v>
      </c>
      <c r="G812" s="14" t="b">
        <f>OR(LCI_Table[[#This Row],[Feedstock]]="All",LCI_Table[[#This Row],[Feedstock]]=SelectedFeedstock)</f>
        <v>0</v>
      </c>
      <c r="H812" s="14" t="b">
        <f>OR(LCI_Table[[#This Row],[Conversion]]="All",LCI_Table[[#This Row],[Conversion]]=SelectedConversion)</f>
        <v>0</v>
      </c>
      <c r="I812" s="14" t="b">
        <f>OR(LCI_Table[[#This Row],[Data Set]]="all",LCI_Table[[#This Row],[Data Set]]=SelectedDataSet)</f>
        <v>1</v>
      </c>
      <c r="J812" s="14" t="b">
        <f>OR(LCI_Table[[#This Row],[Technology]]="All",LCI_Table[[#This Row],[Technology]]=SelectedTechnology)</f>
        <v>1</v>
      </c>
      <c r="K812" s="14" t="b">
        <f>OR(LCI_Table[[#This Row],[Data Source]]="All",LCI_Table[[#This Row],[Data Source]]=SelectedDataSource)</f>
        <v>1</v>
      </c>
      <c r="L812" s="14" t="b">
        <f>TRUE</f>
        <v>1</v>
      </c>
      <c r="M812" s="14" t="b">
        <f>(LCI_Table[[#This Row],[Dev Notes]]="Do not display")</f>
        <v>0</v>
      </c>
      <c r="N812" s="14" t="b">
        <f>AND(LCI_Table[[#This Row],[Show Feedstock]:[Conditional]],NOT(LCI_Table[[#This Row],[Hide Row]]))</f>
        <v>0</v>
      </c>
      <c r="O812" s="14" t="b">
        <f>LCI_Table[[#This Row],[GREET1 Name Range]]=""</f>
        <v>0</v>
      </c>
      <c r="P812" s="14" t="s">
        <v>1448</v>
      </c>
      <c r="Q812" s="14" t="s">
        <v>554</v>
      </c>
      <c r="R812" s="14" t="s">
        <v>143</v>
      </c>
      <c r="S812" s="37" cm="1">
        <f t="array" aca="1" ref="S8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217.21606764795703</v>
      </c>
      <c r="T812" s="346" t="s">
        <v>2127</v>
      </c>
      <c r="U812" s="347">
        <f ca="1">S812/kg2g/Allocations!$O$77*MJ2mmBTU</f>
        <v>2.0588110823512994E-4</v>
      </c>
      <c r="V812" s="347">
        <v>217.21606764795703</v>
      </c>
      <c r="W812" s="347">
        <v>2.0588110823512994E-4</v>
      </c>
      <c r="X812" s="14" t="s">
        <v>6</v>
      </c>
      <c r="Y812" s="346" t="s">
        <v>416</v>
      </c>
      <c r="Z812" s="14" t="str">
        <f>IF(ISBLANK(LCI_Table[[#This Row],[Notes for user]])," ",LCI_Table[[#This Row],[Notes for user]])</f>
        <v xml:space="preserve"> </v>
      </c>
      <c r="AA812" s="14"/>
      <c r="AB812" s="14"/>
      <c r="AC812" s="346">
        <f ca="1">LCI_Table[[#This Row],[Default Calculated Value]]-LCI_Table[[#This Row],[Calculated Value]]</f>
        <v>0</v>
      </c>
    </row>
    <row r="813" spans="1:29" x14ac:dyDescent="0.3">
      <c r="A8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STJGREETGREET(blank)_Cellulosic_Catalytic_STJ_SulfuricAcidSulfuric acid</v>
      </c>
      <c r="B813" s="14" t="s">
        <v>133</v>
      </c>
      <c r="C813" s="14" t="s">
        <v>140</v>
      </c>
      <c r="D813" s="14" t="s">
        <v>29</v>
      </c>
      <c r="E813" s="48" t="s">
        <v>29</v>
      </c>
      <c r="F813" s="14" t="s">
        <v>31</v>
      </c>
      <c r="G813" s="14" t="b">
        <f>OR(LCI_Table[[#This Row],[Feedstock]]="All",LCI_Table[[#This Row],[Feedstock]]=SelectedFeedstock)</f>
        <v>0</v>
      </c>
      <c r="H813" s="14" t="b">
        <f>OR(LCI_Table[[#This Row],[Conversion]]="All",LCI_Table[[#This Row],[Conversion]]=SelectedConversion)</f>
        <v>0</v>
      </c>
      <c r="I813" s="14" t="b">
        <f>OR(LCI_Table[[#This Row],[Data Set]]="all",LCI_Table[[#This Row],[Data Set]]=SelectedDataSet)</f>
        <v>1</v>
      </c>
      <c r="J813" s="14" t="b">
        <f>OR(LCI_Table[[#This Row],[Technology]]="All",LCI_Table[[#This Row],[Technology]]=SelectedTechnology)</f>
        <v>1</v>
      </c>
      <c r="K813" s="14" t="b">
        <f>OR(LCI_Table[[#This Row],[Data Source]]="All",LCI_Table[[#This Row],[Data Source]]=SelectedDataSource)</f>
        <v>1</v>
      </c>
      <c r="L813" s="14" t="b">
        <f>TRUE</f>
        <v>1</v>
      </c>
      <c r="M813" s="14" t="b">
        <f>(LCI_Table[[#This Row],[Dev Notes]]="Do not display")</f>
        <v>0</v>
      </c>
      <c r="N813" s="14" t="b">
        <f>AND(LCI_Table[[#This Row],[Show Feedstock]:[Conditional]],NOT(LCI_Table[[#This Row],[Hide Row]]))</f>
        <v>0</v>
      </c>
      <c r="O813" s="14" t="b">
        <f>LCI_Table[[#This Row],[GREET1 Name Range]]=""</f>
        <v>0</v>
      </c>
      <c r="P813" s="14" t="s">
        <v>1448</v>
      </c>
      <c r="Q813" s="14" t="s">
        <v>935</v>
      </c>
      <c r="R813" s="14" t="s">
        <v>384</v>
      </c>
      <c r="S813" s="37" cm="1">
        <f t="array" aca="1" ref="S8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2703.133286285688</v>
      </c>
      <c r="T813" s="346" t="s">
        <v>2127</v>
      </c>
      <c r="U813" s="347">
        <f ca="1">S813/kg2g/Allocations!$O$77*MJ2mmBTU</f>
        <v>2.5620760135927284E-3</v>
      </c>
      <c r="V813" s="347">
        <v>2703.133286285688</v>
      </c>
      <c r="W813" s="347">
        <v>2.5620760135927284E-3</v>
      </c>
      <c r="X813" s="37" t="s">
        <v>6</v>
      </c>
      <c r="Y813" s="346" t="s">
        <v>416</v>
      </c>
      <c r="Z813" s="14" t="str">
        <f>IF(ISBLANK(LCI_Table[[#This Row],[Notes for user]])," ",LCI_Table[[#This Row],[Notes for user]])</f>
        <v xml:space="preserve"> </v>
      </c>
      <c r="AA813" s="14"/>
      <c r="AB813" s="14"/>
      <c r="AC813" s="346">
        <f ca="1">LCI_Table[[#This Row],[Default Calculated Value]]-LCI_Table[[#This Row],[Calculated Value]]</f>
        <v>0</v>
      </c>
    </row>
    <row r="814" spans="1:29" x14ac:dyDescent="0.3">
      <c r="A8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STJGREETGREET(blank)_Cellulosic_Catalytic_STJ_WaterWater</v>
      </c>
      <c r="B814" s="14" t="s">
        <v>133</v>
      </c>
      <c r="C814" s="14" t="s">
        <v>140</v>
      </c>
      <c r="D814" s="14" t="s">
        <v>29</v>
      </c>
      <c r="E814" s="48" t="s">
        <v>29</v>
      </c>
      <c r="F814" s="14" t="s">
        <v>31</v>
      </c>
      <c r="G814" s="14" t="b">
        <f>OR(LCI_Table[[#This Row],[Feedstock]]="All",LCI_Table[[#This Row],[Feedstock]]=SelectedFeedstock)</f>
        <v>0</v>
      </c>
      <c r="H814" s="14" t="b">
        <f>OR(LCI_Table[[#This Row],[Conversion]]="All",LCI_Table[[#This Row],[Conversion]]=SelectedConversion)</f>
        <v>0</v>
      </c>
      <c r="I814" s="14" t="b">
        <f>OR(LCI_Table[[#This Row],[Data Set]]="all",LCI_Table[[#This Row],[Data Set]]=SelectedDataSet)</f>
        <v>1</v>
      </c>
      <c r="J814" s="14" t="b">
        <f>OR(LCI_Table[[#This Row],[Technology]]="All",LCI_Table[[#This Row],[Technology]]=SelectedTechnology)</f>
        <v>1</v>
      </c>
      <c r="K814" s="14" t="b">
        <f>OR(LCI_Table[[#This Row],[Data Source]]="All",LCI_Table[[#This Row],[Data Source]]=SelectedDataSource)</f>
        <v>1</v>
      </c>
      <c r="L814" s="14" t="b">
        <f>TRUE</f>
        <v>1</v>
      </c>
      <c r="M814" s="14" t="b">
        <f>(LCI_Table[[#This Row],[Dev Notes]]="Do not display")</f>
        <v>0</v>
      </c>
      <c r="N814" s="14" t="b">
        <f>AND(LCI_Table[[#This Row],[Show Feedstock]:[Conditional]],NOT(LCI_Table[[#This Row],[Hide Row]]))</f>
        <v>0</v>
      </c>
      <c r="O814" s="14" t="b">
        <f>LCI_Table[[#This Row],[GREET1 Name Range]]=""</f>
        <v>0</v>
      </c>
      <c r="P814" s="14" t="s">
        <v>1448</v>
      </c>
      <c r="Q814" s="14" t="s">
        <v>555</v>
      </c>
      <c r="R814" s="14" t="s">
        <v>146</v>
      </c>
      <c r="S814" s="37" cm="1">
        <f t="array" aca="1" ref="S8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50.845995350220299</v>
      </c>
      <c r="T814" s="346" t="s">
        <v>2128</v>
      </c>
      <c r="U814" s="347">
        <f ca="1">S814/kg2lb*Fuel_Specs!$K$4/Allocations!$O$77*MJ2mmBTU</f>
        <v>0.18189138398999874</v>
      </c>
      <c r="V814" s="347">
        <v>50.845995350220299</v>
      </c>
      <c r="W814" s="347">
        <v>0.18189138398999874</v>
      </c>
      <c r="X814" s="37" t="s">
        <v>5</v>
      </c>
      <c r="Y814" s="346" t="s">
        <v>416</v>
      </c>
      <c r="Z814" s="14" t="str">
        <f>IF(ISBLANK(LCI_Table[[#This Row],[Notes for user]])," ",LCI_Table[[#This Row],[Notes for user]])</f>
        <v xml:space="preserve"> </v>
      </c>
      <c r="AA814" s="14"/>
      <c r="AB814" s="14"/>
      <c r="AC814" s="346">
        <f ca="1">LCI_Table[[#This Row],[Default Calculated Value]]-LCI_Table[[#This Row],[Calculated Value]]</f>
        <v>0</v>
      </c>
    </row>
    <row r="815" spans="1:29" x14ac:dyDescent="0.3">
      <c r="A8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SwitchgrassCatalytic STJGREETGREET(blank)_Cellulosic_Catalytic_STJ_Electricity_co_producedElectricity (co-produced)</v>
      </c>
      <c r="B815" s="14" t="s">
        <v>133</v>
      </c>
      <c r="C815" s="14" t="s">
        <v>140</v>
      </c>
      <c r="D815" s="14" t="s">
        <v>29</v>
      </c>
      <c r="E815" s="48" t="s">
        <v>29</v>
      </c>
      <c r="F815" s="14" t="s">
        <v>31</v>
      </c>
      <c r="G815" s="14" t="b">
        <f>OR(LCI_Table[[#This Row],[Feedstock]]="All",LCI_Table[[#This Row],[Feedstock]]=SelectedFeedstock)</f>
        <v>0</v>
      </c>
      <c r="H815" s="14" t="b">
        <f>OR(LCI_Table[[#This Row],[Conversion]]="All",LCI_Table[[#This Row],[Conversion]]=SelectedConversion)</f>
        <v>0</v>
      </c>
      <c r="I815" s="14" t="b">
        <f>OR(LCI_Table[[#This Row],[Data Set]]="all",LCI_Table[[#This Row],[Data Set]]=SelectedDataSet)</f>
        <v>1</v>
      </c>
      <c r="J815" s="14" t="b">
        <f>OR(LCI_Table[[#This Row],[Technology]]="All",LCI_Table[[#This Row],[Technology]]=SelectedTechnology)</f>
        <v>1</v>
      </c>
      <c r="K815" s="14" t="b">
        <f>OR(LCI_Table[[#This Row],[Data Source]]="All",LCI_Table[[#This Row],[Data Source]]=SelectedDataSource)</f>
        <v>1</v>
      </c>
      <c r="L815" s="14" t="b">
        <f>TRUE</f>
        <v>1</v>
      </c>
      <c r="M815" s="14" t="b">
        <f>(LCI_Table[[#This Row],[Dev Notes]]="Do not display")</f>
        <v>0</v>
      </c>
      <c r="N815" s="14" t="b">
        <f>AND(LCI_Table[[#This Row],[Show Feedstock]:[Conditional]],NOT(LCI_Table[[#This Row],[Hide Row]]))</f>
        <v>0</v>
      </c>
      <c r="O815" s="14" t="b">
        <f>LCI_Table[[#This Row],[GREET1 Name Range]]=""</f>
        <v>0</v>
      </c>
      <c r="P815" s="14" t="s">
        <v>1448</v>
      </c>
      <c r="Q815" s="14" t="s">
        <v>549</v>
      </c>
      <c r="R815" s="14" t="s">
        <v>439</v>
      </c>
      <c r="S815" s="37" cm="1">
        <f t="array" aca="1" ref="S8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13.328619262064917</v>
      </c>
      <c r="T815" s="346" t="s">
        <v>2121</v>
      </c>
      <c r="U815" s="347">
        <f ca="1">S815/Allocations!$O$77*MJ2mmBTU</f>
        <v>1.2633093558094499E-2</v>
      </c>
      <c r="V815" s="347">
        <v>13.328619262064917</v>
      </c>
      <c r="W815" s="347">
        <v>1.2633093558094499E-2</v>
      </c>
      <c r="X815" s="37" t="s">
        <v>51</v>
      </c>
      <c r="Y815" s="346" t="s">
        <v>416</v>
      </c>
      <c r="Z815" s="14" t="str">
        <f>IF(ISBLANK(LCI_Table[[#This Row],[Notes for user]])," ",LCI_Table[[#This Row],[Notes for user]])</f>
        <v xml:space="preserve"> </v>
      </c>
      <c r="AA815" s="14"/>
      <c r="AB815" s="14"/>
      <c r="AC815" s="346">
        <f ca="1">LCI_Table[[#This Row],[Default Calculated Value]]-LCI_Table[[#This Row],[Calculated Value]]</f>
        <v>0</v>
      </c>
    </row>
    <row r="816" spans="1:29" x14ac:dyDescent="0.3">
      <c r="A8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dash_MiscanthusBiological STJGREETGREET(blank)_Yield_Farming</v>
      </c>
      <c r="B816" s="48" t="s">
        <v>134</v>
      </c>
      <c r="C816" s="48" t="s">
        <v>139</v>
      </c>
      <c r="D816" s="48" t="s">
        <v>29</v>
      </c>
      <c r="E816" s="48" t="s">
        <v>29</v>
      </c>
      <c r="F816" s="48" t="s">
        <v>31</v>
      </c>
      <c r="G816" s="14" t="b">
        <f>OR(LCI_Table[[#This Row],[Feedstock]]="All",LCI_Table[[#This Row],[Feedstock]]=SelectedFeedstock)</f>
        <v>0</v>
      </c>
      <c r="H816" s="14" t="b">
        <f>OR(LCI_Table[[#This Row],[Conversion]]="All",LCI_Table[[#This Row],[Conversion]]=SelectedConversion)</f>
        <v>0</v>
      </c>
      <c r="I816" s="14" t="b">
        <f>OR(LCI_Table[[#This Row],[Data Set]]="all",LCI_Table[[#This Row],[Data Set]]=SelectedDataSet)</f>
        <v>1</v>
      </c>
      <c r="J816" s="14" t="b">
        <f>OR(LCI_Table[[#This Row],[Technology]]="All",LCI_Table[[#This Row],[Technology]]=SelectedTechnology)</f>
        <v>1</v>
      </c>
      <c r="K816" s="14" t="b">
        <f>OR(LCI_Table[[#This Row],[Data Source]]="All",LCI_Table[[#This Row],[Data Source]]=SelectedDataSource)</f>
        <v>1</v>
      </c>
      <c r="L816" s="14" t="b">
        <f>TRUE</f>
        <v>1</v>
      </c>
      <c r="M816" s="14" t="b">
        <f>(LCI_Table[[#This Row],[Dev Notes]]="Do not display")</f>
        <v>0</v>
      </c>
      <c r="N816" s="14" t="b">
        <f>AND(LCI_Table[[#This Row],[Show Feedstock]:[Conditional]],NOT(LCI_Table[[#This Row],[Hide Row]]))</f>
        <v>0</v>
      </c>
      <c r="O816" s="14" t="b">
        <f>LCI_Table[[#This Row],[GREET1 Name Range]]=""</f>
        <v>1</v>
      </c>
      <c r="P816" s="48" t="s">
        <v>14</v>
      </c>
      <c r="Q816" s="14" t="s">
        <v>361</v>
      </c>
      <c r="R816" s="48" t="s">
        <v>200</v>
      </c>
      <c r="S816" s="37" cm="1">
        <f t="array" aca="1" ref="S8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8.6139205449999992</v>
      </c>
      <c r="T816" s="346" t="s">
        <v>2116</v>
      </c>
      <c r="U816" s="344"/>
      <c r="V816" s="344">
        <v>8.6139205449999992</v>
      </c>
      <c r="W816" s="344"/>
      <c r="X816" s="48" t="s">
        <v>55</v>
      </c>
      <c r="Y816" s="346" t="s">
        <v>413</v>
      </c>
      <c r="Z816" s="14" t="str">
        <f>IF(ISBLANK(LCI_Table[[#This Row],[Notes for user]])," ",LCI_Table[[#This Row],[Notes for user]])</f>
        <v xml:space="preserve"> </v>
      </c>
      <c r="AA816" s="48"/>
      <c r="AB816" s="345"/>
      <c r="AC816" s="346">
        <f>LCI_Table[[#This Row],[Default Calculated Value]]-LCI_Table[[#This Row],[Calculated Value]]</f>
        <v>0</v>
      </c>
    </row>
    <row r="817" spans="1:29" x14ac:dyDescent="0.3">
      <c r="A8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STJGREETGREET(blank)_Miscanthus_Farming_Nitrogen_fertilizerNitrogen fertilizer</v>
      </c>
      <c r="B817" s="14" t="s">
        <v>134</v>
      </c>
      <c r="C817" s="14" t="s">
        <v>139</v>
      </c>
      <c r="D817" s="14" t="s">
        <v>29</v>
      </c>
      <c r="E817" s="48" t="s">
        <v>29</v>
      </c>
      <c r="F817" s="14" t="s">
        <v>31</v>
      </c>
      <c r="G817" s="14" t="b">
        <f>OR(LCI_Table[[#This Row],[Feedstock]]="All",LCI_Table[[#This Row],[Feedstock]]=SelectedFeedstock)</f>
        <v>0</v>
      </c>
      <c r="H817" s="14" t="b">
        <f>OR(LCI_Table[[#This Row],[Conversion]]="All",LCI_Table[[#This Row],[Conversion]]=SelectedConversion)</f>
        <v>0</v>
      </c>
      <c r="I817" s="14" t="b">
        <f>OR(LCI_Table[[#This Row],[Data Set]]="all",LCI_Table[[#This Row],[Data Set]]=SelectedDataSet)</f>
        <v>1</v>
      </c>
      <c r="J817" s="14" t="b">
        <f>OR(LCI_Table[[#This Row],[Technology]]="All",LCI_Table[[#This Row],[Technology]]=SelectedTechnology)</f>
        <v>1</v>
      </c>
      <c r="K817" s="14" t="b">
        <f>OR(LCI_Table[[#This Row],[Data Source]]="All",LCI_Table[[#This Row],[Data Source]]=SelectedDataSource)</f>
        <v>1</v>
      </c>
      <c r="L817" s="14" t="b">
        <f>TRUE</f>
        <v>1</v>
      </c>
      <c r="M817" s="14" t="b">
        <f>(LCI_Table[[#This Row],[Dev Notes]]="Do not display")</f>
        <v>0</v>
      </c>
      <c r="N817" s="14" t="b">
        <f>AND(LCI_Table[[#This Row],[Show Feedstock]:[Conditional]],NOT(LCI_Table[[#This Row],[Hide Row]]))</f>
        <v>0</v>
      </c>
      <c r="O817" s="14" t="b">
        <f>LCI_Table[[#This Row],[GREET1 Name Range]]=""</f>
        <v>0</v>
      </c>
      <c r="P817" s="14" t="s">
        <v>14</v>
      </c>
      <c r="Q817" s="14" t="s">
        <v>713</v>
      </c>
      <c r="R817" s="14" t="s">
        <v>111</v>
      </c>
      <c r="S817" s="37" cm="1">
        <f t="array" aca="1" ref="S8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88.124241430996591</v>
      </c>
      <c r="T817" s="346" t="s">
        <v>1485</v>
      </c>
      <c r="U817" s="347">
        <f ca="1">S817/S816*lb2g</f>
        <v>4640.4518495750699</v>
      </c>
      <c r="V817" s="347">
        <v>88.124241430996591</v>
      </c>
      <c r="W817" s="347">
        <v>4640.4518495750699</v>
      </c>
      <c r="X817" s="37" t="s">
        <v>12</v>
      </c>
      <c r="Y817" s="346" t="s">
        <v>413</v>
      </c>
      <c r="Z817" s="14" t="str">
        <f>IF(ISBLANK(LCI_Table[[#This Row],[Notes for user]])," ",LCI_Table[[#This Row],[Notes for user]])</f>
        <v xml:space="preserve"> </v>
      </c>
      <c r="AA817" s="14"/>
      <c r="AB817" s="14"/>
      <c r="AC817" s="346">
        <f ca="1">LCI_Table[[#This Row],[Default Calculated Value]]-LCI_Table[[#This Row],[Calculated Value]]</f>
        <v>0</v>
      </c>
    </row>
    <row r="818" spans="1:29" x14ac:dyDescent="0.3">
      <c r="A8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STJGREETGREET(blank)_Miscanthus_Farming_P2O5P2O5</v>
      </c>
      <c r="B818" s="14" t="s">
        <v>134</v>
      </c>
      <c r="C818" s="14" t="s">
        <v>139</v>
      </c>
      <c r="D818" s="14" t="s">
        <v>29</v>
      </c>
      <c r="E818" s="48" t="s">
        <v>29</v>
      </c>
      <c r="F818" s="14" t="s">
        <v>31</v>
      </c>
      <c r="G818" s="14" t="b">
        <f>OR(LCI_Table[[#This Row],[Feedstock]]="All",LCI_Table[[#This Row],[Feedstock]]=SelectedFeedstock)</f>
        <v>0</v>
      </c>
      <c r="H818" s="14" t="b">
        <f>OR(LCI_Table[[#This Row],[Conversion]]="All",LCI_Table[[#This Row],[Conversion]]=SelectedConversion)</f>
        <v>0</v>
      </c>
      <c r="I818" s="14" t="b">
        <f>OR(LCI_Table[[#This Row],[Data Set]]="all",LCI_Table[[#This Row],[Data Set]]=SelectedDataSet)</f>
        <v>1</v>
      </c>
      <c r="J818" s="14" t="b">
        <f>OR(LCI_Table[[#This Row],[Technology]]="All",LCI_Table[[#This Row],[Technology]]=SelectedTechnology)</f>
        <v>1</v>
      </c>
      <c r="K818" s="14" t="b">
        <f>OR(LCI_Table[[#This Row],[Data Source]]="All",LCI_Table[[#This Row],[Data Source]]=SelectedDataSource)</f>
        <v>1</v>
      </c>
      <c r="L818" s="14" t="b">
        <f>TRUE</f>
        <v>1</v>
      </c>
      <c r="M818" s="14" t="b">
        <f>(LCI_Table[[#This Row],[Dev Notes]]="Do not display")</f>
        <v>0</v>
      </c>
      <c r="N818" s="14" t="b">
        <f>AND(LCI_Table[[#This Row],[Show Feedstock]:[Conditional]],NOT(LCI_Table[[#This Row],[Hide Row]]))</f>
        <v>0</v>
      </c>
      <c r="O818" s="14" t="b">
        <f>LCI_Table[[#This Row],[GREET1 Name Range]]=""</f>
        <v>0</v>
      </c>
      <c r="P818" s="14" t="s">
        <v>14</v>
      </c>
      <c r="Q818" s="14" t="s">
        <v>714</v>
      </c>
      <c r="R818" s="14" t="s">
        <v>112</v>
      </c>
      <c r="S818" s="37" cm="1">
        <f t="array" aca="1" ref="S8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19.884729242998674</v>
      </c>
      <c r="T818" s="346" t="s">
        <v>1485</v>
      </c>
      <c r="U818" s="347">
        <f ca="1">S818/S816*lb2g</f>
        <v>1047.0913235176672</v>
      </c>
      <c r="V818" s="347">
        <v>19.884729242998674</v>
      </c>
      <c r="W818" s="347">
        <v>1047.0913235176672</v>
      </c>
      <c r="X818" s="37" t="s">
        <v>12</v>
      </c>
      <c r="Y818" s="346" t="s">
        <v>413</v>
      </c>
      <c r="Z818" s="14" t="str">
        <f>IF(ISBLANK(LCI_Table[[#This Row],[Notes for user]])," ",LCI_Table[[#This Row],[Notes for user]])</f>
        <v xml:space="preserve"> </v>
      </c>
      <c r="AA818" s="14"/>
      <c r="AB818" s="14"/>
      <c r="AC818" s="346">
        <f ca="1">LCI_Table[[#This Row],[Default Calculated Value]]-LCI_Table[[#This Row],[Calculated Value]]</f>
        <v>0</v>
      </c>
    </row>
    <row r="819" spans="1:29" x14ac:dyDescent="0.3">
      <c r="A8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STJGREETGREET(blank)_Miscanthus_Farming_K2OK2O</v>
      </c>
      <c r="B819" s="14" t="s">
        <v>134</v>
      </c>
      <c r="C819" s="14" t="s">
        <v>139</v>
      </c>
      <c r="D819" s="14" t="s">
        <v>29</v>
      </c>
      <c r="E819" s="48" t="s">
        <v>29</v>
      </c>
      <c r="F819" s="14" t="s">
        <v>31</v>
      </c>
      <c r="G819" s="14" t="b">
        <f>OR(LCI_Table[[#This Row],[Feedstock]]="All",LCI_Table[[#This Row],[Feedstock]]=SelectedFeedstock)</f>
        <v>0</v>
      </c>
      <c r="H819" s="14" t="b">
        <f>OR(LCI_Table[[#This Row],[Conversion]]="All",LCI_Table[[#This Row],[Conversion]]=SelectedConversion)</f>
        <v>0</v>
      </c>
      <c r="I819" s="14" t="b">
        <f>OR(LCI_Table[[#This Row],[Data Set]]="all",LCI_Table[[#This Row],[Data Set]]=SelectedDataSet)</f>
        <v>1</v>
      </c>
      <c r="J819" s="14" t="b">
        <f>OR(LCI_Table[[#This Row],[Technology]]="All",LCI_Table[[#This Row],[Technology]]=SelectedTechnology)</f>
        <v>1</v>
      </c>
      <c r="K819" s="14" t="b">
        <f>OR(LCI_Table[[#This Row],[Data Source]]="All",LCI_Table[[#This Row],[Data Source]]=SelectedDataSource)</f>
        <v>1</v>
      </c>
      <c r="L819" s="14" t="b">
        <f>TRUE</f>
        <v>1</v>
      </c>
      <c r="M819" s="14" t="b">
        <f>(LCI_Table[[#This Row],[Dev Notes]]="Do not display")</f>
        <v>0</v>
      </c>
      <c r="N819" s="14" t="b">
        <f>AND(LCI_Table[[#This Row],[Show Feedstock]:[Conditional]],NOT(LCI_Table[[#This Row],[Hide Row]]))</f>
        <v>0</v>
      </c>
      <c r="O819" s="14" t="b">
        <f>LCI_Table[[#This Row],[GREET1 Name Range]]=""</f>
        <v>0</v>
      </c>
      <c r="P819" s="14" t="s">
        <v>14</v>
      </c>
      <c r="Q819" s="14" t="s">
        <v>710</v>
      </c>
      <c r="R819" s="14" t="s">
        <v>113</v>
      </c>
      <c r="S819" s="37" cm="1">
        <f t="array" aca="1" ref="S8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54.462165800868</v>
      </c>
      <c r="T819" s="346" t="s">
        <v>1485</v>
      </c>
      <c r="U819" s="347">
        <f ca="1">S819/S816*lb2g</f>
        <v>2867.8721532076388</v>
      </c>
      <c r="V819" s="347">
        <v>54.462165800868</v>
      </c>
      <c r="W819" s="347">
        <v>2867.8721532076388</v>
      </c>
      <c r="X819" s="37" t="s">
        <v>12</v>
      </c>
      <c r="Y819" s="346" t="s">
        <v>413</v>
      </c>
      <c r="Z819" s="14" t="str">
        <f>IF(ISBLANK(LCI_Table[[#This Row],[Notes for user]])," ",LCI_Table[[#This Row],[Notes for user]])</f>
        <v xml:space="preserve"> </v>
      </c>
      <c r="AA819" s="14"/>
      <c r="AB819" s="14"/>
      <c r="AC819" s="346">
        <f ca="1">LCI_Table[[#This Row],[Default Calculated Value]]-LCI_Table[[#This Row],[Calculated Value]]</f>
        <v>0</v>
      </c>
    </row>
    <row r="820" spans="1:29" x14ac:dyDescent="0.3">
      <c r="A8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STJGREETGREET(blank)_Miscanthus_Farming_CaCO3CaCO3</v>
      </c>
      <c r="B820" s="14" t="s">
        <v>134</v>
      </c>
      <c r="C820" s="14" t="s">
        <v>139</v>
      </c>
      <c r="D820" s="14" t="s">
        <v>29</v>
      </c>
      <c r="E820" s="48" t="s">
        <v>29</v>
      </c>
      <c r="F820" s="14" t="s">
        <v>31</v>
      </c>
      <c r="G820" s="14" t="b">
        <f>OR(LCI_Table[[#This Row],[Feedstock]]="All",LCI_Table[[#This Row],[Feedstock]]=SelectedFeedstock)</f>
        <v>0</v>
      </c>
      <c r="H820" s="14" t="b">
        <f>OR(LCI_Table[[#This Row],[Conversion]]="All",LCI_Table[[#This Row],[Conversion]]=SelectedConversion)</f>
        <v>0</v>
      </c>
      <c r="I820" s="14" t="b">
        <f>OR(LCI_Table[[#This Row],[Data Set]]="all",LCI_Table[[#This Row],[Data Set]]=SelectedDataSet)</f>
        <v>1</v>
      </c>
      <c r="J820" s="14" t="b">
        <f>OR(LCI_Table[[#This Row],[Technology]]="All",LCI_Table[[#This Row],[Technology]]=SelectedTechnology)</f>
        <v>1</v>
      </c>
      <c r="K820" s="14" t="b">
        <f>OR(LCI_Table[[#This Row],[Data Source]]="All",LCI_Table[[#This Row],[Data Source]]=SelectedDataSource)</f>
        <v>1</v>
      </c>
      <c r="L820" s="14" t="b">
        <f>TRUE</f>
        <v>1</v>
      </c>
      <c r="M820" s="14" t="b">
        <f>(LCI_Table[[#This Row],[Dev Notes]]="Do not display")</f>
        <v>0</v>
      </c>
      <c r="N820" s="14" t="b">
        <f>AND(LCI_Table[[#This Row],[Show Feedstock]:[Conditional]],NOT(LCI_Table[[#This Row],[Hide Row]]))</f>
        <v>0</v>
      </c>
      <c r="O820" s="14" t="b">
        <f>LCI_Table[[#This Row],[GREET1 Name Range]]=""</f>
        <v>0</v>
      </c>
      <c r="P820" s="14" t="s">
        <v>14</v>
      </c>
      <c r="Q820" s="14" t="s">
        <v>702</v>
      </c>
      <c r="R820" s="14" t="s">
        <v>141</v>
      </c>
      <c r="S820" s="37" cm="1">
        <f t="array" aca="1" ref="S8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98.419350248104237</v>
      </c>
      <c r="T820" s="346" t="s">
        <v>1485</v>
      </c>
      <c r="U820" s="347">
        <f ca="1">S820/S816*lb2g</f>
        <v>5182.572337379007</v>
      </c>
      <c r="V820" s="347">
        <v>98.419350248104237</v>
      </c>
      <c r="W820" s="347">
        <v>5182.572337379007</v>
      </c>
      <c r="X820" s="37" t="s">
        <v>12</v>
      </c>
      <c r="Y820" s="346" t="s">
        <v>413</v>
      </c>
      <c r="Z820" s="14" t="str">
        <f>IF(ISBLANK(LCI_Table[[#This Row],[Notes for user]])," ",LCI_Table[[#This Row],[Notes for user]])</f>
        <v xml:space="preserve"> </v>
      </c>
      <c r="AA820" s="14"/>
      <c r="AB820" s="14"/>
      <c r="AC820" s="346">
        <f ca="1">LCI_Table[[#This Row],[Default Calculated Value]]-LCI_Table[[#This Row],[Calculated Value]]</f>
        <v>0</v>
      </c>
    </row>
    <row r="821" spans="1:29" x14ac:dyDescent="0.3">
      <c r="A8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STJGREETGREET(blank)_Miscanthus_Farming_HerbicidesHerbicides</v>
      </c>
      <c r="B821" s="14" t="s">
        <v>134</v>
      </c>
      <c r="C821" s="14" t="s">
        <v>139</v>
      </c>
      <c r="D821" s="14" t="s">
        <v>29</v>
      </c>
      <c r="E821" s="48" t="s">
        <v>29</v>
      </c>
      <c r="F821" s="14" t="s">
        <v>31</v>
      </c>
      <c r="G821" s="14" t="b">
        <f>OR(LCI_Table[[#This Row],[Feedstock]]="All",LCI_Table[[#This Row],[Feedstock]]=SelectedFeedstock)</f>
        <v>0</v>
      </c>
      <c r="H821" s="14" t="b">
        <f>OR(LCI_Table[[#This Row],[Conversion]]="All",LCI_Table[[#This Row],[Conversion]]=SelectedConversion)</f>
        <v>0</v>
      </c>
      <c r="I821" s="14" t="b">
        <f>OR(LCI_Table[[#This Row],[Data Set]]="all",LCI_Table[[#This Row],[Data Set]]=SelectedDataSet)</f>
        <v>1</v>
      </c>
      <c r="J821" s="14" t="b">
        <f>OR(LCI_Table[[#This Row],[Technology]]="All",LCI_Table[[#This Row],[Technology]]=SelectedTechnology)</f>
        <v>1</v>
      </c>
      <c r="K821" s="14" t="b">
        <f>OR(LCI_Table[[#This Row],[Data Source]]="All",LCI_Table[[#This Row],[Data Source]]=SelectedDataSource)</f>
        <v>1</v>
      </c>
      <c r="L821" s="14" t="b">
        <f>TRUE</f>
        <v>1</v>
      </c>
      <c r="M821" s="14" t="b">
        <f>(LCI_Table[[#This Row],[Dev Notes]]="Do not display")</f>
        <v>0</v>
      </c>
      <c r="N821" s="14" t="b">
        <f>AND(LCI_Table[[#This Row],[Show Feedstock]:[Conditional]],NOT(LCI_Table[[#This Row],[Hide Row]]))</f>
        <v>0</v>
      </c>
      <c r="O821" s="14" t="b">
        <f>LCI_Table[[#This Row],[GREET1 Name Range]]=""</f>
        <v>0</v>
      </c>
      <c r="P821" s="14" t="s">
        <v>14</v>
      </c>
      <c r="Q821" s="14" t="s">
        <v>708</v>
      </c>
      <c r="R821" s="14" t="s">
        <v>356</v>
      </c>
      <c r="S821" s="37" cm="1">
        <f t="array" aca="1" ref="S8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0.54538703220331441</v>
      </c>
      <c r="T821" s="346" t="s">
        <v>1485</v>
      </c>
      <c r="U821" s="347">
        <f ca="1">S821/S816*lb2g</f>
        <v>28.71902465457066</v>
      </c>
      <c r="V821" s="347">
        <v>0.54538703220331441</v>
      </c>
      <c r="W821" s="347">
        <v>28.71902465457066</v>
      </c>
      <c r="X821" s="37" t="s">
        <v>12</v>
      </c>
      <c r="Y821" s="346" t="s">
        <v>413</v>
      </c>
      <c r="Z821" s="14" t="str">
        <f>IF(ISBLANK(LCI_Table[[#This Row],[Notes for user]])," ",LCI_Table[[#This Row],[Notes for user]])</f>
        <v xml:space="preserve"> </v>
      </c>
      <c r="AA821" s="14"/>
      <c r="AB821" s="14"/>
      <c r="AC821" s="346">
        <f ca="1">LCI_Table[[#This Row],[Default Calculated Value]]-LCI_Table[[#This Row],[Calculated Value]]</f>
        <v>0</v>
      </c>
    </row>
    <row r="822" spans="1:29" x14ac:dyDescent="0.3">
      <c r="A8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STJGREETGREET(blank)_Miscanthus_Farming_InsecticideInsecticide</v>
      </c>
      <c r="B822" s="14" t="s">
        <v>134</v>
      </c>
      <c r="C822" s="14" t="s">
        <v>139</v>
      </c>
      <c r="D822" s="14" t="s">
        <v>29</v>
      </c>
      <c r="E822" s="48" t="s">
        <v>29</v>
      </c>
      <c r="F822" s="14" t="s">
        <v>31</v>
      </c>
      <c r="G822" s="14" t="b">
        <f>OR(LCI_Table[[#This Row],[Feedstock]]="All",LCI_Table[[#This Row],[Feedstock]]=SelectedFeedstock)</f>
        <v>0</v>
      </c>
      <c r="H822" s="14" t="b">
        <f>OR(LCI_Table[[#This Row],[Conversion]]="All",LCI_Table[[#This Row],[Conversion]]=SelectedConversion)</f>
        <v>0</v>
      </c>
      <c r="I822" s="14" t="b">
        <f>OR(LCI_Table[[#This Row],[Data Set]]="all",LCI_Table[[#This Row],[Data Set]]=SelectedDataSet)</f>
        <v>1</v>
      </c>
      <c r="J822" s="14" t="b">
        <f>OR(LCI_Table[[#This Row],[Technology]]="All",LCI_Table[[#This Row],[Technology]]=SelectedTechnology)</f>
        <v>1</v>
      </c>
      <c r="K822" s="14" t="b">
        <f>OR(LCI_Table[[#This Row],[Data Source]]="All",LCI_Table[[#This Row],[Data Source]]=SelectedDataSource)</f>
        <v>1</v>
      </c>
      <c r="L822" s="14" t="b">
        <f>TRUE</f>
        <v>1</v>
      </c>
      <c r="M822" s="14" t="b">
        <f>(LCI_Table[[#This Row],[Dev Notes]]="Do not display")</f>
        <v>0</v>
      </c>
      <c r="N822" s="14" t="b">
        <f>AND(LCI_Table[[#This Row],[Show Feedstock]:[Conditional]],NOT(LCI_Table[[#This Row],[Hide Row]]))</f>
        <v>0</v>
      </c>
      <c r="O822" s="14" t="b">
        <f>LCI_Table[[#This Row],[GREET1 Name Range]]=""</f>
        <v>0</v>
      </c>
      <c r="P822" s="14" t="s">
        <v>14</v>
      </c>
      <c r="Q822" s="14" t="s">
        <v>709</v>
      </c>
      <c r="R822" s="14" t="s">
        <v>114</v>
      </c>
      <c r="S822" s="37" cm="1">
        <f t="array" aca="1" ref="S8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22" s="346" t="s">
        <v>1485</v>
      </c>
      <c r="U822" s="347">
        <f ca="1">S822/S816*lb2g</f>
        <v>0</v>
      </c>
      <c r="V822" s="347">
        <v>0</v>
      </c>
      <c r="W822" s="347">
        <v>0</v>
      </c>
      <c r="X822" s="37" t="s">
        <v>12</v>
      </c>
      <c r="Y822" s="346" t="s">
        <v>413</v>
      </c>
      <c r="Z822" s="14" t="str">
        <f>IF(ISBLANK(LCI_Table[[#This Row],[Notes for user]])," ",LCI_Table[[#This Row],[Notes for user]])</f>
        <v xml:space="preserve"> </v>
      </c>
      <c r="AA822" s="14"/>
      <c r="AB822" s="14"/>
      <c r="AC822" s="346">
        <f ca="1">LCI_Table[[#This Row],[Default Calculated Value]]-LCI_Table[[#This Row],[Calculated Value]]</f>
        <v>0</v>
      </c>
    </row>
    <row r="823" spans="1:29" x14ac:dyDescent="0.3">
      <c r="A8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STJGREETGREET(blank)_Miscanthus_Farming_HDPEHDPE</v>
      </c>
      <c r="B823" s="14" t="s">
        <v>134</v>
      </c>
      <c r="C823" s="14" t="s">
        <v>139</v>
      </c>
      <c r="D823" s="14" t="s">
        <v>29</v>
      </c>
      <c r="E823" s="48" t="s">
        <v>29</v>
      </c>
      <c r="F823" s="14" t="s">
        <v>31</v>
      </c>
      <c r="G823" s="14" t="b">
        <f>OR(LCI_Table[[#This Row],[Feedstock]]="All",LCI_Table[[#This Row],[Feedstock]]=SelectedFeedstock)</f>
        <v>0</v>
      </c>
      <c r="H823" s="14" t="b">
        <f>OR(LCI_Table[[#This Row],[Conversion]]="All",LCI_Table[[#This Row],[Conversion]]=SelectedConversion)</f>
        <v>0</v>
      </c>
      <c r="I823" s="14" t="b">
        <f>OR(LCI_Table[[#This Row],[Data Set]]="all",LCI_Table[[#This Row],[Data Set]]=SelectedDataSet)</f>
        <v>1</v>
      </c>
      <c r="J823" s="14" t="b">
        <f>OR(LCI_Table[[#This Row],[Technology]]="All",LCI_Table[[#This Row],[Technology]]=SelectedTechnology)</f>
        <v>1</v>
      </c>
      <c r="K823" s="14" t="b">
        <f>OR(LCI_Table[[#This Row],[Data Source]]="All",LCI_Table[[#This Row],[Data Source]]=SelectedDataSource)</f>
        <v>1</v>
      </c>
      <c r="L823" s="14" t="b">
        <f>TRUE</f>
        <v>1</v>
      </c>
      <c r="M823" s="14" t="b">
        <f>(LCI_Table[[#This Row],[Dev Notes]]="Do not display")</f>
        <v>0</v>
      </c>
      <c r="N823" s="14" t="b">
        <f>AND(LCI_Table[[#This Row],[Show Feedstock]:[Conditional]],NOT(LCI_Table[[#This Row],[Hide Row]]))</f>
        <v>0</v>
      </c>
      <c r="O823" s="14" t="b">
        <f>LCI_Table[[#This Row],[GREET1 Name Range]]=""</f>
        <v>0</v>
      </c>
      <c r="P823" s="14" t="s">
        <v>14</v>
      </c>
      <c r="Q823" s="14" t="s">
        <v>707</v>
      </c>
      <c r="R823" s="14" t="s">
        <v>357</v>
      </c>
      <c r="S823" s="37" cm="1">
        <f t="array" aca="1" ref="S8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1.4128890407658339E-2</v>
      </c>
      <c r="T823" s="346" t="s">
        <v>1485</v>
      </c>
      <c r="U823" s="347">
        <f ca="1">S823/S816*lb2g</f>
        <v>0.74400000000000155</v>
      </c>
      <c r="V823" s="347">
        <v>1.4128890407658339E-2</v>
      </c>
      <c r="W823" s="347">
        <v>0.74400000000000155</v>
      </c>
      <c r="X823" s="37" t="s">
        <v>12</v>
      </c>
      <c r="Y823" s="346" t="s">
        <v>413</v>
      </c>
      <c r="Z823" s="14" t="str">
        <f>IF(ISBLANK(LCI_Table[[#This Row],[Notes for user]])," ",LCI_Table[[#This Row],[Notes for user]])</f>
        <v xml:space="preserve"> </v>
      </c>
      <c r="AA823" s="14"/>
      <c r="AB823" s="14"/>
      <c r="AC823" s="346">
        <f ca="1">LCI_Table[[#This Row],[Default Calculated Value]]-LCI_Table[[#This Row],[Calculated Value]]</f>
        <v>0</v>
      </c>
    </row>
    <row r="824" spans="1:29" x14ac:dyDescent="0.3">
      <c r="A8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STJGREETGREET(blank)_Miscanthus_Farming_Residual_oilResidual oil</v>
      </c>
      <c r="B824" s="14" t="s">
        <v>134</v>
      </c>
      <c r="C824" s="14" t="s">
        <v>139</v>
      </c>
      <c r="D824" s="14" t="s">
        <v>29</v>
      </c>
      <c r="E824" s="48" t="s">
        <v>29</v>
      </c>
      <c r="F824" s="14" t="s">
        <v>31</v>
      </c>
      <c r="G824" s="14" t="b">
        <f>OR(LCI_Table[[#This Row],[Feedstock]]="All",LCI_Table[[#This Row],[Feedstock]]=SelectedFeedstock)</f>
        <v>0</v>
      </c>
      <c r="H824" s="14" t="b">
        <f>OR(LCI_Table[[#This Row],[Conversion]]="All",LCI_Table[[#This Row],[Conversion]]=SelectedConversion)</f>
        <v>0</v>
      </c>
      <c r="I824" s="14" t="b">
        <f>OR(LCI_Table[[#This Row],[Data Set]]="all",LCI_Table[[#This Row],[Data Set]]=SelectedDataSet)</f>
        <v>1</v>
      </c>
      <c r="J824" s="14" t="b">
        <f>OR(LCI_Table[[#This Row],[Technology]]="All",LCI_Table[[#This Row],[Technology]]=SelectedTechnology)</f>
        <v>1</v>
      </c>
      <c r="K824" s="14" t="b">
        <f>OR(LCI_Table[[#This Row],[Data Source]]="All",LCI_Table[[#This Row],[Data Source]]=SelectedDataSource)</f>
        <v>1</v>
      </c>
      <c r="L824" s="14" t="b">
        <f>TRUE</f>
        <v>1</v>
      </c>
      <c r="M824" s="14" t="b">
        <f>(LCI_Table[[#This Row],[Dev Notes]]="Do not display")</f>
        <v>0</v>
      </c>
      <c r="N824" s="14" t="b">
        <f>AND(LCI_Table[[#This Row],[Show Feedstock]:[Conditional]],NOT(LCI_Table[[#This Row],[Hide Row]]))</f>
        <v>0</v>
      </c>
      <c r="O824" s="14" t="b">
        <f>LCI_Table[[#This Row],[GREET1 Name Range]]=""</f>
        <v>0</v>
      </c>
      <c r="P824" s="14" t="s">
        <v>14</v>
      </c>
      <c r="Q824" s="14" t="s">
        <v>715</v>
      </c>
      <c r="R824" s="14" t="s">
        <v>115</v>
      </c>
      <c r="S824" s="37" cm="1">
        <f t="array" aca="1" ref="S8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24" s="346" t="s">
        <v>1484</v>
      </c>
      <c r="U824" s="347">
        <f ca="1">S824*Fuel_Specs!$B$28/S816</f>
        <v>0</v>
      </c>
      <c r="V824" s="347">
        <v>0</v>
      </c>
      <c r="W824" s="347">
        <v>0</v>
      </c>
      <c r="X824" s="37" t="s">
        <v>5</v>
      </c>
      <c r="Y824" s="346" t="s">
        <v>413</v>
      </c>
      <c r="Z824" s="14" t="str">
        <f>IF(ISBLANK(LCI_Table[[#This Row],[Notes for user]])," ",LCI_Table[[#This Row],[Notes for user]])</f>
        <v xml:space="preserve"> </v>
      </c>
      <c r="AA824" s="14"/>
      <c r="AB824" s="14"/>
      <c r="AC824" s="346">
        <f ca="1">LCI_Table[[#This Row],[Default Calculated Value]]-LCI_Table[[#This Row],[Calculated Value]]</f>
        <v>0</v>
      </c>
    </row>
    <row r="825" spans="1:29" x14ac:dyDescent="0.3">
      <c r="A8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STJGREETGREET(blank)_Miscanthus_Farming_DieselDiesel</v>
      </c>
      <c r="B825" s="14" t="s">
        <v>134</v>
      </c>
      <c r="C825" s="14" t="s">
        <v>139</v>
      </c>
      <c r="D825" s="14" t="s">
        <v>29</v>
      </c>
      <c r="E825" s="48" t="s">
        <v>29</v>
      </c>
      <c r="F825" s="14" t="s">
        <v>31</v>
      </c>
      <c r="G825" s="14" t="b">
        <f>OR(LCI_Table[[#This Row],[Feedstock]]="All",LCI_Table[[#This Row],[Feedstock]]=SelectedFeedstock)</f>
        <v>0</v>
      </c>
      <c r="H825" s="14" t="b">
        <f>OR(LCI_Table[[#This Row],[Conversion]]="All",LCI_Table[[#This Row],[Conversion]]=SelectedConversion)</f>
        <v>0</v>
      </c>
      <c r="I825" s="14" t="b">
        <f>OR(LCI_Table[[#This Row],[Data Set]]="all",LCI_Table[[#This Row],[Data Set]]=SelectedDataSet)</f>
        <v>1</v>
      </c>
      <c r="J825" s="14" t="b">
        <f>OR(LCI_Table[[#This Row],[Technology]]="All",LCI_Table[[#This Row],[Technology]]=SelectedTechnology)</f>
        <v>1</v>
      </c>
      <c r="K825" s="14" t="b">
        <f>OR(LCI_Table[[#This Row],[Data Source]]="All",LCI_Table[[#This Row],[Data Source]]=SelectedDataSource)</f>
        <v>1</v>
      </c>
      <c r="L825" s="14" t="b">
        <f>TRUE</f>
        <v>1</v>
      </c>
      <c r="M825" s="14" t="b">
        <f>(LCI_Table[[#This Row],[Dev Notes]]="Do not display")</f>
        <v>0</v>
      </c>
      <c r="N825" s="14" t="b">
        <f>AND(LCI_Table[[#This Row],[Show Feedstock]:[Conditional]],NOT(LCI_Table[[#This Row],[Hide Row]]))</f>
        <v>0</v>
      </c>
      <c r="O825" s="14" t="b">
        <f>LCI_Table[[#This Row],[GREET1 Name Range]]=""</f>
        <v>0</v>
      </c>
      <c r="P825" s="14" t="s">
        <v>14</v>
      </c>
      <c r="Q825" s="14" t="s">
        <v>704</v>
      </c>
      <c r="R825" s="14" t="s">
        <v>106</v>
      </c>
      <c r="S825" s="37" cm="1">
        <f t="array" aca="1" ref="S8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3.2139324221297554</v>
      </c>
      <c r="T825" s="346" t="s">
        <v>1484</v>
      </c>
      <c r="U825" s="347">
        <f ca="1">S825*Fuel_Specs!$B$19/S816</f>
        <v>47925.868072024008</v>
      </c>
      <c r="V825" s="347">
        <v>3.2139324221297554</v>
      </c>
      <c r="W825" s="347">
        <v>47925.868072024008</v>
      </c>
      <c r="X825" s="37" t="s">
        <v>5</v>
      </c>
      <c r="Y825" s="346" t="s">
        <v>413</v>
      </c>
      <c r="Z825" s="14" t="str">
        <f>IF(ISBLANK(LCI_Table[[#This Row],[Notes for user]])," ",LCI_Table[[#This Row],[Notes for user]])</f>
        <v xml:space="preserve"> </v>
      </c>
      <c r="AA825" s="14"/>
      <c r="AB825" s="14"/>
      <c r="AC825" s="346">
        <f ca="1">LCI_Table[[#This Row],[Default Calculated Value]]-LCI_Table[[#This Row],[Calculated Value]]</f>
        <v>0</v>
      </c>
    </row>
    <row r="826" spans="1:29" x14ac:dyDescent="0.3">
      <c r="A8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STJGREETGREET(blank)_Miscanthus_Farming_GasolineGasoline</v>
      </c>
      <c r="B826" s="14" t="s">
        <v>134</v>
      </c>
      <c r="C826" s="14" t="s">
        <v>139</v>
      </c>
      <c r="D826" s="14" t="s">
        <v>29</v>
      </c>
      <c r="E826" s="48" t="s">
        <v>29</v>
      </c>
      <c r="F826" s="14" t="s">
        <v>31</v>
      </c>
      <c r="G826" s="14" t="b">
        <f>OR(LCI_Table[[#This Row],[Feedstock]]="All",LCI_Table[[#This Row],[Feedstock]]=SelectedFeedstock)</f>
        <v>0</v>
      </c>
      <c r="H826" s="14" t="b">
        <f>OR(LCI_Table[[#This Row],[Conversion]]="All",LCI_Table[[#This Row],[Conversion]]=SelectedConversion)</f>
        <v>0</v>
      </c>
      <c r="I826" s="14" t="b">
        <f>OR(LCI_Table[[#This Row],[Data Set]]="all",LCI_Table[[#This Row],[Data Set]]=SelectedDataSet)</f>
        <v>1</v>
      </c>
      <c r="J826" s="14" t="b">
        <f>OR(LCI_Table[[#This Row],[Technology]]="All",LCI_Table[[#This Row],[Technology]]=SelectedTechnology)</f>
        <v>1</v>
      </c>
      <c r="K826" s="14" t="b">
        <f>OR(LCI_Table[[#This Row],[Data Source]]="All",LCI_Table[[#This Row],[Data Source]]=SelectedDataSource)</f>
        <v>1</v>
      </c>
      <c r="L826" s="14" t="b">
        <f>TRUE</f>
        <v>1</v>
      </c>
      <c r="M826" s="14" t="b">
        <f>(LCI_Table[[#This Row],[Dev Notes]]="Do not display")</f>
        <v>0</v>
      </c>
      <c r="N826" s="14" t="b">
        <f>AND(LCI_Table[[#This Row],[Show Feedstock]:[Conditional]],NOT(LCI_Table[[#This Row],[Hide Row]]))</f>
        <v>0</v>
      </c>
      <c r="O826" s="14" t="b">
        <f>LCI_Table[[#This Row],[GREET1 Name Range]]=""</f>
        <v>0</v>
      </c>
      <c r="P826" s="14" t="s">
        <v>14</v>
      </c>
      <c r="Q826" s="14" t="s">
        <v>706</v>
      </c>
      <c r="R826" s="14" t="s">
        <v>107</v>
      </c>
      <c r="S826" s="37" cm="1">
        <f t="array" aca="1" ref="S8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26" s="346" t="s">
        <v>1484</v>
      </c>
      <c r="U826" s="347">
        <f ca="1">S826*Fuel_Specs!$B$15/S816</f>
        <v>0</v>
      </c>
      <c r="V826" s="347">
        <v>0</v>
      </c>
      <c r="W826" s="347">
        <v>0</v>
      </c>
      <c r="X826" s="37" t="s">
        <v>5</v>
      </c>
      <c r="Y826" s="346" t="s">
        <v>413</v>
      </c>
      <c r="Z826" s="14" t="str">
        <f>IF(ISBLANK(LCI_Table[[#This Row],[Notes for user]])," ",LCI_Table[[#This Row],[Notes for user]])</f>
        <v xml:space="preserve"> </v>
      </c>
      <c r="AA826" s="14"/>
      <c r="AB826" s="14"/>
      <c r="AC826" s="346">
        <f ca="1">LCI_Table[[#This Row],[Default Calculated Value]]-LCI_Table[[#This Row],[Calculated Value]]</f>
        <v>0</v>
      </c>
    </row>
    <row r="827" spans="1:29" x14ac:dyDescent="0.3">
      <c r="A8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STJGREETGREET(blank)_Miscanthus_Farming_Natural_gasNatural gas</v>
      </c>
      <c r="B827" s="14" t="s">
        <v>134</v>
      </c>
      <c r="C827" s="14" t="s">
        <v>139</v>
      </c>
      <c r="D827" s="14" t="s">
        <v>29</v>
      </c>
      <c r="E827" s="48" t="s">
        <v>29</v>
      </c>
      <c r="F827" s="14" t="s">
        <v>31</v>
      </c>
      <c r="G827" s="14" t="b">
        <f>OR(LCI_Table[[#This Row],[Feedstock]]="All",LCI_Table[[#This Row],[Feedstock]]=SelectedFeedstock)</f>
        <v>0</v>
      </c>
      <c r="H827" s="14" t="b">
        <f>OR(LCI_Table[[#This Row],[Conversion]]="All",LCI_Table[[#This Row],[Conversion]]=SelectedConversion)</f>
        <v>0</v>
      </c>
      <c r="I827" s="14" t="b">
        <f>OR(LCI_Table[[#This Row],[Data Set]]="all",LCI_Table[[#This Row],[Data Set]]=SelectedDataSet)</f>
        <v>1</v>
      </c>
      <c r="J827" s="14" t="b">
        <f>OR(LCI_Table[[#This Row],[Technology]]="All",LCI_Table[[#This Row],[Technology]]=SelectedTechnology)</f>
        <v>1</v>
      </c>
      <c r="K827" s="14" t="b">
        <f>OR(LCI_Table[[#This Row],[Data Source]]="All",LCI_Table[[#This Row],[Data Source]]=SelectedDataSource)</f>
        <v>1</v>
      </c>
      <c r="L827" s="14" t="b">
        <f>TRUE</f>
        <v>1</v>
      </c>
      <c r="M827" s="14" t="b">
        <f>(LCI_Table[[#This Row],[Dev Notes]]="Do not display")</f>
        <v>0</v>
      </c>
      <c r="N827" s="14" t="b">
        <f>AND(LCI_Table[[#This Row],[Show Feedstock]:[Conditional]],NOT(LCI_Table[[#This Row],[Hide Row]]))</f>
        <v>0</v>
      </c>
      <c r="O827" s="14" t="b">
        <f>LCI_Table[[#This Row],[GREET1 Name Range]]=""</f>
        <v>0</v>
      </c>
      <c r="P827" s="14" t="s">
        <v>14</v>
      </c>
      <c r="Q827" s="14" t="s">
        <v>712</v>
      </c>
      <c r="R827" s="14" t="s">
        <v>108</v>
      </c>
      <c r="S827" s="37" cm="1">
        <f t="array" aca="1" ref="S8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27" s="346" t="s">
        <v>2109</v>
      </c>
      <c r="U827" s="347">
        <f ca="1">S827*Fuel_Specs!$B$79/S816</f>
        <v>0</v>
      </c>
      <c r="V827" s="347">
        <v>0</v>
      </c>
      <c r="W827" s="347">
        <v>0</v>
      </c>
      <c r="X827" s="37" t="s">
        <v>351</v>
      </c>
      <c r="Y827" s="346" t="s">
        <v>413</v>
      </c>
      <c r="Z827" s="14" t="str">
        <f>IF(ISBLANK(LCI_Table[[#This Row],[Notes for user]])," ",LCI_Table[[#This Row],[Notes for user]])</f>
        <v xml:space="preserve"> </v>
      </c>
      <c r="AA827" s="14"/>
      <c r="AB827" s="14"/>
      <c r="AC827" s="346">
        <f ca="1">LCI_Table[[#This Row],[Default Calculated Value]]-LCI_Table[[#This Row],[Calculated Value]]</f>
        <v>0</v>
      </c>
    </row>
    <row r="828" spans="1:29" x14ac:dyDescent="0.3">
      <c r="A8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STJGREETGREET(blank)_Miscanthus_Farming_CoalCoal</v>
      </c>
      <c r="B828" s="14" t="s">
        <v>134</v>
      </c>
      <c r="C828" s="14" t="s">
        <v>139</v>
      </c>
      <c r="D828" s="14" t="s">
        <v>29</v>
      </c>
      <c r="E828" s="48" t="s">
        <v>29</v>
      </c>
      <c r="F828" s="14" t="s">
        <v>31</v>
      </c>
      <c r="G828" s="14" t="b">
        <f>OR(LCI_Table[[#This Row],[Feedstock]]="All",LCI_Table[[#This Row],[Feedstock]]=SelectedFeedstock)</f>
        <v>0</v>
      </c>
      <c r="H828" s="14" t="b">
        <f>OR(LCI_Table[[#This Row],[Conversion]]="All",LCI_Table[[#This Row],[Conversion]]=SelectedConversion)</f>
        <v>0</v>
      </c>
      <c r="I828" s="14" t="b">
        <f>OR(LCI_Table[[#This Row],[Data Set]]="all",LCI_Table[[#This Row],[Data Set]]=SelectedDataSet)</f>
        <v>1</v>
      </c>
      <c r="J828" s="14" t="b">
        <f>OR(LCI_Table[[#This Row],[Technology]]="All",LCI_Table[[#This Row],[Technology]]=SelectedTechnology)</f>
        <v>1</v>
      </c>
      <c r="K828" s="14" t="b">
        <f>OR(LCI_Table[[#This Row],[Data Source]]="All",LCI_Table[[#This Row],[Data Source]]=SelectedDataSource)</f>
        <v>1</v>
      </c>
      <c r="L828" s="14" t="b">
        <f>TRUE</f>
        <v>1</v>
      </c>
      <c r="M828" s="14" t="b">
        <f>(LCI_Table[[#This Row],[Dev Notes]]="Do not display")</f>
        <v>0</v>
      </c>
      <c r="N828" s="14" t="b">
        <f>AND(LCI_Table[[#This Row],[Show Feedstock]:[Conditional]],NOT(LCI_Table[[#This Row],[Hide Row]]))</f>
        <v>0</v>
      </c>
      <c r="O828" s="14" t="b">
        <f>LCI_Table[[#This Row],[GREET1 Name Range]]=""</f>
        <v>0</v>
      </c>
      <c r="P828" s="14" t="s">
        <v>14</v>
      </c>
      <c r="Q828" s="14" t="s">
        <v>703</v>
      </c>
      <c r="R828" s="14" t="s">
        <v>9</v>
      </c>
      <c r="S828" s="37" cm="1">
        <f t="array" aca="1" ref="S8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28" s="346" t="s">
        <v>2110</v>
      </c>
      <c r="U828" s="347">
        <f ca="1">S828/S816</f>
        <v>0</v>
      </c>
      <c r="V828" s="347">
        <v>0</v>
      </c>
      <c r="W828" s="347">
        <v>0</v>
      </c>
      <c r="X828" s="37" t="s">
        <v>117</v>
      </c>
      <c r="Y828" s="346" t="s">
        <v>413</v>
      </c>
      <c r="Z828" s="14" t="str">
        <f>IF(ISBLANK(LCI_Table[[#This Row],[Notes for user]])," ",LCI_Table[[#This Row],[Notes for user]])</f>
        <v xml:space="preserve"> </v>
      </c>
      <c r="AA828" s="14"/>
      <c r="AB828" s="14"/>
      <c r="AC828" s="346">
        <f ca="1">LCI_Table[[#This Row],[Default Calculated Value]]-LCI_Table[[#This Row],[Calculated Value]]</f>
        <v>0</v>
      </c>
    </row>
    <row r="829" spans="1:29" x14ac:dyDescent="0.3">
      <c r="A8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STJGREETGREET(blank)_Miscanthus_Farming_LPGLPG</v>
      </c>
      <c r="B829" s="14" t="s">
        <v>134</v>
      </c>
      <c r="C829" s="14" t="s">
        <v>139</v>
      </c>
      <c r="D829" s="14" t="s">
        <v>29</v>
      </c>
      <c r="E829" s="48" t="s">
        <v>29</v>
      </c>
      <c r="F829" s="14" t="s">
        <v>31</v>
      </c>
      <c r="G829" s="14" t="b">
        <f>OR(LCI_Table[[#This Row],[Feedstock]]="All",LCI_Table[[#This Row],[Feedstock]]=SelectedFeedstock)</f>
        <v>0</v>
      </c>
      <c r="H829" s="14" t="b">
        <f>OR(LCI_Table[[#This Row],[Conversion]]="All",LCI_Table[[#This Row],[Conversion]]=SelectedConversion)</f>
        <v>0</v>
      </c>
      <c r="I829" s="14" t="b">
        <f>OR(LCI_Table[[#This Row],[Data Set]]="all",LCI_Table[[#This Row],[Data Set]]=SelectedDataSet)</f>
        <v>1</v>
      </c>
      <c r="J829" s="14" t="b">
        <f>OR(LCI_Table[[#This Row],[Technology]]="All",LCI_Table[[#This Row],[Technology]]=SelectedTechnology)</f>
        <v>1</v>
      </c>
      <c r="K829" s="14" t="b">
        <f>OR(LCI_Table[[#This Row],[Data Source]]="All",LCI_Table[[#This Row],[Data Source]]=SelectedDataSource)</f>
        <v>1</v>
      </c>
      <c r="L829" s="14" t="b">
        <f>TRUE</f>
        <v>1</v>
      </c>
      <c r="M829" s="14" t="b">
        <f>(LCI_Table[[#This Row],[Dev Notes]]="Do not display")</f>
        <v>0</v>
      </c>
      <c r="N829" s="14" t="b">
        <f>AND(LCI_Table[[#This Row],[Show Feedstock]:[Conditional]],NOT(LCI_Table[[#This Row],[Hide Row]]))</f>
        <v>0</v>
      </c>
      <c r="O829" s="14" t="b">
        <f>LCI_Table[[#This Row],[GREET1 Name Range]]=""</f>
        <v>0</v>
      </c>
      <c r="P829" s="14" t="s">
        <v>14</v>
      </c>
      <c r="Q829" s="14" t="s">
        <v>711</v>
      </c>
      <c r="R829" s="14" t="s">
        <v>109</v>
      </c>
      <c r="S829" s="37" cm="1">
        <f t="array" aca="1" ref="S8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29" s="346" t="s">
        <v>1484</v>
      </c>
      <c r="U829" s="347">
        <f ca="1">S829*Fuel_Specs!$B$35/S816</f>
        <v>0</v>
      </c>
      <c r="V829" s="347">
        <v>0</v>
      </c>
      <c r="W829" s="347">
        <v>0</v>
      </c>
      <c r="X829" s="37" t="s">
        <v>5</v>
      </c>
      <c r="Y829" s="346" t="s">
        <v>413</v>
      </c>
      <c r="Z829" s="14" t="str">
        <f>IF(ISBLANK(LCI_Table[[#This Row],[Notes for user]])," ",LCI_Table[[#This Row],[Notes for user]])</f>
        <v xml:space="preserve"> </v>
      </c>
      <c r="AA829" s="14"/>
      <c r="AB829" s="14"/>
      <c r="AC829" s="346">
        <f ca="1">LCI_Table[[#This Row],[Default Calculated Value]]-LCI_Table[[#This Row],[Calculated Value]]</f>
        <v>0</v>
      </c>
    </row>
    <row r="830" spans="1:29" x14ac:dyDescent="0.3">
      <c r="A8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STJGREETGREET(blank)_Miscanthus_Farming_ElectricityElectricity</v>
      </c>
      <c r="B830" s="14" t="s">
        <v>134</v>
      </c>
      <c r="C830" s="14" t="s">
        <v>139</v>
      </c>
      <c r="D830" s="14" t="s">
        <v>29</v>
      </c>
      <c r="E830" s="48" t="s">
        <v>29</v>
      </c>
      <c r="F830" s="14" t="s">
        <v>31</v>
      </c>
      <c r="G830" s="14" t="b">
        <f>OR(LCI_Table[[#This Row],[Feedstock]]="All",LCI_Table[[#This Row],[Feedstock]]=SelectedFeedstock)</f>
        <v>0</v>
      </c>
      <c r="H830" s="14" t="b">
        <f>OR(LCI_Table[[#This Row],[Conversion]]="All",LCI_Table[[#This Row],[Conversion]]=SelectedConversion)</f>
        <v>0</v>
      </c>
      <c r="I830" s="14" t="b">
        <f>OR(LCI_Table[[#This Row],[Data Set]]="all",LCI_Table[[#This Row],[Data Set]]=SelectedDataSet)</f>
        <v>1</v>
      </c>
      <c r="J830" s="14" t="b">
        <f>OR(LCI_Table[[#This Row],[Technology]]="All",LCI_Table[[#This Row],[Technology]]=SelectedTechnology)</f>
        <v>1</v>
      </c>
      <c r="K830" s="14" t="b">
        <f>OR(LCI_Table[[#This Row],[Data Source]]="All",LCI_Table[[#This Row],[Data Source]]=SelectedDataSource)</f>
        <v>1</v>
      </c>
      <c r="L830" s="14" t="b">
        <f>TRUE</f>
        <v>1</v>
      </c>
      <c r="M830" s="14" t="b">
        <f>(LCI_Table[[#This Row],[Dev Notes]]="Do not display")</f>
        <v>0</v>
      </c>
      <c r="N830" s="14" t="b">
        <f>AND(LCI_Table[[#This Row],[Show Feedstock]:[Conditional]],NOT(LCI_Table[[#This Row],[Hide Row]]))</f>
        <v>0</v>
      </c>
      <c r="O830" s="14" t="b">
        <f>LCI_Table[[#This Row],[GREET1 Name Range]]=""</f>
        <v>0</v>
      </c>
      <c r="P830" s="14" t="s">
        <v>14</v>
      </c>
      <c r="Q830" s="14" t="s">
        <v>705</v>
      </c>
      <c r="R830" s="14" t="s">
        <v>110</v>
      </c>
      <c r="S830" s="37" cm="1">
        <f t="array" aca="1" ref="S8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9.387422122233648</v>
      </c>
      <c r="T830" s="346" t="s">
        <v>1561</v>
      </c>
      <c r="U830" s="347">
        <f ca="1">S830/BTU2kWh/S816</f>
        <v>3718.5406764815002</v>
      </c>
      <c r="V830" s="347">
        <v>9.387422122233648</v>
      </c>
      <c r="W830" s="347">
        <v>3718.5406764815002</v>
      </c>
      <c r="X830" s="37" t="s">
        <v>51</v>
      </c>
      <c r="Y830" s="346" t="s">
        <v>413</v>
      </c>
      <c r="Z830" s="14" t="str">
        <f>IF(ISBLANK(LCI_Table[[#This Row],[Notes for user]])," ",LCI_Table[[#This Row],[Notes for user]])</f>
        <v xml:space="preserve"> </v>
      </c>
      <c r="AA830" s="14"/>
      <c r="AB830" s="14"/>
      <c r="AC830" s="346">
        <f ca="1">LCI_Table[[#This Row],[Default Calculated Value]]-LCI_Table[[#This Row],[Calculated Value]]</f>
        <v>0</v>
      </c>
    </row>
    <row r="831" spans="1:29" x14ac:dyDescent="0.3">
      <c r="A8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STJGREETGREET(blank)_Cellulosic_Biological_STJ_Corn_stoverMiscanthus</v>
      </c>
      <c r="B831" s="14" t="s">
        <v>134</v>
      </c>
      <c r="C831" s="14" t="s">
        <v>139</v>
      </c>
      <c r="D831" s="14" t="s">
        <v>29</v>
      </c>
      <c r="E831" s="48" t="s">
        <v>29</v>
      </c>
      <c r="F831" s="14" t="s">
        <v>31</v>
      </c>
      <c r="G831" s="14" t="b">
        <f>OR(LCI_Table[[#This Row],[Feedstock]]="All",LCI_Table[[#This Row],[Feedstock]]=SelectedFeedstock)</f>
        <v>0</v>
      </c>
      <c r="H831" s="14" t="b">
        <f>OR(LCI_Table[[#This Row],[Conversion]]="All",LCI_Table[[#This Row],[Conversion]]=SelectedConversion)</f>
        <v>0</v>
      </c>
      <c r="I831" s="14" t="b">
        <f>OR(LCI_Table[[#This Row],[Data Set]]="all",LCI_Table[[#This Row],[Data Set]]=SelectedDataSet)</f>
        <v>1</v>
      </c>
      <c r="J831" s="14" t="b">
        <f>OR(LCI_Table[[#This Row],[Technology]]="All",LCI_Table[[#This Row],[Technology]]=SelectedTechnology)</f>
        <v>1</v>
      </c>
      <c r="K831" s="14" t="b">
        <f>OR(LCI_Table[[#This Row],[Data Source]]="All",LCI_Table[[#This Row],[Data Source]]=SelectedDataSource)</f>
        <v>1</v>
      </c>
      <c r="L831" s="14" t="b">
        <f>TRUE</f>
        <v>1</v>
      </c>
      <c r="M831" s="14" t="b">
        <f>(LCI_Table[[#This Row],[Dev Notes]]="Do not display")</f>
        <v>0</v>
      </c>
      <c r="N831" s="14" t="b">
        <f>AND(LCI_Table[[#This Row],[Show Feedstock]:[Conditional]],NOT(LCI_Table[[#This Row],[Hide Row]]))</f>
        <v>0</v>
      </c>
      <c r="O831" s="14" t="b">
        <f>LCI_Table[[#This Row],[GREET1 Name Range]]=""</f>
        <v>0</v>
      </c>
      <c r="P831" s="14" t="s">
        <v>1448</v>
      </c>
      <c r="Q831" s="14" t="s">
        <v>535</v>
      </c>
      <c r="R831" s="14" t="s">
        <v>134</v>
      </c>
      <c r="S831" s="37" cm="1">
        <f t="array" aca="1" ref="S8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525.83196221027424</v>
      </c>
      <c r="T831" s="346" t="s">
        <v>2119</v>
      </c>
      <c r="U831" s="347">
        <f ca="1">S831/kg2lb/Allocations!$O$79*MJ2mmBTU</f>
        <v>0.22606705224250284</v>
      </c>
      <c r="V831" s="347">
        <v>525.83196221027424</v>
      </c>
      <c r="W831" s="347">
        <v>0.22606705224250284</v>
      </c>
      <c r="X831" s="37" t="s">
        <v>12</v>
      </c>
      <c r="Y831" s="346" t="s">
        <v>416</v>
      </c>
      <c r="Z831" s="14" t="str">
        <f>IF(ISBLANK(LCI_Table[[#This Row],[Notes for user]])," ",LCI_Table[[#This Row],[Notes for user]])</f>
        <v xml:space="preserve"> </v>
      </c>
      <c r="AA831" s="14"/>
      <c r="AB831" s="14"/>
      <c r="AC831" s="346">
        <f ca="1">LCI_Table[[#This Row],[Default Calculated Value]]-LCI_Table[[#This Row],[Calculated Value]]</f>
        <v>0</v>
      </c>
    </row>
    <row r="832" spans="1:29" x14ac:dyDescent="0.3">
      <c r="A8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STJGREETGREET(blank)_Cellulosic_Biological_STJ_HydrogenHydrogen</v>
      </c>
      <c r="B832" s="14" t="s">
        <v>134</v>
      </c>
      <c r="C832" s="14" t="s">
        <v>139</v>
      </c>
      <c r="D832" s="14" t="s">
        <v>29</v>
      </c>
      <c r="E832" s="48" t="s">
        <v>29</v>
      </c>
      <c r="F832" s="14" t="s">
        <v>31</v>
      </c>
      <c r="G832" s="14" t="b">
        <f>OR(LCI_Table[[#This Row],[Feedstock]]="All",LCI_Table[[#This Row],[Feedstock]]=SelectedFeedstock)</f>
        <v>0</v>
      </c>
      <c r="H832" s="14" t="b">
        <f>OR(LCI_Table[[#This Row],[Conversion]]="All",LCI_Table[[#This Row],[Conversion]]=SelectedConversion)</f>
        <v>0</v>
      </c>
      <c r="I832" s="14" t="b">
        <f>OR(LCI_Table[[#This Row],[Data Set]]="all",LCI_Table[[#This Row],[Data Set]]=SelectedDataSet)</f>
        <v>1</v>
      </c>
      <c r="J832" s="14" t="b">
        <f>OR(LCI_Table[[#This Row],[Technology]]="All",LCI_Table[[#This Row],[Technology]]=SelectedTechnology)</f>
        <v>1</v>
      </c>
      <c r="K832" s="14" t="b">
        <f>OR(LCI_Table[[#This Row],[Data Source]]="All",LCI_Table[[#This Row],[Data Source]]=SelectedDataSource)</f>
        <v>1</v>
      </c>
      <c r="L832" s="14" t="b">
        <f>TRUE</f>
        <v>1</v>
      </c>
      <c r="M832" s="14" t="b">
        <f>(LCI_Table[[#This Row],[Dev Notes]]="Do not display")</f>
        <v>0</v>
      </c>
      <c r="N832" s="14" t="b">
        <f>AND(LCI_Table[[#This Row],[Show Feedstock]:[Conditional]],NOT(LCI_Table[[#This Row],[Hide Row]]))</f>
        <v>0</v>
      </c>
      <c r="O832" s="14" t="b">
        <f>LCI_Table[[#This Row],[GREET1 Name Range]]=""</f>
        <v>0</v>
      </c>
      <c r="P832" s="14" t="s">
        <v>1448</v>
      </c>
      <c r="Q832" s="14" t="s">
        <v>540</v>
      </c>
      <c r="R832" s="14" t="s">
        <v>73</v>
      </c>
      <c r="S832" s="37" cm="1">
        <f t="array" aca="1" ref="S8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423.82286488101443</v>
      </c>
      <c r="T832" s="346" t="s">
        <v>2120</v>
      </c>
      <c r="U832" s="347">
        <f ca="1">S832/kg2g*Fuel_Specs!$E$81/Allocations!$O$79*MJ2mmBTU</f>
        <v>1.0243517491956343E-3</v>
      </c>
      <c r="V832" s="347">
        <v>423.82286488101443</v>
      </c>
      <c r="W832" s="347">
        <v>1.0243517491956343E-3</v>
      </c>
      <c r="X832" s="37" t="s">
        <v>351</v>
      </c>
      <c r="Y832" s="346" t="s">
        <v>416</v>
      </c>
      <c r="Z832" s="14" t="str">
        <f>IF(ISBLANK(LCI_Table[[#This Row],[Notes for user]])," ",LCI_Table[[#This Row],[Notes for user]])</f>
        <v xml:space="preserve"> </v>
      </c>
      <c r="AA832" s="14"/>
      <c r="AB832" s="14"/>
      <c r="AC832" s="346">
        <f ca="1">LCI_Table[[#This Row],[Default Calculated Value]]-LCI_Table[[#This Row],[Calculated Value]]</f>
        <v>0</v>
      </c>
    </row>
    <row r="833" spans="1:29" x14ac:dyDescent="0.3">
      <c r="A8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STJGREETGREET(blank)_Cellulosic_Biological_STJ_AmmoniaAmmonia</v>
      </c>
      <c r="B833" s="14" t="s">
        <v>134</v>
      </c>
      <c r="C833" s="14" t="s">
        <v>139</v>
      </c>
      <c r="D833" s="14" t="s">
        <v>29</v>
      </c>
      <c r="E833" s="48" t="s">
        <v>29</v>
      </c>
      <c r="F833" s="14" t="s">
        <v>31</v>
      </c>
      <c r="G833" s="14" t="b">
        <f>OR(LCI_Table[[#This Row],[Feedstock]]="All",LCI_Table[[#This Row],[Feedstock]]=SelectedFeedstock)</f>
        <v>0</v>
      </c>
      <c r="H833" s="14" t="b">
        <f>OR(LCI_Table[[#This Row],[Conversion]]="All",LCI_Table[[#This Row],[Conversion]]=SelectedConversion)</f>
        <v>0</v>
      </c>
      <c r="I833" s="14" t="b">
        <f>OR(LCI_Table[[#This Row],[Data Set]]="all",LCI_Table[[#This Row],[Data Set]]=SelectedDataSet)</f>
        <v>1</v>
      </c>
      <c r="J833" s="14" t="b">
        <f>OR(LCI_Table[[#This Row],[Technology]]="All",LCI_Table[[#This Row],[Technology]]=SelectedTechnology)</f>
        <v>1</v>
      </c>
      <c r="K833" s="14" t="b">
        <f>OR(LCI_Table[[#This Row],[Data Source]]="All",LCI_Table[[#This Row],[Data Source]]=SelectedDataSource)</f>
        <v>1</v>
      </c>
      <c r="L833" s="14" t="b">
        <f>TRUE</f>
        <v>1</v>
      </c>
      <c r="M833" s="14" t="b">
        <f>(LCI_Table[[#This Row],[Dev Notes]]="Do not display")</f>
        <v>0</v>
      </c>
      <c r="N833" s="14" t="b">
        <f>AND(LCI_Table[[#This Row],[Show Feedstock]:[Conditional]],NOT(LCI_Table[[#This Row],[Hide Row]]))</f>
        <v>0</v>
      </c>
      <c r="O833" s="14" t="b">
        <f>LCI_Table[[#This Row],[GREET1 Name Range]]=""</f>
        <v>0</v>
      </c>
      <c r="P833" s="14" t="s">
        <v>1448</v>
      </c>
      <c r="Q833" s="14" t="s">
        <v>532</v>
      </c>
      <c r="R833" s="14" t="s">
        <v>382</v>
      </c>
      <c r="S833" s="37" cm="1">
        <f t="array" aca="1" ref="S8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1124.2530041827843</v>
      </c>
      <c r="T833" s="346" t="s">
        <v>2127</v>
      </c>
      <c r="U833" s="347">
        <f ca="1">S833/kg2g/Allocations!$O$79*MJ2mmBTU</f>
        <v>1.0655862475742722E-3</v>
      </c>
      <c r="V833" s="347">
        <v>1124.2530041827843</v>
      </c>
      <c r="W833" s="347">
        <v>1.0655862475742722E-3</v>
      </c>
      <c r="X833" s="37" t="s">
        <v>6</v>
      </c>
      <c r="Y833" s="346" t="s">
        <v>416</v>
      </c>
      <c r="Z833" s="14" t="str">
        <f>IF(ISBLANK(LCI_Table[[#This Row],[Notes for user]])," ",LCI_Table[[#This Row],[Notes for user]])</f>
        <v xml:space="preserve"> </v>
      </c>
      <c r="AA833" s="14"/>
      <c r="AB833" s="14"/>
      <c r="AC833" s="346">
        <f ca="1">LCI_Table[[#This Row],[Default Calculated Value]]-LCI_Table[[#This Row],[Calculated Value]]</f>
        <v>0</v>
      </c>
    </row>
    <row r="834" spans="1:29" x14ac:dyDescent="0.3">
      <c r="A8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STJGREETGREET(blank)_Cellulosic_Biological_STJ_Corn_oilDistillers Corn Oil</v>
      </c>
      <c r="B834" s="14" t="s">
        <v>134</v>
      </c>
      <c r="C834" s="14" t="s">
        <v>139</v>
      </c>
      <c r="D834" s="14" t="s">
        <v>29</v>
      </c>
      <c r="E834" s="48" t="s">
        <v>29</v>
      </c>
      <c r="F834" s="14" t="s">
        <v>31</v>
      </c>
      <c r="G834" s="14" t="b">
        <f>OR(LCI_Table[[#This Row],[Feedstock]]="All",LCI_Table[[#This Row],[Feedstock]]=SelectedFeedstock)</f>
        <v>0</v>
      </c>
      <c r="H834" s="14" t="b">
        <f>OR(LCI_Table[[#This Row],[Conversion]]="All",LCI_Table[[#This Row],[Conversion]]=SelectedConversion)</f>
        <v>0</v>
      </c>
      <c r="I834" s="14" t="b">
        <f>OR(LCI_Table[[#This Row],[Data Set]]="all",LCI_Table[[#This Row],[Data Set]]=SelectedDataSet)</f>
        <v>1</v>
      </c>
      <c r="J834" s="14" t="b">
        <f>OR(LCI_Table[[#This Row],[Technology]]="All",LCI_Table[[#This Row],[Technology]]=SelectedTechnology)</f>
        <v>1</v>
      </c>
      <c r="K834" s="14" t="b">
        <f>OR(LCI_Table[[#This Row],[Data Source]]="All",LCI_Table[[#This Row],[Data Source]]=SelectedDataSource)</f>
        <v>1</v>
      </c>
      <c r="L834" s="14" t="b">
        <f>TRUE</f>
        <v>1</v>
      </c>
      <c r="M834" s="14" t="b">
        <f>(LCI_Table[[#This Row],[Dev Notes]]="Do not display")</f>
        <v>0</v>
      </c>
      <c r="N834" s="14" t="b">
        <f>AND(LCI_Table[[#This Row],[Show Feedstock]:[Conditional]],NOT(LCI_Table[[#This Row],[Hide Row]]))</f>
        <v>0</v>
      </c>
      <c r="O834" s="14" t="b">
        <f>LCI_Table[[#This Row],[GREET1 Name Range]]=""</f>
        <v>0</v>
      </c>
      <c r="P834" s="14" t="s">
        <v>1448</v>
      </c>
      <c r="Q834" s="14" t="s">
        <v>533</v>
      </c>
      <c r="R834" s="14" t="s">
        <v>1911</v>
      </c>
      <c r="S834" s="37" cm="1">
        <f t="array" aca="1" ref="S8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295.37400720891884</v>
      </c>
      <c r="T834" s="346" t="s">
        <v>2127</v>
      </c>
      <c r="U834" s="347">
        <f ca="1">S834/kg2g/Allocations!$O$79*MJ2mmBTU</f>
        <v>2.7996054162338308E-4</v>
      </c>
      <c r="V834" s="347">
        <v>295.37400720891884</v>
      </c>
      <c r="W834" s="347">
        <v>2.7996054162338308E-4</v>
      </c>
      <c r="X834" s="37" t="s">
        <v>6</v>
      </c>
      <c r="Y834" s="346" t="s">
        <v>416</v>
      </c>
      <c r="Z834" s="14" t="str">
        <f>IF(ISBLANK(LCI_Table[[#This Row],[Notes for user]])," ",LCI_Table[[#This Row],[Notes for user]])</f>
        <v xml:space="preserve"> </v>
      </c>
      <c r="AA834" s="14"/>
      <c r="AB834" s="14"/>
      <c r="AC834" s="346">
        <f ca="1">LCI_Table[[#This Row],[Default Calculated Value]]-LCI_Table[[#This Row],[Calculated Value]]</f>
        <v>0</v>
      </c>
    </row>
    <row r="835" spans="1:29" x14ac:dyDescent="0.3">
      <c r="A8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STJGREETGREET(blank)_Cellulosic_Biological_STJ_Corn_steep_liquorCorn steep liquor</v>
      </c>
      <c r="B835" s="14" t="s">
        <v>134</v>
      </c>
      <c r="C835" s="14" t="s">
        <v>139</v>
      </c>
      <c r="D835" s="14" t="s">
        <v>29</v>
      </c>
      <c r="E835" s="48" t="s">
        <v>29</v>
      </c>
      <c r="F835" s="14" t="s">
        <v>31</v>
      </c>
      <c r="G835" s="14" t="b">
        <f>OR(LCI_Table[[#This Row],[Feedstock]]="All",LCI_Table[[#This Row],[Feedstock]]=SelectedFeedstock)</f>
        <v>0</v>
      </c>
      <c r="H835" s="14" t="b">
        <f>OR(LCI_Table[[#This Row],[Conversion]]="All",LCI_Table[[#This Row],[Conversion]]=SelectedConversion)</f>
        <v>0</v>
      </c>
      <c r="I835" s="14" t="b">
        <f>OR(LCI_Table[[#This Row],[Data Set]]="all",LCI_Table[[#This Row],[Data Set]]=SelectedDataSet)</f>
        <v>1</v>
      </c>
      <c r="J835" s="14" t="b">
        <f>OR(LCI_Table[[#This Row],[Technology]]="All",LCI_Table[[#This Row],[Technology]]=SelectedTechnology)</f>
        <v>1</v>
      </c>
      <c r="K835" s="14" t="b">
        <f>OR(LCI_Table[[#This Row],[Data Source]]="All",LCI_Table[[#This Row],[Data Source]]=SelectedDataSource)</f>
        <v>1</v>
      </c>
      <c r="L835" s="14" t="b">
        <f>TRUE</f>
        <v>1</v>
      </c>
      <c r="M835" s="14" t="b">
        <f>(LCI_Table[[#This Row],[Dev Notes]]="Do not display")</f>
        <v>0</v>
      </c>
      <c r="N835" s="14" t="b">
        <f>AND(LCI_Table[[#This Row],[Show Feedstock]:[Conditional]],NOT(LCI_Table[[#This Row],[Hide Row]]))</f>
        <v>0</v>
      </c>
      <c r="O835" s="14" t="b">
        <f>LCI_Table[[#This Row],[GREET1 Name Range]]=""</f>
        <v>0</v>
      </c>
      <c r="P835" s="14" t="s">
        <v>1448</v>
      </c>
      <c r="Q835" s="14" t="s">
        <v>534</v>
      </c>
      <c r="R835" s="14" t="s">
        <v>386</v>
      </c>
      <c r="S835" s="37" cm="1">
        <f t="array" aca="1" ref="S8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3402.525385367856</v>
      </c>
      <c r="T835" s="346" t="s">
        <v>2127</v>
      </c>
      <c r="U835" s="347">
        <f ca="1">S835/kg2g/Allocations!$O$79*MJ2mmBTU</f>
        <v>3.2249718205608316E-3</v>
      </c>
      <c r="V835" s="347">
        <v>3402.525385367856</v>
      </c>
      <c r="W835" s="347">
        <v>3.2249718205608316E-3</v>
      </c>
      <c r="X835" s="37" t="s">
        <v>6</v>
      </c>
      <c r="Y835" s="346" t="s">
        <v>416</v>
      </c>
      <c r="Z835" s="14" t="str">
        <f>IF(ISBLANK(LCI_Table[[#This Row],[Notes for user]])," ",LCI_Table[[#This Row],[Notes for user]])</f>
        <v xml:space="preserve"> </v>
      </c>
      <c r="AA835" s="14"/>
      <c r="AB835" s="14"/>
      <c r="AC835" s="346">
        <f ca="1">LCI_Table[[#This Row],[Default Calculated Value]]-LCI_Table[[#This Row],[Calculated Value]]</f>
        <v>0</v>
      </c>
    </row>
    <row r="836" spans="1:29" x14ac:dyDescent="0.3">
      <c r="A8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STJGREETGREET(blank)_Cellulosic_Biological_STJ_DAPDAP</v>
      </c>
      <c r="B836" s="14" t="s">
        <v>134</v>
      </c>
      <c r="C836" s="14" t="s">
        <v>139</v>
      </c>
      <c r="D836" s="14" t="s">
        <v>29</v>
      </c>
      <c r="E836" s="48" t="s">
        <v>29</v>
      </c>
      <c r="F836" s="14" t="s">
        <v>31</v>
      </c>
      <c r="G836" s="14" t="b">
        <f>OR(LCI_Table[[#This Row],[Feedstock]]="All",LCI_Table[[#This Row],[Feedstock]]=SelectedFeedstock)</f>
        <v>0</v>
      </c>
      <c r="H836" s="14" t="b">
        <f>OR(LCI_Table[[#This Row],[Conversion]]="All",LCI_Table[[#This Row],[Conversion]]=SelectedConversion)</f>
        <v>0</v>
      </c>
      <c r="I836" s="14" t="b">
        <f>OR(LCI_Table[[#This Row],[Data Set]]="all",LCI_Table[[#This Row],[Data Set]]=SelectedDataSet)</f>
        <v>1</v>
      </c>
      <c r="J836" s="14" t="b">
        <f>OR(LCI_Table[[#This Row],[Technology]]="All",LCI_Table[[#This Row],[Technology]]=SelectedTechnology)</f>
        <v>1</v>
      </c>
      <c r="K836" s="14" t="b">
        <f>OR(LCI_Table[[#This Row],[Data Source]]="All",LCI_Table[[#This Row],[Data Source]]=SelectedDataSource)</f>
        <v>1</v>
      </c>
      <c r="L836" s="14" t="b">
        <f>TRUE</f>
        <v>1</v>
      </c>
      <c r="M836" s="14" t="b">
        <f>(LCI_Table[[#This Row],[Dev Notes]]="Do not display")</f>
        <v>0</v>
      </c>
      <c r="N836" s="14" t="b">
        <f>AND(LCI_Table[[#This Row],[Show Feedstock]:[Conditional]],NOT(LCI_Table[[#This Row],[Hide Row]]))</f>
        <v>0</v>
      </c>
      <c r="O836" s="14" t="b">
        <f>LCI_Table[[#This Row],[GREET1 Name Range]]=""</f>
        <v>0</v>
      </c>
      <c r="P836" s="14" t="s">
        <v>1448</v>
      </c>
      <c r="Q836" s="14" t="s">
        <v>536</v>
      </c>
      <c r="R836" s="14" t="s">
        <v>383</v>
      </c>
      <c r="S836" s="37" cm="1">
        <f t="array" aca="1" ref="S8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290.79456523668756</v>
      </c>
      <c r="T836" s="346" t="s">
        <v>2127</v>
      </c>
      <c r="U836" s="347">
        <f ca="1">S836/kg2g/Allocations!$O$79*MJ2mmBTU</f>
        <v>2.7562006810984228E-4</v>
      </c>
      <c r="V836" s="347">
        <v>290.79456523668756</v>
      </c>
      <c r="W836" s="347">
        <v>2.7562006810984228E-4</v>
      </c>
      <c r="X836" s="37" t="s">
        <v>6</v>
      </c>
      <c r="Y836" s="346" t="s">
        <v>416</v>
      </c>
      <c r="Z836" s="14" t="str">
        <f>IF(ISBLANK(LCI_Table[[#This Row],[Notes for user]])," ",LCI_Table[[#This Row],[Notes for user]])</f>
        <v xml:space="preserve"> </v>
      </c>
      <c r="AA836" s="14"/>
      <c r="AB836" s="14"/>
      <c r="AC836" s="346">
        <f ca="1">LCI_Table[[#This Row],[Default Calculated Value]]-LCI_Table[[#This Row],[Calculated Value]]</f>
        <v>0</v>
      </c>
    </row>
    <row r="837" spans="1:29" x14ac:dyDescent="0.3">
      <c r="A8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STJGREETGREET(blank)_Cellulosic_Biological_STJ_GlucoseGlucose</v>
      </c>
      <c r="B837" s="14" t="s">
        <v>134</v>
      </c>
      <c r="C837" s="14" t="s">
        <v>139</v>
      </c>
      <c r="D837" s="14" t="s">
        <v>29</v>
      </c>
      <c r="E837" s="48" t="s">
        <v>29</v>
      </c>
      <c r="F837" s="14" t="s">
        <v>31</v>
      </c>
      <c r="G837" s="14" t="b">
        <f>OR(LCI_Table[[#This Row],[Feedstock]]="All",LCI_Table[[#This Row],[Feedstock]]=SelectedFeedstock)</f>
        <v>0</v>
      </c>
      <c r="H837" s="14" t="b">
        <f>OR(LCI_Table[[#This Row],[Conversion]]="All",LCI_Table[[#This Row],[Conversion]]=SelectedConversion)</f>
        <v>0</v>
      </c>
      <c r="I837" s="14" t="b">
        <f>OR(LCI_Table[[#This Row],[Data Set]]="all",LCI_Table[[#This Row],[Data Set]]=SelectedDataSet)</f>
        <v>1</v>
      </c>
      <c r="J837" s="14" t="b">
        <f>OR(LCI_Table[[#This Row],[Technology]]="All",LCI_Table[[#This Row],[Technology]]=SelectedTechnology)</f>
        <v>1</v>
      </c>
      <c r="K837" s="14" t="b">
        <f>OR(LCI_Table[[#This Row],[Data Source]]="All",LCI_Table[[#This Row],[Data Source]]=SelectedDataSource)</f>
        <v>1</v>
      </c>
      <c r="L837" s="14" t="b">
        <f>TRUE</f>
        <v>1</v>
      </c>
      <c r="M837" s="14" t="b">
        <f>(LCI_Table[[#This Row],[Dev Notes]]="Do not display")</f>
        <v>0</v>
      </c>
      <c r="N837" s="14" t="b">
        <f>AND(LCI_Table[[#This Row],[Show Feedstock]:[Conditional]],NOT(LCI_Table[[#This Row],[Hide Row]]))</f>
        <v>0</v>
      </c>
      <c r="O837" s="14" t="b">
        <f>LCI_Table[[#This Row],[GREET1 Name Range]]=""</f>
        <v>0</v>
      </c>
      <c r="P837" s="14" t="s">
        <v>1448</v>
      </c>
      <c r="Q837" s="14" t="s">
        <v>538</v>
      </c>
      <c r="R837" s="14" t="s">
        <v>387</v>
      </c>
      <c r="S837" s="37" cm="1">
        <f t="array" aca="1" ref="S8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2777.431556158283</v>
      </c>
      <c r="T837" s="346" t="s">
        <v>2127</v>
      </c>
      <c r="U837" s="347">
        <f ca="1">S837/kg2g/Allocations!$O$79*MJ2mmBTU</f>
        <v>2.632497185962509E-3</v>
      </c>
      <c r="V837" s="347">
        <v>2777.431556158283</v>
      </c>
      <c r="W837" s="347">
        <v>2.632497185962509E-3</v>
      </c>
      <c r="X837" s="37" t="s">
        <v>6</v>
      </c>
      <c r="Y837" s="346" t="s">
        <v>416</v>
      </c>
      <c r="Z837" s="14" t="str">
        <f>IF(ISBLANK(LCI_Table[[#This Row],[Notes for user]])," ",LCI_Table[[#This Row],[Notes for user]])</f>
        <v xml:space="preserve"> </v>
      </c>
      <c r="AA837" s="14"/>
      <c r="AB837" s="14"/>
      <c r="AC837" s="346">
        <f ca="1">LCI_Table[[#This Row],[Default Calculated Value]]-LCI_Table[[#This Row],[Calculated Value]]</f>
        <v>0</v>
      </c>
    </row>
    <row r="838" spans="1:29" x14ac:dyDescent="0.3">
      <c r="A8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STJGREETGREET(blank)_Cellulosic_Biological_STJ_Host_nutrientsHost nutrients</v>
      </c>
      <c r="B838" s="14" t="s">
        <v>134</v>
      </c>
      <c r="C838" s="14" t="s">
        <v>139</v>
      </c>
      <c r="D838" s="14" t="s">
        <v>29</v>
      </c>
      <c r="E838" s="48" t="s">
        <v>29</v>
      </c>
      <c r="F838" s="14" t="s">
        <v>31</v>
      </c>
      <c r="G838" s="14" t="b">
        <f>OR(LCI_Table[[#This Row],[Feedstock]]="All",LCI_Table[[#This Row],[Feedstock]]=SelectedFeedstock)</f>
        <v>0</v>
      </c>
      <c r="H838" s="14" t="b">
        <f>OR(LCI_Table[[#This Row],[Conversion]]="All",LCI_Table[[#This Row],[Conversion]]=SelectedConversion)</f>
        <v>0</v>
      </c>
      <c r="I838" s="14" t="b">
        <f>OR(LCI_Table[[#This Row],[Data Set]]="all",LCI_Table[[#This Row],[Data Set]]=SelectedDataSet)</f>
        <v>1</v>
      </c>
      <c r="J838" s="14" t="b">
        <f>OR(LCI_Table[[#This Row],[Technology]]="All",LCI_Table[[#This Row],[Technology]]=SelectedTechnology)</f>
        <v>1</v>
      </c>
      <c r="K838" s="14" t="b">
        <f>OR(LCI_Table[[#This Row],[Data Source]]="All",LCI_Table[[#This Row],[Data Source]]=SelectedDataSource)</f>
        <v>1</v>
      </c>
      <c r="L838" s="14" t="b">
        <f>TRUE</f>
        <v>1</v>
      </c>
      <c r="M838" s="14" t="b">
        <f>(LCI_Table[[#This Row],[Dev Notes]]="Do not display")</f>
        <v>0</v>
      </c>
      <c r="N838" s="14" t="b">
        <f>AND(LCI_Table[[#This Row],[Show Feedstock]:[Conditional]],NOT(LCI_Table[[#This Row],[Hide Row]]))</f>
        <v>0</v>
      </c>
      <c r="O838" s="14" t="b">
        <f>LCI_Table[[#This Row],[GREET1 Name Range]]=""</f>
        <v>0</v>
      </c>
      <c r="P838" s="14" t="s">
        <v>1448</v>
      </c>
      <c r="Q838" s="14" t="s">
        <v>539</v>
      </c>
      <c r="R838" s="14" t="s">
        <v>388</v>
      </c>
      <c r="S838" s="37" cm="1">
        <f t="array" aca="1" ref="S8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77.850513527932108</v>
      </c>
      <c r="T838" s="346" t="s">
        <v>2127</v>
      </c>
      <c r="U838" s="347">
        <f ca="1">S838/kg2g/Allocations!$O$79*MJ2mmBTU</f>
        <v>7.3788049730194008E-5</v>
      </c>
      <c r="V838" s="347">
        <v>77.850513527932108</v>
      </c>
      <c r="W838" s="347">
        <v>7.3788049730194008E-5</v>
      </c>
      <c r="X838" s="37" t="s">
        <v>6</v>
      </c>
      <c r="Y838" s="346" t="s">
        <v>416</v>
      </c>
      <c r="Z838" s="14" t="str">
        <f>IF(ISBLANK(LCI_Table[[#This Row],[Notes for user]])," ",LCI_Table[[#This Row],[Notes for user]])</f>
        <v xml:space="preserve"> </v>
      </c>
      <c r="AA838" s="14"/>
      <c r="AB838" s="14"/>
      <c r="AC838" s="346">
        <f ca="1">LCI_Table[[#This Row],[Default Calculated Value]]-LCI_Table[[#This Row],[Calculated Value]]</f>
        <v>0</v>
      </c>
    </row>
    <row r="839" spans="1:29" x14ac:dyDescent="0.3">
      <c r="A8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STJGREETGREET(blank)_Cellulosic_Biological_STJ_LimeLime</v>
      </c>
      <c r="B839" s="14" t="s">
        <v>134</v>
      </c>
      <c r="C839" s="14" t="s">
        <v>139</v>
      </c>
      <c r="D839" s="14" t="s">
        <v>29</v>
      </c>
      <c r="E839" s="48" t="s">
        <v>29</v>
      </c>
      <c r="F839" s="14" t="s">
        <v>31</v>
      </c>
      <c r="G839" s="14" t="b">
        <f>OR(LCI_Table[[#This Row],[Feedstock]]="All",LCI_Table[[#This Row],[Feedstock]]=SelectedFeedstock)</f>
        <v>0</v>
      </c>
      <c r="H839" s="14" t="b">
        <f>OR(LCI_Table[[#This Row],[Conversion]]="All",LCI_Table[[#This Row],[Conversion]]=SelectedConversion)</f>
        <v>0</v>
      </c>
      <c r="I839" s="14" t="b">
        <f>OR(LCI_Table[[#This Row],[Data Set]]="all",LCI_Table[[#This Row],[Data Set]]=SelectedDataSet)</f>
        <v>1</v>
      </c>
      <c r="J839" s="14" t="b">
        <f>OR(LCI_Table[[#This Row],[Technology]]="All",LCI_Table[[#This Row],[Technology]]=SelectedTechnology)</f>
        <v>1</v>
      </c>
      <c r="K839" s="14" t="b">
        <f>OR(LCI_Table[[#This Row],[Data Source]]="All",LCI_Table[[#This Row],[Data Source]]=SelectedDataSource)</f>
        <v>1</v>
      </c>
      <c r="L839" s="14" t="b">
        <f>TRUE</f>
        <v>1</v>
      </c>
      <c r="M839" s="14" t="b">
        <f>(LCI_Table[[#This Row],[Dev Notes]]="Do not display")</f>
        <v>0</v>
      </c>
      <c r="N839" s="14" t="b">
        <f>AND(LCI_Table[[#This Row],[Show Feedstock]:[Conditional]],NOT(LCI_Table[[#This Row],[Hide Row]]))</f>
        <v>0</v>
      </c>
      <c r="O839" s="14" t="b">
        <f>LCI_Table[[#This Row],[GREET1 Name Range]]=""</f>
        <v>0</v>
      </c>
      <c r="P839" s="14" t="s">
        <v>1448</v>
      </c>
      <c r="Q839" s="14" t="s">
        <v>541</v>
      </c>
      <c r="R839" s="14" t="s">
        <v>143</v>
      </c>
      <c r="S839" s="37" cm="1">
        <f t="array" aca="1" ref="S8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437.33670834808913</v>
      </c>
      <c r="T839" s="346" t="s">
        <v>2127</v>
      </c>
      <c r="U839" s="347">
        <f ca="1">S839/kg2g/Allocations!$O$79*MJ2mmBTU</f>
        <v>4.1451522054314859E-4</v>
      </c>
      <c r="V839" s="347">
        <v>437.33670834808913</v>
      </c>
      <c r="W839" s="347">
        <v>4.1451522054314859E-4</v>
      </c>
      <c r="X839" s="14" t="s">
        <v>6</v>
      </c>
      <c r="Y839" s="346" t="s">
        <v>416</v>
      </c>
      <c r="Z839" s="14" t="str">
        <f>IF(ISBLANK(LCI_Table[[#This Row],[Notes for user]])," ",LCI_Table[[#This Row],[Notes for user]])</f>
        <v xml:space="preserve"> </v>
      </c>
      <c r="AA839" s="14"/>
      <c r="AB839" s="14"/>
      <c r="AC839" s="346">
        <f ca="1">LCI_Table[[#This Row],[Default Calculated Value]]-LCI_Table[[#This Row],[Calculated Value]]</f>
        <v>0</v>
      </c>
    </row>
    <row r="840" spans="1:29" x14ac:dyDescent="0.3">
      <c r="A8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STJGREETGREET(blank)_Cellulosic_Biological_STJ_Sulfuric_acidSulfuric acid</v>
      </c>
      <c r="B840" s="14" t="s">
        <v>134</v>
      </c>
      <c r="C840" s="14" t="s">
        <v>139</v>
      </c>
      <c r="D840" s="14" t="s">
        <v>29</v>
      </c>
      <c r="E840" s="48" t="s">
        <v>29</v>
      </c>
      <c r="F840" s="14" t="s">
        <v>31</v>
      </c>
      <c r="G840" s="14" t="b">
        <f>OR(LCI_Table[[#This Row],[Feedstock]]="All",LCI_Table[[#This Row],[Feedstock]]=SelectedFeedstock)</f>
        <v>0</v>
      </c>
      <c r="H840" s="14" t="b">
        <f>OR(LCI_Table[[#This Row],[Conversion]]="All",LCI_Table[[#This Row],[Conversion]]=SelectedConversion)</f>
        <v>0</v>
      </c>
      <c r="I840" s="14" t="b">
        <f>OR(LCI_Table[[#This Row],[Data Set]]="all",LCI_Table[[#This Row],[Data Set]]=SelectedDataSet)</f>
        <v>1</v>
      </c>
      <c r="J840" s="14" t="b">
        <f>OR(LCI_Table[[#This Row],[Technology]]="All",LCI_Table[[#This Row],[Technology]]=SelectedTechnology)</f>
        <v>1</v>
      </c>
      <c r="K840" s="14" t="b">
        <f>OR(LCI_Table[[#This Row],[Data Source]]="All",LCI_Table[[#This Row],[Data Source]]=SelectedDataSource)</f>
        <v>1</v>
      </c>
      <c r="L840" s="14" t="b">
        <f>TRUE</f>
        <v>1</v>
      </c>
      <c r="M840" s="14" t="b">
        <f>(LCI_Table[[#This Row],[Dev Notes]]="Do not display")</f>
        <v>0</v>
      </c>
      <c r="N840" s="14" t="b">
        <f>AND(LCI_Table[[#This Row],[Show Feedstock]:[Conditional]],NOT(LCI_Table[[#This Row],[Hide Row]]))</f>
        <v>0</v>
      </c>
      <c r="O840" s="14" t="b">
        <f>LCI_Table[[#This Row],[GREET1 Name Range]]=""</f>
        <v>0</v>
      </c>
      <c r="P840" s="14" t="s">
        <v>1448</v>
      </c>
      <c r="Q840" s="14" t="s">
        <v>542</v>
      </c>
      <c r="R840" s="14" t="s">
        <v>384</v>
      </c>
      <c r="S840" s="37" cm="1">
        <f t="array" aca="1" ref="S8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5128.9750088990568</v>
      </c>
      <c r="T840" s="346" t="s">
        <v>2127</v>
      </c>
      <c r="U840" s="347">
        <f ca="1">S840/kg2g/Allocations!$O$79*MJ2mmBTU</f>
        <v>4.8613303351657229E-3</v>
      </c>
      <c r="V840" s="347">
        <v>5128.9750088990568</v>
      </c>
      <c r="W840" s="347">
        <v>4.8613303351657229E-3</v>
      </c>
      <c r="X840" s="37" t="s">
        <v>6</v>
      </c>
      <c r="Y840" s="346" t="s">
        <v>416</v>
      </c>
      <c r="Z840" s="14" t="str">
        <f>IF(ISBLANK(LCI_Table[[#This Row],[Notes for user]])," ",LCI_Table[[#This Row],[Notes for user]])</f>
        <v xml:space="preserve"> </v>
      </c>
      <c r="AA840" s="14"/>
      <c r="AB840" s="14"/>
      <c r="AC840" s="346">
        <f ca="1">LCI_Table[[#This Row],[Default Calculated Value]]-LCI_Table[[#This Row],[Calculated Value]]</f>
        <v>0</v>
      </c>
    </row>
    <row r="841" spans="1:29" x14ac:dyDescent="0.3">
      <c r="A8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STJGREETGREET(blank)_Cellulosic_Biological_STJ_WaterWater</v>
      </c>
      <c r="B841" s="14" t="s">
        <v>134</v>
      </c>
      <c r="C841" s="14" t="s">
        <v>139</v>
      </c>
      <c r="D841" s="14" t="s">
        <v>29</v>
      </c>
      <c r="E841" s="48" t="s">
        <v>29</v>
      </c>
      <c r="F841" s="14" t="s">
        <v>31</v>
      </c>
      <c r="G841" s="14" t="b">
        <f>OR(LCI_Table[[#This Row],[Feedstock]]="All",LCI_Table[[#This Row],[Feedstock]]=SelectedFeedstock)</f>
        <v>0</v>
      </c>
      <c r="H841" s="14" t="b">
        <f>OR(LCI_Table[[#This Row],[Conversion]]="All",LCI_Table[[#This Row],[Conversion]]=SelectedConversion)</f>
        <v>0</v>
      </c>
      <c r="I841" s="14" t="b">
        <f>OR(LCI_Table[[#This Row],[Data Set]]="all",LCI_Table[[#This Row],[Data Set]]=SelectedDataSet)</f>
        <v>1</v>
      </c>
      <c r="J841" s="14" t="b">
        <f>OR(LCI_Table[[#This Row],[Technology]]="All",LCI_Table[[#This Row],[Technology]]=SelectedTechnology)</f>
        <v>1</v>
      </c>
      <c r="K841" s="14" t="b">
        <f>OR(LCI_Table[[#This Row],[Data Source]]="All",LCI_Table[[#This Row],[Data Source]]=SelectedDataSource)</f>
        <v>1</v>
      </c>
      <c r="L841" s="14" t="b">
        <f>TRUE</f>
        <v>1</v>
      </c>
      <c r="M841" s="14" t="b">
        <f>(LCI_Table[[#This Row],[Dev Notes]]="Do not display")</f>
        <v>0</v>
      </c>
      <c r="N841" s="14" t="b">
        <f>AND(LCI_Table[[#This Row],[Show Feedstock]:[Conditional]],NOT(LCI_Table[[#This Row],[Hide Row]]))</f>
        <v>0</v>
      </c>
      <c r="O841" s="14" t="b">
        <f>LCI_Table[[#This Row],[GREET1 Name Range]]=""</f>
        <v>0</v>
      </c>
      <c r="P841" s="14" t="s">
        <v>1448</v>
      </c>
      <c r="Q841" s="14" t="s">
        <v>543</v>
      </c>
      <c r="R841" s="14" t="s">
        <v>146</v>
      </c>
      <c r="S841" s="37" cm="1">
        <f t="array" aca="1" ref="S8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133.25118652693723</v>
      </c>
      <c r="T841" s="346" t="s">
        <v>2128</v>
      </c>
      <c r="U841" s="347">
        <f ca="1">S841/kg2lb*Fuel_Specs!$K$4/Allocations!$O$79*MJ2mmBTU</f>
        <v>0.47667948220408035</v>
      </c>
      <c r="V841" s="347">
        <v>133.25118652693723</v>
      </c>
      <c r="W841" s="347">
        <v>0.47667948220408035</v>
      </c>
      <c r="X841" s="37" t="s">
        <v>5</v>
      </c>
      <c r="Y841" s="346" t="s">
        <v>416</v>
      </c>
      <c r="Z841" s="14" t="str">
        <f>IF(ISBLANK(LCI_Table[[#This Row],[Notes for user]])," ",LCI_Table[[#This Row],[Notes for user]])</f>
        <v xml:space="preserve"> </v>
      </c>
      <c r="AA841" s="14"/>
      <c r="AB841" s="14"/>
      <c r="AC841" s="346">
        <f ca="1">LCI_Table[[#This Row],[Default Calculated Value]]-LCI_Table[[#This Row],[Calculated Value]]</f>
        <v>0</v>
      </c>
    </row>
    <row r="842" spans="1:29" x14ac:dyDescent="0.3">
      <c r="A8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MiscanthusBiological STJGREETGREET(blank)_Cellulosic_Biological_STJ_Electricity_co_producedElectricity (co-produced)</v>
      </c>
      <c r="B842" s="14" t="s">
        <v>134</v>
      </c>
      <c r="C842" s="14" t="s">
        <v>139</v>
      </c>
      <c r="D842" s="14" t="s">
        <v>29</v>
      </c>
      <c r="E842" s="48" t="s">
        <v>29</v>
      </c>
      <c r="F842" s="14" t="s">
        <v>31</v>
      </c>
      <c r="G842" s="14" t="b">
        <f>OR(LCI_Table[[#This Row],[Feedstock]]="All",LCI_Table[[#This Row],[Feedstock]]=SelectedFeedstock)</f>
        <v>0</v>
      </c>
      <c r="H842" s="14" t="b">
        <f>OR(LCI_Table[[#This Row],[Conversion]]="All",LCI_Table[[#This Row],[Conversion]]=SelectedConversion)</f>
        <v>0</v>
      </c>
      <c r="I842" s="14" t="b">
        <f>OR(LCI_Table[[#This Row],[Data Set]]="all",LCI_Table[[#This Row],[Data Set]]=SelectedDataSet)</f>
        <v>1</v>
      </c>
      <c r="J842" s="14" t="b">
        <f>OR(LCI_Table[[#This Row],[Technology]]="All",LCI_Table[[#This Row],[Technology]]=SelectedTechnology)</f>
        <v>1</v>
      </c>
      <c r="K842" s="14" t="b">
        <f>OR(LCI_Table[[#This Row],[Data Source]]="All",LCI_Table[[#This Row],[Data Source]]=SelectedDataSource)</f>
        <v>1</v>
      </c>
      <c r="L842" s="14" t="b">
        <f>TRUE</f>
        <v>1</v>
      </c>
      <c r="M842" s="14" t="b">
        <f>(LCI_Table[[#This Row],[Dev Notes]]="Do not display")</f>
        <v>0</v>
      </c>
      <c r="N842" s="14" t="b">
        <f>AND(LCI_Table[[#This Row],[Show Feedstock]:[Conditional]],NOT(LCI_Table[[#This Row],[Hide Row]]))</f>
        <v>0</v>
      </c>
      <c r="O842" s="14" t="b">
        <f>LCI_Table[[#This Row],[GREET1 Name Range]]=""</f>
        <v>0</v>
      </c>
      <c r="P842" s="14" t="s">
        <v>1448</v>
      </c>
      <c r="Q842" s="14" t="s">
        <v>537</v>
      </c>
      <c r="R842" s="14" t="s">
        <v>439</v>
      </c>
      <c r="S842" s="37" cm="1">
        <f t="array" aca="1" ref="S8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23.554359784171666</v>
      </c>
      <c r="T842" s="346" t="s">
        <v>2121</v>
      </c>
      <c r="U842" s="347">
        <f ca="1">S842/Allocations!$O$79*MJ2mmBTU</f>
        <v>2.2325225516897199E-2</v>
      </c>
      <c r="V842" s="347">
        <v>23.554359784171666</v>
      </c>
      <c r="W842" s="347">
        <v>2.2325225516897199E-2</v>
      </c>
      <c r="X842" s="37" t="s">
        <v>51</v>
      </c>
      <c r="Y842" s="346" t="s">
        <v>416</v>
      </c>
      <c r="Z842" s="14" t="str">
        <f>IF(ISBLANK(LCI_Table[[#This Row],[Notes for user]])," ",LCI_Table[[#This Row],[Notes for user]])</f>
        <v xml:space="preserve"> </v>
      </c>
      <c r="AA842" s="14"/>
      <c r="AB842" s="14"/>
      <c r="AC842" s="346">
        <f ca="1">LCI_Table[[#This Row],[Default Calculated Value]]-LCI_Table[[#This Row],[Calculated Value]]</f>
        <v>0</v>
      </c>
    </row>
    <row r="843" spans="1:29" x14ac:dyDescent="0.3">
      <c r="A8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dash_MiscanthusCatalytic STJGREETGREET(blank)_Yield_Farming</v>
      </c>
      <c r="B843" s="48" t="s">
        <v>134</v>
      </c>
      <c r="C843" s="48" t="s">
        <v>140</v>
      </c>
      <c r="D843" s="48" t="s">
        <v>29</v>
      </c>
      <c r="E843" s="48" t="s">
        <v>29</v>
      </c>
      <c r="F843" s="48" t="s">
        <v>31</v>
      </c>
      <c r="G843" s="14" t="b">
        <f>OR(LCI_Table[[#This Row],[Feedstock]]="All",LCI_Table[[#This Row],[Feedstock]]=SelectedFeedstock)</f>
        <v>0</v>
      </c>
      <c r="H843" s="14" t="b">
        <f>OR(LCI_Table[[#This Row],[Conversion]]="All",LCI_Table[[#This Row],[Conversion]]=SelectedConversion)</f>
        <v>0</v>
      </c>
      <c r="I843" s="14" t="b">
        <f>OR(LCI_Table[[#This Row],[Data Set]]="all",LCI_Table[[#This Row],[Data Set]]=SelectedDataSet)</f>
        <v>1</v>
      </c>
      <c r="J843" s="14" t="b">
        <f>OR(LCI_Table[[#This Row],[Technology]]="All",LCI_Table[[#This Row],[Technology]]=SelectedTechnology)</f>
        <v>1</v>
      </c>
      <c r="K843" s="14" t="b">
        <f>OR(LCI_Table[[#This Row],[Data Source]]="All",LCI_Table[[#This Row],[Data Source]]=SelectedDataSource)</f>
        <v>1</v>
      </c>
      <c r="L843" s="14" t="b">
        <f>TRUE</f>
        <v>1</v>
      </c>
      <c r="M843" s="14" t="b">
        <f>(LCI_Table[[#This Row],[Dev Notes]]="Do not display")</f>
        <v>0</v>
      </c>
      <c r="N843" s="14" t="b">
        <f>AND(LCI_Table[[#This Row],[Show Feedstock]:[Conditional]],NOT(LCI_Table[[#This Row],[Hide Row]]))</f>
        <v>0</v>
      </c>
      <c r="O843" s="14" t="b">
        <f>LCI_Table[[#This Row],[GREET1 Name Range]]=""</f>
        <v>1</v>
      </c>
      <c r="P843" s="48" t="s">
        <v>14</v>
      </c>
      <c r="Q843" s="14" t="s">
        <v>361</v>
      </c>
      <c r="R843" s="48" t="s">
        <v>200</v>
      </c>
      <c r="S843" s="37" cm="1">
        <f t="array" aca="1" ref="S8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8.6139205449999992</v>
      </c>
      <c r="T843" s="346" t="s">
        <v>2116</v>
      </c>
      <c r="U843" s="344"/>
      <c r="V843" s="344">
        <v>8.6139205449999992</v>
      </c>
      <c r="W843" s="344"/>
      <c r="X843" s="48" t="s">
        <v>55</v>
      </c>
      <c r="Y843" s="346" t="s">
        <v>413</v>
      </c>
      <c r="Z843" s="14" t="str">
        <f>IF(ISBLANK(LCI_Table[[#This Row],[Notes for user]])," ",LCI_Table[[#This Row],[Notes for user]])</f>
        <v xml:space="preserve"> </v>
      </c>
      <c r="AA843" s="48"/>
      <c r="AB843" s="345"/>
      <c r="AC843" s="346">
        <f>LCI_Table[[#This Row],[Default Calculated Value]]-LCI_Table[[#This Row],[Calculated Value]]</f>
        <v>0</v>
      </c>
    </row>
    <row r="844" spans="1:29" x14ac:dyDescent="0.3">
      <c r="A8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STJGREETGREET(blank)_Miscanthus_Farming_Nitrogen_fertilizerNitrogen fertilizer</v>
      </c>
      <c r="B844" s="14" t="s">
        <v>134</v>
      </c>
      <c r="C844" s="14" t="s">
        <v>140</v>
      </c>
      <c r="D844" s="14" t="s">
        <v>29</v>
      </c>
      <c r="E844" s="48" t="s">
        <v>29</v>
      </c>
      <c r="F844" s="14" t="s">
        <v>31</v>
      </c>
      <c r="G844" s="14" t="b">
        <f>OR(LCI_Table[[#This Row],[Feedstock]]="All",LCI_Table[[#This Row],[Feedstock]]=SelectedFeedstock)</f>
        <v>0</v>
      </c>
      <c r="H844" s="14" t="b">
        <f>OR(LCI_Table[[#This Row],[Conversion]]="All",LCI_Table[[#This Row],[Conversion]]=SelectedConversion)</f>
        <v>0</v>
      </c>
      <c r="I844" s="14" t="b">
        <f>OR(LCI_Table[[#This Row],[Data Set]]="all",LCI_Table[[#This Row],[Data Set]]=SelectedDataSet)</f>
        <v>1</v>
      </c>
      <c r="J844" s="14" t="b">
        <f>OR(LCI_Table[[#This Row],[Technology]]="All",LCI_Table[[#This Row],[Technology]]=SelectedTechnology)</f>
        <v>1</v>
      </c>
      <c r="K844" s="14" t="b">
        <f>OR(LCI_Table[[#This Row],[Data Source]]="All",LCI_Table[[#This Row],[Data Source]]=SelectedDataSource)</f>
        <v>1</v>
      </c>
      <c r="L844" s="14" t="b">
        <f>TRUE</f>
        <v>1</v>
      </c>
      <c r="M844" s="14" t="b">
        <f>(LCI_Table[[#This Row],[Dev Notes]]="Do not display")</f>
        <v>0</v>
      </c>
      <c r="N844" s="14" t="b">
        <f>AND(LCI_Table[[#This Row],[Show Feedstock]:[Conditional]],NOT(LCI_Table[[#This Row],[Hide Row]]))</f>
        <v>0</v>
      </c>
      <c r="O844" s="14" t="b">
        <f>LCI_Table[[#This Row],[GREET1 Name Range]]=""</f>
        <v>0</v>
      </c>
      <c r="P844" s="14" t="s">
        <v>14</v>
      </c>
      <c r="Q844" s="14" t="s">
        <v>713</v>
      </c>
      <c r="R844" s="14" t="s">
        <v>111</v>
      </c>
      <c r="S844" s="37" cm="1">
        <f t="array" aca="1" ref="S8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88.124241430996591</v>
      </c>
      <c r="T844" s="346" t="s">
        <v>1485</v>
      </c>
      <c r="U844" s="347">
        <f ca="1">S844/S843*lb2g</f>
        <v>4640.4518495750699</v>
      </c>
      <c r="V844" s="347">
        <v>88.124241430996591</v>
      </c>
      <c r="W844" s="347">
        <v>4640.4518495750699</v>
      </c>
      <c r="X844" s="37" t="s">
        <v>12</v>
      </c>
      <c r="Y844" s="346" t="s">
        <v>413</v>
      </c>
      <c r="Z844" s="14" t="str">
        <f>IF(ISBLANK(LCI_Table[[#This Row],[Notes for user]])," ",LCI_Table[[#This Row],[Notes for user]])</f>
        <v xml:space="preserve"> </v>
      </c>
      <c r="AA844" s="14"/>
      <c r="AB844" s="14"/>
      <c r="AC844" s="346">
        <f ca="1">LCI_Table[[#This Row],[Default Calculated Value]]-LCI_Table[[#This Row],[Calculated Value]]</f>
        <v>0</v>
      </c>
    </row>
    <row r="845" spans="1:29" x14ac:dyDescent="0.3">
      <c r="A8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STJGREETGREET(blank)_Miscanthus_Farming_P2O5P2O5</v>
      </c>
      <c r="B845" s="14" t="s">
        <v>134</v>
      </c>
      <c r="C845" s="14" t="s">
        <v>140</v>
      </c>
      <c r="D845" s="14" t="s">
        <v>29</v>
      </c>
      <c r="E845" s="48" t="s">
        <v>29</v>
      </c>
      <c r="F845" s="14" t="s">
        <v>31</v>
      </c>
      <c r="G845" s="14" t="b">
        <f>OR(LCI_Table[[#This Row],[Feedstock]]="All",LCI_Table[[#This Row],[Feedstock]]=SelectedFeedstock)</f>
        <v>0</v>
      </c>
      <c r="H845" s="14" t="b">
        <f>OR(LCI_Table[[#This Row],[Conversion]]="All",LCI_Table[[#This Row],[Conversion]]=SelectedConversion)</f>
        <v>0</v>
      </c>
      <c r="I845" s="14" t="b">
        <f>OR(LCI_Table[[#This Row],[Data Set]]="all",LCI_Table[[#This Row],[Data Set]]=SelectedDataSet)</f>
        <v>1</v>
      </c>
      <c r="J845" s="14" t="b">
        <f>OR(LCI_Table[[#This Row],[Technology]]="All",LCI_Table[[#This Row],[Technology]]=SelectedTechnology)</f>
        <v>1</v>
      </c>
      <c r="K845" s="14" t="b">
        <f>OR(LCI_Table[[#This Row],[Data Source]]="All",LCI_Table[[#This Row],[Data Source]]=SelectedDataSource)</f>
        <v>1</v>
      </c>
      <c r="L845" s="14" t="b">
        <f>TRUE</f>
        <v>1</v>
      </c>
      <c r="M845" s="14" t="b">
        <f>(LCI_Table[[#This Row],[Dev Notes]]="Do not display")</f>
        <v>0</v>
      </c>
      <c r="N845" s="14" t="b">
        <f>AND(LCI_Table[[#This Row],[Show Feedstock]:[Conditional]],NOT(LCI_Table[[#This Row],[Hide Row]]))</f>
        <v>0</v>
      </c>
      <c r="O845" s="14" t="b">
        <f>LCI_Table[[#This Row],[GREET1 Name Range]]=""</f>
        <v>0</v>
      </c>
      <c r="P845" s="14" t="s">
        <v>14</v>
      </c>
      <c r="Q845" s="14" t="s">
        <v>714</v>
      </c>
      <c r="R845" s="14" t="s">
        <v>112</v>
      </c>
      <c r="S845" s="37" cm="1">
        <f t="array" aca="1" ref="S8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19.884729242998674</v>
      </c>
      <c r="T845" s="346" t="s">
        <v>1485</v>
      </c>
      <c r="U845" s="347">
        <f ca="1">S845/S843*lb2g</f>
        <v>1047.0913235176672</v>
      </c>
      <c r="V845" s="347">
        <v>19.884729242998674</v>
      </c>
      <c r="W845" s="347">
        <v>1047.0913235176672</v>
      </c>
      <c r="X845" s="37" t="s">
        <v>12</v>
      </c>
      <c r="Y845" s="346" t="s">
        <v>413</v>
      </c>
      <c r="Z845" s="14" t="str">
        <f>IF(ISBLANK(LCI_Table[[#This Row],[Notes for user]])," ",LCI_Table[[#This Row],[Notes for user]])</f>
        <v xml:space="preserve"> </v>
      </c>
      <c r="AA845" s="14"/>
      <c r="AB845" s="14"/>
      <c r="AC845" s="346">
        <f ca="1">LCI_Table[[#This Row],[Default Calculated Value]]-LCI_Table[[#This Row],[Calculated Value]]</f>
        <v>0</v>
      </c>
    </row>
    <row r="846" spans="1:29" x14ac:dyDescent="0.3">
      <c r="A8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STJGREETGREET(blank)_Miscanthus_Farming_K2OK2O</v>
      </c>
      <c r="B846" s="14" t="s">
        <v>134</v>
      </c>
      <c r="C846" s="14" t="s">
        <v>140</v>
      </c>
      <c r="D846" s="14" t="s">
        <v>29</v>
      </c>
      <c r="E846" s="48" t="s">
        <v>29</v>
      </c>
      <c r="F846" s="14" t="s">
        <v>31</v>
      </c>
      <c r="G846" s="14" t="b">
        <f>OR(LCI_Table[[#This Row],[Feedstock]]="All",LCI_Table[[#This Row],[Feedstock]]=SelectedFeedstock)</f>
        <v>0</v>
      </c>
      <c r="H846" s="14" t="b">
        <f>OR(LCI_Table[[#This Row],[Conversion]]="All",LCI_Table[[#This Row],[Conversion]]=SelectedConversion)</f>
        <v>0</v>
      </c>
      <c r="I846" s="14" t="b">
        <f>OR(LCI_Table[[#This Row],[Data Set]]="all",LCI_Table[[#This Row],[Data Set]]=SelectedDataSet)</f>
        <v>1</v>
      </c>
      <c r="J846" s="14" t="b">
        <f>OR(LCI_Table[[#This Row],[Technology]]="All",LCI_Table[[#This Row],[Technology]]=SelectedTechnology)</f>
        <v>1</v>
      </c>
      <c r="K846" s="14" t="b">
        <f>OR(LCI_Table[[#This Row],[Data Source]]="All",LCI_Table[[#This Row],[Data Source]]=SelectedDataSource)</f>
        <v>1</v>
      </c>
      <c r="L846" s="14" t="b">
        <f>TRUE</f>
        <v>1</v>
      </c>
      <c r="M846" s="14" t="b">
        <f>(LCI_Table[[#This Row],[Dev Notes]]="Do not display")</f>
        <v>0</v>
      </c>
      <c r="N846" s="14" t="b">
        <f>AND(LCI_Table[[#This Row],[Show Feedstock]:[Conditional]],NOT(LCI_Table[[#This Row],[Hide Row]]))</f>
        <v>0</v>
      </c>
      <c r="O846" s="14" t="b">
        <f>LCI_Table[[#This Row],[GREET1 Name Range]]=""</f>
        <v>0</v>
      </c>
      <c r="P846" s="14" t="s">
        <v>14</v>
      </c>
      <c r="Q846" s="14" t="s">
        <v>710</v>
      </c>
      <c r="R846" s="14" t="s">
        <v>113</v>
      </c>
      <c r="S846" s="37" cm="1">
        <f t="array" aca="1" ref="S8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54.462165800868</v>
      </c>
      <c r="T846" s="346" t="s">
        <v>1485</v>
      </c>
      <c r="U846" s="347">
        <f ca="1">S846/S843*lb2g</f>
        <v>2867.8721532076388</v>
      </c>
      <c r="V846" s="347">
        <v>54.462165800868</v>
      </c>
      <c r="W846" s="347">
        <v>2867.8721532076388</v>
      </c>
      <c r="X846" s="37" t="s">
        <v>12</v>
      </c>
      <c r="Y846" s="346" t="s">
        <v>413</v>
      </c>
      <c r="Z846" s="14" t="str">
        <f>IF(ISBLANK(LCI_Table[[#This Row],[Notes for user]])," ",LCI_Table[[#This Row],[Notes for user]])</f>
        <v xml:space="preserve"> </v>
      </c>
      <c r="AA846" s="14"/>
      <c r="AB846" s="14"/>
      <c r="AC846" s="346">
        <f ca="1">LCI_Table[[#This Row],[Default Calculated Value]]-LCI_Table[[#This Row],[Calculated Value]]</f>
        <v>0</v>
      </c>
    </row>
    <row r="847" spans="1:29" x14ac:dyDescent="0.3">
      <c r="A8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STJGREETGREET(blank)_Miscanthus_Farming_CaCO3CaCO3</v>
      </c>
      <c r="B847" s="14" t="s">
        <v>134</v>
      </c>
      <c r="C847" s="14" t="s">
        <v>140</v>
      </c>
      <c r="D847" s="14" t="s">
        <v>29</v>
      </c>
      <c r="E847" s="48" t="s">
        <v>29</v>
      </c>
      <c r="F847" s="14" t="s">
        <v>31</v>
      </c>
      <c r="G847" s="14" t="b">
        <f>OR(LCI_Table[[#This Row],[Feedstock]]="All",LCI_Table[[#This Row],[Feedstock]]=SelectedFeedstock)</f>
        <v>0</v>
      </c>
      <c r="H847" s="14" t="b">
        <f>OR(LCI_Table[[#This Row],[Conversion]]="All",LCI_Table[[#This Row],[Conversion]]=SelectedConversion)</f>
        <v>0</v>
      </c>
      <c r="I847" s="14" t="b">
        <f>OR(LCI_Table[[#This Row],[Data Set]]="all",LCI_Table[[#This Row],[Data Set]]=SelectedDataSet)</f>
        <v>1</v>
      </c>
      <c r="J847" s="14" t="b">
        <f>OR(LCI_Table[[#This Row],[Technology]]="All",LCI_Table[[#This Row],[Technology]]=SelectedTechnology)</f>
        <v>1</v>
      </c>
      <c r="K847" s="14" t="b">
        <f>OR(LCI_Table[[#This Row],[Data Source]]="All",LCI_Table[[#This Row],[Data Source]]=SelectedDataSource)</f>
        <v>1</v>
      </c>
      <c r="L847" s="14" t="b">
        <f>TRUE</f>
        <v>1</v>
      </c>
      <c r="M847" s="14" t="b">
        <f>(LCI_Table[[#This Row],[Dev Notes]]="Do not display")</f>
        <v>0</v>
      </c>
      <c r="N847" s="14" t="b">
        <f>AND(LCI_Table[[#This Row],[Show Feedstock]:[Conditional]],NOT(LCI_Table[[#This Row],[Hide Row]]))</f>
        <v>0</v>
      </c>
      <c r="O847" s="14" t="b">
        <f>LCI_Table[[#This Row],[GREET1 Name Range]]=""</f>
        <v>0</v>
      </c>
      <c r="P847" s="14" t="s">
        <v>14</v>
      </c>
      <c r="Q847" s="14" t="s">
        <v>702</v>
      </c>
      <c r="R847" s="14" t="s">
        <v>141</v>
      </c>
      <c r="S847" s="37" cm="1">
        <f t="array" aca="1" ref="S8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98.419350248104237</v>
      </c>
      <c r="T847" s="346" t="s">
        <v>1485</v>
      </c>
      <c r="U847" s="347">
        <f ca="1">S847/S843*lb2g</f>
        <v>5182.572337379007</v>
      </c>
      <c r="V847" s="347">
        <v>98.419350248104237</v>
      </c>
      <c r="W847" s="347">
        <v>5182.572337379007</v>
      </c>
      <c r="X847" s="37" t="s">
        <v>12</v>
      </c>
      <c r="Y847" s="346" t="s">
        <v>413</v>
      </c>
      <c r="Z847" s="14" t="str">
        <f>IF(ISBLANK(LCI_Table[[#This Row],[Notes for user]])," ",LCI_Table[[#This Row],[Notes for user]])</f>
        <v xml:space="preserve"> </v>
      </c>
      <c r="AA847" s="14"/>
      <c r="AB847" s="14"/>
      <c r="AC847" s="346">
        <f ca="1">LCI_Table[[#This Row],[Default Calculated Value]]-LCI_Table[[#This Row],[Calculated Value]]</f>
        <v>0</v>
      </c>
    </row>
    <row r="848" spans="1:29" x14ac:dyDescent="0.3">
      <c r="A8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STJGREETGREET(blank)_Miscanthus_Farming_HerbicidesHerbicides</v>
      </c>
      <c r="B848" s="14" t="s">
        <v>134</v>
      </c>
      <c r="C848" s="14" t="s">
        <v>140</v>
      </c>
      <c r="D848" s="14" t="s">
        <v>29</v>
      </c>
      <c r="E848" s="48" t="s">
        <v>29</v>
      </c>
      <c r="F848" s="14" t="s">
        <v>31</v>
      </c>
      <c r="G848" s="14" t="b">
        <f>OR(LCI_Table[[#This Row],[Feedstock]]="All",LCI_Table[[#This Row],[Feedstock]]=SelectedFeedstock)</f>
        <v>0</v>
      </c>
      <c r="H848" s="14" t="b">
        <f>OR(LCI_Table[[#This Row],[Conversion]]="All",LCI_Table[[#This Row],[Conversion]]=SelectedConversion)</f>
        <v>0</v>
      </c>
      <c r="I848" s="14" t="b">
        <f>OR(LCI_Table[[#This Row],[Data Set]]="all",LCI_Table[[#This Row],[Data Set]]=SelectedDataSet)</f>
        <v>1</v>
      </c>
      <c r="J848" s="14" t="b">
        <f>OR(LCI_Table[[#This Row],[Technology]]="All",LCI_Table[[#This Row],[Technology]]=SelectedTechnology)</f>
        <v>1</v>
      </c>
      <c r="K848" s="14" t="b">
        <f>OR(LCI_Table[[#This Row],[Data Source]]="All",LCI_Table[[#This Row],[Data Source]]=SelectedDataSource)</f>
        <v>1</v>
      </c>
      <c r="L848" s="14" t="b">
        <f>TRUE</f>
        <v>1</v>
      </c>
      <c r="M848" s="14" t="b">
        <f>(LCI_Table[[#This Row],[Dev Notes]]="Do not display")</f>
        <v>0</v>
      </c>
      <c r="N848" s="14" t="b">
        <f>AND(LCI_Table[[#This Row],[Show Feedstock]:[Conditional]],NOT(LCI_Table[[#This Row],[Hide Row]]))</f>
        <v>0</v>
      </c>
      <c r="O848" s="14" t="b">
        <f>LCI_Table[[#This Row],[GREET1 Name Range]]=""</f>
        <v>0</v>
      </c>
      <c r="P848" s="14" t="s">
        <v>14</v>
      </c>
      <c r="Q848" s="14" t="s">
        <v>708</v>
      </c>
      <c r="R848" s="14" t="s">
        <v>356</v>
      </c>
      <c r="S848" s="37" cm="1">
        <f t="array" aca="1" ref="S8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0.54538703220331441</v>
      </c>
      <c r="T848" s="346" t="s">
        <v>1485</v>
      </c>
      <c r="U848" s="347">
        <f ca="1">S848/S843*lb2g</f>
        <v>28.71902465457066</v>
      </c>
      <c r="V848" s="347">
        <v>0.54538703220331441</v>
      </c>
      <c r="W848" s="347">
        <v>28.71902465457066</v>
      </c>
      <c r="X848" s="37" t="s">
        <v>12</v>
      </c>
      <c r="Y848" s="346" t="s">
        <v>413</v>
      </c>
      <c r="Z848" s="14" t="str">
        <f>IF(ISBLANK(LCI_Table[[#This Row],[Notes for user]])," ",LCI_Table[[#This Row],[Notes for user]])</f>
        <v xml:space="preserve"> </v>
      </c>
      <c r="AA848" s="14"/>
      <c r="AB848" s="14"/>
      <c r="AC848" s="346">
        <f ca="1">LCI_Table[[#This Row],[Default Calculated Value]]-LCI_Table[[#This Row],[Calculated Value]]</f>
        <v>0</v>
      </c>
    </row>
    <row r="849" spans="1:29" x14ac:dyDescent="0.3">
      <c r="A8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STJGREETGREET(blank)_Miscanthus_Farming_InsecticideInsecticide</v>
      </c>
      <c r="B849" s="14" t="s">
        <v>134</v>
      </c>
      <c r="C849" s="14" t="s">
        <v>140</v>
      </c>
      <c r="D849" s="14" t="s">
        <v>29</v>
      </c>
      <c r="E849" s="48" t="s">
        <v>29</v>
      </c>
      <c r="F849" s="14" t="s">
        <v>31</v>
      </c>
      <c r="G849" s="14" t="b">
        <f>OR(LCI_Table[[#This Row],[Feedstock]]="All",LCI_Table[[#This Row],[Feedstock]]=SelectedFeedstock)</f>
        <v>0</v>
      </c>
      <c r="H849" s="14" t="b">
        <f>OR(LCI_Table[[#This Row],[Conversion]]="All",LCI_Table[[#This Row],[Conversion]]=SelectedConversion)</f>
        <v>0</v>
      </c>
      <c r="I849" s="14" t="b">
        <f>OR(LCI_Table[[#This Row],[Data Set]]="all",LCI_Table[[#This Row],[Data Set]]=SelectedDataSet)</f>
        <v>1</v>
      </c>
      <c r="J849" s="14" t="b">
        <f>OR(LCI_Table[[#This Row],[Technology]]="All",LCI_Table[[#This Row],[Technology]]=SelectedTechnology)</f>
        <v>1</v>
      </c>
      <c r="K849" s="14" t="b">
        <f>OR(LCI_Table[[#This Row],[Data Source]]="All",LCI_Table[[#This Row],[Data Source]]=SelectedDataSource)</f>
        <v>1</v>
      </c>
      <c r="L849" s="14" t="b">
        <f>TRUE</f>
        <v>1</v>
      </c>
      <c r="M849" s="14" t="b">
        <f>(LCI_Table[[#This Row],[Dev Notes]]="Do not display")</f>
        <v>0</v>
      </c>
      <c r="N849" s="14" t="b">
        <f>AND(LCI_Table[[#This Row],[Show Feedstock]:[Conditional]],NOT(LCI_Table[[#This Row],[Hide Row]]))</f>
        <v>0</v>
      </c>
      <c r="O849" s="14" t="b">
        <f>LCI_Table[[#This Row],[GREET1 Name Range]]=""</f>
        <v>0</v>
      </c>
      <c r="P849" s="14" t="s">
        <v>14</v>
      </c>
      <c r="Q849" s="14" t="s">
        <v>709</v>
      </c>
      <c r="R849" s="14" t="s">
        <v>114</v>
      </c>
      <c r="S849" s="37" cm="1">
        <f t="array" aca="1" ref="S8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49" s="346" t="s">
        <v>1485</v>
      </c>
      <c r="U849" s="347">
        <f ca="1">S849/S843*lb2g</f>
        <v>0</v>
      </c>
      <c r="V849" s="347">
        <v>0</v>
      </c>
      <c r="W849" s="347">
        <v>0</v>
      </c>
      <c r="X849" s="37" t="s">
        <v>12</v>
      </c>
      <c r="Y849" s="346" t="s">
        <v>413</v>
      </c>
      <c r="Z849" s="14" t="str">
        <f>IF(ISBLANK(LCI_Table[[#This Row],[Notes for user]])," ",LCI_Table[[#This Row],[Notes for user]])</f>
        <v xml:space="preserve"> </v>
      </c>
      <c r="AA849" s="14"/>
      <c r="AB849" s="14"/>
      <c r="AC849" s="346">
        <f ca="1">LCI_Table[[#This Row],[Default Calculated Value]]-LCI_Table[[#This Row],[Calculated Value]]</f>
        <v>0</v>
      </c>
    </row>
    <row r="850" spans="1:29" x14ac:dyDescent="0.3">
      <c r="A8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STJGREETGREET(blank)_Miscanthus_Farming_HDPEHDPE</v>
      </c>
      <c r="B850" s="14" t="s">
        <v>134</v>
      </c>
      <c r="C850" s="14" t="s">
        <v>140</v>
      </c>
      <c r="D850" s="14" t="s">
        <v>29</v>
      </c>
      <c r="E850" s="48" t="s">
        <v>29</v>
      </c>
      <c r="F850" s="14" t="s">
        <v>31</v>
      </c>
      <c r="G850" s="14" t="b">
        <f>OR(LCI_Table[[#This Row],[Feedstock]]="All",LCI_Table[[#This Row],[Feedstock]]=SelectedFeedstock)</f>
        <v>0</v>
      </c>
      <c r="H850" s="14" t="b">
        <f>OR(LCI_Table[[#This Row],[Conversion]]="All",LCI_Table[[#This Row],[Conversion]]=SelectedConversion)</f>
        <v>0</v>
      </c>
      <c r="I850" s="14" t="b">
        <f>OR(LCI_Table[[#This Row],[Data Set]]="all",LCI_Table[[#This Row],[Data Set]]=SelectedDataSet)</f>
        <v>1</v>
      </c>
      <c r="J850" s="14" t="b">
        <f>OR(LCI_Table[[#This Row],[Technology]]="All",LCI_Table[[#This Row],[Technology]]=SelectedTechnology)</f>
        <v>1</v>
      </c>
      <c r="K850" s="14" t="b">
        <f>OR(LCI_Table[[#This Row],[Data Source]]="All",LCI_Table[[#This Row],[Data Source]]=SelectedDataSource)</f>
        <v>1</v>
      </c>
      <c r="L850" s="14" t="b">
        <f>TRUE</f>
        <v>1</v>
      </c>
      <c r="M850" s="14" t="b">
        <f>(LCI_Table[[#This Row],[Dev Notes]]="Do not display")</f>
        <v>0</v>
      </c>
      <c r="N850" s="14" t="b">
        <f>AND(LCI_Table[[#This Row],[Show Feedstock]:[Conditional]],NOT(LCI_Table[[#This Row],[Hide Row]]))</f>
        <v>0</v>
      </c>
      <c r="O850" s="14" t="b">
        <f>LCI_Table[[#This Row],[GREET1 Name Range]]=""</f>
        <v>0</v>
      </c>
      <c r="P850" s="14" t="s">
        <v>14</v>
      </c>
      <c r="Q850" s="14" t="s">
        <v>707</v>
      </c>
      <c r="R850" s="14" t="s">
        <v>357</v>
      </c>
      <c r="S850" s="37" cm="1">
        <f t="array" aca="1" ref="S8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1.4128890407658339E-2</v>
      </c>
      <c r="T850" s="346" t="s">
        <v>1485</v>
      </c>
      <c r="U850" s="347">
        <f ca="1">S850/S843*lb2g</f>
        <v>0.74400000000000155</v>
      </c>
      <c r="V850" s="347">
        <v>1.4128890407658339E-2</v>
      </c>
      <c r="W850" s="347">
        <v>0.74400000000000155</v>
      </c>
      <c r="X850" s="37" t="s">
        <v>12</v>
      </c>
      <c r="Y850" s="346" t="s">
        <v>413</v>
      </c>
      <c r="Z850" s="14" t="str">
        <f>IF(ISBLANK(LCI_Table[[#This Row],[Notes for user]])," ",LCI_Table[[#This Row],[Notes for user]])</f>
        <v xml:space="preserve"> </v>
      </c>
      <c r="AA850" s="14"/>
      <c r="AB850" s="14"/>
      <c r="AC850" s="346">
        <f ca="1">LCI_Table[[#This Row],[Default Calculated Value]]-LCI_Table[[#This Row],[Calculated Value]]</f>
        <v>0</v>
      </c>
    </row>
    <row r="851" spans="1:29" x14ac:dyDescent="0.3">
      <c r="A8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STJGREETGREET(blank)_Miscanthus_Farming_Residual_oilResidual oil</v>
      </c>
      <c r="B851" s="14" t="s">
        <v>134</v>
      </c>
      <c r="C851" s="14" t="s">
        <v>140</v>
      </c>
      <c r="D851" s="14" t="s">
        <v>29</v>
      </c>
      <c r="E851" s="48" t="s">
        <v>29</v>
      </c>
      <c r="F851" s="14" t="s">
        <v>31</v>
      </c>
      <c r="G851" s="14" t="b">
        <f>OR(LCI_Table[[#This Row],[Feedstock]]="All",LCI_Table[[#This Row],[Feedstock]]=SelectedFeedstock)</f>
        <v>0</v>
      </c>
      <c r="H851" s="14" t="b">
        <f>OR(LCI_Table[[#This Row],[Conversion]]="All",LCI_Table[[#This Row],[Conversion]]=SelectedConversion)</f>
        <v>0</v>
      </c>
      <c r="I851" s="14" t="b">
        <f>OR(LCI_Table[[#This Row],[Data Set]]="all",LCI_Table[[#This Row],[Data Set]]=SelectedDataSet)</f>
        <v>1</v>
      </c>
      <c r="J851" s="14" t="b">
        <f>OR(LCI_Table[[#This Row],[Technology]]="All",LCI_Table[[#This Row],[Technology]]=SelectedTechnology)</f>
        <v>1</v>
      </c>
      <c r="K851" s="14" t="b">
        <f>OR(LCI_Table[[#This Row],[Data Source]]="All",LCI_Table[[#This Row],[Data Source]]=SelectedDataSource)</f>
        <v>1</v>
      </c>
      <c r="L851" s="14" t="b">
        <f>TRUE</f>
        <v>1</v>
      </c>
      <c r="M851" s="14" t="b">
        <f>(LCI_Table[[#This Row],[Dev Notes]]="Do not display")</f>
        <v>0</v>
      </c>
      <c r="N851" s="14" t="b">
        <f>AND(LCI_Table[[#This Row],[Show Feedstock]:[Conditional]],NOT(LCI_Table[[#This Row],[Hide Row]]))</f>
        <v>0</v>
      </c>
      <c r="O851" s="14" t="b">
        <f>LCI_Table[[#This Row],[GREET1 Name Range]]=""</f>
        <v>0</v>
      </c>
      <c r="P851" s="14" t="s">
        <v>14</v>
      </c>
      <c r="Q851" s="14" t="s">
        <v>715</v>
      </c>
      <c r="R851" s="14" t="s">
        <v>115</v>
      </c>
      <c r="S851" s="37" cm="1">
        <f t="array" aca="1" ref="S8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51" s="346" t="s">
        <v>1484</v>
      </c>
      <c r="U851" s="347">
        <f ca="1">S851*Fuel_Specs!$B$28/S843</f>
        <v>0</v>
      </c>
      <c r="V851" s="347">
        <v>0</v>
      </c>
      <c r="W851" s="347">
        <v>0</v>
      </c>
      <c r="X851" s="37" t="s">
        <v>5</v>
      </c>
      <c r="Y851" s="346" t="s">
        <v>413</v>
      </c>
      <c r="Z851" s="14" t="str">
        <f>IF(ISBLANK(LCI_Table[[#This Row],[Notes for user]])," ",LCI_Table[[#This Row],[Notes for user]])</f>
        <v xml:space="preserve"> </v>
      </c>
      <c r="AA851" s="14"/>
      <c r="AB851" s="14"/>
      <c r="AC851" s="346">
        <f ca="1">LCI_Table[[#This Row],[Default Calculated Value]]-LCI_Table[[#This Row],[Calculated Value]]</f>
        <v>0</v>
      </c>
    </row>
    <row r="852" spans="1:29" x14ac:dyDescent="0.3">
      <c r="A8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STJGREETGREET(blank)_Miscanthus_Farming_DieselDiesel</v>
      </c>
      <c r="B852" s="14" t="s">
        <v>134</v>
      </c>
      <c r="C852" s="14" t="s">
        <v>140</v>
      </c>
      <c r="D852" s="14" t="s">
        <v>29</v>
      </c>
      <c r="E852" s="48" t="s">
        <v>29</v>
      </c>
      <c r="F852" s="14" t="s">
        <v>31</v>
      </c>
      <c r="G852" s="14" t="b">
        <f>OR(LCI_Table[[#This Row],[Feedstock]]="All",LCI_Table[[#This Row],[Feedstock]]=SelectedFeedstock)</f>
        <v>0</v>
      </c>
      <c r="H852" s="14" t="b">
        <f>OR(LCI_Table[[#This Row],[Conversion]]="All",LCI_Table[[#This Row],[Conversion]]=SelectedConversion)</f>
        <v>0</v>
      </c>
      <c r="I852" s="14" t="b">
        <f>OR(LCI_Table[[#This Row],[Data Set]]="all",LCI_Table[[#This Row],[Data Set]]=SelectedDataSet)</f>
        <v>1</v>
      </c>
      <c r="J852" s="14" t="b">
        <f>OR(LCI_Table[[#This Row],[Technology]]="All",LCI_Table[[#This Row],[Technology]]=SelectedTechnology)</f>
        <v>1</v>
      </c>
      <c r="K852" s="14" t="b">
        <f>OR(LCI_Table[[#This Row],[Data Source]]="All",LCI_Table[[#This Row],[Data Source]]=SelectedDataSource)</f>
        <v>1</v>
      </c>
      <c r="L852" s="14" t="b">
        <f>TRUE</f>
        <v>1</v>
      </c>
      <c r="M852" s="14" t="b">
        <f>(LCI_Table[[#This Row],[Dev Notes]]="Do not display")</f>
        <v>0</v>
      </c>
      <c r="N852" s="14" t="b">
        <f>AND(LCI_Table[[#This Row],[Show Feedstock]:[Conditional]],NOT(LCI_Table[[#This Row],[Hide Row]]))</f>
        <v>0</v>
      </c>
      <c r="O852" s="14" t="b">
        <f>LCI_Table[[#This Row],[GREET1 Name Range]]=""</f>
        <v>0</v>
      </c>
      <c r="P852" s="14" t="s">
        <v>14</v>
      </c>
      <c r="Q852" s="14" t="s">
        <v>704</v>
      </c>
      <c r="R852" s="14" t="s">
        <v>106</v>
      </c>
      <c r="S852" s="37" cm="1">
        <f t="array" aca="1" ref="S8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3.2139324221297554</v>
      </c>
      <c r="T852" s="346" t="s">
        <v>1484</v>
      </c>
      <c r="U852" s="347">
        <f ca="1">S852*Fuel_Specs!$B$19/S843</f>
        <v>47925.868072024008</v>
      </c>
      <c r="V852" s="347">
        <v>3.2139324221297554</v>
      </c>
      <c r="W852" s="347">
        <v>47925.868072024008</v>
      </c>
      <c r="X852" s="37" t="s">
        <v>5</v>
      </c>
      <c r="Y852" s="346" t="s">
        <v>413</v>
      </c>
      <c r="Z852" s="14" t="str">
        <f>IF(ISBLANK(LCI_Table[[#This Row],[Notes for user]])," ",LCI_Table[[#This Row],[Notes for user]])</f>
        <v xml:space="preserve"> </v>
      </c>
      <c r="AA852" s="14"/>
      <c r="AB852" s="14"/>
      <c r="AC852" s="346">
        <f ca="1">LCI_Table[[#This Row],[Default Calculated Value]]-LCI_Table[[#This Row],[Calculated Value]]</f>
        <v>0</v>
      </c>
    </row>
    <row r="853" spans="1:29" x14ac:dyDescent="0.3">
      <c r="A8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STJGREETGREET(blank)_Miscanthus_Farming_GasolineGasoline</v>
      </c>
      <c r="B853" s="14" t="s">
        <v>134</v>
      </c>
      <c r="C853" s="14" t="s">
        <v>140</v>
      </c>
      <c r="D853" s="14" t="s">
        <v>29</v>
      </c>
      <c r="E853" s="48" t="s">
        <v>29</v>
      </c>
      <c r="F853" s="14" t="s">
        <v>31</v>
      </c>
      <c r="G853" s="14" t="b">
        <f>OR(LCI_Table[[#This Row],[Feedstock]]="All",LCI_Table[[#This Row],[Feedstock]]=SelectedFeedstock)</f>
        <v>0</v>
      </c>
      <c r="H853" s="14" t="b">
        <f>OR(LCI_Table[[#This Row],[Conversion]]="All",LCI_Table[[#This Row],[Conversion]]=SelectedConversion)</f>
        <v>0</v>
      </c>
      <c r="I853" s="14" t="b">
        <f>OR(LCI_Table[[#This Row],[Data Set]]="all",LCI_Table[[#This Row],[Data Set]]=SelectedDataSet)</f>
        <v>1</v>
      </c>
      <c r="J853" s="14" t="b">
        <f>OR(LCI_Table[[#This Row],[Technology]]="All",LCI_Table[[#This Row],[Technology]]=SelectedTechnology)</f>
        <v>1</v>
      </c>
      <c r="K853" s="14" t="b">
        <f>OR(LCI_Table[[#This Row],[Data Source]]="All",LCI_Table[[#This Row],[Data Source]]=SelectedDataSource)</f>
        <v>1</v>
      </c>
      <c r="L853" s="14" t="b">
        <f>TRUE</f>
        <v>1</v>
      </c>
      <c r="M853" s="14" t="b">
        <f>(LCI_Table[[#This Row],[Dev Notes]]="Do not display")</f>
        <v>0</v>
      </c>
      <c r="N853" s="14" t="b">
        <f>AND(LCI_Table[[#This Row],[Show Feedstock]:[Conditional]],NOT(LCI_Table[[#This Row],[Hide Row]]))</f>
        <v>0</v>
      </c>
      <c r="O853" s="14" t="b">
        <f>LCI_Table[[#This Row],[GREET1 Name Range]]=""</f>
        <v>0</v>
      </c>
      <c r="P853" s="14" t="s">
        <v>14</v>
      </c>
      <c r="Q853" s="14" t="s">
        <v>706</v>
      </c>
      <c r="R853" s="14" t="s">
        <v>107</v>
      </c>
      <c r="S853" s="37" cm="1">
        <f t="array" aca="1" ref="S8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53" s="346" t="s">
        <v>1484</v>
      </c>
      <c r="U853" s="347">
        <f ca="1">S853*Fuel_Specs!$B$15/S843</f>
        <v>0</v>
      </c>
      <c r="V853" s="347">
        <v>0</v>
      </c>
      <c r="W853" s="347">
        <v>0</v>
      </c>
      <c r="X853" s="37" t="s">
        <v>5</v>
      </c>
      <c r="Y853" s="346" t="s">
        <v>413</v>
      </c>
      <c r="Z853" s="14" t="str">
        <f>IF(ISBLANK(LCI_Table[[#This Row],[Notes for user]])," ",LCI_Table[[#This Row],[Notes for user]])</f>
        <v xml:space="preserve"> </v>
      </c>
      <c r="AA853" s="14"/>
      <c r="AB853" s="14"/>
      <c r="AC853" s="346">
        <f ca="1">LCI_Table[[#This Row],[Default Calculated Value]]-LCI_Table[[#This Row],[Calculated Value]]</f>
        <v>0</v>
      </c>
    </row>
    <row r="854" spans="1:29" x14ac:dyDescent="0.3">
      <c r="A8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STJGREETGREET(blank)_Miscanthus_Farming_Natural_gasNatural gas</v>
      </c>
      <c r="B854" s="14" t="s">
        <v>134</v>
      </c>
      <c r="C854" s="14" t="s">
        <v>140</v>
      </c>
      <c r="D854" s="14" t="s">
        <v>29</v>
      </c>
      <c r="E854" s="48" t="s">
        <v>29</v>
      </c>
      <c r="F854" s="14" t="s">
        <v>31</v>
      </c>
      <c r="G854" s="14" t="b">
        <f>OR(LCI_Table[[#This Row],[Feedstock]]="All",LCI_Table[[#This Row],[Feedstock]]=SelectedFeedstock)</f>
        <v>0</v>
      </c>
      <c r="H854" s="14" t="b">
        <f>OR(LCI_Table[[#This Row],[Conversion]]="All",LCI_Table[[#This Row],[Conversion]]=SelectedConversion)</f>
        <v>0</v>
      </c>
      <c r="I854" s="14" t="b">
        <f>OR(LCI_Table[[#This Row],[Data Set]]="all",LCI_Table[[#This Row],[Data Set]]=SelectedDataSet)</f>
        <v>1</v>
      </c>
      <c r="J854" s="14" t="b">
        <f>OR(LCI_Table[[#This Row],[Technology]]="All",LCI_Table[[#This Row],[Technology]]=SelectedTechnology)</f>
        <v>1</v>
      </c>
      <c r="K854" s="14" t="b">
        <f>OR(LCI_Table[[#This Row],[Data Source]]="All",LCI_Table[[#This Row],[Data Source]]=SelectedDataSource)</f>
        <v>1</v>
      </c>
      <c r="L854" s="14" t="b">
        <f>TRUE</f>
        <v>1</v>
      </c>
      <c r="M854" s="14" t="b">
        <f>(LCI_Table[[#This Row],[Dev Notes]]="Do not display")</f>
        <v>0</v>
      </c>
      <c r="N854" s="14" t="b">
        <f>AND(LCI_Table[[#This Row],[Show Feedstock]:[Conditional]],NOT(LCI_Table[[#This Row],[Hide Row]]))</f>
        <v>0</v>
      </c>
      <c r="O854" s="14" t="b">
        <f>LCI_Table[[#This Row],[GREET1 Name Range]]=""</f>
        <v>0</v>
      </c>
      <c r="P854" s="14" t="s">
        <v>14</v>
      </c>
      <c r="Q854" s="14" t="s">
        <v>712</v>
      </c>
      <c r="R854" s="14" t="s">
        <v>108</v>
      </c>
      <c r="S854" s="37" cm="1">
        <f t="array" aca="1" ref="S8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54" s="346" t="s">
        <v>2109</v>
      </c>
      <c r="U854" s="347">
        <f ca="1">S854*Fuel_Specs!$B$79/S843</f>
        <v>0</v>
      </c>
      <c r="V854" s="347">
        <v>0</v>
      </c>
      <c r="W854" s="347">
        <v>0</v>
      </c>
      <c r="X854" s="37" t="s">
        <v>351</v>
      </c>
      <c r="Y854" s="346" t="s">
        <v>413</v>
      </c>
      <c r="Z854" s="14" t="str">
        <f>IF(ISBLANK(LCI_Table[[#This Row],[Notes for user]])," ",LCI_Table[[#This Row],[Notes for user]])</f>
        <v xml:space="preserve"> </v>
      </c>
      <c r="AA854" s="14"/>
      <c r="AB854" s="14"/>
      <c r="AC854" s="346">
        <f ca="1">LCI_Table[[#This Row],[Default Calculated Value]]-LCI_Table[[#This Row],[Calculated Value]]</f>
        <v>0</v>
      </c>
    </row>
    <row r="855" spans="1:29" x14ac:dyDescent="0.3">
      <c r="A8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STJGREETGREET(blank)_Miscanthus_Farming_CoalCoal</v>
      </c>
      <c r="B855" s="14" t="s">
        <v>134</v>
      </c>
      <c r="C855" s="14" t="s">
        <v>140</v>
      </c>
      <c r="D855" s="14" t="s">
        <v>29</v>
      </c>
      <c r="E855" s="48" t="s">
        <v>29</v>
      </c>
      <c r="F855" s="14" t="s">
        <v>31</v>
      </c>
      <c r="G855" s="14" t="b">
        <f>OR(LCI_Table[[#This Row],[Feedstock]]="All",LCI_Table[[#This Row],[Feedstock]]=SelectedFeedstock)</f>
        <v>0</v>
      </c>
      <c r="H855" s="14" t="b">
        <f>OR(LCI_Table[[#This Row],[Conversion]]="All",LCI_Table[[#This Row],[Conversion]]=SelectedConversion)</f>
        <v>0</v>
      </c>
      <c r="I855" s="14" t="b">
        <f>OR(LCI_Table[[#This Row],[Data Set]]="all",LCI_Table[[#This Row],[Data Set]]=SelectedDataSet)</f>
        <v>1</v>
      </c>
      <c r="J855" s="14" t="b">
        <f>OR(LCI_Table[[#This Row],[Technology]]="All",LCI_Table[[#This Row],[Technology]]=SelectedTechnology)</f>
        <v>1</v>
      </c>
      <c r="K855" s="14" t="b">
        <f>OR(LCI_Table[[#This Row],[Data Source]]="All",LCI_Table[[#This Row],[Data Source]]=SelectedDataSource)</f>
        <v>1</v>
      </c>
      <c r="L855" s="14" t="b">
        <f>TRUE</f>
        <v>1</v>
      </c>
      <c r="M855" s="14" t="b">
        <f>(LCI_Table[[#This Row],[Dev Notes]]="Do not display")</f>
        <v>0</v>
      </c>
      <c r="N855" s="14" t="b">
        <f>AND(LCI_Table[[#This Row],[Show Feedstock]:[Conditional]],NOT(LCI_Table[[#This Row],[Hide Row]]))</f>
        <v>0</v>
      </c>
      <c r="O855" s="14" t="b">
        <f>LCI_Table[[#This Row],[GREET1 Name Range]]=""</f>
        <v>0</v>
      </c>
      <c r="P855" s="14" t="s">
        <v>14</v>
      </c>
      <c r="Q855" s="14" t="s">
        <v>703</v>
      </c>
      <c r="R855" s="14" t="s">
        <v>9</v>
      </c>
      <c r="S855" s="37" cm="1">
        <f t="array" aca="1" ref="S8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55" s="346" t="s">
        <v>2110</v>
      </c>
      <c r="U855" s="347">
        <f ca="1">S855/S843</f>
        <v>0</v>
      </c>
      <c r="V855" s="347">
        <v>0</v>
      </c>
      <c r="W855" s="347">
        <v>0</v>
      </c>
      <c r="X855" s="37" t="s">
        <v>117</v>
      </c>
      <c r="Y855" s="346" t="s">
        <v>413</v>
      </c>
      <c r="Z855" s="14" t="str">
        <f>IF(ISBLANK(LCI_Table[[#This Row],[Notes for user]])," ",LCI_Table[[#This Row],[Notes for user]])</f>
        <v xml:space="preserve"> </v>
      </c>
      <c r="AA855" s="14"/>
      <c r="AB855" s="14"/>
      <c r="AC855" s="346">
        <f ca="1">LCI_Table[[#This Row],[Default Calculated Value]]-LCI_Table[[#This Row],[Calculated Value]]</f>
        <v>0</v>
      </c>
    </row>
    <row r="856" spans="1:29" x14ac:dyDescent="0.3">
      <c r="A8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STJGREETGREET(blank)_Miscanthus_Farming_LPGLPG</v>
      </c>
      <c r="B856" s="14" t="s">
        <v>134</v>
      </c>
      <c r="C856" s="14" t="s">
        <v>140</v>
      </c>
      <c r="D856" s="14" t="s">
        <v>29</v>
      </c>
      <c r="E856" s="48" t="s">
        <v>29</v>
      </c>
      <c r="F856" s="14" t="s">
        <v>31</v>
      </c>
      <c r="G856" s="14" t="b">
        <f>OR(LCI_Table[[#This Row],[Feedstock]]="All",LCI_Table[[#This Row],[Feedstock]]=SelectedFeedstock)</f>
        <v>0</v>
      </c>
      <c r="H856" s="14" t="b">
        <f>OR(LCI_Table[[#This Row],[Conversion]]="All",LCI_Table[[#This Row],[Conversion]]=SelectedConversion)</f>
        <v>0</v>
      </c>
      <c r="I856" s="14" t="b">
        <f>OR(LCI_Table[[#This Row],[Data Set]]="all",LCI_Table[[#This Row],[Data Set]]=SelectedDataSet)</f>
        <v>1</v>
      </c>
      <c r="J856" s="14" t="b">
        <f>OR(LCI_Table[[#This Row],[Technology]]="All",LCI_Table[[#This Row],[Technology]]=SelectedTechnology)</f>
        <v>1</v>
      </c>
      <c r="K856" s="14" t="b">
        <f>OR(LCI_Table[[#This Row],[Data Source]]="All",LCI_Table[[#This Row],[Data Source]]=SelectedDataSource)</f>
        <v>1</v>
      </c>
      <c r="L856" s="14" t="b">
        <f>TRUE</f>
        <v>1</v>
      </c>
      <c r="M856" s="14" t="b">
        <f>(LCI_Table[[#This Row],[Dev Notes]]="Do not display")</f>
        <v>0</v>
      </c>
      <c r="N856" s="14" t="b">
        <f>AND(LCI_Table[[#This Row],[Show Feedstock]:[Conditional]],NOT(LCI_Table[[#This Row],[Hide Row]]))</f>
        <v>0</v>
      </c>
      <c r="O856" s="14" t="b">
        <f>LCI_Table[[#This Row],[GREET1 Name Range]]=""</f>
        <v>0</v>
      </c>
      <c r="P856" s="14" t="s">
        <v>14</v>
      </c>
      <c r="Q856" s="14" t="s">
        <v>711</v>
      </c>
      <c r="R856" s="14" t="s">
        <v>109</v>
      </c>
      <c r="S856" s="37" cm="1">
        <f t="array" aca="1" ref="S8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56" s="346" t="s">
        <v>1484</v>
      </c>
      <c r="U856" s="347">
        <f ca="1">S856*Fuel_Specs!$B$35/S843</f>
        <v>0</v>
      </c>
      <c r="V856" s="347">
        <v>0</v>
      </c>
      <c r="W856" s="347">
        <v>0</v>
      </c>
      <c r="X856" s="37" t="s">
        <v>5</v>
      </c>
      <c r="Y856" s="346" t="s">
        <v>413</v>
      </c>
      <c r="Z856" s="14" t="str">
        <f>IF(ISBLANK(LCI_Table[[#This Row],[Notes for user]])," ",LCI_Table[[#This Row],[Notes for user]])</f>
        <v xml:space="preserve"> </v>
      </c>
      <c r="AA856" s="14"/>
      <c r="AB856" s="14"/>
      <c r="AC856" s="346">
        <f ca="1">LCI_Table[[#This Row],[Default Calculated Value]]-LCI_Table[[#This Row],[Calculated Value]]</f>
        <v>0</v>
      </c>
    </row>
    <row r="857" spans="1:29" x14ac:dyDescent="0.3">
      <c r="A8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STJGREETGREET(blank)_Miscanthus_Farming_ElectricityElectricity</v>
      </c>
      <c r="B857" s="14" t="s">
        <v>134</v>
      </c>
      <c r="C857" s="14" t="s">
        <v>140</v>
      </c>
      <c r="D857" s="14" t="s">
        <v>29</v>
      </c>
      <c r="E857" s="48" t="s">
        <v>29</v>
      </c>
      <c r="F857" s="14" t="s">
        <v>31</v>
      </c>
      <c r="G857" s="14" t="b">
        <f>OR(LCI_Table[[#This Row],[Feedstock]]="All",LCI_Table[[#This Row],[Feedstock]]=SelectedFeedstock)</f>
        <v>0</v>
      </c>
      <c r="H857" s="14" t="b">
        <f>OR(LCI_Table[[#This Row],[Conversion]]="All",LCI_Table[[#This Row],[Conversion]]=SelectedConversion)</f>
        <v>0</v>
      </c>
      <c r="I857" s="14" t="b">
        <f>OR(LCI_Table[[#This Row],[Data Set]]="all",LCI_Table[[#This Row],[Data Set]]=SelectedDataSet)</f>
        <v>1</v>
      </c>
      <c r="J857" s="14" t="b">
        <f>OR(LCI_Table[[#This Row],[Technology]]="All",LCI_Table[[#This Row],[Technology]]=SelectedTechnology)</f>
        <v>1</v>
      </c>
      <c r="K857" s="14" t="b">
        <f>OR(LCI_Table[[#This Row],[Data Source]]="All",LCI_Table[[#This Row],[Data Source]]=SelectedDataSource)</f>
        <v>1</v>
      </c>
      <c r="L857" s="14" t="b">
        <f>TRUE</f>
        <v>1</v>
      </c>
      <c r="M857" s="14" t="b">
        <f>(LCI_Table[[#This Row],[Dev Notes]]="Do not display")</f>
        <v>0</v>
      </c>
      <c r="N857" s="14" t="b">
        <f>AND(LCI_Table[[#This Row],[Show Feedstock]:[Conditional]],NOT(LCI_Table[[#This Row],[Hide Row]]))</f>
        <v>0</v>
      </c>
      <c r="O857" s="14" t="b">
        <f>LCI_Table[[#This Row],[GREET1 Name Range]]=""</f>
        <v>0</v>
      </c>
      <c r="P857" s="14" t="s">
        <v>14</v>
      </c>
      <c r="Q857" s="14" t="s">
        <v>705</v>
      </c>
      <c r="R857" s="14" t="s">
        <v>110</v>
      </c>
      <c r="S857" s="37" cm="1">
        <f t="array" aca="1" ref="S8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9.387422122233648</v>
      </c>
      <c r="T857" s="346" t="s">
        <v>1561</v>
      </c>
      <c r="U857" s="347">
        <f ca="1">S857/BTU2kWh/S843</f>
        <v>3718.5406764815002</v>
      </c>
      <c r="V857" s="347">
        <v>9.387422122233648</v>
      </c>
      <c r="W857" s="347">
        <v>3718.5406764815002</v>
      </c>
      <c r="X857" s="37" t="s">
        <v>51</v>
      </c>
      <c r="Y857" s="346" t="s">
        <v>413</v>
      </c>
      <c r="Z857" s="14" t="str">
        <f>IF(ISBLANK(LCI_Table[[#This Row],[Notes for user]])," ",LCI_Table[[#This Row],[Notes for user]])</f>
        <v xml:space="preserve"> </v>
      </c>
      <c r="AA857" s="14"/>
      <c r="AB857" s="14"/>
      <c r="AC857" s="346">
        <f ca="1">LCI_Table[[#This Row],[Default Calculated Value]]-LCI_Table[[#This Row],[Calculated Value]]</f>
        <v>0</v>
      </c>
    </row>
    <row r="858" spans="1:29" x14ac:dyDescent="0.3">
      <c r="A8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STJGREETGREET(blank)_Cellulosic_Catalytic_STJ_Corn_stoverMiscanthus</v>
      </c>
      <c r="B858" s="14" t="s">
        <v>134</v>
      </c>
      <c r="C858" s="14" t="s">
        <v>140</v>
      </c>
      <c r="D858" s="14" t="s">
        <v>29</v>
      </c>
      <c r="E858" s="48" t="s">
        <v>29</v>
      </c>
      <c r="F858" s="14" t="s">
        <v>31</v>
      </c>
      <c r="G858" s="14" t="b">
        <f>OR(LCI_Table[[#This Row],[Feedstock]]="All",LCI_Table[[#This Row],[Feedstock]]=SelectedFeedstock)</f>
        <v>0</v>
      </c>
      <c r="H858" s="14" t="b">
        <f>OR(LCI_Table[[#This Row],[Conversion]]="All",LCI_Table[[#This Row],[Conversion]]=SelectedConversion)</f>
        <v>0</v>
      </c>
      <c r="I858" s="14" t="b">
        <f>OR(LCI_Table[[#This Row],[Data Set]]="all",LCI_Table[[#This Row],[Data Set]]=SelectedDataSet)</f>
        <v>1</v>
      </c>
      <c r="J858" s="14" t="b">
        <f>OR(LCI_Table[[#This Row],[Technology]]="All",LCI_Table[[#This Row],[Technology]]=SelectedTechnology)</f>
        <v>1</v>
      </c>
      <c r="K858" s="14" t="b">
        <f>OR(LCI_Table[[#This Row],[Data Source]]="All",LCI_Table[[#This Row],[Data Source]]=SelectedDataSource)</f>
        <v>1</v>
      </c>
      <c r="L858" s="14" t="b">
        <f>TRUE</f>
        <v>1</v>
      </c>
      <c r="M858" s="14" t="b">
        <f>(LCI_Table[[#This Row],[Dev Notes]]="Do not display")</f>
        <v>0</v>
      </c>
      <c r="N858" s="14" t="b">
        <f>AND(LCI_Table[[#This Row],[Show Feedstock]:[Conditional]],NOT(LCI_Table[[#This Row],[Hide Row]]))</f>
        <v>0</v>
      </c>
      <c r="O858" s="14" t="b">
        <f>LCI_Table[[#This Row],[GREET1 Name Range]]=""</f>
        <v>0</v>
      </c>
      <c r="P858" s="14" t="s">
        <v>1448</v>
      </c>
      <c r="Q858" s="14" t="s">
        <v>548</v>
      </c>
      <c r="R858" s="14" t="s">
        <v>134</v>
      </c>
      <c r="S858" s="37" cm="1">
        <f t="array" aca="1" ref="S8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277.13020195600762</v>
      </c>
      <c r="T858" s="346" t="s">
        <v>2119</v>
      </c>
      <c r="U858" s="347">
        <f ca="1">S858/kg2lb/Allocations!$O$81*MJ2mmBTU</f>
        <v>0.11914454111960412</v>
      </c>
      <c r="V858" s="347">
        <v>277.13020195600762</v>
      </c>
      <c r="W858" s="347">
        <v>0.11914454111960412</v>
      </c>
      <c r="X858" s="37" t="s">
        <v>12</v>
      </c>
      <c r="Y858" s="346" t="s">
        <v>416</v>
      </c>
      <c r="Z858" s="14" t="str">
        <f>IF(ISBLANK(LCI_Table[[#This Row],[Notes for user]])," ",LCI_Table[[#This Row],[Notes for user]])</f>
        <v xml:space="preserve"> </v>
      </c>
      <c r="AA858" s="14"/>
      <c r="AB858" s="14"/>
      <c r="AC858" s="346">
        <f ca="1">LCI_Table[[#This Row],[Default Calculated Value]]-LCI_Table[[#This Row],[Calculated Value]]</f>
        <v>0</v>
      </c>
    </row>
    <row r="859" spans="1:29" x14ac:dyDescent="0.3">
      <c r="A8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STJGREETGREET(blank)_Cellulosic_Catalytic_STJ_HydrogenHydrogen</v>
      </c>
      <c r="B859" s="14" t="s">
        <v>134</v>
      </c>
      <c r="C859" s="14" t="s">
        <v>140</v>
      </c>
      <c r="D859" s="14" t="s">
        <v>29</v>
      </c>
      <c r="E859" s="48" t="s">
        <v>29</v>
      </c>
      <c r="F859" s="14" t="s">
        <v>31</v>
      </c>
      <c r="G859" s="14" t="b">
        <f>OR(LCI_Table[[#This Row],[Feedstock]]="All",LCI_Table[[#This Row],[Feedstock]]=SelectedFeedstock)</f>
        <v>0</v>
      </c>
      <c r="H859" s="14" t="b">
        <f>OR(LCI_Table[[#This Row],[Conversion]]="All",LCI_Table[[#This Row],[Conversion]]=SelectedConversion)</f>
        <v>0</v>
      </c>
      <c r="I859" s="14" t="b">
        <f>OR(LCI_Table[[#This Row],[Data Set]]="all",LCI_Table[[#This Row],[Data Set]]=SelectedDataSet)</f>
        <v>1</v>
      </c>
      <c r="J859" s="14" t="b">
        <f>OR(LCI_Table[[#This Row],[Technology]]="All",LCI_Table[[#This Row],[Technology]]=SelectedTechnology)</f>
        <v>1</v>
      </c>
      <c r="K859" s="14" t="b">
        <f>OR(LCI_Table[[#This Row],[Data Source]]="All",LCI_Table[[#This Row],[Data Source]]=SelectedDataSource)</f>
        <v>1</v>
      </c>
      <c r="L859" s="14" t="b">
        <f>TRUE</f>
        <v>1</v>
      </c>
      <c r="M859" s="14" t="b">
        <f>(LCI_Table[[#This Row],[Dev Notes]]="Do not display")</f>
        <v>0</v>
      </c>
      <c r="N859" s="14" t="b">
        <f>AND(LCI_Table[[#This Row],[Show Feedstock]:[Conditional]],NOT(LCI_Table[[#This Row],[Hide Row]]))</f>
        <v>0</v>
      </c>
      <c r="O859" s="14" t="b">
        <f>LCI_Table[[#This Row],[GREET1 Name Range]]=""</f>
        <v>0</v>
      </c>
      <c r="P859" s="14" t="s">
        <v>1448</v>
      </c>
      <c r="Q859" s="14" t="s">
        <v>553</v>
      </c>
      <c r="R859" s="14" t="s">
        <v>73</v>
      </c>
      <c r="S859" s="37" cm="1">
        <f t="array" aca="1" ref="S8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1820.5451247095659</v>
      </c>
      <c r="T859" s="346" t="s">
        <v>2120</v>
      </c>
      <c r="U859" s="347">
        <f ca="1">S859/kg2g*Fuel_Specs!$E$81/Allocations!$O$81*MJ2mmBTU</f>
        <v>4.4001367965585828E-3</v>
      </c>
      <c r="V859" s="347">
        <v>1820.5451247095659</v>
      </c>
      <c r="W859" s="347">
        <v>4.4001367965585828E-3</v>
      </c>
      <c r="X859" s="37" t="s">
        <v>351</v>
      </c>
      <c r="Y859" s="346" t="s">
        <v>416</v>
      </c>
      <c r="Z859" s="14" t="str">
        <f>IF(ISBLANK(LCI_Table[[#This Row],[Notes for user]])," ",LCI_Table[[#This Row],[Notes for user]])</f>
        <v xml:space="preserve"> </v>
      </c>
      <c r="AA859" s="14"/>
      <c r="AB859" s="14"/>
      <c r="AC859" s="346">
        <f ca="1">LCI_Table[[#This Row],[Default Calculated Value]]-LCI_Table[[#This Row],[Calculated Value]]</f>
        <v>0</v>
      </c>
    </row>
    <row r="860" spans="1:29" x14ac:dyDescent="0.3">
      <c r="A8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STJGREETGREET(blank)_Cellulosic_Catalytic_STJ_AmmoniaAmmonia</v>
      </c>
      <c r="B860" s="14" t="s">
        <v>134</v>
      </c>
      <c r="C860" s="14" t="s">
        <v>140</v>
      </c>
      <c r="D860" s="14" t="s">
        <v>29</v>
      </c>
      <c r="E860" s="48" t="s">
        <v>29</v>
      </c>
      <c r="F860" s="14" t="s">
        <v>31</v>
      </c>
      <c r="G860" s="14" t="b">
        <f>OR(LCI_Table[[#This Row],[Feedstock]]="All",LCI_Table[[#This Row],[Feedstock]]=SelectedFeedstock)</f>
        <v>0</v>
      </c>
      <c r="H860" s="14" t="b">
        <f>OR(LCI_Table[[#This Row],[Conversion]]="All",LCI_Table[[#This Row],[Conversion]]=SelectedConversion)</f>
        <v>0</v>
      </c>
      <c r="I860" s="14" t="b">
        <f>OR(LCI_Table[[#This Row],[Data Set]]="all",LCI_Table[[#This Row],[Data Set]]=SelectedDataSet)</f>
        <v>1</v>
      </c>
      <c r="J860" s="14" t="b">
        <f>OR(LCI_Table[[#This Row],[Technology]]="All",LCI_Table[[#This Row],[Technology]]=SelectedTechnology)</f>
        <v>1</v>
      </c>
      <c r="K860" s="14" t="b">
        <f>OR(LCI_Table[[#This Row],[Data Source]]="All",LCI_Table[[#This Row],[Data Source]]=SelectedDataSource)</f>
        <v>1</v>
      </c>
      <c r="L860" s="14" t="b">
        <f>TRUE</f>
        <v>1</v>
      </c>
      <c r="M860" s="14" t="b">
        <f>(LCI_Table[[#This Row],[Dev Notes]]="Do not display")</f>
        <v>0</v>
      </c>
      <c r="N860" s="14" t="b">
        <f>AND(LCI_Table[[#This Row],[Show Feedstock]:[Conditional]],NOT(LCI_Table[[#This Row],[Hide Row]]))</f>
        <v>0</v>
      </c>
      <c r="O860" s="14" t="b">
        <f>LCI_Table[[#This Row],[GREET1 Name Range]]=""</f>
        <v>0</v>
      </c>
      <c r="P860" s="14" t="s">
        <v>1448</v>
      </c>
      <c r="Q860" s="14" t="s">
        <v>544</v>
      </c>
      <c r="R860" s="14" t="s">
        <v>382</v>
      </c>
      <c r="S860" s="37" cm="1">
        <f t="array" aca="1" ref="S8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575.62257926708617</v>
      </c>
      <c r="T860" s="346" t="s">
        <v>2127</v>
      </c>
      <c r="U860" s="347">
        <f ca="1">S860/kg2g/Allocations!$O$81*MJ2mmBTU</f>
        <v>5.4558493682309436E-4</v>
      </c>
      <c r="V860" s="347">
        <v>575.62257926708617</v>
      </c>
      <c r="W860" s="347">
        <v>5.4558493682309436E-4</v>
      </c>
      <c r="X860" s="37" t="s">
        <v>6</v>
      </c>
      <c r="Y860" s="346" t="s">
        <v>416</v>
      </c>
      <c r="Z860" s="14" t="str">
        <f>IF(ISBLANK(LCI_Table[[#This Row],[Notes for user]])," ",LCI_Table[[#This Row],[Notes for user]])</f>
        <v xml:space="preserve"> </v>
      </c>
      <c r="AA860" s="14"/>
      <c r="AB860" s="14"/>
      <c r="AC860" s="346">
        <f ca="1">LCI_Table[[#This Row],[Default Calculated Value]]-LCI_Table[[#This Row],[Calculated Value]]</f>
        <v>0</v>
      </c>
    </row>
    <row r="861" spans="1:29" x14ac:dyDescent="0.3">
      <c r="A8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STJGREETGREET(blank)_Cellulosic_Catalytic_STJ_CatalystsCatalysts</v>
      </c>
      <c r="B861" s="14" t="s">
        <v>134</v>
      </c>
      <c r="C861" s="14" t="s">
        <v>140</v>
      </c>
      <c r="D861" s="14" t="s">
        <v>29</v>
      </c>
      <c r="E861" s="48" t="s">
        <v>29</v>
      </c>
      <c r="F861" s="14" t="s">
        <v>31</v>
      </c>
      <c r="G861" s="14" t="b">
        <f>OR(LCI_Table[[#This Row],[Feedstock]]="All",LCI_Table[[#This Row],[Feedstock]]=SelectedFeedstock)</f>
        <v>0</v>
      </c>
      <c r="H861" s="14" t="b">
        <f>OR(LCI_Table[[#This Row],[Conversion]]="All",LCI_Table[[#This Row],[Conversion]]=SelectedConversion)</f>
        <v>0</v>
      </c>
      <c r="I861" s="14" t="b">
        <f>OR(LCI_Table[[#This Row],[Data Set]]="all",LCI_Table[[#This Row],[Data Set]]=SelectedDataSet)</f>
        <v>1</v>
      </c>
      <c r="J861" s="14" t="b">
        <f>OR(LCI_Table[[#This Row],[Technology]]="All",LCI_Table[[#This Row],[Technology]]=SelectedTechnology)</f>
        <v>1</v>
      </c>
      <c r="K861" s="14" t="b">
        <f>OR(LCI_Table[[#This Row],[Data Source]]="All",LCI_Table[[#This Row],[Data Source]]=SelectedDataSource)</f>
        <v>1</v>
      </c>
      <c r="L861" s="14" t="b">
        <f>TRUE</f>
        <v>1</v>
      </c>
      <c r="M861" s="14" t="b">
        <f>(LCI_Table[[#This Row],[Dev Notes]]="Do not display")</f>
        <v>0</v>
      </c>
      <c r="N861" s="14" t="b">
        <f>AND(LCI_Table[[#This Row],[Show Feedstock]:[Conditional]],NOT(LCI_Table[[#This Row],[Hide Row]]))</f>
        <v>0</v>
      </c>
      <c r="O861" s="14" t="b">
        <f>LCI_Table[[#This Row],[GREET1 Name Range]]=""</f>
        <v>0</v>
      </c>
      <c r="P861" s="14" t="s">
        <v>1448</v>
      </c>
      <c r="Q861" s="14" t="s">
        <v>545</v>
      </c>
      <c r="R861" s="14" t="s">
        <v>142</v>
      </c>
      <c r="S861" s="37" cm="1">
        <f t="array" aca="1" ref="S8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13.27431524515293</v>
      </c>
      <c r="T861" s="346" t="s">
        <v>2127</v>
      </c>
      <c r="U861" s="347">
        <f ca="1">S861/kg2g/Allocations!$O$81*MJ2mmBTU</f>
        <v>1.2581623281035719E-5</v>
      </c>
      <c r="V861" s="347">
        <v>13.27431524515293</v>
      </c>
      <c r="W861" s="347">
        <v>1.2581623281035719E-5</v>
      </c>
      <c r="X861" s="37" t="s">
        <v>6</v>
      </c>
      <c r="Y861" s="346" t="s">
        <v>416</v>
      </c>
      <c r="Z861" s="14" t="str">
        <f>IF(ISBLANK(LCI_Table[[#This Row],[Notes for user]])," ",LCI_Table[[#This Row],[Notes for user]])</f>
        <v xml:space="preserve"> </v>
      </c>
      <c r="AA861" s="14"/>
      <c r="AB861" s="14"/>
      <c r="AC861" s="346">
        <f ca="1">LCI_Table[[#This Row],[Default Calculated Value]]-LCI_Table[[#This Row],[Calculated Value]]</f>
        <v>0</v>
      </c>
    </row>
    <row r="862" spans="1:29" x14ac:dyDescent="0.3">
      <c r="A8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STJGREETGREET(blank)_Cellulosic_Catalytic_STJ_Corn_oilDistillers Corn Oil</v>
      </c>
      <c r="B862" s="14" t="s">
        <v>134</v>
      </c>
      <c r="C862" s="14" t="s">
        <v>140</v>
      </c>
      <c r="D862" s="14" t="s">
        <v>29</v>
      </c>
      <c r="E862" s="48" t="s">
        <v>29</v>
      </c>
      <c r="F862" s="14" t="s">
        <v>31</v>
      </c>
      <c r="G862" s="14" t="b">
        <f>OR(LCI_Table[[#This Row],[Feedstock]]="All",LCI_Table[[#This Row],[Feedstock]]=SelectedFeedstock)</f>
        <v>0</v>
      </c>
      <c r="H862" s="14" t="b">
        <f>OR(LCI_Table[[#This Row],[Conversion]]="All",LCI_Table[[#This Row],[Conversion]]=SelectedConversion)</f>
        <v>0</v>
      </c>
      <c r="I862" s="14" t="b">
        <f>OR(LCI_Table[[#This Row],[Data Set]]="all",LCI_Table[[#This Row],[Data Set]]=SelectedDataSet)</f>
        <v>1</v>
      </c>
      <c r="J862" s="14" t="b">
        <f>OR(LCI_Table[[#This Row],[Technology]]="All",LCI_Table[[#This Row],[Technology]]=SelectedTechnology)</f>
        <v>1</v>
      </c>
      <c r="K862" s="14" t="b">
        <f>OR(LCI_Table[[#This Row],[Data Source]]="All",LCI_Table[[#This Row],[Data Source]]=SelectedDataSource)</f>
        <v>1</v>
      </c>
      <c r="L862" s="14" t="b">
        <f>TRUE</f>
        <v>1</v>
      </c>
      <c r="M862" s="14" t="b">
        <f>(LCI_Table[[#This Row],[Dev Notes]]="Do not display")</f>
        <v>0</v>
      </c>
      <c r="N862" s="14" t="b">
        <f>AND(LCI_Table[[#This Row],[Show Feedstock]:[Conditional]],NOT(LCI_Table[[#This Row],[Hide Row]]))</f>
        <v>0</v>
      </c>
      <c r="O862" s="14" t="b">
        <f>LCI_Table[[#This Row],[GREET1 Name Range]]=""</f>
        <v>0</v>
      </c>
      <c r="P862" s="14" t="s">
        <v>1448</v>
      </c>
      <c r="Q862" s="14" t="s">
        <v>546</v>
      </c>
      <c r="R862" s="14" t="s">
        <v>1911</v>
      </c>
      <c r="S862" s="37" cm="1">
        <f t="array" aca="1" ref="S8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8.4472915196427731</v>
      </c>
      <c r="T862" s="346" t="s">
        <v>2127</v>
      </c>
      <c r="U862" s="347">
        <f ca="1">S862/kg2g/Allocations!$O$81*MJ2mmBTU</f>
        <v>8.0064875424772737E-6</v>
      </c>
      <c r="V862" s="347">
        <v>8.4472915196427731</v>
      </c>
      <c r="W862" s="347">
        <v>8.0064875424772737E-6</v>
      </c>
      <c r="X862" s="37" t="s">
        <v>6</v>
      </c>
      <c r="Y862" s="346" t="s">
        <v>416</v>
      </c>
      <c r="Z862" s="14" t="str">
        <f>IF(ISBLANK(LCI_Table[[#This Row],[Notes for user]])," ",LCI_Table[[#This Row],[Notes for user]])</f>
        <v xml:space="preserve"> </v>
      </c>
      <c r="AA862" s="14"/>
      <c r="AB862" s="14"/>
      <c r="AC862" s="346">
        <f ca="1">LCI_Table[[#This Row],[Default Calculated Value]]-LCI_Table[[#This Row],[Calculated Value]]</f>
        <v>0</v>
      </c>
    </row>
    <row r="863" spans="1:29" x14ac:dyDescent="0.3">
      <c r="A8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STJGREETGREET(blank)_Cellulosic_Catalytic_STJ_Corn_steep_liquorCorn steep liquor</v>
      </c>
      <c r="B863" s="14" t="s">
        <v>134</v>
      </c>
      <c r="C863" s="14" t="s">
        <v>140</v>
      </c>
      <c r="D863" s="14" t="s">
        <v>29</v>
      </c>
      <c r="E863" s="48" t="s">
        <v>29</v>
      </c>
      <c r="F863" s="14" t="s">
        <v>31</v>
      </c>
      <c r="G863" s="14" t="b">
        <f>OR(LCI_Table[[#This Row],[Feedstock]]="All",LCI_Table[[#This Row],[Feedstock]]=SelectedFeedstock)</f>
        <v>0</v>
      </c>
      <c r="H863" s="14" t="b">
        <f>OR(LCI_Table[[#This Row],[Conversion]]="All",LCI_Table[[#This Row],[Conversion]]=SelectedConversion)</f>
        <v>0</v>
      </c>
      <c r="I863" s="14" t="b">
        <f>OR(LCI_Table[[#This Row],[Data Set]]="all",LCI_Table[[#This Row],[Data Set]]=SelectedDataSet)</f>
        <v>1</v>
      </c>
      <c r="J863" s="14" t="b">
        <f>OR(LCI_Table[[#This Row],[Technology]]="All",LCI_Table[[#This Row],[Technology]]=SelectedTechnology)</f>
        <v>1</v>
      </c>
      <c r="K863" s="14" t="b">
        <f>OR(LCI_Table[[#This Row],[Data Source]]="All",LCI_Table[[#This Row],[Data Source]]=SelectedDataSource)</f>
        <v>1</v>
      </c>
      <c r="L863" s="14" t="b">
        <f>TRUE</f>
        <v>1</v>
      </c>
      <c r="M863" s="14" t="b">
        <f>(LCI_Table[[#This Row],[Dev Notes]]="Do not display")</f>
        <v>0</v>
      </c>
      <c r="N863" s="14" t="b">
        <f>AND(LCI_Table[[#This Row],[Show Feedstock]:[Conditional]],NOT(LCI_Table[[#This Row],[Hide Row]]))</f>
        <v>0</v>
      </c>
      <c r="O863" s="14" t="b">
        <f>LCI_Table[[#This Row],[GREET1 Name Range]]=""</f>
        <v>0</v>
      </c>
      <c r="P863" s="14" t="s">
        <v>1448</v>
      </c>
      <c r="Q863" s="14" t="s">
        <v>547</v>
      </c>
      <c r="R863" s="14" t="s">
        <v>386</v>
      </c>
      <c r="S863" s="37" cm="1">
        <f t="array" aca="1" ref="S8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100.16074230433574</v>
      </c>
      <c r="T863" s="346" t="s">
        <v>2127</v>
      </c>
      <c r="U863" s="347">
        <f ca="1">S863/kg2g/Allocations!$O$81*MJ2mmBTU</f>
        <v>9.4934066575087697E-5</v>
      </c>
      <c r="V863" s="347">
        <v>100.16074230433574</v>
      </c>
      <c r="W863" s="347">
        <v>9.4934066575087697E-5</v>
      </c>
      <c r="X863" s="37" t="s">
        <v>6</v>
      </c>
      <c r="Y863" s="346" t="s">
        <v>416</v>
      </c>
      <c r="Z863" s="14" t="str">
        <f>IF(ISBLANK(LCI_Table[[#This Row],[Notes for user]])," ",LCI_Table[[#This Row],[Notes for user]])</f>
        <v xml:space="preserve"> </v>
      </c>
      <c r="AA863" s="14"/>
      <c r="AB863" s="14"/>
      <c r="AC863" s="346">
        <f ca="1">LCI_Table[[#This Row],[Default Calculated Value]]-LCI_Table[[#This Row],[Calculated Value]]</f>
        <v>0</v>
      </c>
    </row>
    <row r="864" spans="1:29" x14ac:dyDescent="0.3">
      <c r="A8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STJGREETGREET(blank)_Cellulosic_Catalytic_STJ_GlucoseGlucose</v>
      </c>
      <c r="B864" s="14" t="s">
        <v>134</v>
      </c>
      <c r="C864" s="14" t="s">
        <v>140</v>
      </c>
      <c r="D864" s="14" t="s">
        <v>29</v>
      </c>
      <c r="E864" s="48" t="s">
        <v>29</v>
      </c>
      <c r="F864" s="14" t="s">
        <v>31</v>
      </c>
      <c r="G864" s="14" t="b">
        <f>OR(LCI_Table[[#This Row],[Feedstock]]="All",LCI_Table[[#This Row],[Feedstock]]=SelectedFeedstock)</f>
        <v>0</v>
      </c>
      <c r="H864" s="14" t="b">
        <f>OR(LCI_Table[[#This Row],[Conversion]]="All",LCI_Table[[#This Row],[Conversion]]=SelectedConversion)</f>
        <v>0</v>
      </c>
      <c r="I864" s="14" t="b">
        <f>OR(LCI_Table[[#This Row],[Data Set]]="all",LCI_Table[[#This Row],[Data Set]]=SelectedDataSet)</f>
        <v>1</v>
      </c>
      <c r="J864" s="14" t="b">
        <f>OR(LCI_Table[[#This Row],[Technology]]="All",LCI_Table[[#This Row],[Technology]]=SelectedTechnology)</f>
        <v>1</v>
      </c>
      <c r="K864" s="14" t="b">
        <f>OR(LCI_Table[[#This Row],[Data Source]]="All",LCI_Table[[#This Row],[Data Source]]=SelectedDataSource)</f>
        <v>1</v>
      </c>
      <c r="L864" s="14" t="b">
        <f>TRUE</f>
        <v>1</v>
      </c>
      <c r="M864" s="14" t="b">
        <f>(LCI_Table[[#This Row],[Dev Notes]]="Do not display")</f>
        <v>0</v>
      </c>
      <c r="N864" s="14" t="b">
        <f>AND(LCI_Table[[#This Row],[Show Feedstock]:[Conditional]],NOT(LCI_Table[[#This Row],[Hide Row]]))</f>
        <v>0</v>
      </c>
      <c r="O864" s="14" t="b">
        <f>LCI_Table[[#This Row],[GREET1 Name Range]]=""</f>
        <v>0</v>
      </c>
      <c r="P864" s="14" t="s">
        <v>1448</v>
      </c>
      <c r="Q864" s="14" t="s">
        <v>550</v>
      </c>
      <c r="R864" s="14" t="s">
        <v>387</v>
      </c>
      <c r="S864" s="37" cm="1">
        <f t="array" aca="1" ref="S8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1463.7949447609549</v>
      </c>
      <c r="T864" s="346" t="s">
        <v>2127</v>
      </c>
      <c r="U864" s="347">
        <f ca="1">S864/kg2g/Allocations!$O$81*MJ2mmBTU</f>
        <v>1.3874099127178477E-3</v>
      </c>
      <c r="V864" s="347">
        <v>1463.7949447609549</v>
      </c>
      <c r="W864" s="347">
        <v>1.3874099127178477E-3</v>
      </c>
      <c r="X864" s="37" t="s">
        <v>6</v>
      </c>
      <c r="Y864" s="346" t="s">
        <v>416</v>
      </c>
      <c r="Z864" s="14" t="str">
        <f>IF(ISBLANK(LCI_Table[[#This Row],[Notes for user]])," ",LCI_Table[[#This Row],[Notes for user]])</f>
        <v xml:space="preserve"> </v>
      </c>
      <c r="AA864" s="14"/>
      <c r="AB864" s="14"/>
      <c r="AC864" s="346">
        <f ca="1">LCI_Table[[#This Row],[Default Calculated Value]]-LCI_Table[[#This Row],[Calculated Value]]</f>
        <v>0</v>
      </c>
    </row>
    <row r="865" spans="1:29" x14ac:dyDescent="0.3">
      <c r="A8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STJGREETGREET(blank)_Cellulosic_Catalytic_STJ_HClHCl</v>
      </c>
      <c r="B865" s="14" t="s">
        <v>134</v>
      </c>
      <c r="C865" s="14" t="s">
        <v>140</v>
      </c>
      <c r="D865" s="14" t="s">
        <v>29</v>
      </c>
      <c r="E865" s="48" t="s">
        <v>29</v>
      </c>
      <c r="F865" s="14" t="s">
        <v>31</v>
      </c>
      <c r="G865" s="14" t="b">
        <f>OR(LCI_Table[[#This Row],[Feedstock]]="All",LCI_Table[[#This Row],[Feedstock]]=SelectedFeedstock)</f>
        <v>0</v>
      </c>
      <c r="H865" s="14" t="b">
        <f>OR(LCI_Table[[#This Row],[Conversion]]="All",LCI_Table[[#This Row],[Conversion]]=SelectedConversion)</f>
        <v>0</v>
      </c>
      <c r="I865" s="14" t="b">
        <f>OR(LCI_Table[[#This Row],[Data Set]]="all",LCI_Table[[#This Row],[Data Set]]=SelectedDataSet)</f>
        <v>1</v>
      </c>
      <c r="J865" s="14" t="b">
        <f>OR(LCI_Table[[#This Row],[Technology]]="All",LCI_Table[[#This Row],[Technology]]=SelectedTechnology)</f>
        <v>1</v>
      </c>
      <c r="K865" s="14" t="b">
        <f>OR(LCI_Table[[#This Row],[Data Source]]="All",LCI_Table[[#This Row],[Data Source]]=SelectedDataSource)</f>
        <v>1</v>
      </c>
      <c r="L865" s="14" t="b">
        <f>TRUE</f>
        <v>1</v>
      </c>
      <c r="M865" s="14" t="b">
        <f>(LCI_Table[[#This Row],[Dev Notes]]="Do not display")</f>
        <v>0</v>
      </c>
      <c r="N865" s="14" t="b">
        <f>AND(LCI_Table[[#This Row],[Show Feedstock]:[Conditional]],NOT(LCI_Table[[#This Row],[Hide Row]]))</f>
        <v>0</v>
      </c>
      <c r="O865" s="14" t="b">
        <f>LCI_Table[[#This Row],[GREET1 Name Range]]=""</f>
        <v>0</v>
      </c>
      <c r="P865" s="14" t="s">
        <v>1448</v>
      </c>
      <c r="Q865" s="14" t="s">
        <v>551</v>
      </c>
      <c r="R865" s="14" t="s">
        <v>399</v>
      </c>
      <c r="S865" s="37" cm="1">
        <f t="array" aca="1" ref="S8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1353.9801550055988</v>
      </c>
      <c r="T865" s="346" t="s">
        <v>2127</v>
      </c>
      <c r="U865" s="347">
        <f ca="1">S865/kg2g/Allocations!$O$81*MJ2mmBTU</f>
        <v>1.2833255746656433E-3</v>
      </c>
      <c r="V865" s="347">
        <v>1353.9801550055988</v>
      </c>
      <c r="W865" s="347">
        <v>1.2833255746656433E-3</v>
      </c>
      <c r="X865" s="37" t="s">
        <v>6</v>
      </c>
      <c r="Y865" s="346" t="s">
        <v>416</v>
      </c>
      <c r="Z865" s="14" t="str">
        <f>IF(ISBLANK(LCI_Table[[#This Row],[Notes for user]])," ",LCI_Table[[#This Row],[Notes for user]])</f>
        <v xml:space="preserve"> </v>
      </c>
      <c r="AA865" s="14"/>
      <c r="AB865" s="14"/>
      <c r="AC865" s="346">
        <f ca="1">LCI_Table[[#This Row],[Default Calculated Value]]-LCI_Table[[#This Row],[Calculated Value]]</f>
        <v>0</v>
      </c>
    </row>
    <row r="866" spans="1:29" x14ac:dyDescent="0.3">
      <c r="A8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STJGREETGREET(blank)_Cellulosic_Catalytic_STJ_Host_nutrientsHost nutrients</v>
      </c>
      <c r="B866" s="14" t="s">
        <v>134</v>
      </c>
      <c r="C866" s="14" t="s">
        <v>140</v>
      </c>
      <c r="D866" s="14" t="s">
        <v>29</v>
      </c>
      <c r="E866" s="48" t="s">
        <v>29</v>
      </c>
      <c r="F866" s="14" t="s">
        <v>31</v>
      </c>
      <c r="G866" s="14" t="b">
        <f>OR(LCI_Table[[#This Row],[Feedstock]]="All",LCI_Table[[#This Row],[Feedstock]]=SelectedFeedstock)</f>
        <v>0</v>
      </c>
      <c r="H866" s="14" t="b">
        <f>OR(LCI_Table[[#This Row],[Conversion]]="All",LCI_Table[[#This Row],[Conversion]]=SelectedConversion)</f>
        <v>0</v>
      </c>
      <c r="I866" s="14" t="b">
        <f>OR(LCI_Table[[#This Row],[Data Set]]="all",LCI_Table[[#This Row],[Data Set]]=SelectedDataSet)</f>
        <v>1</v>
      </c>
      <c r="J866" s="14" t="b">
        <f>OR(LCI_Table[[#This Row],[Technology]]="All",LCI_Table[[#This Row],[Technology]]=SelectedTechnology)</f>
        <v>1</v>
      </c>
      <c r="K866" s="14" t="b">
        <f>OR(LCI_Table[[#This Row],[Data Source]]="All",LCI_Table[[#This Row],[Data Source]]=SelectedDataSource)</f>
        <v>1</v>
      </c>
      <c r="L866" s="14" t="b">
        <f>TRUE</f>
        <v>1</v>
      </c>
      <c r="M866" s="14" t="b">
        <f>(LCI_Table[[#This Row],[Dev Notes]]="Do not display")</f>
        <v>0</v>
      </c>
      <c r="N866" s="14" t="b">
        <f>AND(LCI_Table[[#This Row],[Show Feedstock]:[Conditional]],NOT(LCI_Table[[#This Row],[Hide Row]]))</f>
        <v>0</v>
      </c>
      <c r="O866" s="14" t="b">
        <f>LCI_Table[[#This Row],[GREET1 Name Range]]=""</f>
        <v>0</v>
      </c>
      <c r="P866" s="14" t="s">
        <v>1448</v>
      </c>
      <c r="Q866" s="14" t="s">
        <v>552</v>
      </c>
      <c r="R866" s="14" t="s">
        <v>388</v>
      </c>
      <c r="S866" s="37" cm="1">
        <f t="array" aca="1" ref="S8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41.029701666836324</v>
      </c>
      <c r="T866" s="346" t="s">
        <v>2127</v>
      </c>
      <c r="U866" s="347">
        <f ca="1">S866/kg2g/Allocations!$O$81*MJ2mmBTU</f>
        <v>3.8888653777746761E-5</v>
      </c>
      <c r="V866" s="347">
        <v>41.029701666836324</v>
      </c>
      <c r="W866" s="347">
        <v>3.8888653777746761E-5</v>
      </c>
      <c r="X866" s="37" t="s">
        <v>6</v>
      </c>
      <c r="Y866" s="346" t="s">
        <v>416</v>
      </c>
      <c r="Z866" s="14" t="str">
        <f>IF(ISBLANK(LCI_Table[[#This Row],[Notes for user]])," ",LCI_Table[[#This Row],[Notes for user]])</f>
        <v xml:space="preserve"> </v>
      </c>
      <c r="AA866" s="14"/>
      <c r="AB866" s="14"/>
      <c r="AC866" s="346">
        <f ca="1">LCI_Table[[#This Row],[Default Calculated Value]]-LCI_Table[[#This Row],[Calculated Value]]</f>
        <v>0</v>
      </c>
    </row>
    <row r="867" spans="1:29" x14ac:dyDescent="0.3">
      <c r="A8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STJGREETGREET(blank)_Cellulosic_Catalytic_STJ_LimeLime</v>
      </c>
      <c r="B867" s="14" t="s">
        <v>134</v>
      </c>
      <c r="C867" s="14" t="s">
        <v>140</v>
      </c>
      <c r="D867" s="14" t="s">
        <v>29</v>
      </c>
      <c r="E867" s="48" t="s">
        <v>29</v>
      </c>
      <c r="F867" s="14" t="s">
        <v>31</v>
      </c>
      <c r="G867" s="14" t="b">
        <f>OR(LCI_Table[[#This Row],[Feedstock]]="All",LCI_Table[[#This Row],[Feedstock]]=SelectedFeedstock)</f>
        <v>0</v>
      </c>
      <c r="H867" s="14" t="b">
        <f>OR(LCI_Table[[#This Row],[Conversion]]="All",LCI_Table[[#This Row],[Conversion]]=SelectedConversion)</f>
        <v>0</v>
      </c>
      <c r="I867" s="14" t="b">
        <f>OR(LCI_Table[[#This Row],[Data Set]]="all",LCI_Table[[#This Row],[Data Set]]=SelectedDataSet)</f>
        <v>1</v>
      </c>
      <c r="J867" s="14" t="b">
        <f>OR(LCI_Table[[#This Row],[Technology]]="All",LCI_Table[[#This Row],[Technology]]=SelectedTechnology)</f>
        <v>1</v>
      </c>
      <c r="K867" s="14" t="b">
        <f>OR(LCI_Table[[#This Row],[Data Source]]="All",LCI_Table[[#This Row],[Data Source]]=SelectedDataSource)</f>
        <v>1</v>
      </c>
      <c r="L867" s="14" t="b">
        <f>TRUE</f>
        <v>1</v>
      </c>
      <c r="M867" s="14" t="b">
        <f>(LCI_Table[[#This Row],[Dev Notes]]="Do not display")</f>
        <v>0</v>
      </c>
      <c r="N867" s="14" t="b">
        <f>AND(LCI_Table[[#This Row],[Show Feedstock]:[Conditional]],NOT(LCI_Table[[#This Row],[Hide Row]]))</f>
        <v>0</v>
      </c>
      <c r="O867" s="14" t="b">
        <f>LCI_Table[[#This Row],[GREET1 Name Range]]=""</f>
        <v>0</v>
      </c>
      <c r="P867" s="14" t="s">
        <v>1448</v>
      </c>
      <c r="Q867" s="14" t="s">
        <v>554</v>
      </c>
      <c r="R867" s="14" t="s">
        <v>143</v>
      </c>
      <c r="S867" s="37" cm="1">
        <f t="array" aca="1" ref="S8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217.21606764795703</v>
      </c>
      <c r="T867" s="346" t="s">
        <v>2127</v>
      </c>
      <c r="U867" s="347">
        <f ca="1">S867/kg2g/Allocations!$O$81*MJ2mmBTU</f>
        <v>2.0588110823512994E-4</v>
      </c>
      <c r="V867" s="347">
        <v>217.21606764795703</v>
      </c>
      <c r="W867" s="347">
        <v>2.0588110823512994E-4</v>
      </c>
      <c r="X867" s="14" t="s">
        <v>6</v>
      </c>
      <c r="Y867" s="346" t="s">
        <v>416</v>
      </c>
      <c r="Z867" s="14" t="str">
        <f>IF(ISBLANK(LCI_Table[[#This Row],[Notes for user]])," ",LCI_Table[[#This Row],[Notes for user]])</f>
        <v xml:space="preserve"> </v>
      </c>
      <c r="AA867" s="14"/>
      <c r="AB867" s="14"/>
      <c r="AC867" s="346">
        <f ca="1">LCI_Table[[#This Row],[Default Calculated Value]]-LCI_Table[[#This Row],[Calculated Value]]</f>
        <v>0</v>
      </c>
    </row>
    <row r="868" spans="1:29" x14ac:dyDescent="0.3">
      <c r="A8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STJGREETGREET(blank)_Cellulosic_Catalytic_STJ_SulfuricAcidSulfuric acid</v>
      </c>
      <c r="B868" s="14" t="s">
        <v>134</v>
      </c>
      <c r="C868" s="14" t="s">
        <v>140</v>
      </c>
      <c r="D868" s="14" t="s">
        <v>29</v>
      </c>
      <c r="E868" s="48" t="s">
        <v>29</v>
      </c>
      <c r="F868" s="14" t="s">
        <v>31</v>
      </c>
      <c r="G868" s="14" t="b">
        <f>OR(LCI_Table[[#This Row],[Feedstock]]="All",LCI_Table[[#This Row],[Feedstock]]=SelectedFeedstock)</f>
        <v>0</v>
      </c>
      <c r="H868" s="14" t="b">
        <f>OR(LCI_Table[[#This Row],[Conversion]]="All",LCI_Table[[#This Row],[Conversion]]=SelectedConversion)</f>
        <v>0</v>
      </c>
      <c r="I868" s="14" t="b">
        <f>OR(LCI_Table[[#This Row],[Data Set]]="all",LCI_Table[[#This Row],[Data Set]]=SelectedDataSet)</f>
        <v>1</v>
      </c>
      <c r="J868" s="14" t="b">
        <f>OR(LCI_Table[[#This Row],[Technology]]="All",LCI_Table[[#This Row],[Technology]]=SelectedTechnology)</f>
        <v>1</v>
      </c>
      <c r="K868" s="14" t="b">
        <f>OR(LCI_Table[[#This Row],[Data Source]]="All",LCI_Table[[#This Row],[Data Source]]=SelectedDataSource)</f>
        <v>1</v>
      </c>
      <c r="L868" s="14" t="b">
        <f>TRUE</f>
        <v>1</v>
      </c>
      <c r="M868" s="14" t="b">
        <f>(LCI_Table[[#This Row],[Dev Notes]]="Do not display")</f>
        <v>0</v>
      </c>
      <c r="N868" s="14" t="b">
        <f>AND(LCI_Table[[#This Row],[Show Feedstock]:[Conditional]],NOT(LCI_Table[[#This Row],[Hide Row]]))</f>
        <v>0</v>
      </c>
      <c r="O868" s="14" t="b">
        <f>LCI_Table[[#This Row],[GREET1 Name Range]]=""</f>
        <v>0</v>
      </c>
      <c r="P868" s="14" t="s">
        <v>1448</v>
      </c>
      <c r="Q868" s="14" t="s">
        <v>935</v>
      </c>
      <c r="R868" s="14" t="s">
        <v>384</v>
      </c>
      <c r="S868" s="37" cm="1">
        <f t="array" aca="1" ref="S8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2703.133286285688</v>
      </c>
      <c r="T868" s="346" t="s">
        <v>2127</v>
      </c>
      <c r="U868" s="347">
        <f ca="1">S868/kg2g/Allocations!$O$81*MJ2mmBTU</f>
        <v>2.5620760135927284E-3</v>
      </c>
      <c r="V868" s="347">
        <v>2703.133286285688</v>
      </c>
      <c r="W868" s="347">
        <v>2.5620760135927284E-3</v>
      </c>
      <c r="X868" s="37" t="s">
        <v>6</v>
      </c>
      <c r="Y868" s="346" t="s">
        <v>416</v>
      </c>
      <c r="Z868" s="14" t="str">
        <f>IF(ISBLANK(LCI_Table[[#This Row],[Notes for user]])," ",LCI_Table[[#This Row],[Notes for user]])</f>
        <v xml:space="preserve"> </v>
      </c>
      <c r="AA868" s="14"/>
      <c r="AB868" s="14"/>
      <c r="AC868" s="346">
        <f ca="1">LCI_Table[[#This Row],[Default Calculated Value]]-LCI_Table[[#This Row],[Calculated Value]]</f>
        <v>0</v>
      </c>
    </row>
    <row r="869" spans="1:29" x14ac:dyDescent="0.3">
      <c r="A8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STJGREETGREET(blank)_Cellulosic_Catalytic_STJ_WaterWater</v>
      </c>
      <c r="B869" s="14" t="s">
        <v>134</v>
      </c>
      <c r="C869" s="14" t="s">
        <v>140</v>
      </c>
      <c r="D869" s="14" t="s">
        <v>29</v>
      </c>
      <c r="E869" s="48" t="s">
        <v>29</v>
      </c>
      <c r="F869" s="14" t="s">
        <v>31</v>
      </c>
      <c r="G869" s="14" t="b">
        <f>OR(LCI_Table[[#This Row],[Feedstock]]="All",LCI_Table[[#This Row],[Feedstock]]=SelectedFeedstock)</f>
        <v>0</v>
      </c>
      <c r="H869" s="14" t="b">
        <f>OR(LCI_Table[[#This Row],[Conversion]]="All",LCI_Table[[#This Row],[Conversion]]=SelectedConversion)</f>
        <v>0</v>
      </c>
      <c r="I869" s="14" t="b">
        <f>OR(LCI_Table[[#This Row],[Data Set]]="all",LCI_Table[[#This Row],[Data Set]]=SelectedDataSet)</f>
        <v>1</v>
      </c>
      <c r="J869" s="14" t="b">
        <f>OR(LCI_Table[[#This Row],[Technology]]="All",LCI_Table[[#This Row],[Technology]]=SelectedTechnology)</f>
        <v>1</v>
      </c>
      <c r="K869" s="14" t="b">
        <f>OR(LCI_Table[[#This Row],[Data Source]]="All",LCI_Table[[#This Row],[Data Source]]=SelectedDataSource)</f>
        <v>1</v>
      </c>
      <c r="L869" s="14" t="b">
        <f>TRUE</f>
        <v>1</v>
      </c>
      <c r="M869" s="14" t="b">
        <f>(LCI_Table[[#This Row],[Dev Notes]]="Do not display")</f>
        <v>0</v>
      </c>
      <c r="N869" s="14" t="b">
        <f>AND(LCI_Table[[#This Row],[Show Feedstock]:[Conditional]],NOT(LCI_Table[[#This Row],[Hide Row]]))</f>
        <v>0</v>
      </c>
      <c r="O869" s="14" t="b">
        <f>LCI_Table[[#This Row],[GREET1 Name Range]]=""</f>
        <v>0</v>
      </c>
      <c r="P869" s="14" t="s">
        <v>1448</v>
      </c>
      <c r="Q869" s="14" t="s">
        <v>555</v>
      </c>
      <c r="R869" s="14" t="s">
        <v>146</v>
      </c>
      <c r="S869" s="37" cm="1">
        <f t="array" aca="1" ref="S8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50.845995350220299</v>
      </c>
      <c r="T869" s="346" t="s">
        <v>2128</v>
      </c>
      <c r="U869" s="347">
        <f ca="1">S869/kg2lb*Fuel_Specs!$K$4/Allocations!$O$81*MJ2mmBTU</f>
        <v>0.18189138398999874</v>
      </c>
      <c r="V869" s="347">
        <v>50.845995350220299</v>
      </c>
      <c r="W869" s="347">
        <v>0.18189138398999874</v>
      </c>
      <c r="X869" s="37" t="s">
        <v>5</v>
      </c>
      <c r="Y869" s="346" t="s">
        <v>416</v>
      </c>
      <c r="Z869" s="14" t="str">
        <f>IF(ISBLANK(LCI_Table[[#This Row],[Notes for user]])," ",LCI_Table[[#This Row],[Notes for user]])</f>
        <v xml:space="preserve"> </v>
      </c>
      <c r="AA869" s="14"/>
      <c r="AB869" s="14"/>
      <c r="AC869" s="346">
        <f ca="1">LCI_Table[[#This Row],[Default Calculated Value]]-LCI_Table[[#This Row],[Calculated Value]]</f>
        <v>0</v>
      </c>
    </row>
    <row r="870" spans="1:29" x14ac:dyDescent="0.3">
      <c r="A8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MiscanthusCatalytic STJGREETGREET(blank)_Cellulosic_Catalytic_STJ_Electricity_co_producedElectricity (co-produced)</v>
      </c>
      <c r="B870" s="14" t="s">
        <v>134</v>
      </c>
      <c r="C870" s="14" t="s">
        <v>140</v>
      </c>
      <c r="D870" s="14" t="s">
        <v>29</v>
      </c>
      <c r="E870" s="48" t="s">
        <v>29</v>
      </c>
      <c r="F870" s="14" t="s">
        <v>31</v>
      </c>
      <c r="G870" s="14" t="b">
        <f>OR(LCI_Table[[#This Row],[Feedstock]]="All",LCI_Table[[#This Row],[Feedstock]]=SelectedFeedstock)</f>
        <v>0</v>
      </c>
      <c r="H870" s="14" t="b">
        <f>OR(LCI_Table[[#This Row],[Conversion]]="All",LCI_Table[[#This Row],[Conversion]]=SelectedConversion)</f>
        <v>0</v>
      </c>
      <c r="I870" s="14" t="b">
        <f>OR(LCI_Table[[#This Row],[Data Set]]="all",LCI_Table[[#This Row],[Data Set]]=SelectedDataSet)</f>
        <v>1</v>
      </c>
      <c r="J870" s="14" t="b">
        <f>OR(LCI_Table[[#This Row],[Technology]]="All",LCI_Table[[#This Row],[Technology]]=SelectedTechnology)</f>
        <v>1</v>
      </c>
      <c r="K870" s="14" t="b">
        <f>OR(LCI_Table[[#This Row],[Data Source]]="All",LCI_Table[[#This Row],[Data Source]]=SelectedDataSource)</f>
        <v>1</v>
      </c>
      <c r="L870" s="14" t="b">
        <f>TRUE</f>
        <v>1</v>
      </c>
      <c r="M870" s="14" t="b">
        <f>(LCI_Table[[#This Row],[Dev Notes]]="Do not display")</f>
        <v>0</v>
      </c>
      <c r="N870" s="14" t="b">
        <f>AND(LCI_Table[[#This Row],[Show Feedstock]:[Conditional]],NOT(LCI_Table[[#This Row],[Hide Row]]))</f>
        <v>0</v>
      </c>
      <c r="O870" s="14" t="b">
        <f>LCI_Table[[#This Row],[GREET1 Name Range]]=""</f>
        <v>0</v>
      </c>
      <c r="P870" s="14" t="s">
        <v>1448</v>
      </c>
      <c r="Q870" s="14" t="s">
        <v>549</v>
      </c>
      <c r="R870" s="14" t="s">
        <v>439</v>
      </c>
      <c r="S870" s="37" cm="1">
        <f t="array" aca="1" ref="S8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13.328619262064917</v>
      </c>
      <c r="T870" s="346" t="s">
        <v>2121</v>
      </c>
      <c r="U870" s="347">
        <f ca="1">S870/Allocations!$O$81*MJ2mmBTU</f>
        <v>1.2633093558094499E-2</v>
      </c>
      <c r="V870" s="347">
        <v>13.328619262064917</v>
      </c>
      <c r="W870" s="347">
        <v>1.2633093558094499E-2</v>
      </c>
      <c r="X870" s="37" t="s">
        <v>51</v>
      </c>
      <c r="Y870" s="346" t="s">
        <v>416</v>
      </c>
      <c r="Z870" s="14" t="str">
        <f>IF(ISBLANK(LCI_Table[[#This Row],[Notes for user]])," ",LCI_Table[[#This Row],[Notes for user]])</f>
        <v xml:space="preserve"> </v>
      </c>
      <c r="AA870" s="14"/>
      <c r="AB870" s="14"/>
      <c r="AC870" s="346">
        <f ca="1">LCI_Table[[#This Row],[Default Calculated Value]]-LCI_Table[[#This Row],[Calculated Value]]</f>
        <v>0</v>
      </c>
    </row>
    <row r="871" spans="1:29" x14ac:dyDescent="0.3">
      <c r="A8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dash_Forest residueBiological STJGREETGREET(blank)_Yield_Collection</v>
      </c>
      <c r="B871" s="48" t="s">
        <v>316</v>
      </c>
      <c r="C871" s="48" t="s">
        <v>139</v>
      </c>
      <c r="D871" s="48" t="s">
        <v>29</v>
      </c>
      <c r="E871" s="48" t="s">
        <v>29</v>
      </c>
      <c r="F871" s="48" t="s">
        <v>31</v>
      </c>
      <c r="G871" s="14" t="b">
        <f>OR(LCI_Table[[#This Row],[Feedstock]]="All",LCI_Table[[#This Row],[Feedstock]]=SelectedFeedstock)</f>
        <v>0</v>
      </c>
      <c r="H871" s="14" t="b">
        <f>OR(LCI_Table[[#This Row],[Conversion]]="All",LCI_Table[[#This Row],[Conversion]]=SelectedConversion)</f>
        <v>0</v>
      </c>
      <c r="I871" s="14" t="b">
        <f>OR(LCI_Table[[#This Row],[Data Set]]="all",LCI_Table[[#This Row],[Data Set]]=SelectedDataSet)</f>
        <v>1</v>
      </c>
      <c r="J871" s="14" t="b">
        <f>OR(LCI_Table[[#This Row],[Technology]]="All",LCI_Table[[#This Row],[Technology]]=SelectedTechnology)</f>
        <v>1</v>
      </c>
      <c r="K871" s="14" t="b">
        <f>OR(LCI_Table[[#This Row],[Data Source]]="All",LCI_Table[[#This Row],[Data Source]]=SelectedDataSource)</f>
        <v>1</v>
      </c>
      <c r="L871" s="14" t="b">
        <f>TRUE</f>
        <v>1</v>
      </c>
      <c r="M871" s="14" t="b">
        <f>(LCI_Table[[#This Row],[Dev Notes]]="Do not display")</f>
        <v>0</v>
      </c>
      <c r="N871" s="14" t="b">
        <f>AND(LCI_Table[[#This Row],[Show Feedstock]:[Conditional]],NOT(LCI_Table[[#This Row],[Hide Row]]))</f>
        <v>0</v>
      </c>
      <c r="O871" s="14" t="b">
        <f>LCI_Table[[#This Row],[GREET1 Name Range]]=""</f>
        <v>1</v>
      </c>
      <c r="P871" s="48" t="s">
        <v>147</v>
      </c>
      <c r="Q871" s="14" t="s">
        <v>361</v>
      </c>
      <c r="R871" s="48" t="s">
        <v>200</v>
      </c>
      <c r="S871" s="37" cm="1">
        <f t="array" aca="1" ref="S8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0.22304512472924265</v>
      </c>
      <c r="T871" s="346" t="s">
        <v>2116</v>
      </c>
      <c r="U871" s="344"/>
      <c r="V871" s="344">
        <v>0.22304512472924265</v>
      </c>
      <c r="W871" s="344"/>
      <c r="X871" s="48" t="s">
        <v>55</v>
      </c>
      <c r="Y871" s="346" t="s">
        <v>413</v>
      </c>
      <c r="Z871" s="14" t="str">
        <f>IF(ISBLANK(LCI_Table[[#This Row],[Notes for user]])," ",LCI_Table[[#This Row],[Notes for user]])</f>
        <v>Default value from CORSIA</v>
      </c>
      <c r="AA871" s="48" t="s">
        <v>1151</v>
      </c>
      <c r="AB871" s="345" t="s">
        <v>920</v>
      </c>
      <c r="AC871" s="346">
        <f>LCI_Table[[#This Row],[Default Calculated Value]]-LCI_Table[[#This Row],[Calculated Value]]</f>
        <v>0</v>
      </c>
    </row>
    <row r="872" spans="1:29" x14ac:dyDescent="0.3">
      <c r="A8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residueBiological STJGREETGREET(blank)_ForestResidue_Collection_Residual_oilResidual oil</v>
      </c>
      <c r="B872" s="14" t="s">
        <v>316</v>
      </c>
      <c r="C872" s="14" t="s">
        <v>139</v>
      </c>
      <c r="D872" s="14" t="s">
        <v>29</v>
      </c>
      <c r="E872" s="48" t="s">
        <v>29</v>
      </c>
      <c r="F872" s="14" t="s">
        <v>31</v>
      </c>
      <c r="G872" s="14" t="b">
        <f>OR(LCI_Table[[#This Row],[Feedstock]]="All",LCI_Table[[#This Row],[Feedstock]]=SelectedFeedstock)</f>
        <v>0</v>
      </c>
      <c r="H872" s="14" t="b">
        <f>OR(LCI_Table[[#This Row],[Conversion]]="All",LCI_Table[[#This Row],[Conversion]]=SelectedConversion)</f>
        <v>0</v>
      </c>
      <c r="I872" s="14" t="b">
        <f>OR(LCI_Table[[#This Row],[Data Set]]="all",LCI_Table[[#This Row],[Data Set]]=SelectedDataSet)</f>
        <v>1</v>
      </c>
      <c r="J872" s="14" t="b">
        <f>OR(LCI_Table[[#This Row],[Technology]]="All",LCI_Table[[#This Row],[Technology]]=SelectedTechnology)</f>
        <v>1</v>
      </c>
      <c r="K872" s="14" t="b">
        <f>OR(LCI_Table[[#This Row],[Data Source]]="All",LCI_Table[[#This Row],[Data Source]]=SelectedDataSource)</f>
        <v>1</v>
      </c>
      <c r="L872" s="14" t="b">
        <f>TRUE</f>
        <v>1</v>
      </c>
      <c r="M872" s="14" t="b">
        <f>(LCI_Table[[#This Row],[Dev Notes]]="Do not display")</f>
        <v>0</v>
      </c>
      <c r="N872" s="14" t="b">
        <f>AND(LCI_Table[[#This Row],[Show Feedstock]:[Conditional]],NOT(LCI_Table[[#This Row],[Hide Row]]))</f>
        <v>0</v>
      </c>
      <c r="O872" s="14" t="b">
        <f>LCI_Table[[#This Row],[GREET1 Name Range]]=""</f>
        <v>0</v>
      </c>
      <c r="P872" s="14" t="s">
        <v>147</v>
      </c>
      <c r="Q872" s="14" t="s">
        <v>651</v>
      </c>
      <c r="R872" s="14" t="s">
        <v>115</v>
      </c>
      <c r="S872" s="37" cm="1">
        <f t="array" aca="1" ref="S8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72" s="346" t="s">
        <v>1484</v>
      </c>
      <c r="U872" s="347">
        <f ca="1">S872*Fuel_Specs!$B$28/S871</f>
        <v>0</v>
      </c>
      <c r="V872" s="347">
        <v>0</v>
      </c>
      <c r="W872" s="347">
        <v>0</v>
      </c>
      <c r="X872" s="37" t="s">
        <v>5</v>
      </c>
      <c r="Y872" s="346" t="s">
        <v>413</v>
      </c>
      <c r="Z872" s="14" t="str">
        <f>IF(ISBLANK(LCI_Table[[#This Row],[Notes for user]])," ",LCI_Table[[#This Row],[Notes for user]])</f>
        <v xml:space="preserve"> </v>
      </c>
      <c r="AA872" s="14"/>
      <c r="AB872" s="14"/>
      <c r="AC872" s="346">
        <f ca="1">LCI_Table[[#This Row],[Default Calculated Value]]-LCI_Table[[#This Row],[Calculated Value]]</f>
        <v>0</v>
      </c>
    </row>
    <row r="873" spans="1:29" x14ac:dyDescent="0.3">
      <c r="A8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residueBiological STJGREETGREET(blank)_ForestResidue_Collection_DieselDiesel</v>
      </c>
      <c r="B873" s="14" t="s">
        <v>316</v>
      </c>
      <c r="C873" s="14" t="s">
        <v>139</v>
      </c>
      <c r="D873" s="14" t="s">
        <v>29</v>
      </c>
      <c r="E873" s="48" t="s">
        <v>29</v>
      </c>
      <c r="F873" s="14" t="s">
        <v>31</v>
      </c>
      <c r="G873" s="14" t="b">
        <f>OR(LCI_Table[[#This Row],[Feedstock]]="All",LCI_Table[[#This Row],[Feedstock]]=SelectedFeedstock)</f>
        <v>0</v>
      </c>
      <c r="H873" s="14" t="b">
        <f>OR(LCI_Table[[#This Row],[Conversion]]="All",LCI_Table[[#This Row],[Conversion]]=SelectedConversion)</f>
        <v>0</v>
      </c>
      <c r="I873" s="14" t="b">
        <f>OR(LCI_Table[[#This Row],[Data Set]]="all",LCI_Table[[#This Row],[Data Set]]=SelectedDataSet)</f>
        <v>1</v>
      </c>
      <c r="J873" s="14" t="b">
        <f>OR(LCI_Table[[#This Row],[Technology]]="All",LCI_Table[[#This Row],[Technology]]=SelectedTechnology)</f>
        <v>1</v>
      </c>
      <c r="K873" s="14" t="b">
        <f>OR(LCI_Table[[#This Row],[Data Source]]="All",LCI_Table[[#This Row],[Data Source]]=SelectedDataSource)</f>
        <v>1</v>
      </c>
      <c r="L873" s="14" t="b">
        <f>TRUE</f>
        <v>1</v>
      </c>
      <c r="M873" s="14" t="b">
        <f>(LCI_Table[[#This Row],[Dev Notes]]="Do not display")</f>
        <v>0</v>
      </c>
      <c r="N873" s="14" t="b">
        <f>AND(LCI_Table[[#This Row],[Show Feedstock]:[Conditional]],NOT(LCI_Table[[#This Row],[Hide Row]]))</f>
        <v>0</v>
      </c>
      <c r="O873" s="14" t="b">
        <f>LCI_Table[[#This Row],[GREET1 Name Range]]=""</f>
        <v>0</v>
      </c>
      <c r="P873" s="14" t="s">
        <v>147</v>
      </c>
      <c r="Q873" s="14" t="s">
        <v>646</v>
      </c>
      <c r="R873" s="14" t="s">
        <v>106</v>
      </c>
      <c r="S873" s="37" cm="1">
        <f t="array" aca="1" ref="S8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0.22952116048383753</v>
      </c>
      <c r="T873" s="346" t="s">
        <v>1484</v>
      </c>
      <c r="U873" s="347">
        <f ca="1">S873*Fuel_Specs!$B$19/S871</f>
        <v>132179.5</v>
      </c>
      <c r="V873" s="347">
        <v>0.22952116048383753</v>
      </c>
      <c r="W873" s="347">
        <v>132179.5</v>
      </c>
      <c r="X873" s="37" t="s">
        <v>5</v>
      </c>
      <c r="Y873" s="346" t="s">
        <v>413</v>
      </c>
      <c r="Z873" s="14" t="str">
        <f>IF(ISBLANK(LCI_Table[[#This Row],[Notes for user]])," ",LCI_Table[[#This Row],[Notes for user]])</f>
        <v xml:space="preserve"> </v>
      </c>
      <c r="AA873" s="14"/>
      <c r="AB873" s="14"/>
      <c r="AC873" s="346">
        <f ca="1">LCI_Table[[#This Row],[Default Calculated Value]]-LCI_Table[[#This Row],[Calculated Value]]</f>
        <v>0</v>
      </c>
    </row>
    <row r="874" spans="1:29" x14ac:dyDescent="0.3">
      <c r="A8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residueBiological STJGREETGREET(blank)_ForestResidue_Collection_GasolineGasoline</v>
      </c>
      <c r="B874" s="14" t="s">
        <v>316</v>
      </c>
      <c r="C874" s="14" t="s">
        <v>139</v>
      </c>
      <c r="D874" s="14" t="s">
        <v>29</v>
      </c>
      <c r="E874" s="48" t="s">
        <v>29</v>
      </c>
      <c r="F874" s="14" t="s">
        <v>31</v>
      </c>
      <c r="G874" s="14" t="b">
        <f>OR(LCI_Table[[#This Row],[Feedstock]]="All",LCI_Table[[#This Row],[Feedstock]]=SelectedFeedstock)</f>
        <v>0</v>
      </c>
      <c r="H874" s="14" t="b">
        <f>OR(LCI_Table[[#This Row],[Conversion]]="All",LCI_Table[[#This Row],[Conversion]]=SelectedConversion)</f>
        <v>0</v>
      </c>
      <c r="I874" s="14" t="b">
        <f>OR(LCI_Table[[#This Row],[Data Set]]="all",LCI_Table[[#This Row],[Data Set]]=SelectedDataSet)</f>
        <v>1</v>
      </c>
      <c r="J874" s="14" t="b">
        <f>OR(LCI_Table[[#This Row],[Technology]]="All",LCI_Table[[#This Row],[Technology]]=SelectedTechnology)</f>
        <v>1</v>
      </c>
      <c r="K874" s="14" t="b">
        <f>OR(LCI_Table[[#This Row],[Data Source]]="All",LCI_Table[[#This Row],[Data Source]]=SelectedDataSource)</f>
        <v>1</v>
      </c>
      <c r="L874" s="14" t="b">
        <f>TRUE</f>
        <v>1</v>
      </c>
      <c r="M874" s="14" t="b">
        <f>(LCI_Table[[#This Row],[Dev Notes]]="Do not display")</f>
        <v>0</v>
      </c>
      <c r="N874" s="14" t="b">
        <f>AND(LCI_Table[[#This Row],[Show Feedstock]:[Conditional]],NOT(LCI_Table[[#This Row],[Hide Row]]))</f>
        <v>0</v>
      </c>
      <c r="O874" s="14" t="b">
        <f>LCI_Table[[#This Row],[GREET1 Name Range]]=""</f>
        <v>0</v>
      </c>
      <c r="P874" s="14" t="s">
        <v>147</v>
      </c>
      <c r="Q874" s="14" t="s">
        <v>648</v>
      </c>
      <c r="R874" s="14" t="s">
        <v>107</v>
      </c>
      <c r="S874" s="37" cm="1">
        <f t="array" aca="1" ref="S8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74" s="346" t="s">
        <v>1484</v>
      </c>
      <c r="U874" s="347">
        <f ca="1">S874*Fuel_Specs!$B$15/S871</f>
        <v>0</v>
      </c>
      <c r="V874" s="347">
        <v>0</v>
      </c>
      <c r="W874" s="347">
        <v>0</v>
      </c>
      <c r="X874" s="37" t="s">
        <v>5</v>
      </c>
      <c r="Y874" s="346" t="s">
        <v>413</v>
      </c>
      <c r="Z874" s="14" t="str">
        <f>IF(ISBLANK(LCI_Table[[#This Row],[Notes for user]])," ",LCI_Table[[#This Row],[Notes for user]])</f>
        <v xml:space="preserve"> </v>
      </c>
      <c r="AA874" s="14"/>
      <c r="AB874" s="14"/>
      <c r="AC874" s="346">
        <f ca="1">LCI_Table[[#This Row],[Default Calculated Value]]-LCI_Table[[#This Row],[Calculated Value]]</f>
        <v>0</v>
      </c>
    </row>
    <row r="875" spans="1:29" x14ac:dyDescent="0.3">
      <c r="A8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residueBiological STJGREETGREET(blank)_ForestResidue_Collection_Natural_gasNatural gas</v>
      </c>
      <c r="B875" s="14" t="s">
        <v>316</v>
      </c>
      <c r="C875" s="14" t="s">
        <v>139</v>
      </c>
      <c r="D875" s="14" t="s">
        <v>29</v>
      </c>
      <c r="E875" s="48" t="s">
        <v>29</v>
      </c>
      <c r="F875" s="14" t="s">
        <v>31</v>
      </c>
      <c r="G875" s="14" t="b">
        <f>OR(LCI_Table[[#This Row],[Feedstock]]="All",LCI_Table[[#This Row],[Feedstock]]=SelectedFeedstock)</f>
        <v>0</v>
      </c>
      <c r="H875" s="14" t="b">
        <f>OR(LCI_Table[[#This Row],[Conversion]]="All",LCI_Table[[#This Row],[Conversion]]=SelectedConversion)</f>
        <v>0</v>
      </c>
      <c r="I875" s="14" t="b">
        <f>OR(LCI_Table[[#This Row],[Data Set]]="all",LCI_Table[[#This Row],[Data Set]]=SelectedDataSet)</f>
        <v>1</v>
      </c>
      <c r="J875" s="14" t="b">
        <f>OR(LCI_Table[[#This Row],[Technology]]="All",LCI_Table[[#This Row],[Technology]]=SelectedTechnology)</f>
        <v>1</v>
      </c>
      <c r="K875" s="14" t="b">
        <f>OR(LCI_Table[[#This Row],[Data Source]]="All",LCI_Table[[#This Row],[Data Source]]=SelectedDataSource)</f>
        <v>1</v>
      </c>
      <c r="L875" s="14" t="b">
        <f>TRUE</f>
        <v>1</v>
      </c>
      <c r="M875" s="14" t="b">
        <f>(LCI_Table[[#This Row],[Dev Notes]]="Do not display")</f>
        <v>0</v>
      </c>
      <c r="N875" s="14" t="b">
        <f>AND(LCI_Table[[#This Row],[Show Feedstock]:[Conditional]],NOT(LCI_Table[[#This Row],[Hide Row]]))</f>
        <v>0</v>
      </c>
      <c r="O875" s="14" t="b">
        <f>LCI_Table[[#This Row],[GREET1 Name Range]]=""</f>
        <v>0</v>
      </c>
      <c r="P875" s="14" t="s">
        <v>147</v>
      </c>
      <c r="Q875" s="14" t="s">
        <v>650</v>
      </c>
      <c r="R875" s="14" t="s">
        <v>108</v>
      </c>
      <c r="S875" s="37" cm="1">
        <f t="array" aca="1" ref="S8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75" s="346" t="s">
        <v>2109</v>
      </c>
      <c r="U875" s="347">
        <f ca="1">S875*Fuel_Specs!$B$79/S871</f>
        <v>0</v>
      </c>
      <c r="V875" s="347">
        <v>0</v>
      </c>
      <c r="W875" s="347">
        <v>0</v>
      </c>
      <c r="X875" s="37" t="s">
        <v>351</v>
      </c>
      <c r="Y875" s="346" t="s">
        <v>413</v>
      </c>
      <c r="Z875" s="14" t="str">
        <f>IF(ISBLANK(LCI_Table[[#This Row],[Notes for user]])," ",LCI_Table[[#This Row],[Notes for user]])</f>
        <v xml:space="preserve"> </v>
      </c>
      <c r="AA875" s="14"/>
      <c r="AB875" s="14"/>
      <c r="AC875" s="346">
        <f ca="1">LCI_Table[[#This Row],[Default Calculated Value]]-LCI_Table[[#This Row],[Calculated Value]]</f>
        <v>0</v>
      </c>
    </row>
    <row r="876" spans="1:29" x14ac:dyDescent="0.3">
      <c r="A8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residueBiological STJGREETGREET(blank)_ForestResidue_Collection_CoalCoal</v>
      </c>
      <c r="B876" s="14" t="s">
        <v>316</v>
      </c>
      <c r="C876" s="14" t="s">
        <v>139</v>
      </c>
      <c r="D876" s="14" t="s">
        <v>29</v>
      </c>
      <c r="E876" s="48" t="s">
        <v>29</v>
      </c>
      <c r="F876" s="14" t="s">
        <v>31</v>
      </c>
      <c r="G876" s="14" t="b">
        <f>OR(LCI_Table[[#This Row],[Feedstock]]="All",LCI_Table[[#This Row],[Feedstock]]=SelectedFeedstock)</f>
        <v>0</v>
      </c>
      <c r="H876" s="14" t="b">
        <f>OR(LCI_Table[[#This Row],[Conversion]]="All",LCI_Table[[#This Row],[Conversion]]=SelectedConversion)</f>
        <v>0</v>
      </c>
      <c r="I876" s="14" t="b">
        <f>OR(LCI_Table[[#This Row],[Data Set]]="all",LCI_Table[[#This Row],[Data Set]]=SelectedDataSet)</f>
        <v>1</v>
      </c>
      <c r="J876" s="14" t="b">
        <f>OR(LCI_Table[[#This Row],[Technology]]="All",LCI_Table[[#This Row],[Technology]]=SelectedTechnology)</f>
        <v>1</v>
      </c>
      <c r="K876" s="14" t="b">
        <f>OR(LCI_Table[[#This Row],[Data Source]]="All",LCI_Table[[#This Row],[Data Source]]=SelectedDataSource)</f>
        <v>1</v>
      </c>
      <c r="L876" s="14" t="b">
        <f>TRUE</f>
        <v>1</v>
      </c>
      <c r="M876" s="14" t="b">
        <f>(LCI_Table[[#This Row],[Dev Notes]]="Do not display")</f>
        <v>0</v>
      </c>
      <c r="N876" s="14" t="b">
        <f>AND(LCI_Table[[#This Row],[Show Feedstock]:[Conditional]],NOT(LCI_Table[[#This Row],[Hide Row]]))</f>
        <v>0</v>
      </c>
      <c r="O876" s="14" t="b">
        <f>LCI_Table[[#This Row],[GREET1 Name Range]]=""</f>
        <v>0</v>
      </c>
      <c r="P876" s="14" t="s">
        <v>147</v>
      </c>
      <c r="Q876" s="14" t="s">
        <v>645</v>
      </c>
      <c r="R876" s="14" t="s">
        <v>9</v>
      </c>
      <c r="S876" s="37" cm="1">
        <f t="array" aca="1" ref="S8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76" s="346" t="s">
        <v>2110</v>
      </c>
      <c r="U876" s="347">
        <f ca="1">S876/S871</f>
        <v>0</v>
      </c>
      <c r="V876" s="347">
        <v>0</v>
      </c>
      <c r="W876" s="347">
        <v>0</v>
      </c>
      <c r="X876" s="37" t="s">
        <v>117</v>
      </c>
      <c r="Y876" s="346" t="s">
        <v>413</v>
      </c>
      <c r="Z876" s="14" t="str">
        <f>IF(ISBLANK(LCI_Table[[#This Row],[Notes for user]])," ",LCI_Table[[#This Row],[Notes for user]])</f>
        <v xml:space="preserve"> </v>
      </c>
      <c r="AA876" s="14"/>
      <c r="AB876" s="14"/>
      <c r="AC876" s="346">
        <f ca="1">LCI_Table[[#This Row],[Default Calculated Value]]-LCI_Table[[#This Row],[Calculated Value]]</f>
        <v>0</v>
      </c>
    </row>
    <row r="877" spans="1:29" x14ac:dyDescent="0.3">
      <c r="A8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residueBiological STJGREETGREET(blank)_ForestResidue_Collection_LPGLPG</v>
      </c>
      <c r="B877" s="14" t="s">
        <v>316</v>
      </c>
      <c r="C877" s="14" t="s">
        <v>139</v>
      </c>
      <c r="D877" s="14" t="s">
        <v>29</v>
      </c>
      <c r="E877" s="48" t="s">
        <v>29</v>
      </c>
      <c r="F877" s="14" t="s">
        <v>31</v>
      </c>
      <c r="G877" s="14" t="b">
        <f>OR(LCI_Table[[#This Row],[Feedstock]]="All",LCI_Table[[#This Row],[Feedstock]]=SelectedFeedstock)</f>
        <v>0</v>
      </c>
      <c r="H877" s="14" t="b">
        <f>OR(LCI_Table[[#This Row],[Conversion]]="All",LCI_Table[[#This Row],[Conversion]]=SelectedConversion)</f>
        <v>0</v>
      </c>
      <c r="I877" s="14" t="b">
        <f>OR(LCI_Table[[#This Row],[Data Set]]="all",LCI_Table[[#This Row],[Data Set]]=SelectedDataSet)</f>
        <v>1</v>
      </c>
      <c r="J877" s="14" t="b">
        <f>OR(LCI_Table[[#This Row],[Technology]]="All",LCI_Table[[#This Row],[Technology]]=SelectedTechnology)</f>
        <v>1</v>
      </c>
      <c r="K877" s="14" t="b">
        <f>OR(LCI_Table[[#This Row],[Data Source]]="All",LCI_Table[[#This Row],[Data Source]]=SelectedDataSource)</f>
        <v>1</v>
      </c>
      <c r="L877" s="14" t="b">
        <f>TRUE</f>
        <v>1</v>
      </c>
      <c r="M877" s="14" t="b">
        <f>(LCI_Table[[#This Row],[Dev Notes]]="Do not display")</f>
        <v>0</v>
      </c>
      <c r="N877" s="14" t="b">
        <f>AND(LCI_Table[[#This Row],[Show Feedstock]:[Conditional]],NOT(LCI_Table[[#This Row],[Hide Row]]))</f>
        <v>0</v>
      </c>
      <c r="O877" s="14" t="b">
        <f>LCI_Table[[#This Row],[GREET1 Name Range]]=""</f>
        <v>0</v>
      </c>
      <c r="P877" s="14" t="s">
        <v>147</v>
      </c>
      <c r="Q877" s="14" t="s">
        <v>649</v>
      </c>
      <c r="R877" s="14" t="s">
        <v>109</v>
      </c>
      <c r="S877" s="37" cm="1">
        <f t="array" aca="1" ref="S8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77" s="346" t="s">
        <v>1484</v>
      </c>
      <c r="U877" s="347">
        <f ca="1">S877*Fuel_Specs!$B$35/S871</f>
        <v>0</v>
      </c>
      <c r="V877" s="347">
        <v>0</v>
      </c>
      <c r="W877" s="347">
        <v>0</v>
      </c>
      <c r="X877" s="37" t="s">
        <v>5</v>
      </c>
      <c r="Y877" s="346" t="s">
        <v>413</v>
      </c>
      <c r="Z877" s="14" t="str">
        <f>IF(ISBLANK(LCI_Table[[#This Row],[Notes for user]])," ",LCI_Table[[#This Row],[Notes for user]])</f>
        <v xml:space="preserve"> </v>
      </c>
      <c r="AA877" s="14"/>
      <c r="AB877" s="14"/>
      <c r="AC877" s="346">
        <f ca="1">LCI_Table[[#This Row],[Default Calculated Value]]-LCI_Table[[#This Row],[Calculated Value]]</f>
        <v>0</v>
      </c>
    </row>
    <row r="878" spans="1:29" x14ac:dyDescent="0.3">
      <c r="A8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residueBiological STJGREETGREET(blank)_ForestResidue_Collection_ElectricityElectricity</v>
      </c>
      <c r="B878" s="14" t="s">
        <v>316</v>
      </c>
      <c r="C878" s="14" t="s">
        <v>139</v>
      </c>
      <c r="D878" s="14" t="s">
        <v>29</v>
      </c>
      <c r="E878" s="48" t="s">
        <v>29</v>
      </c>
      <c r="F878" s="14" t="s">
        <v>31</v>
      </c>
      <c r="G878" s="14" t="b">
        <f>OR(LCI_Table[[#This Row],[Feedstock]]="All",LCI_Table[[#This Row],[Feedstock]]=SelectedFeedstock)</f>
        <v>0</v>
      </c>
      <c r="H878" s="14" t="b">
        <f>OR(LCI_Table[[#This Row],[Conversion]]="All",LCI_Table[[#This Row],[Conversion]]=SelectedConversion)</f>
        <v>0</v>
      </c>
      <c r="I878" s="14" t="b">
        <f>OR(LCI_Table[[#This Row],[Data Set]]="all",LCI_Table[[#This Row],[Data Set]]=SelectedDataSet)</f>
        <v>1</v>
      </c>
      <c r="J878" s="14" t="b">
        <f>OR(LCI_Table[[#This Row],[Technology]]="All",LCI_Table[[#This Row],[Technology]]=SelectedTechnology)</f>
        <v>1</v>
      </c>
      <c r="K878" s="14" t="b">
        <f>OR(LCI_Table[[#This Row],[Data Source]]="All",LCI_Table[[#This Row],[Data Source]]=SelectedDataSource)</f>
        <v>1</v>
      </c>
      <c r="L878" s="14" t="b">
        <f>TRUE</f>
        <v>1</v>
      </c>
      <c r="M878" s="14" t="b">
        <f>(LCI_Table[[#This Row],[Dev Notes]]="Do not display")</f>
        <v>0</v>
      </c>
      <c r="N878" s="14" t="b">
        <f>AND(LCI_Table[[#This Row],[Show Feedstock]:[Conditional]],NOT(LCI_Table[[#This Row],[Hide Row]]))</f>
        <v>0</v>
      </c>
      <c r="O878" s="14" t="b">
        <f>LCI_Table[[#This Row],[GREET1 Name Range]]=""</f>
        <v>0</v>
      </c>
      <c r="P878" s="14" t="s">
        <v>147</v>
      </c>
      <c r="Q878" s="14" t="s">
        <v>647</v>
      </c>
      <c r="R878" s="14" t="s">
        <v>110</v>
      </c>
      <c r="S878" s="37" cm="1">
        <f t="array" aca="1" ref="S8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78" s="346" t="s">
        <v>1561</v>
      </c>
      <c r="U878" s="347">
        <f ca="1">S878/BTU2kWh/S871</f>
        <v>0</v>
      </c>
      <c r="V878" s="347">
        <v>0</v>
      </c>
      <c r="W878" s="347">
        <v>0</v>
      </c>
      <c r="X878" s="37" t="s">
        <v>51</v>
      </c>
      <c r="Y878" s="346" t="s">
        <v>413</v>
      </c>
      <c r="Z878" s="14" t="str">
        <f>IF(ISBLANK(LCI_Table[[#This Row],[Notes for user]])," ",LCI_Table[[#This Row],[Notes for user]])</f>
        <v xml:space="preserve"> </v>
      </c>
      <c r="AA878" s="14"/>
      <c r="AB878" s="14"/>
      <c r="AC878" s="346">
        <f ca="1">LCI_Table[[#This Row],[Default Calculated Value]]-LCI_Table[[#This Row],[Calculated Value]]</f>
        <v>0</v>
      </c>
    </row>
    <row r="879" spans="1:29" x14ac:dyDescent="0.3">
      <c r="A8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residueBiological STJGREETGREET(blank)_Cellulosic_Biological_STJ_Corn_stoverForest residue</v>
      </c>
      <c r="B879" s="14" t="s">
        <v>316</v>
      </c>
      <c r="C879" s="14" t="s">
        <v>139</v>
      </c>
      <c r="D879" s="14" t="s">
        <v>29</v>
      </c>
      <c r="E879" s="48" t="s">
        <v>29</v>
      </c>
      <c r="F879" s="14" t="s">
        <v>31</v>
      </c>
      <c r="G879" s="14" t="b">
        <f>OR(LCI_Table[[#This Row],[Feedstock]]="All",LCI_Table[[#This Row],[Feedstock]]=SelectedFeedstock)</f>
        <v>0</v>
      </c>
      <c r="H879" s="14" t="b">
        <f>OR(LCI_Table[[#This Row],[Conversion]]="All",LCI_Table[[#This Row],[Conversion]]=SelectedConversion)</f>
        <v>0</v>
      </c>
      <c r="I879" s="14" t="b">
        <f>OR(LCI_Table[[#This Row],[Data Set]]="all",LCI_Table[[#This Row],[Data Set]]=SelectedDataSet)</f>
        <v>1</v>
      </c>
      <c r="J879" s="14" t="b">
        <f>OR(LCI_Table[[#This Row],[Technology]]="All",LCI_Table[[#This Row],[Technology]]=SelectedTechnology)</f>
        <v>1</v>
      </c>
      <c r="K879" s="14" t="b">
        <f>OR(LCI_Table[[#This Row],[Data Source]]="All",LCI_Table[[#This Row],[Data Source]]=SelectedDataSource)</f>
        <v>1</v>
      </c>
      <c r="L879" s="14" t="b">
        <f>TRUE</f>
        <v>1</v>
      </c>
      <c r="M879" s="14" t="b">
        <f>(LCI_Table[[#This Row],[Dev Notes]]="Do not display")</f>
        <v>0</v>
      </c>
      <c r="N879" s="14" t="b">
        <f>AND(LCI_Table[[#This Row],[Show Feedstock]:[Conditional]],NOT(LCI_Table[[#This Row],[Hide Row]]))</f>
        <v>0</v>
      </c>
      <c r="O879" s="14" t="b">
        <f>LCI_Table[[#This Row],[GREET1 Name Range]]=""</f>
        <v>0</v>
      </c>
      <c r="P879" s="14" t="s">
        <v>1448</v>
      </c>
      <c r="Q879" s="14" t="s">
        <v>535</v>
      </c>
      <c r="R879" s="14" t="s">
        <v>316</v>
      </c>
      <c r="S879" s="37" cm="1">
        <f t="array" aca="1" ref="S8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525.83196221027447</v>
      </c>
      <c r="T879" s="346" t="s">
        <v>2119</v>
      </c>
      <c r="U879" s="347">
        <f ca="1">S879/kg2lb/Allocations!$O$83*MJ2mmBTU</f>
        <v>0.22606705224250295</v>
      </c>
      <c r="V879" s="347">
        <v>525.83196221027447</v>
      </c>
      <c r="W879" s="347">
        <v>0.22606705224250295</v>
      </c>
      <c r="X879" s="37" t="s">
        <v>12</v>
      </c>
      <c r="Y879" s="346" t="s">
        <v>416</v>
      </c>
      <c r="Z879" s="14" t="str">
        <f>IF(ISBLANK(LCI_Table[[#This Row],[Notes for user]])," ",LCI_Table[[#This Row],[Notes for user]])</f>
        <v xml:space="preserve"> </v>
      </c>
      <c r="AA879" s="14"/>
      <c r="AB879" s="14"/>
      <c r="AC879" s="346">
        <f ca="1">LCI_Table[[#This Row],[Default Calculated Value]]-LCI_Table[[#This Row],[Calculated Value]]</f>
        <v>0</v>
      </c>
    </row>
    <row r="880" spans="1:29" x14ac:dyDescent="0.3">
      <c r="A8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residueBiological STJGREETGREET(blank)_Cellulosic_Biological_STJ_HydrogenHydrogen</v>
      </c>
      <c r="B880" s="14" t="s">
        <v>316</v>
      </c>
      <c r="C880" s="14" t="s">
        <v>139</v>
      </c>
      <c r="D880" s="14" t="s">
        <v>29</v>
      </c>
      <c r="E880" s="48" t="s">
        <v>29</v>
      </c>
      <c r="F880" s="14" t="s">
        <v>31</v>
      </c>
      <c r="G880" s="14" t="b">
        <f>OR(LCI_Table[[#This Row],[Feedstock]]="All",LCI_Table[[#This Row],[Feedstock]]=SelectedFeedstock)</f>
        <v>0</v>
      </c>
      <c r="H880" s="14" t="b">
        <f>OR(LCI_Table[[#This Row],[Conversion]]="All",LCI_Table[[#This Row],[Conversion]]=SelectedConversion)</f>
        <v>0</v>
      </c>
      <c r="I880" s="14" t="b">
        <f>OR(LCI_Table[[#This Row],[Data Set]]="all",LCI_Table[[#This Row],[Data Set]]=SelectedDataSet)</f>
        <v>1</v>
      </c>
      <c r="J880" s="14" t="b">
        <f>OR(LCI_Table[[#This Row],[Technology]]="All",LCI_Table[[#This Row],[Technology]]=SelectedTechnology)</f>
        <v>1</v>
      </c>
      <c r="K880" s="14" t="b">
        <f>OR(LCI_Table[[#This Row],[Data Source]]="All",LCI_Table[[#This Row],[Data Source]]=SelectedDataSource)</f>
        <v>1</v>
      </c>
      <c r="L880" s="14" t="b">
        <f>TRUE</f>
        <v>1</v>
      </c>
      <c r="M880" s="14" t="b">
        <f>(LCI_Table[[#This Row],[Dev Notes]]="Do not display")</f>
        <v>0</v>
      </c>
      <c r="N880" s="14" t="b">
        <f>AND(LCI_Table[[#This Row],[Show Feedstock]:[Conditional]],NOT(LCI_Table[[#This Row],[Hide Row]]))</f>
        <v>0</v>
      </c>
      <c r="O880" s="14" t="b">
        <f>LCI_Table[[#This Row],[GREET1 Name Range]]=""</f>
        <v>0</v>
      </c>
      <c r="P880" s="14" t="s">
        <v>1448</v>
      </c>
      <c r="Q880" s="14" t="s">
        <v>540</v>
      </c>
      <c r="R880" s="14" t="s">
        <v>73</v>
      </c>
      <c r="S880" s="37" cm="1">
        <f t="array" aca="1" ref="S8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423.82286488101443</v>
      </c>
      <c r="T880" s="346" t="s">
        <v>2120</v>
      </c>
      <c r="U880" s="347">
        <f ca="1">S880/kg2g*Fuel_Specs!$E$81/Allocations!$O$83*MJ2mmBTU</f>
        <v>1.0243517491956343E-3</v>
      </c>
      <c r="V880" s="347">
        <v>423.82286488101443</v>
      </c>
      <c r="W880" s="347">
        <v>1.0243517491956343E-3</v>
      </c>
      <c r="X880" s="37" t="s">
        <v>351</v>
      </c>
      <c r="Y880" s="346" t="s">
        <v>416</v>
      </c>
      <c r="Z880" s="14" t="str">
        <f>IF(ISBLANK(LCI_Table[[#This Row],[Notes for user]])," ",LCI_Table[[#This Row],[Notes for user]])</f>
        <v xml:space="preserve"> </v>
      </c>
      <c r="AA880" s="14"/>
      <c r="AB880" s="14"/>
      <c r="AC880" s="346">
        <f ca="1">LCI_Table[[#This Row],[Default Calculated Value]]-LCI_Table[[#This Row],[Calculated Value]]</f>
        <v>0</v>
      </c>
    </row>
    <row r="881" spans="1:29" x14ac:dyDescent="0.3">
      <c r="A8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residueBiological STJGREETGREET(blank)_Cellulosic_Biological_STJ_AmmoniaAmmonia</v>
      </c>
      <c r="B881" s="14" t="s">
        <v>316</v>
      </c>
      <c r="C881" s="14" t="s">
        <v>139</v>
      </c>
      <c r="D881" s="14" t="s">
        <v>29</v>
      </c>
      <c r="E881" s="48" t="s">
        <v>29</v>
      </c>
      <c r="F881" s="14" t="s">
        <v>31</v>
      </c>
      <c r="G881" s="14" t="b">
        <f>OR(LCI_Table[[#This Row],[Feedstock]]="All",LCI_Table[[#This Row],[Feedstock]]=SelectedFeedstock)</f>
        <v>0</v>
      </c>
      <c r="H881" s="14" t="b">
        <f>OR(LCI_Table[[#This Row],[Conversion]]="All",LCI_Table[[#This Row],[Conversion]]=SelectedConversion)</f>
        <v>0</v>
      </c>
      <c r="I881" s="14" t="b">
        <f>OR(LCI_Table[[#This Row],[Data Set]]="all",LCI_Table[[#This Row],[Data Set]]=SelectedDataSet)</f>
        <v>1</v>
      </c>
      <c r="J881" s="14" t="b">
        <f>OR(LCI_Table[[#This Row],[Technology]]="All",LCI_Table[[#This Row],[Technology]]=SelectedTechnology)</f>
        <v>1</v>
      </c>
      <c r="K881" s="14" t="b">
        <f>OR(LCI_Table[[#This Row],[Data Source]]="All",LCI_Table[[#This Row],[Data Source]]=SelectedDataSource)</f>
        <v>1</v>
      </c>
      <c r="L881" s="14" t="b">
        <f>TRUE</f>
        <v>1</v>
      </c>
      <c r="M881" s="14" t="b">
        <f>(LCI_Table[[#This Row],[Dev Notes]]="Do not display")</f>
        <v>0</v>
      </c>
      <c r="N881" s="14" t="b">
        <f>AND(LCI_Table[[#This Row],[Show Feedstock]:[Conditional]],NOT(LCI_Table[[#This Row],[Hide Row]]))</f>
        <v>0</v>
      </c>
      <c r="O881" s="14" t="b">
        <f>LCI_Table[[#This Row],[GREET1 Name Range]]=""</f>
        <v>0</v>
      </c>
      <c r="P881" s="14" t="s">
        <v>1448</v>
      </c>
      <c r="Q881" s="14" t="s">
        <v>532</v>
      </c>
      <c r="R881" s="14" t="s">
        <v>382</v>
      </c>
      <c r="S881" s="37" cm="1">
        <f t="array" aca="1" ref="S8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1124.2530041827843</v>
      </c>
      <c r="T881" s="346" t="s">
        <v>2127</v>
      </c>
      <c r="U881" s="347">
        <f ca="1">S881/kg2g/Allocations!$O$83*MJ2mmBTU</f>
        <v>1.0655862475742722E-3</v>
      </c>
      <c r="V881" s="347">
        <v>1124.2530041827843</v>
      </c>
      <c r="W881" s="347">
        <v>1.0655862475742722E-3</v>
      </c>
      <c r="X881" s="37" t="s">
        <v>6</v>
      </c>
      <c r="Y881" s="346" t="s">
        <v>416</v>
      </c>
      <c r="Z881" s="14" t="str">
        <f>IF(ISBLANK(LCI_Table[[#This Row],[Notes for user]])," ",LCI_Table[[#This Row],[Notes for user]])</f>
        <v xml:space="preserve"> </v>
      </c>
      <c r="AA881" s="14"/>
      <c r="AB881" s="14"/>
      <c r="AC881" s="346">
        <f ca="1">LCI_Table[[#This Row],[Default Calculated Value]]-LCI_Table[[#This Row],[Calculated Value]]</f>
        <v>0</v>
      </c>
    </row>
    <row r="882" spans="1:29" x14ac:dyDescent="0.3">
      <c r="A8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residueBiological STJGREETGREET(blank)_Cellulosic_Biological_STJ_Corn_oilDistillers Corn Oil</v>
      </c>
      <c r="B882" s="14" t="s">
        <v>316</v>
      </c>
      <c r="C882" s="14" t="s">
        <v>139</v>
      </c>
      <c r="D882" s="14" t="s">
        <v>29</v>
      </c>
      <c r="E882" s="48" t="s">
        <v>29</v>
      </c>
      <c r="F882" s="14" t="s">
        <v>31</v>
      </c>
      <c r="G882" s="14" t="b">
        <f>OR(LCI_Table[[#This Row],[Feedstock]]="All",LCI_Table[[#This Row],[Feedstock]]=SelectedFeedstock)</f>
        <v>0</v>
      </c>
      <c r="H882" s="14" t="b">
        <f>OR(LCI_Table[[#This Row],[Conversion]]="All",LCI_Table[[#This Row],[Conversion]]=SelectedConversion)</f>
        <v>0</v>
      </c>
      <c r="I882" s="14" t="b">
        <f>OR(LCI_Table[[#This Row],[Data Set]]="all",LCI_Table[[#This Row],[Data Set]]=SelectedDataSet)</f>
        <v>1</v>
      </c>
      <c r="J882" s="14" t="b">
        <f>OR(LCI_Table[[#This Row],[Technology]]="All",LCI_Table[[#This Row],[Technology]]=SelectedTechnology)</f>
        <v>1</v>
      </c>
      <c r="K882" s="14" t="b">
        <f>OR(LCI_Table[[#This Row],[Data Source]]="All",LCI_Table[[#This Row],[Data Source]]=SelectedDataSource)</f>
        <v>1</v>
      </c>
      <c r="L882" s="14" t="b">
        <f>TRUE</f>
        <v>1</v>
      </c>
      <c r="M882" s="14" t="b">
        <f>(LCI_Table[[#This Row],[Dev Notes]]="Do not display")</f>
        <v>0</v>
      </c>
      <c r="N882" s="14" t="b">
        <f>AND(LCI_Table[[#This Row],[Show Feedstock]:[Conditional]],NOT(LCI_Table[[#This Row],[Hide Row]]))</f>
        <v>0</v>
      </c>
      <c r="O882" s="14" t="b">
        <f>LCI_Table[[#This Row],[GREET1 Name Range]]=""</f>
        <v>0</v>
      </c>
      <c r="P882" s="14" t="s">
        <v>1448</v>
      </c>
      <c r="Q882" s="14" t="s">
        <v>533</v>
      </c>
      <c r="R882" s="14" t="s">
        <v>1911</v>
      </c>
      <c r="S882" s="37" cm="1">
        <f t="array" aca="1" ref="S8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295.37400720891884</v>
      </c>
      <c r="T882" s="346" t="s">
        <v>2127</v>
      </c>
      <c r="U882" s="347">
        <f ca="1">S882/kg2g/Allocations!$O$83*MJ2mmBTU</f>
        <v>2.7996054162338308E-4</v>
      </c>
      <c r="V882" s="347">
        <v>295.37400720891884</v>
      </c>
      <c r="W882" s="347">
        <v>2.7996054162338308E-4</v>
      </c>
      <c r="X882" s="37" t="s">
        <v>6</v>
      </c>
      <c r="Y882" s="346" t="s">
        <v>416</v>
      </c>
      <c r="Z882" s="14" t="str">
        <f>IF(ISBLANK(LCI_Table[[#This Row],[Notes for user]])," ",LCI_Table[[#This Row],[Notes for user]])</f>
        <v xml:space="preserve"> </v>
      </c>
      <c r="AA882" s="14"/>
      <c r="AB882" s="14"/>
      <c r="AC882" s="346">
        <f ca="1">LCI_Table[[#This Row],[Default Calculated Value]]-LCI_Table[[#This Row],[Calculated Value]]</f>
        <v>0</v>
      </c>
    </row>
    <row r="883" spans="1:29" x14ac:dyDescent="0.3">
      <c r="A8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residueBiological STJGREETGREET(blank)_Cellulosic_Biological_STJ_Corn_steep_liquorCorn steep liquor</v>
      </c>
      <c r="B883" s="14" t="s">
        <v>316</v>
      </c>
      <c r="C883" s="14" t="s">
        <v>139</v>
      </c>
      <c r="D883" s="14" t="s">
        <v>29</v>
      </c>
      <c r="E883" s="48" t="s">
        <v>29</v>
      </c>
      <c r="F883" s="14" t="s">
        <v>31</v>
      </c>
      <c r="G883" s="14" t="b">
        <f>OR(LCI_Table[[#This Row],[Feedstock]]="All",LCI_Table[[#This Row],[Feedstock]]=SelectedFeedstock)</f>
        <v>0</v>
      </c>
      <c r="H883" s="14" t="b">
        <f>OR(LCI_Table[[#This Row],[Conversion]]="All",LCI_Table[[#This Row],[Conversion]]=SelectedConversion)</f>
        <v>0</v>
      </c>
      <c r="I883" s="14" t="b">
        <f>OR(LCI_Table[[#This Row],[Data Set]]="all",LCI_Table[[#This Row],[Data Set]]=SelectedDataSet)</f>
        <v>1</v>
      </c>
      <c r="J883" s="14" t="b">
        <f>OR(LCI_Table[[#This Row],[Technology]]="All",LCI_Table[[#This Row],[Technology]]=SelectedTechnology)</f>
        <v>1</v>
      </c>
      <c r="K883" s="14" t="b">
        <f>OR(LCI_Table[[#This Row],[Data Source]]="All",LCI_Table[[#This Row],[Data Source]]=SelectedDataSource)</f>
        <v>1</v>
      </c>
      <c r="L883" s="14" t="b">
        <f>TRUE</f>
        <v>1</v>
      </c>
      <c r="M883" s="14" t="b">
        <f>(LCI_Table[[#This Row],[Dev Notes]]="Do not display")</f>
        <v>0</v>
      </c>
      <c r="N883" s="14" t="b">
        <f>AND(LCI_Table[[#This Row],[Show Feedstock]:[Conditional]],NOT(LCI_Table[[#This Row],[Hide Row]]))</f>
        <v>0</v>
      </c>
      <c r="O883" s="14" t="b">
        <f>LCI_Table[[#This Row],[GREET1 Name Range]]=""</f>
        <v>0</v>
      </c>
      <c r="P883" s="14" t="s">
        <v>1448</v>
      </c>
      <c r="Q883" s="14" t="s">
        <v>534</v>
      </c>
      <c r="R883" s="14" t="s">
        <v>386</v>
      </c>
      <c r="S883" s="37" cm="1">
        <f t="array" aca="1" ref="S8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3402.525385367856</v>
      </c>
      <c r="T883" s="346" t="s">
        <v>2127</v>
      </c>
      <c r="U883" s="347">
        <f ca="1">S883/kg2g/Allocations!$O$83*MJ2mmBTU</f>
        <v>3.2249718205608316E-3</v>
      </c>
      <c r="V883" s="347">
        <v>3402.525385367856</v>
      </c>
      <c r="W883" s="347">
        <v>3.2249718205608316E-3</v>
      </c>
      <c r="X883" s="37" t="s">
        <v>6</v>
      </c>
      <c r="Y883" s="346" t="s">
        <v>416</v>
      </c>
      <c r="Z883" s="14" t="str">
        <f>IF(ISBLANK(LCI_Table[[#This Row],[Notes for user]])," ",LCI_Table[[#This Row],[Notes for user]])</f>
        <v xml:space="preserve"> </v>
      </c>
      <c r="AA883" s="14"/>
      <c r="AB883" s="14"/>
      <c r="AC883" s="346">
        <f ca="1">LCI_Table[[#This Row],[Default Calculated Value]]-LCI_Table[[#This Row],[Calculated Value]]</f>
        <v>0</v>
      </c>
    </row>
    <row r="884" spans="1:29" x14ac:dyDescent="0.3">
      <c r="A8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residueBiological STJGREETGREET(blank)_Cellulosic_Biological_STJ_DAPDAP</v>
      </c>
      <c r="B884" s="14" t="s">
        <v>316</v>
      </c>
      <c r="C884" s="14" t="s">
        <v>139</v>
      </c>
      <c r="D884" s="14" t="s">
        <v>29</v>
      </c>
      <c r="E884" s="48" t="s">
        <v>29</v>
      </c>
      <c r="F884" s="14" t="s">
        <v>31</v>
      </c>
      <c r="G884" s="14" t="b">
        <f>OR(LCI_Table[[#This Row],[Feedstock]]="All",LCI_Table[[#This Row],[Feedstock]]=SelectedFeedstock)</f>
        <v>0</v>
      </c>
      <c r="H884" s="14" t="b">
        <f>OR(LCI_Table[[#This Row],[Conversion]]="All",LCI_Table[[#This Row],[Conversion]]=SelectedConversion)</f>
        <v>0</v>
      </c>
      <c r="I884" s="14" t="b">
        <f>OR(LCI_Table[[#This Row],[Data Set]]="all",LCI_Table[[#This Row],[Data Set]]=SelectedDataSet)</f>
        <v>1</v>
      </c>
      <c r="J884" s="14" t="b">
        <f>OR(LCI_Table[[#This Row],[Technology]]="All",LCI_Table[[#This Row],[Technology]]=SelectedTechnology)</f>
        <v>1</v>
      </c>
      <c r="K884" s="14" t="b">
        <f>OR(LCI_Table[[#This Row],[Data Source]]="All",LCI_Table[[#This Row],[Data Source]]=SelectedDataSource)</f>
        <v>1</v>
      </c>
      <c r="L884" s="14" t="b">
        <f>TRUE</f>
        <v>1</v>
      </c>
      <c r="M884" s="14" t="b">
        <f>(LCI_Table[[#This Row],[Dev Notes]]="Do not display")</f>
        <v>0</v>
      </c>
      <c r="N884" s="14" t="b">
        <f>AND(LCI_Table[[#This Row],[Show Feedstock]:[Conditional]],NOT(LCI_Table[[#This Row],[Hide Row]]))</f>
        <v>0</v>
      </c>
      <c r="O884" s="14" t="b">
        <f>LCI_Table[[#This Row],[GREET1 Name Range]]=""</f>
        <v>0</v>
      </c>
      <c r="P884" s="14" t="s">
        <v>1448</v>
      </c>
      <c r="Q884" s="14" t="s">
        <v>536</v>
      </c>
      <c r="R884" s="14" t="s">
        <v>383</v>
      </c>
      <c r="S884" s="37" cm="1">
        <f t="array" aca="1" ref="S8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290.79456523668756</v>
      </c>
      <c r="T884" s="346" t="s">
        <v>2127</v>
      </c>
      <c r="U884" s="347">
        <f ca="1">S884/kg2g/Allocations!$O$83*MJ2mmBTU</f>
        <v>2.7562006810984228E-4</v>
      </c>
      <c r="V884" s="347">
        <v>290.79456523668756</v>
      </c>
      <c r="W884" s="347">
        <v>2.7562006810984228E-4</v>
      </c>
      <c r="X884" s="37" t="s">
        <v>6</v>
      </c>
      <c r="Y884" s="346" t="s">
        <v>416</v>
      </c>
      <c r="Z884" s="14" t="str">
        <f>IF(ISBLANK(LCI_Table[[#This Row],[Notes for user]])," ",LCI_Table[[#This Row],[Notes for user]])</f>
        <v xml:space="preserve"> </v>
      </c>
      <c r="AA884" s="14"/>
      <c r="AB884" s="14"/>
      <c r="AC884" s="346">
        <f ca="1">LCI_Table[[#This Row],[Default Calculated Value]]-LCI_Table[[#This Row],[Calculated Value]]</f>
        <v>0</v>
      </c>
    </row>
    <row r="885" spans="1:29" x14ac:dyDescent="0.3">
      <c r="A8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residueBiological STJGREETGREET(blank)_Cellulosic_Biological_STJ_GlucoseGlucose</v>
      </c>
      <c r="B885" s="14" t="s">
        <v>316</v>
      </c>
      <c r="C885" s="14" t="s">
        <v>139</v>
      </c>
      <c r="D885" s="14" t="s">
        <v>29</v>
      </c>
      <c r="E885" s="48" t="s">
        <v>29</v>
      </c>
      <c r="F885" s="14" t="s">
        <v>31</v>
      </c>
      <c r="G885" s="14" t="b">
        <f>OR(LCI_Table[[#This Row],[Feedstock]]="All",LCI_Table[[#This Row],[Feedstock]]=SelectedFeedstock)</f>
        <v>0</v>
      </c>
      <c r="H885" s="14" t="b">
        <f>OR(LCI_Table[[#This Row],[Conversion]]="All",LCI_Table[[#This Row],[Conversion]]=SelectedConversion)</f>
        <v>0</v>
      </c>
      <c r="I885" s="14" t="b">
        <f>OR(LCI_Table[[#This Row],[Data Set]]="all",LCI_Table[[#This Row],[Data Set]]=SelectedDataSet)</f>
        <v>1</v>
      </c>
      <c r="J885" s="14" t="b">
        <f>OR(LCI_Table[[#This Row],[Technology]]="All",LCI_Table[[#This Row],[Technology]]=SelectedTechnology)</f>
        <v>1</v>
      </c>
      <c r="K885" s="14" t="b">
        <f>OR(LCI_Table[[#This Row],[Data Source]]="All",LCI_Table[[#This Row],[Data Source]]=SelectedDataSource)</f>
        <v>1</v>
      </c>
      <c r="L885" s="14" t="b">
        <f>TRUE</f>
        <v>1</v>
      </c>
      <c r="M885" s="14" t="b">
        <f>(LCI_Table[[#This Row],[Dev Notes]]="Do not display")</f>
        <v>0</v>
      </c>
      <c r="N885" s="14" t="b">
        <f>AND(LCI_Table[[#This Row],[Show Feedstock]:[Conditional]],NOT(LCI_Table[[#This Row],[Hide Row]]))</f>
        <v>0</v>
      </c>
      <c r="O885" s="14" t="b">
        <f>LCI_Table[[#This Row],[GREET1 Name Range]]=""</f>
        <v>0</v>
      </c>
      <c r="P885" s="14" t="s">
        <v>1448</v>
      </c>
      <c r="Q885" s="14" t="s">
        <v>538</v>
      </c>
      <c r="R885" s="14" t="s">
        <v>387</v>
      </c>
      <c r="S885" s="37" cm="1">
        <f t="array" aca="1" ref="S8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2777.431556158283</v>
      </c>
      <c r="T885" s="346" t="s">
        <v>2127</v>
      </c>
      <c r="U885" s="347">
        <f ca="1">S885/kg2g/Allocations!$O$83*MJ2mmBTU</f>
        <v>2.632497185962509E-3</v>
      </c>
      <c r="V885" s="347">
        <v>2777.431556158283</v>
      </c>
      <c r="W885" s="347">
        <v>2.632497185962509E-3</v>
      </c>
      <c r="X885" s="37" t="s">
        <v>6</v>
      </c>
      <c r="Y885" s="346" t="s">
        <v>416</v>
      </c>
      <c r="Z885" s="14" t="str">
        <f>IF(ISBLANK(LCI_Table[[#This Row],[Notes for user]])," ",LCI_Table[[#This Row],[Notes for user]])</f>
        <v xml:space="preserve"> </v>
      </c>
      <c r="AA885" s="14"/>
      <c r="AB885" s="14"/>
      <c r="AC885" s="346">
        <f ca="1">LCI_Table[[#This Row],[Default Calculated Value]]-LCI_Table[[#This Row],[Calculated Value]]</f>
        <v>0</v>
      </c>
    </row>
    <row r="886" spans="1:29" x14ac:dyDescent="0.3">
      <c r="A8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residueBiological STJGREETGREET(blank)_Cellulosic_Biological_STJ_Host_nutrientsHost nutrients</v>
      </c>
      <c r="B886" s="14" t="s">
        <v>316</v>
      </c>
      <c r="C886" s="14" t="s">
        <v>139</v>
      </c>
      <c r="D886" s="14" t="s">
        <v>29</v>
      </c>
      <c r="E886" s="48" t="s">
        <v>29</v>
      </c>
      <c r="F886" s="14" t="s">
        <v>31</v>
      </c>
      <c r="G886" s="14" t="b">
        <f>OR(LCI_Table[[#This Row],[Feedstock]]="All",LCI_Table[[#This Row],[Feedstock]]=SelectedFeedstock)</f>
        <v>0</v>
      </c>
      <c r="H886" s="14" t="b">
        <f>OR(LCI_Table[[#This Row],[Conversion]]="All",LCI_Table[[#This Row],[Conversion]]=SelectedConversion)</f>
        <v>0</v>
      </c>
      <c r="I886" s="14" t="b">
        <f>OR(LCI_Table[[#This Row],[Data Set]]="all",LCI_Table[[#This Row],[Data Set]]=SelectedDataSet)</f>
        <v>1</v>
      </c>
      <c r="J886" s="14" t="b">
        <f>OR(LCI_Table[[#This Row],[Technology]]="All",LCI_Table[[#This Row],[Technology]]=SelectedTechnology)</f>
        <v>1</v>
      </c>
      <c r="K886" s="14" t="b">
        <f>OR(LCI_Table[[#This Row],[Data Source]]="All",LCI_Table[[#This Row],[Data Source]]=SelectedDataSource)</f>
        <v>1</v>
      </c>
      <c r="L886" s="14" t="b">
        <f>TRUE</f>
        <v>1</v>
      </c>
      <c r="M886" s="14" t="b">
        <f>(LCI_Table[[#This Row],[Dev Notes]]="Do not display")</f>
        <v>0</v>
      </c>
      <c r="N886" s="14" t="b">
        <f>AND(LCI_Table[[#This Row],[Show Feedstock]:[Conditional]],NOT(LCI_Table[[#This Row],[Hide Row]]))</f>
        <v>0</v>
      </c>
      <c r="O886" s="14" t="b">
        <f>LCI_Table[[#This Row],[GREET1 Name Range]]=""</f>
        <v>0</v>
      </c>
      <c r="P886" s="14" t="s">
        <v>1448</v>
      </c>
      <c r="Q886" s="14" t="s">
        <v>539</v>
      </c>
      <c r="R886" s="14" t="s">
        <v>388</v>
      </c>
      <c r="S886" s="37" cm="1">
        <f t="array" aca="1" ref="S8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77.850513527932108</v>
      </c>
      <c r="T886" s="346" t="s">
        <v>2127</v>
      </c>
      <c r="U886" s="347">
        <f ca="1">S886/kg2g/Allocations!$O$83*MJ2mmBTU</f>
        <v>7.3788049730194008E-5</v>
      </c>
      <c r="V886" s="347">
        <v>77.850513527932108</v>
      </c>
      <c r="W886" s="347">
        <v>7.3788049730194008E-5</v>
      </c>
      <c r="X886" s="37" t="s">
        <v>6</v>
      </c>
      <c r="Y886" s="346" t="s">
        <v>416</v>
      </c>
      <c r="Z886" s="14" t="str">
        <f>IF(ISBLANK(LCI_Table[[#This Row],[Notes for user]])," ",LCI_Table[[#This Row],[Notes for user]])</f>
        <v xml:space="preserve"> </v>
      </c>
      <c r="AA886" s="14"/>
      <c r="AB886" s="14"/>
      <c r="AC886" s="346">
        <f ca="1">LCI_Table[[#This Row],[Default Calculated Value]]-LCI_Table[[#This Row],[Calculated Value]]</f>
        <v>0</v>
      </c>
    </row>
    <row r="887" spans="1:29" x14ac:dyDescent="0.3">
      <c r="A8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residueBiological STJGREETGREET(blank)_Cellulosic_Biological_STJ_LimeLime</v>
      </c>
      <c r="B887" s="14" t="s">
        <v>316</v>
      </c>
      <c r="C887" s="14" t="s">
        <v>139</v>
      </c>
      <c r="D887" s="14" t="s">
        <v>29</v>
      </c>
      <c r="E887" s="48" t="s">
        <v>29</v>
      </c>
      <c r="F887" s="14" t="s">
        <v>31</v>
      </c>
      <c r="G887" s="14" t="b">
        <f>OR(LCI_Table[[#This Row],[Feedstock]]="All",LCI_Table[[#This Row],[Feedstock]]=SelectedFeedstock)</f>
        <v>0</v>
      </c>
      <c r="H887" s="14" t="b">
        <f>OR(LCI_Table[[#This Row],[Conversion]]="All",LCI_Table[[#This Row],[Conversion]]=SelectedConversion)</f>
        <v>0</v>
      </c>
      <c r="I887" s="14" t="b">
        <f>OR(LCI_Table[[#This Row],[Data Set]]="all",LCI_Table[[#This Row],[Data Set]]=SelectedDataSet)</f>
        <v>1</v>
      </c>
      <c r="J887" s="14" t="b">
        <f>OR(LCI_Table[[#This Row],[Technology]]="All",LCI_Table[[#This Row],[Technology]]=SelectedTechnology)</f>
        <v>1</v>
      </c>
      <c r="K887" s="14" t="b">
        <f>OR(LCI_Table[[#This Row],[Data Source]]="All",LCI_Table[[#This Row],[Data Source]]=SelectedDataSource)</f>
        <v>1</v>
      </c>
      <c r="L887" s="14" t="b">
        <f>TRUE</f>
        <v>1</v>
      </c>
      <c r="M887" s="14" t="b">
        <f>(LCI_Table[[#This Row],[Dev Notes]]="Do not display")</f>
        <v>0</v>
      </c>
      <c r="N887" s="14" t="b">
        <f>AND(LCI_Table[[#This Row],[Show Feedstock]:[Conditional]],NOT(LCI_Table[[#This Row],[Hide Row]]))</f>
        <v>0</v>
      </c>
      <c r="O887" s="14" t="b">
        <f>LCI_Table[[#This Row],[GREET1 Name Range]]=""</f>
        <v>0</v>
      </c>
      <c r="P887" s="14" t="s">
        <v>1448</v>
      </c>
      <c r="Q887" s="14" t="s">
        <v>541</v>
      </c>
      <c r="R887" s="14" t="s">
        <v>143</v>
      </c>
      <c r="S887" s="37" cm="1">
        <f t="array" aca="1" ref="S8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437.33670834808913</v>
      </c>
      <c r="T887" s="346" t="s">
        <v>2127</v>
      </c>
      <c r="U887" s="347">
        <f ca="1">S887/kg2g/Allocations!$O$83*MJ2mmBTU</f>
        <v>4.1451522054314859E-4</v>
      </c>
      <c r="V887" s="347">
        <v>437.33670834808913</v>
      </c>
      <c r="W887" s="347">
        <v>4.1451522054314859E-4</v>
      </c>
      <c r="X887" s="14" t="s">
        <v>6</v>
      </c>
      <c r="Y887" s="346" t="s">
        <v>416</v>
      </c>
      <c r="Z887" s="14" t="str">
        <f>IF(ISBLANK(LCI_Table[[#This Row],[Notes for user]])," ",LCI_Table[[#This Row],[Notes for user]])</f>
        <v xml:space="preserve"> </v>
      </c>
      <c r="AA887" s="14"/>
      <c r="AB887" s="14"/>
      <c r="AC887" s="346">
        <f ca="1">LCI_Table[[#This Row],[Default Calculated Value]]-LCI_Table[[#This Row],[Calculated Value]]</f>
        <v>0</v>
      </c>
    </row>
    <row r="888" spans="1:29" x14ac:dyDescent="0.3">
      <c r="A8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residueBiological STJGREETGREET(blank)_Cellulosic_Biological_STJ_Sulfuric_acidSulfuric acid</v>
      </c>
      <c r="B888" s="14" t="s">
        <v>316</v>
      </c>
      <c r="C888" s="14" t="s">
        <v>139</v>
      </c>
      <c r="D888" s="14" t="s">
        <v>29</v>
      </c>
      <c r="E888" s="48" t="s">
        <v>29</v>
      </c>
      <c r="F888" s="14" t="s">
        <v>31</v>
      </c>
      <c r="G888" s="14" t="b">
        <f>OR(LCI_Table[[#This Row],[Feedstock]]="All",LCI_Table[[#This Row],[Feedstock]]=SelectedFeedstock)</f>
        <v>0</v>
      </c>
      <c r="H888" s="14" t="b">
        <f>OR(LCI_Table[[#This Row],[Conversion]]="All",LCI_Table[[#This Row],[Conversion]]=SelectedConversion)</f>
        <v>0</v>
      </c>
      <c r="I888" s="14" t="b">
        <f>OR(LCI_Table[[#This Row],[Data Set]]="all",LCI_Table[[#This Row],[Data Set]]=SelectedDataSet)</f>
        <v>1</v>
      </c>
      <c r="J888" s="14" t="b">
        <f>OR(LCI_Table[[#This Row],[Technology]]="All",LCI_Table[[#This Row],[Technology]]=SelectedTechnology)</f>
        <v>1</v>
      </c>
      <c r="K888" s="14" t="b">
        <f>OR(LCI_Table[[#This Row],[Data Source]]="All",LCI_Table[[#This Row],[Data Source]]=SelectedDataSource)</f>
        <v>1</v>
      </c>
      <c r="L888" s="14" t="b">
        <f>TRUE</f>
        <v>1</v>
      </c>
      <c r="M888" s="14" t="b">
        <f>(LCI_Table[[#This Row],[Dev Notes]]="Do not display")</f>
        <v>0</v>
      </c>
      <c r="N888" s="14" t="b">
        <f>AND(LCI_Table[[#This Row],[Show Feedstock]:[Conditional]],NOT(LCI_Table[[#This Row],[Hide Row]]))</f>
        <v>0</v>
      </c>
      <c r="O888" s="14" t="b">
        <f>LCI_Table[[#This Row],[GREET1 Name Range]]=""</f>
        <v>0</v>
      </c>
      <c r="P888" s="14" t="s">
        <v>1448</v>
      </c>
      <c r="Q888" s="14" t="s">
        <v>542</v>
      </c>
      <c r="R888" s="14" t="s">
        <v>384</v>
      </c>
      <c r="S888" s="37" cm="1">
        <f t="array" aca="1" ref="S8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5128.9750088990568</v>
      </c>
      <c r="T888" s="346" t="s">
        <v>2127</v>
      </c>
      <c r="U888" s="347">
        <f ca="1">S888/kg2g/Allocations!$O$83*MJ2mmBTU</f>
        <v>4.8613303351657229E-3</v>
      </c>
      <c r="V888" s="347">
        <v>5128.9750088990568</v>
      </c>
      <c r="W888" s="347">
        <v>4.8613303351657229E-3</v>
      </c>
      <c r="X888" s="37" t="s">
        <v>6</v>
      </c>
      <c r="Y888" s="346" t="s">
        <v>416</v>
      </c>
      <c r="Z888" s="14" t="str">
        <f>IF(ISBLANK(LCI_Table[[#This Row],[Notes for user]])," ",LCI_Table[[#This Row],[Notes for user]])</f>
        <v xml:space="preserve"> </v>
      </c>
      <c r="AA888" s="14"/>
      <c r="AB888" s="14"/>
      <c r="AC888" s="346">
        <f ca="1">LCI_Table[[#This Row],[Default Calculated Value]]-LCI_Table[[#This Row],[Calculated Value]]</f>
        <v>0</v>
      </c>
    </row>
    <row r="889" spans="1:29" x14ac:dyDescent="0.3">
      <c r="A8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residueBiological STJGREETGREET(blank)_Cellulosic_Biological_STJ_WaterWater</v>
      </c>
      <c r="B889" s="14" t="s">
        <v>316</v>
      </c>
      <c r="C889" s="14" t="s">
        <v>139</v>
      </c>
      <c r="D889" s="14" t="s">
        <v>29</v>
      </c>
      <c r="E889" s="48" t="s">
        <v>29</v>
      </c>
      <c r="F889" s="14" t="s">
        <v>31</v>
      </c>
      <c r="G889" s="14" t="b">
        <f>OR(LCI_Table[[#This Row],[Feedstock]]="All",LCI_Table[[#This Row],[Feedstock]]=SelectedFeedstock)</f>
        <v>0</v>
      </c>
      <c r="H889" s="14" t="b">
        <f>OR(LCI_Table[[#This Row],[Conversion]]="All",LCI_Table[[#This Row],[Conversion]]=SelectedConversion)</f>
        <v>0</v>
      </c>
      <c r="I889" s="14" t="b">
        <f>OR(LCI_Table[[#This Row],[Data Set]]="all",LCI_Table[[#This Row],[Data Set]]=SelectedDataSet)</f>
        <v>1</v>
      </c>
      <c r="J889" s="14" t="b">
        <f>OR(LCI_Table[[#This Row],[Technology]]="All",LCI_Table[[#This Row],[Technology]]=SelectedTechnology)</f>
        <v>1</v>
      </c>
      <c r="K889" s="14" t="b">
        <f>OR(LCI_Table[[#This Row],[Data Source]]="All",LCI_Table[[#This Row],[Data Source]]=SelectedDataSource)</f>
        <v>1</v>
      </c>
      <c r="L889" s="14" t="b">
        <f>TRUE</f>
        <v>1</v>
      </c>
      <c r="M889" s="14" t="b">
        <f>(LCI_Table[[#This Row],[Dev Notes]]="Do not display")</f>
        <v>0</v>
      </c>
      <c r="N889" s="14" t="b">
        <f>AND(LCI_Table[[#This Row],[Show Feedstock]:[Conditional]],NOT(LCI_Table[[#This Row],[Hide Row]]))</f>
        <v>0</v>
      </c>
      <c r="O889" s="14" t="b">
        <f>LCI_Table[[#This Row],[GREET1 Name Range]]=""</f>
        <v>0</v>
      </c>
      <c r="P889" s="14" t="s">
        <v>1448</v>
      </c>
      <c r="Q889" s="14" t="s">
        <v>543</v>
      </c>
      <c r="R889" s="14" t="s">
        <v>146</v>
      </c>
      <c r="S889" s="37" cm="1">
        <f t="array" aca="1" ref="S8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133.25118652693723</v>
      </c>
      <c r="T889" s="346" t="s">
        <v>2128</v>
      </c>
      <c r="U889" s="347">
        <f ca="1">S889/kg2lb*Fuel_Specs!$K$4/Allocations!$O$83*MJ2mmBTU</f>
        <v>0.47667948220408035</v>
      </c>
      <c r="V889" s="347">
        <v>133.25118652693723</v>
      </c>
      <c r="W889" s="347">
        <v>0.47667948220408035</v>
      </c>
      <c r="X889" s="37" t="s">
        <v>5</v>
      </c>
      <c r="Y889" s="346" t="s">
        <v>416</v>
      </c>
      <c r="Z889" s="14" t="str">
        <f>IF(ISBLANK(LCI_Table[[#This Row],[Notes for user]])," ",LCI_Table[[#This Row],[Notes for user]])</f>
        <v xml:space="preserve"> </v>
      </c>
      <c r="AA889" s="14"/>
      <c r="AB889" s="14"/>
      <c r="AC889" s="346">
        <f ca="1">LCI_Table[[#This Row],[Default Calculated Value]]-LCI_Table[[#This Row],[Calculated Value]]</f>
        <v>0</v>
      </c>
    </row>
    <row r="890" spans="1:29" x14ac:dyDescent="0.3">
      <c r="A8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residueBiological STJGREETGREET(blank)_Cellulosic_Biological_STJ_Electricity_co_producedElectricity (co-produced)</v>
      </c>
      <c r="B890" s="14" t="s">
        <v>316</v>
      </c>
      <c r="C890" s="14" t="s">
        <v>139</v>
      </c>
      <c r="D890" s="14" t="s">
        <v>29</v>
      </c>
      <c r="E890" s="48" t="s">
        <v>29</v>
      </c>
      <c r="F890" s="14" t="s">
        <v>31</v>
      </c>
      <c r="G890" s="14" t="b">
        <f>OR(LCI_Table[[#This Row],[Feedstock]]="All",LCI_Table[[#This Row],[Feedstock]]=SelectedFeedstock)</f>
        <v>0</v>
      </c>
      <c r="H890" s="14" t="b">
        <f>OR(LCI_Table[[#This Row],[Conversion]]="All",LCI_Table[[#This Row],[Conversion]]=SelectedConversion)</f>
        <v>0</v>
      </c>
      <c r="I890" s="14" t="b">
        <f>OR(LCI_Table[[#This Row],[Data Set]]="all",LCI_Table[[#This Row],[Data Set]]=SelectedDataSet)</f>
        <v>1</v>
      </c>
      <c r="J890" s="14" t="b">
        <f>OR(LCI_Table[[#This Row],[Technology]]="All",LCI_Table[[#This Row],[Technology]]=SelectedTechnology)</f>
        <v>1</v>
      </c>
      <c r="K890" s="14" t="b">
        <f>OR(LCI_Table[[#This Row],[Data Source]]="All",LCI_Table[[#This Row],[Data Source]]=SelectedDataSource)</f>
        <v>1</v>
      </c>
      <c r="L890" s="14" t="b">
        <f>TRUE</f>
        <v>1</v>
      </c>
      <c r="M890" s="14" t="b">
        <f>(LCI_Table[[#This Row],[Dev Notes]]="Do not display")</f>
        <v>0</v>
      </c>
      <c r="N890" s="14" t="b">
        <f>AND(LCI_Table[[#This Row],[Show Feedstock]:[Conditional]],NOT(LCI_Table[[#This Row],[Hide Row]]))</f>
        <v>0</v>
      </c>
      <c r="O890" s="14" t="b">
        <f>LCI_Table[[#This Row],[GREET1 Name Range]]=""</f>
        <v>0</v>
      </c>
      <c r="P890" s="14" t="s">
        <v>1448</v>
      </c>
      <c r="Q890" s="14" t="s">
        <v>537</v>
      </c>
      <c r="R890" s="14" t="s">
        <v>439</v>
      </c>
      <c r="S890" s="37" cm="1">
        <f t="array" aca="1" ref="S8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23.554359784171666</v>
      </c>
      <c r="T890" s="346" t="s">
        <v>2121</v>
      </c>
      <c r="U890" s="347">
        <f ca="1">S890/Allocations!$O$83*MJ2mmBTU</f>
        <v>2.2325225516897199E-2</v>
      </c>
      <c r="V890" s="347">
        <v>23.554359784171666</v>
      </c>
      <c r="W890" s="347">
        <v>2.2325225516897199E-2</v>
      </c>
      <c r="X890" s="37" t="s">
        <v>51</v>
      </c>
      <c r="Y890" s="346" t="s">
        <v>416</v>
      </c>
      <c r="Z890" s="14" t="str">
        <f>IF(ISBLANK(LCI_Table[[#This Row],[Notes for user]])," ",LCI_Table[[#This Row],[Notes for user]])</f>
        <v xml:space="preserve"> </v>
      </c>
      <c r="AA890" s="14"/>
      <c r="AB890" s="14"/>
      <c r="AC890" s="346">
        <f ca="1">LCI_Table[[#This Row],[Default Calculated Value]]-LCI_Table[[#This Row],[Calculated Value]]</f>
        <v>0</v>
      </c>
    </row>
    <row r="891" spans="1:29" x14ac:dyDescent="0.3">
      <c r="A8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dash_Forest residueCatalytic STJGREETGREET(blank)_Yield_Collection</v>
      </c>
      <c r="B891" s="48" t="s">
        <v>316</v>
      </c>
      <c r="C891" s="48" t="s">
        <v>140</v>
      </c>
      <c r="D891" s="48" t="s">
        <v>29</v>
      </c>
      <c r="E891" s="48" t="s">
        <v>29</v>
      </c>
      <c r="F891" s="48" t="s">
        <v>31</v>
      </c>
      <c r="G891" s="14" t="b">
        <f>OR(LCI_Table[[#This Row],[Feedstock]]="All",LCI_Table[[#This Row],[Feedstock]]=SelectedFeedstock)</f>
        <v>0</v>
      </c>
      <c r="H891" s="14" t="b">
        <f>OR(LCI_Table[[#This Row],[Conversion]]="All",LCI_Table[[#This Row],[Conversion]]=SelectedConversion)</f>
        <v>0</v>
      </c>
      <c r="I891" s="14" t="b">
        <f>OR(LCI_Table[[#This Row],[Data Set]]="all",LCI_Table[[#This Row],[Data Set]]=SelectedDataSet)</f>
        <v>1</v>
      </c>
      <c r="J891" s="14" t="b">
        <f>OR(LCI_Table[[#This Row],[Technology]]="All",LCI_Table[[#This Row],[Technology]]=SelectedTechnology)</f>
        <v>1</v>
      </c>
      <c r="K891" s="14" t="b">
        <f>OR(LCI_Table[[#This Row],[Data Source]]="All",LCI_Table[[#This Row],[Data Source]]=SelectedDataSource)</f>
        <v>1</v>
      </c>
      <c r="L891" s="14" t="b">
        <f>TRUE</f>
        <v>1</v>
      </c>
      <c r="M891" s="14" t="b">
        <f>(LCI_Table[[#This Row],[Dev Notes]]="Do not display")</f>
        <v>0</v>
      </c>
      <c r="N891" s="14" t="b">
        <f>AND(LCI_Table[[#This Row],[Show Feedstock]:[Conditional]],NOT(LCI_Table[[#This Row],[Hide Row]]))</f>
        <v>0</v>
      </c>
      <c r="O891" s="14" t="b">
        <f>LCI_Table[[#This Row],[GREET1 Name Range]]=""</f>
        <v>1</v>
      </c>
      <c r="P891" s="48" t="s">
        <v>147</v>
      </c>
      <c r="Q891" s="14" t="s">
        <v>361</v>
      </c>
      <c r="R891" s="48" t="s">
        <v>200</v>
      </c>
      <c r="S891" s="37" cm="1">
        <f t="array" aca="1" ref="S8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0.22304512472924265</v>
      </c>
      <c r="T891" s="346" t="s">
        <v>2116</v>
      </c>
      <c r="U891" s="344"/>
      <c r="V891" s="344">
        <v>0.22304512472924265</v>
      </c>
      <c r="W891" s="344"/>
      <c r="X891" s="48" t="s">
        <v>55</v>
      </c>
      <c r="Y891" s="346" t="s">
        <v>413</v>
      </c>
      <c r="Z891" s="14" t="str">
        <f>IF(ISBLANK(LCI_Table[[#This Row],[Notes for user]])," ",LCI_Table[[#This Row],[Notes for user]])</f>
        <v>Default value from CORSIA</v>
      </c>
      <c r="AA891" s="48" t="s">
        <v>1151</v>
      </c>
      <c r="AB891" s="345" t="s">
        <v>920</v>
      </c>
      <c r="AC891" s="346">
        <f>LCI_Table[[#This Row],[Default Calculated Value]]-LCI_Table[[#This Row],[Calculated Value]]</f>
        <v>0</v>
      </c>
    </row>
    <row r="892" spans="1:29" x14ac:dyDescent="0.3">
      <c r="A8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residueCatalytic STJGREETGREET(blank)_ForestResidue_Collection_Residual_oilResidual oil</v>
      </c>
      <c r="B892" s="14" t="s">
        <v>316</v>
      </c>
      <c r="C892" s="14" t="s">
        <v>140</v>
      </c>
      <c r="D892" s="14" t="s">
        <v>29</v>
      </c>
      <c r="E892" s="48" t="s">
        <v>29</v>
      </c>
      <c r="F892" s="14" t="s">
        <v>31</v>
      </c>
      <c r="G892" s="14" t="b">
        <f>OR(LCI_Table[[#This Row],[Feedstock]]="All",LCI_Table[[#This Row],[Feedstock]]=SelectedFeedstock)</f>
        <v>0</v>
      </c>
      <c r="H892" s="14" t="b">
        <f>OR(LCI_Table[[#This Row],[Conversion]]="All",LCI_Table[[#This Row],[Conversion]]=SelectedConversion)</f>
        <v>0</v>
      </c>
      <c r="I892" s="14" t="b">
        <f>OR(LCI_Table[[#This Row],[Data Set]]="all",LCI_Table[[#This Row],[Data Set]]=SelectedDataSet)</f>
        <v>1</v>
      </c>
      <c r="J892" s="14" t="b">
        <f>OR(LCI_Table[[#This Row],[Technology]]="All",LCI_Table[[#This Row],[Technology]]=SelectedTechnology)</f>
        <v>1</v>
      </c>
      <c r="K892" s="14" t="b">
        <f>OR(LCI_Table[[#This Row],[Data Source]]="All",LCI_Table[[#This Row],[Data Source]]=SelectedDataSource)</f>
        <v>1</v>
      </c>
      <c r="L892" s="14" t="b">
        <f>TRUE</f>
        <v>1</v>
      </c>
      <c r="M892" s="14" t="b">
        <f>(LCI_Table[[#This Row],[Dev Notes]]="Do not display")</f>
        <v>0</v>
      </c>
      <c r="N892" s="14" t="b">
        <f>AND(LCI_Table[[#This Row],[Show Feedstock]:[Conditional]],NOT(LCI_Table[[#This Row],[Hide Row]]))</f>
        <v>0</v>
      </c>
      <c r="O892" s="14" t="b">
        <f>LCI_Table[[#This Row],[GREET1 Name Range]]=""</f>
        <v>0</v>
      </c>
      <c r="P892" s="14" t="s">
        <v>147</v>
      </c>
      <c r="Q892" s="14" t="s">
        <v>651</v>
      </c>
      <c r="R892" s="14" t="s">
        <v>115</v>
      </c>
      <c r="S892" s="37" cm="1">
        <f t="array" aca="1" ref="S8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92" s="346" t="s">
        <v>1484</v>
      </c>
      <c r="U892" s="347">
        <f ca="1">S892*Fuel_Specs!$B$28/S891</f>
        <v>0</v>
      </c>
      <c r="V892" s="347">
        <v>0</v>
      </c>
      <c r="W892" s="347">
        <v>0</v>
      </c>
      <c r="X892" s="37" t="s">
        <v>5</v>
      </c>
      <c r="Y892" s="346" t="s">
        <v>413</v>
      </c>
      <c r="Z892" s="14" t="str">
        <f>IF(ISBLANK(LCI_Table[[#This Row],[Notes for user]])," ",LCI_Table[[#This Row],[Notes for user]])</f>
        <v xml:space="preserve"> </v>
      </c>
      <c r="AA892" s="14"/>
      <c r="AB892" s="14"/>
      <c r="AC892" s="346">
        <f ca="1">LCI_Table[[#This Row],[Default Calculated Value]]-LCI_Table[[#This Row],[Calculated Value]]</f>
        <v>0</v>
      </c>
    </row>
    <row r="893" spans="1:29" x14ac:dyDescent="0.3">
      <c r="A8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residueCatalytic STJGREETGREET(blank)_ForestResidue_Collection_DieselDiesel</v>
      </c>
      <c r="B893" s="14" t="s">
        <v>316</v>
      </c>
      <c r="C893" s="14" t="s">
        <v>140</v>
      </c>
      <c r="D893" s="14" t="s">
        <v>29</v>
      </c>
      <c r="E893" s="48" t="s">
        <v>29</v>
      </c>
      <c r="F893" s="14" t="s">
        <v>31</v>
      </c>
      <c r="G893" s="14" t="b">
        <f>OR(LCI_Table[[#This Row],[Feedstock]]="All",LCI_Table[[#This Row],[Feedstock]]=SelectedFeedstock)</f>
        <v>0</v>
      </c>
      <c r="H893" s="14" t="b">
        <f>OR(LCI_Table[[#This Row],[Conversion]]="All",LCI_Table[[#This Row],[Conversion]]=SelectedConversion)</f>
        <v>0</v>
      </c>
      <c r="I893" s="14" t="b">
        <f>OR(LCI_Table[[#This Row],[Data Set]]="all",LCI_Table[[#This Row],[Data Set]]=SelectedDataSet)</f>
        <v>1</v>
      </c>
      <c r="J893" s="14" t="b">
        <f>OR(LCI_Table[[#This Row],[Technology]]="All",LCI_Table[[#This Row],[Technology]]=SelectedTechnology)</f>
        <v>1</v>
      </c>
      <c r="K893" s="14" t="b">
        <f>OR(LCI_Table[[#This Row],[Data Source]]="All",LCI_Table[[#This Row],[Data Source]]=SelectedDataSource)</f>
        <v>1</v>
      </c>
      <c r="L893" s="14" t="b">
        <f>TRUE</f>
        <v>1</v>
      </c>
      <c r="M893" s="14" t="b">
        <f>(LCI_Table[[#This Row],[Dev Notes]]="Do not display")</f>
        <v>0</v>
      </c>
      <c r="N893" s="14" t="b">
        <f>AND(LCI_Table[[#This Row],[Show Feedstock]:[Conditional]],NOT(LCI_Table[[#This Row],[Hide Row]]))</f>
        <v>0</v>
      </c>
      <c r="O893" s="14" t="b">
        <f>LCI_Table[[#This Row],[GREET1 Name Range]]=""</f>
        <v>0</v>
      </c>
      <c r="P893" s="14" t="s">
        <v>147</v>
      </c>
      <c r="Q893" s="14" t="s">
        <v>646</v>
      </c>
      <c r="R893" s="14" t="s">
        <v>106</v>
      </c>
      <c r="S893" s="37" cm="1">
        <f t="array" aca="1" ref="S8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0.22952116048383753</v>
      </c>
      <c r="T893" s="346" t="s">
        <v>1484</v>
      </c>
      <c r="U893" s="347">
        <f ca="1">S893*Fuel_Specs!$B$19/S891</f>
        <v>132179.5</v>
      </c>
      <c r="V893" s="347">
        <v>0.22952116048383753</v>
      </c>
      <c r="W893" s="347">
        <v>132179.5</v>
      </c>
      <c r="X893" s="37" t="s">
        <v>5</v>
      </c>
      <c r="Y893" s="346" t="s">
        <v>413</v>
      </c>
      <c r="Z893" s="14" t="str">
        <f>IF(ISBLANK(LCI_Table[[#This Row],[Notes for user]])," ",LCI_Table[[#This Row],[Notes for user]])</f>
        <v xml:space="preserve"> </v>
      </c>
      <c r="AA893" s="14"/>
      <c r="AB893" s="14"/>
      <c r="AC893" s="346">
        <f ca="1">LCI_Table[[#This Row],[Default Calculated Value]]-LCI_Table[[#This Row],[Calculated Value]]</f>
        <v>0</v>
      </c>
    </row>
    <row r="894" spans="1:29" x14ac:dyDescent="0.3">
      <c r="A8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residueCatalytic STJGREETGREET(blank)_ForestResidue_Collection_GasolineGasoline</v>
      </c>
      <c r="B894" s="14" t="s">
        <v>316</v>
      </c>
      <c r="C894" s="14" t="s">
        <v>140</v>
      </c>
      <c r="D894" s="14" t="s">
        <v>29</v>
      </c>
      <c r="E894" s="48" t="s">
        <v>29</v>
      </c>
      <c r="F894" s="14" t="s">
        <v>31</v>
      </c>
      <c r="G894" s="14" t="b">
        <f>OR(LCI_Table[[#This Row],[Feedstock]]="All",LCI_Table[[#This Row],[Feedstock]]=SelectedFeedstock)</f>
        <v>0</v>
      </c>
      <c r="H894" s="14" t="b">
        <f>OR(LCI_Table[[#This Row],[Conversion]]="All",LCI_Table[[#This Row],[Conversion]]=SelectedConversion)</f>
        <v>0</v>
      </c>
      <c r="I894" s="14" t="b">
        <f>OR(LCI_Table[[#This Row],[Data Set]]="all",LCI_Table[[#This Row],[Data Set]]=SelectedDataSet)</f>
        <v>1</v>
      </c>
      <c r="J894" s="14" t="b">
        <f>OR(LCI_Table[[#This Row],[Technology]]="All",LCI_Table[[#This Row],[Technology]]=SelectedTechnology)</f>
        <v>1</v>
      </c>
      <c r="K894" s="14" t="b">
        <f>OR(LCI_Table[[#This Row],[Data Source]]="All",LCI_Table[[#This Row],[Data Source]]=SelectedDataSource)</f>
        <v>1</v>
      </c>
      <c r="L894" s="14" t="b">
        <f>TRUE</f>
        <v>1</v>
      </c>
      <c r="M894" s="14" t="b">
        <f>(LCI_Table[[#This Row],[Dev Notes]]="Do not display")</f>
        <v>0</v>
      </c>
      <c r="N894" s="14" t="b">
        <f>AND(LCI_Table[[#This Row],[Show Feedstock]:[Conditional]],NOT(LCI_Table[[#This Row],[Hide Row]]))</f>
        <v>0</v>
      </c>
      <c r="O894" s="14" t="b">
        <f>LCI_Table[[#This Row],[GREET1 Name Range]]=""</f>
        <v>0</v>
      </c>
      <c r="P894" s="14" t="s">
        <v>147</v>
      </c>
      <c r="Q894" s="14" t="s">
        <v>648</v>
      </c>
      <c r="R894" s="14" t="s">
        <v>107</v>
      </c>
      <c r="S894" s="37" cm="1">
        <f t="array" aca="1" ref="S8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94" s="346" t="s">
        <v>1484</v>
      </c>
      <c r="U894" s="347">
        <f ca="1">S894*Fuel_Specs!$B$15/S891</f>
        <v>0</v>
      </c>
      <c r="V894" s="347">
        <v>0</v>
      </c>
      <c r="W894" s="347">
        <v>0</v>
      </c>
      <c r="X894" s="37" t="s">
        <v>5</v>
      </c>
      <c r="Y894" s="346" t="s">
        <v>413</v>
      </c>
      <c r="Z894" s="14" t="str">
        <f>IF(ISBLANK(LCI_Table[[#This Row],[Notes for user]])," ",LCI_Table[[#This Row],[Notes for user]])</f>
        <v xml:space="preserve"> </v>
      </c>
      <c r="AA894" s="14"/>
      <c r="AB894" s="14"/>
      <c r="AC894" s="346">
        <f ca="1">LCI_Table[[#This Row],[Default Calculated Value]]-LCI_Table[[#This Row],[Calculated Value]]</f>
        <v>0</v>
      </c>
    </row>
    <row r="895" spans="1:29" x14ac:dyDescent="0.3">
      <c r="A8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residueCatalytic STJGREETGREET(blank)_ForestResidue_Collection_Natural_gasNatural gas</v>
      </c>
      <c r="B895" s="14" t="s">
        <v>316</v>
      </c>
      <c r="C895" s="14" t="s">
        <v>140</v>
      </c>
      <c r="D895" s="14" t="s">
        <v>29</v>
      </c>
      <c r="E895" s="48" t="s">
        <v>29</v>
      </c>
      <c r="F895" s="14" t="s">
        <v>31</v>
      </c>
      <c r="G895" s="14" t="b">
        <f>OR(LCI_Table[[#This Row],[Feedstock]]="All",LCI_Table[[#This Row],[Feedstock]]=SelectedFeedstock)</f>
        <v>0</v>
      </c>
      <c r="H895" s="14" t="b">
        <f>OR(LCI_Table[[#This Row],[Conversion]]="All",LCI_Table[[#This Row],[Conversion]]=SelectedConversion)</f>
        <v>0</v>
      </c>
      <c r="I895" s="14" t="b">
        <f>OR(LCI_Table[[#This Row],[Data Set]]="all",LCI_Table[[#This Row],[Data Set]]=SelectedDataSet)</f>
        <v>1</v>
      </c>
      <c r="J895" s="14" t="b">
        <f>OR(LCI_Table[[#This Row],[Technology]]="All",LCI_Table[[#This Row],[Technology]]=SelectedTechnology)</f>
        <v>1</v>
      </c>
      <c r="K895" s="14" t="b">
        <f>OR(LCI_Table[[#This Row],[Data Source]]="All",LCI_Table[[#This Row],[Data Source]]=SelectedDataSource)</f>
        <v>1</v>
      </c>
      <c r="L895" s="14" t="b">
        <f>TRUE</f>
        <v>1</v>
      </c>
      <c r="M895" s="14" t="b">
        <f>(LCI_Table[[#This Row],[Dev Notes]]="Do not display")</f>
        <v>0</v>
      </c>
      <c r="N895" s="14" t="b">
        <f>AND(LCI_Table[[#This Row],[Show Feedstock]:[Conditional]],NOT(LCI_Table[[#This Row],[Hide Row]]))</f>
        <v>0</v>
      </c>
      <c r="O895" s="14" t="b">
        <f>LCI_Table[[#This Row],[GREET1 Name Range]]=""</f>
        <v>0</v>
      </c>
      <c r="P895" s="14" t="s">
        <v>147</v>
      </c>
      <c r="Q895" s="14" t="s">
        <v>650</v>
      </c>
      <c r="R895" s="14" t="s">
        <v>108</v>
      </c>
      <c r="S895" s="37" cm="1">
        <f t="array" aca="1" ref="S8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95" s="346" t="s">
        <v>2109</v>
      </c>
      <c r="U895" s="347">
        <f ca="1">S895*Fuel_Specs!$B$79/S891</f>
        <v>0</v>
      </c>
      <c r="V895" s="347">
        <v>0</v>
      </c>
      <c r="W895" s="347">
        <v>0</v>
      </c>
      <c r="X895" s="37" t="s">
        <v>351</v>
      </c>
      <c r="Y895" s="346" t="s">
        <v>413</v>
      </c>
      <c r="Z895" s="14" t="str">
        <f>IF(ISBLANK(LCI_Table[[#This Row],[Notes for user]])," ",LCI_Table[[#This Row],[Notes for user]])</f>
        <v xml:space="preserve"> </v>
      </c>
      <c r="AA895" s="14"/>
      <c r="AB895" s="14"/>
      <c r="AC895" s="346">
        <f ca="1">LCI_Table[[#This Row],[Default Calculated Value]]-LCI_Table[[#This Row],[Calculated Value]]</f>
        <v>0</v>
      </c>
    </row>
    <row r="896" spans="1:29" x14ac:dyDescent="0.3">
      <c r="A8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residueCatalytic STJGREETGREET(blank)_ForestResidue_Collection_CoalCoal</v>
      </c>
      <c r="B896" s="14" t="s">
        <v>316</v>
      </c>
      <c r="C896" s="14" t="s">
        <v>140</v>
      </c>
      <c r="D896" s="14" t="s">
        <v>29</v>
      </c>
      <c r="E896" s="48" t="s">
        <v>29</v>
      </c>
      <c r="F896" s="14" t="s">
        <v>31</v>
      </c>
      <c r="G896" s="14" t="b">
        <f>OR(LCI_Table[[#This Row],[Feedstock]]="All",LCI_Table[[#This Row],[Feedstock]]=SelectedFeedstock)</f>
        <v>0</v>
      </c>
      <c r="H896" s="14" t="b">
        <f>OR(LCI_Table[[#This Row],[Conversion]]="All",LCI_Table[[#This Row],[Conversion]]=SelectedConversion)</f>
        <v>0</v>
      </c>
      <c r="I896" s="14" t="b">
        <f>OR(LCI_Table[[#This Row],[Data Set]]="all",LCI_Table[[#This Row],[Data Set]]=SelectedDataSet)</f>
        <v>1</v>
      </c>
      <c r="J896" s="14" t="b">
        <f>OR(LCI_Table[[#This Row],[Technology]]="All",LCI_Table[[#This Row],[Technology]]=SelectedTechnology)</f>
        <v>1</v>
      </c>
      <c r="K896" s="14" t="b">
        <f>OR(LCI_Table[[#This Row],[Data Source]]="All",LCI_Table[[#This Row],[Data Source]]=SelectedDataSource)</f>
        <v>1</v>
      </c>
      <c r="L896" s="14" t="b">
        <f>TRUE</f>
        <v>1</v>
      </c>
      <c r="M896" s="14" t="b">
        <f>(LCI_Table[[#This Row],[Dev Notes]]="Do not display")</f>
        <v>0</v>
      </c>
      <c r="N896" s="14" t="b">
        <f>AND(LCI_Table[[#This Row],[Show Feedstock]:[Conditional]],NOT(LCI_Table[[#This Row],[Hide Row]]))</f>
        <v>0</v>
      </c>
      <c r="O896" s="14" t="b">
        <f>LCI_Table[[#This Row],[GREET1 Name Range]]=""</f>
        <v>0</v>
      </c>
      <c r="P896" s="14" t="s">
        <v>147</v>
      </c>
      <c r="Q896" s="14" t="s">
        <v>645</v>
      </c>
      <c r="R896" s="14" t="s">
        <v>9</v>
      </c>
      <c r="S896" s="37" cm="1">
        <f t="array" aca="1" ref="S8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96" s="346" t="s">
        <v>2110</v>
      </c>
      <c r="U896" s="347">
        <f ca="1">S896/S891</f>
        <v>0</v>
      </c>
      <c r="V896" s="347">
        <v>0</v>
      </c>
      <c r="W896" s="347">
        <v>0</v>
      </c>
      <c r="X896" s="37" t="s">
        <v>117</v>
      </c>
      <c r="Y896" s="346" t="s">
        <v>413</v>
      </c>
      <c r="Z896" s="14" t="str">
        <f>IF(ISBLANK(LCI_Table[[#This Row],[Notes for user]])," ",LCI_Table[[#This Row],[Notes for user]])</f>
        <v xml:space="preserve"> </v>
      </c>
      <c r="AA896" s="14"/>
      <c r="AB896" s="14"/>
      <c r="AC896" s="346">
        <f ca="1">LCI_Table[[#This Row],[Default Calculated Value]]-LCI_Table[[#This Row],[Calculated Value]]</f>
        <v>0</v>
      </c>
    </row>
    <row r="897" spans="1:29" x14ac:dyDescent="0.3">
      <c r="A8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residueCatalytic STJGREETGREET(blank)_ForestResidue_Collection_LPGLPG</v>
      </c>
      <c r="B897" s="14" t="s">
        <v>316</v>
      </c>
      <c r="C897" s="14" t="s">
        <v>140</v>
      </c>
      <c r="D897" s="14" t="s">
        <v>29</v>
      </c>
      <c r="E897" s="48" t="s">
        <v>29</v>
      </c>
      <c r="F897" s="14" t="s">
        <v>31</v>
      </c>
      <c r="G897" s="14" t="b">
        <f>OR(LCI_Table[[#This Row],[Feedstock]]="All",LCI_Table[[#This Row],[Feedstock]]=SelectedFeedstock)</f>
        <v>0</v>
      </c>
      <c r="H897" s="14" t="b">
        <f>OR(LCI_Table[[#This Row],[Conversion]]="All",LCI_Table[[#This Row],[Conversion]]=SelectedConversion)</f>
        <v>0</v>
      </c>
      <c r="I897" s="14" t="b">
        <f>OR(LCI_Table[[#This Row],[Data Set]]="all",LCI_Table[[#This Row],[Data Set]]=SelectedDataSet)</f>
        <v>1</v>
      </c>
      <c r="J897" s="14" t="b">
        <f>OR(LCI_Table[[#This Row],[Technology]]="All",LCI_Table[[#This Row],[Technology]]=SelectedTechnology)</f>
        <v>1</v>
      </c>
      <c r="K897" s="14" t="b">
        <f>OR(LCI_Table[[#This Row],[Data Source]]="All",LCI_Table[[#This Row],[Data Source]]=SelectedDataSource)</f>
        <v>1</v>
      </c>
      <c r="L897" s="14" t="b">
        <f>TRUE</f>
        <v>1</v>
      </c>
      <c r="M897" s="14" t="b">
        <f>(LCI_Table[[#This Row],[Dev Notes]]="Do not display")</f>
        <v>0</v>
      </c>
      <c r="N897" s="14" t="b">
        <f>AND(LCI_Table[[#This Row],[Show Feedstock]:[Conditional]],NOT(LCI_Table[[#This Row],[Hide Row]]))</f>
        <v>0</v>
      </c>
      <c r="O897" s="14" t="b">
        <f>LCI_Table[[#This Row],[GREET1 Name Range]]=""</f>
        <v>0</v>
      </c>
      <c r="P897" s="14" t="s">
        <v>147</v>
      </c>
      <c r="Q897" s="14" t="s">
        <v>649</v>
      </c>
      <c r="R897" s="14" t="s">
        <v>109</v>
      </c>
      <c r="S897" s="37" cm="1">
        <f t="array" aca="1" ref="S8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97" s="346" t="s">
        <v>1484</v>
      </c>
      <c r="U897" s="347">
        <f ca="1">S897*Fuel_Specs!$B$35/S891</f>
        <v>0</v>
      </c>
      <c r="V897" s="347">
        <v>0</v>
      </c>
      <c r="W897" s="347">
        <v>0</v>
      </c>
      <c r="X897" s="37" t="s">
        <v>5</v>
      </c>
      <c r="Y897" s="346" t="s">
        <v>413</v>
      </c>
      <c r="Z897" s="14" t="str">
        <f>IF(ISBLANK(LCI_Table[[#This Row],[Notes for user]])," ",LCI_Table[[#This Row],[Notes for user]])</f>
        <v xml:space="preserve"> </v>
      </c>
      <c r="AA897" s="14"/>
      <c r="AB897" s="14"/>
      <c r="AC897" s="346">
        <f ca="1">LCI_Table[[#This Row],[Default Calculated Value]]-LCI_Table[[#This Row],[Calculated Value]]</f>
        <v>0</v>
      </c>
    </row>
    <row r="898" spans="1:29" x14ac:dyDescent="0.3">
      <c r="A8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residueCatalytic STJGREETGREET(blank)_ForestResidue_Collection_ElectricityElectricity</v>
      </c>
      <c r="B898" s="14" t="s">
        <v>316</v>
      </c>
      <c r="C898" s="14" t="s">
        <v>140</v>
      </c>
      <c r="D898" s="14" t="s">
        <v>29</v>
      </c>
      <c r="E898" s="48" t="s">
        <v>29</v>
      </c>
      <c r="F898" s="14" t="s">
        <v>31</v>
      </c>
      <c r="G898" s="14" t="b">
        <f>OR(LCI_Table[[#This Row],[Feedstock]]="All",LCI_Table[[#This Row],[Feedstock]]=SelectedFeedstock)</f>
        <v>0</v>
      </c>
      <c r="H898" s="14" t="b">
        <f>OR(LCI_Table[[#This Row],[Conversion]]="All",LCI_Table[[#This Row],[Conversion]]=SelectedConversion)</f>
        <v>0</v>
      </c>
      <c r="I898" s="14" t="b">
        <f>OR(LCI_Table[[#This Row],[Data Set]]="all",LCI_Table[[#This Row],[Data Set]]=SelectedDataSet)</f>
        <v>1</v>
      </c>
      <c r="J898" s="14" t="b">
        <f>OR(LCI_Table[[#This Row],[Technology]]="All",LCI_Table[[#This Row],[Technology]]=SelectedTechnology)</f>
        <v>1</v>
      </c>
      <c r="K898" s="14" t="b">
        <f>OR(LCI_Table[[#This Row],[Data Source]]="All",LCI_Table[[#This Row],[Data Source]]=SelectedDataSource)</f>
        <v>1</v>
      </c>
      <c r="L898" s="14" t="b">
        <f>TRUE</f>
        <v>1</v>
      </c>
      <c r="M898" s="14" t="b">
        <f>(LCI_Table[[#This Row],[Dev Notes]]="Do not display")</f>
        <v>0</v>
      </c>
      <c r="N898" s="14" t="b">
        <f>AND(LCI_Table[[#This Row],[Show Feedstock]:[Conditional]],NOT(LCI_Table[[#This Row],[Hide Row]]))</f>
        <v>0</v>
      </c>
      <c r="O898" s="14" t="b">
        <f>LCI_Table[[#This Row],[GREET1 Name Range]]=""</f>
        <v>0</v>
      </c>
      <c r="P898" s="14" t="s">
        <v>147</v>
      </c>
      <c r="Q898" s="14" t="s">
        <v>647</v>
      </c>
      <c r="R898" s="14" t="s">
        <v>110</v>
      </c>
      <c r="S898" s="37" cm="1">
        <f t="array" aca="1" ref="S8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898" s="346" t="s">
        <v>1561</v>
      </c>
      <c r="U898" s="347">
        <f ca="1">S898/BTU2kWh/S891</f>
        <v>0</v>
      </c>
      <c r="V898" s="347">
        <v>0</v>
      </c>
      <c r="W898" s="347">
        <v>0</v>
      </c>
      <c r="X898" s="37" t="s">
        <v>51</v>
      </c>
      <c r="Y898" s="346" t="s">
        <v>413</v>
      </c>
      <c r="Z898" s="14" t="str">
        <f>IF(ISBLANK(LCI_Table[[#This Row],[Notes for user]])," ",LCI_Table[[#This Row],[Notes for user]])</f>
        <v xml:space="preserve"> </v>
      </c>
      <c r="AA898" s="14"/>
      <c r="AB898" s="14"/>
      <c r="AC898" s="346">
        <f ca="1">LCI_Table[[#This Row],[Default Calculated Value]]-LCI_Table[[#This Row],[Calculated Value]]</f>
        <v>0</v>
      </c>
    </row>
    <row r="899" spans="1:29" x14ac:dyDescent="0.3">
      <c r="A8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residueCatalytic STJGREETGREET(blank)_Cellulosic_Catalytic_STJ_Corn_stoverForest residue</v>
      </c>
      <c r="B899" s="14" t="s">
        <v>316</v>
      </c>
      <c r="C899" s="14" t="s">
        <v>140</v>
      </c>
      <c r="D899" s="14" t="s">
        <v>29</v>
      </c>
      <c r="E899" s="48" t="s">
        <v>29</v>
      </c>
      <c r="F899" s="14" t="s">
        <v>31</v>
      </c>
      <c r="G899" s="14" t="b">
        <f>OR(LCI_Table[[#This Row],[Feedstock]]="All",LCI_Table[[#This Row],[Feedstock]]=SelectedFeedstock)</f>
        <v>0</v>
      </c>
      <c r="H899" s="14" t="b">
        <f>OR(LCI_Table[[#This Row],[Conversion]]="All",LCI_Table[[#This Row],[Conversion]]=SelectedConversion)</f>
        <v>0</v>
      </c>
      <c r="I899" s="14" t="b">
        <f>OR(LCI_Table[[#This Row],[Data Set]]="all",LCI_Table[[#This Row],[Data Set]]=SelectedDataSet)</f>
        <v>1</v>
      </c>
      <c r="J899" s="14" t="b">
        <f>OR(LCI_Table[[#This Row],[Technology]]="All",LCI_Table[[#This Row],[Technology]]=SelectedTechnology)</f>
        <v>1</v>
      </c>
      <c r="K899" s="14" t="b">
        <f>OR(LCI_Table[[#This Row],[Data Source]]="All",LCI_Table[[#This Row],[Data Source]]=SelectedDataSource)</f>
        <v>1</v>
      </c>
      <c r="L899" s="14" t="b">
        <f>TRUE</f>
        <v>1</v>
      </c>
      <c r="M899" s="14" t="b">
        <f>(LCI_Table[[#This Row],[Dev Notes]]="Do not display")</f>
        <v>0</v>
      </c>
      <c r="N899" s="14" t="b">
        <f>AND(LCI_Table[[#This Row],[Show Feedstock]:[Conditional]],NOT(LCI_Table[[#This Row],[Hide Row]]))</f>
        <v>0</v>
      </c>
      <c r="O899" s="14" t="b">
        <f>LCI_Table[[#This Row],[GREET1 Name Range]]=""</f>
        <v>0</v>
      </c>
      <c r="P899" s="14" t="s">
        <v>1448</v>
      </c>
      <c r="Q899" s="14" t="s">
        <v>548</v>
      </c>
      <c r="R899" s="14" t="s">
        <v>316</v>
      </c>
      <c r="S899" s="37" cm="1">
        <f t="array" aca="1" ref="S8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277.13020195600802</v>
      </c>
      <c r="T899" s="346" t="s">
        <v>2119</v>
      </c>
      <c r="U899" s="347">
        <f ca="1">S899/kg2lb/Allocations!$O$85*MJ2mmBTU</f>
        <v>0.11914454111960429</v>
      </c>
      <c r="V899" s="347">
        <v>277.13020195600802</v>
      </c>
      <c r="W899" s="347">
        <v>0.11914454111960429</v>
      </c>
      <c r="X899" s="37" t="s">
        <v>12</v>
      </c>
      <c r="Y899" s="346" t="s">
        <v>416</v>
      </c>
      <c r="Z899" s="14" t="str">
        <f>IF(ISBLANK(LCI_Table[[#This Row],[Notes for user]])," ",LCI_Table[[#This Row],[Notes for user]])</f>
        <v xml:space="preserve"> </v>
      </c>
      <c r="AA899" s="14"/>
      <c r="AB899" s="14"/>
      <c r="AC899" s="346">
        <f ca="1">LCI_Table[[#This Row],[Default Calculated Value]]-LCI_Table[[#This Row],[Calculated Value]]</f>
        <v>0</v>
      </c>
    </row>
    <row r="900" spans="1:29" x14ac:dyDescent="0.3">
      <c r="A9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residueCatalytic STJGREETGREET(blank)_Cellulosic_Catalytic_STJ_HydrogenHydrogen</v>
      </c>
      <c r="B900" s="14" t="s">
        <v>316</v>
      </c>
      <c r="C900" s="14" t="s">
        <v>140</v>
      </c>
      <c r="D900" s="14" t="s">
        <v>29</v>
      </c>
      <c r="E900" s="48" t="s">
        <v>29</v>
      </c>
      <c r="F900" s="14" t="s">
        <v>31</v>
      </c>
      <c r="G900" s="14" t="b">
        <f>OR(LCI_Table[[#This Row],[Feedstock]]="All",LCI_Table[[#This Row],[Feedstock]]=SelectedFeedstock)</f>
        <v>0</v>
      </c>
      <c r="H900" s="14" t="b">
        <f>OR(LCI_Table[[#This Row],[Conversion]]="All",LCI_Table[[#This Row],[Conversion]]=SelectedConversion)</f>
        <v>0</v>
      </c>
      <c r="I900" s="14" t="b">
        <f>OR(LCI_Table[[#This Row],[Data Set]]="all",LCI_Table[[#This Row],[Data Set]]=SelectedDataSet)</f>
        <v>1</v>
      </c>
      <c r="J900" s="14" t="b">
        <f>OR(LCI_Table[[#This Row],[Technology]]="All",LCI_Table[[#This Row],[Technology]]=SelectedTechnology)</f>
        <v>1</v>
      </c>
      <c r="K900" s="14" t="b">
        <f>OR(LCI_Table[[#This Row],[Data Source]]="All",LCI_Table[[#This Row],[Data Source]]=SelectedDataSource)</f>
        <v>1</v>
      </c>
      <c r="L900" s="14" t="b">
        <f>TRUE</f>
        <v>1</v>
      </c>
      <c r="M900" s="14" t="b">
        <f>(LCI_Table[[#This Row],[Dev Notes]]="Do not display")</f>
        <v>0</v>
      </c>
      <c r="N900" s="14" t="b">
        <f>AND(LCI_Table[[#This Row],[Show Feedstock]:[Conditional]],NOT(LCI_Table[[#This Row],[Hide Row]]))</f>
        <v>0</v>
      </c>
      <c r="O900" s="14" t="b">
        <f>LCI_Table[[#This Row],[GREET1 Name Range]]=""</f>
        <v>0</v>
      </c>
      <c r="P900" s="14" t="s">
        <v>1448</v>
      </c>
      <c r="Q900" s="14" t="s">
        <v>553</v>
      </c>
      <c r="R900" s="14" t="s">
        <v>73</v>
      </c>
      <c r="S900" s="37" cm="1">
        <f t="array" aca="1" ref="S9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1820.5451247095659</v>
      </c>
      <c r="T900" s="346" t="s">
        <v>2120</v>
      </c>
      <c r="U900" s="347">
        <f ca="1">S900/kg2g*Fuel_Specs!$E$81/Allocations!$O$85*MJ2mmBTU</f>
        <v>4.4001367965585828E-3</v>
      </c>
      <c r="V900" s="347">
        <v>1820.5451247095659</v>
      </c>
      <c r="W900" s="347">
        <v>4.4001367965585828E-3</v>
      </c>
      <c r="X900" s="37" t="s">
        <v>351</v>
      </c>
      <c r="Y900" s="346" t="s">
        <v>416</v>
      </c>
      <c r="Z900" s="14" t="str">
        <f>IF(ISBLANK(LCI_Table[[#This Row],[Notes for user]])," ",LCI_Table[[#This Row],[Notes for user]])</f>
        <v xml:space="preserve"> </v>
      </c>
      <c r="AA900" s="14"/>
      <c r="AB900" s="14"/>
      <c r="AC900" s="346">
        <f ca="1">LCI_Table[[#This Row],[Default Calculated Value]]-LCI_Table[[#This Row],[Calculated Value]]</f>
        <v>0</v>
      </c>
    </row>
    <row r="901" spans="1:29" x14ac:dyDescent="0.3">
      <c r="A9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residueCatalytic STJGREETGREET(blank)_Cellulosic_Catalytic_STJ_AmmoniaAmmonia</v>
      </c>
      <c r="B901" s="14" t="s">
        <v>316</v>
      </c>
      <c r="C901" s="14" t="s">
        <v>140</v>
      </c>
      <c r="D901" s="14" t="s">
        <v>29</v>
      </c>
      <c r="E901" s="48" t="s">
        <v>29</v>
      </c>
      <c r="F901" s="14" t="s">
        <v>31</v>
      </c>
      <c r="G901" s="14" t="b">
        <f>OR(LCI_Table[[#This Row],[Feedstock]]="All",LCI_Table[[#This Row],[Feedstock]]=SelectedFeedstock)</f>
        <v>0</v>
      </c>
      <c r="H901" s="14" t="b">
        <f>OR(LCI_Table[[#This Row],[Conversion]]="All",LCI_Table[[#This Row],[Conversion]]=SelectedConversion)</f>
        <v>0</v>
      </c>
      <c r="I901" s="14" t="b">
        <f>OR(LCI_Table[[#This Row],[Data Set]]="all",LCI_Table[[#This Row],[Data Set]]=SelectedDataSet)</f>
        <v>1</v>
      </c>
      <c r="J901" s="14" t="b">
        <f>OR(LCI_Table[[#This Row],[Technology]]="All",LCI_Table[[#This Row],[Technology]]=SelectedTechnology)</f>
        <v>1</v>
      </c>
      <c r="K901" s="14" t="b">
        <f>OR(LCI_Table[[#This Row],[Data Source]]="All",LCI_Table[[#This Row],[Data Source]]=SelectedDataSource)</f>
        <v>1</v>
      </c>
      <c r="L901" s="14" t="b">
        <f>TRUE</f>
        <v>1</v>
      </c>
      <c r="M901" s="14" t="b">
        <f>(LCI_Table[[#This Row],[Dev Notes]]="Do not display")</f>
        <v>0</v>
      </c>
      <c r="N901" s="14" t="b">
        <f>AND(LCI_Table[[#This Row],[Show Feedstock]:[Conditional]],NOT(LCI_Table[[#This Row],[Hide Row]]))</f>
        <v>0</v>
      </c>
      <c r="O901" s="14" t="b">
        <f>LCI_Table[[#This Row],[GREET1 Name Range]]=""</f>
        <v>0</v>
      </c>
      <c r="P901" s="14" t="s">
        <v>1448</v>
      </c>
      <c r="Q901" s="14" t="s">
        <v>544</v>
      </c>
      <c r="R901" s="14" t="s">
        <v>382</v>
      </c>
      <c r="S901" s="37" cm="1">
        <f t="array" aca="1" ref="S9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575.62257926708617</v>
      </c>
      <c r="T901" s="346" t="s">
        <v>2127</v>
      </c>
      <c r="U901" s="347">
        <f ca="1">S901/kg2g/Allocations!$O$85*MJ2mmBTU</f>
        <v>5.4558493682309436E-4</v>
      </c>
      <c r="V901" s="347">
        <v>575.62257926708617</v>
      </c>
      <c r="W901" s="347">
        <v>5.4558493682309436E-4</v>
      </c>
      <c r="X901" s="37" t="s">
        <v>6</v>
      </c>
      <c r="Y901" s="346" t="s">
        <v>416</v>
      </c>
      <c r="Z901" s="14" t="str">
        <f>IF(ISBLANK(LCI_Table[[#This Row],[Notes for user]])," ",LCI_Table[[#This Row],[Notes for user]])</f>
        <v xml:space="preserve"> </v>
      </c>
      <c r="AA901" s="14"/>
      <c r="AB901" s="14"/>
      <c r="AC901" s="346">
        <f ca="1">LCI_Table[[#This Row],[Default Calculated Value]]-LCI_Table[[#This Row],[Calculated Value]]</f>
        <v>0</v>
      </c>
    </row>
    <row r="902" spans="1:29" x14ac:dyDescent="0.3">
      <c r="A9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residueCatalytic STJGREETGREET(blank)_Cellulosic_Catalytic_STJ_CatalystsCatalysts</v>
      </c>
      <c r="B902" s="14" t="s">
        <v>316</v>
      </c>
      <c r="C902" s="14" t="s">
        <v>140</v>
      </c>
      <c r="D902" s="14" t="s">
        <v>29</v>
      </c>
      <c r="E902" s="48" t="s">
        <v>29</v>
      </c>
      <c r="F902" s="14" t="s">
        <v>31</v>
      </c>
      <c r="G902" s="14" t="b">
        <f>OR(LCI_Table[[#This Row],[Feedstock]]="All",LCI_Table[[#This Row],[Feedstock]]=SelectedFeedstock)</f>
        <v>0</v>
      </c>
      <c r="H902" s="14" t="b">
        <f>OR(LCI_Table[[#This Row],[Conversion]]="All",LCI_Table[[#This Row],[Conversion]]=SelectedConversion)</f>
        <v>0</v>
      </c>
      <c r="I902" s="14" t="b">
        <f>OR(LCI_Table[[#This Row],[Data Set]]="all",LCI_Table[[#This Row],[Data Set]]=SelectedDataSet)</f>
        <v>1</v>
      </c>
      <c r="J902" s="14" t="b">
        <f>OR(LCI_Table[[#This Row],[Technology]]="All",LCI_Table[[#This Row],[Technology]]=SelectedTechnology)</f>
        <v>1</v>
      </c>
      <c r="K902" s="14" t="b">
        <f>OR(LCI_Table[[#This Row],[Data Source]]="All",LCI_Table[[#This Row],[Data Source]]=SelectedDataSource)</f>
        <v>1</v>
      </c>
      <c r="L902" s="14" t="b">
        <f>TRUE</f>
        <v>1</v>
      </c>
      <c r="M902" s="14" t="b">
        <f>(LCI_Table[[#This Row],[Dev Notes]]="Do not display")</f>
        <v>0</v>
      </c>
      <c r="N902" s="14" t="b">
        <f>AND(LCI_Table[[#This Row],[Show Feedstock]:[Conditional]],NOT(LCI_Table[[#This Row],[Hide Row]]))</f>
        <v>0</v>
      </c>
      <c r="O902" s="14" t="b">
        <f>LCI_Table[[#This Row],[GREET1 Name Range]]=""</f>
        <v>0</v>
      </c>
      <c r="P902" s="14" t="s">
        <v>1448</v>
      </c>
      <c r="Q902" s="14" t="s">
        <v>545</v>
      </c>
      <c r="R902" s="14" t="s">
        <v>142</v>
      </c>
      <c r="S902" s="37" cm="1">
        <f t="array" aca="1" ref="S9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13.27431524515293</v>
      </c>
      <c r="T902" s="346" t="s">
        <v>2127</v>
      </c>
      <c r="U902" s="347">
        <f ca="1">S902/kg2g/Allocations!$O$85*MJ2mmBTU</f>
        <v>1.2581623281035719E-5</v>
      </c>
      <c r="V902" s="347">
        <v>13.27431524515293</v>
      </c>
      <c r="W902" s="347">
        <v>1.2581623281035719E-5</v>
      </c>
      <c r="X902" s="37" t="s">
        <v>6</v>
      </c>
      <c r="Y902" s="346" t="s">
        <v>416</v>
      </c>
      <c r="Z902" s="14" t="str">
        <f>IF(ISBLANK(LCI_Table[[#This Row],[Notes for user]])," ",LCI_Table[[#This Row],[Notes for user]])</f>
        <v xml:space="preserve"> </v>
      </c>
      <c r="AA902" s="14"/>
      <c r="AB902" s="14"/>
      <c r="AC902" s="346">
        <f ca="1">LCI_Table[[#This Row],[Default Calculated Value]]-LCI_Table[[#This Row],[Calculated Value]]</f>
        <v>0</v>
      </c>
    </row>
    <row r="903" spans="1:29" x14ac:dyDescent="0.3">
      <c r="A9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residueCatalytic STJGREETGREET(blank)_Cellulosic_Catalytic_STJ_Corn_oilDistillers Corn Oil</v>
      </c>
      <c r="B903" s="14" t="s">
        <v>316</v>
      </c>
      <c r="C903" s="14" t="s">
        <v>140</v>
      </c>
      <c r="D903" s="14" t="s">
        <v>29</v>
      </c>
      <c r="E903" s="48" t="s">
        <v>29</v>
      </c>
      <c r="F903" s="14" t="s">
        <v>31</v>
      </c>
      <c r="G903" s="14" t="b">
        <f>OR(LCI_Table[[#This Row],[Feedstock]]="All",LCI_Table[[#This Row],[Feedstock]]=SelectedFeedstock)</f>
        <v>0</v>
      </c>
      <c r="H903" s="14" t="b">
        <f>OR(LCI_Table[[#This Row],[Conversion]]="All",LCI_Table[[#This Row],[Conversion]]=SelectedConversion)</f>
        <v>0</v>
      </c>
      <c r="I903" s="14" t="b">
        <f>OR(LCI_Table[[#This Row],[Data Set]]="all",LCI_Table[[#This Row],[Data Set]]=SelectedDataSet)</f>
        <v>1</v>
      </c>
      <c r="J903" s="14" t="b">
        <f>OR(LCI_Table[[#This Row],[Technology]]="All",LCI_Table[[#This Row],[Technology]]=SelectedTechnology)</f>
        <v>1</v>
      </c>
      <c r="K903" s="14" t="b">
        <f>OR(LCI_Table[[#This Row],[Data Source]]="All",LCI_Table[[#This Row],[Data Source]]=SelectedDataSource)</f>
        <v>1</v>
      </c>
      <c r="L903" s="14" t="b">
        <f>TRUE</f>
        <v>1</v>
      </c>
      <c r="M903" s="14" t="b">
        <f>(LCI_Table[[#This Row],[Dev Notes]]="Do not display")</f>
        <v>0</v>
      </c>
      <c r="N903" s="14" t="b">
        <f>AND(LCI_Table[[#This Row],[Show Feedstock]:[Conditional]],NOT(LCI_Table[[#This Row],[Hide Row]]))</f>
        <v>0</v>
      </c>
      <c r="O903" s="14" t="b">
        <f>LCI_Table[[#This Row],[GREET1 Name Range]]=""</f>
        <v>0</v>
      </c>
      <c r="P903" s="14" t="s">
        <v>1448</v>
      </c>
      <c r="Q903" s="14" t="s">
        <v>546</v>
      </c>
      <c r="R903" s="14" t="s">
        <v>1911</v>
      </c>
      <c r="S903" s="37" cm="1">
        <f t="array" aca="1" ref="S9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8.4472915196427731</v>
      </c>
      <c r="T903" s="346" t="s">
        <v>2127</v>
      </c>
      <c r="U903" s="347">
        <f ca="1">S903/kg2g/Allocations!$O$85*MJ2mmBTU</f>
        <v>8.0064875424772737E-6</v>
      </c>
      <c r="V903" s="347">
        <v>8.4472915196427731</v>
      </c>
      <c r="W903" s="347">
        <v>8.0064875424772737E-6</v>
      </c>
      <c r="X903" s="37" t="s">
        <v>6</v>
      </c>
      <c r="Y903" s="346" t="s">
        <v>416</v>
      </c>
      <c r="Z903" s="14" t="str">
        <f>IF(ISBLANK(LCI_Table[[#This Row],[Notes for user]])," ",LCI_Table[[#This Row],[Notes for user]])</f>
        <v xml:space="preserve"> </v>
      </c>
      <c r="AA903" s="14"/>
      <c r="AB903" s="14"/>
      <c r="AC903" s="346">
        <f ca="1">LCI_Table[[#This Row],[Default Calculated Value]]-LCI_Table[[#This Row],[Calculated Value]]</f>
        <v>0</v>
      </c>
    </row>
    <row r="904" spans="1:29" x14ac:dyDescent="0.3">
      <c r="A9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residueCatalytic STJGREETGREET(blank)_Cellulosic_Catalytic_STJ_Corn_steep_liquorCorn steep liquor</v>
      </c>
      <c r="B904" s="14" t="s">
        <v>316</v>
      </c>
      <c r="C904" s="14" t="s">
        <v>140</v>
      </c>
      <c r="D904" s="14" t="s">
        <v>29</v>
      </c>
      <c r="E904" s="48" t="s">
        <v>29</v>
      </c>
      <c r="F904" s="14" t="s">
        <v>31</v>
      </c>
      <c r="G904" s="14" t="b">
        <f>OR(LCI_Table[[#This Row],[Feedstock]]="All",LCI_Table[[#This Row],[Feedstock]]=SelectedFeedstock)</f>
        <v>0</v>
      </c>
      <c r="H904" s="14" t="b">
        <f>OR(LCI_Table[[#This Row],[Conversion]]="All",LCI_Table[[#This Row],[Conversion]]=SelectedConversion)</f>
        <v>0</v>
      </c>
      <c r="I904" s="14" t="b">
        <f>OR(LCI_Table[[#This Row],[Data Set]]="all",LCI_Table[[#This Row],[Data Set]]=SelectedDataSet)</f>
        <v>1</v>
      </c>
      <c r="J904" s="14" t="b">
        <f>OR(LCI_Table[[#This Row],[Technology]]="All",LCI_Table[[#This Row],[Technology]]=SelectedTechnology)</f>
        <v>1</v>
      </c>
      <c r="K904" s="14" t="b">
        <f>OR(LCI_Table[[#This Row],[Data Source]]="All",LCI_Table[[#This Row],[Data Source]]=SelectedDataSource)</f>
        <v>1</v>
      </c>
      <c r="L904" s="14" t="b">
        <f>TRUE</f>
        <v>1</v>
      </c>
      <c r="M904" s="14" t="b">
        <f>(LCI_Table[[#This Row],[Dev Notes]]="Do not display")</f>
        <v>0</v>
      </c>
      <c r="N904" s="14" t="b">
        <f>AND(LCI_Table[[#This Row],[Show Feedstock]:[Conditional]],NOT(LCI_Table[[#This Row],[Hide Row]]))</f>
        <v>0</v>
      </c>
      <c r="O904" s="14" t="b">
        <f>LCI_Table[[#This Row],[GREET1 Name Range]]=""</f>
        <v>0</v>
      </c>
      <c r="P904" s="14" t="s">
        <v>1448</v>
      </c>
      <c r="Q904" s="14" t="s">
        <v>547</v>
      </c>
      <c r="R904" s="14" t="s">
        <v>386</v>
      </c>
      <c r="S904" s="37" cm="1">
        <f t="array" aca="1" ref="S9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100.16074230433574</v>
      </c>
      <c r="T904" s="346" t="s">
        <v>2127</v>
      </c>
      <c r="U904" s="347">
        <f ca="1">S904/kg2g/Allocations!$O$85*MJ2mmBTU</f>
        <v>9.4934066575087697E-5</v>
      </c>
      <c r="V904" s="347">
        <v>100.16074230433574</v>
      </c>
      <c r="W904" s="347">
        <v>9.4934066575087697E-5</v>
      </c>
      <c r="X904" s="37" t="s">
        <v>6</v>
      </c>
      <c r="Y904" s="346" t="s">
        <v>416</v>
      </c>
      <c r="Z904" s="14" t="str">
        <f>IF(ISBLANK(LCI_Table[[#This Row],[Notes for user]])," ",LCI_Table[[#This Row],[Notes for user]])</f>
        <v xml:space="preserve"> </v>
      </c>
      <c r="AA904" s="14"/>
      <c r="AB904" s="14"/>
      <c r="AC904" s="346">
        <f ca="1">LCI_Table[[#This Row],[Default Calculated Value]]-LCI_Table[[#This Row],[Calculated Value]]</f>
        <v>0</v>
      </c>
    </row>
    <row r="905" spans="1:29" x14ac:dyDescent="0.3">
      <c r="A9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residueCatalytic STJGREETGREET(blank)_Cellulosic_Catalytic_STJ_GlucoseGlucose</v>
      </c>
      <c r="B905" s="14" t="s">
        <v>316</v>
      </c>
      <c r="C905" s="14" t="s">
        <v>140</v>
      </c>
      <c r="D905" s="14" t="s">
        <v>29</v>
      </c>
      <c r="E905" s="48" t="s">
        <v>29</v>
      </c>
      <c r="F905" s="14" t="s">
        <v>31</v>
      </c>
      <c r="G905" s="14" t="b">
        <f>OR(LCI_Table[[#This Row],[Feedstock]]="All",LCI_Table[[#This Row],[Feedstock]]=SelectedFeedstock)</f>
        <v>0</v>
      </c>
      <c r="H905" s="14" t="b">
        <f>OR(LCI_Table[[#This Row],[Conversion]]="All",LCI_Table[[#This Row],[Conversion]]=SelectedConversion)</f>
        <v>0</v>
      </c>
      <c r="I905" s="14" t="b">
        <f>OR(LCI_Table[[#This Row],[Data Set]]="all",LCI_Table[[#This Row],[Data Set]]=SelectedDataSet)</f>
        <v>1</v>
      </c>
      <c r="J905" s="14" t="b">
        <f>OR(LCI_Table[[#This Row],[Technology]]="All",LCI_Table[[#This Row],[Technology]]=SelectedTechnology)</f>
        <v>1</v>
      </c>
      <c r="K905" s="14" t="b">
        <f>OR(LCI_Table[[#This Row],[Data Source]]="All",LCI_Table[[#This Row],[Data Source]]=SelectedDataSource)</f>
        <v>1</v>
      </c>
      <c r="L905" s="14" t="b">
        <f>TRUE</f>
        <v>1</v>
      </c>
      <c r="M905" s="14" t="b">
        <f>(LCI_Table[[#This Row],[Dev Notes]]="Do not display")</f>
        <v>0</v>
      </c>
      <c r="N905" s="14" t="b">
        <f>AND(LCI_Table[[#This Row],[Show Feedstock]:[Conditional]],NOT(LCI_Table[[#This Row],[Hide Row]]))</f>
        <v>0</v>
      </c>
      <c r="O905" s="14" t="b">
        <f>LCI_Table[[#This Row],[GREET1 Name Range]]=""</f>
        <v>0</v>
      </c>
      <c r="P905" s="14" t="s">
        <v>1448</v>
      </c>
      <c r="Q905" s="14" t="s">
        <v>550</v>
      </c>
      <c r="R905" s="14" t="s">
        <v>387</v>
      </c>
      <c r="S905" s="37" cm="1">
        <f t="array" aca="1" ref="S9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1463.7949447609549</v>
      </c>
      <c r="T905" s="346" t="s">
        <v>2127</v>
      </c>
      <c r="U905" s="347">
        <f ca="1">S905/kg2g/Allocations!$O$85*MJ2mmBTU</f>
        <v>1.3874099127178477E-3</v>
      </c>
      <c r="V905" s="347">
        <v>1463.7949447609549</v>
      </c>
      <c r="W905" s="347">
        <v>1.3874099127178477E-3</v>
      </c>
      <c r="X905" s="37" t="s">
        <v>6</v>
      </c>
      <c r="Y905" s="346" t="s">
        <v>416</v>
      </c>
      <c r="Z905" s="14" t="str">
        <f>IF(ISBLANK(LCI_Table[[#This Row],[Notes for user]])," ",LCI_Table[[#This Row],[Notes for user]])</f>
        <v xml:space="preserve"> </v>
      </c>
      <c r="AA905" s="14"/>
      <c r="AB905" s="14"/>
      <c r="AC905" s="346">
        <f ca="1">LCI_Table[[#This Row],[Default Calculated Value]]-LCI_Table[[#This Row],[Calculated Value]]</f>
        <v>0</v>
      </c>
    </row>
    <row r="906" spans="1:29" x14ac:dyDescent="0.3">
      <c r="A9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residueCatalytic STJGREETGREET(blank)_Cellulosic_Catalytic_STJ_HClHCl</v>
      </c>
      <c r="B906" s="14" t="s">
        <v>316</v>
      </c>
      <c r="C906" s="14" t="s">
        <v>140</v>
      </c>
      <c r="D906" s="14" t="s">
        <v>29</v>
      </c>
      <c r="E906" s="48" t="s">
        <v>29</v>
      </c>
      <c r="F906" s="14" t="s">
        <v>31</v>
      </c>
      <c r="G906" s="14" t="b">
        <f>OR(LCI_Table[[#This Row],[Feedstock]]="All",LCI_Table[[#This Row],[Feedstock]]=SelectedFeedstock)</f>
        <v>0</v>
      </c>
      <c r="H906" s="14" t="b">
        <f>OR(LCI_Table[[#This Row],[Conversion]]="All",LCI_Table[[#This Row],[Conversion]]=SelectedConversion)</f>
        <v>0</v>
      </c>
      <c r="I906" s="14" t="b">
        <f>OR(LCI_Table[[#This Row],[Data Set]]="all",LCI_Table[[#This Row],[Data Set]]=SelectedDataSet)</f>
        <v>1</v>
      </c>
      <c r="J906" s="14" t="b">
        <f>OR(LCI_Table[[#This Row],[Technology]]="All",LCI_Table[[#This Row],[Technology]]=SelectedTechnology)</f>
        <v>1</v>
      </c>
      <c r="K906" s="14" t="b">
        <f>OR(LCI_Table[[#This Row],[Data Source]]="All",LCI_Table[[#This Row],[Data Source]]=SelectedDataSource)</f>
        <v>1</v>
      </c>
      <c r="L906" s="14" t="b">
        <f>TRUE</f>
        <v>1</v>
      </c>
      <c r="M906" s="14" t="b">
        <f>(LCI_Table[[#This Row],[Dev Notes]]="Do not display")</f>
        <v>0</v>
      </c>
      <c r="N906" s="14" t="b">
        <f>AND(LCI_Table[[#This Row],[Show Feedstock]:[Conditional]],NOT(LCI_Table[[#This Row],[Hide Row]]))</f>
        <v>0</v>
      </c>
      <c r="O906" s="14" t="b">
        <f>LCI_Table[[#This Row],[GREET1 Name Range]]=""</f>
        <v>0</v>
      </c>
      <c r="P906" s="14" t="s">
        <v>1448</v>
      </c>
      <c r="Q906" s="14" t="s">
        <v>551</v>
      </c>
      <c r="R906" s="14" t="s">
        <v>399</v>
      </c>
      <c r="S906" s="37" cm="1">
        <f t="array" aca="1" ref="S9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1353.9801550055988</v>
      </c>
      <c r="T906" s="346" t="s">
        <v>2127</v>
      </c>
      <c r="U906" s="347">
        <f ca="1">S906/kg2g/Allocations!$O$85*MJ2mmBTU</f>
        <v>1.2833255746656433E-3</v>
      </c>
      <c r="V906" s="347">
        <v>1353.9801550055988</v>
      </c>
      <c r="W906" s="347">
        <v>1.2833255746656433E-3</v>
      </c>
      <c r="X906" s="37" t="s">
        <v>6</v>
      </c>
      <c r="Y906" s="346" t="s">
        <v>416</v>
      </c>
      <c r="Z906" s="14" t="str">
        <f>IF(ISBLANK(LCI_Table[[#This Row],[Notes for user]])," ",LCI_Table[[#This Row],[Notes for user]])</f>
        <v xml:space="preserve"> </v>
      </c>
      <c r="AA906" s="14"/>
      <c r="AB906" s="14"/>
      <c r="AC906" s="346">
        <f ca="1">LCI_Table[[#This Row],[Default Calculated Value]]-LCI_Table[[#This Row],[Calculated Value]]</f>
        <v>0</v>
      </c>
    </row>
    <row r="907" spans="1:29" x14ac:dyDescent="0.3">
      <c r="A9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residueCatalytic STJGREETGREET(blank)_Cellulosic_Catalytic_STJ_Host_nutrientsHost nutrients</v>
      </c>
      <c r="B907" s="14" t="s">
        <v>316</v>
      </c>
      <c r="C907" s="14" t="s">
        <v>140</v>
      </c>
      <c r="D907" s="14" t="s">
        <v>29</v>
      </c>
      <c r="E907" s="48" t="s">
        <v>29</v>
      </c>
      <c r="F907" s="14" t="s">
        <v>31</v>
      </c>
      <c r="G907" s="14" t="b">
        <f>OR(LCI_Table[[#This Row],[Feedstock]]="All",LCI_Table[[#This Row],[Feedstock]]=SelectedFeedstock)</f>
        <v>0</v>
      </c>
      <c r="H907" s="14" t="b">
        <f>OR(LCI_Table[[#This Row],[Conversion]]="All",LCI_Table[[#This Row],[Conversion]]=SelectedConversion)</f>
        <v>0</v>
      </c>
      <c r="I907" s="14" t="b">
        <f>OR(LCI_Table[[#This Row],[Data Set]]="all",LCI_Table[[#This Row],[Data Set]]=SelectedDataSet)</f>
        <v>1</v>
      </c>
      <c r="J907" s="14" t="b">
        <f>OR(LCI_Table[[#This Row],[Technology]]="All",LCI_Table[[#This Row],[Technology]]=SelectedTechnology)</f>
        <v>1</v>
      </c>
      <c r="K907" s="14" t="b">
        <f>OR(LCI_Table[[#This Row],[Data Source]]="All",LCI_Table[[#This Row],[Data Source]]=SelectedDataSource)</f>
        <v>1</v>
      </c>
      <c r="L907" s="14" t="b">
        <f>TRUE</f>
        <v>1</v>
      </c>
      <c r="M907" s="14" t="b">
        <f>(LCI_Table[[#This Row],[Dev Notes]]="Do not display")</f>
        <v>0</v>
      </c>
      <c r="N907" s="14" t="b">
        <f>AND(LCI_Table[[#This Row],[Show Feedstock]:[Conditional]],NOT(LCI_Table[[#This Row],[Hide Row]]))</f>
        <v>0</v>
      </c>
      <c r="O907" s="14" t="b">
        <f>LCI_Table[[#This Row],[GREET1 Name Range]]=""</f>
        <v>0</v>
      </c>
      <c r="P907" s="14" t="s">
        <v>1448</v>
      </c>
      <c r="Q907" s="14" t="s">
        <v>552</v>
      </c>
      <c r="R907" s="14" t="s">
        <v>388</v>
      </c>
      <c r="S907" s="37" cm="1">
        <f t="array" aca="1" ref="S9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41.029701666836324</v>
      </c>
      <c r="T907" s="346" t="s">
        <v>2127</v>
      </c>
      <c r="U907" s="347">
        <f ca="1">S907/kg2g/Allocations!$O$85*MJ2mmBTU</f>
        <v>3.8888653777746761E-5</v>
      </c>
      <c r="V907" s="347">
        <v>41.029701666836324</v>
      </c>
      <c r="W907" s="347">
        <v>3.8888653777746761E-5</v>
      </c>
      <c r="X907" s="37" t="s">
        <v>6</v>
      </c>
      <c r="Y907" s="346" t="s">
        <v>416</v>
      </c>
      <c r="Z907" s="14" t="str">
        <f>IF(ISBLANK(LCI_Table[[#This Row],[Notes for user]])," ",LCI_Table[[#This Row],[Notes for user]])</f>
        <v xml:space="preserve"> </v>
      </c>
      <c r="AA907" s="14"/>
      <c r="AB907" s="14"/>
      <c r="AC907" s="346">
        <f ca="1">LCI_Table[[#This Row],[Default Calculated Value]]-LCI_Table[[#This Row],[Calculated Value]]</f>
        <v>0</v>
      </c>
    </row>
    <row r="908" spans="1:29" x14ac:dyDescent="0.3">
      <c r="A9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residueCatalytic STJGREETGREET(blank)_Cellulosic_Catalytic_STJ_LimeLime</v>
      </c>
      <c r="B908" s="14" t="s">
        <v>316</v>
      </c>
      <c r="C908" s="14" t="s">
        <v>140</v>
      </c>
      <c r="D908" s="14" t="s">
        <v>29</v>
      </c>
      <c r="E908" s="48" t="s">
        <v>29</v>
      </c>
      <c r="F908" s="14" t="s">
        <v>31</v>
      </c>
      <c r="G908" s="14" t="b">
        <f>OR(LCI_Table[[#This Row],[Feedstock]]="All",LCI_Table[[#This Row],[Feedstock]]=SelectedFeedstock)</f>
        <v>0</v>
      </c>
      <c r="H908" s="14" t="b">
        <f>OR(LCI_Table[[#This Row],[Conversion]]="All",LCI_Table[[#This Row],[Conversion]]=SelectedConversion)</f>
        <v>0</v>
      </c>
      <c r="I908" s="14" t="b">
        <f>OR(LCI_Table[[#This Row],[Data Set]]="all",LCI_Table[[#This Row],[Data Set]]=SelectedDataSet)</f>
        <v>1</v>
      </c>
      <c r="J908" s="14" t="b">
        <f>OR(LCI_Table[[#This Row],[Technology]]="All",LCI_Table[[#This Row],[Technology]]=SelectedTechnology)</f>
        <v>1</v>
      </c>
      <c r="K908" s="14" t="b">
        <f>OR(LCI_Table[[#This Row],[Data Source]]="All",LCI_Table[[#This Row],[Data Source]]=SelectedDataSource)</f>
        <v>1</v>
      </c>
      <c r="L908" s="14" t="b">
        <f>TRUE</f>
        <v>1</v>
      </c>
      <c r="M908" s="14" t="b">
        <f>(LCI_Table[[#This Row],[Dev Notes]]="Do not display")</f>
        <v>0</v>
      </c>
      <c r="N908" s="14" t="b">
        <f>AND(LCI_Table[[#This Row],[Show Feedstock]:[Conditional]],NOT(LCI_Table[[#This Row],[Hide Row]]))</f>
        <v>0</v>
      </c>
      <c r="O908" s="14" t="b">
        <f>LCI_Table[[#This Row],[GREET1 Name Range]]=""</f>
        <v>0</v>
      </c>
      <c r="P908" s="14" t="s">
        <v>1448</v>
      </c>
      <c r="Q908" s="14" t="s">
        <v>554</v>
      </c>
      <c r="R908" s="14" t="s">
        <v>143</v>
      </c>
      <c r="S908" s="37" cm="1">
        <f t="array" aca="1" ref="S9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217.21606764795703</v>
      </c>
      <c r="T908" s="346" t="s">
        <v>2127</v>
      </c>
      <c r="U908" s="347">
        <f ca="1">S908/kg2g/Allocations!$O$85*MJ2mmBTU</f>
        <v>2.0588110823512994E-4</v>
      </c>
      <c r="V908" s="347">
        <v>217.21606764795703</v>
      </c>
      <c r="W908" s="347">
        <v>2.0588110823512994E-4</v>
      </c>
      <c r="X908" s="14" t="s">
        <v>6</v>
      </c>
      <c r="Y908" s="346" t="s">
        <v>416</v>
      </c>
      <c r="Z908" s="14" t="str">
        <f>IF(ISBLANK(LCI_Table[[#This Row],[Notes for user]])," ",LCI_Table[[#This Row],[Notes for user]])</f>
        <v xml:space="preserve"> </v>
      </c>
      <c r="AA908" s="14"/>
      <c r="AB908" s="14"/>
      <c r="AC908" s="346">
        <f ca="1">LCI_Table[[#This Row],[Default Calculated Value]]-LCI_Table[[#This Row],[Calculated Value]]</f>
        <v>0</v>
      </c>
    </row>
    <row r="909" spans="1:29" x14ac:dyDescent="0.3">
      <c r="A9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residueCatalytic STJGREETGREET(blank)_Cellulosic_Catalytic_STJ_SulfuricAcidSulfuric acid</v>
      </c>
      <c r="B909" s="14" t="s">
        <v>316</v>
      </c>
      <c r="C909" s="14" t="s">
        <v>140</v>
      </c>
      <c r="D909" s="14" t="s">
        <v>29</v>
      </c>
      <c r="E909" s="48" t="s">
        <v>29</v>
      </c>
      <c r="F909" s="14" t="s">
        <v>31</v>
      </c>
      <c r="G909" s="14" t="b">
        <f>OR(LCI_Table[[#This Row],[Feedstock]]="All",LCI_Table[[#This Row],[Feedstock]]=SelectedFeedstock)</f>
        <v>0</v>
      </c>
      <c r="H909" s="14" t="b">
        <f>OR(LCI_Table[[#This Row],[Conversion]]="All",LCI_Table[[#This Row],[Conversion]]=SelectedConversion)</f>
        <v>0</v>
      </c>
      <c r="I909" s="14" t="b">
        <f>OR(LCI_Table[[#This Row],[Data Set]]="all",LCI_Table[[#This Row],[Data Set]]=SelectedDataSet)</f>
        <v>1</v>
      </c>
      <c r="J909" s="14" t="b">
        <f>OR(LCI_Table[[#This Row],[Technology]]="All",LCI_Table[[#This Row],[Technology]]=SelectedTechnology)</f>
        <v>1</v>
      </c>
      <c r="K909" s="14" t="b">
        <f>OR(LCI_Table[[#This Row],[Data Source]]="All",LCI_Table[[#This Row],[Data Source]]=SelectedDataSource)</f>
        <v>1</v>
      </c>
      <c r="L909" s="14" t="b">
        <f>TRUE</f>
        <v>1</v>
      </c>
      <c r="M909" s="14" t="b">
        <f>(LCI_Table[[#This Row],[Dev Notes]]="Do not display")</f>
        <v>0</v>
      </c>
      <c r="N909" s="14" t="b">
        <f>AND(LCI_Table[[#This Row],[Show Feedstock]:[Conditional]],NOT(LCI_Table[[#This Row],[Hide Row]]))</f>
        <v>0</v>
      </c>
      <c r="O909" s="14" t="b">
        <f>LCI_Table[[#This Row],[GREET1 Name Range]]=""</f>
        <v>0</v>
      </c>
      <c r="P909" s="14" t="s">
        <v>1448</v>
      </c>
      <c r="Q909" s="14" t="s">
        <v>935</v>
      </c>
      <c r="R909" s="14" t="s">
        <v>384</v>
      </c>
      <c r="S909" s="37" cm="1">
        <f t="array" aca="1" ref="S9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2703.133286285688</v>
      </c>
      <c r="T909" s="346" t="s">
        <v>2127</v>
      </c>
      <c r="U909" s="347">
        <f ca="1">S909/kg2g/Allocations!$O$85*MJ2mmBTU</f>
        <v>2.5620760135927284E-3</v>
      </c>
      <c r="V909" s="347">
        <v>2703.133286285688</v>
      </c>
      <c r="W909" s="347">
        <v>2.5620760135927284E-3</v>
      </c>
      <c r="X909" s="37" t="s">
        <v>6</v>
      </c>
      <c r="Y909" s="346" t="s">
        <v>416</v>
      </c>
      <c r="Z909" s="14" t="str">
        <f>IF(ISBLANK(LCI_Table[[#This Row],[Notes for user]])," ",LCI_Table[[#This Row],[Notes for user]])</f>
        <v xml:space="preserve"> </v>
      </c>
      <c r="AA909" s="14"/>
      <c r="AB909" s="14"/>
      <c r="AC909" s="346">
        <f ca="1">LCI_Table[[#This Row],[Default Calculated Value]]-LCI_Table[[#This Row],[Calculated Value]]</f>
        <v>0</v>
      </c>
    </row>
    <row r="910" spans="1:29" x14ac:dyDescent="0.3">
      <c r="A9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residueCatalytic STJGREETGREET(blank)_Cellulosic_Catalytic_STJ_WaterWater</v>
      </c>
      <c r="B910" s="14" t="s">
        <v>316</v>
      </c>
      <c r="C910" s="14" t="s">
        <v>140</v>
      </c>
      <c r="D910" s="14" t="s">
        <v>29</v>
      </c>
      <c r="E910" s="48" t="s">
        <v>29</v>
      </c>
      <c r="F910" s="14" t="s">
        <v>31</v>
      </c>
      <c r="G910" s="14" t="b">
        <f>OR(LCI_Table[[#This Row],[Feedstock]]="All",LCI_Table[[#This Row],[Feedstock]]=SelectedFeedstock)</f>
        <v>0</v>
      </c>
      <c r="H910" s="14" t="b">
        <f>OR(LCI_Table[[#This Row],[Conversion]]="All",LCI_Table[[#This Row],[Conversion]]=SelectedConversion)</f>
        <v>0</v>
      </c>
      <c r="I910" s="14" t="b">
        <f>OR(LCI_Table[[#This Row],[Data Set]]="all",LCI_Table[[#This Row],[Data Set]]=SelectedDataSet)</f>
        <v>1</v>
      </c>
      <c r="J910" s="14" t="b">
        <f>OR(LCI_Table[[#This Row],[Technology]]="All",LCI_Table[[#This Row],[Technology]]=SelectedTechnology)</f>
        <v>1</v>
      </c>
      <c r="K910" s="14" t="b">
        <f>OR(LCI_Table[[#This Row],[Data Source]]="All",LCI_Table[[#This Row],[Data Source]]=SelectedDataSource)</f>
        <v>1</v>
      </c>
      <c r="L910" s="14" t="b">
        <f>TRUE</f>
        <v>1</v>
      </c>
      <c r="M910" s="14" t="b">
        <f>(LCI_Table[[#This Row],[Dev Notes]]="Do not display")</f>
        <v>0</v>
      </c>
      <c r="N910" s="14" t="b">
        <f>AND(LCI_Table[[#This Row],[Show Feedstock]:[Conditional]],NOT(LCI_Table[[#This Row],[Hide Row]]))</f>
        <v>0</v>
      </c>
      <c r="O910" s="14" t="b">
        <f>LCI_Table[[#This Row],[GREET1 Name Range]]=""</f>
        <v>0</v>
      </c>
      <c r="P910" s="14" t="s">
        <v>1448</v>
      </c>
      <c r="Q910" s="14" t="s">
        <v>555</v>
      </c>
      <c r="R910" s="14" t="s">
        <v>146</v>
      </c>
      <c r="S910" s="37" cm="1">
        <f t="array" aca="1" ref="S9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50.845995350220299</v>
      </c>
      <c r="T910" s="346" t="s">
        <v>2128</v>
      </c>
      <c r="U910" s="347">
        <f ca="1">S910/kg2lb*Fuel_Specs!$K$4/Allocations!$O$85*MJ2mmBTU</f>
        <v>0.18189138398999874</v>
      </c>
      <c r="V910" s="347">
        <v>50.845995350220299</v>
      </c>
      <c r="W910" s="347">
        <v>0.18189138398999874</v>
      </c>
      <c r="X910" s="37" t="s">
        <v>5</v>
      </c>
      <c r="Y910" s="346" t="s">
        <v>416</v>
      </c>
      <c r="Z910" s="14" t="str">
        <f>IF(ISBLANK(LCI_Table[[#This Row],[Notes for user]])," ",LCI_Table[[#This Row],[Notes for user]])</f>
        <v xml:space="preserve"> </v>
      </c>
      <c r="AA910" s="14"/>
      <c r="AB910" s="14"/>
      <c r="AC910" s="346">
        <f ca="1">LCI_Table[[#This Row],[Default Calculated Value]]-LCI_Table[[#This Row],[Calculated Value]]</f>
        <v>0</v>
      </c>
    </row>
    <row r="911" spans="1:29" x14ac:dyDescent="0.3">
      <c r="A9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residueCatalytic STJGREETGREET(blank)_Cellulosic_Catalytic_STJ_Electricity_co_producedElectricity (co-produced)</v>
      </c>
      <c r="B911" s="14" t="s">
        <v>316</v>
      </c>
      <c r="C911" s="14" t="s">
        <v>140</v>
      </c>
      <c r="D911" s="14" t="s">
        <v>29</v>
      </c>
      <c r="E911" s="48" t="s">
        <v>29</v>
      </c>
      <c r="F911" s="14" t="s">
        <v>31</v>
      </c>
      <c r="G911" s="14" t="b">
        <f>OR(LCI_Table[[#This Row],[Feedstock]]="All",LCI_Table[[#This Row],[Feedstock]]=SelectedFeedstock)</f>
        <v>0</v>
      </c>
      <c r="H911" s="14" t="b">
        <f>OR(LCI_Table[[#This Row],[Conversion]]="All",LCI_Table[[#This Row],[Conversion]]=SelectedConversion)</f>
        <v>0</v>
      </c>
      <c r="I911" s="14" t="b">
        <f>OR(LCI_Table[[#This Row],[Data Set]]="all",LCI_Table[[#This Row],[Data Set]]=SelectedDataSet)</f>
        <v>1</v>
      </c>
      <c r="J911" s="14" t="b">
        <f>OR(LCI_Table[[#This Row],[Technology]]="All",LCI_Table[[#This Row],[Technology]]=SelectedTechnology)</f>
        <v>1</v>
      </c>
      <c r="K911" s="14" t="b">
        <f>OR(LCI_Table[[#This Row],[Data Source]]="All",LCI_Table[[#This Row],[Data Source]]=SelectedDataSource)</f>
        <v>1</v>
      </c>
      <c r="L911" s="14" t="b">
        <f>TRUE</f>
        <v>1</v>
      </c>
      <c r="M911" s="14" t="b">
        <f>(LCI_Table[[#This Row],[Dev Notes]]="Do not display")</f>
        <v>0</v>
      </c>
      <c r="N911" s="14" t="b">
        <f>AND(LCI_Table[[#This Row],[Show Feedstock]:[Conditional]],NOT(LCI_Table[[#This Row],[Hide Row]]))</f>
        <v>0</v>
      </c>
      <c r="O911" s="14" t="b">
        <f>LCI_Table[[#This Row],[GREET1 Name Range]]=""</f>
        <v>0</v>
      </c>
      <c r="P911" s="14" t="s">
        <v>1448</v>
      </c>
      <c r="Q911" s="14" t="s">
        <v>549</v>
      </c>
      <c r="R911" s="14" t="s">
        <v>439</v>
      </c>
      <c r="S911" s="37" cm="1">
        <f t="array" aca="1" ref="S9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13.328619262064917</v>
      </c>
      <c r="T911" s="346" t="s">
        <v>2121</v>
      </c>
      <c r="U911" s="347">
        <f ca="1">S911/Allocations!$O$85*MJ2mmBTU</f>
        <v>1.2633093558094499E-2</v>
      </c>
      <c r="V911" s="347">
        <v>13.328619262064917</v>
      </c>
      <c r="W911" s="347">
        <v>1.2633093558094499E-2</v>
      </c>
      <c r="X911" s="37" t="s">
        <v>51</v>
      </c>
      <c r="Y911" s="346" t="s">
        <v>416</v>
      </c>
      <c r="Z911" s="14" t="str">
        <f>IF(ISBLANK(LCI_Table[[#This Row],[Notes for user]])," ",LCI_Table[[#This Row],[Notes for user]])</f>
        <v xml:space="preserve"> </v>
      </c>
      <c r="AA911" s="14"/>
      <c r="AB911" s="14"/>
      <c r="AC911" s="346">
        <f ca="1">LCI_Table[[#This Row],[Default Calculated Value]]-LCI_Table[[#This Row],[Calculated Value]]</f>
        <v>0</v>
      </c>
    </row>
    <row r="912" spans="1:29" x14ac:dyDescent="0.3">
      <c r="A9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dash_SoybeanHEFAICAOUS (GREET)(blank)_Yield_Farming</v>
      </c>
      <c r="B912" s="48" t="s">
        <v>10</v>
      </c>
      <c r="C912" s="48" t="s">
        <v>30</v>
      </c>
      <c r="D912" s="48" t="s">
        <v>194</v>
      </c>
      <c r="E912" s="48" t="s">
        <v>1349</v>
      </c>
      <c r="F912" s="48" t="s">
        <v>31</v>
      </c>
      <c r="G912" s="14" t="b">
        <f>OR(LCI_Table[[#This Row],[Feedstock]]="All",LCI_Table[[#This Row],[Feedstock]]=SelectedFeedstock)</f>
        <v>0</v>
      </c>
      <c r="H912" s="14" t="b">
        <f>OR(LCI_Table[[#This Row],[Conversion]]="All",LCI_Table[[#This Row],[Conversion]]=SelectedConversion)</f>
        <v>1</v>
      </c>
      <c r="I912" s="14" t="b">
        <f>OR(LCI_Table[[#This Row],[Data Set]]="all",LCI_Table[[#This Row],[Data Set]]=SelectedDataSet)</f>
        <v>0</v>
      </c>
      <c r="J912" s="14" t="b">
        <f>OR(LCI_Table[[#This Row],[Technology]]="All",LCI_Table[[#This Row],[Technology]]=SelectedTechnology)</f>
        <v>1</v>
      </c>
      <c r="K912" s="14" t="b">
        <f>OR(LCI_Table[[#This Row],[Data Source]]="All",LCI_Table[[#This Row],[Data Source]]=SelectedDataSource)</f>
        <v>0</v>
      </c>
      <c r="L912" s="14" t="b">
        <f>TRUE</f>
        <v>1</v>
      </c>
      <c r="M912" s="14" t="b">
        <f>(LCI_Table[[#This Row],[Dev Notes]]="Do not display")</f>
        <v>0</v>
      </c>
      <c r="N912" s="14" t="b">
        <f>AND(LCI_Table[[#This Row],[Show Feedstock]:[Conditional]],NOT(LCI_Table[[#This Row],[Hide Row]]))</f>
        <v>0</v>
      </c>
      <c r="O912" s="14" t="b">
        <f>LCI_Table[[#This Row],[GREET1 Name Range]]=""</f>
        <v>1</v>
      </c>
      <c r="P912" s="48" t="s">
        <v>14</v>
      </c>
      <c r="Q912" s="14" t="s">
        <v>361</v>
      </c>
      <c r="R912" s="48" t="s">
        <v>200</v>
      </c>
      <c r="S912" s="37" cm="1">
        <f t="array" aca="1" ref="S9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50.6</v>
      </c>
      <c r="T912" s="346" t="s">
        <v>2108</v>
      </c>
      <c r="U912" s="344"/>
      <c r="V912" s="344">
        <v>50.6</v>
      </c>
      <c r="W912" s="344"/>
      <c r="X912" s="48" t="s">
        <v>11</v>
      </c>
      <c r="Y912" s="346" t="s">
        <v>413</v>
      </c>
      <c r="Z912" s="14" t="str">
        <f>IF(ISBLANK(LCI_Table[[#This Row],[Notes for user]])," ",LCI_Table[[#This Row],[Notes for user]])</f>
        <v xml:space="preserve"> </v>
      </c>
      <c r="AA912" s="48"/>
      <c r="AB912" s="345"/>
      <c r="AC912" s="346">
        <f>LCI_Table[[#This Row],[Default Calculated Value]]-LCI_Table[[#This Row],[Calculated Value]]</f>
        <v>0</v>
      </c>
    </row>
    <row r="913" spans="1:29" x14ac:dyDescent="0.3">
      <c r="A9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(GREET)(blank)_Soybean_Farming_Nitrogen_fertilizerNitrogen fertilizer</v>
      </c>
      <c r="B913" s="14" t="s">
        <v>10</v>
      </c>
      <c r="C913" s="14" t="s">
        <v>30</v>
      </c>
      <c r="D913" s="14" t="s">
        <v>194</v>
      </c>
      <c r="E913" s="48" t="s">
        <v>1349</v>
      </c>
      <c r="F913" s="48" t="s">
        <v>31</v>
      </c>
      <c r="G913" s="14" t="b">
        <f>OR(LCI_Table[[#This Row],[Feedstock]]="All",LCI_Table[[#This Row],[Feedstock]]=SelectedFeedstock)</f>
        <v>0</v>
      </c>
      <c r="H913" s="14" t="b">
        <f>OR(LCI_Table[[#This Row],[Conversion]]="All",LCI_Table[[#This Row],[Conversion]]=SelectedConversion)</f>
        <v>1</v>
      </c>
      <c r="I913" s="14" t="b">
        <f>OR(LCI_Table[[#This Row],[Data Set]]="all",LCI_Table[[#This Row],[Data Set]]=SelectedDataSet)</f>
        <v>0</v>
      </c>
      <c r="J913" s="14" t="b">
        <f>OR(LCI_Table[[#This Row],[Technology]]="All",LCI_Table[[#This Row],[Technology]]=SelectedTechnology)</f>
        <v>1</v>
      </c>
      <c r="K913" s="14" t="b">
        <f>OR(LCI_Table[[#This Row],[Data Source]]="All",LCI_Table[[#This Row],[Data Source]]=SelectedDataSource)</f>
        <v>0</v>
      </c>
      <c r="L913" s="14" t="b">
        <f>TRUE</f>
        <v>1</v>
      </c>
      <c r="M913" s="14" t="b">
        <f>(LCI_Table[[#This Row],[Dev Notes]]="Do not display")</f>
        <v>0</v>
      </c>
      <c r="N913" s="14" t="b">
        <f>AND(LCI_Table[[#This Row],[Show Feedstock]:[Conditional]],NOT(LCI_Table[[#This Row],[Hide Row]]))</f>
        <v>0</v>
      </c>
      <c r="O913" s="14" t="b">
        <f>LCI_Table[[#This Row],[GREET1 Name Range]]=""</f>
        <v>0</v>
      </c>
      <c r="P913" s="14" t="s">
        <v>14</v>
      </c>
      <c r="Q913" s="14" t="s">
        <v>800</v>
      </c>
      <c r="R913" s="14" t="s">
        <v>111</v>
      </c>
      <c r="S913" s="37" cm="1">
        <f t="array" aca="1" ref="S9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5.3623870763392167</v>
      </c>
      <c r="T913" s="346" t="s">
        <v>1485</v>
      </c>
      <c r="U913" s="347">
        <f ca="1">S913/g2lb/S912</f>
        <v>48.06991823743224</v>
      </c>
      <c r="V913" s="347">
        <v>5.3623870763392167</v>
      </c>
      <c r="W913" s="347">
        <v>48.06991823743224</v>
      </c>
      <c r="X913" s="14" t="s">
        <v>12</v>
      </c>
      <c r="Y913" s="346" t="s">
        <v>413</v>
      </c>
      <c r="Z913" s="14" t="str">
        <f>IF(ISBLANK(LCI_Table[[#This Row],[Notes for user]])," ",LCI_Table[[#This Row],[Notes for user]])</f>
        <v xml:space="preserve"> </v>
      </c>
      <c r="AA913" s="14"/>
      <c r="AB913" s="14"/>
      <c r="AC913" s="346">
        <f ca="1">LCI_Table[[#This Row],[Default Calculated Value]]-LCI_Table[[#This Row],[Calculated Value]]</f>
        <v>0</v>
      </c>
    </row>
    <row r="914" spans="1:29" x14ac:dyDescent="0.3">
      <c r="A9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(GREET)(blank)_Soybean_Farming_P2O5P2O5</v>
      </c>
      <c r="B914" s="14" t="s">
        <v>10</v>
      </c>
      <c r="C914" s="14" t="s">
        <v>30</v>
      </c>
      <c r="D914" s="14" t="s">
        <v>194</v>
      </c>
      <c r="E914" s="48" t="s">
        <v>1349</v>
      </c>
      <c r="F914" s="48" t="s">
        <v>31</v>
      </c>
      <c r="G914" s="14" t="b">
        <f>OR(LCI_Table[[#This Row],[Feedstock]]="All",LCI_Table[[#This Row],[Feedstock]]=SelectedFeedstock)</f>
        <v>0</v>
      </c>
      <c r="H914" s="14" t="b">
        <f>OR(LCI_Table[[#This Row],[Conversion]]="All",LCI_Table[[#This Row],[Conversion]]=SelectedConversion)</f>
        <v>1</v>
      </c>
      <c r="I914" s="14" t="b">
        <f>OR(LCI_Table[[#This Row],[Data Set]]="all",LCI_Table[[#This Row],[Data Set]]=SelectedDataSet)</f>
        <v>0</v>
      </c>
      <c r="J914" s="14" t="b">
        <f>OR(LCI_Table[[#This Row],[Technology]]="All",LCI_Table[[#This Row],[Technology]]=SelectedTechnology)</f>
        <v>1</v>
      </c>
      <c r="K914" s="14" t="b">
        <f>OR(LCI_Table[[#This Row],[Data Source]]="All",LCI_Table[[#This Row],[Data Source]]=SelectedDataSource)</f>
        <v>0</v>
      </c>
      <c r="L914" s="14" t="b">
        <f>TRUE</f>
        <v>1</v>
      </c>
      <c r="M914" s="14" t="b">
        <f>(LCI_Table[[#This Row],[Dev Notes]]="Do not display")</f>
        <v>0</v>
      </c>
      <c r="N914" s="14" t="b">
        <f>AND(LCI_Table[[#This Row],[Show Feedstock]:[Conditional]],NOT(LCI_Table[[#This Row],[Hide Row]]))</f>
        <v>0</v>
      </c>
      <c r="O914" s="14" t="b">
        <f>LCI_Table[[#This Row],[GREET1 Name Range]]=""</f>
        <v>0</v>
      </c>
      <c r="P914" s="14" t="s">
        <v>14</v>
      </c>
      <c r="Q914" s="14" t="s">
        <v>801</v>
      </c>
      <c r="R914" s="14" t="s">
        <v>112</v>
      </c>
      <c r="S914" s="37" cm="1">
        <f t="array" aca="1" ref="S9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20.829858227112638</v>
      </c>
      <c r="T914" s="346" t="s">
        <v>1485</v>
      </c>
      <c r="U914" s="347">
        <f ca="1">S914/g2lb/S912</f>
        <v>186.72459999999998</v>
      </c>
      <c r="V914" s="347">
        <v>20.829858227112638</v>
      </c>
      <c r="W914" s="347">
        <v>186.72459999999998</v>
      </c>
      <c r="X914" s="14" t="s">
        <v>12</v>
      </c>
      <c r="Y914" s="346" t="s">
        <v>413</v>
      </c>
      <c r="Z914" s="14" t="str">
        <f>IF(ISBLANK(LCI_Table[[#This Row],[Notes for user]])," ",LCI_Table[[#This Row],[Notes for user]])</f>
        <v xml:space="preserve"> </v>
      </c>
      <c r="AA914" s="14"/>
      <c r="AB914" s="14"/>
      <c r="AC914" s="346">
        <f ca="1">LCI_Table[[#This Row],[Default Calculated Value]]-LCI_Table[[#This Row],[Calculated Value]]</f>
        <v>0</v>
      </c>
    </row>
    <row r="915" spans="1:29" x14ac:dyDescent="0.3">
      <c r="A9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(GREET)(blank)_Soybean_Farming_K2OK2O</v>
      </c>
      <c r="B915" s="14" t="s">
        <v>10</v>
      </c>
      <c r="C915" s="14" t="s">
        <v>30</v>
      </c>
      <c r="D915" s="14" t="s">
        <v>194</v>
      </c>
      <c r="E915" s="48" t="s">
        <v>1349</v>
      </c>
      <c r="F915" s="48" t="s">
        <v>31</v>
      </c>
      <c r="G915" s="14" t="b">
        <f>OR(LCI_Table[[#This Row],[Feedstock]]="All",LCI_Table[[#This Row],[Feedstock]]=SelectedFeedstock)</f>
        <v>0</v>
      </c>
      <c r="H915" s="14" t="b">
        <f>OR(LCI_Table[[#This Row],[Conversion]]="All",LCI_Table[[#This Row],[Conversion]]=SelectedConversion)</f>
        <v>1</v>
      </c>
      <c r="I915" s="14" t="b">
        <f>OR(LCI_Table[[#This Row],[Data Set]]="all",LCI_Table[[#This Row],[Data Set]]=SelectedDataSet)</f>
        <v>0</v>
      </c>
      <c r="J915" s="14" t="b">
        <f>OR(LCI_Table[[#This Row],[Technology]]="All",LCI_Table[[#This Row],[Technology]]=SelectedTechnology)</f>
        <v>1</v>
      </c>
      <c r="K915" s="14" t="b">
        <f>OR(LCI_Table[[#This Row],[Data Source]]="All",LCI_Table[[#This Row],[Data Source]]=SelectedDataSource)</f>
        <v>0</v>
      </c>
      <c r="L915" s="14" t="b">
        <f>TRUE</f>
        <v>1</v>
      </c>
      <c r="M915" s="14" t="b">
        <f>(LCI_Table[[#This Row],[Dev Notes]]="Do not display")</f>
        <v>0</v>
      </c>
      <c r="N915" s="14" t="b">
        <f>AND(LCI_Table[[#This Row],[Show Feedstock]:[Conditional]],NOT(LCI_Table[[#This Row],[Hide Row]]))</f>
        <v>0</v>
      </c>
      <c r="O915" s="14" t="b">
        <f>LCI_Table[[#This Row],[GREET1 Name Range]]=""</f>
        <v>0</v>
      </c>
      <c r="P915" s="14" t="s">
        <v>14</v>
      </c>
      <c r="Q915" s="14" t="s">
        <v>797</v>
      </c>
      <c r="R915" s="14" t="s">
        <v>113</v>
      </c>
      <c r="S915" s="37" cm="1">
        <f t="array" aca="1" ref="S9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33.361623080211928</v>
      </c>
      <c r="T915" s="346" t="s">
        <v>1485</v>
      </c>
      <c r="U915" s="347">
        <f ca="1">S915/g2lb/S912</f>
        <v>299.06279999999998</v>
      </c>
      <c r="V915" s="347">
        <v>33.361623080211928</v>
      </c>
      <c r="W915" s="347">
        <v>299.06279999999998</v>
      </c>
      <c r="X915" s="14" t="s">
        <v>12</v>
      </c>
      <c r="Y915" s="346" t="s">
        <v>413</v>
      </c>
      <c r="Z915" s="14" t="str">
        <f>IF(ISBLANK(LCI_Table[[#This Row],[Notes for user]])," ",LCI_Table[[#This Row],[Notes for user]])</f>
        <v xml:space="preserve"> </v>
      </c>
      <c r="AA915" s="14"/>
      <c r="AB915" s="14"/>
      <c r="AC915" s="346">
        <f ca="1">LCI_Table[[#This Row],[Default Calculated Value]]-LCI_Table[[#This Row],[Calculated Value]]</f>
        <v>0</v>
      </c>
    </row>
    <row r="916" spans="1:29" x14ac:dyDescent="0.3">
      <c r="A9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(GREET)(blank)_Soybean_Farming_CaCO3CaCO3</v>
      </c>
      <c r="B916" s="14" t="s">
        <v>10</v>
      </c>
      <c r="C916" s="14" t="s">
        <v>30</v>
      </c>
      <c r="D916" s="14" t="s">
        <v>194</v>
      </c>
      <c r="E916" s="48" t="s">
        <v>1349</v>
      </c>
      <c r="F916" s="48" t="s">
        <v>31</v>
      </c>
      <c r="G916" s="14" t="b">
        <f>OR(LCI_Table[[#This Row],[Feedstock]]="All",LCI_Table[[#This Row],[Feedstock]]=SelectedFeedstock)</f>
        <v>0</v>
      </c>
      <c r="H916" s="14" t="b">
        <f>OR(LCI_Table[[#This Row],[Conversion]]="All",LCI_Table[[#This Row],[Conversion]]=SelectedConversion)</f>
        <v>1</v>
      </c>
      <c r="I916" s="14" t="b">
        <f>OR(LCI_Table[[#This Row],[Data Set]]="all",LCI_Table[[#This Row],[Data Set]]=SelectedDataSet)</f>
        <v>0</v>
      </c>
      <c r="J916" s="14" t="b">
        <f>OR(LCI_Table[[#This Row],[Technology]]="All",LCI_Table[[#This Row],[Technology]]=SelectedTechnology)</f>
        <v>1</v>
      </c>
      <c r="K916" s="14" t="b">
        <f>OR(LCI_Table[[#This Row],[Data Source]]="All",LCI_Table[[#This Row],[Data Source]]=SelectedDataSource)</f>
        <v>0</v>
      </c>
      <c r="L916" s="14" t="b">
        <f>TRUE</f>
        <v>1</v>
      </c>
      <c r="M916" s="14" t="b">
        <f>(LCI_Table[[#This Row],[Dev Notes]]="Do not display")</f>
        <v>0</v>
      </c>
      <c r="N916" s="14" t="b">
        <f>AND(LCI_Table[[#This Row],[Show Feedstock]:[Conditional]],NOT(LCI_Table[[#This Row],[Hide Row]]))</f>
        <v>0</v>
      </c>
      <c r="O916" s="14" t="b">
        <f>LCI_Table[[#This Row],[GREET1 Name Range]]=""</f>
        <v>0</v>
      </c>
      <c r="P916" s="14" t="s">
        <v>14</v>
      </c>
      <c r="Q916" s="14" t="s">
        <v>790</v>
      </c>
      <c r="R916" s="14" t="s">
        <v>141</v>
      </c>
      <c r="S916" s="37" cm="1">
        <f t="array" aca="1" ref="S9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916" s="346" t="s">
        <v>1485</v>
      </c>
      <c r="U916" s="347">
        <f ca="1">S916/g2lb/S912</f>
        <v>0</v>
      </c>
      <c r="V916" s="347">
        <v>0</v>
      </c>
      <c r="W916" s="347">
        <v>0</v>
      </c>
      <c r="X916" s="14" t="s">
        <v>12</v>
      </c>
      <c r="Y916" s="346" t="s">
        <v>413</v>
      </c>
      <c r="Z916" s="14" t="str">
        <f>IF(ISBLANK(LCI_Table[[#This Row],[Notes for user]])," ",LCI_Table[[#This Row],[Notes for user]])</f>
        <v xml:space="preserve"> </v>
      </c>
      <c r="AA916" s="14"/>
      <c r="AB916" s="14"/>
      <c r="AC916" s="346">
        <f ca="1">LCI_Table[[#This Row],[Default Calculated Value]]-LCI_Table[[#This Row],[Calculated Value]]</f>
        <v>0</v>
      </c>
    </row>
    <row r="917" spans="1:29" x14ac:dyDescent="0.3">
      <c r="A9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(GREET)(blank)_Soybean_Farming_HerbicidesHerbicides</v>
      </c>
      <c r="B917" s="14" t="s">
        <v>10</v>
      </c>
      <c r="C917" s="14" t="s">
        <v>30</v>
      </c>
      <c r="D917" s="14" t="s">
        <v>194</v>
      </c>
      <c r="E917" s="48" t="s">
        <v>1349</v>
      </c>
      <c r="F917" s="48" t="s">
        <v>31</v>
      </c>
      <c r="G917" s="14" t="b">
        <f>OR(LCI_Table[[#This Row],[Feedstock]]="All",LCI_Table[[#This Row],[Feedstock]]=SelectedFeedstock)</f>
        <v>0</v>
      </c>
      <c r="H917" s="14" t="b">
        <f>OR(LCI_Table[[#This Row],[Conversion]]="All",LCI_Table[[#This Row],[Conversion]]=SelectedConversion)</f>
        <v>1</v>
      </c>
      <c r="I917" s="14" t="b">
        <f>OR(LCI_Table[[#This Row],[Data Set]]="all",LCI_Table[[#This Row],[Data Set]]=SelectedDataSet)</f>
        <v>0</v>
      </c>
      <c r="J917" s="14" t="b">
        <f>OR(LCI_Table[[#This Row],[Technology]]="All",LCI_Table[[#This Row],[Technology]]=SelectedTechnology)</f>
        <v>1</v>
      </c>
      <c r="K917" s="14" t="b">
        <f>OR(LCI_Table[[#This Row],[Data Source]]="All",LCI_Table[[#This Row],[Data Source]]=SelectedDataSource)</f>
        <v>0</v>
      </c>
      <c r="L917" s="14" t="b">
        <f>TRUE</f>
        <v>1</v>
      </c>
      <c r="M917" s="14" t="b">
        <f>(LCI_Table[[#This Row],[Dev Notes]]="Do not display")</f>
        <v>0</v>
      </c>
      <c r="N917" s="14" t="b">
        <f>AND(LCI_Table[[#This Row],[Show Feedstock]:[Conditional]],NOT(LCI_Table[[#This Row],[Hide Row]]))</f>
        <v>0</v>
      </c>
      <c r="O917" s="14" t="b">
        <f>LCI_Table[[#This Row],[GREET1 Name Range]]=""</f>
        <v>0</v>
      </c>
      <c r="P917" s="14" t="s">
        <v>14</v>
      </c>
      <c r="Q917" s="14" t="s">
        <v>795</v>
      </c>
      <c r="R917" s="14" t="s">
        <v>356</v>
      </c>
      <c r="S917" s="37" cm="1">
        <f t="array" aca="1" ref="S9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2.0021772897105872</v>
      </c>
      <c r="T917" s="346" t="s">
        <v>1485</v>
      </c>
      <c r="U917" s="347">
        <f ca="1">S917/g2lb/S912</f>
        <v>17.948070000000001</v>
      </c>
      <c r="V917" s="347">
        <v>2.0021772897105872</v>
      </c>
      <c r="W917" s="347">
        <v>17.948070000000001</v>
      </c>
      <c r="X917" s="14" t="s">
        <v>12</v>
      </c>
      <c r="Y917" s="346" t="s">
        <v>413</v>
      </c>
      <c r="Z917" s="14" t="str">
        <f>IF(ISBLANK(LCI_Table[[#This Row],[Notes for user]])," ",LCI_Table[[#This Row],[Notes for user]])</f>
        <v xml:space="preserve"> </v>
      </c>
      <c r="AA917" s="14"/>
      <c r="AB917" s="14"/>
      <c r="AC917" s="346">
        <f ca="1">LCI_Table[[#This Row],[Default Calculated Value]]-LCI_Table[[#This Row],[Calculated Value]]</f>
        <v>0</v>
      </c>
    </row>
    <row r="918" spans="1:29" x14ac:dyDescent="0.3">
      <c r="A9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(GREET)(blank)_Soybean_Farming_InsecticideInsecticide</v>
      </c>
      <c r="B918" s="14" t="s">
        <v>10</v>
      </c>
      <c r="C918" s="14" t="s">
        <v>30</v>
      </c>
      <c r="D918" s="14" t="s">
        <v>194</v>
      </c>
      <c r="E918" s="48" t="s">
        <v>1349</v>
      </c>
      <c r="F918" s="48" t="s">
        <v>31</v>
      </c>
      <c r="G918" s="14" t="b">
        <f>OR(LCI_Table[[#This Row],[Feedstock]]="All",LCI_Table[[#This Row],[Feedstock]]=SelectedFeedstock)</f>
        <v>0</v>
      </c>
      <c r="H918" s="14" t="b">
        <f>OR(LCI_Table[[#This Row],[Conversion]]="All",LCI_Table[[#This Row],[Conversion]]=SelectedConversion)</f>
        <v>1</v>
      </c>
      <c r="I918" s="14" t="b">
        <f>OR(LCI_Table[[#This Row],[Data Set]]="all",LCI_Table[[#This Row],[Data Set]]=SelectedDataSet)</f>
        <v>0</v>
      </c>
      <c r="J918" s="14" t="b">
        <f>OR(LCI_Table[[#This Row],[Technology]]="All",LCI_Table[[#This Row],[Technology]]=SelectedTechnology)</f>
        <v>1</v>
      </c>
      <c r="K918" s="14" t="b">
        <f>OR(LCI_Table[[#This Row],[Data Source]]="All",LCI_Table[[#This Row],[Data Source]]=SelectedDataSource)</f>
        <v>0</v>
      </c>
      <c r="L918" s="14" t="b">
        <f>TRUE</f>
        <v>1</v>
      </c>
      <c r="M918" s="14" t="b">
        <f>(LCI_Table[[#This Row],[Dev Notes]]="Do not display")</f>
        <v>0</v>
      </c>
      <c r="N918" s="14" t="b">
        <f>AND(LCI_Table[[#This Row],[Show Feedstock]:[Conditional]],NOT(LCI_Table[[#This Row],[Hide Row]]))</f>
        <v>0</v>
      </c>
      <c r="O918" s="14" t="b">
        <f>LCI_Table[[#This Row],[GREET1 Name Range]]=""</f>
        <v>0</v>
      </c>
      <c r="P918" s="14" t="s">
        <v>14</v>
      </c>
      <c r="Q918" s="14" t="s">
        <v>796</v>
      </c>
      <c r="R918" s="14" t="s">
        <v>114</v>
      </c>
      <c r="S918" s="37" cm="1">
        <f t="array" aca="1" ref="S9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3.9684603911984889E-2</v>
      </c>
      <c r="T918" s="346" t="s">
        <v>1485</v>
      </c>
      <c r="U918" s="347">
        <f ca="1">S918/g2lb/S912</f>
        <v>0.35574374586854662</v>
      </c>
      <c r="V918" s="347">
        <v>3.9684603911984889E-2</v>
      </c>
      <c r="W918" s="347">
        <v>0.35574374586854662</v>
      </c>
      <c r="X918" s="14" t="s">
        <v>12</v>
      </c>
      <c r="Y918" s="346" t="s">
        <v>413</v>
      </c>
      <c r="Z918" s="14" t="str">
        <f>IF(ISBLANK(LCI_Table[[#This Row],[Notes for user]])," ",LCI_Table[[#This Row],[Notes for user]])</f>
        <v xml:space="preserve"> </v>
      </c>
      <c r="AA918" s="14"/>
      <c r="AB918" s="14"/>
      <c r="AC918" s="346">
        <f ca="1">LCI_Table[[#This Row],[Default Calculated Value]]-LCI_Table[[#This Row],[Calculated Value]]</f>
        <v>0</v>
      </c>
    </row>
    <row r="919" spans="1:29" x14ac:dyDescent="0.3">
      <c r="A9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(GREET)(blank)_Soybean_Farming_Residual_oilResidual oil</v>
      </c>
      <c r="B919" s="14" t="s">
        <v>10</v>
      </c>
      <c r="C919" s="14" t="s">
        <v>30</v>
      </c>
      <c r="D919" s="14" t="s">
        <v>194</v>
      </c>
      <c r="E919" s="48" t="s">
        <v>1349</v>
      </c>
      <c r="F919" s="48" t="s">
        <v>31</v>
      </c>
      <c r="G919" s="14" t="b">
        <f>OR(LCI_Table[[#This Row],[Feedstock]]="All",LCI_Table[[#This Row],[Feedstock]]=SelectedFeedstock)</f>
        <v>0</v>
      </c>
      <c r="H919" s="14" t="b">
        <f>OR(LCI_Table[[#This Row],[Conversion]]="All",LCI_Table[[#This Row],[Conversion]]=SelectedConversion)</f>
        <v>1</v>
      </c>
      <c r="I919" s="14" t="b">
        <f>OR(LCI_Table[[#This Row],[Data Set]]="all",LCI_Table[[#This Row],[Data Set]]=SelectedDataSet)</f>
        <v>0</v>
      </c>
      <c r="J919" s="14" t="b">
        <f>OR(LCI_Table[[#This Row],[Technology]]="All",LCI_Table[[#This Row],[Technology]]=SelectedTechnology)</f>
        <v>1</v>
      </c>
      <c r="K919" s="14" t="b">
        <f>OR(LCI_Table[[#This Row],[Data Source]]="All",LCI_Table[[#This Row],[Data Source]]=SelectedDataSource)</f>
        <v>0</v>
      </c>
      <c r="L919" s="14" t="b">
        <f>TRUE</f>
        <v>1</v>
      </c>
      <c r="M919" s="14" t="b">
        <f>(LCI_Table[[#This Row],[Dev Notes]]="Do not display")</f>
        <v>0</v>
      </c>
      <c r="N919" s="14" t="b">
        <f>AND(LCI_Table[[#This Row],[Show Feedstock]:[Conditional]],NOT(LCI_Table[[#This Row],[Hide Row]]))</f>
        <v>0</v>
      </c>
      <c r="O919" s="14" t="b">
        <f>LCI_Table[[#This Row],[GREET1 Name Range]]=""</f>
        <v>0</v>
      </c>
      <c r="P919" s="14" t="s">
        <v>14</v>
      </c>
      <c r="Q919" s="14" t="s">
        <v>802</v>
      </c>
      <c r="R919" s="14" t="s">
        <v>115</v>
      </c>
      <c r="S919" s="37" cm="1">
        <f t="array" aca="1" ref="S9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919" s="346" t="s">
        <v>1484</v>
      </c>
      <c r="U919" s="347">
        <f ca="1">S919*Fuel_Specs!$B$28/S912</f>
        <v>0</v>
      </c>
      <c r="V919" s="347">
        <v>0</v>
      </c>
      <c r="W919" s="347">
        <v>0</v>
      </c>
      <c r="X919" s="14" t="s">
        <v>5</v>
      </c>
      <c r="Y919" s="346" t="s">
        <v>413</v>
      </c>
      <c r="Z919" s="14" t="str">
        <f>IF(ISBLANK(LCI_Table[[#This Row],[Notes for user]])," ",LCI_Table[[#This Row],[Notes for user]])</f>
        <v xml:space="preserve"> </v>
      </c>
      <c r="AA919" s="14"/>
      <c r="AB919" s="14"/>
      <c r="AC919" s="346">
        <f ca="1">LCI_Table[[#This Row],[Default Calculated Value]]-LCI_Table[[#This Row],[Calculated Value]]</f>
        <v>0</v>
      </c>
    </row>
    <row r="920" spans="1:29" x14ac:dyDescent="0.3">
      <c r="A9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(GREET)(blank)_Soybean_Farming_DieselDiesel</v>
      </c>
      <c r="B920" s="14" t="s">
        <v>10</v>
      </c>
      <c r="C920" s="14" t="s">
        <v>30</v>
      </c>
      <c r="D920" s="14" t="s">
        <v>194</v>
      </c>
      <c r="E920" s="48" t="s">
        <v>1349</v>
      </c>
      <c r="F920" s="48" t="s">
        <v>31</v>
      </c>
      <c r="G920" s="14" t="b">
        <f>OR(LCI_Table[[#This Row],[Feedstock]]="All",LCI_Table[[#This Row],[Feedstock]]=SelectedFeedstock)</f>
        <v>0</v>
      </c>
      <c r="H920" s="14" t="b">
        <f>OR(LCI_Table[[#This Row],[Conversion]]="All",LCI_Table[[#This Row],[Conversion]]=SelectedConversion)</f>
        <v>1</v>
      </c>
      <c r="I920" s="14" t="b">
        <f>OR(LCI_Table[[#This Row],[Data Set]]="all",LCI_Table[[#This Row],[Data Set]]=SelectedDataSet)</f>
        <v>0</v>
      </c>
      <c r="J920" s="14" t="b">
        <f>OR(LCI_Table[[#This Row],[Technology]]="All",LCI_Table[[#This Row],[Technology]]=SelectedTechnology)</f>
        <v>1</v>
      </c>
      <c r="K920" s="14" t="b">
        <f>OR(LCI_Table[[#This Row],[Data Source]]="All",LCI_Table[[#This Row],[Data Source]]=SelectedDataSource)</f>
        <v>0</v>
      </c>
      <c r="L920" s="14" t="b">
        <f>TRUE</f>
        <v>1</v>
      </c>
      <c r="M920" s="14" t="b">
        <f>(LCI_Table[[#This Row],[Dev Notes]]="Do not display")</f>
        <v>0</v>
      </c>
      <c r="N920" s="14" t="b">
        <f>AND(LCI_Table[[#This Row],[Show Feedstock]:[Conditional]],NOT(LCI_Table[[#This Row],[Hide Row]]))</f>
        <v>0</v>
      </c>
      <c r="O920" s="14" t="b">
        <f>LCI_Table[[#This Row],[GREET1 Name Range]]=""</f>
        <v>0</v>
      </c>
      <c r="P920" s="14" t="s">
        <v>14</v>
      </c>
      <c r="Q920" s="14" t="s">
        <v>792</v>
      </c>
      <c r="R920" s="14" t="s">
        <v>106</v>
      </c>
      <c r="S920" s="37" cm="1">
        <f t="array" aca="1" ref="S9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5.1152211521746391</v>
      </c>
      <c r="T920" s="346" t="s">
        <v>1484</v>
      </c>
      <c r="U920" s="347">
        <f ca="1">S920*Fuel_Specs!$B$19/S912</f>
        <v>12985.180968316845</v>
      </c>
      <c r="V920" s="347">
        <v>5.1152211521746391</v>
      </c>
      <c r="W920" s="347">
        <v>12985.180968316845</v>
      </c>
      <c r="X920" s="14" t="s">
        <v>5</v>
      </c>
      <c r="Y920" s="346" t="s">
        <v>413</v>
      </c>
      <c r="Z920" s="14" t="str">
        <f>IF(ISBLANK(LCI_Table[[#This Row],[Notes for user]])," ",LCI_Table[[#This Row],[Notes for user]])</f>
        <v xml:space="preserve"> </v>
      </c>
      <c r="AA920" s="14"/>
      <c r="AB920" s="14"/>
      <c r="AC920" s="346">
        <f ca="1">LCI_Table[[#This Row],[Default Calculated Value]]-LCI_Table[[#This Row],[Calculated Value]]</f>
        <v>0</v>
      </c>
    </row>
    <row r="921" spans="1:29" x14ac:dyDescent="0.3">
      <c r="A9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(GREET)(blank)_Soybean_Farming_GasolineGasoline</v>
      </c>
      <c r="B921" s="14" t="s">
        <v>10</v>
      </c>
      <c r="C921" s="14" t="s">
        <v>30</v>
      </c>
      <c r="D921" s="14" t="s">
        <v>194</v>
      </c>
      <c r="E921" s="48" t="s">
        <v>1349</v>
      </c>
      <c r="F921" s="48" t="s">
        <v>31</v>
      </c>
      <c r="G921" s="14" t="b">
        <f>OR(LCI_Table[[#This Row],[Feedstock]]="All",LCI_Table[[#This Row],[Feedstock]]=SelectedFeedstock)</f>
        <v>0</v>
      </c>
      <c r="H921" s="14" t="b">
        <f>OR(LCI_Table[[#This Row],[Conversion]]="All",LCI_Table[[#This Row],[Conversion]]=SelectedConversion)</f>
        <v>1</v>
      </c>
      <c r="I921" s="14" t="b">
        <f>OR(LCI_Table[[#This Row],[Data Set]]="all",LCI_Table[[#This Row],[Data Set]]=SelectedDataSet)</f>
        <v>0</v>
      </c>
      <c r="J921" s="14" t="b">
        <f>OR(LCI_Table[[#This Row],[Technology]]="All",LCI_Table[[#This Row],[Technology]]=SelectedTechnology)</f>
        <v>1</v>
      </c>
      <c r="K921" s="14" t="b">
        <f>OR(LCI_Table[[#This Row],[Data Source]]="All",LCI_Table[[#This Row],[Data Source]]=SelectedDataSource)</f>
        <v>0</v>
      </c>
      <c r="L921" s="14" t="b">
        <f>TRUE</f>
        <v>1</v>
      </c>
      <c r="M921" s="14" t="b">
        <f>(LCI_Table[[#This Row],[Dev Notes]]="Do not display")</f>
        <v>0</v>
      </c>
      <c r="N921" s="14" t="b">
        <f>AND(LCI_Table[[#This Row],[Show Feedstock]:[Conditional]],NOT(LCI_Table[[#This Row],[Hide Row]]))</f>
        <v>0</v>
      </c>
      <c r="O921" s="14" t="b">
        <f>LCI_Table[[#This Row],[GREET1 Name Range]]=""</f>
        <v>0</v>
      </c>
      <c r="P921" s="14" t="s">
        <v>14</v>
      </c>
      <c r="Q921" s="14" t="s">
        <v>794</v>
      </c>
      <c r="R921" s="14" t="s">
        <v>107</v>
      </c>
      <c r="S921" s="37" cm="1">
        <f t="array" aca="1" ref="S9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1.3088297910901385</v>
      </c>
      <c r="T921" s="346" t="s">
        <v>1484</v>
      </c>
      <c r="U921" s="347">
        <f ca="1">S921*Fuel_Specs!$B$15/S912</f>
        <v>2902.0201846495506</v>
      </c>
      <c r="V921" s="347">
        <v>1.3088297910901385</v>
      </c>
      <c r="W921" s="347">
        <v>2902.0201846495506</v>
      </c>
      <c r="X921" s="14" t="s">
        <v>5</v>
      </c>
      <c r="Y921" s="346" t="s">
        <v>413</v>
      </c>
      <c r="Z921" s="14" t="str">
        <f>IF(ISBLANK(LCI_Table[[#This Row],[Notes for user]])," ",LCI_Table[[#This Row],[Notes for user]])</f>
        <v xml:space="preserve"> </v>
      </c>
      <c r="AA921" s="14"/>
      <c r="AB921" s="14"/>
      <c r="AC921" s="346">
        <f ca="1">LCI_Table[[#This Row],[Default Calculated Value]]-LCI_Table[[#This Row],[Calculated Value]]</f>
        <v>0</v>
      </c>
    </row>
    <row r="922" spans="1:29" x14ac:dyDescent="0.3">
      <c r="A9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(GREET)(blank)_Soybean_Farming_Natural_gasNatural gas</v>
      </c>
      <c r="B922" s="14" t="s">
        <v>10</v>
      </c>
      <c r="C922" s="14" t="s">
        <v>30</v>
      </c>
      <c r="D922" s="14" t="s">
        <v>194</v>
      </c>
      <c r="E922" s="48" t="s">
        <v>1349</v>
      </c>
      <c r="F922" s="48" t="s">
        <v>31</v>
      </c>
      <c r="G922" s="14" t="b">
        <f>OR(LCI_Table[[#This Row],[Feedstock]]="All",LCI_Table[[#This Row],[Feedstock]]=SelectedFeedstock)</f>
        <v>0</v>
      </c>
      <c r="H922" s="14" t="b">
        <f>OR(LCI_Table[[#This Row],[Conversion]]="All",LCI_Table[[#This Row],[Conversion]]=SelectedConversion)</f>
        <v>1</v>
      </c>
      <c r="I922" s="14" t="b">
        <f>OR(LCI_Table[[#This Row],[Data Set]]="all",LCI_Table[[#This Row],[Data Set]]=SelectedDataSet)</f>
        <v>0</v>
      </c>
      <c r="J922" s="14" t="b">
        <f>OR(LCI_Table[[#This Row],[Technology]]="All",LCI_Table[[#This Row],[Technology]]=SelectedTechnology)</f>
        <v>1</v>
      </c>
      <c r="K922" s="14" t="b">
        <f>OR(LCI_Table[[#This Row],[Data Source]]="All",LCI_Table[[#This Row],[Data Source]]=SelectedDataSource)</f>
        <v>0</v>
      </c>
      <c r="L922" s="14" t="b">
        <f>TRUE</f>
        <v>1</v>
      </c>
      <c r="M922" s="14" t="b">
        <f>(LCI_Table[[#This Row],[Dev Notes]]="Do not display")</f>
        <v>0</v>
      </c>
      <c r="N922" s="14" t="b">
        <f>AND(LCI_Table[[#This Row],[Show Feedstock]:[Conditional]],NOT(LCI_Table[[#This Row],[Hide Row]]))</f>
        <v>0</v>
      </c>
      <c r="O922" s="14" t="b">
        <f>LCI_Table[[#This Row],[GREET1 Name Range]]=""</f>
        <v>0</v>
      </c>
      <c r="P922" s="14" t="s">
        <v>14</v>
      </c>
      <c r="Q922" s="14" t="s">
        <v>799</v>
      </c>
      <c r="R922" s="14" t="s">
        <v>108</v>
      </c>
      <c r="S922" s="37" cm="1">
        <f t="array" aca="1" ref="S9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48.030245560325234</v>
      </c>
      <c r="T922" s="346" t="s">
        <v>2109</v>
      </c>
      <c r="U922" s="347">
        <f ca="1">S922*Fuel_Specs!$B$79/S912</f>
        <v>933.0776953715357</v>
      </c>
      <c r="V922" s="347">
        <v>48.030245560325234</v>
      </c>
      <c r="W922" s="347">
        <v>933.0776953715357</v>
      </c>
      <c r="X922" s="14" t="s">
        <v>351</v>
      </c>
      <c r="Y922" s="346" t="s">
        <v>413</v>
      </c>
      <c r="Z922" s="14" t="str">
        <f>IF(ISBLANK(LCI_Table[[#This Row],[Notes for user]])," ",LCI_Table[[#This Row],[Notes for user]])</f>
        <v xml:space="preserve"> </v>
      </c>
      <c r="AA922" s="14"/>
      <c r="AB922" s="14"/>
      <c r="AC922" s="346">
        <f ca="1">LCI_Table[[#This Row],[Default Calculated Value]]-LCI_Table[[#This Row],[Calculated Value]]</f>
        <v>0</v>
      </c>
    </row>
    <row r="923" spans="1:29" x14ac:dyDescent="0.3">
      <c r="A9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(GREET)(blank)_Soybean_Farming_CoalCoal</v>
      </c>
      <c r="B923" s="14" t="s">
        <v>10</v>
      </c>
      <c r="C923" s="14" t="s">
        <v>30</v>
      </c>
      <c r="D923" s="14" t="s">
        <v>194</v>
      </c>
      <c r="E923" s="48" t="s">
        <v>1349</v>
      </c>
      <c r="F923" s="48" t="s">
        <v>31</v>
      </c>
      <c r="G923" s="14" t="b">
        <f>OR(LCI_Table[[#This Row],[Feedstock]]="All",LCI_Table[[#This Row],[Feedstock]]=SelectedFeedstock)</f>
        <v>0</v>
      </c>
      <c r="H923" s="14" t="b">
        <f>OR(LCI_Table[[#This Row],[Conversion]]="All",LCI_Table[[#This Row],[Conversion]]=SelectedConversion)</f>
        <v>1</v>
      </c>
      <c r="I923" s="14" t="b">
        <f>OR(LCI_Table[[#This Row],[Data Set]]="all",LCI_Table[[#This Row],[Data Set]]=SelectedDataSet)</f>
        <v>0</v>
      </c>
      <c r="J923" s="14" t="b">
        <f>OR(LCI_Table[[#This Row],[Technology]]="All",LCI_Table[[#This Row],[Technology]]=SelectedTechnology)</f>
        <v>1</v>
      </c>
      <c r="K923" s="14" t="b">
        <f>OR(LCI_Table[[#This Row],[Data Source]]="All",LCI_Table[[#This Row],[Data Source]]=SelectedDataSource)</f>
        <v>0</v>
      </c>
      <c r="L923" s="14" t="b">
        <f>TRUE</f>
        <v>1</v>
      </c>
      <c r="M923" s="14" t="b">
        <f>(LCI_Table[[#This Row],[Dev Notes]]="Do not display")</f>
        <v>0</v>
      </c>
      <c r="N923" s="14" t="b">
        <f>AND(LCI_Table[[#This Row],[Show Feedstock]:[Conditional]],NOT(LCI_Table[[#This Row],[Hide Row]]))</f>
        <v>0</v>
      </c>
      <c r="O923" s="14" t="b">
        <f>LCI_Table[[#This Row],[GREET1 Name Range]]=""</f>
        <v>0</v>
      </c>
      <c r="P923" s="14" t="s">
        <v>14</v>
      </c>
      <c r="Q923" s="14" t="s">
        <v>791</v>
      </c>
      <c r="R923" s="14" t="s">
        <v>9</v>
      </c>
      <c r="S923" s="37" cm="1">
        <f t="array" aca="1" ref="S9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923" s="346" t="s">
        <v>2110</v>
      </c>
      <c r="U923" s="347">
        <f ca="1">S923/S912</f>
        <v>0</v>
      </c>
      <c r="V923" s="347">
        <v>0</v>
      </c>
      <c r="W923" s="347">
        <v>0</v>
      </c>
      <c r="X923" s="14" t="s">
        <v>117</v>
      </c>
      <c r="Y923" s="346" t="s">
        <v>413</v>
      </c>
      <c r="Z923" s="14" t="str">
        <f>IF(ISBLANK(LCI_Table[[#This Row],[Notes for user]])," ",LCI_Table[[#This Row],[Notes for user]])</f>
        <v xml:space="preserve"> </v>
      </c>
      <c r="AA923" s="14"/>
      <c r="AB923" s="14"/>
      <c r="AC923" s="346">
        <f ca="1">LCI_Table[[#This Row],[Default Calculated Value]]-LCI_Table[[#This Row],[Calculated Value]]</f>
        <v>0</v>
      </c>
    </row>
    <row r="924" spans="1:29" x14ac:dyDescent="0.3">
      <c r="A9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(GREET)(blank)_Soybean_Farming_LPGLPG</v>
      </c>
      <c r="B924" s="14" t="s">
        <v>10</v>
      </c>
      <c r="C924" s="14" t="s">
        <v>30</v>
      </c>
      <c r="D924" s="14" t="s">
        <v>194</v>
      </c>
      <c r="E924" s="48" t="s">
        <v>1349</v>
      </c>
      <c r="F924" s="48" t="s">
        <v>31</v>
      </c>
      <c r="G924" s="14" t="b">
        <f>OR(LCI_Table[[#This Row],[Feedstock]]="All",LCI_Table[[#This Row],[Feedstock]]=SelectedFeedstock)</f>
        <v>0</v>
      </c>
      <c r="H924" s="14" t="b">
        <f>OR(LCI_Table[[#This Row],[Conversion]]="All",LCI_Table[[#This Row],[Conversion]]=SelectedConversion)</f>
        <v>1</v>
      </c>
      <c r="I924" s="14" t="b">
        <f>OR(LCI_Table[[#This Row],[Data Set]]="all",LCI_Table[[#This Row],[Data Set]]=SelectedDataSet)</f>
        <v>0</v>
      </c>
      <c r="J924" s="14" t="b">
        <f>OR(LCI_Table[[#This Row],[Technology]]="All",LCI_Table[[#This Row],[Technology]]=SelectedTechnology)</f>
        <v>1</v>
      </c>
      <c r="K924" s="14" t="b">
        <f>OR(LCI_Table[[#This Row],[Data Source]]="All",LCI_Table[[#This Row],[Data Source]]=SelectedDataSource)</f>
        <v>0</v>
      </c>
      <c r="L924" s="14" t="b">
        <f>TRUE</f>
        <v>1</v>
      </c>
      <c r="M924" s="14" t="b">
        <f>(LCI_Table[[#This Row],[Dev Notes]]="Do not display")</f>
        <v>0</v>
      </c>
      <c r="N924" s="14" t="b">
        <f>AND(LCI_Table[[#This Row],[Show Feedstock]:[Conditional]],NOT(LCI_Table[[#This Row],[Hide Row]]))</f>
        <v>0</v>
      </c>
      <c r="O924" s="14" t="b">
        <f>LCI_Table[[#This Row],[GREET1 Name Range]]=""</f>
        <v>0</v>
      </c>
      <c r="P924" s="14" t="s">
        <v>14</v>
      </c>
      <c r="Q924" s="14" t="s">
        <v>798</v>
      </c>
      <c r="R924" s="14" t="s">
        <v>109</v>
      </c>
      <c r="S924" s="37" cm="1">
        <f t="array" aca="1" ref="S9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0.43227221004292715</v>
      </c>
      <c r="T924" s="346" t="s">
        <v>1484</v>
      </c>
      <c r="U924" s="347">
        <f ca="1">S924*Fuel_Specs!$B$35/S912</f>
        <v>725.7218229870881</v>
      </c>
      <c r="V924" s="347">
        <v>0.43227221004292715</v>
      </c>
      <c r="W924" s="347">
        <v>725.7218229870881</v>
      </c>
      <c r="X924" s="14" t="s">
        <v>5</v>
      </c>
      <c r="Y924" s="346" t="s">
        <v>413</v>
      </c>
      <c r="Z924" s="14" t="str">
        <f>IF(ISBLANK(LCI_Table[[#This Row],[Notes for user]])," ",LCI_Table[[#This Row],[Notes for user]])</f>
        <v xml:space="preserve"> </v>
      </c>
      <c r="AA924" s="14"/>
      <c r="AB924" s="14"/>
      <c r="AC924" s="346">
        <f ca="1">LCI_Table[[#This Row],[Default Calculated Value]]-LCI_Table[[#This Row],[Calculated Value]]</f>
        <v>0</v>
      </c>
    </row>
    <row r="925" spans="1:29" x14ac:dyDescent="0.3">
      <c r="A9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(GREET)(blank)_Soybean_Farming_ElectricityElectricity</v>
      </c>
      <c r="B925" s="14" t="s">
        <v>10</v>
      </c>
      <c r="C925" s="14" t="s">
        <v>30</v>
      </c>
      <c r="D925" s="14" t="s">
        <v>194</v>
      </c>
      <c r="E925" s="48" t="s">
        <v>1349</v>
      </c>
      <c r="F925" s="48" t="s">
        <v>31</v>
      </c>
      <c r="G925" s="14" t="b">
        <f>OR(LCI_Table[[#This Row],[Feedstock]]="All",LCI_Table[[#This Row],[Feedstock]]=SelectedFeedstock)</f>
        <v>0</v>
      </c>
      <c r="H925" s="14" t="b">
        <f>OR(LCI_Table[[#This Row],[Conversion]]="All",LCI_Table[[#This Row],[Conversion]]=SelectedConversion)</f>
        <v>1</v>
      </c>
      <c r="I925" s="14" t="b">
        <f>OR(LCI_Table[[#This Row],[Data Set]]="all",LCI_Table[[#This Row],[Data Set]]=SelectedDataSet)</f>
        <v>0</v>
      </c>
      <c r="J925" s="14" t="b">
        <f>OR(LCI_Table[[#This Row],[Technology]]="All",LCI_Table[[#This Row],[Technology]]=SelectedTechnology)</f>
        <v>1</v>
      </c>
      <c r="K925" s="14" t="b">
        <f>OR(LCI_Table[[#This Row],[Data Source]]="All",LCI_Table[[#This Row],[Data Source]]=SelectedDataSource)</f>
        <v>0</v>
      </c>
      <c r="L925" s="14" t="b">
        <f>TRUE</f>
        <v>1</v>
      </c>
      <c r="M925" s="14" t="b">
        <f>(LCI_Table[[#This Row],[Dev Notes]]="Do not display")</f>
        <v>0</v>
      </c>
      <c r="N925" s="14" t="b">
        <f>AND(LCI_Table[[#This Row],[Show Feedstock]:[Conditional]],NOT(LCI_Table[[#This Row],[Hide Row]]))</f>
        <v>0</v>
      </c>
      <c r="O925" s="14" t="b">
        <f>LCI_Table[[#This Row],[GREET1 Name Range]]=""</f>
        <v>0</v>
      </c>
      <c r="P925" s="14" t="s">
        <v>14</v>
      </c>
      <c r="Q925" s="14" t="s">
        <v>793</v>
      </c>
      <c r="R925" s="14" t="s">
        <v>110</v>
      </c>
      <c r="S925" s="37" cm="1">
        <f t="array" aca="1" ref="S9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13.148279677435013</v>
      </c>
      <c r="T925" s="346" t="s">
        <v>1561</v>
      </c>
      <c r="U925" s="347">
        <f ca="1">S925/BTU2kWh/S912</f>
        <v>886.63621744654995</v>
      </c>
      <c r="V925" s="347">
        <v>13.148279677435013</v>
      </c>
      <c r="W925" s="347">
        <v>886.63621744654995</v>
      </c>
      <c r="X925" s="14" t="s">
        <v>51</v>
      </c>
      <c r="Y925" s="346" t="s">
        <v>413</v>
      </c>
      <c r="Z925" s="14" t="str">
        <f>IF(ISBLANK(LCI_Table[[#This Row],[Notes for user]])," ",LCI_Table[[#This Row],[Notes for user]])</f>
        <v xml:space="preserve"> </v>
      </c>
      <c r="AA925" s="14"/>
      <c r="AB925" s="348"/>
      <c r="AC925" s="346">
        <f ca="1">LCI_Table[[#This Row],[Default Calculated Value]]-LCI_Table[[#This Row],[Calculated Value]]</f>
        <v>0</v>
      </c>
    </row>
    <row r="926" spans="1:29" x14ac:dyDescent="0.3">
      <c r="A9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dash_SoybeanHEFAICAOUS (GREET)(blank)_Soybean_Extraction</v>
      </c>
      <c r="B926" s="14" t="s">
        <v>10</v>
      </c>
      <c r="C926" s="14" t="s">
        <v>30</v>
      </c>
      <c r="D926" s="14" t="s">
        <v>194</v>
      </c>
      <c r="E926" s="48" t="s">
        <v>1349</v>
      </c>
      <c r="F926" s="48" t="s">
        <v>31</v>
      </c>
      <c r="G926" s="14" t="b">
        <f>OR(LCI_Table[[#This Row],[Feedstock]]="All",LCI_Table[[#This Row],[Feedstock]]=SelectedFeedstock)</f>
        <v>0</v>
      </c>
      <c r="H926" s="14" t="b">
        <f>OR(LCI_Table[[#This Row],[Conversion]]="All",LCI_Table[[#This Row],[Conversion]]=SelectedConversion)</f>
        <v>1</v>
      </c>
      <c r="I926" s="14" t="b">
        <f>OR(LCI_Table[[#This Row],[Data Set]]="all",LCI_Table[[#This Row],[Data Set]]=SelectedDataSet)</f>
        <v>0</v>
      </c>
      <c r="J926" s="14" t="b">
        <f>OR(LCI_Table[[#This Row],[Technology]]="All",LCI_Table[[#This Row],[Technology]]=SelectedTechnology)</f>
        <v>1</v>
      </c>
      <c r="K926" s="14" t="b">
        <f>OR(LCI_Table[[#This Row],[Data Source]]="All",LCI_Table[[#This Row],[Data Source]]=SelectedDataSource)</f>
        <v>0</v>
      </c>
      <c r="L926" s="14" t="b">
        <f>TRUE</f>
        <v>1</v>
      </c>
      <c r="M926" s="14" t="b">
        <f>(LCI_Table[[#This Row],[Dev Notes]]="Do not display")</f>
        <v>1</v>
      </c>
      <c r="N926" s="14" t="b">
        <f>AND(LCI_Table[[#This Row],[Show Feedstock]:[Conditional]],NOT(LCI_Table[[#This Row],[Hide Row]]))</f>
        <v>0</v>
      </c>
      <c r="O926" s="14" t="b">
        <f>LCI_Table[[#This Row],[GREET1 Name Range]]=""</f>
        <v>1</v>
      </c>
      <c r="P926" s="14" t="s">
        <v>15</v>
      </c>
      <c r="Q926" s="14" t="s">
        <v>361</v>
      </c>
      <c r="R926" s="14" t="s">
        <v>10</v>
      </c>
      <c r="S926" s="37" cm="1">
        <f t="array" aca="1" ref="S9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4.9769999999999994</v>
      </c>
      <c r="T926" s="346" t="s">
        <v>2111</v>
      </c>
      <c r="U926" s="347">
        <f ca="1">S926/busoybean2lb</f>
        <v>8.2949999999999996E-2</v>
      </c>
      <c r="V926" s="347">
        <v>4.9769999999999994</v>
      </c>
      <c r="W926" s="347">
        <v>8.2949999999999996E-2</v>
      </c>
      <c r="X926" s="14" t="s">
        <v>12</v>
      </c>
      <c r="Y926" s="346" t="s">
        <v>891</v>
      </c>
      <c r="Z926" s="14" t="str">
        <f>IF(ISBLANK(LCI_Table[[#This Row],[Notes for user]])," ",LCI_Table[[#This Row],[Notes for user]])</f>
        <v xml:space="preserve"> </v>
      </c>
      <c r="AA926" s="348"/>
      <c r="AB926" s="348" t="s">
        <v>1138</v>
      </c>
      <c r="AC926" s="346">
        <f ca="1">LCI_Table[[#This Row],[Default Calculated Value]]-LCI_Table[[#This Row],[Calculated Value]]</f>
        <v>0</v>
      </c>
    </row>
    <row r="927" spans="1:29" x14ac:dyDescent="0.3">
      <c r="A9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(GREET)(blank)_Soybean_Extraction_Residual_oilResidual oil</v>
      </c>
      <c r="B927" s="14" t="s">
        <v>10</v>
      </c>
      <c r="C927" s="14" t="s">
        <v>30</v>
      </c>
      <c r="D927" s="14" t="s">
        <v>194</v>
      </c>
      <c r="E927" s="48" t="s">
        <v>1349</v>
      </c>
      <c r="F927" s="48" t="s">
        <v>31</v>
      </c>
      <c r="G927" s="14" t="b">
        <f>OR(LCI_Table[[#This Row],[Feedstock]]="All",LCI_Table[[#This Row],[Feedstock]]=SelectedFeedstock)</f>
        <v>0</v>
      </c>
      <c r="H927" s="14" t="b">
        <f>OR(LCI_Table[[#This Row],[Conversion]]="All",LCI_Table[[#This Row],[Conversion]]=SelectedConversion)</f>
        <v>1</v>
      </c>
      <c r="I927" s="14" t="b">
        <f>OR(LCI_Table[[#This Row],[Data Set]]="all",LCI_Table[[#This Row],[Data Set]]=SelectedDataSet)</f>
        <v>0</v>
      </c>
      <c r="J927" s="14" t="b">
        <f>OR(LCI_Table[[#This Row],[Technology]]="All",LCI_Table[[#This Row],[Technology]]=SelectedTechnology)</f>
        <v>1</v>
      </c>
      <c r="K927" s="14" t="b">
        <f>OR(LCI_Table[[#This Row],[Data Source]]="All",LCI_Table[[#This Row],[Data Source]]=SelectedDataSource)</f>
        <v>0</v>
      </c>
      <c r="L927" s="14" t="b">
        <f>TRUE</f>
        <v>1</v>
      </c>
      <c r="M927" s="14" t="b">
        <f>(LCI_Table[[#This Row],[Dev Notes]]="Do not display")</f>
        <v>0</v>
      </c>
      <c r="N927" s="14" t="b">
        <f>AND(LCI_Table[[#This Row],[Show Feedstock]:[Conditional]],NOT(LCI_Table[[#This Row],[Hide Row]]))</f>
        <v>0</v>
      </c>
      <c r="O927" s="14" t="b">
        <f>LCI_Table[[#This Row],[GREET1 Name Range]]=""</f>
        <v>0</v>
      </c>
      <c r="P927" s="14" t="s">
        <v>1682</v>
      </c>
      <c r="Q927" s="14" t="s">
        <v>789</v>
      </c>
      <c r="R927" s="14" t="s">
        <v>115</v>
      </c>
      <c r="S927" s="37" cm="1">
        <f t="array" aca="1" ref="S9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1.9259396708142334E-4</v>
      </c>
      <c r="T927" s="346" t="s">
        <v>2112</v>
      </c>
      <c r="U927" s="347">
        <f ca="1">S927*Fuel_Specs!$B$28</f>
        <v>27.03104904061145</v>
      </c>
      <c r="V927" s="347">
        <v>1.9259396708142334E-4</v>
      </c>
      <c r="W927" s="347">
        <v>27.03104904061145</v>
      </c>
      <c r="X927" s="14" t="s">
        <v>5</v>
      </c>
      <c r="Y927" s="346" t="s">
        <v>891</v>
      </c>
      <c r="Z927" s="14" t="str">
        <f>IF(ISBLANK(LCI_Table[[#This Row],[Notes for user]])," ",LCI_Table[[#This Row],[Notes for user]])</f>
        <v xml:space="preserve"> </v>
      </c>
      <c r="AA927" s="14"/>
      <c r="AB927" s="14"/>
      <c r="AC927" s="346">
        <f ca="1">LCI_Table[[#This Row],[Default Calculated Value]]-LCI_Table[[#This Row],[Calculated Value]]</f>
        <v>0</v>
      </c>
    </row>
    <row r="928" spans="1:29" x14ac:dyDescent="0.3">
      <c r="A9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(GREET)(blank)_Soybean_Extraction_DieselDiesel</v>
      </c>
      <c r="B928" s="14" t="s">
        <v>10</v>
      </c>
      <c r="C928" s="14" t="s">
        <v>30</v>
      </c>
      <c r="D928" s="14" t="s">
        <v>194</v>
      </c>
      <c r="E928" s="48" t="s">
        <v>1349</v>
      </c>
      <c r="F928" s="48" t="s">
        <v>31</v>
      </c>
      <c r="G928" s="14" t="b">
        <f>OR(LCI_Table[[#This Row],[Feedstock]]="All",LCI_Table[[#This Row],[Feedstock]]=SelectedFeedstock)</f>
        <v>0</v>
      </c>
      <c r="H928" s="14" t="b">
        <f>OR(LCI_Table[[#This Row],[Conversion]]="All",LCI_Table[[#This Row],[Conversion]]=SelectedConversion)</f>
        <v>1</v>
      </c>
      <c r="I928" s="14" t="b">
        <f>OR(LCI_Table[[#This Row],[Data Set]]="all",LCI_Table[[#This Row],[Data Set]]=SelectedDataSet)</f>
        <v>0</v>
      </c>
      <c r="J928" s="14" t="b">
        <f>OR(LCI_Table[[#This Row],[Technology]]="All",LCI_Table[[#This Row],[Technology]]=SelectedTechnology)</f>
        <v>1</v>
      </c>
      <c r="K928" s="14" t="b">
        <f>OR(LCI_Table[[#This Row],[Data Source]]="All",LCI_Table[[#This Row],[Data Source]]=SelectedDataSource)</f>
        <v>0</v>
      </c>
      <c r="L928" s="14" t="b">
        <f>TRUE</f>
        <v>1</v>
      </c>
      <c r="M928" s="14" t="b">
        <f>(LCI_Table[[#This Row],[Dev Notes]]="Do not display")</f>
        <v>0</v>
      </c>
      <c r="N928" s="14" t="b">
        <f>AND(LCI_Table[[#This Row],[Show Feedstock]:[Conditional]],NOT(LCI_Table[[#This Row],[Hide Row]]))</f>
        <v>0</v>
      </c>
      <c r="O928" s="14" t="b">
        <f>LCI_Table[[#This Row],[GREET1 Name Range]]=""</f>
        <v>0</v>
      </c>
      <c r="P928" s="14" t="s">
        <v>1682</v>
      </c>
      <c r="Q928" s="14" t="s">
        <v>781</v>
      </c>
      <c r="R928" s="14" t="s">
        <v>106</v>
      </c>
      <c r="S928" s="37" cm="1">
        <f t="array" aca="1" ref="S9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1.0522012082760393E-4</v>
      </c>
      <c r="T928" s="346" t="s">
        <v>2112</v>
      </c>
      <c r="U928" s="347">
        <f ca="1">S928*Fuel_Specs!$B$19</f>
        <v>13.515524520305725</v>
      </c>
      <c r="V928" s="347">
        <v>1.0522012082760393E-4</v>
      </c>
      <c r="W928" s="347">
        <v>13.515524520305725</v>
      </c>
      <c r="X928" s="14" t="s">
        <v>5</v>
      </c>
      <c r="Y928" s="346" t="s">
        <v>891</v>
      </c>
      <c r="Z928" s="14" t="str">
        <f>IF(ISBLANK(LCI_Table[[#This Row],[Notes for user]])," ",LCI_Table[[#This Row],[Notes for user]])</f>
        <v xml:space="preserve"> </v>
      </c>
      <c r="AA928" s="14"/>
      <c r="AB928" s="14"/>
      <c r="AC928" s="346">
        <f ca="1">LCI_Table[[#This Row],[Default Calculated Value]]-LCI_Table[[#This Row],[Calculated Value]]</f>
        <v>0</v>
      </c>
    </row>
    <row r="929" spans="1:29" x14ac:dyDescent="0.3">
      <c r="A9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(GREET)(blank)_Soybean_Extraction_GasolineGasoline</v>
      </c>
      <c r="B929" s="14" t="s">
        <v>10</v>
      </c>
      <c r="C929" s="14" t="s">
        <v>30</v>
      </c>
      <c r="D929" s="14" t="s">
        <v>194</v>
      </c>
      <c r="E929" s="48" t="s">
        <v>1349</v>
      </c>
      <c r="F929" s="48" t="s">
        <v>31</v>
      </c>
      <c r="G929" s="14" t="b">
        <f>OR(LCI_Table[[#This Row],[Feedstock]]="All",LCI_Table[[#This Row],[Feedstock]]=SelectedFeedstock)</f>
        <v>0</v>
      </c>
      <c r="H929" s="14" t="b">
        <f>OR(LCI_Table[[#This Row],[Conversion]]="All",LCI_Table[[#This Row],[Conversion]]=SelectedConversion)</f>
        <v>1</v>
      </c>
      <c r="I929" s="14" t="b">
        <f>OR(LCI_Table[[#This Row],[Data Set]]="all",LCI_Table[[#This Row],[Data Set]]=SelectedDataSet)</f>
        <v>0</v>
      </c>
      <c r="J929" s="14" t="b">
        <f>OR(LCI_Table[[#This Row],[Technology]]="All",LCI_Table[[#This Row],[Technology]]=SelectedTechnology)</f>
        <v>1</v>
      </c>
      <c r="K929" s="14" t="b">
        <f>OR(LCI_Table[[#This Row],[Data Source]]="All",LCI_Table[[#This Row],[Data Source]]=SelectedDataSource)</f>
        <v>0</v>
      </c>
      <c r="L929" s="14" t="b">
        <f>TRUE</f>
        <v>1</v>
      </c>
      <c r="M929" s="14" t="b">
        <f>(LCI_Table[[#This Row],[Dev Notes]]="Do not display")</f>
        <v>0</v>
      </c>
      <c r="N929" s="14" t="b">
        <f>AND(LCI_Table[[#This Row],[Show Feedstock]:[Conditional]],NOT(LCI_Table[[#This Row],[Hide Row]]))</f>
        <v>0</v>
      </c>
      <c r="O929" s="14" t="b">
        <f>LCI_Table[[#This Row],[GREET1 Name Range]]=""</f>
        <v>0</v>
      </c>
      <c r="P929" s="14" t="s">
        <v>1682</v>
      </c>
      <c r="Q929" s="14" t="s">
        <v>784</v>
      </c>
      <c r="R929" s="14" t="s">
        <v>107</v>
      </c>
      <c r="S929" s="37" cm="1">
        <f t="array" aca="1" ref="S9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929" s="346" t="s">
        <v>2112</v>
      </c>
      <c r="U929" s="347">
        <f ca="1">S929*Fuel_Specs!$B$15</f>
        <v>0</v>
      </c>
      <c r="V929" s="347">
        <v>0</v>
      </c>
      <c r="W929" s="347">
        <v>0</v>
      </c>
      <c r="X929" s="14" t="s">
        <v>5</v>
      </c>
      <c r="Y929" s="346" t="s">
        <v>891</v>
      </c>
      <c r="Z929" s="14" t="str">
        <f>IF(ISBLANK(LCI_Table[[#This Row],[Notes for user]])," ",LCI_Table[[#This Row],[Notes for user]])</f>
        <v xml:space="preserve"> </v>
      </c>
      <c r="AA929" s="14"/>
      <c r="AB929" s="14"/>
      <c r="AC929" s="346">
        <f ca="1">LCI_Table[[#This Row],[Default Calculated Value]]-LCI_Table[[#This Row],[Calculated Value]]</f>
        <v>0</v>
      </c>
    </row>
    <row r="930" spans="1:29" x14ac:dyDescent="0.3">
      <c r="A9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(GREET)(blank)_Soybean_Extraction_Natural_gasNatural gas</v>
      </c>
      <c r="B930" s="14" t="s">
        <v>10</v>
      </c>
      <c r="C930" s="14" t="s">
        <v>30</v>
      </c>
      <c r="D930" s="14" t="s">
        <v>194</v>
      </c>
      <c r="E930" s="48" t="s">
        <v>1349</v>
      </c>
      <c r="F930" s="48" t="s">
        <v>31</v>
      </c>
      <c r="G930" s="14" t="b">
        <f>OR(LCI_Table[[#This Row],[Feedstock]]="All",LCI_Table[[#This Row],[Feedstock]]=SelectedFeedstock)</f>
        <v>0</v>
      </c>
      <c r="H930" s="14" t="b">
        <f>OR(LCI_Table[[#This Row],[Conversion]]="All",LCI_Table[[#This Row],[Conversion]]=SelectedConversion)</f>
        <v>1</v>
      </c>
      <c r="I930" s="14" t="b">
        <f>OR(LCI_Table[[#This Row],[Data Set]]="all",LCI_Table[[#This Row],[Data Set]]=SelectedDataSet)</f>
        <v>0</v>
      </c>
      <c r="J930" s="14" t="b">
        <f>OR(LCI_Table[[#This Row],[Technology]]="All",LCI_Table[[#This Row],[Technology]]=SelectedTechnology)</f>
        <v>1</v>
      </c>
      <c r="K930" s="14" t="b">
        <f>OR(LCI_Table[[#This Row],[Data Source]]="All",LCI_Table[[#This Row],[Data Source]]=SelectedDataSource)</f>
        <v>0</v>
      </c>
      <c r="L930" s="14" t="b">
        <f>TRUE</f>
        <v>1</v>
      </c>
      <c r="M930" s="14" t="b">
        <f>(LCI_Table[[#This Row],[Dev Notes]]="Do not display")</f>
        <v>0</v>
      </c>
      <c r="N930" s="14" t="b">
        <f>AND(LCI_Table[[#This Row],[Show Feedstock]:[Conditional]],NOT(LCI_Table[[#This Row],[Hide Row]]))</f>
        <v>0</v>
      </c>
      <c r="O930" s="14" t="b">
        <f>LCI_Table[[#This Row],[GREET1 Name Range]]=""</f>
        <v>0</v>
      </c>
      <c r="P930" s="14" t="s">
        <v>1682</v>
      </c>
      <c r="Q930" s="14" t="s">
        <v>788</v>
      </c>
      <c r="R930" s="14" t="s">
        <v>108</v>
      </c>
      <c r="S930" s="37" cm="1">
        <f t="array" aca="1" ref="S9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1.787404056601978</v>
      </c>
      <c r="T930" s="346" t="s">
        <v>2113</v>
      </c>
      <c r="U930" s="347">
        <f ca="1">S930*Fuel_Specs!$B$79</f>
        <v>1757.0181876397444</v>
      </c>
      <c r="V930" s="347">
        <v>1.787404056601978</v>
      </c>
      <c r="W930" s="347">
        <v>1757.0181876397444</v>
      </c>
      <c r="X930" s="14" t="s">
        <v>351</v>
      </c>
      <c r="Y930" s="346" t="s">
        <v>891</v>
      </c>
      <c r="Z930" s="14" t="str">
        <f>IF(ISBLANK(LCI_Table[[#This Row],[Notes for user]])," ",LCI_Table[[#This Row],[Notes for user]])</f>
        <v xml:space="preserve"> </v>
      </c>
      <c r="AA930" s="14"/>
      <c r="AB930" s="14"/>
      <c r="AC930" s="346">
        <f ca="1">LCI_Table[[#This Row],[Default Calculated Value]]-LCI_Table[[#This Row],[Calculated Value]]</f>
        <v>0</v>
      </c>
    </row>
    <row r="931" spans="1:29" x14ac:dyDescent="0.3">
      <c r="A9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(GREET)(blank)_Soybean_Extraction_CoalCoal</v>
      </c>
      <c r="B931" s="14" t="s">
        <v>10</v>
      </c>
      <c r="C931" s="14" t="s">
        <v>30</v>
      </c>
      <c r="D931" s="14" t="s">
        <v>194</v>
      </c>
      <c r="E931" s="48" t="s">
        <v>1349</v>
      </c>
      <c r="F931" s="48" t="s">
        <v>31</v>
      </c>
      <c r="G931" s="14" t="b">
        <f>OR(LCI_Table[[#This Row],[Feedstock]]="All",LCI_Table[[#This Row],[Feedstock]]=SelectedFeedstock)</f>
        <v>0</v>
      </c>
      <c r="H931" s="14" t="b">
        <f>OR(LCI_Table[[#This Row],[Conversion]]="All",LCI_Table[[#This Row],[Conversion]]=SelectedConversion)</f>
        <v>1</v>
      </c>
      <c r="I931" s="14" t="b">
        <f>OR(LCI_Table[[#This Row],[Data Set]]="all",LCI_Table[[#This Row],[Data Set]]=SelectedDataSet)</f>
        <v>0</v>
      </c>
      <c r="J931" s="14" t="b">
        <f>OR(LCI_Table[[#This Row],[Technology]]="All",LCI_Table[[#This Row],[Technology]]=SelectedTechnology)</f>
        <v>1</v>
      </c>
      <c r="K931" s="14" t="b">
        <f>OR(LCI_Table[[#This Row],[Data Source]]="All",LCI_Table[[#This Row],[Data Source]]=SelectedDataSource)</f>
        <v>0</v>
      </c>
      <c r="L931" s="14" t="b">
        <f>TRUE</f>
        <v>1</v>
      </c>
      <c r="M931" s="14" t="b">
        <f>(LCI_Table[[#This Row],[Dev Notes]]="Do not display")</f>
        <v>0</v>
      </c>
      <c r="N931" s="14" t="b">
        <f>AND(LCI_Table[[#This Row],[Show Feedstock]:[Conditional]],NOT(LCI_Table[[#This Row],[Hide Row]]))</f>
        <v>0</v>
      </c>
      <c r="O931" s="14" t="b">
        <f>LCI_Table[[#This Row],[GREET1 Name Range]]=""</f>
        <v>0</v>
      </c>
      <c r="P931" s="14" t="s">
        <v>1682</v>
      </c>
      <c r="Q931" s="14" t="s">
        <v>780</v>
      </c>
      <c r="R931" s="14" t="s">
        <v>9</v>
      </c>
      <c r="S931" s="37" cm="1">
        <f t="array" aca="1" ref="S9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864.99356929956639</v>
      </c>
      <c r="T931" s="346" t="s">
        <v>2114</v>
      </c>
      <c r="U931" s="347">
        <f ca="1">S931</f>
        <v>864.99356929956639</v>
      </c>
      <c r="V931" s="347">
        <v>864.99356929956639</v>
      </c>
      <c r="W931" s="347">
        <v>864.99356929956639</v>
      </c>
      <c r="X931" s="14" t="s">
        <v>117</v>
      </c>
      <c r="Y931" s="346" t="s">
        <v>891</v>
      </c>
      <c r="Z931" s="14" t="str">
        <f>IF(ISBLANK(LCI_Table[[#This Row],[Notes for user]])," ",LCI_Table[[#This Row],[Notes for user]])</f>
        <v xml:space="preserve"> </v>
      </c>
      <c r="AA931" s="14"/>
      <c r="AB931" s="14"/>
      <c r="AC931" s="346">
        <f ca="1">LCI_Table[[#This Row],[Default Calculated Value]]-LCI_Table[[#This Row],[Calculated Value]]</f>
        <v>0</v>
      </c>
    </row>
    <row r="932" spans="1:29" x14ac:dyDescent="0.3">
      <c r="A9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(GREET)(blank)_Soybean_Extraction_LPGLPG</v>
      </c>
      <c r="B932" s="14" t="s">
        <v>10</v>
      </c>
      <c r="C932" s="14" t="s">
        <v>30</v>
      </c>
      <c r="D932" s="14" t="s">
        <v>194</v>
      </c>
      <c r="E932" s="48" t="s">
        <v>1349</v>
      </c>
      <c r="F932" s="48" t="s">
        <v>31</v>
      </c>
      <c r="G932" s="14" t="b">
        <f>OR(LCI_Table[[#This Row],[Feedstock]]="All",LCI_Table[[#This Row],[Feedstock]]=SelectedFeedstock)</f>
        <v>0</v>
      </c>
      <c r="H932" s="14" t="b">
        <f>OR(LCI_Table[[#This Row],[Conversion]]="All",LCI_Table[[#This Row],[Conversion]]=SelectedConversion)</f>
        <v>1</v>
      </c>
      <c r="I932" s="14" t="b">
        <f>OR(LCI_Table[[#This Row],[Data Set]]="all",LCI_Table[[#This Row],[Data Set]]=SelectedDataSet)</f>
        <v>0</v>
      </c>
      <c r="J932" s="14" t="b">
        <f>OR(LCI_Table[[#This Row],[Technology]]="All",LCI_Table[[#This Row],[Technology]]=SelectedTechnology)</f>
        <v>1</v>
      </c>
      <c r="K932" s="14" t="b">
        <f>OR(LCI_Table[[#This Row],[Data Source]]="All",LCI_Table[[#This Row],[Data Source]]=SelectedDataSource)</f>
        <v>0</v>
      </c>
      <c r="L932" s="14" t="b">
        <f>TRUE</f>
        <v>1</v>
      </c>
      <c r="M932" s="14" t="b">
        <f>(LCI_Table[[#This Row],[Dev Notes]]="Do not display")</f>
        <v>0</v>
      </c>
      <c r="N932" s="14" t="b">
        <f>AND(LCI_Table[[#This Row],[Show Feedstock]:[Conditional]],NOT(LCI_Table[[#This Row],[Hide Row]]))</f>
        <v>0</v>
      </c>
      <c r="O932" s="14" t="b">
        <f>LCI_Table[[#This Row],[GREET1 Name Range]]=""</f>
        <v>0</v>
      </c>
      <c r="P932" s="14" t="s">
        <v>1682</v>
      </c>
      <c r="Q932" s="14" t="s">
        <v>786</v>
      </c>
      <c r="R932" s="14" t="s">
        <v>109</v>
      </c>
      <c r="S932" s="37" cm="1">
        <f t="array" aca="1" ref="S9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932" s="346" t="s">
        <v>2112</v>
      </c>
      <c r="U932" s="347">
        <f ca="1">S932*Fuel_Specs!$B$35</f>
        <v>0</v>
      </c>
      <c r="V932" s="347">
        <v>0</v>
      </c>
      <c r="W932" s="347">
        <v>0</v>
      </c>
      <c r="X932" s="14" t="s">
        <v>5</v>
      </c>
      <c r="Y932" s="346" t="s">
        <v>891</v>
      </c>
      <c r="Z932" s="14" t="str">
        <f>IF(ISBLANK(LCI_Table[[#This Row],[Notes for user]])," ",LCI_Table[[#This Row],[Notes for user]])</f>
        <v xml:space="preserve"> </v>
      </c>
      <c r="AA932" s="14"/>
      <c r="AB932" s="14"/>
      <c r="AC932" s="346">
        <f ca="1">LCI_Table[[#This Row],[Default Calculated Value]]-LCI_Table[[#This Row],[Calculated Value]]</f>
        <v>0</v>
      </c>
    </row>
    <row r="933" spans="1:29" x14ac:dyDescent="0.3">
      <c r="A9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(GREET)(blank)_Soybean_Extraction_ElectricityElectricity</v>
      </c>
      <c r="B933" s="14" t="s">
        <v>10</v>
      </c>
      <c r="C933" s="14" t="s">
        <v>30</v>
      </c>
      <c r="D933" s="14" t="s">
        <v>194</v>
      </c>
      <c r="E933" s="48" t="s">
        <v>1349</v>
      </c>
      <c r="F933" s="48" t="s">
        <v>31</v>
      </c>
      <c r="G933" s="14" t="b">
        <f>OR(LCI_Table[[#This Row],[Feedstock]]="All",LCI_Table[[#This Row],[Feedstock]]=SelectedFeedstock)</f>
        <v>0</v>
      </c>
      <c r="H933" s="14" t="b">
        <f>OR(LCI_Table[[#This Row],[Conversion]]="All",LCI_Table[[#This Row],[Conversion]]=SelectedConversion)</f>
        <v>1</v>
      </c>
      <c r="I933" s="14" t="b">
        <f>OR(LCI_Table[[#This Row],[Data Set]]="all",LCI_Table[[#This Row],[Data Set]]=SelectedDataSet)</f>
        <v>0</v>
      </c>
      <c r="J933" s="14" t="b">
        <f>OR(LCI_Table[[#This Row],[Technology]]="All",LCI_Table[[#This Row],[Technology]]=SelectedTechnology)</f>
        <v>1</v>
      </c>
      <c r="K933" s="14" t="b">
        <f>OR(LCI_Table[[#This Row],[Data Source]]="All",LCI_Table[[#This Row],[Data Source]]=SelectedDataSource)</f>
        <v>0</v>
      </c>
      <c r="L933" s="14" t="b">
        <f>TRUE</f>
        <v>1</v>
      </c>
      <c r="M933" s="14" t="b">
        <f>(LCI_Table[[#This Row],[Dev Notes]]="Do not display")</f>
        <v>0</v>
      </c>
      <c r="N933" s="14" t="b">
        <f>AND(LCI_Table[[#This Row],[Show Feedstock]:[Conditional]],NOT(LCI_Table[[#This Row],[Hide Row]]))</f>
        <v>0</v>
      </c>
      <c r="O933" s="14" t="b">
        <f>LCI_Table[[#This Row],[GREET1 Name Range]]=""</f>
        <v>0</v>
      </c>
      <c r="P933" s="14" t="s">
        <v>1682</v>
      </c>
      <c r="Q933" s="14" t="s">
        <v>782</v>
      </c>
      <c r="R933" s="14" t="s">
        <v>110</v>
      </c>
      <c r="S933" s="37" cm="1">
        <f t="array" aca="1" ref="S9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9.1674675865215882E-2</v>
      </c>
      <c r="T933" s="346" t="s">
        <v>2115</v>
      </c>
      <c r="U933" s="347">
        <f ca="1">S933/BTU2kWh</f>
        <v>312.80697900000001</v>
      </c>
      <c r="V933" s="347">
        <v>9.1674675865215882E-2</v>
      </c>
      <c r="W933" s="347">
        <v>312.80697900000001</v>
      </c>
      <c r="X933" s="14" t="s">
        <v>51</v>
      </c>
      <c r="Y933" s="346" t="s">
        <v>891</v>
      </c>
      <c r="Z933" s="14" t="str">
        <f>IF(ISBLANK(LCI_Table[[#This Row],[Notes for user]])," ",LCI_Table[[#This Row],[Notes for user]])</f>
        <v xml:space="preserve"> </v>
      </c>
      <c r="AA933" s="14"/>
      <c r="AB933" s="14"/>
      <c r="AC933" s="346">
        <f ca="1">LCI_Table[[#This Row],[Default Calculated Value]]-LCI_Table[[#This Row],[Calculated Value]]</f>
        <v>0</v>
      </c>
    </row>
    <row r="934" spans="1:29" x14ac:dyDescent="0.3">
      <c r="A9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(GREET)(blank)_Soybean_Extraction_N_hexaneN-hexane</v>
      </c>
      <c r="B934" s="14" t="s">
        <v>10</v>
      </c>
      <c r="C934" s="14" t="s">
        <v>30</v>
      </c>
      <c r="D934" s="14" t="s">
        <v>194</v>
      </c>
      <c r="E934" s="48" t="s">
        <v>1349</v>
      </c>
      <c r="F934" s="48" t="s">
        <v>31</v>
      </c>
      <c r="G934" s="14" t="b">
        <f>OR(LCI_Table[[#This Row],[Feedstock]]="All",LCI_Table[[#This Row],[Feedstock]]=SelectedFeedstock)</f>
        <v>0</v>
      </c>
      <c r="H934" s="14" t="b">
        <f>OR(LCI_Table[[#This Row],[Conversion]]="All",LCI_Table[[#This Row],[Conversion]]=SelectedConversion)</f>
        <v>1</v>
      </c>
      <c r="I934" s="14" t="b">
        <f>OR(LCI_Table[[#This Row],[Data Set]]="all",LCI_Table[[#This Row],[Data Set]]=SelectedDataSet)</f>
        <v>0</v>
      </c>
      <c r="J934" s="14" t="b">
        <f>OR(LCI_Table[[#This Row],[Technology]]="All",LCI_Table[[#This Row],[Technology]]=SelectedTechnology)</f>
        <v>1</v>
      </c>
      <c r="K934" s="14" t="b">
        <f>OR(LCI_Table[[#This Row],[Data Source]]="All",LCI_Table[[#This Row],[Data Source]]=SelectedDataSource)</f>
        <v>0</v>
      </c>
      <c r="L934" s="14" t="b">
        <f>TRUE</f>
        <v>1</v>
      </c>
      <c r="M934" s="14" t="b">
        <f>(LCI_Table[[#This Row],[Dev Notes]]="Do not display")</f>
        <v>0</v>
      </c>
      <c r="N934" s="14" t="b">
        <f>AND(LCI_Table[[#This Row],[Show Feedstock]:[Conditional]],NOT(LCI_Table[[#This Row],[Hide Row]]))</f>
        <v>0</v>
      </c>
      <c r="O934" s="14" t="b">
        <f>LCI_Table[[#This Row],[GREET1 Name Range]]=""</f>
        <v>0</v>
      </c>
      <c r="P934" s="14" t="s">
        <v>1682</v>
      </c>
      <c r="Q934" s="14" t="s">
        <v>787</v>
      </c>
      <c r="R934" s="14" t="s">
        <v>116</v>
      </c>
      <c r="S934" s="37" cm="1">
        <f t="array" aca="1" ref="S9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2.7019999086799689E-7</v>
      </c>
      <c r="T934" s="346" t="s">
        <v>2111</v>
      </c>
      <c r="U934" s="347">
        <f ca="1">S934*Fuel_Specs!$B$58*ton2lb</f>
        <v>56.809440000000002</v>
      </c>
      <c r="V934" s="347">
        <v>2.7019999086799689E-7</v>
      </c>
      <c r="W934" s="347">
        <v>56.809440000000002</v>
      </c>
      <c r="X934" s="14" t="s">
        <v>12</v>
      </c>
      <c r="Y934" s="346" t="s">
        <v>891</v>
      </c>
      <c r="Z934" s="14" t="str">
        <f>IF(ISBLANK(LCI_Table[[#This Row],[Notes for user]])," ",LCI_Table[[#This Row],[Notes for user]])</f>
        <v xml:space="preserve"> </v>
      </c>
      <c r="AA934" s="14"/>
      <c r="AB934" s="14"/>
      <c r="AC934" s="346">
        <f ca="1">LCI_Table[[#This Row],[Default Calculated Value]]-LCI_Table[[#This Row],[Calculated Value]]</f>
        <v>0</v>
      </c>
    </row>
    <row r="935" spans="1:29" x14ac:dyDescent="0.3">
      <c r="A9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(GREET)(blank)_Soybean_Extraction_Forest_residueForest residue</v>
      </c>
      <c r="B935" s="14" t="s">
        <v>10</v>
      </c>
      <c r="C935" s="14" t="s">
        <v>30</v>
      </c>
      <c r="D935" s="14" t="s">
        <v>194</v>
      </c>
      <c r="E935" s="48" t="s">
        <v>1349</v>
      </c>
      <c r="F935" s="48" t="s">
        <v>31</v>
      </c>
      <c r="G935" s="14" t="b">
        <f>OR(LCI_Table[[#This Row],[Feedstock]]="All",LCI_Table[[#This Row],[Feedstock]]=SelectedFeedstock)</f>
        <v>0</v>
      </c>
      <c r="H935" s="14" t="b">
        <f>OR(LCI_Table[[#This Row],[Conversion]]="All",LCI_Table[[#This Row],[Conversion]]=SelectedConversion)</f>
        <v>1</v>
      </c>
      <c r="I935" s="14" t="b">
        <f>OR(LCI_Table[[#This Row],[Data Set]]="all",LCI_Table[[#This Row],[Data Set]]=SelectedDataSet)</f>
        <v>0</v>
      </c>
      <c r="J935" s="14" t="b">
        <f>OR(LCI_Table[[#This Row],[Technology]]="All",LCI_Table[[#This Row],[Technology]]=SelectedTechnology)</f>
        <v>1</v>
      </c>
      <c r="K935" s="14" t="b">
        <f>OR(LCI_Table[[#This Row],[Data Source]]="All",LCI_Table[[#This Row],[Data Source]]=SelectedDataSource)</f>
        <v>0</v>
      </c>
      <c r="L935" s="14" t="b">
        <f>TRUE</f>
        <v>1</v>
      </c>
      <c r="M935" s="14" t="b">
        <f>(LCI_Table[[#This Row],[Dev Notes]]="Do not display")</f>
        <v>0</v>
      </c>
      <c r="N935" s="14" t="b">
        <f>AND(LCI_Table[[#This Row],[Show Feedstock]:[Conditional]],NOT(LCI_Table[[#This Row],[Hide Row]]))</f>
        <v>0</v>
      </c>
      <c r="O935" s="14" t="b">
        <f>LCI_Table[[#This Row],[GREET1 Name Range]]=""</f>
        <v>0</v>
      </c>
      <c r="P935" s="14" t="s">
        <v>1682</v>
      </c>
      <c r="Q935" s="14" t="s">
        <v>783</v>
      </c>
      <c r="R935" s="14" t="s">
        <v>316</v>
      </c>
      <c r="S935" s="37" cm="1">
        <f t="array" aca="1" ref="S9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7.8174125283739516E-10</v>
      </c>
      <c r="T935" s="346" t="s">
        <v>2111</v>
      </c>
      <c r="U935" s="347">
        <f ca="1">S935*Fuel_Specs!$B$100*ton2lb</f>
        <v>27.03104904061145</v>
      </c>
      <c r="V935" s="347">
        <v>7.8174125283739516E-10</v>
      </c>
      <c r="W935" s="347">
        <v>27.03104904061145</v>
      </c>
      <c r="X935" s="14" t="s">
        <v>12</v>
      </c>
      <c r="Y935" s="346" t="s">
        <v>891</v>
      </c>
      <c r="Z935" s="14" t="str">
        <f>IF(ISBLANK(LCI_Table[[#This Row],[Notes for user]])," ",LCI_Table[[#This Row],[Notes for user]])</f>
        <v xml:space="preserve"> </v>
      </c>
      <c r="AA935" s="14"/>
      <c r="AB935" s="14"/>
      <c r="AC935" s="346">
        <f ca="1">LCI_Table[[#This Row],[Default Calculated Value]]-LCI_Table[[#This Row],[Calculated Value]]</f>
        <v>0</v>
      </c>
    </row>
    <row r="936" spans="1:29" x14ac:dyDescent="0.3">
      <c r="A9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(GREET)(blank)_Soybean_Extraction_Landfill_gasLandfill gas</v>
      </c>
      <c r="B936" s="14" t="s">
        <v>10</v>
      </c>
      <c r="C936" s="14" t="s">
        <v>30</v>
      </c>
      <c r="D936" s="14" t="s">
        <v>194</v>
      </c>
      <c r="E936" s="48" t="s">
        <v>1349</v>
      </c>
      <c r="F936" s="48" t="s">
        <v>31</v>
      </c>
      <c r="G936" s="14" t="b">
        <f>OR(LCI_Table[[#This Row],[Feedstock]]="All",LCI_Table[[#This Row],[Feedstock]]=SelectedFeedstock)</f>
        <v>0</v>
      </c>
      <c r="H936" s="14" t="b">
        <f>OR(LCI_Table[[#This Row],[Conversion]]="All",LCI_Table[[#This Row],[Conversion]]=SelectedConversion)</f>
        <v>1</v>
      </c>
      <c r="I936" s="14" t="b">
        <f>OR(LCI_Table[[#This Row],[Data Set]]="all",LCI_Table[[#This Row],[Data Set]]=SelectedDataSet)</f>
        <v>0</v>
      </c>
      <c r="J936" s="14" t="b">
        <f>OR(LCI_Table[[#This Row],[Technology]]="All",LCI_Table[[#This Row],[Technology]]=SelectedTechnology)</f>
        <v>1</v>
      </c>
      <c r="K936" s="14" t="b">
        <f>OR(LCI_Table[[#This Row],[Data Source]]="All",LCI_Table[[#This Row],[Data Source]]=SelectedDataSource)</f>
        <v>0</v>
      </c>
      <c r="L936" s="14" t="b">
        <f>TRUE</f>
        <v>1</v>
      </c>
      <c r="M936" s="14" t="b">
        <f>(LCI_Table[[#This Row],[Dev Notes]]="Do not display")</f>
        <v>0</v>
      </c>
      <c r="N936" s="14" t="b">
        <f>AND(LCI_Table[[#This Row],[Show Feedstock]:[Conditional]],NOT(LCI_Table[[#This Row],[Hide Row]]))</f>
        <v>0</v>
      </c>
      <c r="O936" s="14" t="b">
        <f>LCI_Table[[#This Row],[GREET1 Name Range]]=""</f>
        <v>0</v>
      </c>
      <c r="P936" s="14" t="s">
        <v>1682</v>
      </c>
      <c r="Q936" s="14" t="s">
        <v>785</v>
      </c>
      <c r="R936" s="14" t="s">
        <v>130</v>
      </c>
      <c r="S936" s="37" cm="1">
        <f t="array" aca="1" ref="S9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1.3749261973861369E-2</v>
      </c>
      <c r="T936" s="346" t="s">
        <v>2113</v>
      </c>
      <c r="U936" s="347">
        <f ca="1">S936*Fuel_Specs!$B$79</f>
        <v>13.515524520305725</v>
      </c>
      <c r="V936" s="347">
        <v>1.3749261973861369E-2</v>
      </c>
      <c r="W936" s="347">
        <v>13.515524520305725</v>
      </c>
      <c r="X936" s="14" t="s">
        <v>351</v>
      </c>
      <c r="Y936" s="346" t="s">
        <v>891</v>
      </c>
      <c r="Z936" s="14" t="str">
        <f>IF(ISBLANK(LCI_Table[[#This Row],[Notes for user]])," ",LCI_Table[[#This Row],[Notes for user]])</f>
        <v xml:space="preserve"> </v>
      </c>
      <c r="AA936" s="14"/>
      <c r="AB936" s="14"/>
      <c r="AC936" s="346">
        <f ca="1">LCI_Table[[#This Row],[Default Calculated Value]]-LCI_Table[[#This Row],[Calculated Value]]</f>
        <v>0</v>
      </c>
    </row>
    <row r="937" spans="1:29" x14ac:dyDescent="0.3">
      <c r="A9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(GREET)(blank)_Soybean_Oil_Extraction_Energy_AllocationAllocation factor</v>
      </c>
      <c r="B937" s="14" t="s">
        <v>10</v>
      </c>
      <c r="C937" s="14" t="s">
        <v>30</v>
      </c>
      <c r="D937" s="14" t="s">
        <v>194</v>
      </c>
      <c r="E937" s="48" t="s">
        <v>1349</v>
      </c>
      <c r="F937" s="48" t="s">
        <v>31</v>
      </c>
      <c r="G937" s="14" t="b">
        <f>OR(LCI_Table[[#This Row],[Feedstock]]="All",LCI_Table[[#This Row],[Feedstock]]=SelectedFeedstock)</f>
        <v>0</v>
      </c>
      <c r="H937" s="14" t="b">
        <f>OR(LCI_Table[[#This Row],[Conversion]]="All",LCI_Table[[#This Row],[Conversion]]=SelectedConversion)</f>
        <v>1</v>
      </c>
      <c r="I937" s="14" t="b">
        <f>OR(LCI_Table[[#This Row],[Data Set]]="all",LCI_Table[[#This Row],[Data Set]]=SelectedDataSet)</f>
        <v>0</v>
      </c>
      <c r="J937" s="14" t="b">
        <f>OR(LCI_Table[[#This Row],[Technology]]="All",LCI_Table[[#This Row],[Technology]]=SelectedTechnology)</f>
        <v>1</v>
      </c>
      <c r="K937" s="14" t="b">
        <f>OR(LCI_Table[[#This Row],[Data Source]]="All",LCI_Table[[#This Row],[Data Source]]=SelectedDataSource)</f>
        <v>0</v>
      </c>
      <c r="L937" s="14" t="b">
        <f>TRUE</f>
        <v>1</v>
      </c>
      <c r="M937" s="14" t="b">
        <f>(LCI_Table[[#This Row],[Dev Notes]]="Do not display")</f>
        <v>0</v>
      </c>
      <c r="N937" s="14" t="b">
        <f>AND(LCI_Table[[#This Row],[Show Feedstock]:[Conditional]],NOT(LCI_Table[[#This Row],[Hide Row]]))</f>
        <v>0</v>
      </c>
      <c r="O937" s="14" t="b">
        <f>LCI_Table[[#This Row],[GREET1 Name Range]]=""</f>
        <v>0</v>
      </c>
      <c r="P937" s="14" t="s">
        <v>1682</v>
      </c>
      <c r="Q937" s="14" t="s">
        <v>1105</v>
      </c>
      <c r="R937" s="14" t="s">
        <v>1344</v>
      </c>
      <c r="S937" s="37" cm="1">
        <f t="array" aca="1" ref="S9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43</v>
      </c>
      <c r="T937" s="346" t="s">
        <v>1345</v>
      </c>
      <c r="U937" s="347">
        <f ca="1">LCI_Table[[#This Row],[Dashboard Value]]/100</f>
        <v>0.43</v>
      </c>
      <c r="V937" s="347">
        <v>43</v>
      </c>
      <c r="W937" s="347">
        <v>0.43</v>
      </c>
      <c r="X937" s="349" t="s">
        <v>1345</v>
      </c>
      <c r="Y937" s="346" t="s">
        <v>891</v>
      </c>
      <c r="Z937" s="14" t="str">
        <f>IF(ISBLANK(LCI_Table[[#This Row],[Notes for user]])," ",LCI_Table[[#This Row],[Notes for user]])</f>
        <v>Allocation to soy oil (energy allocation)</v>
      </c>
      <c r="AA937" s="14" t="s">
        <v>1354</v>
      </c>
      <c r="AB937" s="14"/>
      <c r="AC937" s="346">
        <f ca="1">LCI_Table[[#This Row],[Default Calculated Value]]-LCI_Table[[#This Row],[Calculated Value]]</f>
        <v>0</v>
      </c>
    </row>
    <row r="938" spans="1:29" x14ac:dyDescent="0.3">
      <c r="A9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(GREET)(blank)_HEFA_feed_usageSoybean Oil</v>
      </c>
      <c r="B938" s="14" t="s">
        <v>10</v>
      </c>
      <c r="C938" s="14" t="s">
        <v>30</v>
      </c>
      <c r="D938" s="14" t="s">
        <v>194</v>
      </c>
      <c r="E938" s="48" t="s">
        <v>1349</v>
      </c>
      <c r="F938" s="48" t="s">
        <v>31</v>
      </c>
      <c r="G938" s="14" t="b">
        <f>OR(LCI_Table[[#This Row],[Feedstock]]="All",LCI_Table[[#This Row],[Feedstock]]=SelectedFeedstock)</f>
        <v>0</v>
      </c>
      <c r="H938" s="14" t="b">
        <f>OR(LCI_Table[[#This Row],[Conversion]]="All",LCI_Table[[#This Row],[Conversion]]=SelectedConversion)</f>
        <v>1</v>
      </c>
      <c r="I938" s="14" t="b">
        <f>OR(LCI_Table[[#This Row],[Data Set]]="all",LCI_Table[[#This Row],[Data Set]]=SelectedDataSet)</f>
        <v>0</v>
      </c>
      <c r="J938" s="14" t="b">
        <f>OR(LCI_Table[[#This Row],[Technology]]="All",LCI_Table[[#This Row],[Technology]]=SelectedTechnology)</f>
        <v>1</v>
      </c>
      <c r="K938" s="14" t="b">
        <f>OR(LCI_Table[[#This Row],[Data Source]]="All",LCI_Table[[#This Row],[Data Source]]=SelectedDataSource)</f>
        <v>0</v>
      </c>
      <c r="L938" s="14" t="b">
        <f>TRUE</f>
        <v>1</v>
      </c>
      <c r="M938" s="14" t="b">
        <f>(LCI_Table[[#This Row],[Dev Notes]]="Do not display")</f>
        <v>0</v>
      </c>
      <c r="N938" s="14" t="b">
        <f>AND(LCI_Table[[#This Row],[Show Feedstock]:[Conditional]],NOT(LCI_Table[[#This Row],[Hide Row]]))</f>
        <v>0</v>
      </c>
      <c r="O938" s="14" t="b">
        <f>LCI_Table[[#This Row],[GREET1 Name Range]]=""</f>
        <v>0</v>
      </c>
      <c r="P938" s="14" t="s">
        <v>1448</v>
      </c>
      <c r="Q938" s="14" t="s">
        <v>933</v>
      </c>
      <c r="R938" s="14" t="s">
        <v>1903</v>
      </c>
      <c r="S938" s="37" cm="1">
        <f t="array" aca="1" ref="S9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67.105243036314235</v>
      </c>
      <c r="T938" s="346" t="s">
        <v>2119</v>
      </c>
      <c r="U938" s="347">
        <f ca="1">S938*lb2g/Fuel_Specs!$E$48*Fuel_Specs!$B$48*BTU2mmBTU</f>
        <v>1.2722877150689311</v>
      </c>
      <c r="V938" s="347">
        <v>67.105243036314235</v>
      </c>
      <c r="W938" s="347">
        <v>1.2722877150689311</v>
      </c>
      <c r="X938" s="14" t="s">
        <v>12</v>
      </c>
      <c r="Y938" s="346" t="s">
        <v>416</v>
      </c>
      <c r="Z938" s="14" t="str">
        <f>IF(ISBLANK(LCI_Table[[#This Row],[Notes for user]])," ",LCI_Table[[#This Row],[Notes for user]])</f>
        <v>Feedstock input to the jet fuel production process</v>
      </c>
      <c r="AA938" s="358" t="s">
        <v>1346</v>
      </c>
      <c r="AB938" s="14"/>
      <c r="AC938" s="346">
        <f ca="1">LCI_Table[[#This Row],[Default Calculated Value]]-LCI_Table[[#This Row],[Calculated Value]]</f>
        <v>0</v>
      </c>
    </row>
    <row r="939" spans="1:29" x14ac:dyDescent="0.3">
      <c r="A9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(GREET)(blank)_Soybean_HEFA_Natural_gasNatural gas</v>
      </c>
      <c r="B939" s="14" t="s">
        <v>10</v>
      </c>
      <c r="C939" s="14" t="s">
        <v>30</v>
      </c>
      <c r="D939" s="14" t="s">
        <v>194</v>
      </c>
      <c r="E939" s="48" t="s">
        <v>1349</v>
      </c>
      <c r="F939" s="48" t="s">
        <v>31</v>
      </c>
      <c r="G939" s="14" t="b">
        <f>OR(LCI_Table[[#This Row],[Feedstock]]="All",LCI_Table[[#This Row],[Feedstock]]=SelectedFeedstock)</f>
        <v>0</v>
      </c>
      <c r="H939" s="14" t="b">
        <f>OR(LCI_Table[[#This Row],[Conversion]]="All",LCI_Table[[#This Row],[Conversion]]=SelectedConversion)</f>
        <v>1</v>
      </c>
      <c r="I939" s="14" t="b">
        <f>OR(LCI_Table[[#This Row],[Data Set]]="all",LCI_Table[[#This Row],[Data Set]]=SelectedDataSet)</f>
        <v>0</v>
      </c>
      <c r="J939" s="14" t="b">
        <f>OR(LCI_Table[[#This Row],[Technology]]="All",LCI_Table[[#This Row],[Technology]]=SelectedTechnology)</f>
        <v>1</v>
      </c>
      <c r="K939" s="14" t="b">
        <f>OR(LCI_Table[[#This Row],[Data Source]]="All",LCI_Table[[#This Row],[Data Source]]=SelectedDataSource)</f>
        <v>0</v>
      </c>
      <c r="L939" s="14" t="b">
        <f>TRUE</f>
        <v>1</v>
      </c>
      <c r="M939" s="14" t="b">
        <f>(LCI_Table[[#This Row],[Dev Notes]]="Do not display")</f>
        <v>0</v>
      </c>
      <c r="N939" s="14" t="b">
        <f>AND(LCI_Table[[#This Row],[Show Feedstock]:[Conditional]],NOT(LCI_Table[[#This Row],[Hide Row]]))</f>
        <v>0</v>
      </c>
      <c r="O939" s="14" t="b">
        <f>LCI_Table[[#This Row],[GREET1 Name Range]]=""</f>
        <v>0</v>
      </c>
      <c r="P939" s="14" t="s">
        <v>1448</v>
      </c>
      <c r="Q939" s="14" t="s">
        <v>805</v>
      </c>
      <c r="R939" s="14" t="s">
        <v>108</v>
      </c>
      <c r="S939" s="37" cm="1">
        <f t="array" aca="1" ref="S9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83.059355784356256</v>
      </c>
      <c r="T939" s="346" t="s">
        <v>2120</v>
      </c>
      <c r="U939" s="347">
        <f ca="1">S939*lb2g/Fuel_Specs!$E$48*Fuel_Specs!$B$48*Fuel_Specs!$B$79*BTU2mmBTU</f>
        <v>1548.0000000000002</v>
      </c>
      <c r="V939" s="347">
        <v>83.059355784356256</v>
      </c>
      <c r="W939" s="347">
        <v>1548.0000000000002</v>
      </c>
      <c r="X939" s="14" t="s">
        <v>351</v>
      </c>
      <c r="Y939" s="346" t="s">
        <v>416</v>
      </c>
      <c r="Z939" s="14" t="str">
        <f>IF(ISBLANK(LCI_Table[[#This Row],[Notes for user]])," ",LCI_Table[[#This Row],[Notes for user]])</f>
        <v xml:space="preserve"> </v>
      </c>
      <c r="AA939" s="14"/>
      <c r="AB939" s="14"/>
      <c r="AC939" s="346">
        <f ca="1">LCI_Table[[#This Row],[Default Calculated Value]]-LCI_Table[[#This Row],[Calculated Value]]</f>
        <v>0</v>
      </c>
    </row>
    <row r="940" spans="1:29" x14ac:dyDescent="0.3">
      <c r="A9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(GREET)(blank)_Soybean_HEFA_ElectricityGrid Electricity</v>
      </c>
      <c r="B940" s="14" t="s">
        <v>10</v>
      </c>
      <c r="C940" s="14" t="s">
        <v>30</v>
      </c>
      <c r="D940" s="14" t="s">
        <v>194</v>
      </c>
      <c r="E940" s="48" t="s">
        <v>1349</v>
      </c>
      <c r="F940" s="48" t="s">
        <v>31</v>
      </c>
      <c r="G940" s="14" t="b">
        <f>OR(LCI_Table[[#This Row],[Feedstock]]="All",LCI_Table[[#This Row],[Feedstock]]=SelectedFeedstock)</f>
        <v>0</v>
      </c>
      <c r="H940" s="14" t="b">
        <f>OR(LCI_Table[[#This Row],[Conversion]]="All",LCI_Table[[#This Row],[Conversion]]=SelectedConversion)</f>
        <v>1</v>
      </c>
      <c r="I940" s="14" t="b">
        <f>OR(LCI_Table[[#This Row],[Data Set]]="all",LCI_Table[[#This Row],[Data Set]]=SelectedDataSet)</f>
        <v>0</v>
      </c>
      <c r="J940" s="14" t="b">
        <f>OR(LCI_Table[[#This Row],[Technology]]="All",LCI_Table[[#This Row],[Technology]]=SelectedTechnology)</f>
        <v>1</v>
      </c>
      <c r="K940" s="14" t="b">
        <f>OR(LCI_Table[[#This Row],[Data Source]]="All",LCI_Table[[#This Row],[Data Source]]=SelectedDataSource)</f>
        <v>0</v>
      </c>
      <c r="L940" s="14" t="b">
        <f>TRUE</f>
        <v>1</v>
      </c>
      <c r="M940" s="14" t="b">
        <f>(LCI_Table[[#This Row],[Dev Notes]]="Do not display")</f>
        <v>0</v>
      </c>
      <c r="N940" s="14" t="b">
        <f>AND(LCI_Table[[#This Row],[Show Feedstock]:[Conditional]],NOT(LCI_Table[[#This Row],[Hide Row]]))</f>
        <v>0</v>
      </c>
      <c r="O940" s="14" t="b">
        <f>LCI_Table[[#This Row],[GREET1 Name Range]]=""</f>
        <v>0</v>
      </c>
      <c r="P940" s="14" t="s">
        <v>1448</v>
      </c>
      <c r="Q940" s="14" t="s">
        <v>803</v>
      </c>
      <c r="R940" s="14" t="s">
        <v>1684</v>
      </c>
      <c r="S940" s="37" cm="1">
        <f t="array" aca="1" ref="S9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1.3556377760028697</v>
      </c>
      <c r="T940" s="346" t="s">
        <v>2121</v>
      </c>
      <c r="U940" s="347">
        <f ca="1">S940*lb2g/Fuel_Specs!$E$48*Fuel_Specs!$B$48/BTU2kWh*BTU2mmBTU</f>
        <v>87.699999999999974</v>
      </c>
      <c r="V940" s="347">
        <v>1.3556377760028697</v>
      </c>
      <c r="W940" s="347">
        <v>87.699999999999974</v>
      </c>
      <c r="X940" s="14" t="s">
        <v>51</v>
      </c>
      <c r="Y940" s="346" t="s">
        <v>416</v>
      </c>
      <c r="Z940" s="14" t="str">
        <f>IF(ISBLANK(LCI_Table[[#This Row],[Notes for user]])," ",LCI_Table[[#This Row],[Notes for user]])</f>
        <v xml:space="preserve"> </v>
      </c>
      <c r="AA940" s="14"/>
      <c r="AB940" s="14"/>
      <c r="AC940" s="346">
        <f ca="1">LCI_Table[[#This Row],[Default Calculated Value]]-LCI_Table[[#This Row],[Calculated Value]]</f>
        <v>0</v>
      </c>
    </row>
    <row r="941" spans="1:29" x14ac:dyDescent="0.3">
      <c r="A9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(GREET)(blank)_Soybean_HEFA_H2Hydrogen</v>
      </c>
      <c r="B941" s="14" t="s">
        <v>10</v>
      </c>
      <c r="C941" s="14" t="s">
        <v>30</v>
      </c>
      <c r="D941" s="14" t="s">
        <v>194</v>
      </c>
      <c r="E941" s="48" t="s">
        <v>1349</v>
      </c>
      <c r="F941" s="48" t="s">
        <v>31</v>
      </c>
      <c r="G941" s="14" t="b">
        <f>OR(LCI_Table[[#This Row],[Feedstock]]="All",LCI_Table[[#This Row],[Feedstock]]=SelectedFeedstock)</f>
        <v>0</v>
      </c>
      <c r="H941" s="14" t="b">
        <f>OR(LCI_Table[[#This Row],[Conversion]]="All",LCI_Table[[#This Row],[Conversion]]=SelectedConversion)</f>
        <v>1</v>
      </c>
      <c r="I941" s="14" t="b">
        <f>OR(LCI_Table[[#This Row],[Data Set]]="all",LCI_Table[[#This Row],[Data Set]]=SelectedDataSet)</f>
        <v>0</v>
      </c>
      <c r="J941" s="14" t="b">
        <f>OR(LCI_Table[[#This Row],[Technology]]="All",LCI_Table[[#This Row],[Technology]]=SelectedTechnology)</f>
        <v>1</v>
      </c>
      <c r="K941" s="14" t="b">
        <f>OR(LCI_Table[[#This Row],[Data Source]]="All",LCI_Table[[#This Row],[Data Source]]=SelectedDataSource)</f>
        <v>0</v>
      </c>
      <c r="L941" s="14" t="b">
        <f>TRUE</f>
        <v>1</v>
      </c>
      <c r="M941" s="14" t="b">
        <f>(LCI_Table[[#This Row],[Dev Notes]]="Do not display")</f>
        <v>0</v>
      </c>
      <c r="N941" s="14" t="b">
        <f>AND(LCI_Table[[#This Row],[Show Feedstock]:[Conditional]],NOT(LCI_Table[[#This Row],[Hide Row]]))</f>
        <v>0</v>
      </c>
      <c r="O941" s="14" t="b">
        <f>LCI_Table[[#This Row],[GREET1 Name Range]]=""</f>
        <v>0</v>
      </c>
      <c r="P941" s="14" t="s">
        <v>1448</v>
      </c>
      <c r="Q941" s="14" t="s">
        <v>804</v>
      </c>
      <c r="R941" s="14" t="s">
        <v>73</v>
      </c>
      <c r="S941" s="37" cm="1">
        <f t="array" aca="1" ref="S9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315.73508405447421</v>
      </c>
      <c r="T941" s="346" t="s">
        <v>2120</v>
      </c>
      <c r="U941" s="347">
        <f ca="1">S941*lb2g/Fuel_Specs!$E$48*Fuel_Specs!$B$48*Fuel_Specs!$B$81*BTU2mmBTU</f>
        <v>1736.0000000000007</v>
      </c>
      <c r="V941" s="347">
        <v>315.73508405447421</v>
      </c>
      <c r="W941" s="347">
        <v>1736.0000000000007</v>
      </c>
      <c r="X941" s="14" t="s">
        <v>351</v>
      </c>
      <c r="Y941" s="346" t="s">
        <v>416</v>
      </c>
      <c r="Z941" s="14" t="str">
        <f>IF(ISBLANK(LCI_Table[[#This Row],[Notes for user]])," ",LCI_Table[[#This Row],[Notes for user]])</f>
        <v xml:space="preserve"> </v>
      </c>
      <c r="AA941" s="14"/>
      <c r="AB941" s="14"/>
      <c r="AC941" s="346">
        <f ca="1">LCI_Table[[#This Row],[Default Calculated Value]]-LCI_Table[[#This Row],[Calculated Value]]</f>
        <v>0</v>
      </c>
    </row>
    <row r="942" spans="1:29" x14ac:dyDescent="0.3">
      <c r="A9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SoybeanHEFAICAOUS (GREET)(blank)_Soybean_Oil_HEFA_Energy_AllocationAllocation factor</v>
      </c>
      <c r="B942" s="14" t="s">
        <v>10</v>
      </c>
      <c r="C942" s="14" t="s">
        <v>30</v>
      </c>
      <c r="D942" s="14" t="s">
        <v>194</v>
      </c>
      <c r="E942" s="48" t="s">
        <v>1349</v>
      </c>
      <c r="F942" s="48" t="s">
        <v>31</v>
      </c>
      <c r="G942" s="14" t="b">
        <f>OR(LCI_Table[[#This Row],[Feedstock]]="All",LCI_Table[[#This Row],[Feedstock]]=SelectedFeedstock)</f>
        <v>0</v>
      </c>
      <c r="H942" s="14" t="b">
        <f>OR(LCI_Table[[#This Row],[Conversion]]="All",LCI_Table[[#This Row],[Conversion]]=SelectedConversion)</f>
        <v>1</v>
      </c>
      <c r="I942" s="14" t="b">
        <f>OR(LCI_Table[[#This Row],[Data Set]]="all",LCI_Table[[#This Row],[Data Set]]=SelectedDataSet)</f>
        <v>0</v>
      </c>
      <c r="J942" s="14" t="b">
        <f>OR(LCI_Table[[#This Row],[Technology]]="All",LCI_Table[[#This Row],[Technology]]=SelectedTechnology)</f>
        <v>1</v>
      </c>
      <c r="K942" s="14" t="b">
        <f>OR(LCI_Table[[#This Row],[Data Source]]="All",LCI_Table[[#This Row],[Data Source]]=SelectedDataSource)</f>
        <v>0</v>
      </c>
      <c r="L942" s="14" t="b">
        <f>TRUE</f>
        <v>1</v>
      </c>
      <c r="M942" s="14" t="b">
        <f>(LCI_Table[[#This Row],[Dev Notes]]="Do not display")</f>
        <v>0</v>
      </c>
      <c r="N942" s="14" t="b">
        <f>AND(LCI_Table[[#This Row],[Show Feedstock]:[Conditional]],NOT(LCI_Table[[#This Row],[Hide Row]]))</f>
        <v>0</v>
      </c>
      <c r="O942" s="14" t="b">
        <f>LCI_Table[[#This Row],[GREET1 Name Range]]=""</f>
        <v>0</v>
      </c>
      <c r="P942" s="14" t="s">
        <v>1448</v>
      </c>
      <c r="Q942" s="14" t="s">
        <v>1115</v>
      </c>
      <c r="R942" s="14" t="s">
        <v>1344</v>
      </c>
      <c r="S942" s="37" cm="1">
        <f t="array" aca="1" ref="S9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91.298522130594534</v>
      </c>
      <c r="T942" s="350" t="s">
        <v>1345</v>
      </c>
      <c r="U942" s="351">
        <f ca="1">LCI_Table[[#This Row],[Dashboard Value]]/100</f>
        <v>0.91298522130594539</v>
      </c>
      <c r="V942" s="351">
        <v>91.298522130594534</v>
      </c>
      <c r="W942" s="351">
        <v>0.91298522130594539</v>
      </c>
      <c r="X942" s="349" t="s">
        <v>1345</v>
      </c>
      <c r="Y942" s="346" t="s">
        <v>416</v>
      </c>
      <c r="Z942" s="14" t="str">
        <f>IF(ISBLANK(LCI_Table[[#This Row],[Notes for user]])," ",LCI_Table[[#This Row],[Notes for user]])</f>
        <v>Allocation to the main distillate products (energy allocation)</v>
      </c>
      <c r="AA942" s="14" t="s">
        <v>1351</v>
      </c>
      <c r="AB942" s="346"/>
      <c r="AC942" s="346">
        <f ca="1">LCI_Table[[#This Row],[Default Calculated Value]]-LCI_Table[[#This Row],[Calculated Value]]</f>
        <v>0</v>
      </c>
    </row>
    <row r="943" spans="1:29" x14ac:dyDescent="0.3">
      <c r="A9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dash_SoybeanHEFAICAOBioGrace (EU)(blank)_Yield_Farming</v>
      </c>
      <c r="B943" s="48" t="s">
        <v>10</v>
      </c>
      <c r="C943" s="48" t="s">
        <v>30</v>
      </c>
      <c r="D943" s="48" t="s">
        <v>194</v>
      </c>
      <c r="E943" s="48" t="s">
        <v>368</v>
      </c>
      <c r="F943" s="48" t="s">
        <v>31</v>
      </c>
      <c r="G943" s="14" t="b">
        <f>OR(LCI_Table[[#This Row],[Feedstock]]="All",LCI_Table[[#This Row],[Feedstock]]=SelectedFeedstock)</f>
        <v>0</v>
      </c>
      <c r="H943" s="14" t="b">
        <f>OR(LCI_Table[[#This Row],[Conversion]]="All",LCI_Table[[#This Row],[Conversion]]=SelectedConversion)</f>
        <v>1</v>
      </c>
      <c r="I943" s="14" t="b">
        <f>OR(LCI_Table[[#This Row],[Data Set]]="all",LCI_Table[[#This Row],[Data Set]]=SelectedDataSet)</f>
        <v>0</v>
      </c>
      <c r="J943" s="14" t="b">
        <f>OR(LCI_Table[[#This Row],[Technology]]="All",LCI_Table[[#This Row],[Technology]]=SelectedTechnology)</f>
        <v>1</v>
      </c>
      <c r="K943" s="14" t="b">
        <f>OR(LCI_Table[[#This Row],[Data Source]]="All",LCI_Table[[#This Row],[Data Source]]=SelectedDataSource)</f>
        <v>0</v>
      </c>
      <c r="L943" s="14" t="b">
        <f>TRUE</f>
        <v>1</v>
      </c>
      <c r="M943" s="14" t="b">
        <f>(LCI_Table[[#This Row],[Dev Notes]]="Do not display")</f>
        <v>0</v>
      </c>
      <c r="N943" s="14" t="b">
        <f>AND(LCI_Table[[#This Row],[Show Feedstock]:[Conditional]],NOT(LCI_Table[[#This Row],[Hide Row]]))</f>
        <v>0</v>
      </c>
      <c r="O943" s="14" t="b">
        <f>LCI_Table[[#This Row],[GREET1 Name Range]]=""</f>
        <v>1</v>
      </c>
      <c r="P943" s="48" t="s">
        <v>14</v>
      </c>
      <c r="Q943" s="14" t="s">
        <v>361</v>
      </c>
      <c r="R943" s="48" t="s">
        <v>200</v>
      </c>
      <c r="S943" s="37" cm="1">
        <f t="array" aca="1" ref="S9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50.6</v>
      </c>
      <c r="T943" s="346" t="s">
        <v>2108</v>
      </c>
      <c r="U943" s="344"/>
      <c r="V943" s="344">
        <v>50.6</v>
      </c>
      <c r="W943" s="344"/>
      <c r="X943" s="48" t="s">
        <v>11</v>
      </c>
      <c r="Y943" s="346" t="s">
        <v>413</v>
      </c>
      <c r="Z943" s="14" t="str">
        <f>IF(ISBLANK(LCI_Table[[#This Row],[Notes for user]])," ",LCI_Table[[#This Row],[Notes for user]])</f>
        <v xml:space="preserve"> </v>
      </c>
      <c r="AA943" s="48"/>
      <c r="AB943" s="345"/>
      <c r="AC943" s="346">
        <f>LCI_Table[[#This Row],[Default Calculated Value]]-LCI_Table[[#This Row],[Calculated Value]]</f>
        <v>0</v>
      </c>
    </row>
    <row r="944" spans="1:29" x14ac:dyDescent="0.3">
      <c r="A9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(EU)(blank)_Soybean_Farming_Nitrogen_fertilizerNitrogen fertilizer</v>
      </c>
      <c r="B944" s="14" t="s">
        <v>10</v>
      </c>
      <c r="C944" s="14" t="s">
        <v>30</v>
      </c>
      <c r="D944" s="14" t="s">
        <v>194</v>
      </c>
      <c r="E944" s="14" t="s">
        <v>368</v>
      </c>
      <c r="F944" s="48" t="s">
        <v>31</v>
      </c>
      <c r="G944" s="14" t="b">
        <f>OR(LCI_Table[[#This Row],[Feedstock]]="All",LCI_Table[[#This Row],[Feedstock]]=SelectedFeedstock)</f>
        <v>0</v>
      </c>
      <c r="H944" s="14" t="b">
        <f>OR(LCI_Table[[#This Row],[Conversion]]="All",LCI_Table[[#This Row],[Conversion]]=SelectedConversion)</f>
        <v>1</v>
      </c>
      <c r="I944" s="14" t="b">
        <f>OR(LCI_Table[[#This Row],[Data Set]]="all",LCI_Table[[#This Row],[Data Set]]=SelectedDataSet)</f>
        <v>0</v>
      </c>
      <c r="J944" s="14" t="b">
        <f>OR(LCI_Table[[#This Row],[Technology]]="All",LCI_Table[[#This Row],[Technology]]=SelectedTechnology)</f>
        <v>1</v>
      </c>
      <c r="K944" s="14" t="b">
        <f>OR(LCI_Table[[#This Row],[Data Source]]="All",LCI_Table[[#This Row],[Data Source]]=SelectedDataSource)</f>
        <v>0</v>
      </c>
      <c r="L944" s="14" t="b">
        <f>TRUE</f>
        <v>1</v>
      </c>
      <c r="M944" s="14" t="b">
        <f>(LCI_Table[[#This Row],[Dev Notes]]="Do not display")</f>
        <v>0</v>
      </c>
      <c r="N944" s="14" t="b">
        <f>AND(LCI_Table[[#This Row],[Show Feedstock]:[Conditional]],NOT(LCI_Table[[#This Row],[Hide Row]]))</f>
        <v>0</v>
      </c>
      <c r="O944" s="14" t="b">
        <f>LCI_Table[[#This Row],[GREET1 Name Range]]=""</f>
        <v>0</v>
      </c>
      <c r="P944" s="14" t="s">
        <v>14</v>
      </c>
      <c r="Q944" s="14" t="s">
        <v>800</v>
      </c>
      <c r="R944" s="14" t="s">
        <v>111</v>
      </c>
      <c r="S944" s="37" cm="1">
        <f t="array" aca="1" ref="S9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5.7750753244364228</v>
      </c>
      <c r="T944" s="346" t="s">
        <v>1485</v>
      </c>
      <c r="U944" s="347">
        <f ca="1">S944/g2lb/S943</f>
        <v>51.769369631217998</v>
      </c>
      <c r="V944" s="347">
        <v>5.7750753244364228</v>
      </c>
      <c r="W944" s="347">
        <v>51.769369631217998</v>
      </c>
      <c r="X944" s="14" t="s">
        <v>12</v>
      </c>
      <c r="Y944" s="346" t="s">
        <v>413</v>
      </c>
      <c r="Z944" s="14" t="str">
        <f>IF(ISBLANK(LCI_Table[[#This Row],[Notes for user]])," ",LCI_Table[[#This Row],[Notes for user]])</f>
        <v xml:space="preserve"> </v>
      </c>
      <c r="AA944" s="14"/>
      <c r="AB944" s="14"/>
      <c r="AC944" s="346">
        <f ca="1">LCI_Table[[#This Row],[Default Calculated Value]]-LCI_Table[[#This Row],[Calculated Value]]</f>
        <v>0</v>
      </c>
    </row>
    <row r="945" spans="1:29" x14ac:dyDescent="0.3">
      <c r="A9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(EU)(blank)_Soybean_Farming_P2O5P2O5</v>
      </c>
      <c r="B945" s="14" t="s">
        <v>10</v>
      </c>
      <c r="C945" s="14" t="s">
        <v>30</v>
      </c>
      <c r="D945" s="14" t="s">
        <v>194</v>
      </c>
      <c r="E945" s="14" t="s">
        <v>368</v>
      </c>
      <c r="F945" s="48" t="s">
        <v>31</v>
      </c>
      <c r="G945" s="14" t="b">
        <f>OR(LCI_Table[[#This Row],[Feedstock]]="All",LCI_Table[[#This Row],[Feedstock]]=SelectedFeedstock)</f>
        <v>0</v>
      </c>
      <c r="H945" s="14" t="b">
        <f>OR(LCI_Table[[#This Row],[Conversion]]="All",LCI_Table[[#This Row],[Conversion]]=SelectedConversion)</f>
        <v>1</v>
      </c>
      <c r="I945" s="14" t="b">
        <f>OR(LCI_Table[[#This Row],[Data Set]]="all",LCI_Table[[#This Row],[Data Set]]=SelectedDataSet)</f>
        <v>0</v>
      </c>
      <c r="J945" s="14" t="b">
        <f>OR(LCI_Table[[#This Row],[Technology]]="All",LCI_Table[[#This Row],[Technology]]=SelectedTechnology)</f>
        <v>1</v>
      </c>
      <c r="K945" s="14" t="b">
        <f>OR(LCI_Table[[#This Row],[Data Source]]="All",LCI_Table[[#This Row],[Data Source]]=SelectedDataSource)</f>
        <v>0</v>
      </c>
      <c r="L945" s="14" t="b">
        <f>TRUE</f>
        <v>1</v>
      </c>
      <c r="M945" s="14" t="b">
        <f>(LCI_Table[[#This Row],[Dev Notes]]="Do not display")</f>
        <v>0</v>
      </c>
      <c r="N945" s="14" t="b">
        <f>AND(LCI_Table[[#This Row],[Show Feedstock]:[Conditional]],NOT(LCI_Table[[#This Row],[Hide Row]]))</f>
        <v>0</v>
      </c>
      <c r="O945" s="14" t="b">
        <f>LCI_Table[[#This Row],[GREET1 Name Range]]=""</f>
        <v>0</v>
      </c>
      <c r="P945" s="14" t="s">
        <v>14</v>
      </c>
      <c r="Q945" s="14" t="s">
        <v>801</v>
      </c>
      <c r="R945" s="14" t="s">
        <v>112</v>
      </c>
      <c r="S945" s="37" cm="1">
        <f t="array" aca="1" ref="S9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24.655129269709349</v>
      </c>
      <c r="T945" s="346" t="s">
        <v>1485</v>
      </c>
      <c r="U945" s="347">
        <f ca="1">S945/g2lb/S943</f>
        <v>221.0153857332769</v>
      </c>
      <c r="V945" s="347">
        <v>24.655129269709349</v>
      </c>
      <c r="W945" s="347">
        <v>221.0153857332769</v>
      </c>
      <c r="X945" s="14" t="s">
        <v>12</v>
      </c>
      <c r="Y945" s="346" t="s">
        <v>413</v>
      </c>
      <c r="Z945" s="14" t="str">
        <f>IF(ISBLANK(LCI_Table[[#This Row],[Notes for user]])," ",LCI_Table[[#This Row],[Notes for user]])</f>
        <v xml:space="preserve"> </v>
      </c>
      <c r="AA945" s="14"/>
      <c r="AB945" s="14"/>
      <c r="AC945" s="346">
        <f ca="1">LCI_Table[[#This Row],[Default Calculated Value]]-LCI_Table[[#This Row],[Calculated Value]]</f>
        <v>0</v>
      </c>
    </row>
    <row r="946" spans="1:29" x14ac:dyDescent="0.3">
      <c r="A9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(EU)(blank)_Soybean_Farming_K2OK2O</v>
      </c>
      <c r="B946" s="14" t="s">
        <v>10</v>
      </c>
      <c r="C946" s="14" t="s">
        <v>30</v>
      </c>
      <c r="D946" s="14" t="s">
        <v>194</v>
      </c>
      <c r="E946" s="14" t="s">
        <v>368</v>
      </c>
      <c r="F946" s="48" t="s">
        <v>31</v>
      </c>
      <c r="G946" s="14" t="b">
        <f>OR(LCI_Table[[#This Row],[Feedstock]]="All",LCI_Table[[#This Row],[Feedstock]]=SelectedFeedstock)</f>
        <v>0</v>
      </c>
      <c r="H946" s="14" t="b">
        <f>OR(LCI_Table[[#This Row],[Conversion]]="All",LCI_Table[[#This Row],[Conversion]]=SelectedConversion)</f>
        <v>1</v>
      </c>
      <c r="I946" s="14" t="b">
        <f>OR(LCI_Table[[#This Row],[Data Set]]="all",LCI_Table[[#This Row],[Data Set]]=SelectedDataSet)</f>
        <v>0</v>
      </c>
      <c r="J946" s="14" t="b">
        <f>OR(LCI_Table[[#This Row],[Technology]]="All",LCI_Table[[#This Row],[Technology]]=SelectedTechnology)</f>
        <v>1</v>
      </c>
      <c r="K946" s="14" t="b">
        <f>OR(LCI_Table[[#This Row],[Data Source]]="All",LCI_Table[[#This Row],[Data Source]]=SelectedDataSource)</f>
        <v>0</v>
      </c>
      <c r="L946" s="14" t="b">
        <f>TRUE</f>
        <v>1</v>
      </c>
      <c r="M946" s="14" t="b">
        <f>(LCI_Table[[#This Row],[Dev Notes]]="Do not display")</f>
        <v>0</v>
      </c>
      <c r="N946" s="14" t="b">
        <f>AND(LCI_Table[[#This Row],[Show Feedstock]:[Conditional]],NOT(LCI_Table[[#This Row],[Hide Row]]))</f>
        <v>0</v>
      </c>
      <c r="O946" s="14" t="b">
        <f>LCI_Table[[#This Row],[GREET1 Name Range]]=""</f>
        <v>0</v>
      </c>
      <c r="P946" s="14" t="s">
        <v>14</v>
      </c>
      <c r="Q946" s="14" t="s">
        <v>797</v>
      </c>
      <c r="R946" s="14" t="s">
        <v>113</v>
      </c>
      <c r="S946" s="37" cm="1">
        <f t="array" aca="1" ref="S9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16.769930269036536</v>
      </c>
      <c r="T946" s="346" t="s">
        <v>1485</v>
      </c>
      <c r="U946" s="347">
        <f ca="1">S946/g2lb/S943</f>
        <v>150.33028489065225</v>
      </c>
      <c r="V946" s="347">
        <v>16.769930269036536</v>
      </c>
      <c r="W946" s="347">
        <v>150.33028489065225</v>
      </c>
      <c r="X946" s="14" t="s">
        <v>12</v>
      </c>
      <c r="Y946" s="346" t="s">
        <v>413</v>
      </c>
      <c r="Z946" s="14" t="str">
        <f>IF(ISBLANK(LCI_Table[[#This Row],[Notes for user]])," ",LCI_Table[[#This Row],[Notes for user]])</f>
        <v xml:space="preserve"> </v>
      </c>
      <c r="AA946" s="14"/>
      <c r="AB946" s="14"/>
      <c r="AC946" s="346">
        <f ca="1">LCI_Table[[#This Row],[Default Calculated Value]]-LCI_Table[[#This Row],[Calculated Value]]</f>
        <v>0</v>
      </c>
    </row>
    <row r="947" spans="1:29" x14ac:dyDescent="0.3">
      <c r="A9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(EU)(blank)_Soybean_Farming_CaCO3CaCO3</v>
      </c>
      <c r="B947" s="14" t="s">
        <v>10</v>
      </c>
      <c r="C947" s="14" t="s">
        <v>30</v>
      </c>
      <c r="D947" s="14" t="s">
        <v>194</v>
      </c>
      <c r="E947" s="14" t="s">
        <v>368</v>
      </c>
      <c r="F947" s="48" t="s">
        <v>31</v>
      </c>
      <c r="G947" s="14" t="b">
        <f>OR(LCI_Table[[#This Row],[Feedstock]]="All",LCI_Table[[#This Row],[Feedstock]]=SelectedFeedstock)</f>
        <v>0</v>
      </c>
      <c r="H947" s="14" t="b">
        <f>OR(LCI_Table[[#This Row],[Conversion]]="All",LCI_Table[[#This Row],[Conversion]]=SelectedConversion)</f>
        <v>1</v>
      </c>
      <c r="I947" s="14" t="b">
        <f>OR(LCI_Table[[#This Row],[Data Set]]="all",LCI_Table[[#This Row],[Data Set]]=SelectedDataSet)</f>
        <v>0</v>
      </c>
      <c r="J947" s="14" t="b">
        <f>OR(LCI_Table[[#This Row],[Technology]]="All",LCI_Table[[#This Row],[Technology]]=SelectedTechnology)</f>
        <v>1</v>
      </c>
      <c r="K947" s="14" t="b">
        <f>OR(LCI_Table[[#This Row],[Data Source]]="All",LCI_Table[[#This Row],[Data Source]]=SelectedDataSource)</f>
        <v>0</v>
      </c>
      <c r="L947" s="14" t="b">
        <f>TRUE</f>
        <v>1</v>
      </c>
      <c r="M947" s="14" t="b">
        <f>(LCI_Table[[#This Row],[Dev Notes]]="Do not display")</f>
        <v>0</v>
      </c>
      <c r="N947" s="14" t="b">
        <f>AND(LCI_Table[[#This Row],[Show Feedstock]:[Conditional]],NOT(LCI_Table[[#This Row],[Hide Row]]))</f>
        <v>0</v>
      </c>
      <c r="O947" s="14" t="b">
        <f>LCI_Table[[#This Row],[GREET1 Name Range]]=""</f>
        <v>0</v>
      </c>
      <c r="P947" s="14" t="s">
        <v>14</v>
      </c>
      <c r="Q947" s="14" t="s">
        <v>790</v>
      </c>
      <c r="R947" s="14" t="s">
        <v>141</v>
      </c>
      <c r="S947" s="37" cm="1">
        <f t="array" aca="1" ref="S9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171.25319519771085</v>
      </c>
      <c r="T947" s="346" t="s">
        <v>1485</v>
      </c>
      <c r="U947" s="347">
        <f ca="1">S947/g2lb/S943</f>
        <v>1535.1609225257337</v>
      </c>
      <c r="V947" s="347">
        <v>171.25319519771085</v>
      </c>
      <c r="W947" s="347">
        <v>1535.1609225257337</v>
      </c>
      <c r="X947" s="14" t="s">
        <v>12</v>
      </c>
      <c r="Y947" s="346" t="s">
        <v>413</v>
      </c>
      <c r="Z947" s="14" t="str">
        <f>IF(ISBLANK(LCI_Table[[#This Row],[Notes for user]])," ",LCI_Table[[#This Row],[Notes for user]])</f>
        <v xml:space="preserve"> </v>
      </c>
      <c r="AA947" s="14"/>
      <c r="AB947" s="14"/>
      <c r="AC947" s="346">
        <f ca="1">LCI_Table[[#This Row],[Default Calculated Value]]-LCI_Table[[#This Row],[Calculated Value]]</f>
        <v>0</v>
      </c>
    </row>
    <row r="948" spans="1:29" x14ac:dyDescent="0.3">
      <c r="A9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(EU)(blank)_Soybean_Farming_HerbicidesHerbicides</v>
      </c>
      <c r="B948" s="14" t="s">
        <v>10</v>
      </c>
      <c r="C948" s="14" t="s">
        <v>30</v>
      </c>
      <c r="D948" s="14" t="s">
        <v>194</v>
      </c>
      <c r="E948" s="14" t="s">
        <v>368</v>
      </c>
      <c r="F948" s="48" t="s">
        <v>31</v>
      </c>
      <c r="G948" s="14" t="b">
        <f>OR(LCI_Table[[#This Row],[Feedstock]]="All",LCI_Table[[#This Row],[Feedstock]]=SelectedFeedstock)</f>
        <v>0</v>
      </c>
      <c r="H948" s="14" t="b">
        <f>OR(LCI_Table[[#This Row],[Conversion]]="All",LCI_Table[[#This Row],[Conversion]]=SelectedConversion)</f>
        <v>1</v>
      </c>
      <c r="I948" s="14" t="b">
        <f>OR(LCI_Table[[#This Row],[Data Set]]="all",LCI_Table[[#This Row],[Data Set]]=SelectedDataSet)</f>
        <v>0</v>
      </c>
      <c r="J948" s="14" t="b">
        <f>OR(LCI_Table[[#This Row],[Technology]]="All",LCI_Table[[#This Row],[Technology]]=SelectedTechnology)</f>
        <v>1</v>
      </c>
      <c r="K948" s="14" t="b">
        <f>OR(LCI_Table[[#This Row],[Data Source]]="All",LCI_Table[[#This Row],[Data Source]]=SelectedDataSource)</f>
        <v>0</v>
      </c>
      <c r="L948" s="14" t="b">
        <f>TRUE</f>
        <v>1</v>
      </c>
      <c r="M948" s="14" t="b">
        <f>(LCI_Table[[#This Row],[Dev Notes]]="Do not display")</f>
        <v>0</v>
      </c>
      <c r="N948" s="14" t="b">
        <f>AND(LCI_Table[[#This Row],[Show Feedstock]:[Conditional]],NOT(LCI_Table[[#This Row],[Hide Row]]))</f>
        <v>0</v>
      </c>
      <c r="O948" s="14" t="b">
        <f>LCI_Table[[#This Row],[GREET1 Name Range]]=""</f>
        <v>0</v>
      </c>
      <c r="P948" s="14" t="s">
        <v>14</v>
      </c>
      <c r="Q948" s="14" t="s">
        <v>795</v>
      </c>
      <c r="R948" s="14" t="s">
        <v>356</v>
      </c>
      <c r="S948" s="37" cm="1">
        <f t="array" aca="1" ref="S9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4.1382243233411469</v>
      </c>
      <c r="T948" s="346" t="s">
        <v>1485</v>
      </c>
      <c r="U948" s="347">
        <f ca="1">S948/g2lb/S943</f>
        <v>37.096185344188804</v>
      </c>
      <c r="V948" s="347">
        <v>4.1382243233411469</v>
      </c>
      <c r="W948" s="347">
        <v>37.096185344188804</v>
      </c>
      <c r="X948" s="14" t="s">
        <v>12</v>
      </c>
      <c r="Y948" s="346" t="s">
        <v>413</v>
      </c>
      <c r="Z948" s="14" t="str">
        <f>IF(ISBLANK(LCI_Table[[#This Row],[Notes for user]])," ",LCI_Table[[#This Row],[Notes for user]])</f>
        <v xml:space="preserve"> </v>
      </c>
      <c r="AA948" s="14"/>
      <c r="AB948" s="14"/>
      <c r="AC948" s="346">
        <f ca="1">LCI_Table[[#This Row],[Default Calculated Value]]-LCI_Table[[#This Row],[Calculated Value]]</f>
        <v>0</v>
      </c>
    </row>
    <row r="949" spans="1:29" x14ac:dyDescent="0.3">
      <c r="A9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(EU)(blank)_Soybean_Farming_InsecticideInsecticide</v>
      </c>
      <c r="B949" s="14" t="s">
        <v>10</v>
      </c>
      <c r="C949" s="14" t="s">
        <v>30</v>
      </c>
      <c r="D949" s="14" t="s">
        <v>194</v>
      </c>
      <c r="E949" s="14" t="s">
        <v>368</v>
      </c>
      <c r="F949" s="48" t="s">
        <v>31</v>
      </c>
      <c r="G949" s="14" t="b">
        <f>OR(LCI_Table[[#This Row],[Feedstock]]="All",LCI_Table[[#This Row],[Feedstock]]=SelectedFeedstock)</f>
        <v>0</v>
      </c>
      <c r="H949" s="14" t="b">
        <f>OR(LCI_Table[[#This Row],[Conversion]]="All",LCI_Table[[#This Row],[Conversion]]=SelectedConversion)</f>
        <v>1</v>
      </c>
      <c r="I949" s="14" t="b">
        <f>OR(LCI_Table[[#This Row],[Data Set]]="all",LCI_Table[[#This Row],[Data Set]]=SelectedDataSet)</f>
        <v>0</v>
      </c>
      <c r="J949" s="14" t="b">
        <f>OR(LCI_Table[[#This Row],[Technology]]="All",LCI_Table[[#This Row],[Technology]]=SelectedTechnology)</f>
        <v>1</v>
      </c>
      <c r="K949" s="14" t="b">
        <f>OR(LCI_Table[[#This Row],[Data Source]]="All",LCI_Table[[#This Row],[Data Source]]=SelectedDataSource)</f>
        <v>0</v>
      </c>
      <c r="L949" s="14" t="b">
        <f>TRUE</f>
        <v>1</v>
      </c>
      <c r="M949" s="14" t="b">
        <f>(LCI_Table[[#This Row],[Dev Notes]]="Do not display")</f>
        <v>0</v>
      </c>
      <c r="N949" s="14" t="b">
        <f>AND(LCI_Table[[#This Row],[Show Feedstock]:[Conditional]],NOT(LCI_Table[[#This Row],[Hide Row]]))</f>
        <v>0</v>
      </c>
      <c r="O949" s="14" t="b">
        <f>LCI_Table[[#This Row],[GREET1 Name Range]]=""</f>
        <v>0</v>
      </c>
      <c r="P949" s="14" t="s">
        <v>14</v>
      </c>
      <c r="Q949" s="14" t="s">
        <v>796</v>
      </c>
      <c r="R949" s="14" t="s">
        <v>114</v>
      </c>
      <c r="S949" s="37" cm="1">
        <f t="array" aca="1" ref="S9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8.2023029131623709E-2</v>
      </c>
      <c r="T949" s="346" t="s">
        <v>1485</v>
      </c>
      <c r="U949" s="347">
        <f ca="1">S949/g2lb/S943</f>
        <v>0.7352770786243511</v>
      </c>
      <c r="V949" s="347">
        <v>8.2023029131623709E-2</v>
      </c>
      <c r="W949" s="347">
        <v>0.7352770786243511</v>
      </c>
      <c r="X949" s="14" t="s">
        <v>12</v>
      </c>
      <c r="Y949" s="346" t="s">
        <v>413</v>
      </c>
      <c r="Z949" s="14" t="str">
        <f>IF(ISBLANK(LCI_Table[[#This Row],[Notes for user]])," ",LCI_Table[[#This Row],[Notes for user]])</f>
        <v xml:space="preserve"> </v>
      </c>
      <c r="AA949" s="14"/>
      <c r="AB949" s="14"/>
      <c r="AC949" s="346">
        <f ca="1">LCI_Table[[#This Row],[Default Calculated Value]]-LCI_Table[[#This Row],[Calculated Value]]</f>
        <v>0</v>
      </c>
    </row>
    <row r="950" spans="1:29" x14ac:dyDescent="0.3">
      <c r="A9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(EU)(blank)_Soybean_Farming_Residual_oilResidual oil</v>
      </c>
      <c r="B950" s="14" t="s">
        <v>10</v>
      </c>
      <c r="C950" s="14" t="s">
        <v>30</v>
      </c>
      <c r="D950" s="14" t="s">
        <v>194</v>
      </c>
      <c r="E950" s="14" t="s">
        <v>368</v>
      </c>
      <c r="F950" s="48" t="s">
        <v>31</v>
      </c>
      <c r="G950" s="14" t="b">
        <f>OR(LCI_Table[[#This Row],[Feedstock]]="All",LCI_Table[[#This Row],[Feedstock]]=SelectedFeedstock)</f>
        <v>0</v>
      </c>
      <c r="H950" s="14" t="b">
        <f>OR(LCI_Table[[#This Row],[Conversion]]="All",LCI_Table[[#This Row],[Conversion]]=SelectedConversion)</f>
        <v>1</v>
      </c>
      <c r="I950" s="14" t="b">
        <f>OR(LCI_Table[[#This Row],[Data Set]]="all",LCI_Table[[#This Row],[Data Set]]=SelectedDataSet)</f>
        <v>0</v>
      </c>
      <c r="J950" s="14" t="b">
        <f>OR(LCI_Table[[#This Row],[Technology]]="All",LCI_Table[[#This Row],[Technology]]=SelectedTechnology)</f>
        <v>1</v>
      </c>
      <c r="K950" s="14" t="b">
        <f>OR(LCI_Table[[#This Row],[Data Source]]="All",LCI_Table[[#This Row],[Data Source]]=SelectedDataSource)</f>
        <v>0</v>
      </c>
      <c r="L950" s="14" t="b">
        <f>TRUE</f>
        <v>1</v>
      </c>
      <c r="M950" s="14" t="b">
        <f>(LCI_Table[[#This Row],[Dev Notes]]="Do not display")</f>
        <v>0</v>
      </c>
      <c r="N950" s="14" t="b">
        <f>AND(LCI_Table[[#This Row],[Show Feedstock]:[Conditional]],NOT(LCI_Table[[#This Row],[Hide Row]]))</f>
        <v>0</v>
      </c>
      <c r="O950" s="14" t="b">
        <f>LCI_Table[[#This Row],[GREET1 Name Range]]=""</f>
        <v>0</v>
      </c>
      <c r="P950" s="14" t="s">
        <v>14</v>
      </c>
      <c r="Q950" s="14" t="s">
        <v>802</v>
      </c>
      <c r="R950" s="14" t="s">
        <v>115</v>
      </c>
      <c r="S950" s="37" cm="1">
        <f t="array" aca="1" ref="S9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950" s="346" t="s">
        <v>1484</v>
      </c>
      <c r="U950" s="347">
        <f ca="1">S950*Fuel_Specs!$B$28/S943</f>
        <v>0</v>
      </c>
      <c r="V950" s="347">
        <v>0</v>
      </c>
      <c r="W950" s="347">
        <v>0</v>
      </c>
      <c r="X950" s="14" t="s">
        <v>5</v>
      </c>
      <c r="Y950" s="346" t="s">
        <v>413</v>
      </c>
      <c r="Z950" s="14" t="str">
        <f>IF(ISBLANK(LCI_Table[[#This Row],[Notes for user]])," ",LCI_Table[[#This Row],[Notes for user]])</f>
        <v xml:space="preserve"> </v>
      </c>
      <c r="AA950" s="14"/>
      <c r="AB950" s="14"/>
      <c r="AC950" s="346">
        <f ca="1">LCI_Table[[#This Row],[Default Calculated Value]]-LCI_Table[[#This Row],[Calculated Value]]</f>
        <v>0</v>
      </c>
    </row>
    <row r="951" spans="1:29" x14ac:dyDescent="0.3">
      <c r="A9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(EU)(blank)_Soybean_Farming_DieselDiesel</v>
      </c>
      <c r="B951" s="14" t="s">
        <v>10</v>
      </c>
      <c r="C951" s="14" t="s">
        <v>30</v>
      </c>
      <c r="D951" s="14" t="s">
        <v>194</v>
      </c>
      <c r="E951" s="14" t="s">
        <v>368</v>
      </c>
      <c r="F951" s="48" t="s">
        <v>31</v>
      </c>
      <c r="G951" s="14" t="b">
        <f>OR(LCI_Table[[#This Row],[Feedstock]]="All",LCI_Table[[#This Row],[Feedstock]]=SelectedFeedstock)</f>
        <v>0</v>
      </c>
      <c r="H951" s="14" t="b">
        <f>OR(LCI_Table[[#This Row],[Conversion]]="All",LCI_Table[[#This Row],[Conversion]]=SelectedConversion)</f>
        <v>1</v>
      </c>
      <c r="I951" s="14" t="b">
        <f>OR(LCI_Table[[#This Row],[Data Set]]="all",LCI_Table[[#This Row],[Data Set]]=SelectedDataSet)</f>
        <v>0</v>
      </c>
      <c r="J951" s="14" t="b">
        <f>OR(LCI_Table[[#This Row],[Technology]]="All",LCI_Table[[#This Row],[Technology]]=SelectedTechnology)</f>
        <v>1</v>
      </c>
      <c r="K951" s="14" t="b">
        <f>OR(LCI_Table[[#This Row],[Data Source]]="All",LCI_Table[[#This Row],[Data Source]]=SelectedDataSource)</f>
        <v>0</v>
      </c>
      <c r="L951" s="14" t="b">
        <f>TRUE</f>
        <v>1</v>
      </c>
      <c r="M951" s="14" t="b">
        <f>(LCI_Table[[#This Row],[Dev Notes]]="Do not display")</f>
        <v>0</v>
      </c>
      <c r="N951" s="14" t="b">
        <f>AND(LCI_Table[[#This Row],[Show Feedstock]:[Conditional]],NOT(LCI_Table[[#This Row],[Hide Row]]))</f>
        <v>0</v>
      </c>
      <c r="O951" s="14" t="b">
        <f>LCI_Table[[#This Row],[GREET1 Name Range]]=""</f>
        <v>0</v>
      </c>
      <c r="P951" s="14" t="s">
        <v>14</v>
      </c>
      <c r="Q951" s="14" t="s">
        <v>792</v>
      </c>
      <c r="R951" s="14" t="s">
        <v>106</v>
      </c>
      <c r="S951" s="37" cm="1">
        <f t="array" aca="1" ref="S9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5.5537901867241626</v>
      </c>
      <c r="T951" s="346" t="s">
        <v>1484</v>
      </c>
      <c r="U951" s="347">
        <f ca="1">S951*Fuel_Specs!$B$19/S943</f>
        <v>14098.504930528035</v>
      </c>
      <c r="V951" s="347">
        <v>5.5537901867241626</v>
      </c>
      <c r="W951" s="347">
        <v>14098.504930528035</v>
      </c>
      <c r="X951" s="14" t="s">
        <v>5</v>
      </c>
      <c r="Y951" s="346" t="s">
        <v>413</v>
      </c>
      <c r="Z951" s="14" t="str">
        <f>IF(ISBLANK(LCI_Table[[#This Row],[Notes for user]])," ",LCI_Table[[#This Row],[Notes for user]])</f>
        <v xml:space="preserve"> </v>
      </c>
      <c r="AA951" s="14"/>
      <c r="AB951" s="14"/>
      <c r="AC951" s="346">
        <f ca="1">LCI_Table[[#This Row],[Default Calculated Value]]-LCI_Table[[#This Row],[Calculated Value]]</f>
        <v>0</v>
      </c>
    </row>
    <row r="952" spans="1:29" x14ac:dyDescent="0.3">
      <c r="A9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(EU)(blank)_Soybean_Farming_GasolineGasoline</v>
      </c>
      <c r="B952" s="14" t="s">
        <v>10</v>
      </c>
      <c r="C952" s="14" t="s">
        <v>30</v>
      </c>
      <c r="D952" s="14" t="s">
        <v>194</v>
      </c>
      <c r="E952" s="14" t="s">
        <v>368</v>
      </c>
      <c r="F952" s="48" t="s">
        <v>31</v>
      </c>
      <c r="G952" s="14" t="b">
        <f>OR(LCI_Table[[#This Row],[Feedstock]]="All",LCI_Table[[#This Row],[Feedstock]]=SelectedFeedstock)</f>
        <v>0</v>
      </c>
      <c r="H952" s="14" t="b">
        <f>OR(LCI_Table[[#This Row],[Conversion]]="All",LCI_Table[[#This Row],[Conversion]]=SelectedConversion)</f>
        <v>1</v>
      </c>
      <c r="I952" s="14" t="b">
        <f>OR(LCI_Table[[#This Row],[Data Set]]="all",LCI_Table[[#This Row],[Data Set]]=SelectedDataSet)</f>
        <v>0</v>
      </c>
      <c r="J952" s="14" t="b">
        <f>OR(LCI_Table[[#This Row],[Technology]]="All",LCI_Table[[#This Row],[Technology]]=SelectedTechnology)</f>
        <v>1</v>
      </c>
      <c r="K952" s="14" t="b">
        <f>OR(LCI_Table[[#This Row],[Data Source]]="All",LCI_Table[[#This Row],[Data Source]]=SelectedDataSource)</f>
        <v>0</v>
      </c>
      <c r="L952" s="14" t="b">
        <f>TRUE</f>
        <v>1</v>
      </c>
      <c r="M952" s="14" t="b">
        <f>(LCI_Table[[#This Row],[Dev Notes]]="Do not display")</f>
        <v>0</v>
      </c>
      <c r="N952" s="14" t="b">
        <f>AND(LCI_Table[[#This Row],[Show Feedstock]:[Conditional]],NOT(LCI_Table[[#This Row],[Hide Row]]))</f>
        <v>0</v>
      </c>
      <c r="O952" s="14" t="b">
        <f>LCI_Table[[#This Row],[GREET1 Name Range]]=""</f>
        <v>0</v>
      </c>
      <c r="P952" s="14" t="s">
        <v>14</v>
      </c>
      <c r="Q952" s="14" t="s">
        <v>794</v>
      </c>
      <c r="R952" s="14" t="s">
        <v>107</v>
      </c>
      <c r="S952" s="37" cm="1">
        <f t="array" aca="1" ref="S9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1.3088297910901385</v>
      </c>
      <c r="T952" s="346" t="s">
        <v>1484</v>
      </c>
      <c r="U952" s="347">
        <f ca="1">S952*Fuel_Specs!$B$15/S943</f>
        <v>2902.0201846495506</v>
      </c>
      <c r="V952" s="347">
        <v>1.3088297910901385</v>
      </c>
      <c r="W952" s="347">
        <v>2902.0201846495506</v>
      </c>
      <c r="X952" s="14" t="s">
        <v>5</v>
      </c>
      <c r="Y952" s="346" t="s">
        <v>413</v>
      </c>
      <c r="Z952" s="14" t="str">
        <f>IF(ISBLANK(LCI_Table[[#This Row],[Notes for user]])," ",LCI_Table[[#This Row],[Notes for user]])</f>
        <v xml:space="preserve"> </v>
      </c>
      <c r="AA952" s="14"/>
      <c r="AB952" s="14"/>
      <c r="AC952" s="346">
        <f ca="1">LCI_Table[[#This Row],[Default Calculated Value]]-LCI_Table[[#This Row],[Calculated Value]]</f>
        <v>0</v>
      </c>
    </row>
    <row r="953" spans="1:29" x14ac:dyDescent="0.3">
      <c r="A9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(EU)(blank)_Soybean_Farming_Natural_gasNatural gas</v>
      </c>
      <c r="B953" s="14" t="s">
        <v>10</v>
      </c>
      <c r="C953" s="14" t="s">
        <v>30</v>
      </c>
      <c r="D953" s="14" t="s">
        <v>194</v>
      </c>
      <c r="E953" s="14" t="s">
        <v>368</v>
      </c>
      <c r="F953" s="48" t="s">
        <v>31</v>
      </c>
      <c r="G953" s="14" t="b">
        <f>OR(LCI_Table[[#This Row],[Feedstock]]="All",LCI_Table[[#This Row],[Feedstock]]=SelectedFeedstock)</f>
        <v>0</v>
      </c>
      <c r="H953" s="14" t="b">
        <f>OR(LCI_Table[[#This Row],[Conversion]]="All",LCI_Table[[#This Row],[Conversion]]=SelectedConversion)</f>
        <v>1</v>
      </c>
      <c r="I953" s="14" t="b">
        <f>OR(LCI_Table[[#This Row],[Data Set]]="all",LCI_Table[[#This Row],[Data Set]]=SelectedDataSet)</f>
        <v>0</v>
      </c>
      <c r="J953" s="14" t="b">
        <f>OR(LCI_Table[[#This Row],[Technology]]="All",LCI_Table[[#This Row],[Technology]]=SelectedTechnology)</f>
        <v>1</v>
      </c>
      <c r="K953" s="14" t="b">
        <f>OR(LCI_Table[[#This Row],[Data Source]]="All",LCI_Table[[#This Row],[Data Source]]=SelectedDataSource)</f>
        <v>0</v>
      </c>
      <c r="L953" s="14" t="b">
        <f>TRUE</f>
        <v>1</v>
      </c>
      <c r="M953" s="14" t="b">
        <f>(LCI_Table[[#This Row],[Dev Notes]]="Do not display")</f>
        <v>0</v>
      </c>
      <c r="N953" s="14" t="b">
        <f>AND(LCI_Table[[#This Row],[Show Feedstock]:[Conditional]],NOT(LCI_Table[[#This Row],[Hide Row]]))</f>
        <v>0</v>
      </c>
      <c r="O953" s="14" t="b">
        <f>LCI_Table[[#This Row],[GREET1 Name Range]]=""</f>
        <v>0</v>
      </c>
      <c r="P953" s="14" t="s">
        <v>14</v>
      </c>
      <c r="Q953" s="14" t="s">
        <v>799</v>
      </c>
      <c r="R953" s="14" t="s">
        <v>108</v>
      </c>
      <c r="S953" s="37" cm="1">
        <f t="array" aca="1" ref="S9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34.009295544593762</v>
      </c>
      <c r="T953" s="346" t="s">
        <v>2109</v>
      </c>
      <c r="U953" s="347">
        <f ca="1">S953*Fuel_Specs!$B$79/S943</f>
        <v>660.69441739793808</v>
      </c>
      <c r="V953" s="347">
        <v>34.009295544593762</v>
      </c>
      <c r="W953" s="347">
        <v>660.69441739793808</v>
      </c>
      <c r="X953" s="14" t="s">
        <v>351</v>
      </c>
      <c r="Y953" s="346" t="s">
        <v>413</v>
      </c>
      <c r="Z953" s="14" t="str">
        <f>IF(ISBLANK(LCI_Table[[#This Row],[Notes for user]])," ",LCI_Table[[#This Row],[Notes for user]])</f>
        <v xml:space="preserve"> </v>
      </c>
      <c r="AA953" s="14"/>
      <c r="AB953" s="14"/>
      <c r="AC953" s="346">
        <f ca="1">LCI_Table[[#This Row],[Default Calculated Value]]-LCI_Table[[#This Row],[Calculated Value]]</f>
        <v>0</v>
      </c>
    </row>
    <row r="954" spans="1:29" x14ac:dyDescent="0.3">
      <c r="A9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(EU)(blank)_Soybean_Farming_CoalCoal</v>
      </c>
      <c r="B954" s="14" t="s">
        <v>10</v>
      </c>
      <c r="C954" s="14" t="s">
        <v>30</v>
      </c>
      <c r="D954" s="14" t="s">
        <v>194</v>
      </c>
      <c r="E954" s="14" t="s">
        <v>368</v>
      </c>
      <c r="F954" s="48" t="s">
        <v>31</v>
      </c>
      <c r="G954" s="14" t="b">
        <f>OR(LCI_Table[[#This Row],[Feedstock]]="All",LCI_Table[[#This Row],[Feedstock]]=SelectedFeedstock)</f>
        <v>0</v>
      </c>
      <c r="H954" s="14" t="b">
        <f>OR(LCI_Table[[#This Row],[Conversion]]="All",LCI_Table[[#This Row],[Conversion]]=SelectedConversion)</f>
        <v>1</v>
      </c>
      <c r="I954" s="14" t="b">
        <f>OR(LCI_Table[[#This Row],[Data Set]]="all",LCI_Table[[#This Row],[Data Set]]=SelectedDataSet)</f>
        <v>0</v>
      </c>
      <c r="J954" s="14" t="b">
        <f>OR(LCI_Table[[#This Row],[Technology]]="All",LCI_Table[[#This Row],[Technology]]=SelectedTechnology)</f>
        <v>1</v>
      </c>
      <c r="K954" s="14" t="b">
        <f>OR(LCI_Table[[#This Row],[Data Source]]="All",LCI_Table[[#This Row],[Data Source]]=SelectedDataSource)</f>
        <v>0</v>
      </c>
      <c r="L954" s="14" t="b">
        <f>TRUE</f>
        <v>1</v>
      </c>
      <c r="M954" s="14" t="b">
        <f>(LCI_Table[[#This Row],[Dev Notes]]="Do not display")</f>
        <v>0</v>
      </c>
      <c r="N954" s="14" t="b">
        <f>AND(LCI_Table[[#This Row],[Show Feedstock]:[Conditional]],NOT(LCI_Table[[#This Row],[Hide Row]]))</f>
        <v>0</v>
      </c>
      <c r="O954" s="14" t="b">
        <f>LCI_Table[[#This Row],[GREET1 Name Range]]=""</f>
        <v>0</v>
      </c>
      <c r="P954" s="14" t="s">
        <v>14</v>
      </c>
      <c r="Q954" s="14" t="s">
        <v>791</v>
      </c>
      <c r="R954" s="14" t="s">
        <v>9</v>
      </c>
      <c r="S954" s="37" cm="1">
        <f t="array" aca="1" ref="S9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954" s="346" t="s">
        <v>2110</v>
      </c>
      <c r="U954" s="347">
        <f ca="1">S954/S943</f>
        <v>0</v>
      </c>
      <c r="V954" s="347">
        <v>0</v>
      </c>
      <c r="W954" s="347">
        <v>0</v>
      </c>
      <c r="X954" s="14" t="s">
        <v>117</v>
      </c>
      <c r="Y954" s="346" t="s">
        <v>413</v>
      </c>
      <c r="Z954" s="14" t="str">
        <f>IF(ISBLANK(LCI_Table[[#This Row],[Notes for user]])," ",LCI_Table[[#This Row],[Notes for user]])</f>
        <v xml:space="preserve"> </v>
      </c>
      <c r="AA954" s="14"/>
      <c r="AB954" s="14"/>
      <c r="AC954" s="346">
        <f ca="1">LCI_Table[[#This Row],[Default Calculated Value]]-LCI_Table[[#This Row],[Calculated Value]]</f>
        <v>0</v>
      </c>
    </row>
    <row r="955" spans="1:29" x14ac:dyDescent="0.3">
      <c r="A9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(EU)(blank)_Soybean_Farming_LPGLPG</v>
      </c>
      <c r="B955" s="14" t="s">
        <v>10</v>
      </c>
      <c r="C955" s="14" t="s">
        <v>30</v>
      </c>
      <c r="D955" s="14" t="s">
        <v>194</v>
      </c>
      <c r="E955" s="14" t="s">
        <v>368</v>
      </c>
      <c r="F955" s="48" t="s">
        <v>31</v>
      </c>
      <c r="G955" s="14" t="b">
        <f>OR(LCI_Table[[#This Row],[Feedstock]]="All",LCI_Table[[#This Row],[Feedstock]]=SelectedFeedstock)</f>
        <v>0</v>
      </c>
      <c r="H955" s="14" t="b">
        <f>OR(LCI_Table[[#This Row],[Conversion]]="All",LCI_Table[[#This Row],[Conversion]]=SelectedConversion)</f>
        <v>1</v>
      </c>
      <c r="I955" s="14" t="b">
        <f>OR(LCI_Table[[#This Row],[Data Set]]="all",LCI_Table[[#This Row],[Data Set]]=SelectedDataSet)</f>
        <v>0</v>
      </c>
      <c r="J955" s="14" t="b">
        <f>OR(LCI_Table[[#This Row],[Technology]]="All",LCI_Table[[#This Row],[Technology]]=SelectedTechnology)</f>
        <v>1</v>
      </c>
      <c r="K955" s="14" t="b">
        <f>OR(LCI_Table[[#This Row],[Data Source]]="All",LCI_Table[[#This Row],[Data Source]]=SelectedDataSource)</f>
        <v>0</v>
      </c>
      <c r="L955" s="14" t="b">
        <f>TRUE</f>
        <v>1</v>
      </c>
      <c r="M955" s="14" t="b">
        <f>(LCI_Table[[#This Row],[Dev Notes]]="Do not display")</f>
        <v>0</v>
      </c>
      <c r="N955" s="14" t="b">
        <f>AND(LCI_Table[[#This Row],[Show Feedstock]:[Conditional]],NOT(LCI_Table[[#This Row],[Hide Row]]))</f>
        <v>0</v>
      </c>
      <c r="O955" s="14" t="b">
        <f>LCI_Table[[#This Row],[GREET1 Name Range]]=""</f>
        <v>0</v>
      </c>
      <c r="P955" s="14" t="s">
        <v>14</v>
      </c>
      <c r="Q955" s="14" t="s">
        <v>798</v>
      </c>
      <c r="R955" s="14" t="s">
        <v>109</v>
      </c>
      <c r="S955" s="37" cm="1">
        <f t="array" aca="1" ref="S9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0.19984402027128259</v>
      </c>
      <c r="T955" s="346" t="s">
        <v>1484</v>
      </c>
      <c r="U955" s="347">
        <f ca="1">S955*Fuel_Specs!$B$35/S943</f>
        <v>335.50888383489041</v>
      </c>
      <c r="V955" s="347">
        <v>0.19984402027128259</v>
      </c>
      <c r="W955" s="347">
        <v>335.50888383489041</v>
      </c>
      <c r="X955" s="14" t="s">
        <v>5</v>
      </c>
      <c r="Y955" s="346" t="s">
        <v>413</v>
      </c>
      <c r="Z955" s="14" t="str">
        <f>IF(ISBLANK(LCI_Table[[#This Row],[Notes for user]])," ",LCI_Table[[#This Row],[Notes for user]])</f>
        <v xml:space="preserve"> </v>
      </c>
      <c r="AA955" s="14"/>
      <c r="AB955" s="14"/>
      <c r="AC955" s="346">
        <f ca="1">LCI_Table[[#This Row],[Default Calculated Value]]-LCI_Table[[#This Row],[Calculated Value]]</f>
        <v>0</v>
      </c>
    </row>
    <row r="956" spans="1:29" x14ac:dyDescent="0.3">
      <c r="A9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(EU)(blank)_Soybean_Farming_ElectricityElectricity</v>
      </c>
      <c r="B956" s="14" t="s">
        <v>10</v>
      </c>
      <c r="C956" s="14" t="s">
        <v>30</v>
      </c>
      <c r="D956" s="14" t="s">
        <v>194</v>
      </c>
      <c r="E956" s="14" t="s">
        <v>368</v>
      </c>
      <c r="F956" s="48" t="s">
        <v>31</v>
      </c>
      <c r="G956" s="14" t="b">
        <f>OR(LCI_Table[[#This Row],[Feedstock]]="All",LCI_Table[[#This Row],[Feedstock]]=SelectedFeedstock)</f>
        <v>0</v>
      </c>
      <c r="H956" s="14" t="b">
        <f>OR(LCI_Table[[#This Row],[Conversion]]="All",LCI_Table[[#This Row],[Conversion]]=SelectedConversion)</f>
        <v>1</v>
      </c>
      <c r="I956" s="14" t="b">
        <f>OR(LCI_Table[[#This Row],[Data Set]]="all",LCI_Table[[#This Row],[Data Set]]=SelectedDataSet)</f>
        <v>0</v>
      </c>
      <c r="J956" s="14" t="b">
        <f>OR(LCI_Table[[#This Row],[Technology]]="All",LCI_Table[[#This Row],[Technology]]=SelectedTechnology)</f>
        <v>1</v>
      </c>
      <c r="K956" s="14" t="b">
        <f>OR(LCI_Table[[#This Row],[Data Source]]="All",LCI_Table[[#This Row],[Data Source]]=SelectedDataSource)</f>
        <v>0</v>
      </c>
      <c r="L956" s="14" t="b">
        <f>TRUE</f>
        <v>1</v>
      </c>
      <c r="M956" s="14" t="b">
        <f>(LCI_Table[[#This Row],[Dev Notes]]="Do not display")</f>
        <v>0</v>
      </c>
      <c r="N956" s="14" t="b">
        <f>AND(LCI_Table[[#This Row],[Show Feedstock]:[Conditional]],NOT(LCI_Table[[#This Row],[Hide Row]]))</f>
        <v>0</v>
      </c>
      <c r="O956" s="14" t="b">
        <f>LCI_Table[[#This Row],[GREET1 Name Range]]=""</f>
        <v>0</v>
      </c>
      <c r="P956" s="14" t="s">
        <v>14</v>
      </c>
      <c r="Q956" s="14" t="s">
        <v>793</v>
      </c>
      <c r="R956" s="14" t="s">
        <v>110</v>
      </c>
      <c r="S956" s="37" cm="1">
        <f t="array" aca="1" ref="S9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2.2197912308518974</v>
      </c>
      <c r="T956" s="346" t="s">
        <v>1561</v>
      </c>
      <c r="U956" s="347">
        <f ca="1">S956/BTU2kWh/S943</f>
        <v>149.68857894172029</v>
      </c>
      <c r="V956" s="347">
        <v>2.2197912308518974</v>
      </c>
      <c r="W956" s="347">
        <v>149.68857894172029</v>
      </c>
      <c r="X956" s="14" t="s">
        <v>51</v>
      </c>
      <c r="Y956" s="346" t="s">
        <v>413</v>
      </c>
      <c r="Z956" s="14" t="str">
        <f>IF(ISBLANK(LCI_Table[[#This Row],[Notes for user]])," ",LCI_Table[[#This Row],[Notes for user]])</f>
        <v xml:space="preserve"> </v>
      </c>
      <c r="AA956" s="14"/>
      <c r="AB956" s="14"/>
      <c r="AC956" s="346">
        <f ca="1">LCI_Table[[#This Row],[Default Calculated Value]]-LCI_Table[[#This Row],[Calculated Value]]</f>
        <v>0</v>
      </c>
    </row>
    <row r="957" spans="1:29" x14ac:dyDescent="0.3">
      <c r="A9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dash_SoybeanHEFAICAOBioGrace (EU)(blank)_Soybean_Extraction</v>
      </c>
      <c r="B957" s="14" t="s">
        <v>10</v>
      </c>
      <c r="C957" s="14" t="s">
        <v>30</v>
      </c>
      <c r="D957" s="14" t="s">
        <v>194</v>
      </c>
      <c r="E957" s="14" t="s">
        <v>368</v>
      </c>
      <c r="F957" s="48" t="s">
        <v>31</v>
      </c>
      <c r="G957" s="14" t="b">
        <f>OR(LCI_Table[[#This Row],[Feedstock]]="All",LCI_Table[[#This Row],[Feedstock]]=SelectedFeedstock)</f>
        <v>0</v>
      </c>
      <c r="H957" s="14" t="b">
        <f>OR(LCI_Table[[#This Row],[Conversion]]="All",LCI_Table[[#This Row],[Conversion]]=SelectedConversion)</f>
        <v>1</v>
      </c>
      <c r="I957" s="14" t="b">
        <f>OR(LCI_Table[[#This Row],[Data Set]]="all",LCI_Table[[#This Row],[Data Set]]=SelectedDataSet)</f>
        <v>0</v>
      </c>
      <c r="J957" s="14" t="b">
        <f>OR(LCI_Table[[#This Row],[Technology]]="All",LCI_Table[[#This Row],[Technology]]=SelectedTechnology)</f>
        <v>1</v>
      </c>
      <c r="K957" s="14" t="b">
        <f>OR(LCI_Table[[#This Row],[Data Source]]="All",LCI_Table[[#This Row],[Data Source]]=SelectedDataSource)</f>
        <v>0</v>
      </c>
      <c r="L957" s="14" t="b">
        <f>TRUE</f>
        <v>1</v>
      </c>
      <c r="M957" s="14" t="b">
        <f>(LCI_Table[[#This Row],[Dev Notes]]="Do not display")</f>
        <v>1</v>
      </c>
      <c r="N957" s="14" t="b">
        <f>AND(LCI_Table[[#This Row],[Show Feedstock]:[Conditional]],NOT(LCI_Table[[#This Row],[Hide Row]]))</f>
        <v>0</v>
      </c>
      <c r="O957" s="14" t="b">
        <f>LCI_Table[[#This Row],[GREET1 Name Range]]=""</f>
        <v>1</v>
      </c>
      <c r="P957" s="14" t="s">
        <v>15</v>
      </c>
      <c r="Q957" s="14" t="s">
        <v>361</v>
      </c>
      <c r="R957" s="348" t="s">
        <v>10</v>
      </c>
      <c r="S957" s="37" cm="1">
        <f t="array" aca="1" ref="S9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4.9584000000000001</v>
      </c>
      <c r="T957" s="346" t="s">
        <v>2111</v>
      </c>
      <c r="U957" s="347">
        <f ca="1">S957/busoybean2lb</f>
        <v>8.2640000000000005E-2</v>
      </c>
      <c r="V957" s="347">
        <v>4.9584000000000001</v>
      </c>
      <c r="W957" s="347">
        <v>8.2640000000000005E-2</v>
      </c>
      <c r="X957" s="14" t="s">
        <v>12</v>
      </c>
      <c r="Y957" s="346" t="s">
        <v>891</v>
      </c>
      <c r="Z957" s="14" t="str">
        <f>IF(ISBLANK(LCI_Table[[#This Row],[Notes for user]])," ",LCI_Table[[#This Row],[Notes for user]])</f>
        <v xml:space="preserve"> </v>
      </c>
      <c r="AA957" s="348"/>
      <c r="AB957" s="348" t="s">
        <v>1138</v>
      </c>
      <c r="AC957" s="346">
        <f ca="1">LCI_Table[[#This Row],[Default Calculated Value]]-LCI_Table[[#This Row],[Calculated Value]]</f>
        <v>0</v>
      </c>
    </row>
    <row r="958" spans="1:29" x14ac:dyDescent="0.3">
      <c r="A9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(EU)(blank)_Soybean_Extraction_Residual_oilResidual oil</v>
      </c>
      <c r="B958" s="14" t="s">
        <v>10</v>
      </c>
      <c r="C958" s="14" t="s">
        <v>30</v>
      </c>
      <c r="D958" s="14" t="s">
        <v>194</v>
      </c>
      <c r="E958" s="14" t="s">
        <v>368</v>
      </c>
      <c r="F958" s="48" t="s">
        <v>31</v>
      </c>
      <c r="G958" s="14" t="b">
        <f>OR(LCI_Table[[#This Row],[Feedstock]]="All",LCI_Table[[#This Row],[Feedstock]]=SelectedFeedstock)</f>
        <v>0</v>
      </c>
      <c r="H958" s="14" t="b">
        <f>OR(LCI_Table[[#This Row],[Conversion]]="All",LCI_Table[[#This Row],[Conversion]]=SelectedConversion)</f>
        <v>1</v>
      </c>
      <c r="I958" s="14" t="b">
        <f>OR(LCI_Table[[#This Row],[Data Set]]="all",LCI_Table[[#This Row],[Data Set]]=SelectedDataSet)</f>
        <v>0</v>
      </c>
      <c r="J958" s="14" t="b">
        <f>OR(LCI_Table[[#This Row],[Technology]]="All",LCI_Table[[#This Row],[Technology]]=SelectedTechnology)</f>
        <v>1</v>
      </c>
      <c r="K958" s="14" t="b">
        <f>OR(LCI_Table[[#This Row],[Data Source]]="All",LCI_Table[[#This Row],[Data Source]]=SelectedDataSource)</f>
        <v>0</v>
      </c>
      <c r="L958" s="14" t="b">
        <f>TRUE</f>
        <v>1</v>
      </c>
      <c r="M958" s="14" t="b">
        <f>(LCI_Table[[#This Row],[Dev Notes]]="Do not display")</f>
        <v>0</v>
      </c>
      <c r="N958" s="14" t="b">
        <f>AND(LCI_Table[[#This Row],[Show Feedstock]:[Conditional]],NOT(LCI_Table[[#This Row],[Hide Row]]))</f>
        <v>0</v>
      </c>
      <c r="O958" s="14" t="b">
        <f>LCI_Table[[#This Row],[GREET1 Name Range]]=""</f>
        <v>0</v>
      </c>
      <c r="P958" s="14" t="s">
        <v>1682</v>
      </c>
      <c r="Q958" s="14" t="s">
        <v>789</v>
      </c>
      <c r="R958" s="14" t="s">
        <v>115</v>
      </c>
      <c r="S958" s="37" cm="1">
        <f t="array" aca="1" ref="S9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958" s="346" t="s">
        <v>2112</v>
      </c>
      <c r="U958" s="347">
        <f ca="1">S958*Fuel_Specs!$B$28</f>
        <v>0</v>
      </c>
      <c r="V958" s="347">
        <v>0</v>
      </c>
      <c r="W958" s="347">
        <v>0</v>
      </c>
      <c r="X958" s="14" t="s">
        <v>5</v>
      </c>
      <c r="Y958" s="346" t="s">
        <v>891</v>
      </c>
      <c r="Z958" s="14" t="str">
        <f>IF(ISBLANK(LCI_Table[[#This Row],[Notes for user]])," ",LCI_Table[[#This Row],[Notes for user]])</f>
        <v xml:space="preserve"> </v>
      </c>
      <c r="AA958" s="14"/>
      <c r="AB958" s="14"/>
      <c r="AC958" s="346">
        <f ca="1">LCI_Table[[#This Row],[Default Calculated Value]]-LCI_Table[[#This Row],[Calculated Value]]</f>
        <v>0</v>
      </c>
    </row>
    <row r="959" spans="1:29" x14ac:dyDescent="0.3">
      <c r="A9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(EU)(blank)_Soybean_Extraction_DieselDiesel</v>
      </c>
      <c r="B959" s="14" t="s">
        <v>10</v>
      </c>
      <c r="C959" s="14" t="s">
        <v>30</v>
      </c>
      <c r="D959" s="14" t="s">
        <v>194</v>
      </c>
      <c r="E959" s="14" t="s">
        <v>368</v>
      </c>
      <c r="F959" s="48" t="s">
        <v>31</v>
      </c>
      <c r="G959" s="14" t="b">
        <f>OR(LCI_Table[[#This Row],[Feedstock]]="All",LCI_Table[[#This Row],[Feedstock]]=SelectedFeedstock)</f>
        <v>0</v>
      </c>
      <c r="H959" s="14" t="b">
        <f>OR(LCI_Table[[#This Row],[Conversion]]="All",LCI_Table[[#This Row],[Conversion]]=SelectedConversion)</f>
        <v>1</v>
      </c>
      <c r="I959" s="14" t="b">
        <f>OR(LCI_Table[[#This Row],[Data Set]]="all",LCI_Table[[#This Row],[Data Set]]=SelectedDataSet)</f>
        <v>0</v>
      </c>
      <c r="J959" s="14" t="b">
        <f>OR(LCI_Table[[#This Row],[Technology]]="All",LCI_Table[[#This Row],[Technology]]=SelectedTechnology)</f>
        <v>1</v>
      </c>
      <c r="K959" s="14" t="b">
        <f>OR(LCI_Table[[#This Row],[Data Source]]="All",LCI_Table[[#This Row],[Data Source]]=SelectedDataSource)</f>
        <v>0</v>
      </c>
      <c r="L959" s="14" t="b">
        <f>TRUE</f>
        <v>1</v>
      </c>
      <c r="M959" s="14" t="b">
        <f>(LCI_Table[[#This Row],[Dev Notes]]="Do not display")</f>
        <v>0</v>
      </c>
      <c r="N959" s="14" t="b">
        <f>AND(LCI_Table[[#This Row],[Show Feedstock]:[Conditional]],NOT(LCI_Table[[#This Row],[Hide Row]]))</f>
        <v>0</v>
      </c>
      <c r="O959" s="14" t="b">
        <f>LCI_Table[[#This Row],[GREET1 Name Range]]=""</f>
        <v>0</v>
      </c>
      <c r="P959" s="14" t="s">
        <v>1682</v>
      </c>
      <c r="Q959" s="14" t="s">
        <v>781</v>
      </c>
      <c r="R959" s="14" t="s">
        <v>106</v>
      </c>
      <c r="S959" s="37" cm="1">
        <f t="array" aca="1" ref="S9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959" s="346" t="s">
        <v>2112</v>
      </c>
      <c r="U959" s="347">
        <f ca="1">S959*Fuel_Specs!$B$19</f>
        <v>0</v>
      </c>
      <c r="V959" s="347">
        <v>0</v>
      </c>
      <c r="W959" s="347">
        <v>0</v>
      </c>
      <c r="X959" s="14" t="s">
        <v>5</v>
      </c>
      <c r="Y959" s="346" t="s">
        <v>891</v>
      </c>
      <c r="Z959" s="14" t="str">
        <f>IF(ISBLANK(LCI_Table[[#This Row],[Notes for user]])," ",LCI_Table[[#This Row],[Notes for user]])</f>
        <v xml:space="preserve"> </v>
      </c>
      <c r="AA959" s="14"/>
      <c r="AB959" s="14"/>
      <c r="AC959" s="346">
        <f ca="1">LCI_Table[[#This Row],[Default Calculated Value]]-LCI_Table[[#This Row],[Calculated Value]]</f>
        <v>0</v>
      </c>
    </row>
    <row r="960" spans="1:29" x14ac:dyDescent="0.3">
      <c r="A9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(EU)(blank)_Soybean_Extraction_GasolineGasoline</v>
      </c>
      <c r="B960" s="14" t="s">
        <v>10</v>
      </c>
      <c r="C960" s="14" t="s">
        <v>30</v>
      </c>
      <c r="D960" s="14" t="s">
        <v>194</v>
      </c>
      <c r="E960" s="14" t="s">
        <v>368</v>
      </c>
      <c r="F960" s="48" t="s">
        <v>31</v>
      </c>
      <c r="G960" s="14" t="b">
        <f>OR(LCI_Table[[#This Row],[Feedstock]]="All",LCI_Table[[#This Row],[Feedstock]]=SelectedFeedstock)</f>
        <v>0</v>
      </c>
      <c r="H960" s="14" t="b">
        <f>OR(LCI_Table[[#This Row],[Conversion]]="All",LCI_Table[[#This Row],[Conversion]]=SelectedConversion)</f>
        <v>1</v>
      </c>
      <c r="I960" s="14" t="b">
        <f>OR(LCI_Table[[#This Row],[Data Set]]="all",LCI_Table[[#This Row],[Data Set]]=SelectedDataSet)</f>
        <v>0</v>
      </c>
      <c r="J960" s="14" t="b">
        <f>OR(LCI_Table[[#This Row],[Technology]]="All",LCI_Table[[#This Row],[Technology]]=SelectedTechnology)</f>
        <v>1</v>
      </c>
      <c r="K960" s="14" t="b">
        <f>OR(LCI_Table[[#This Row],[Data Source]]="All",LCI_Table[[#This Row],[Data Source]]=SelectedDataSource)</f>
        <v>0</v>
      </c>
      <c r="L960" s="14" t="b">
        <f>TRUE</f>
        <v>1</v>
      </c>
      <c r="M960" s="14" t="b">
        <f>(LCI_Table[[#This Row],[Dev Notes]]="Do not display")</f>
        <v>0</v>
      </c>
      <c r="N960" s="14" t="b">
        <f>AND(LCI_Table[[#This Row],[Show Feedstock]:[Conditional]],NOT(LCI_Table[[#This Row],[Hide Row]]))</f>
        <v>0</v>
      </c>
      <c r="O960" s="14" t="b">
        <f>LCI_Table[[#This Row],[GREET1 Name Range]]=""</f>
        <v>0</v>
      </c>
      <c r="P960" s="14" t="s">
        <v>1682</v>
      </c>
      <c r="Q960" s="14" t="s">
        <v>784</v>
      </c>
      <c r="R960" s="14" t="s">
        <v>107</v>
      </c>
      <c r="S960" s="37" cm="1">
        <f t="array" aca="1" ref="S9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960" s="346" t="s">
        <v>2112</v>
      </c>
      <c r="U960" s="347">
        <f ca="1">S960*Fuel_Specs!$B$15</f>
        <v>0</v>
      </c>
      <c r="V960" s="347">
        <v>0</v>
      </c>
      <c r="W960" s="347">
        <v>0</v>
      </c>
      <c r="X960" s="14" t="s">
        <v>5</v>
      </c>
      <c r="Y960" s="346" t="s">
        <v>891</v>
      </c>
      <c r="Z960" s="14" t="str">
        <f>IF(ISBLANK(LCI_Table[[#This Row],[Notes for user]])," ",LCI_Table[[#This Row],[Notes for user]])</f>
        <v xml:space="preserve"> </v>
      </c>
      <c r="AA960" s="14"/>
      <c r="AB960" s="14"/>
      <c r="AC960" s="346">
        <f ca="1">LCI_Table[[#This Row],[Default Calculated Value]]-LCI_Table[[#This Row],[Calculated Value]]</f>
        <v>0</v>
      </c>
    </row>
    <row r="961" spans="1:29" x14ac:dyDescent="0.3">
      <c r="A9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(EU)(blank)_Soybean_Extraction_Natural_gasNatural gas</v>
      </c>
      <c r="B961" s="14" t="s">
        <v>10</v>
      </c>
      <c r="C961" s="14" t="s">
        <v>30</v>
      </c>
      <c r="D961" s="14" t="s">
        <v>194</v>
      </c>
      <c r="E961" s="14" t="s">
        <v>368</v>
      </c>
      <c r="F961" s="48" t="s">
        <v>31</v>
      </c>
      <c r="G961" s="14" t="b">
        <f>OR(LCI_Table[[#This Row],[Feedstock]]="All",LCI_Table[[#This Row],[Feedstock]]=SelectedFeedstock)</f>
        <v>0</v>
      </c>
      <c r="H961" s="14" t="b">
        <f>OR(LCI_Table[[#This Row],[Conversion]]="All",LCI_Table[[#This Row],[Conversion]]=SelectedConversion)</f>
        <v>1</v>
      </c>
      <c r="I961" s="14" t="b">
        <f>OR(LCI_Table[[#This Row],[Data Set]]="all",LCI_Table[[#This Row],[Data Set]]=SelectedDataSet)</f>
        <v>0</v>
      </c>
      <c r="J961" s="14" t="b">
        <f>OR(LCI_Table[[#This Row],[Technology]]="All",LCI_Table[[#This Row],[Technology]]=SelectedTechnology)</f>
        <v>1</v>
      </c>
      <c r="K961" s="14" t="b">
        <f>OR(LCI_Table[[#This Row],[Data Source]]="All",LCI_Table[[#This Row],[Data Source]]=SelectedDataSource)</f>
        <v>0</v>
      </c>
      <c r="L961" s="14" t="b">
        <f>TRUE</f>
        <v>1</v>
      </c>
      <c r="M961" s="14" t="b">
        <f>(LCI_Table[[#This Row],[Dev Notes]]="Do not display")</f>
        <v>0</v>
      </c>
      <c r="N961" s="14" t="b">
        <f>AND(LCI_Table[[#This Row],[Show Feedstock]:[Conditional]],NOT(LCI_Table[[#This Row],[Hide Row]]))</f>
        <v>0</v>
      </c>
      <c r="O961" s="14" t="b">
        <f>LCI_Table[[#This Row],[GREET1 Name Range]]=""</f>
        <v>0</v>
      </c>
      <c r="P961" s="14" t="s">
        <v>1682</v>
      </c>
      <c r="Q961" s="14" t="s">
        <v>788</v>
      </c>
      <c r="R961" s="14" t="s">
        <v>108</v>
      </c>
      <c r="S961" s="37" cm="1">
        <f t="array" aca="1" ref="S9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1.4718086433620758</v>
      </c>
      <c r="T961" s="346" t="s">
        <v>2113</v>
      </c>
      <c r="U961" s="347">
        <f ca="1">S961*Fuel_Specs!$B$79</f>
        <v>1446.7878964249205</v>
      </c>
      <c r="V961" s="347">
        <v>1.4718086433620758</v>
      </c>
      <c r="W961" s="347">
        <v>1446.7878964249205</v>
      </c>
      <c r="X961" s="14" t="s">
        <v>351</v>
      </c>
      <c r="Y961" s="346" t="s">
        <v>891</v>
      </c>
      <c r="Z961" s="14" t="str">
        <f>IF(ISBLANK(LCI_Table[[#This Row],[Notes for user]])," ",LCI_Table[[#This Row],[Notes for user]])</f>
        <v xml:space="preserve"> </v>
      </c>
      <c r="AA961" s="14"/>
      <c r="AB961" s="14"/>
      <c r="AC961" s="346">
        <f ca="1">LCI_Table[[#This Row],[Default Calculated Value]]-LCI_Table[[#This Row],[Calculated Value]]</f>
        <v>0</v>
      </c>
    </row>
    <row r="962" spans="1:29" x14ac:dyDescent="0.3">
      <c r="A9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(EU)(blank)_Soybean_Extraction_CoalCoal</v>
      </c>
      <c r="B962" s="14" t="s">
        <v>10</v>
      </c>
      <c r="C962" s="14" t="s">
        <v>30</v>
      </c>
      <c r="D962" s="14" t="s">
        <v>194</v>
      </c>
      <c r="E962" s="14" t="s">
        <v>368</v>
      </c>
      <c r="F962" s="48" t="s">
        <v>31</v>
      </c>
      <c r="G962" s="14" t="b">
        <f>OR(LCI_Table[[#This Row],[Feedstock]]="All",LCI_Table[[#This Row],[Feedstock]]=SelectedFeedstock)</f>
        <v>0</v>
      </c>
      <c r="H962" s="14" t="b">
        <f>OR(LCI_Table[[#This Row],[Conversion]]="All",LCI_Table[[#This Row],[Conversion]]=SelectedConversion)</f>
        <v>1</v>
      </c>
      <c r="I962" s="14" t="b">
        <f>OR(LCI_Table[[#This Row],[Data Set]]="all",LCI_Table[[#This Row],[Data Set]]=SelectedDataSet)</f>
        <v>0</v>
      </c>
      <c r="J962" s="14" t="b">
        <f>OR(LCI_Table[[#This Row],[Technology]]="All",LCI_Table[[#This Row],[Technology]]=SelectedTechnology)</f>
        <v>1</v>
      </c>
      <c r="K962" s="14" t="b">
        <f>OR(LCI_Table[[#This Row],[Data Source]]="All",LCI_Table[[#This Row],[Data Source]]=SelectedDataSource)</f>
        <v>0</v>
      </c>
      <c r="L962" s="14" t="b">
        <f>TRUE</f>
        <v>1</v>
      </c>
      <c r="M962" s="14" t="b">
        <f>(LCI_Table[[#This Row],[Dev Notes]]="Do not display")</f>
        <v>0</v>
      </c>
      <c r="N962" s="14" t="b">
        <f>AND(LCI_Table[[#This Row],[Show Feedstock]:[Conditional]],NOT(LCI_Table[[#This Row],[Hide Row]]))</f>
        <v>0</v>
      </c>
      <c r="O962" s="14" t="b">
        <f>LCI_Table[[#This Row],[GREET1 Name Range]]=""</f>
        <v>0</v>
      </c>
      <c r="P962" s="14" t="s">
        <v>1682</v>
      </c>
      <c r="Q962" s="14" t="s">
        <v>780</v>
      </c>
      <c r="R962" s="14" t="s">
        <v>9</v>
      </c>
      <c r="S962" s="37" cm="1">
        <f t="array" aca="1" ref="S9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962" s="346" t="s">
        <v>2114</v>
      </c>
      <c r="U962" s="347">
        <f ca="1">S962</f>
        <v>0</v>
      </c>
      <c r="V962" s="347">
        <v>0</v>
      </c>
      <c r="W962" s="347">
        <v>0</v>
      </c>
      <c r="X962" s="14" t="s">
        <v>117</v>
      </c>
      <c r="Y962" s="346" t="s">
        <v>891</v>
      </c>
      <c r="Z962" s="14" t="str">
        <f>IF(ISBLANK(LCI_Table[[#This Row],[Notes for user]])," ",LCI_Table[[#This Row],[Notes for user]])</f>
        <v xml:space="preserve"> </v>
      </c>
      <c r="AA962" s="14"/>
      <c r="AB962" s="14"/>
      <c r="AC962" s="346">
        <f ca="1">LCI_Table[[#This Row],[Default Calculated Value]]-LCI_Table[[#This Row],[Calculated Value]]</f>
        <v>0</v>
      </c>
    </row>
    <row r="963" spans="1:29" x14ac:dyDescent="0.3">
      <c r="A9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(EU)(blank)_Soybean_Extraction_LPGLPG</v>
      </c>
      <c r="B963" s="14" t="s">
        <v>10</v>
      </c>
      <c r="C963" s="14" t="s">
        <v>30</v>
      </c>
      <c r="D963" s="14" t="s">
        <v>194</v>
      </c>
      <c r="E963" s="14" t="s">
        <v>368</v>
      </c>
      <c r="F963" s="48" t="s">
        <v>31</v>
      </c>
      <c r="G963" s="14" t="b">
        <f>OR(LCI_Table[[#This Row],[Feedstock]]="All",LCI_Table[[#This Row],[Feedstock]]=SelectedFeedstock)</f>
        <v>0</v>
      </c>
      <c r="H963" s="14" t="b">
        <f>OR(LCI_Table[[#This Row],[Conversion]]="All",LCI_Table[[#This Row],[Conversion]]=SelectedConversion)</f>
        <v>1</v>
      </c>
      <c r="I963" s="14" t="b">
        <f>OR(LCI_Table[[#This Row],[Data Set]]="all",LCI_Table[[#This Row],[Data Set]]=SelectedDataSet)</f>
        <v>0</v>
      </c>
      <c r="J963" s="14" t="b">
        <f>OR(LCI_Table[[#This Row],[Technology]]="All",LCI_Table[[#This Row],[Technology]]=SelectedTechnology)</f>
        <v>1</v>
      </c>
      <c r="K963" s="14" t="b">
        <f>OR(LCI_Table[[#This Row],[Data Source]]="All",LCI_Table[[#This Row],[Data Source]]=SelectedDataSource)</f>
        <v>0</v>
      </c>
      <c r="L963" s="14" t="b">
        <f>TRUE</f>
        <v>1</v>
      </c>
      <c r="M963" s="14" t="b">
        <f>(LCI_Table[[#This Row],[Dev Notes]]="Do not display")</f>
        <v>0</v>
      </c>
      <c r="N963" s="14" t="b">
        <f>AND(LCI_Table[[#This Row],[Show Feedstock]:[Conditional]],NOT(LCI_Table[[#This Row],[Hide Row]]))</f>
        <v>0</v>
      </c>
      <c r="O963" s="14" t="b">
        <f>LCI_Table[[#This Row],[GREET1 Name Range]]=""</f>
        <v>0</v>
      </c>
      <c r="P963" s="14" t="s">
        <v>1682</v>
      </c>
      <c r="Q963" s="14" t="s">
        <v>786</v>
      </c>
      <c r="R963" s="14" t="s">
        <v>109</v>
      </c>
      <c r="S963" s="37" cm="1">
        <f t="array" aca="1" ref="S9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963" s="346" t="s">
        <v>2112</v>
      </c>
      <c r="U963" s="347">
        <f ca="1">S963*Fuel_Specs!$B$35</f>
        <v>0</v>
      </c>
      <c r="V963" s="347">
        <v>0</v>
      </c>
      <c r="W963" s="347">
        <v>0</v>
      </c>
      <c r="X963" s="14" t="s">
        <v>5</v>
      </c>
      <c r="Y963" s="346" t="s">
        <v>891</v>
      </c>
      <c r="Z963" s="14" t="str">
        <f>IF(ISBLANK(LCI_Table[[#This Row],[Notes for user]])," ",LCI_Table[[#This Row],[Notes for user]])</f>
        <v xml:space="preserve"> </v>
      </c>
      <c r="AA963" s="14"/>
      <c r="AB963" s="14"/>
      <c r="AC963" s="346">
        <f ca="1">LCI_Table[[#This Row],[Default Calculated Value]]-LCI_Table[[#This Row],[Calculated Value]]</f>
        <v>0</v>
      </c>
    </row>
    <row r="964" spans="1:29" x14ac:dyDescent="0.3">
      <c r="A9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(EU)(blank)_Soybean_Extraction_ElectricityElectricity</v>
      </c>
      <c r="B964" s="14" t="s">
        <v>10</v>
      </c>
      <c r="C964" s="14" t="s">
        <v>30</v>
      </c>
      <c r="D964" s="14" t="s">
        <v>194</v>
      </c>
      <c r="E964" s="14" t="s">
        <v>368</v>
      </c>
      <c r="F964" s="48" t="s">
        <v>31</v>
      </c>
      <c r="G964" s="14" t="b">
        <f>OR(LCI_Table[[#This Row],[Feedstock]]="All",LCI_Table[[#This Row],[Feedstock]]=SelectedFeedstock)</f>
        <v>0</v>
      </c>
      <c r="H964" s="14" t="b">
        <f>OR(LCI_Table[[#This Row],[Conversion]]="All",LCI_Table[[#This Row],[Conversion]]=SelectedConversion)</f>
        <v>1</v>
      </c>
      <c r="I964" s="14" t="b">
        <f>OR(LCI_Table[[#This Row],[Data Set]]="all",LCI_Table[[#This Row],[Data Set]]=SelectedDataSet)</f>
        <v>0</v>
      </c>
      <c r="J964" s="14" t="b">
        <f>OR(LCI_Table[[#This Row],[Technology]]="All",LCI_Table[[#This Row],[Technology]]=SelectedTechnology)</f>
        <v>1</v>
      </c>
      <c r="K964" s="14" t="b">
        <f>OR(LCI_Table[[#This Row],[Data Source]]="All",LCI_Table[[#This Row],[Data Source]]=SelectedDataSource)</f>
        <v>0</v>
      </c>
      <c r="L964" s="14" t="b">
        <f>TRUE</f>
        <v>1</v>
      </c>
      <c r="M964" s="14" t="b">
        <f>(LCI_Table[[#This Row],[Dev Notes]]="Do not display")</f>
        <v>0</v>
      </c>
      <c r="N964" s="14" t="b">
        <f>AND(LCI_Table[[#This Row],[Show Feedstock]:[Conditional]],NOT(LCI_Table[[#This Row],[Hide Row]]))</f>
        <v>0</v>
      </c>
      <c r="O964" s="14" t="b">
        <f>LCI_Table[[#This Row],[GREET1 Name Range]]=""</f>
        <v>0</v>
      </c>
      <c r="P964" s="14" t="s">
        <v>1682</v>
      </c>
      <c r="Q964" s="14" t="s">
        <v>782</v>
      </c>
      <c r="R964" s="14" t="s">
        <v>110</v>
      </c>
      <c r="S964" s="37" cm="1">
        <f t="array" aca="1" ref="S9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9.1674675865215882E-2</v>
      </c>
      <c r="T964" s="346" t="s">
        <v>2115</v>
      </c>
      <c r="U964" s="347">
        <f ca="1">S964/BTU2kWh</f>
        <v>312.80697900000001</v>
      </c>
      <c r="V964" s="347">
        <v>9.1674675865215882E-2</v>
      </c>
      <c r="W964" s="347">
        <v>312.80697900000001</v>
      </c>
      <c r="X964" s="14" t="s">
        <v>51</v>
      </c>
      <c r="Y964" s="346" t="s">
        <v>891</v>
      </c>
      <c r="Z964" s="14" t="str">
        <f>IF(ISBLANK(LCI_Table[[#This Row],[Notes for user]])," ",LCI_Table[[#This Row],[Notes for user]])</f>
        <v xml:space="preserve"> </v>
      </c>
      <c r="AA964" s="14"/>
      <c r="AB964" s="14"/>
      <c r="AC964" s="346">
        <f ca="1">LCI_Table[[#This Row],[Default Calculated Value]]-LCI_Table[[#This Row],[Calculated Value]]</f>
        <v>0</v>
      </c>
    </row>
    <row r="965" spans="1:29" x14ac:dyDescent="0.3">
      <c r="A9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(EU)(blank)_Soybean_Extraction_N_hexaneN-hexane</v>
      </c>
      <c r="B965" s="14" t="s">
        <v>10</v>
      </c>
      <c r="C965" s="14" t="s">
        <v>30</v>
      </c>
      <c r="D965" s="14" t="s">
        <v>194</v>
      </c>
      <c r="E965" s="14" t="s">
        <v>368</v>
      </c>
      <c r="F965" s="48" t="s">
        <v>31</v>
      </c>
      <c r="G965" s="14" t="b">
        <f>OR(LCI_Table[[#This Row],[Feedstock]]="All",LCI_Table[[#This Row],[Feedstock]]=SelectedFeedstock)</f>
        <v>0</v>
      </c>
      <c r="H965" s="14" t="b">
        <f>OR(LCI_Table[[#This Row],[Conversion]]="All",LCI_Table[[#This Row],[Conversion]]=SelectedConversion)</f>
        <v>1</v>
      </c>
      <c r="I965" s="14" t="b">
        <f>OR(LCI_Table[[#This Row],[Data Set]]="all",LCI_Table[[#This Row],[Data Set]]=SelectedDataSet)</f>
        <v>0</v>
      </c>
      <c r="J965" s="14" t="b">
        <f>OR(LCI_Table[[#This Row],[Technology]]="All",LCI_Table[[#This Row],[Technology]]=SelectedTechnology)</f>
        <v>1</v>
      </c>
      <c r="K965" s="14" t="b">
        <f>OR(LCI_Table[[#This Row],[Data Source]]="All",LCI_Table[[#This Row],[Data Source]]=SelectedDataSource)</f>
        <v>0</v>
      </c>
      <c r="L965" s="14" t="b">
        <f>TRUE</f>
        <v>1</v>
      </c>
      <c r="M965" s="14" t="b">
        <f>(LCI_Table[[#This Row],[Dev Notes]]="Do not display")</f>
        <v>0</v>
      </c>
      <c r="N965" s="14" t="b">
        <f>AND(LCI_Table[[#This Row],[Show Feedstock]:[Conditional]],NOT(LCI_Table[[#This Row],[Hide Row]]))</f>
        <v>0</v>
      </c>
      <c r="O965" s="14" t="b">
        <f>LCI_Table[[#This Row],[GREET1 Name Range]]=""</f>
        <v>0</v>
      </c>
      <c r="P965" s="14" t="s">
        <v>1682</v>
      </c>
      <c r="Q965" s="14" t="s">
        <v>787</v>
      </c>
      <c r="R965" s="14" t="s">
        <v>116</v>
      </c>
      <c r="S965" s="37" cm="1">
        <f t="array" aca="1" ref="S9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2.7019999086799689E-7</v>
      </c>
      <c r="T965" s="346" t="s">
        <v>2111</v>
      </c>
      <c r="U965" s="347">
        <f ca="1">S965*Fuel_Specs!$B$58*ton2lb</f>
        <v>56.809440000000002</v>
      </c>
      <c r="V965" s="347">
        <v>2.7019999086799689E-7</v>
      </c>
      <c r="W965" s="347">
        <v>56.809440000000002</v>
      </c>
      <c r="X965" s="14" t="s">
        <v>12</v>
      </c>
      <c r="Y965" s="346" t="s">
        <v>891</v>
      </c>
      <c r="Z965" s="14" t="str">
        <f>IF(ISBLANK(LCI_Table[[#This Row],[Notes for user]])," ",LCI_Table[[#This Row],[Notes for user]])</f>
        <v xml:space="preserve"> </v>
      </c>
      <c r="AA965" s="14"/>
      <c r="AB965" s="14"/>
      <c r="AC965" s="346">
        <f ca="1">LCI_Table[[#This Row],[Default Calculated Value]]-LCI_Table[[#This Row],[Calculated Value]]</f>
        <v>0</v>
      </c>
    </row>
    <row r="966" spans="1:29" x14ac:dyDescent="0.3">
      <c r="A9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(EU)(blank)_Soybean_Extraction_Forest_residueForest residue</v>
      </c>
      <c r="B966" s="14" t="s">
        <v>10</v>
      </c>
      <c r="C966" s="14" t="s">
        <v>30</v>
      </c>
      <c r="D966" s="14" t="s">
        <v>194</v>
      </c>
      <c r="E966" s="14" t="s">
        <v>368</v>
      </c>
      <c r="F966" s="48" t="s">
        <v>31</v>
      </c>
      <c r="G966" s="14" t="b">
        <f>OR(LCI_Table[[#This Row],[Feedstock]]="All",LCI_Table[[#This Row],[Feedstock]]=SelectedFeedstock)</f>
        <v>0</v>
      </c>
      <c r="H966" s="14" t="b">
        <f>OR(LCI_Table[[#This Row],[Conversion]]="All",LCI_Table[[#This Row],[Conversion]]=SelectedConversion)</f>
        <v>1</v>
      </c>
      <c r="I966" s="14" t="b">
        <f>OR(LCI_Table[[#This Row],[Data Set]]="all",LCI_Table[[#This Row],[Data Set]]=SelectedDataSet)</f>
        <v>0</v>
      </c>
      <c r="J966" s="14" t="b">
        <f>OR(LCI_Table[[#This Row],[Technology]]="All",LCI_Table[[#This Row],[Technology]]=SelectedTechnology)</f>
        <v>1</v>
      </c>
      <c r="K966" s="14" t="b">
        <f>OR(LCI_Table[[#This Row],[Data Source]]="All",LCI_Table[[#This Row],[Data Source]]=SelectedDataSource)</f>
        <v>0</v>
      </c>
      <c r="L966" s="14" t="b">
        <f>TRUE</f>
        <v>1</v>
      </c>
      <c r="M966" s="14" t="b">
        <f>(LCI_Table[[#This Row],[Dev Notes]]="Do not display")</f>
        <v>0</v>
      </c>
      <c r="N966" s="14" t="b">
        <f>AND(LCI_Table[[#This Row],[Show Feedstock]:[Conditional]],NOT(LCI_Table[[#This Row],[Hide Row]]))</f>
        <v>0</v>
      </c>
      <c r="O966" s="14" t="b">
        <f>LCI_Table[[#This Row],[GREET1 Name Range]]=""</f>
        <v>0</v>
      </c>
      <c r="P966" s="14" t="s">
        <v>1682</v>
      </c>
      <c r="Q966" s="14" t="s">
        <v>783</v>
      </c>
      <c r="R966" s="14" t="s">
        <v>316</v>
      </c>
      <c r="S966" s="37" cm="1">
        <f t="array" aca="1" ref="S9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7.8174125283739516E-10</v>
      </c>
      <c r="T966" s="346" t="s">
        <v>2111</v>
      </c>
      <c r="U966" s="347">
        <f ca="1">S966*Fuel_Specs!$B$100*ton2lb</f>
        <v>27.03104904061145</v>
      </c>
      <c r="V966" s="347">
        <v>7.8174125283739516E-10</v>
      </c>
      <c r="W966" s="347">
        <v>27.03104904061145</v>
      </c>
      <c r="X966" s="14" t="s">
        <v>12</v>
      </c>
      <c r="Y966" s="346" t="s">
        <v>891</v>
      </c>
      <c r="Z966" s="14" t="str">
        <f>IF(ISBLANK(LCI_Table[[#This Row],[Notes for user]])," ",LCI_Table[[#This Row],[Notes for user]])</f>
        <v xml:space="preserve"> </v>
      </c>
      <c r="AA966" s="14"/>
      <c r="AB966" s="14"/>
      <c r="AC966" s="346">
        <f ca="1">LCI_Table[[#This Row],[Default Calculated Value]]-LCI_Table[[#This Row],[Calculated Value]]</f>
        <v>0</v>
      </c>
    </row>
    <row r="967" spans="1:29" x14ac:dyDescent="0.3">
      <c r="A9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(EU)(blank)_Soybean_Extraction_Landfill_gasLandfill gas</v>
      </c>
      <c r="B967" s="14" t="s">
        <v>10</v>
      </c>
      <c r="C967" s="14" t="s">
        <v>30</v>
      </c>
      <c r="D967" s="14" t="s">
        <v>194</v>
      </c>
      <c r="E967" s="14" t="s">
        <v>368</v>
      </c>
      <c r="F967" s="48" t="s">
        <v>31</v>
      </c>
      <c r="G967" s="14" t="b">
        <f>OR(LCI_Table[[#This Row],[Feedstock]]="All",LCI_Table[[#This Row],[Feedstock]]=SelectedFeedstock)</f>
        <v>0</v>
      </c>
      <c r="H967" s="14" t="b">
        <f>OR(LCI_Table[[#This Row],[Conversion]]="All",LCI_Table[[#This Row],[Conversion]]=SelectedConversion)</f>
        <v>1</v>
      </c>
      <c r="I967" s="14" t="b">
        <f>OR(LCI_Table[[#This Row],[Data Set]]="all",LCI_Table[[#This Row],[Data Set]]=SelectedDataSet)</f>
        <v>0</v>
      </c>
      <c r="J967" s="14" t="b">
        <f>OR(LCI_Table[[#This Row],[Technology]]="All",LCI_Table[[#This Row],[Technology]]=SelectedTechnology)</f>
        <v>1</v>
      </c>
      <c r="K967" s="14" t="b">
        <f>OR(LCI_Table[[#This Row],[Data Source]]="All",LCI_Table[[#This Row],[Data Source]]=SelectedDataSource)</f>
        <v>0</v>
      </c>
      <c r="L967" s="14" t="b">
        <f>TRUE</f>
        <v>1</v>
      </c>
      <c r="M967" s="14" t="b">
        <f>(LCI_Table[[#This Row],[Dev Notes]]="Do not display")</f>
        <v>0</v>
      </c>
      <c r="N967" s="14" t="b">
        <f>AND(LCI_Table[[#This Row],[Show Feedstock]:[Conditional]],NOT(LCI_Table[[#This Row],[Hide Row]]))</f>
        <v>0</v>
      </c>
      <c r="O967" s="14" t="b">
        <f>LCI_Table[[#This Row],[GREET1 Name Range]]=""</f>
        <v>0</v>
      </c>
      <c r="P967" s="14" t="s">
        <v>1682</v>
      </c>
      <c r="Q967" s="14" t="s">
        <v>785</v>
      </c>
      <c r="R967" s="14" t="s">
        <v>130</v>
      </c>
      <c r="S967" s="37" cm="1">
        <f t="array" aca="1" ref="S9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1.3749261973861369E-2</v>
      </c>
      <c r="T967" s="346" t="s">
        <v>2113</v>
      </c>
      <c r="U967" s="347">
        <f ca="1">S967*Fuel_Specs!$B$79</f>
        <v>13.515524520305725</v>
      </c>
      <c r="V967" s="347">
        <v>1.3749261973861369E-2</v>
      </c>
      <c r="W967" s="347">
        <v>13.515524520305725</v>
      </c>
      <c r="X967" s="14" t="s">
        <v>351</v>
      </c>
      <c r="Y967" s="346" t="s">
        <v>891</v>
      </c>
      <c r="Z967" s="14" t="str">
        <f>IF(ISBLANK(LCI_Table[[#This Row],[Notes for user]])," ",LCI_Table[[#This Row],[Notes for user]])</f>
        <v xml:space="preserve"> </v>
      </c>
      <c r="AA967" s="14"/>
      <c r="AB967" s="14"/>
      <c r="AC967" s="346">
        <f ca="1">LCI_Table[[#This Row],[Default Calculated Value]]-LCI_Table[[#This Row],[Calculated Value]]</f>
        <v>0</v>
      </c>
    </row>
    <row r="968" spans="1:29" x14ac:dyDescent="0.3">
      <c r="A9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(EU)(blank)_Soybean_Oil_Extraction_Energy_AllocationAllocation factor</v>
      </c>
      <c r="B968" s="14" t="s">
        <v>10</v>
      </c>
      <c r="C968" s="14" t="s">
        <v>30</v>
      </c>
      <c r="D968" s="14" t="s">
        <v>194</v>
      </c>
      <c r="E968" s="48" t="s">
        <v>368</v>
      </c>
      <c r="F968" s="48" t="s">
        <v>31</v>
      </c>
      <c r="G968" s="14" t="b">
        <f>OR(LCI_Table[[#This Row],[Feedstock]]="All",LCI_Table[[#This Row],[Feedstock]]=SelectedFeedstock)</f>
        <v>0</v>
      </c>
      <c r="H968" s="14" t="b">
        <f>OR(LCI_Table[[#This Row],[Conversion]]="All",LCI_Table[[#This Row],[Conversion]]=SelectedConversion)</f>
        <v>1</v>
      </c>
      <c r="I968" s="14" t="b">
        <f>OR(LCI_Table[[#This Row],[Data Set]]="all",LCI_Table[[#This Row],[Data Set]]=SelectedDataSet)</f>
        <v>0</v>
      </c>
      <c r="J968" s="14" t="b">
        <f>OR(LCI_Table[[#This Row],[Technology]]="All",LCI_Table[[#This Row],[Technology]]=SelectedTechnology)</f>
        <v>1</v>
      </c>
      <c r="K968" s="14" t="b">
        <f>OR(LCI_Table[[#This Row],[Data Source]]="All",LCI_Table[[#This Row],[Data Source]]=SelectedDataSource)</f>
        <v>0</v>
      </c>
      <c r="L968" s="14" t="b">
        <f>TRUE</f>
        <v>1</v>
      </c>
      <c r="M968" s="14" t="b">
        <f>(LCI_Table[[#This Row],[Dev Notes]]="Do not display")</f>
        <v>0</v>
      </c>
      <c r="N968" s="14" t="b">
        <f>AND(LCI_Table[[#This Row],[Show Feedstock]:[Conditional]],NOT(LCI_Table[[#This Row],[Hide Row]]))</f>
        <v>0</v>
      </c>
      <c r="O968" s="14" t="b">
        <f>LCI_Table[[#This Row],[GREET1 Name Range]]=""</f>
        <v>0</v>
      </c>
      <c r="P968" s="14" t="s">
        <v>1682</v>
      </c>
      <c r="Q968" s="14" t="s">
        <v>1105</v>
      </c>
      <c r="R968" s="14" t="s">
        <v>1344</v>
      </c>
      <c r="S968" s="37" cm="1">
        <f t="array" aca="1" ref="S9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43</v>
      </c>
      <c r="T968" s="346" t="s">
        <v>1345</v>
      </c>
      <c r="U968" s="347">
        <f ca="1">LCI_Table[[#This Row],[Dashboard Value]]/100</f>
        <v>0.43</v>
      </c>
      <c r="V968" s="347">
        <v>43</v>
      </c>
      <c r="W968" s="347">
        <v>0.43</v>
      </c>
      <c r="X968" s="349" t="s">
        <v>1345</v>
      </c>
      <c r="Y968" s="346" t="s">
        <v>891</v>
      </c>
      <c r="Z968" s="14" t="str">
        <f>IF(ISBLANK(LCI_Table[[#This Row],[Notes for user]])," ",LCI_Table[[#This Row],[Notes for user]])</f>
        <v>Allocation to soy oil (energy allocation)</v>
      </c>
      <c r="AA968" s="14" t="s">
        <v>1354</v>
      </c>
      <c r="AB968" s="14"/>
      <c r="AC968" s="346">
        <f ca="1">LCI_Table[[#This Row],[Default Calculated Value]]-LCI_Table[[#This Row],[Calculated Value]]</f>
        <v>0</v>
      </c>
    </row>
    <row r="969" spans="1:29" x14ac:dyDescent="0.3">
      <c r="A9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(EU)(blank)_HEFA_feed_usageSoybean Oil</v>
      </c>
      <c r="B969" s="14" t="s">
        <v>10</v>
      </c>
      <c r="C969" s="14" t="s">
        <v>30</v>
      </c>
      <c r="D969" s="14" t="s">
        <v>194</v>
      </c>
      <c r="E969" s="14" t="s">
        <v>368</v>
      </c>
      <c r="F969" s="48" t="s">
        <v>31</v>
      </c>
      <c r="G969" s="14" t="b">
        <f>OR(LCI_Table[[#This Row],[Feedstock]]="All",LCI_Table[[#This Row],[Feedstock]]=SelectedFeedstock)</f>
        <v>0</v>
      </c>
      <c r="H969" s="14" t="b">
        <f>OR(LCI_Table[[#This Row],[Conversion]]="All",LCI_Table[[#This Row],[Conversion]]=SelectedConversion)</f>
        <v>1</v>
      </c>
      <c r="I969" s="14" t="b">
        <f>OR(LCI_Table[[#This Row],[Data Set]]="all",LCI_Table[[#This Row],[Data Set]]=SelectedDataSet)</f>
        <v>0</v>
      </c>
      <c r="J969" s="14" t="b">
        <f>OR(LCI_Table[[#This Row],[Technology]]="All",LCI_Table[[#This Row],[Technology]]=SelectedTechnology)</f>
        <v>1</v>
      </c>
      <c r="K969" s="14" t="b">
        <f>OR(LCI_Table[[#This Row],[Data Source]]="All",LCI_Table[[#This Row],[Data Source]]=SelectedDataSource)</f>
        <v>0</v>
      </c>
      <c r="L969" s="14" t="b">
        <f>TRUE</f>
        <v>1</v>
      </c>
      <c r="M969" s="14" t="b">
        <f>(LCI_Table[[#This Row],[Dev Notes]]="Do not display")</f>
        <v>0</v>
      </c>
      <c r="N969" s="14" t="b">
        <f>AND(LCI_Table[[#This Row],[Show Feedstock]:[Conditional]],NOT(LCI_Table[[#This Row],[Hide Row]]))</f>
        <v>0</v>
      </c>
      <c r="O969" s="14" t="b">
        <f>LCI_Table[[#This Row],[GREET1 Name Range]]=""</f>
        <v>0</v>
      </c>
      <c r="P969" s="14" t="s">
        <v>1448</v>
      </c>
      <c r="Q969" s="14" t="s">
        <v>933</v>
      </c>
      <c r="R969" s="14" t="s">
        <v>1903</v>
      </c>
      <c r="S969" s="37" cm="1">
        <f t="array" aca="1" ref="S9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64.651733024069841</v>
      </c>
      <c r="T969" s="346" t="s">
        <v>2119</v>
      </c>
      <c r="U969" s="347">
        <f ca="1">S969*lb2g/Fuel_Specs!$E$48*Fuel_Specs!$B$48*BTU2mmBTU</f>
        <v>1.2257701777479215</v>
      </c>
      <c r="V969" s="347">
        <v>64.651733024069841</v>
      </c>
      <c r="W969" s="347">
        <v>1.2257701777479215</v>
      </c>
      <c r="X969" s="14" t="s">
        <v>12</v>
      </c>
      <c r="Y969" s="346" t="s">
        <v>416</v>
      </c>
      <c r="Z969" s="14" t="str">
        <f>IF(ISBLANK(LCI_Table[[#This Row],[Notes for user]])," ",LCI_Table[[#This Row],[Notes for user]])</f>
        <v xml:space="preserve"> </v>
      </c>
      <c r="AA969" s="358"/>
      <c r="AB969" s="14"/>
      <c r="AC969" s="346">
        <f ca="1">LCI_Table[[#This Row],[Default Calculated Value]]-LCI_Table[[#This Row],[Calculated Value]]</f>
        <v>0</v>
      </c>
    </row>
    <row r="970" spans="1:29" x14ac:dyDescent="0.3">
      <c r="A9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(EU)(blank)_Soybean_HEFA_Natural_gasNatural gas</v>
      </c>
      <c r="B970" s="14" t="s">
        <v>10</v>
      </c>
      <c r="C970" s="14" t="s">
        <v>30</v>
      </c>
      <c r="D970" s="14" t="s">
        <v>194</v>
      </c>
      <c r="E970" s="14" t="s">
        <v>368</v>
      </c>
      <c r="F970" s="48" t="s">
        <v>31</v>
      </c>
      <c r="G970" s="14" t="b">
        <f>OR(LCI_Table[[#This Row],[Feedstock]]="All",LCI_Table[[#This Row],[Feedstock]]=SelectedFeedstock)</f>
        <v>0</v>
      </c>
      <c r="H970" s="14" t="b">
        <f>OR(LCI_Table[[#This Row],[Conversion]]="All",LCI_Table[[#This Row],[Conversion]]=SelectedConversion)</f>
        <v>1</v>
      </c>
      <c r="I970" s="14" t="b">
        <f>OR(LCI_Table[[#This Row],[Data Set]]="all",LCI_Table[[#This Row],[Data Set]]=SelectedDataSet)</f>
        <v>0</v>
      </c>
      <c r="J970" s="14" t="b">
        <f>OR(LCI_Table[[#This Row],[Technology]]="All",LCI_Table[[#This Row],[Technology]]=SelectedTechnology)</f>
        <v>1</v>
      </c>
      <c r="K970" s="14" t="b">
        <f>OR(LCI_Table[[#This Row],[Data Source]]="All",LCI_Table[[#This Row],[Data Source]]=SelectedDataSource)</f>
        <v>0</v>
      </c>
      <c r="L970" s="14" t="b">
        <f>TRUE</f>
        <v>1</v>
      </c>
      <c r="M970" s="14" t="b">
        <f>(LCI_Table[[#This Row],[Dev Notes]]="Do not display")</f>
        <v>0</v>
      </c>
      <c r="N970" s="14" t="b">
        <f>AND(LCI_Table[[#This Row],[Show Feedstock]:[Conditional]],NOT(LCI_Table[[#This Row],[Hide Row]]))</f>
        <v>0</v>
      </c>
      <c r="O970" s="14" t="b">
        <f>LCI_Table[[#This Row],[GREET1 Name Range]]=""</f>
        <v>0</v>
      </c>
      <c r="P970" s="14" t="s">
        <v>1448</v>
      </c>
      <c r="Q970" s="14" t="s">
        <v>805</v>
      </c>
      <c r="R970" s="14" t="s">
        <v>108</v>
      </c>
      <c r="S970" s="37" cm="1">
        <f t="array" aca="1" ref="S9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204.96559373142176</v>
      </c>
      <c r="T970" s="346" t="s">
        <v>2120</v>
      </c>
      <c r="U970" s="347">
        <f ca="1">S970*lb2g/Fuel_Specs!$E$48*Fuel_Specs!$B$48*Fuel_Specs!$B$79*BTU2mmBTU</f>
        <v>3820.0000000000005</v>
      </c>
      <c r="V970" s="347">
        <v>204.96559373142176</v>
      </c>
      <c r="W970" s="347">
        <v>3820.0000000000005</v>
      </c>
      <c r="X970" s="14" t="s">
        <v>351</v>
      </c>
      <c r="Y970" s="346" t="s">
        <v>416</v>
      </c>
      <c r="Z970" s="14" t="str">
        <f>IF(ISBLANK(LCI_Table[[#This Row],[Notes for user]])," ",LCI_Table[[#This Row],[Notes for user]])</f>
        <v xml:space="preserve"> </v>
      </c>
      <c r="AA970" s="14"/>
      <c r="AB970" s="14"/>
      <c r="AC970" s="346">
        <f ca="1">LCI_Table[[#This Row],[Default Calculated Value]]-LCI_Table[[#This Row],[Calculated Value]]</f>
        <v>0</v>
      </c>
    </row>
    <row r="971" spans="1:29" x14ac:dyDescent="0.3">
      <c r="A9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(EU)(blank)_Soybean_HEFA_ElectricityGrid Electricity</v>
      </c>
      <c r="B971" s="14" t="s">
        <v>10</v>
      </c>
      <c r="C971" s="14" t="s">
        <v>30</v>
      </c>
      <c r="D971" s="14" t="s">
        <v>194</v>
      </c>
      <c r="E971" s="14" t="s">
        <v>368</v>
      </c>
      <c r="F971" s="48" t="s">
        <v>31</v>
      </c>
      <c r="G971" s="14" t="b">
        <f>OR(LCI_Table[[#This Row],[Feedstock]]="All",LCI_Table[[#This Row],[Feedstock]]=SelectedFeedstock)</f>
        <v>0</v>
      </c>
      <c r="H971" s="14" t="b">
        <f>OR(LCI_Table[[#This Row],[Conversion]]="All",LCI_Table[[#This Row],[Conversion]]=SelectedConversion)</f>
        <v>1</v>
      </c>
      <c r="I971" s="14" t="b">
        <f>OR(LCI_Table[[#This Row],[Data Set]]="all",LCI_Table[[#This Row],[Data Set]]=SelectedDataSet)</f>
        <v>0</v>
      </c>
      <c r="J971" s="14" t="b">
        <f>OR(LCI_Table[[#This Row],[Technology]]="All",LCI_Table[[#This Row],[Technology]]=SelectedTechnology)</f>
        <v>1</v>
      </c>
      <c r="K971" s="14" t="b">
        <f>OR(LCI_Table[[#This Row],[Data Source]]="All",LCI_Table[[#This Row],[Data Source]]=SelectedDataSource)</f>
        <v>0</v>
      </c>
      <c r="L971" s="14" t="b">
        <f>TRUE</f>
        <v>1</v>
      </c>
      <c r="M971" s="14" t="b">
        <f>(LCI_Table[[#This Row],[Dev Notes]]="Do not display")</f>
        <v>0</v>
      </c>
      <c r="N971" s="14" t="b">
        <f>AND(LCI_Table[[#This Row],[Show Feedstock]:[Conditional]],NOT(LCI_Table[[#This Row],[Hide Row]]))</f>
        <v>0</v>
      </c>
      <c r="O971" s="14" t="b">
        <f>LCI_Table[[#This Row],[GREET1 Name Range]]=""</f>
        <v>0</v>
      </c>
      <c r="P971" s="14" t="s">
        <v>1448</v>
      </c>
      <c r="Q971" s="14" t="s">
        <v>803</v>
      </c>
      <c r="R971" s="14" t="s">
        <v>1684</v>
      </c>
      <c r="S971" s="37" cm="1">
        <f t="array" aca="1" ref="S9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0.52401505822687899</v>
      </c>
      <c r="T971" s="346" t="s">
        <v>2121</v>
      </c>
      <c r="U971" s="347">
        <f ca="1">S971*lb2g/Fuel_Specs!$E$48*Fuel_Specs!$B$48/BTU2kWh*BTU2mmBTU</f>
        <v>33.9</v>
      </c>
      <c r="V971" s="347">
        <v>0.52401505822687899</v>
      </c>
      <c r="W971" s="347">
        <v>33.9</v>
      </c>
      <c r="X971" s="14" t="s">
        <v>51</v>
      </c>
      <c r="Y971" s="346" t="s">
        <v>416</v>
      </c>
      <c r="Z971" s="14" t="str">
        <f>IF(ISBLANK(LCI_Table[[#This Row],[Notes for user]])," ",LCI_Table[[#This Row],[Notes for user]])</f>
        <v xml:space="preserve"> </v>
      </c>
      <c r="AA971" s="14"/>
      <c r="AB971" s="14"/>
      <c r="AC971" s="346">
        <f ca="1">LCI_Table[[#This Row],[Default Calculated Value]]-LCI_Table[[#This Row],[Calculated Value]]</f>
        <v>0</v>
      </c>
    </row>
    <row r="972" spans="1:29" x14ac:dyDescent="0.3">
      <c r="A9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(EU)(blank)_Soybean_HEFA_H2Hydrogen</v>
      </c>
      <c r="B972" s="14" t="s">
        <v>10</v>
      </c>
      <c r="C972" s="14" t="s">
        <v>30</v>
      </c>
      <c r="D972" s="14" t="s">
        <v>194</v>
      </c>
      <c r="E972" s="14" t="s">
        <v>368</v>
      </c>
      <c r="F972" s="48" t="s">
        <v>31</v>
      </c>
      <c r="G972" s="14" t="b">
        <f>OR(LCI_Table[[#This Row],[Feedstock]]="All",LCI_Table[[#This Row],[Feedstock]]=SelectedFeedstock)</f>
        <v>0</v>
      </c>
      <c r="H972" s="14" t="b">
        <f>OR(LCI_Table[[#This Row],[Conversion]]="All",LCI_Table[[#This Row],[Conversion]]=SelectedConversion)</f>
        <v>1</v>
      </c>
      <c r="I972" s="14" t="b">
        <f>OR(LCI_Table[[#This Row],[Data Set]]="all",LCI_Table[[#This Row],[Data Set]]=SelectedDataSet)</f>
        <v>0</v>
      </c>
      <c r="J972" s="14" t="b">
        <f>OR(LCI_Table[[#This Row],[Technology]]="All",LCI_Table[[#This Row],[Technology]]=SelectedTechnology)</f>
        <v>1</v>
      </c>
      <c r="K972" s="14" t="b">
        <f>OR(LCI_Table[[#This Row],[Data Source]]="All",LCI_Table[[#This Row],[Data Source]]=SelectedDataSource)</f>
        <v>0</v>
      </c>
      <c r="L972" s="14" t="b">
        <f>TRUE</f>
        <v>1</v>
      </c>
      <c r="M972" s="14" t="b">
        <f>(LCI_Table[[#This Row],[Dev Notes]]="Do not display")</f>
        <v>0</v>
      </c>
      <c r="N972" s="14" t="b">
        <f>AND(LCI_Table[[#This Row],[Show Feedstock]:[Conditional]],NOT(LCI_Table[[#This Row],[Hide Row]]))</f>
        <v>0</v>
      </c>
      <c r="O972" s="14" t="b">
        <f>LCI_Table[[#This Row],[GREET1 Name Range]]=""</f>
        <v>0</v>
      </c>
      <c r="P972" s="14" t="s">
        <v>1448</v>
      </c>
      <c r="Q972" s="14" t="s">
        <v>804</v>
      </c>
      <c r="R972" s="14" t="s">
        <v>73</v>
      </c>
      <c r="S972" s="37" cm="1">
        <f t="array" aca="1" ref="S9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57.727140368024244</v>
      </c>
      <c r="T972" s="346" t="s">
        <v>2120</v>
      </c>
      <c r="U972" s="347">
        <f ca="1">S972*lb2g/Fuel_Specs!$E$48*Fuel_Specs!$B$48*Fuel_Specs!$B$81*BTU2mmBTU</f>
        <v>317.40000000000003</v>
      </c>
      <c r="V972" s="347">
        <v>57.727140368024244</v>
      </c>
      <c r="W972" s="347">
        <v>317.40000000000003</v>
      </c>
      <c r="X972" s="14" t="s">
        <v>351</v>
      </c>
      <c r="Y972" s="346" t="s">
        <v>416</v>
      </c>
      <c r="Z972" s="14" t="str">
        <f>IF(ISBLANK(LCI_Table[[#This Row],[Notes for user]])," ",LCI_Table[[#This Row],[Notes for user]])</f>
        <v xml:space="preserve"> </v>
      </c>
      <c r="AA972" s="14"/>
      <c r="AB972" s="14"/>
      <c r="AC972" s="346">
        <f ca="1">LCI_Table[[#This Row],[Default Calculated Value]]-LCI_Table[[#This Row],[Calculated Value]]</f>
        <v>0</v>
      </c>
    </row>
    <row r="973" spans="1:29" x14ac:dyDescent="0.3">
      <c r="A9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SoybeanHEFAICAOBioGrace (EU)(blank)_Soybean_Oil_HEFA_Energy_AllocationAllocation factor</v>
      </c>
      <c r="B973" s="14" t="s">
        <v>10</v>
      </c>
      <c r="C973" s="14" t="s">
        <v>30</v>
      </c>
      <c r="D973" s="14" t="s">
        <v>194</v>
      </c>
      <c r="E973" s="48" t="s">
        <v>368</v>
      </c>
      <c r="F973" s="48" t="s">
        <v>31</v>
      </c>
      <c r="G973" s="14" t="b">
        <f>OR(LCI_Table[[#This Row],[Feedstock]]="All",LCI_Table[[#This Row],[Feedstock]]=SelectedFeedstock)</f>
        <v>0</v>
      </c>
      <c r="H973" s="14" t="b">
        <f>OR(LCI_Table[[#This Row],[Conversion]]="All",LCI_Table[[#This Row],[Conversion]]=SelectedConversion)</f>
        <v>1</v>
      </c>
      <c r="I973" s="14" t="b">
        <f>OR(LCI_Table[[#This Row],[Data Set]]="all",LCI_Table[[#This Row],[Data Set]]=SelectedDataSet)</f>
        <v>0</v>
      </c>
      <c r="J973" s="14" t="b">
        <f>OR(LCI_Table[[#This Row],[Technology]]="All",LCI_Table[[#This Row],[Technology]]=SelectedTechnology)</f>
        <v>1</v>
      </c>
      <c r="K973" s="14" t="b">
        <f>OR(LCI_Table[[#This Row],[Data Source]]="All",LCI_Table[[#This Row],[Data Source]]=SelectedDataSource)</f>
        <v>0</v>
      </c>
      <c r="L973" s="14" t="b">
        <f>TRUE</f>
        <v>1</v>
      </c>
      <c r="M973" s="14" t="b">
        <f>(LCI_Table[[#This Row],[Dev Notes]]="Do not display")</f>
        <v>0</v>
      </c>
      <c r="N973" s="14" t="b">
        <f>AND(LCI_Table[[#This Row],[Show Feedstock]:[Conditional]],NOT(LCI_Table[[#This Row],[Hide Row]]))</f>
        <v>0</v>
      </c>
      <c r="O973" s="14" t="b">
        <f>LCI_Table[[#This Row],[GREET1 Name Range]]=""</f>
        <v>0</v>
      </c>
      <c r="P973" s="14" t="s">
        <v>1448</v>
      </c>
      <c r="Q973" s="14" t="s">
        <v>1115</v>
      </c>
      <c r="R973" s="14" t="s">
        <v>1344</v>
      </c>
      <c r="S973" s="37" cm="1">
        <f t="array" aca="1" ref="S9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99.009879652760063</v>
      </c>
      <c r="T973" s="350" t="s">
        <v>1345</v>
      </c>
      <c r="U973" s="351">
        <f ca="1">LCI_Table[[#This Row],[Dashboard Value]]/100</f>
        <v>0.99009879652760058</v>
      </c>
      <c r="V973" s="351">
        <v>99.009879652760063</v>
      </c>
      <c r="W973" s="351">
        <v>0.99009879652760058</v>
      </c>
      <c r="X973" s="349" t="s">
        <v>1345</v>
      </c>
      <c r="Y973" s="346" t="s">
        <v>416</v>
      </c>
      <c r="Z973" s="14" t="str">
        <f>IF(ISBLANK(LCI_Table[[#This Row],[Notes for user]])," ",LCI_Table[[#This Row],[Notes for user]])</f>
        <v>Allocation to the main distillate products (energy allocation)</v>
      </c>
      <c r="AA973" s="14" t="s">
        <v>1351</v>
      </c>
      <c r="AB973" s="346"/>
      <c r="AC973" s="346">
        <f ca="1">LCI_Table[[#This Row],[Default Calculated Value]]-LCI_Table[[#This Row],[Calculated Value]]</f>
        <v>0</v>
      </c>
    </row>
    <row r="974" spans="1:29" x14ac:dyDescent="0.3">
      <c r="A9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dash_SoybeanHEFAICAOLatAm(blank)_Yield_Farming</v>
      </c>
      <c r="B974" s="48" t="s">
        <v>10</v>
      </c>
      <c r="C974" s="48" t="s">
        <v>30</v>
      </c>
      <c r="D974" s="48" t="s">
        <v>194</v>
      </c>
      <c r="E974" s="48" t="s">
        <v>369</v>
      </c>
      <c r="F974" s="48" t="s">
        <v>31</v>
      </c>
      <c r="G974" s="14" t="b">
        <f>OR(LCI_Table[[#This Row],[Feedstock]]="All",LCI_Table[[#This Row],[Feedstock]]=SelectedFeedstock)</f>
        <v>0</v>
      </c>
      <c r="H974" s="14" t="b">
        <f>OR(LCI_Table[[#This Row],[Conversion]]="All",LCI_Table[[#This Row],[Conversion]]=SelectedConversion)</f>
        <v>1</v>
      </c>
      <c r="I974" s="14" t="b">
        <f>OR(LCI_Table[[#This Row],[Data Set]]="all",LCI_Table[[#This Row],[Data Set]]=SelectedDataSet)</f>
        <v>0</v>
      </c>
      <c r="J974" s="14" t="b">
        <f>OR(LCI_Table[[#This Row],[Technology]]="All",LCI_Table[[#This Row],[Technology]]=SelectedTechnology)</f>
        <v>1</v>
      </c>
      <c r="K974" s="14" t="b">
        <f>OR(LCI_Table[[#This Row],[Data Source]]="All",LCI_Table[[#This Row],[Data Source]]=SelectedDataSource)</f>
        <v>0</v>
      </c>
      <c r="L974" s="14" t="b">
        <f>TRUE</f>
        <v>1</v>
      </c>
      <c r="M974" s="14" t="b">
        <f>(LCI_Table[[#This Row],[Dev Notes]]="Do not display")</f>
        <v>0</v>
      </c>
      <c r="N974" s="14" t="b">
        <f>AND(LCI_Table[[#This Row],[Show Feedstock]:[Conditional]],NOT(LCI_Table[[#This Row],[Hide Row]]))</f>
        <v>0</v>
      </c>
      <c r="O974" s="14" t="b">
        <f>LCI_Table[[#This Row],[GREET1 Name Range]]=""</f>
        <v>1</v>
      </c>
      <c r="P974" s="48" t="s">
        <v>14</v>
      </c>
      <c r="Q974" s="14" t="s">
        <v>361</v>
      </c>
      <c r="R974" s="48" t="s">
        <v>200</v>
      </c>
      <c r="S974" s="37" cm="1">
        <f t="array" aca="1" ref="S9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50.6</v>
      </c>
      <c r="T974" s="346" t="s">
        <v>2108</v>
      </c>
      <c r="U974" s="344"/>
      <c r="V974" s="344">
        <v>50.6</v>
      </c>
      <c r="W974" s="344"/>
      <c r="X974" s="48" t="s">
        <v>11</v>
      </c>
      <c r="Y974" s="346" t="s">
        <v>413</v>
      </c>
      <c r="Z974" s="14" t="str">
        <f>IF(ISBLANK(LCI_Table[[#This Row],[Notes for user]])," ",LCI_Table[[#This Row],[Notes for user]])</f>
        <v xml:space="preserve"> </v>
      </c>
      <c r="AA974" s="48"/>
      <c r="AB974" s="345"/>
      <c r="AC974" s="346">
        <f>LCI_Table[[#This Row],[Default Calculated Value]]-LCI_Table[[#This Row],[Calculated Value]]</f>
        <v>0</v>
      </c>
    </row>
    <row r="975" spans="1:29" x14ac:dyDescent="0.3">
      <c r="A9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SoybeanHEFAICAOLatAm(blank)_Soybean_Farming_Nitrogen_fertilizerNitrogen fertilizer</v>
      </c>
      <c r="B975" s="14" t="s">
        <v>10</v>
      </c>
      <c r="C975" s="14" t="s">
        <v>30</v>
      </c>
      <c r="D975" s="14" t="s">
        <v>194</v>
      </c>
      <c r="E975" s="14" t="s">
        <v>369</v>
      </c>
      <c r="F975" s="48" t="s">
        <v>31</v>
      </c>
      <c r="G975" s="14" t="b">
        <f>OR(LCI_Table[[#This Row],[Feedstock]]="All",LCI_Table[[#This Row],[Feedstock]]=SelectedFeedstock)</f>
        <v>0</v>
      </c>
      <c r="H975" s="14" t="b">
        <f>OR(LCI_Table[[#This Row],[Conversion]]="All",LCI_Table[[#This Row],[Conversion]]=SelectedConversion)</f>
        <v>1</v>
      </c>
      <c r="I975" s="14" t="b">
        <f>OR(LCI_Table[[#This Row],[Data Set]]="all",LCI_Table[[#This Row],[Data Set]]=SelectedDataSet)</f>
        <v>0</v>
      </c>
      <c r="J975" s="14" t="b">
        <f>OR(LCI_Table[[#This Row],[Technology]]="All",LCI_Table[[#This Row],[Technology]]=SelectedTechnology)</f>
        <v>1</v>
      </c>
      <c r="K975" s="14" t="b">
        <f>OR(LCI_Table[[#This Row],[Data Source]]="All",LCI_Table[[#This Row],[Data Source]]=SelectedDataSource)</f>
        <v>0</v>
      </c>
      <c r="L975" s="14" t="b">
        <f>TRUE</f>
        <v>1</v>
      </c>
      <c r="M975" s="14" t="b">
        <f>(LCI_Table[[#This Row],[Dev Notes]]="Do not display")</f>
        <v>0</v>
      </c>
      <c r="N975" s="14" t="b">
        <f>AND(LCI_Table[[#This Row],[Show Feedstock]:[Conditional]],NOT(LCI_Table[[#This Row],[Hide Row]]))</f>
        <v>0</v>
      </c>
      <c r="O975" s="14" t="b">
        <f>LCI_Table[[#This Row],[GREET1 Name Range]]=""</f>
        <v>0</v>
      </c>
      <c r="P975" s="14" t="s">
        <v>14</v>
      </c>
      <c r="Q975" s="14" t="s">
        <v>800</v>
      </c>
      <c r="R975" s="14" t="s">
        <v>111</v>
      </c>
      <c r="S975" s="37" cm="1">
        <f t="array" aca="1" ref="S9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6.715545060866007</v>
      </c>
      <c r="T975" s="346" t="s">
        <v>1485</v>
      </c>
      <c r="U975" s="347">
        <f ca="1">S975/g2lb/S974</f>
        <v>60.2</v>
      </c>
      <c r="V975" s="347">
        <v>6.715545060866007</v>
      </c>
      <c r="W975" s="347">
        <v>60.2</v>
      </c>
      <c r="X975" s="14" t="s">
        <v>12</v>
      </c>
      <c r="Y975" s="346" t="s">
        <v>413</v>
      </c>
      <c r="Z975" s="14" t="str">
        <f>IF(ISBLANK(LCI_Table[[#This Row],[Notes for user]])," ",LCI_Table[[#This Row],[Notes for user]])</f>
        <v xml:space="preserve"> </v>
      </c>
      <c r="AA975" s="14"/>
      <c r="AB975" s="14"/>
      <c r="AC975" s="346">
        <f ca="1">LCI_Table[[#This Row],[Default Calculated Value]]-LCI_Table[[#This Row],[Calculated Value]]</f>
        <v>0</v>
      </c>
    </row>
    <row r="976" spans="1:29" x14ac:dyDescent="0.3">
      <c r="A9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SoybeanHEFAICAOLatAm(blank)_Soybean_Farming_P2O5P2O5</v>
      </c>
      <c r="B976" s="14" t="s">
        <v>10</v>
      </c>
      <c r="C976" s="14" t="s">
        <v>30</v>
      </c>
      <c r="D976" s="14" t="s">
        <v>194</v>
      </c>
      <c r="E976" s="14" t="s">
        <v>369</v>
      </c>
      <c r="F976" s="48" t="s">
        <v>31</v>
      </c>
      <c r="G976" s="14" t="b">
        <f>OR(LCI_Table[[#This Row],[Feedstock]]="All",LCI_Table[[#This Row],[Feedstock]]=SelectedFeedstock)</f>
        <v>0</v>
      </c>
      <c r="H976" s="14" t="b">
        <f>OR(LCI_Table[[#This Row],[Conversion]]="All",LCI_Table[[#This Row],[Conversion]]=SelectedConversion)</f>
        <v>1</v>
      </c>
      <c r="I976" s="14" t="b">
        <f>OR(LCI_Table[[#This Row],[Data Set]]="all",LCI_Table[[#This Row],[Data Set]]=SelectedDataSet)</f>
        <v>0</v>
      </c>
      <c r="J976" s="14" t="b">
        <f>OR(LCI_Table[[#This Row],[Technology]]="All",LCI_Table[[#This Row],[Technology]]=SelectedTechnology)</f>
        <v>1</v>
      </c>
      <c r="K976" s="14" t="b">
        <f>OR(LCI_Table[[#This Row],[Data Source]]="All",LCI_Table[[#This Row],[Data Source]]=SelectedDataSource)</f>
        <v>0</v>
      </c>
      <c r="L976" s="14" t="b">
        <f>TRUE</f>
        <v>1</v>
      </c>
      <c r="M976" s="14" t="b">
        <f>(LCI_Table[[#This Row],[Dev Notes]]="Do not display")</f>
        <v>0</v>
      </c>
      <c r="N976" s="14" t="b">
        <f>AND(LCI_Table[[#This Row],[Show Feedstock]:[Conditional]],NOT(LCI_Table[[#This Row],[Hide Row]]))</f>
        <v>0</v>
      </c>
      <c r="O976" s="14" t="b">
        <f>LCI_Table[[#This Row],[GREET1 Name Range]]=""</f>
        <v>0</v>
      </c>
      <c r="P976" s="14" t="s">
        <v>14</v>
      </c>
      <c r="Q976" s="14" t="s">
        <v>801</v>
      </c>
      <c r="R976" s="14" t="s">
        <v>112</v>
      </c>
      <c r="S976" s="37" cm="1">
        <f t="array" aca="1" ref="S9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74.819203859183247</v>
      </c>
      <c r="T976" s="346" t="s">
        <v>1485</v>
      </c>
      <c r="U976" s="347">
        <f ca="1">S976/g2lb/S974</f>
        <v>670.7</v>
      </c>
      <c r="V976" s="347">
        <v>74.819203859183247</v>
      </c>
      <c r="W976" s="347">
        <v>670.7</v>
      </c>
      <c r="X976" s="14" t="s">
        <v>12</v>
      </c>
      <c r="Y976" s="346" t="s">
        <v>413</v>
      </c>
      <c r="Z976" s="14" t="str">
        <f>IF(ISBLANK(LCI_Table[[#This Row],[Notes for user]])," ",LCI_Table[[#This Row],[Notes for user]])</f>
        <v xml:space="preserve"> </v>
      </c>
      <c r="AA976" s="14"/>
      <c r="AB976" s="14"/>
      <c r="AC976" s="346">
        <f ca="1">LCI_Table[[#This Row],[Default Calculated Value]]-LCI_Table[[#This Row],[Calculated Value]]</f>
        <v>0</v>
      </c>
    </row>
    <row r="977" spans="1:29" x14ac:dyDescent="0.3">
      <c r="A9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SoybeanHEFAICAOLatAm(blank)_Soybean_Farming_K2OK2O</v>
      </c>
      <c r="B977" s="14" t="s">
        <v>10</v>
      </c>
      <c r="C977" s="14" t="s">
        <v>30</v>
      </c>
      <c r="D977" s="14" t="s">
        <v>194</v>
      </c>
      <c r="E977" s="14" t="s">
        <v>369</v>
      </c>
      <c r="F977" s="48" t="s">
        <v>31</v>
      </c>
      <c r="G977" s="14" t="b">
        <f>OR(LCI_Table[[#This Row],[Feedstock]]="All",LCI_Table[[#This Row],[Feedstock]]=SelectedFeedstock)</f>
        <v>0</v>
      </c>
      <c r="H977" s="14" t="b">
        <f>OR(LCI_Table[[#This Row],[Conversion]]="All",LCI_Table[[#This Row],[Conversion]]=SelectedConversion)</f>
        <v>1</v>
      </c>
      <c r="I977" s="14" t="b">
        <f>OR(LCI_Table[[#This Row],[Data Set]]="all",LCI_Table[[#This Row],[Data Set]]=SelectedDataSet)</f>
        <v>0</v>
      </c>
      <c r="J977" s="14" t="b">
        <f>OR(LCI_Table[[#This Row],[Technology]]="All",LCI_Table[[#This Row],[Technology]]=SelectedTechnology)</f>
        <v>1</v>
      </c>
      <c r="K977" s="14" t="b">
        <f>OR(LCI_Table[[#This Row],[Data Source]]="All",LCI_Table[[#This Row],[Data Source]]=SelectedDataSource)</f>
        <v>0</v>
      </c>
      <c r="L977" s="14" t="b">
        <f>TRUE</f>
        <v>1</v>
      </c>
      <c r="M977" s="14" t="b">
        <f>(LCI_Table[[#This Row],[Dev Notes]]="Do not display")</f>
        <v>0</v>
      </c>
      <c r="N977" s="14" t="b">
        <f>AND(LCI_Table[[#This Row],[Show Feedstock]:[Conditional]],NOT(LCI_Table[[#This Row],[Hide Row]]))</f>
        <v>0</v>
      </c>
      <c r="O977" s="14" t="b">
        <f>LCI_Table[[#This Row],[GREET1 Name Range]]=""</f>
        <v>0</v>
      </c>
      <c r="P977" s="14" t="s">
        <v>14</v>
      </c>
      <c r="Q977" s="14" t="s">
        <v>797</v>
      </c>
      <c r="R977" s="14" t="s">
        <v>113</v>
      </c>
      <c r="S977" s="37" cm="1">
        <f t="array" aca="1" ref="S9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79.616021759801811</v>
      </c>
      <c r="T977" s="346" t="s">
        <v>1485</v>
      </c>
      <c r="U977" s="347">
        <f ca="1">S977/g2lb/S974</f>
        <v>713.7</v>
      </c>
      <c r="V977" s="347">
        <v>79.616021759801811</v>
      </c>
      <c r="W977" s="347">
        <v>713.7</v>
      </c>
      <c r="X977" s="14" t="s">
        <v>12</v>
      </c>
      <c r="Y977" s="346" t="s">
        <v>413</v>
      </c>
      <c r="Z977" s="14" t="str">
        <f>IF(ISBLANK(LCI_Table[[#This Row],[Notes for user]])," ",LCI_Table[[#This Row],[Notes for user]])</f>
        <v xml:space="preserve"> </v>
      </c>
      <c r="AA977" s="14"/>
      <c r="AB977" s="14"/>
      <c r="AC977" s="346">
        <f ca="1">LCI_Table[[#This Row],[Default Calculated Value]]-LCI_Table[[#This Row],[Calculated Value]]</f>
        <v>0</v>
      </c>
    </row>
    <row r="978" spans="1:29" x14ac:dyDescent="0.3">
      <c r="A9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SoybeanHEFAICAOLatAm(blank)_Soybean_Farming_CaCO3CaCO3</v>
      </c>
      <c r="B978" s="14" t="s">
        <v>10</v>
      </c>
      <c r="C978" s="14" t="s">
        <v>30</v>
      </c>
      <c r="D978" s="14" t="s">
        <v>194</v>
      </c>
      <c r="E978" s="14" t="s">
        <v>369</v>
      </c>
      <c r="F978" s="48" t="s">
        <v>31</v>
      </c>
      <c r="G978" s="14" t="b">
        <f>OR(LCI_Table[[#This Row],[Feedstock]]="All",LCI_Table[[#This Row],[Feedstock]]=SelectedFeedstock)</f>
        <v>0</v>
      </c>
      <c r="H978" s="14" t="b">
        <f>OR(LCI_Table[[#This Row],[Conversion]]="All",LCI_Table[[#This Row],[Conversion]]=SelectedConversion)</f>
        <v>1</v>
      </c>
      <c r="I978" s="14" t="b">
        <f>OR(LCI_Table[[#This Row],[Data Set]]="all",LCI_Table[[#This Row],[Data Set]]=SelectedDataSet)</f>
        <v>0</v>
      </c>
      <c r="J978" s="14" t="b">
        <f>OR(LCI_Table[[#This Row],[Technology]]="All",LCI_Table[[#This Row],[Technology]]=SelectedTechnology)</f>
        <v>1</v>
      </c>
      <c r="K978" s="14" t="b">
        <f>OR(LCI_Table[[#This Row],[Data Source]]="All",LCI_Table[[#This Row],[Data Source]]=SelectedDataSource)</f>
        <v>0</v>
      </c>
      <c r="L978" s="14" t="b">
        <f>TRUE</f>
        <v>1</v>
      </c>
      <c r="M978" s="14" t="b">
        <f>(LCI_Table[[#This Row],[Dev Notes]]="Do not display")</f>
        <v>0</v>
      </c>
      <c r="N978" s="14" t="b">
        <f>AND(LCI_Table[[#This Row],[Show Feedstock]:[Conditional]],NOT(LCI_Table[[#This Row],[Hide Row]]))</f>
        <v>0</v>
      </c>
      <c r="O978" s="14" t="b">
        <f>LCI_Table[[#This Row],[GREET1 Name Range]]=""</f>
        <v>0</v>
      </c>
      <c r="P978" s="14" t="s">
        <v>14</v>
      </c>
      <c r="Q978" s="14" t="s">
        <v>790</v>
      </c>
      <c r="R978" s="14" t="s">
        <v>141</v>
      </c>
      <c r="S978" s="37" cm="1">
        <f t="array" aca="1" ref="S9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421.11599011244471</v>
      </c>
      <c r="T978" s="346" t="s">
        <v>1485</v>
      </c>
      <c r="U978" s="347">
        <f ca="1">S978/g2lb/S974</f>
        <v>3774.9999999999995</v>
      </c>
      <c r="V978" s="347">
        <v>421.11599011244471</v>
      </c>
      <c r="W978" s="347">
        <v>3774.9999999999995</v>
      </c>
      <c r="X978" s="14" t="s">
        <v>12</v>
      </c>
      <c r="Y978" s="346" t="s">
        <v>413</v>
      </c>
      <c r="Z978" s="14" t="str">
        <f>IF(ISBLANK(LCI_Table[[#This Row],[Notes for user]])," ",LCI_Table[[#This Row],[Notes for user]])</f>
        <v xml:space="preserve"> </v>
      </c>
      <c r="AA978" s="14"/>
      <c r="AB978" s="14"/>
      <c r="AC978" s="346">
        <f ca="1">LCI_Table[[#This Row],[Default Calculated Value]]-LCI_Table[[#This Row],[Calculated Value]]</f>
        <v>0</v>
      </c>
    </row>
    <row r="979" spans="1:29" x14ac:dyDescent="0.3">
      <c r="A9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SoybeanHEFAICAOLatAm(blank)_Soybean_Farming_HerbicidesHerbicides</v>
      </c>
      <c r="B979" s="14" t="s">
        <v>10</v>
      </c>
      <c r="C979" s="14" t="s">
        <v>30</v>
      </c>
      <c r="D979" s="14" t="s">
        <v>194</v>
      </c>
      <c r="E979" s="14" t="s">
        <v>369</v>
      </c>
      <c r="F979" s="48" t="s">
        <v>31</v>
      </c>
      <c r="G979" s="14" t="b">
        <f>OR(LCI_Table[[#This Row],[Feedstock]]="All",LCI_Table[[#This Row],[Feedstock]]=SelectedFeedstock)</f>
        <v>0</v>
      </c>
      <c r="H979" s="14" t="b">
        <f>OR(LCI_Table[[#This Row],[Conversion]]="All",LCI_Table[[#This Row],[Conversion]]=SelectedConversion)</f>
        <v>1</v>
      </c>
      <c r="I979" s="14" t="b">
        <f>OR(LCI_Table[[#This Row],[Data Set]]="all",LCI_Table[[#This Row],[Data Set]]=SelectedDataSet)</f>
        <v>0</v>
      </c>
      <c r="J979" s="14" t="b">
        <f>OR(LCI_Table[[#This Row],[Technology]]="All",LCI_Table[[#This Row],[Technology]]=SelectedTechnology)</f>
        <v>1</v>
      </c>
      <c r="K979" s="14" t="b">
        <f>OR(LCI_Table[[#This Row],[Data Source]]="All",LCI_Table[[#This Row],[Data Source]]=SelectedDataSource)</f>
        <v>0</v>
      </c>
      <c r="L979" s="14" t="b">
        <f>TRUE</f>
        <v>1</v>
      </c>
      <c r="M979" s="14" t="b">
        <f>(LCI_Table[[#This Row],[Dev Notes]]="Do not display")</f>
        <v>0</v>
      </c>
      <c r="N979" s="14" t="b">
        <f>AND(LCI_Table[[#This Row],[Show Feedstock]:[Conditional]],NOT(LCI_Table[[#This Row],[Hide Row]]))</f>
        <v>0</v>
      </c>
      <c r="O979" s="14" t="b">
        <f>LCI_Table[[#This Row],[GREET1 Name Range]]=""</f>
        <v>0</v>
      </c>
      <c r="P979" s="14" t="s">
        <v>14</v>
      </c>
      <c r="Q979" s="14" t="s">
        <v>795</v>
      </c>
      <c r="R979" s="14" t="s">
        <v>356</v>
      </c>
      <c r="S979" s="37" cm="1">
        <f t="array" aca="1" ref="S9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5.6111614046770786</v>
      </c>
      <c r="T979" s="346" t="s">
        <v>1485</v>
      </c>
      <c r="U979" s="347">
        <f ca="1">S979/g2lb/S974</f>
        <v>50.300000000000004</v>
      </c>
      <c r="V979" s="347">
        <v>5.6111614046770786</v>
      </c>
      <c r="W979" s="347">
        <v>50.300000000000004</v>
      </c>
      <c r="X979" s="14" t="s">
        <v>12</v>
      </c>
      <c r="Y979" s="346" t="s">
        <v>413</v>
      </c>
      <c r="Z979" s="14" t="str">
        <f>IF(ISBLANK(LCI_Table[[#This Row],[Notes for user]])," ",LCI_Table[[#This Row],[Notes for user]])</f>
        <v xml:space="preserve"> </v>
      </c>
      <c r="AA979" s="14"/>
      <c r="AB979" s="14"/>
      <c r="AC979" s="346">
        <f ca="1">LCI_Table[[#This Row],[Default Calculated Value]]-LCI_Table[[#This Row],[Calculated Value]]</f>
        <v>0</v>
      </c>
    </row>
    <row r="980" spans="1:29" x14ac:dyDescent="0.3">
      <c r="A9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SoybeanHEFAICAOLatAm(blank)_Soybean_Farming_InsecticideInsecticide</v>
      </c>
      <c r="B980" s="14" t="s">
        <v>10</v>
      </c>
      <c r="C980" s="14" t="s">
        <v>30</v>
      </c>
      <c r="D980" s="14" t="s">
        <v>194</v>
      </c>
      <c r="E980" s="14" t="s">
        <v>369</v>
      </c>
      <c r="F980" s="48" t="s">
        <v>31</v>
      </c>
      <c r="G980" s="14" t="b">
        <f>OR(LCI_Table[[#This Row],[Feedstock]]="All",LCI_Table[[#This Row],[Feedstock]]=SelectedFeedstock)</f>
        <v>0</v>
      </c>
      <c r="H980" s="14" t="b">
        <f>OR(LCI_Table[[#This Row],[Conversion]]="All",LCI_Table[[#This Row],[Conversion]]=SelectedConversion)</f>
        <v>1</v>
      </c>
      <c r="I980" s="14" t="b">
        <f>OR(LCI_Table[[#This Row],[Data Set]]="all",LCI_Table[[#This Row],[Data Set]]=SelectedDataSet)</f>
        <v>0</v>
      </c>
      <c r="J980" s="14" t="b">
        <f>OR(LCI_Table[[#This Row],[Technology]]="All",LCI_Table[[#This Row],[Technology]]=SelectedTechnology)</f>
        <v>1</v>
      </c>
      <c r="K980" s="14" t="b">
        <f>OR(LCI_Table[[#This Row],[Data Source]]="All",LCI_Table[[#This Row],[Data Source]]=SelectedDataSource)</f>
        <v>0</v>
      </c>
      <c r="L980" s="14" t="b">
        <f>TRUE</f>
        <v>1</v>
      </c>
      <c r="M980" s="14" t="b">
        <f>(LCI_Table[[#This Row],[Dev Notes]]="Do not display")</f>
        <v>0</v>
      </c>
      <c r="N980" s="14" t="b">
        <f>AND(LCI_Table[[#This Row],[Show Feedstock]:[Conditional]],NOT(LCI_Table[[#This Row],[Hide Row]]))</f>
        <v>0</v>
      </c>
      <c r="O980" s="14" t="b">
        <f>LCI_Table[[#This Row],[GREET1 Name Range]]=""</f>
        <v>0</v>
      </c>
      <c r="P980" s="14" t="s">
        <v>14</v>
      </c>
      <c r="Q980" s="14" t="s">
        <v>796</v>
      </c>
      <c r="R980" s="14" t="s">
        <v>114</v>
      </c>
      <c r="S980" s="37" cm="1">
        <f t="array" aca="1" ref="S9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1.751396303249108</v>
      </c>
      <c r="T980" s="346" t="s">
        <v>1485</v>
      </c>
      <c r="U980" s="347">
        <f ca="1">S980/g2lb/S974</f>
        <v>15.7</v>
      </c>
      <c r="V980" s="347">
        <v>1.751396303249108</v>
      </c>
      <c r="W980" s="347">
        <v>15.7</v>
      </c>
      <c r="X980" s="14" t="s">
        <v>12</v>
      </c>
      <c r="Y980" s="346" t="s">
        <v>413</v>
      </c>
      <c r="Z980" s="14" t="str">
        <f>IF(ISBLANK(LCI_Table[[#This Row],[Notes for user]])," ",LCI_Table[[#This Row],[Notes for user]])</f>
        <v xml:space="preserve"> </v>
      </c>
      <c r="AA980" s="14"/>
      <c r="AB980" s="14"/>
      <c r="AC980" s="346">
        <f ca="1">LCI_Table[[#This Row],[Default Calculated Value]]-LCI_Table[[#This Row],[Calculated Value]]</f>
        <v>0</v>
      </c>
    </row>
    <row r="981" spans="1:29" x14ac:dyDescent="0.3">
      <c r="A9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SoybeanHEFAICAOLatAm(blank)_Soybean_Farming_Residual_oilResidual oil</v>
      </c>
      <c r="B981" s="14" t="s">
        <v>10</v>
      </c>
      <c r="C981" s="14" t="s">
        <v>30</v>
      </c>
      <c r="D981" s="14" t="s">
        <v>194</v>
      </c>
      <c r="E981" s="14" t="s">
        <v>369</v>
      </c>
      <c r="F981" s="48" t="s">
        <v>31</v>
      </c>
      <c r="G981" s="14" t="b">
        <f>OR(LCI_Table[[#This Row],[Feedstock]]="All",LCI_Table[[#This Row],[Feedstock]]=SelectedFeedstock)</f>
        <v>0</v>
      </c>
      <c r="H981" s="14" t="b">
        <f>OR(LCI_Table[[#This Row],[Conversion]]="All",LCI_Table[[#This Row],[Conversion]]=SelectedConversion)</f>
        <v>1</v>
      </c>
      <c r="I981" s="14" t="b">
        <f>OR(LCI_Table[[#This Row],[Data Set]]="all",LCI_Table[[#This Row],[Data Set]]=SelectedDataSet)</f>
        <v>0</v>
      </c>
      <c r="J981" s="14" t="b">
        <f>OR(LCI_Table[[#This Row],[Technology]]="All",LCI_Table[[#This Row],[Technology]]=SelectedTechnology)</f>
        <v>1</v>
      </c>
      <c r="K981" s="14" t="b">
        <f>OR(LCI_Table[[#This Row],[Data Source]]="All",LCI_Table[[#This Row],[Data Source]]=SelectedDataSource)</f>
        <v>0</v>
      </c>
      <c r="L981" s="14" t="b">
        <f>TRUE</f>
        <v>1</v>
      </c>
      <c r="M981" s="14" t="b">
        <f>(LCI_Table[[#This Row],[Dev Notes]]="Do not display")</f>
        <v>0</v>
      </c>
      <c r="N981" s="14" t="b">
        <f>AND(LCI_Table[[#This Row],[Show Feedstock]:[Conditional]],NOT(LCI_Table[[#This Row],[Hide Row]]))</f>
        <v>0</v>
      </c>
      <c r="O981" s="14" t="b">
        <f>LCI_Table[[#This Row],[GREET1 Name Range]]=""</f>
        <v>0</v>
      </c>
      <c r="P981" s="14" t="s">
        <v>14</v>
      </c>
      <c r="Q981" s="14" t="s">
        <v>802</v>
      </c>
      <c r="R981" s="14" t="s">
        <v>115</v>
      </c>
      <c r="S981" s="37" cm="1">
        <f t="array" aca="1" ref="S9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981" s="346" t="s">
        <v>1484</v>
      </c>
      <c r="U981" s="347">
        <f ca="1">S981*Fuel_Specs!$B$28/S974</f>
        <v>0</v>
      </c>
      <c r="V981" s="347">
        <v>0</v>
      </c>
      <c r="W981" s="347">
        <v>0</v>
      </c>
      <c r="X981" s="14" t="s">
        <v>5</v>
      </c>
      <c r="Y981" s="346" t="s">
        <v>413</v>
      </c>
      <c r="Z981" s="14" t="str">
        <f>IF(ISBLANK(LCI_Table[[#This Row],[Notes for user]])," ",LCI_Table[[#This Row],[Notes for user]])</f>
        <v xml:space="preserve"> </v>
      </c>
      <c r="AA981" s="14"/>
      <c r="AB981" s="14"/>
      <c r="AC981" s="346">
        <f ca="1">LCI_Table[[#This Row],[Default Calculated Value]]-LCI_Table[[#This Row],[Calculated Value]]</f>
        <v>0</v>
      </c>
    </row>
    <row r="982" spans="1:29" x14ac:dyDescent="0.3">
      <c r="A9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SoybeanHEFAICAOLatAm(blank)_Soybean_Farming_DieselDiesel</v>
      </c>
      <c r="B982" s="14" t="s">
        <v>10</v>
      </c>
      <c r="C982" s="14" t="s">
        <v>30</v>
      </c>
      <c r="D982" s="14" t="s">
        <v>194</v>
      </c>
      <c r="E982" s="14" t="s">
        <v>369</v>
      </c>
      <c r="F982" s="48" t="s">
        <v>31</v>
      </c>
      <c r="G982" s="14" t="b">
        <f>OR(LCI_Table[[#This Row],[Feedstock]]="All",LCI_Table[[#This Row],[Feedstock]]=SelectedFeedstock)</f>
        <v>0</v>
      </c>
      <c r="H982" s="14" t="b">
        <f>OR(LCI_Table[[#This Row],[Conversion]]="All",LCI_Table[[#This Row],[Conversion]]=SelectedConversion)</f>
        <v>1</v>
      </c>
      <c r="I982" s="14" t="b">
        <f>OR(LCI_Table[[#This Row],[Data Set]]="all",LCI_Table[[#This Row],[Data Set]]=SelectedDataSet)</f>
        <v>0</v>
      </c>
      <c r="J982" s="14" t="b">
        <f>OR(LCI_Table[[#This Row],[Technology]]="All",LCI_Table[[#This Row],[Technology]]=SelectedTechnology)</f>
        <v>1</v>
      </c>
      <c r="K982" s="14" t="b">
        <f>OR(LCI_Table[[#This Row],[Data Source]]="All",LCI_Table[[#This Row],[Data Source]]=SelectedDataSource)</f>
        <v>0</v>
      </c>
      <c r="L982" s="14" t="b">
        <f>TRUE</f>
        <v>1</v>
      </c>
      <c r="M982" s="14" t="b">
        <f>(LCI_Table[[#This Row],[Dev Notes]]="Do not display")</f>
        <v>0</v>
      </c>
      <c r="N982" s="14" t="b">
        <f>AND(LCI_Table[[#This Row],[Show Feedstock]:[Conditional]],NOT(LCI_Table[[#This Row],[Hide Row]]))</f>
        <v>0</v>
      </c>
      <c r="O982" s="14" t="b">
        <f>LCI_Table[[#This Row],[GREET1 Name Range]]=""</f>
        <v>0</v>
      </c>
      <c r="P982" s="14" t="s">
        <v>14</v>
      </c>
      <c r="Q982" s="14" t="s">
        <v>792</v>
      </c>
      <c r="R982" s="14" t="s">
        <v>106</v>
      </c>
      <c r="S982" s="37" cm="1">
        <f t="array" aca="1" ref="S9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3.1033616193071234</v>
      </c>
      <c r="T982" s="346" t="s">
        <v>1484</v>
      </c>
      <c r="U982" s="347">
        <f ca="1">S982*Fuel_Specs!$B$19/S974</f>
        <v>7878</v>
      </c>
      <c r="V982" s="347">
        <v>3.1033616193071234</v>
      </c>
      <c r="W982" s="347">
        <v>7878</v>
      </c>
      <c r="X982" s="14" t="s">
        <v>5</v>
      </c>
      <c r="Y982" s="346" t="s">
        <v>413</v>
      </c>
      <c r="Z982" s="14" t="str">
        <f>IF(ISBLANK(LCI_Table[[#This Row],[Notes for user]])," ",LCI_Table[[#This Row],[Notes for user]])</f>
        <v xml:space="preserve"> </v>
      </c>
      <c r="AA982" s="14"/>
      <c r="AB982" s="14"/>
      <c r="AC982" s="346">
        <f ca="1">LCI_Table[[#This Row],[Default Calculated Value]]-LCI_Table[[#This Row],[Calculated Value]]</f>
        <v>0</v>
      </c>
    </row>
    <row r="983" spans="1:29" x14ac:dyDescent="0.3">
      <c r="A9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SoybeanHEFAICAOLatAm(blank)_Soybean_Farming_GasolineGasoline</v>
      </c>
      <c r="B983" s="14" t="s">
        <v>10</v>
      </c>
      <c r="C983" s="14" t="s">
        <v>30</v>
      </c>
      <c r="D983" s="14" t="s">
        <v>194</v>
      </c>
      <c r="E983" s="14" t="s">
        <v>369</v>
      </c>
      <c r="F983" s="48" t="s">
        <v>31</v>
      </c>
      <c r="G983" s="14" t="b">
        <f>OR(LCI_Table[[#This Row],[Feedstock]]="All",LCI_Table[[#This Row],[Feedstock]]=SelectedFeedstock)</f>
        <v>0</v>
      </c>
      <c r="H983" s="14" t="b">
        <f>OR(LCI_Table[[#This Row],[Conversion]]="All",LCI_Table[[#This Row],[Conversion]]=SelectedConversion)</f>
        <v>1</v>
      </c>
      <c r="I983" s="14" t="b">
        <f>OR(LCI_Table[[#This Row],[Data Set]]="all",LCI_Table[[#This Row],[Data Set]]=SelectedDataSet)</f>
        <v>0</v>
      </c>
      <c r="J983" s="14" t="b">
        <f>OR(LCI_Table[[#This Row],[Technology]]="All",LCI_Table[[#This Row],[Technology]]=SelectedTechnology)</f>
        <v>1</v>
      </c>
      <c r="K983" s="14" t="b">
        <f>OR(LCI_Table[[#This Row],[Data Source]]="All",LCI_Table[[#This Row],[Data Source]]=SelectedDataSource)</f>
        <v>0</v>
      </c>
      <c r="L983" s="14" t="b">
        <f>TRUE</f>
        <v>1</v>
      </c>
      <c r="M983" s="14" t="b">
        <f>(LCI_Table[[#This Row],[Dev Notes]]="Do not display")</f>
        <v>0</v>
      </c>
      <c r="N983" s="14" t="b">
        <f>AND(LCI_Table[[#This Row],[Show Feedstock]:[Conditional]],NOT(LCI_Table[[#This Row],[Hide Row]]))</f>
        <v>0</v>
      </c>
      <c r="O983" s="14" t="b">
        <f>LCI_Table[[#This Row],[GREET1 Name Range]]=""</f>
        <v>0</v>
      </c>
      <c r="P983" s="14" t="s">
        <v>14</v>
      </c>
      <c r="Q983" s="14" t="s">
        <v>794</v>
      </c>
      <c r="R983" s="14" t="s">
        <v>107</v>
      </c>
      <c r="S983" s="37" cm="1">
        <f t="array" aca="1" ref="S9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983" s="346" t="s">
        <v>1484</v>
      </c>
      <c r="U983" s="347">
        <f ca="1">S983*Fuel_Specs!$B$15/S974</f>
        <v>0</v>
      </c>
      <c r="V983" s="347">
        <v>0</v>
      </c>
      <c r="W983" s="347">
        <v>0</v>
      </c>
      <c r="X983" s="14" t="s">
        <v>5</v>
      </c>
      <c r="Y983" s="346" t="s">
        <v>413</v>
      </c>
      <c r="Z983" s="14" t="str">
        <f>IF(ISBLANK(LCI_Table[[#This Row],[Notes for user]])," ",LCI_Table[[#This Row],[Notes for user]])</f>
        <v xml:space="preserve"> </v>
      </c>
      <c r="AA983" s="14"/>
      <c r="AB983" s="14"/>
      <c r="AC983" s="346">
        <f ca="1">LCI_Table[[#This Row],[Default Calculated Value]]-LCI_Table[[#This Row],[Calculated Value]]</f>
        <v>0</v>
      </c>
    </row>
    <row r="984" spans="1:29" x14ac:dyDescent="0.3">
      <c r="A9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SoybeanHEFAICAOLatAm(blank)_Soybean_Farming_Natural_gasNatural gas</v>
      </c>
      <c r="B984" s="14" t="s">
        <v>10</v>
      </c>
      <c r="C984" s="14" t="s">
        <v>30</v>
      </c>
      <c r="D984" s="14" t="s">
        <v>194</v>
      </c>
      <c r="E984" s="14" t="s">
        <v>369</v>
      </c>
      <c r="F984" s="48" t="s">
        <v>31</v>
      </c>
      <c r="G984" s="14" t="b">
        <f>OR(LCI_Table[[#This Row],[Feedstock]]="All",LCI_Table[[#This Row],[Feedstock]]=SelectedFeedstock)</f>
        <v>0</v>
      </c>
      <c r="H984" s="14" t="b">
        <f>OR(LCI_Table[[#This Row],[Conversion]]="All",LCI_Table[[#This Row],[Conversion]]=SelectedConversion)</f>
        <v>1</v>
      </c>
      <c r="I984" s="14" t="b">
        <f>OR(LCI_Table[[#This Row],[Data Set]]="all",LCI_Table[[#This Row],[Data Set]]=SelectedDataSet)</f>
        <v>0</v>
      </c>
      <c r="J984" s="14" t="b">
        <f>OR(LCI_Table[[#This Row],[Technology]]="All",LCI_Table[[#This Row],[Technology]]=SelectedTechnology)</f>
        <v>1</v>
      </c>
      <c r="K984" s="14" t="b">
        <f>OR(LCI_Table[[#This Row],[Data Source]]="All",LCI_Table[[#This Row],[Data Source]]=SelectedDataSource)</f>
        <v>0</v>
      </c>
      <c r="L984" s="14" t="b">
        <f>TRUE</f>
        <v>1</v>
      </c>
      <c r="M984" s="14" t="b">
        <f>(LCI_Table[[#This Row],[Dev Notes]]="Do not display")</f>
        <v>0</v>
      </c>
      <c r="N984" s="14" t="b">
        <f>AND(LCI_Table[[#This Row],[Show Feedstock]:[Conditional]],NOT(LCI_Table[[#This Row],[Hide Row]]))</f>
        <v>0</v>
      </c>
      <c r="O984" s="14" t="b">
        <f>LCI_Table[[#This Row],[GREET1 Name Range]]=""</f>
        <v>0</v>
      </c>
      <c r="P984" s="14" t="s">
        <v>14</v>
      </c>
      <c r="Q984" s="14" t="s">
        <v>799</v>
      </c>
      <c r="R984" s="14" t="s">
        <v>108</v>
      </c>
      <c r="S984" s="37" cm="1">
        <f t="array" aca="1" ref="S9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984" s="346" t="s">
        <v>2109</v>
      </c>
      <c r="U984" s="347">
        <f ca="1">S984*Fuel_Specs!$B$79/S974</f>
        <v>0</v>
      </c>
      <c r="V984" s="347">
        <v>0</v>
      </c>
      <c r="W984" s="347">
        <v>0</v>
      </c>
      <c r="X984" s="14" t="s">
        <v>351</v>
      </c>
      <c r="Y984" s="346" t="s">
        <v>413</v>
      </c>
      <c r="Z984" s="14" t="str">
        <f>IF(ISBLANK(LCI_Table[[#This Row],[Notes for user]])," ",LCI_Table[[#This Row],[Notes for user]])</f>
        <v xml:space="preserve"> </v>
      </c>
      <c r="AA984" s="14"/>
      <c r="AB984" s="14"/>
      <c r="AC984" s="346">
        <f ca="1">LCI_Table[[#This Row],[Default Calculated Value]]-LCI_Table[[#This Row],[Calculated Value]]</f>
        <v>0</v>
      </c>
    </row>
    <row r="985" spans="1:29" x14ac:dyDescent="0.3">
      <c r="A9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SoybeanHEFAICAOLatAm(blank)_Soybean_Farming_CoalCoal</v>
      </c>
      <c r="B985" s="14" t="s">
        <v>10</v>
      </c>
      <c r="C985" s="14" t="s">
        <v>30</v>
      </c>
      <c r="D985" s="14" t="s">
        <v>194</v>
      </c>
      <c r="E985" s="14" t="s">
        <v>369</v>
      </c>
      <c r="F985" s="48" t="s">
        <v>31</v>
      </c>
      <c r="G985" s="14" t="b">
        <f>OR(LCI_Table[[#This Row],[Feedstock]]="All",LCI_Table[[#This Row],[Feedstock]]=SelectedFeedstock)</f>
        <v>0</v>
      </c>
      <c r="H985" s="14" t="b">
        <f>OR(LCI_Table[[#This Row],[Conversion]]="All",LCI_Table[[#This Row],[Conversion]]=SelectedConversion)</f>
        <v>1</v>
      </c>
      <c r="I985" s="14" t="b">
        <f>OR(LCI_Table[[#This Row],[Data Set]]="all",LCI_Table[[#This Row],[Data Set]]=SelectedDataSet)</f>
        <v>0</v>
      </c>
      <c r="J985" s="14" t="b">
        <f>OR(LCI_Table[[#This Row],[Technology]]="All",LCI_Table[[#This Row],[Technology]]=SelectedTechnology)</f>
        <v>1</v>
      </c>
      <c r="K985" s="14" t="b">
        <f>OR(LCI_Table[[#This Row],[Data Source]]="All",LCI_Table[[#This Row],[Data Source]]=SelectedDataSource)</f>
        <v>0</v>
      </c>
      <c r="L985" s="14" t="b">
        <f>TRUE</f>
        <v>1</v>
      </c>
      <c r="M985" s="14" t="b">
        <f>(LCI_Table[[#This Row],[Dev Notes]]="Do not display")</f>
        <v>0</v>
      </c>
      <c r="N985" s="14" t="b">
        <f>AND(LCI_Table[[#This Row],[Show Feedstock]:[Conditional]],NOT(LCI_Table[[#This Row],[Hide Row]]))</f>
        <v>0</v>
      </c>
      <c r="O985" s="14" t="b">
        <f>LCI_Table[[#This Row],[GREET1 Name Range]]=""</f>
        <v>0</v>
      </c>
      <c r="P985" s="14" t="s">
        <v>14</v>
      </c>
      <c r="Q985" s="14" t="s">
        <v>791</v>
      </c>
      <c r="R985" s="14" t="s">
        <v>9</v>
      </c>
      <c r="S985" s="37" cm="1">
        <f t="array" aca="1" ref="S9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985" s="346" t="s">
        <v>2110</v>
      </c>
      <c r="U985" s="347">
        <f ca="1">S985/S974</f>
        <v>0</v>
      </c>
      <c r="V985" s="347">
        <v>0</v>
      </c>
      <c r="W985" s="347">
        <v>0</v>
      </c>
      <c r="X985" s="14" t="s">
        <v>117</v>
      </c>
      <c r="Y985" s="346" t="s">
        <v>413</v>
      </c>
      <c r="Z985" s="14" t="str">
        <f>IF(ISBLANK(LCI_Table[[#This Row],[Notes for user]])," ",LCI_Table[[#This Row],[Notes for user]])</f>
        <v xml:space="preserve"> </v>
      </c>
      <c r="AA985" s="14"/>
      <c r="AB985" s="14"/>
      <c r="AC985" s="346">
        <f ca="1">LCI_Table[[#This Row],[Default Calculated Value]]-LCI_Table[[#This Row],[Calculated Value]]</f>
        <v>0</v>
      </c>
    </row>
    <row r="986" spans="1:29" x14ac:dyDescent="0.3">
      <c r="A9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SoybeanHEFAICAOLatAm(blank)_Soybean_Farming_LPGLPG</v>
      </c>
      <c r="B986" s="14" t="s">
        <v>10</v>
      </c>
      <c r="C986" s="14" t="s">
        <v>30</v>
      </c>
      <c r="D986" s="14" t="s">
        <v>194</v>
      </c>
      <c r="E986" s="14" t="s">
        <v>369</v>
      </c>
      <c r="F986" s="48" t="s">
        <v>31</v>
      </c>
      <c r="G986" s="14" t="b">
        <f>OR(LCI_Table[[#This Row],[Feedstock]]="All",LCI_Table[[#This Row],[Feedstock]]=SelectedFeedstock)</f>
        <v>0</v>
      </c>
      <c r="H986" s="14" t="b">
        <f>OR(LCI_Table[[#This Row],[Conversion]]="All",LCI_Table[[#This Row],[Conversion]]=SelectedConversion)</f>
        <v>1</v>
      </c>
      <c r="I986" s="14" t="b">
        <f>OR(LCI_Table[[#This Row],[Data Set]]="all",LCI_Table[[#This Row],[Data Set]]=SelectedDataSet)</f>
        <v>0</v>
      </c>
      <c r="J986" s="14" t="b">
        <f>OR(LCI_Table[[#This Row],[Technology]]="All",LCI_Table[[#This Row],[Technology]]=SelectedTechnology)</f>
        <v>1</v>
      </c>
      <c r="K986" s="14" t="b">
        <f>OR(LCI_Table[[#This Row],[Data Source]]="All",LCI_Table[[#This Row],[Data Source]]=SelectedDataSource)</f>
        <v>0</v>
      </c>
      <c r="L986" s="14" t="b">
        <f>TRUE</f>
        <v>1</v>
      </c>
      <c r="M986" s="14" t="b">
        <f>(LCI_Table[[#This Row],[Dev Notes]]="Do not display")</f>
        <v>0</v>
      </c>
      <c r="N986" s="14" t="b">
        <f>AND(LCI_Table[[#This Row],[Show Feedstock]:[Conditional]],NOT(LCI_Table[[#This Row],[Hide Row]]))</f>
        <v>0</v>
      </c>
      <c r="O986" s="14" t="b">
        <f>LCI_Table[[#This Row],[GREET1 Name Range]]=""</f>
        <v>0</v>
      </c>
      <c r="P986" s="14" t="s">
        <v>14</v>
      </c>
      <c r="Q986" s="14" t="s">
        <v>798</v>
      </c>
      <c r="R986" s="14" t="s">
        <v>109</v>
      </c>
      <c r="S986" s="37" cm="1">
        <f t="array" aca="1" ref="S9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986" s="346" t="s">
        <v>1484</v>
      </c>
      <c r="U986" s="347">
        <f ca="1">S986*Fuel_Specs!$B$35/S974</f>
        <v>0</v>
      </c>
      <c r="V986" s="347">
        <v>0</v>
      </c>
      <c r="W986" s="347">
        <v>0</v>
      </c>
      <c r="X986" s="14" t="s">
        <v>5</v>
      </c>
      <c r="Y986" s="346" t="s">
        <v>413</v>
      </c>
      <c r="Z986" s="14" t="str">
        <f>IF(ISBLANK(LCI_Table[[#This Row],[Notes for user]])," ",LCI_Table[[#This Row],[Notes for user]])</f>
        <v xml:space="preserve"> </v>
      </c>
      <c r="AA986" s="14"/>
      <c r="AB986" s="14"/>
      <c r="AC986" s="346">
        <f ca="1">LCI_Table[[#This Row],[Default Calculated Value]]-LCI_Table[[#This Row],[Calculated Value]]</f>
        <v>0</v>
      </c>
    </row>
    <row r="987" spans="1:29" x14ac:dyDescent="0.3">
      <c r="A9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SoybeanHEFAICAOLatAm(blank)_Soybean_Farming_ElectricityElectricity</v>
      </c>
      <c r="B987" s="14" t="s">
        <v>10</v>
      </c>
      <c r="C987" s="14" t="s">
        <v>30</v>
      </c>
      <c r="D987" s="14" t="s">
        <v>194</v>
      </c>
      <c r="E987" s="14" t="s">
        <v>369</v>
      </c>
      <c r="F987" s="48" t="s">
        <v>31</v>
      </c>
      <c r="G987" s="14" t="b">
        <f>OR(LCI_Table[[#This Row],[Feedstock]]="All",LCI_Table[[#This Row],[Feedstock]]=SelectedFeedstock)</f>
        <v>0</v>
      </c>
      <c r="H987" s="14" t="b">
        <f>OR(LCI_Table[[#This Row],[Conversion]]="All",LCI_Table[[#This Row],[Conversion]]=SelectedConversion)</f>
        <v>1</v>
      </c>
      <c r="I987" s="14" t="b">
        <f>OR(LCI_Table[[#This Row],[Data Set]]="all",LCI_Table[[#This Row],[Data Set]]=SelectedDataSet)</f>
        <v>0</v>
      </c>
      <c r="J987" s="14" t="b">
        <f>OR(LCI_Table[[#This Row],[Technology]]="All",LCI_Table[[#This Row],[Technology]]=SelectedTechnology)</f>
        <v>1</v>
      </c>
      <c r="K987" s="14" t="b">
        <f>OR(LCI_Table[[#This Row],[Data Source]]="All",LCI_Table[[#This Row],[Data Source]]=SelectedDataSource)</f>
        <v>0</v>
      </c>
      <c r="L987" s="14" t="b">
        <f>TRUE</f>
        <v>1</v>
      </c>
      <c r="M987" s="14" t="b">
        <f>(LCI_Table[[#This Row],[Dev Notes]]="Do not display")</f>
        <v>0</v>
      </c>
      <c r="N987" s="14" t="b">
        <f>AND(LCI_Table[[#This Row],[Show Feedstock]:[Conditional]],NOT(LCI_Table[[#This Row],[Hide Row]]))</f>
        <v>0</v>
      </c>
      <c r="O987" s="14" t="b">
        <f>LCI_Table[[#This Row],[GREET1 Name Range]]=""</f>
        <v>0</v>
      </c>
      <c r="P987" s="14" t="s">
        <v>14</v>
      </c>
      <c r="Q987" s="14" t="s">
        <v>793</v>
      </c>
      <c r="R987" s="14" t="s">
        <v>110</v>
      </c>
      <c r="S987" s="37" cm="1">
        <f t="array" aca="1" ref="S9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12.183831847171112</v>
      </c>
      <c r="T987" s="346" t="s">
        <v>1561</v>
      </c>
      <c r="U987" s="347">
        <f ca="1">S987/BTU2kWh/S974</f>
        <v>821.59999999999991</v>
      </c>
      <c r="V987" s="347">
        <v>12.183831847171112</v>
      </c>
      <c r="W987" s="347">
        <v>821.59999999999991</v>
      </c>
      <c r="X987" s="14" t="s">
        <v>51</v>
      </c>
      <c r="Y987" s="346" t="s">
        <v>413</v>
      </c>
      <c r="Z987" s="14" t="str">
        <f>IF(ISBLANK(LCI_Table[[#This Row],[Notes for user]])," ",LCI_Table[[#This Row],[Notes for user]])</f>
        <v xml:space="preserve"> </v>
      </c>
      <c r="AA987" s="14"/>
      <c r="AB987" s="14"/>
      <c r="AC987" s="346">
        <f ca="1">LCI_Table[[#This Row],[Default Calculated Value]]-LCI_Table[[#This Row],[Calculated Value]]</f>
        <v>0</v>
      </c>
    </row>
    <row r="988" spans="1:29" x14ac:dyDescent="0.3">
      <c r="A9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dash_SoybeanHEFAICAOLatAm(blank)_Soybean_Extraction</v>
      </c>
      <c r="B988" s="14" t="s">
        <v>10</v>
      </c>
      <c r="C988" s="14" t="s">
        <v>30</v>
      </c>
      <c r="D988" s="14" t="s">
        <v>194</v>
      </c>
      <c r="E988" s="14" t="s">
        <v>369</v>
      </c>
      <c r="F988" s="48" t="s">
        <v>31</v>
      </c>
      <c r="G988" s="14" t="b">
        <f>OR(LCI_Table[[#This Row],[Feedstock]]="All",LCI_Table[[#This Row],[Feedstock]]=SelectedFeedstock)</f>
        <v>0</v>
      </c>
      <c r="H988" s="14" t="b">
        <f>OR(LCI_Table[[#This Row],[Conversion]]="All",LCI_Table[[#This Row],[Conversion]]=SelectedConversion)</f>
        <v>1</v>
      </c>
      <c r="I988" s="14" t="b">
        <f>OR(LCI_Table[[#This Row],[Data Set]]="all",LCI_Table[[#This Row],[Data Set]]=SelectedDataSet)</f>
        <v>0</v>
      </c>
      <c r="J988" s="14" t="b">
        <f>OR(LCI_Table[[#This Row],[Technology]]="All",LCI_Table[[#This Row],[Technology]]=SelectedTechnology)</f>
        <v>1</v>
      </c>
      <c r="K988" s="14" t="b">
        <f>OR(LCI_Table[[#This Row],[Data Source]]="All",LCI_Table[[#This Row],[Data Source]]=SelectedDataSource)</f>
        <v>0</v>
      </c>
      <c r="L988" s="14" t="b">
        <f>TRUE</f>
        <v>1</v>
      </c>
      <c r="M988" s="14" t="b">
        <f>(LCI_Table[[#This Row],[Dev Notes]]="Do not display")</f>
        <v>1</v>
      </c>
      <c r="N988" s="14" t="b">
        <f>AND(LCI_Table[[#This Row],[Show Feedstock]:[Conditional]],NOT(LCI_Table[[#This Row],[Hide Row]]))</f>
        <v>0</v>
      </c>
      <c r="O988" s="14" t="b">
        <f>LCI_Table[[#This Row],[GREET1 Name Range]]=""</f>
        <v>1</v>
      </c>
      <c r="P988" s="14" t="s">
        <v>15</v>
      </c>
      <c r="Q988" s="14" t="s">
        <v>361</v>
      </c>
      <c r="R988" s="14" t="s">
        <v>10</v>
      </c>
      <c r="S988" s="37" cm="1">
        <f t="array" aca="1" ref="S9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4.5533999999999999</v>
      </c>
      <c r="T988" s="346" t="s">
        <v>2111</v>
      </c>
      <c r="U988" s="347">
        <f ca="1">S988/busoybean2lb</f>
        <v>7.5889999999999999E-2</v>
      </c>
      <c r="V988" s="347">
        <v>4.5533999999999999</v>
      </c>
      <c r="W988" s="347">
        <v>7.5889999999999999E-2</v>
      </c>
      <c r="X988" s="14" t="s">
        <v>12</v>
      </c>
      <c r="Y988" s="346" t="s">
        <v>891</v>
      </c>
      <c r="Z988" s="14" t="str">
        <f>IF(ISBLANK(LCI_Table[[#This Row],[Notes for user]])," ",LCI_Table[[#This Row],[Notes for user]])</f>
        <v xml:space="preserve"> </v>
      </c>
      <c r="AA988" s="348"/>
      <c r="AB988" s="348" t="s">
        <v>1138</v>
      </c>
      <c r="AC988" s="346">
        <f ca="1">LCI_Table[[#This Row],[Default Calculated Value]]-LCI_Table[[#This Row],[Calculated Value]]</f>
        <v>0</v>
      </c>
    </row>
    <row r="989" spans="1:29" x14ac:dyDescent="0.3">
      <c r="A9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SoybeanHEFAICAOLatAm(blank)_Soybean_Extraction_Residual_oilResidual oil</v>
      </c>
      <c r="B989" s="14" t="s">
        <v>10</v>
      </c>
      <c r="C989" s="14" t="s">
        <v>30</v>
      </c>
      <c r="D989" s="14" t="s">
        <v>194</v>
      </c>
      <c r="E989" s="14" t="s">
        <v>369</v>
      </c>
      <c r="F989" s="48" t="s">
        <v>31</v>
      </c>
      <c r="G989" s="14" t="b">
        <f>OR(LCI_Table[[#This Row],[Feedstock]]="All",LCI_Table[[#This Row],[Feedstock]]=SelectedFeedstock)</f>
        <v>0</v>
      </c>
      <c r="H989" s="14" t="b">
        <f>OR(LCI_Table[[#This Row],[Conversion]]="All",LCI_Table[[#This Row],[Conversion]]=SelectedConversion)</f>
        <v>1</v>
      </c>
      <c r="I989" s="14" t="b">
        <f>OR(LCI_Table[[#This Row],[Data Set]]="all",LCI_Table[[#This Row],[Data Set]]=SelectedDataSet)</f>
        <v>0</v>
      </c>
      <c r="J989" s="14" t="b">
        <f>OR(LCI_Table[[#This Row],[Technology]]="All",LCI_Table[[#This Row],[Technology]]=SelectedTechnology)</f>
        <v>1</v>
      </c>
      <c r="K989" s="14" t="b">
        <f>OR(LCI_Table[[#This Row],[Data Source]]="All",LCI_Table[[#This Row],[Data Source]]=SelectedDataSource)</f>
        <v>0</v>
      </c>
      <c r="L989" s="14" t="b">
        <f>TRUE</f>
        <v>1</v>
      </c>
      <c r="M989" s="14" t="b">
        <f>(LCI_Table[[#This Row],[Dev Notes]]="Do not display")</f>
        <v>0</v>
      </c>
      <c r="N989" s="14" t="b">
        <f>AND(LCI_Table[[#This Row],[Show Feedstock]:[Conditional]],NOT(LCI_Table[[#This Row],[Hide Row]]))</f>
        <v>0</v>
      </c>
      <c r="O989" s="14" t="b">
        <f>LCI_Table[[#This Row],[GREET1 Name Range]]=""</f>
        <v>0</v>
      </c>
      <c r="P989" s="14" t="s">
        <v>15</v>
      </c>
      <c r="Q989" s="14" t="s">
        <v>789</v>
      </c>
      <c r="R989" s="14" t="s">
        <v>115</v>
      </c>
      <c r="S989" s="37" cm="1">
        <f t="array" aca="1" ref="S9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1.1399866385774088E-4</v>
      </c>
      <c r="T989" s="346" t="s">
        <v>2112</v>
      </c>
      <c r="U989" s="347">
        <f ca="1">S989*Fuel_Specs!$B$28</f>
        <v>16</v>
      </c>
      <c r="V989" s="347">
        <v>1.1399866385774088E-4</v>
      </c>
      <c r="W989" s="347">
        <v>16</v>
      </c>
      <c r="X989" s="14" t="s">
        <v>5</v>
      </c>
      <c r="Y989" s="346" t="s">
        <v>891</v>
      </c>
      <c r="Z989" s="14" t="str">
        <f>IF(ISBLANK(LCI_Table[[#This Row],[Notes for user]])," ",LCI_Table[[#This Row],[Notes for user]])</f>
        <v xml:space="preserve"> </v>
      </c>
      <c r="AA989" s="14"/>
      <c r="AB989" s="14"/>
      <c r="AC989" s="346">
        <f ca="1">LCI_Table[[#This Row],[Default Calculated Value]]-LCI_Table[[#This Row],[Calculated Value]]</f>
        <v>0</v>
      </c>
    </row>
    <row r="990" spans="1:29" x14ac:dyDescent="0.3">
      <c r="A9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SoybeanHEFAICAOLatAm(blank)_Soybean_Extraction_DieselDiesel</v>
      </c>
      <c r="B990" s="14" t="s">
        <v>10</v>
      </c>
      <c r="C990" s="14" t="s">
        <v>30</v>
      </c>
      <c r="D990" s="14" t="s">
        <v>194</v>
      </c>
      <c r="E990" s="14" t="s">
        <v>369</v>
      </c>
      <c r="F990" s="48" t="s">
        <v>31</v>
      </c>
      <c r="G990" s="14" t="b">
        <f>OR(LCI_Table[[#This Row],[Feedstock]]="All",LCI_Table[[#This Row],[Feedstock]]=SelectedFeedstock)</f>
        <v>0</v>
      </c>
      <c r="H990" s="14" t="b">
        <f>OR(LCI_Table[[#This Row],[Conversion]]="All",LCI_Table[[#This Row],[Conversion]]=SelectedConversion)</f>
        <v>1</v>
      </c>
      <c r="I990" s="14" t="b">
        <f>OR(LCI_Table[[#This Row],[Data Set]]="all",LCI_Table[[#This Row],[Data Set]]=SelectedDataSet)</f>
        <v>0</v>
      </c>
      <c r="J990" s="14" t="b">
        <f>OR(LCI_Table[[#This Row],[Technology]]="All",LCI_Table[[#This Row],[Technology]]=SelectedTechnology)</f>
        <v>1</v>
      </c>
      <c r="K990" s="14" t="b">
        <f>OR(LCI_Table[[#This Row],[Data Source]]="All",LCI_Table[[#This Row],[Data Source]]=SelectedDataSource)</f>
        <v>0</v>
      </c>
      <c r="L990" s="14" t="b">
        <f>TRUE</f>
        <v>1</v>
      </c>
      <c r="M990" s="14" t="b">
        <f>(LCI_Table[[#This Row],[Dev Notes]]="Do not display")</f>
        <v>0</v>
      </c>
      <c r="N990" s="14" t="b">
        <f>AND(LCI_Table[[#This Row],[Show Feedstock]:[Conditional]],NOT(LCI_Table[[#This Row],[Hide Row]]))</f>
        <v>0</v>
      </c>
      <c r="O990" s="14" t="b">
        <f>LCI_Table[[#This Row],[GREET1 Name Range]]=""</f>
        <v>0</v>
      </c>
      <c r="P990" s="14" t="s">
        <v>15</v>
      </c>
      <c r="Q990" s="14" t="s">
        <v>781</v>
      </c>
      <c r="R990" s="14" t="s">
        <v>106</v>
      </c>
      <c r="S990" s="37" cm="1">
        <f t="array" aca="1" ref="S9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2.5079019073569479E-4</v>
      </c>
      <c r="T990" s="346" t="s">
        <v>2112</v>
      </c>
      <c r="U990" s="347">
        <f ca="1">S990*Fuel_Specs!$B$19</f>
        <v>32.213999999999999</v>
      </c>
      <c r="V990" s="347">
        <v>2.5079019073569479E-4</v>
      </c>
      <c r="W990" s="347">
        <v>32.213999999999999</v>
      </c>
      <c r="X990" s="14" t="s">
        <v>5</v>
      </c>
      <c r="Y990" s="346" t="s">
        <v>891</v>
      </c>
      <c r="Z990" s="14" t="str">
        <f>IF(ISBLANK(LCI_Table[[#This Row],[Notes for user]])," ",LCI_Table[[#This Row],[Notes for user]])</f>
        <v xml:space="preserve"> </v>
      </c>
      <c r="AA990" s="14"/>
      <c r="AB990" s="14"/>
      <c r="AC990" s="346">
        <f ca="1">LCI_Table[[#This Row],[Default Calculated Value]]-LCI_Table[[#This Row],[Calculated Value]]</f>
        <v>0</v>
      </c>
    </row>
    <row r="991" spans="1:29" x14ac:dyDescent="0.3">
      <c r="A9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SoybeanHEFAICAOLatAm(blank)_Soybean_Extraction_GasolineGasoline</v>
      </c>
      <c r="B991" s="14" t="s">
        <v>10</v>
      </c>
      <c r="C991" s="14" t="s">
        <v>30</v>
      </c>
      <c r="D991" s="14" t="s">
        <v>194</v>
      </c>
      <c r="E991" s="14" t="s">
        <v>369</v>
      </c>
      <c r="F991" s="48" t="s">
        <v>31</v>
      </c>
      <c r="G991" s="14" t="b">
        <f>OR(LCI_Table[[#This Row],[Feedstock]]="All",LCI_Table[[#This Row],[Feedstock]]=SelectedFeedstock)</f>
        <v>0</v>
      </c>
      <c r="H991" s="14" t="b">
        <f>OR(LCI_Table[[#This Row],[Conversion]]="All",LCI_Table[[#This Row],[Conversion]]=SelectedConversion)</f>
        <v>1</v>
      </c>
      <c r="I991" s="14" t="b">
        <f>OR(LCI_Table[[#This Row],[Data Set]]="all",LCI_Table[[#This Row],[Data Set]]=SelectedDataSet)</f>
        <v>0</v>
      </c>
      <c r="J991" s="14" t="b">
        <f>OR(LCI_Table[[#This Row],[Technology]]="All",LCI_Table[[#This Row],[Technology]]=SelectedTechnology)</f>
        <v>1</v>
      </c>
      <c r="K991" s="14" t="b">
        <f>OR(LCI_Table[[#This Row],[Data Source]]="All",LCI_Table[[#This Row],[Data Source]]=SelectedDataSource)</f>
        <v>0</v>
      </c>
      <c r="L991" s="14" t="b">
        <f>TRUE</f>
        <v>1</v>
      </c>
      <c r="M991" s="14" t="b">
        <f>(LCI_Table[[#This Row],[Dev Notes]]="Do not display")</f>
        <v>0</v>
      </c>
      <c r="N991" s="14" t="b">
        <f>AND(LCI_Table[[#This Row],[Show Feedstock]:[Conditional]],NOT(LCI_Table[[#This Row],[Hide Row]]))</f>
        <v>0</v>
      </c>
      <c r="O991" s="14" t="b">
        <f>LCI_Table[[#This Row],[GREET1 Name Range]]=""</f>
        <v>0</v>
      </c>
      <c r="P991" s="14" t="s">
        <v>15</v>
      </c>
      <c r="Q991" s="14" t="s">
        <v>784</v>
      </c>
      <c r="R991" s="14" t="s">
        <v>107</v>
      </c>
      <c r="S991" s="37" cm="1">
        <f t="array" aca="1" ref="S9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991" s="346" t="s">
        <v>2112</v>
      </c>
      <c r="U991" s="347">
        <f ca="1">S991*Fuel_Specs!$B$15</f>
        <v>0</v>
      </c>
      <c r="V991" s="347">
        <v>0</v>
      </c>
      <c r="W991" s="347">
        <v>0</v>
      </c>
      <c r="X991" s="14" t="s">
        <v>5</v>
      </c>
      <c r="Y991" s="346" t="s">
        <v>891</v>
      </c>
      <c r="Z991" s="14" t="str">
        <f>IF(ISBLANK(LCI_Table[[#This Row],[Notes for user]])," ",LCI_Table[[#This Row],[Notes for user]])</f>
        <v xml:space="preserve"> </v>
      </c>
      <c r="AA991" s="14"/>
      <c r="AB991" s="14"/>
      <c r="AC991" s="346">
        <f ca="1">LCI_Table[[#This Row],[Default Calculated Value]]-LCI_Table[[#This Row],[Calculated Value]]</f>
        <v>0</v>
      </c>
    </row>
    <row r="992" spans="1:29" x14ac:dyDescent="0.3">
      <c r="A9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SoybeanHEFAICAOLatAm(blank)_Soybean_Extraction_Natural_gasNatural gas</v>
      </c>
      <c r="B992" s="14" t="s">
        <v>10</v>
      </c>
      <c r="C992" s="14" t="s">
        <v>30</v>
      </c>
      <c r="D992" s="14" t="s">
        <v>194</v>
      </c>
      <c r="E992" s="14" t="s">
        <v>369</v>
      </c>
      <c r="F992" s="48" t="s">
        <v>31</v>
      </c>
      <c r="G992" s="14" t="b">
        <f>OR(LCI_Table[[#This Row],[Feedstock]]="All",LCI_Table[[#This Row],[Feedstock]]=SelectedFeedstock)</f>
        <v>0</v>
      </c>
      <c r="H992" s="14" t="b">
        <f>OR(LCI_Table[[#This Row],[Conversion]]="All",LCI_Table[[#This Row],[Conversion]]=SelectedConversion)</f>
        <v>1</v>
      </c>
      <c r="I992" s="14" t="b">
        <f>OR(LCI_Table[[#This Row],[Data Set]]="all",LCI_Table[[#This Row],[Data Set]]=SelectedDataSet)</f>
        <v>0</v>
      </c>
      <c r="J992" s="14" t="b">
        <f>OR(LCI_Table[[#This Row],[Technology]]="All",LCI_Table[[#This Row],[Technology]]=SelectedTechnology)</f>
        <v>1</v>
      </c>
      <c r="K992" s="14" t="b">
        <f>OR(LCI_Table[[#This Row],[Data Source]]="All",LCI_Table[[#This Row],[Data Source]]=SelectedDataSource)</f>
        <v>0</v>
      </c>
      <c r="L992" s="14" t="b">
        <f>TRUE</f>
        <v>1</v>
      </c>
      <c r="M992" s="14" t="b">
        <f>(LCI_Table[[#This Row],[Dev Notes]]="Do not display")</f>
        <v>0</v>
      </c>
      <c r="N992" s="14" t="b">
        <f>AND(LCI_Table[[#This Row],[Show Feedstock]:[Conditional]],NOT(LCI_Table[[#This Row],[Hide Row]]))</f>
        <v>0</v>
      </c>
      <c r="O992" s="14" t="b">
        <f>LCI_Table[[#This Row],[GREET1 Name Range]]=""</f>
        <v>0</v>
      </c>
      <c r="P992" s="14" t="s">
        <v>15</v>
      </c>
      <c r="Q992" s="14" t="s">
        <v>788</v>
      </c>
      <c r="R992" s="14" t="s">
        <v>108</v>
      </c>
      <c r="S992" s="37" cm="1">
        <f t="array" aca="1" ref="S9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2.1037639877924721</v>
      </c>
      <c r="T992" s="346" t="s">
        <v>2113</v>
      </c>
      <c r="U992" s="347">
        <f ca="1">S992*Fuel_Specs!$B$79</f>
        <v>2068</v>
      </c>
      <c r="V992" s="347">
        <v>2.1037639877924721</v>
      </c>
      <c r="W992" s="347">
        <v>2068</v>
      </c>
      <c r="X992" s="14" t="s">
        <v>351</v>
      </c>
      <c r="Y992" s="346" t="s">
        <v>891</v>
      </c>
      <c r="Z992" s="14" t="str">
        <f>IF(ISBLANK(LCI_Table[[#This Row],[Notes for user]])," ",LCI_Table[[#This Row],[Notes for user]])</f>
        <v xml:space="preserve"> </v>
      </c>
      <c r="AA992" s="14"/>
      <c r="AB992" s="14"/>
      <c r="AC992" s="346">
        <f ca="1">LCI_Table[[#This Row],[Default Calculated Value]]-LCI_Table[[#This Row],[Calculated Value]]</f>
        <v>0</v>
      </c>
    </row>
    <row r="993" spans="1:29" x14ac:dyDescent="0.3">
      <c r="A9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SoybeanHEFAICAOLatAm(blank)_Soybean_Extraction_CoalCoal</v>
      </c>
      <c r="B993" s="14" t="s">
        <v>10</v>
      </c>
      <c r="C993" s="14" t="s">
        <v>30</v>
      </c>
      <c r="D993" s="14" t="s">
        <v>194</v>
      </c>
      <c r="E993" s="14" t="s">
        <v>369</v>
      </c>
      <c r="F993" s="48" t="s">
        <v>31</v>
      </c>
      <c r="G993" s="14" t="b">
        <f>OR(LCI_Table[[#This Row],[Feedstock]]="All",LCI_Table[[#This Row],[Feedstock]]=SelectedFeedstock)</f>
        <v>0</v>
      </c>
      <c r="H993" s="14" t="b">
        <f>OR(LCI_Table[[#This Row],[Conversion]]="All",LCI_Table[[#This Row],[Conversion]]=SelectedConversion)</f>
        <v>1</v>
      </c>
      <c r="I993" s="14" t="b">
        <f>OR(LCI_Table[[#This Row],[Data Set]]="all",LCI_Table[[#This Row],[Data Set]]=SelectedDataSet)</f>
        <v>0</v>
      </c>
      <c r="J993" s="14" t="b">
        <f>OR(LCI_Table[[#This Row],[Technology]]="All",LCI_Table[[#This Row],[Technology]]=SelectedTechnology)</f>
        <v>1</v>
      </c>
      <c r="K993" s="14" t="b">
        <f>OR(LCI_Table[[#This Row],[Data Source]]="All",LCI_Table[[#This Row],[Data Source]]=SelectedDataSource)</f>
        <v>0</v>
      </c>
      <c r="L993" s="14" t="b">
        <f>TRUE</f>
        <v>1</v>
      </c>
      <c r="M993" s="14" t="b">
        <f>(LCI_Table[[#This Row],[Dev Notes]]="Do not display")</f>
        <v>0</v>
      </c>
      <c r="N993" s="14" t="b">
        <f>AND(LCI_Table[[#This Row],[Show Feedstock]:[Conditional]],NOT(LCI_Table[[#This Row],[Hide Row]]))</f>
        <v>0</v>
      </c>
      <c r="O993" s="14" t="b">
        <f>LCI_Table[[#This Row],[GREET1 Name Range]]=""</f>
        <v>0</v>
      </c>
      <c r="P993" s="14" t="s">
        <v>15</v>
      </c>
      <c r="Q993" s="14" t="s">
        <v>780</v>
      </c>
      <c r="R993" s="14" t="s">
        <v>9</v>
      </c>
      <c r="S993" s="37" cm="1">
        <f t="array" aca="1" ref="S9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1018</v>
      </c>
      <c r="T993" s="346" t="s">
        <v>2114</v>
      </c>
      <c r="U993" s="347">
        <f ca="1">S993</f>
        <v>1018</v>
      </c>
      <c r="V993" s="347">
        <v>1018</v>
      </c>
      <c r="W993" s="347">
        <v>1018</v>
      </c>
      <c r="X993" s="14" t="s">
        <v>117</v>
      </c>
      <c r="Y993" s="346" t="s">
        <v>891</v>
      </c>
      <c r="Z993" s="14" t="str">
        <f>IF(ISBLANK(LCI_Table[[#This Row],[Notes for user]])," ",LCI_Table[[#This Row],[Notes for user]])</f>
        <v xml:space="preserve"> </v>
      </c>
      <c r="AA993" s="14"/>
      <c r="AB993" s="14"/>
      <c r="AC993" s="346">
        <f ca="1">LCI_Table[[#This Row],[Default Calculated Value]]-LCI_Table[[#This Row],[Calculated Value]]</f>
        <v>0</v>
      </c>
    </row>
    <row r="994" spans="1:29" x14ac:dyDescent="0.3">
      <c r="A9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SoybeanHEFAICAOLatAm(blank)_Soybean_Extraction_LPGLPG</v>
      </c>
      <c r="B994" s="14" t="s">
        <v>10</v>
      </c>
      <c r="C994" s="14" t="s">
        <v>30</v>
      </c>
      <c r="D994" s="14" t="s">
        <v>194</v>
      </c>
      <c r="E994" s="14" t="s">
        <v>369</v>
      </c>
      <c r="F994" s="48" t="s">
        <v>31</v>
      </c>
      <c r="G994" s="14" t="b">
        <f>OR(LCI_Table[[#This Row],[Feedstock]]="All",LCI_Table[[#This Row],[Feedstock]]=SelectedFeedstock)</f>
        <v>0</v>
      </c>
      <c r="H994" s="14" t="b">
        <f>OR(LCI_Table[[#This Row],[Conversion]]="All",LCI_Table[[#This Row],[Conversion]]=SelectedConversion)</f>
        <v>1</v>
      </c>
      <c r="I994" s="14" t="b">
        <f>OR(LCI_Table[[#This Row],[Data Set]]="all",LCI_Table[[#This Row],[Data Set]]=SelectedDataSet)</f>
        <v>0</v>
      </c>
      <c r="J994" s="14" t="b">
        <f>OR(LCI_Table[[#This Row],[Technology]]="All",LCI_Table[[#This Row],[Technology]]=SelectedTechnology)</f>
        <v>1</v>
      </c>
      <c r="K994" s="14" t="b">
        <f>OR(LCI_Table[[#This Row],[Data Source]]="All",LCI_Table[[#This Row],[Data Source]]=SelectedDataSource)</f>
        <v>0</v>
      </c>
      <c r="L994" s="14" t="b">
        <f>TRUE</f>
        <v>1</v>
      </c>
      <c r="M994" s="14" t="b">
        <f>(LCI_Table[[#This Row],[Dev Notes]]="Do not display")</f>
        <v>0</v>
      </c>
      <c r="N994" s="14" t="b">
        <f>AND(LCI_Table[[#This Row],[Show Feedstock]:[Conditional]],NOT(LCI_Table[[#This Row],[Hide Row]]))</f>
        <v>0</v>
      </c>
      <c r="O994" s="14" t="b">
        <f>LCI_Table[[#This Row],[GREET1 Name Range]]=""</f>
        <v>0</v>
      </c>
      <c r="P994" s="14" t="s">
        <v>15</v>
      </c>
      <c r="Q994" s="14" t="s">
        <v>786</v>
      </c>
      <c r="R994" s="14" t="s">
        <v>109</v>
      </c>
      <c r="S994" s="37" cm="1">
        <f t="array" aca="1" ref="S9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994" s="346" t="s">
        <v>2112</v>
      </c>
      <c r="U994" s="347">
        <f ca="1">S994*Fuel_Specs!$B$35</f>
        <v>0</v>
      </c>
      <c r="V994" s="347">
        <v>0</v>
      </c>
      <c r="W994" s="347">
        <v>0</v>
      </c>
      <c r="X994" s="14" t="s">
        <v>5</v>
      </c>
      <c r="Y994" s="346" t="s">
        <v>891</v>
      </c>
      <c r="Z994" s="14" t="str">
        <f>IF(ISBLANK(LCI_Table[[#This Row],[Notes for user]])," ",LCI_Table[[#This Row],[Notes for user]])</f>
        <v xml:space="preserve"> </v>
      </c>
      <c r="AA994" s="14"/>
      <c r="AB994" s="14"/>
      <c r="AC994" s="346">
        <f ca="1">LCI_Table[[#This Row],[Default Calculated Value]]-LCI_Table[[#This Row],[Calculated Value]]</f>
        <v>0</v>
      </c>
    </row>
    <row r="995" spans="1:29" x14ac:dyDescent="0.3">
      <c r="A9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SoybeanHEFAICAOLatAm(blank)_Soybean_Extraction_ElectricityElectricity</v>
      </c>
      <c r="B995" s="14" t="s">
        <v>10</v>
      </c>
      <c r="C995" s="14" t="s">
        <v>30</v>
      </c>
      <c r="D995" s="14" t="s">
        <v>194</v>
      </c>
      <c r="E995" s="14" t="s">
        <v>369</v>
      </c>
      <c r="F995" s="48" t="s">
        <v>31</v>
      </c>
      <c r="G995" s="14" t="b">
        <f>OR(LCI_Table[[#This Row],[Feedstock]]="All",LCI_Table[[#This Row],[Feedstock]]=SelectedFeedstock)</f>
        <v>0</v>
      </c>
      <c r="H995" s="14" t="b">
        <f>OR(LCI_Table[[#This Row],[Conversion]]="All",LCI_Table[[#This Row],[Conversion]]=SelectedConversion)</f>
        <v>1</v>
      </c>
      <c r="I995" s="14" t="b">
        <f>OR(LCI_Table[[#This Row],[Data Set]]="all",LCI_Table[[#This Row],[Data Set]]=SelectedDataSet)</f>
        <v>0</v>
      </c>
      <c r="J995" s="14" t="b">
        <f>OR(LCI_Table[[#This Row],[Technology]]="All",LCI_Table[[#This Row],[Technology]]=SelectedTechnology)</f>
        <v>1</v>
      </c>
      <c r="K995" s="14" t="b">
        <f>OR(LCI_Table[[#This Row],[Data Source]]="All",LCI_Table[[#This Row],[Data Source]]=SelectedDataSource)</f>
        <v>0</v>
      </c>
      <c r="L995" s="14" t="b">
        <f>TRUE</f>
        <v>1</v>
      </c>
      <c r="M995" s="14" t="b">
        <f>(LCI_Table[[#This Row],[Dev Notes]]="Do not display")</f>
        <v>0</v>
      </c>
      <c r="N995" s="14" t="b">
        <f>AND(LCI_Table[[#This Row],[Show Feedstock]:[Conditional]],NOT(LCI_Table[[#This Row],[Hide Row]]))</f>
        <v>0</v>
      </c>
      <c r="O995" s="14" t="b">
        <f>LCI_Table[[#This Row],[GREET1 Name Range]]=""</f>
        <v>0</v>
      </c>
      <c r="P995" s="14" t="s">
        <v>15</v>
      </c>
      <c r="Q995" s="14" t="s">
        <v>782</v>
      </c>
      <c r="R995" s="14" t="s">
        <v>110</v>
      </c>
      <c r="S995" s="37" cm="1">
        <f t="array" aca="1" ref="S9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9.1672630522222229E-2</v>
      </c>
      <c r="T995" s="346" t="s">
        <v>2115</v>
      </c>
      <c r="U995" s="347">
        <f ca="1">S995/BTU2kWh</f>
        <v>312.8</v>
      </c>
      <c r="V995" s="347">
        <v>9.1672630522222229E-2</v>
      </c>
      <c r="W995" s="347">
        <v>312.8</v>
      </c>
      <c r="X995" s="14" t="s">
        <v>51</v>
      </c>
      <c r="Y995" s="346" t="s">
        <v>891</v>
      </c>
      <c r="Z995" s="14" t="str">
        <f>IF(ISBLANK(LCI_Table[[#This Row],[Notes for user]])," ",LCI_Table[[#This Row],[Notes for user]])</f>
        <v xml:space="preserve"> </v>
      </c>
      <c r="AA995" s="14"/>
      <c r="AB995" s="14"/>
      <c r="AC995" s="346">
        <f ca="1">LCI_Table[[#This Row],[Default Calculated Value]]-LCI_Table[[#This Row],[Calculated Value]]</f>
        <v>0</v>
      </c>
    </row>
    <row r="996" spans="1:29" x14ac:dyDescent="0.3">
      <c r="A9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SoybeanHEFAICAOLatAm(blank)_Soybean_Extraction_N_hexaneN-hexane</v>
      </c>
      <c r="B996" s="14" t="s">
        <v>10</v>
      </c>
      <c r="C996" s="14" t="s">
        <v>30</v>
      </c>
      <c r="D996" s="14" t="s">
        <v>194</v>
      </c>
      <c r="E996" s="14" t="s">
        <v>369</v>
      </c>
      <c r="F996" s="48" t="s">
        <v>31</v>
      </c>
      <c r="G996" s="14" t="b">
        <f>OR(LCI_Table[[#This Row],[Feedstock]]="All",LCI_Table[[#This Row],[Feedstock]]=SelectedFeedstock)</f>
        <v>0</v>
      </c>
      <c r="H996" s="14" t="b">
        <f>OR(LCI_Table[[#This Row],[Conversion]]="All",LCI_Table[[#This Row],[Conversion]]=SelectedConversion)</f>
        <v>1</v>
      </c>
      <c r="I996" s="14" t="b">
        <f>OR(LCI_Table[[#This Row],[Data Set]]="all",LCI_Table[[#This Row],[Data Set]]=SelectedDataSet)</f>
        <v>0</v>
      </c>
      <c r="J996" s="14" t="b">
        <f>OR(LCI_Table[[#This Row],[Technology]]="All",LCI_Table[[#This Row],[Technology]]=SelectedTechnology)</f>
        <v>1</v>
      </c>
      <c r="K996" s="14" t="b">
        <f>OR(LCI_Table[[#This Row],[Data Source]]="All",LCI_Table[[#This Row],[Data Source]]=SelectedDataSource)</f>
        <v>0</v>
      </c>
      <c r="L996" s="14" t="b">
        <f>TRUE</f>
        <v>1</v>
      </c>
      <c r="M996" s="14" t="b">
        <f>(LCI_Table[[#This Row],[Dev Notes]]="Do not display")</f>
        <v>0</v>
      </c>
      <c r="N996" s="14" t="b">
        <f>AND(LCI_Table[[#This Row],[Show Feedstock]:[Conditional]],NOT(LCI_Table[[#This Row],[Hide Row]]))</f>
        <v>0</v>
      </c>
      <c r="O996" s="14" t="b">
        <f>LCI_Table[[#This Row],[GREET1 Name Range]]=""</f>
        <v>0</v>
      </c>
      <c r="P996" s="14" t="s">
        <v>15</v>
      </c>
      <c r="Q996" s="14" t="s">
        <v>787</v>
      </c>
      <c r="R996" s="14" t="s">
        <v>116</v>
      </c>
      <c r="S996" s="37" cm="1">
        <f t="array" aca="1" ref="S9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2.7015509185273121E-7</v>
      </c>
      <c r="T996" s="346" t="s">
        <v>2111</v>
      </c>
      <c r="U996" s="347">
        <f ca="1">S996*Fuel_Specs!$B$58*ton2lb</f>
        <v>56.8</v>
      </c>
      <c r="V996" s="347">
        <v>2.7015509185273121E-7</v>
      </c>
      <c r="W996" s="347">
        <v>56.8</v>
      </c>
      <c r="X996" s="14" t="s">
        <v>12</v>
      </c>
      <c r="Y996" s="346" t="s">
        <v>891</v>
      </c>
      <c r="Z996" s="14" t="str">
        <f>IF(ISBLANK(LCI_Table[[#This Row],[Notes for user]])," ",LCI_Table[[#This Row],[Notes for user]])</f>
        <v xml:space="preserve"> </v>
      </c>
      <c r="AA996" s="14"/>
      <c r="AB996" s="14"/>
      <c r="AC996" s="346">
        <f ca="1">LCI_Table[[#This Row],[Default Calculated Value]]-LCI_Table[[#This Row],[Calculated Value]]</f>
        <v>0</v>
      </c>
    </row>
    <row r="997" spans="1:29" x14ac:dyDescent="0.3">
      <c r="A9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SoybeanHEFAICAOLatAm(blank)_Soybean_Extraction_Forest_residueForest residue</v>
      </c>
      <c r="B997" s="14" t="s">
        <v>10</v>
      </c>
      <c r="C997" s="14" t="s">
        <v>30</v>
      </c>
      <c r="D997" s="14" t="s">
        <v>194</v>
      </c>
      <c r="E997" s="14" t="s">
        <v>369</v>
      </c>
      <c r="F997" s="48" t="s">
        <v>31</v>
      </c>
      <c r="G997" s="14" t="b">
        <f>OR(LCI_Table[[#This Row],[Feedstock]]="All",LCI_Table[[#This Row],[Feedstock]]=SelectedFeedstock)</f>
        <v>0</v>
      </c>
      <c r="H997" s="14" t="b">
        <f>OR(LCI_Table[[#This Row],[Conversion]]="All",LCI_Table[[#This Row],[Conversion]]=SelectedConversion)</f>
        <v>1</v>
      </c>
      <c r="I997" s="14" t="b">
        <f>OR(LCI_Table[[#This Row],[Data Set]]="all",LCI_Table[[#This Row],[Data Set]]=SelectedDataSet)</f>
        <v>0</v>
      </c>
      <c r="J997" s="14" t="b">
        <f>OR(LCI_Table[[#This Row],[Technology]]="All",LCI_Table[[#This Row],[Technology]]=SelectedTechnology)</f>
        <v>1</v>
      </c>
      <c r="K997" s="14" t="b">
        <f>OR(LCI_Table[[#This Row],[Data Source]]="All",LCI_Table[[#This Row],[Data Source]]=SelectedDataSource)</f>
        <v>0</v>
      </c>
      <c r="L997" s="14" t="b">
        <f>TRUE</f>
        <v>1</v>
      </c>
      <c r="M997" s="14" t="b">
        <f>(LCI_Table[[#This Row],[Dev Notes]]="Do not display")</f>
        <v>0</v>
      </c>
      <c r="N997" s="14" t="b">
        <f>AND(LCI_Table[[#This Row],[Show Feedstock]:[Conditional]],NOT(LCI_Table[[#This Row],[Hide Row]]))</f>
        <v>0</v>
      </c>
      <c r="O997" s="14" t="b">
        <f>LCI_Table[[#This Row],[GREET1 Name Range]]=""</f>
        <v>0</v>
      </c>
      <c r="P997" s="14" t="s">
        <v>15</v>
      </c>
      <c r="Q997" s="14" t="s">
        <v>783</v>
      </c>
      <c r="R997" s="14" t="s">
        <v>316</v>
      </c>
      <c r="S997" s="37" cm="1">
        <f t="array" aca="1" ref="S9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9.2544392388223732E-10</v>
      </c>
      <c r="T997" s="346" t="s">
        <v>2111</v>
      </c>
      <c r="U997" s="347">
        <f ca="1">S997*Fuel_Specs!$B$100*ton2lb</f>
        <v>32</v>
      </c>
      <c r="V997" s="347">
        <v>9.2544392388223732E-10</v>
      </c>
      <c r="W997" s="347">
        <v>32</v>
      </c>
      <c r="X997" s="14" t="s">
        <v>12</v>
      </c>
      <c r="Y997" s="346" t="s">
        <v>891</v>
      </c>
      <c r="Z997" s="14" t="str">
        <f>IF(ISBLANK(LCI_Table[[#This Row],[Notes for user]])," ",LCI_Table[[#This Row],[Notes for user]])</f>
        <v xml:space="preserve"> </v>
      </c>
      <c r="AA997" s="14"/>
      <c r="AB997" s="14"/>
      <c r="AC997" s="346">
        <f ca="1">LCI_Table[[#This Row],[Default Calculated Value]]-LCI_Table[[#This Row],[Calculated Value]]</f>
        <v>0</v>
      </c>
    </row>
    <row r="998" spans="1:29" x14ac:dyDescent="0.3">
      <c r="A9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SoybeanHEFAICAOLatAm(blank)_Soybean_Extraction_Landfill_gasLandfill gas</v>
      </c>
      <c r="B998" s="14" t="s">
        <v>10</v>
      </c>
      <c r="C998" s="14" t="s">
        <v>30</v>
      </c>
      <c r="D998" s="14" t="s">
        <v>194</v>
      </c>
      <c r="E998" s="14" t="s">
        <v>369</v>
      </c>
      <c r="F998" s="48" t="s">
        <v>31</v>
      </c>
      <c r="G998" s="14" t="b">
        <f>OR(LCI_Table[[#This Row],[Feedstock]]="All",LCI_Table[[#This Row],[Feedstock]]=SelectedFeedstock)</f>
        <v>0</v>
      </c>
      <c r="H998" s="14" t="b">
        <f>OR(LCI_Table[[#This Row],[Conversion]]="All",LCI_Table[[#This Row],[Conversion]]=SelectedConversion)</f>
        <v>1</v>
      </c>
      <c r="I998" s="14" t="b">
        <f>OR(LCI_Table[[#This Row],[Data Set]]="all",LCI_Table[[#This Row],[Data Set]]=SelectedDataSet)</f>
        <v>0</v>
      </c>
      <c r="J998" s="14" t="b">
        <f>OR(LCI_Table[[#This Row],[Technology]]="All",LCI_Table[[#This Row],[Technology]]=SelectedTechnology)</f>
        <v>1</v>
      </c>
      <c r="K998" s="14" t="b">
        <f>OR(LCI_Table[[#This Row],[Data Source]]="All",LCI_Table[[#This Row],[Data Source]]=SelectedDataSource)</f>
        <v>0</v>
      </c>
      <c r="L998" s="14" t="b">
        <f>TRUE</f>
        <v>1</v>
      </c>
      <c r="M998" s="14" t="b">
        <f>(LCI_Table[[#This Row],[Dev Notes]]="Do not display")</f>
        <v>0</v>
      </c>
      <c r="N998" s="14" t="b">
        <f>AND(LCI_Table[[#This Row],[Show Feedstock]:[Conditional]],NOT(LCI_Table[[#This Row],[Hide Row]]))</f>
        <v>0</v>
      </c>
      <c r="O998" s="14" t="b">
        <f>LCI_Table[[#This Row],[GREET1 Name Range]]=""</f>
        <v>0</v>
      </c>
      <c r="P998" s="14" t="s">
        <v>15</v>
      </c>
      <c r="Q998" s="14" t="s">
        <v>785</v>
      </c>
      <c r="R998" s="14" t="s">
        <v>130</v>
      </c>
      <c r="S998" s="37" cm="1">
        <f t="array" aca="1" ref="S9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1.6276703967446592E-2</v>
      </c>
      <c r="T998" s="346" t="s">
        <v>2113</v>
      </c>
      <c r="U998" s="347">
        <f ca="1">S998*Fuel_Specs!$B$79</f>
        <v>16</v>
      </c>
      <c r="V998" s="347">
        <v>1.6276703967446592E-2</v>
      </c>
      <c r="W998" s="347">
        <v>16</v>
      </c>
      <c r="X998" s="14" t="s">
        <v>351</v>
      </c>
      <c r="Y998" s="346" t="s">
        <v>891</v>
      </c>
      <c r="Z998" s="14" t="str">
        <f>IF(ISBLANK(LCI_Table[[#This Row],[Notes for user]])," ",LCI_Table[[#This Row],[Notes for user]])</f>
        <v xml:space="preserve"> </v>
      </c>
      <c r="AA998" s="14"/>
      <c r="AB998" s="14"/>
      <c r="AC998" s="346">
        <f ca="1">LCI_Table[[#This Row],[Default Calculated Value]]-LCI_Table[[#This Row],[Calculated Value]]</f>
        <v>0</v>
      </c>
    </row>
    <row r="999" spans="1:29" x14ac:dyDescent="0.3">
      <c r="A9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SoybeanHEFAICAOLatAm(blank)_Soybean_Oil_Extraction_Energy_AllocationAllocation factor</v>
      </c>
      <c r="B999" s="14" t="s">
        <v>10</v>
      </c>
      <c r="C999" s="14" t="s">
        <v>30</v>
      </c>
      <c r="D999" s="14" t="s">
        <v>194</v>
      </c>
      <c r="E999" s="48" t="s">
        <v>369</v>
      </c>
      <c r="F999" s="48" t="s">
        <v>31</v>
      </c>
      <c r="G999" s="14" t="b">
        <f>OR(LCI_Table[[#This Row],[Feedstock]]="All",LCI_Table[[#This Row],[Feedstock]]=SelectedFeedstock)</f>
        <v>0</v>
      </c>
      <c r="H999" s="14" t="b">
        <f>OR(LCI_Table[[#This Row],[Conversion]]="All",LCI_Table[[#This Row],[Conversion]]=SelectedConversion)</f>
        <v>1</v>
      </c>
      <c r="I999" s="14" t="b">
        <f>OR(LCI_Table[[#This Row],[Data Set]]="all",LCI_Table[[#This Row],[Data Set]]=SelectedDataSet)</f>
        <v>0</v>
      </c>
      <c r="J999" s="14" t="b">
        <f>OR(LCI_Table[[#This Row],[Technology]]="All",LCI_Table[[#This Row],[Technology]]=SelectedTechnology)</f>
        <v>1</v>
      </c>
      <c r="K999" s="14" t="b">
        <f>OR(LCI_Table[[#This Row],[Data Source]]="All",LCI_Table[[#This Row],[Data Source]]=SelectedDataSource)</f>
        <v>0</v>
      </c>
      <c r="L999" s="14" t="b">
        <f>TRUE</f>
        <v>1</v>
      </c>
      <c r="M999" s="14" t="b">
        <f>(LCI_Table[[#This Row],[Dev Notes]]="Do not display")</f>
        <v>0</v>
      </c>
      <c r="N999" s="14" t="b">
        <f>AND(LCI_Table[[#This Row],[Show Feedstock]:[Conditional]],NOT(LCI_Table[[#This Row],[Hide Row]]))</f>
        <v>0</v>
      </c>
      <c r="O999" s="14" t="b">
        <f>LCI_Table[[#This Row],[GREET1 Name Range]]=""</f>
        <v>0</v>
      </c>
      <c r="P999" s="14" t="s">
        <v>15</v>
      </c>
      <c r="Q999" s="14" t="s">
        <v>1105</v>
      </c>
      <c r="R999" s="14" t="s">
        <v>1344</v>
      </c>
      <c r="S999" s="37" cm="1">
        <f t="array" aca="1" ref="S9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43</v>
      </c>
      <c r="T999" s="346" t="s">
        <v>1345</v>
      </c>
      <c r="U999" s="347">
        <f ca="1">LCI_Table[[#This Row],[Dashboard Value]]/100</f>
        <v>0.43</v>
      </c>
      <c r="V999" s="347">
        <v>43</v>
      </c>
      <c r="W999" s="347">
        <v>0.43</v>
      </c>
      <c r="X999" s="349" t="s">
        <v>1345</v>
      </c>
      <c r="Y999" s="346" t="s">
        <v>891</v>
      </c>
      <c r="Z999" s="14" t="str">
        <f>IF(ISBLANK(LCI_Table[[#This Row],[Notes for user]])," ",LCI_Table[[#This Row],[Notes for user]])</f>
        <v>Allocation to soy oil (energy allocation)</v>
      </c>
      <c r="AA999" s="14" t="s">
        <v>1354</v>
      </c>
      <c r="AB999" s="14"/>
      <c r="AC999" s="346">
        <f ca="1">LCI_Table[[#This Row],[Default Calculated Value]]-LCI_Table[[#This Row],[Calculated Value]]</f>
        <v>0</v>
      </c>
    </row>
    <row r="1000" spans="1:29" x14ac:dyDescent="0.3">
      <c r="A10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SoybeanHEFAICAOLatAm(blank)_HEFA_feed_usageSoybean Oil</v>
      </c>
      <c r="B1000" s="14" t="s">
        <v>10</v>
      </c>
      <c r="C1000" s="14" t="s">
        <v>30</v>
      </c>
      <c r="D1000" s="14" t="s">
        <v>194</v>
      </c>
      <c r="E1000" s="14" t="s">
        <v>369</v>
      </c>
      <c r="F1000" s="48" t="s">
        <v>31</v>
      </c>
      <c r="G1000" s="14" t="b">
        <f>OR(LCI_Table[[#This Row],[Feedstock]]="All",LCI_Table[[#This Row],[Feedstock]]=SelectedFeedstock)</f>
        <v>0</v>
      </c>
      <c r="H1000" s="14" t="b">
        <f>OR(LCI_Table[[#This Row],[Conversion]]="All",LCI_Table[[#This Row],[Conversion]]=SelectedConversion)</f>
        <v>1</v>
      </c>
      <c r="I1000" s="14" t="b">
        <f>OR(LCI_Table[[#This Row],[Data Set]]="all",LCI_Table[[#This Row],[Data Set]]=SelectedDataSet)</f>
        <v>0</v>
      </c>
      <c r="J1000" s="14" t="b">
        <f>OR(LCI_Table[[#This Row],[Technology]]="All",LCI_Table[[#This Row],[Technology]]=SelectedTechnology)</f>
        <v>1</v>
      </c>
      <c r="K1000" s="14" t="b">
        <f>OR(LCI_Table[[#This Row],[Data Source]]="All",LCI_Table[[#This Row],[Data Source]]=SelectedDataSource)</f>
        <v>0</v>
      </c>
      <c r="L1000" s="14" t="b">
        <f>TRUE</f>
        <v>1</v>
      </c>
      <c r="M1000" s="14" t="b">
        <f>(LCI_Table[[#This Row],[Dev Notes]]="Do not display")</f>
        <v>0</v>
      </c>
      <c r="N1000" s="14" t="b">
        <f>AND(LCI_Table[[#This Row],[Show Feedstock]:[Conditional]],NOT(LCI_Table[[#This Row],[Hide Row]]))</f>
        <v>0</v>
      </c>
      <c r="O1000" s="14" t="b">
        <f>LCI_Table[[#This Row],[GREET1 Name Range]]=""</f>
        <v>0</v>
      </c>
      <c r="P1000" s="14" t="s">
        <v>1448</v>
      </c>
      <c r="Q1000" s="14" t="s">
        <v>933</v>
      </c>
      <c r="R1000" s="14" t="s">
        <v>1903</v>
      </c>
      <c r="S1000" s="37" cm="1">
        <f t="array" aca="1" ref="S10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67.105243036314235</v>
      </c>
      <c r="T1000" s="346" t="s">
        <v>2119</v>
      </c>
      <c r="U1000" s="347">
        <f ca="1">S1000*lb2g/Fuel_Specs!$E$48*Fuel_Specs!$B$48*BTU2mmBTU</f>
        <v>1.2722877150689311</v>
      </c>
      <c r="V1000" s="347">
        <v>67.105243036314235</v>
      </c>
      <c r="W1000" s="347">
        <v>1.2722877150689311</v>
      </c>
      <c r="X1000" s="14" t="s">
        <v>12</v>
      </c>
      <c r="Y1000" s="346" t="s">
        <v>416</v>
      </c>
      <c r="Z1000" s="14" t="str">
        <f>IF(ISBLANK(LCI_Table[[#This Row],[Notes for user]])," ",LCI_Table[[#This Row],[Notes for user]])</f>
        <v xml:space="preserve"> </v>
      </c>
      <c r="AA1000" s="358"/>
      <c r="AB1000" s="14"/>
      <c r="AC1000" s="346">
        <f ca="1">LCI_Table[[#This Row],[Default Calculated Value]]-LCI_Table[[#This Row],[Calculated Value]]</f>
        <v>0</v>
      </c>
    </row>
    <row r="1001" spans="1:29" x14ac:dyDescent="0.3">
      <c r="A10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SoybeanHEFAICAOLatAm(blank)_Soybean_HEFA_Natural_gasNatural gas</v>
      </c>
      <c r="B1001" s="14" t="s">
        <v>10</v>
      </c>
      <c r="C1001" s="14" t="s">
        <v>30</v>
      </c>
      <c r="D1001" s="14" t="s">
        <v>194</v>
      </c>
      <c r="E1001" s="14" t="s">
        <v>369</v>
      </c>
      <c r="F1001" s="48" t="s">
        <v>31</v>
      </c>
      <c r="G1001" s="14" t="b">
        <f>OR(LCI_Table[[#This Row],[Feedstock]]="All",LCI_Table[[#This Row],[Feedstock]]=SelectedFeedstock)</f>
        <v>0</v>
      </c>
      <c r="H1001" s="14" t="b">
        <f>OR(LCI_Table[[#This Row],[Conversion]]="All",LCI_Table[[#This Row],[Conversion]]=SelectedConversion)</f>
        <v>1</v>
      </c>
      <c r="I1001" s="14" t="b">
        <f>OR(LCI_Table[[#This Row],[Data Set]]="all",LCI_Table[[#This Row],[Data Set]]=SelectedDataSet)</f>
        <v>0</v>
      </c>
      <c r="J1001" s="14" t="b">
        <f>OR(LCI_Table[[#This Row],[Technology]]="All",LCI_Table[[#This Row],[Technology]]=SelectedTechnology)</f>
        <v>1</v>
      </c>
      <c r="K1001" s="14" t="b">
        <f>OR(LCI_Table[[#This Row],[Data Source]]="All",LCI_Table[[#This Row],[Data Source]]=SelectedDataSource)</f>
        <v>0</v>
      </c>
      <c r="L1001" s="14" t="b">
        <f>TRUE</f>
        <v>1</v>
      </c>
      <c r="M1001" s="14" t="b">
        <f>(LCI_Table[[#This Row],[Dev Notes]]="Do not display")</f>
        <v>0</v>
      </c>
      <c r="N1001" s="14" t="b">
        <f>AND(LCI_Table[[#This Row],[Show Feedstock]:[Conditional]],NOT(LCI_Table[[#This Row],[Hide Row]]))</f>
        <v>0</v>
      </c>
      <c r="O1001" s="14" t="b">
        <f>LCI_Table[[#This Row],[GREET1 Name Range]]=""</f>
        <v>0</v>
      </c>
      <c r="P1001" s="14" t="s">
        <v>1448</v>
      </c>
      <c r="Q1001" s="14" t="s">
        <v>805</v>
      </c>
      <c r="R1001" s="14" t="s">
        <v>108</v>
      </c>
      <c r="S1001" s="37" cm="1">
        <f t="array" aca="1" ref="S10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83.059355784356256</v>
      </c>
      <c r="T1001" s="346" t="s">
        <v>2120</v>
      </c>
      <c r="U1001" s="347">
        <f ca="1">S1001*lb2g/Fuel_Specs!$E$48*Fuel_Specs!$B$48*Fuel_Specs!$B$79*BTU2mmBTU</f>
        <v>1548.0000000000002</v>
      </c>
      <c r="V1001" s="347">
        <v>83.059355784356256</v>
      </c>
      <c r="W1001" s="347">
        <v>1548.0000000000002</v>
      </c>
      <c r="X1001" s="14" t="s">
        <v>351</v>
      </c>
      <c r="Y1001" s="346" t="s">
        <v>416</v>
      </c>
      <c r="Z1001" s="14" t="str">
        <f>IF(ISBLANK(LCI_Table[[#This Row],[Notes for user]])," ",LCI_Table[[#This Row],[Notes for user]])</f>
        <v xml:space="preserve"> </v>
      </c>
      <c r="AA1001" s="14"/>
      <c r="AB1001" s="14"/>
      <c r="AC1001" s="346">
        <f ca="1">LCI_Table[[#This Row],[Default Calculated Value]]-LCI_Table[[#This Row],[Calculated Value]]</f>
        <v>0</v>
      </c>
    </row>
    <row r="1002" spans="1:29" x14ac:dyDescent="0.3">
      <c r="A10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SoybeanHEFAICAOLatAm(blank)_Soybean_HEFA_ElectricityGrid Electricity</v>
      </c>
      <c r="B1002" s="14" t="s">
        <v>10</v>
      </c>
      <c r="C1002" s="14" t="s">
        <v>30</v>
      </c>
      <c r="D1002" s="14" t="s">
        <v>194</v>
      </c>
      <c r="E1002" s="14" t="s">
        <v>369</v>
      </c>
      <c r="F1002" s="48" t="s">
        <v>31</v>
      </c>
      <c r="G1002" s="14" t="b">
        <f>OR(LCI_Table[[#This Row],[Feedstock]]="All",LCI_Table[[#This Row],[Feedstock]]=SelectedFeedstock)</f>
        <v>0</v>
      </c>
      <c r="H1002" s="14" t="b">
        <f>OR(LCI_Table[[#This Row],[Conversion]]="All",LCI_Table[[#This Row],[Conversion]]=SelectedConversion)</f>
        <v>1</v>
      </c>
      <c r="I1002" s="14" t="b">
        <f>OR(LCI_Table[[#This Row],[Data Set]]="all",LCI_Table[[#This Row],[Data Set]]=SelectedDataSet)</f>
        <v>0</v>
      </c>
      <c r="J1002" s="14" t="b">
        <f>OR(LCI_Table[[#This Row],[Technology]]="All",LCI_Table[[#This Row],[Technology]]=SelectedTechnology)</f>
        <v>1</v>
      </c>
      <c r="K1002" s="14" t="b">
        <f>OR(LCI_Table[[#This Row],[Data Source]]="All",LCI_Table[[#This Row],[Data Source]]=SelectedDataSource)</f>
        <v>0</v>
      </c>
      <c r="L1002" s="14" t="b">
        <f>TRUE</f>
        <v>1</v>
      </c>
      <c r="M1002" s="14" t="b">
        <f>(LCI_Table[[#This Row],[Dev Notes]]="Do not display")</f>
        <v>0</v>
      </c>
      <c r="N1002" s="14" t="b">
        <f>AND(LCI_Table[[#This Row],[Show Feedstock]:[Conditional]],NOT(LCI_Table[[#This Row],[Hide Row]]))</f>
        <v>0</v>
      </c>
      <c r="O1002" s="14" t="b">
        <f>LCI_Table[[#This Row],[GREET1 Name Range]]=""</f>
        <v>0</v>
      </c>
      <c r="P1002" s="14" t="s">
        <v>1448</v>
      </c>
      <c r="Q1002" s="14" t="s">
        <v>803</v>
      </c>
      <c r="R1002" s="14" t="s">
        <v>1684</v>
      </c>
      <c r="S1002" s="37" cm="1">
        <f t="array" aca="1" ref="S10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1.3556377760028697</v>
      </c>
      <c r="T1002" s="346" t="s">
        <v>2121</v>
      </c>
      <c r="U1002" s="347">
        <f ca="1">S1002*lb2g/Fuel_Specs!$E$48*Fuel_Specs!$B$48/BTU2kWh*BTU2mmBTU</f>
        <v>87.699999999999974</v>
      </c>
      <c r="V1002" s="347">
        <v>1.3556377760028697</v>
      </c>
      <c r="W1002" s="347">
        <v>87.699999999999974</v>
      </c>
      <c r="X1002" s="14" t="s">
        <v>51</v>
      </c>
      <c r="Y1002" s="346" t="s">
        <v>416</v>
      </c>
      <c r="Z1002" s="14" t="str">
        <f>IF(ISBLANK(LCI_Table[[#This Row],[Notes for user]])," ",LCI_Table[[#This Row],[Notes for user]])</f>
        <v xml:space="preserve"> </v>
      </c>
      <c r="AA1002" s="14"/>
      <c r="AB1002" s="14"/>
      <c r="AC1002" s="346">
        <f ca="1">LCI_Table[[#This Row],[Default Calculated Value]]-LCI_Table[[#This Row],[Calculated Value]]</f>
        <v>0</v>
      </c>
    </row>
    <row r="1003" spans="1:29" x14ac:dyDescent="0.3">
      <c r="A10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SoybeanHEFAICAOLatAm(blank)_Soybean_HEFA_H2Hydrogen</v>
      </c>
      <c r="B1003" s="14" t="s">
        <v>10</v>
      </c>
      <c r="C1003" s="14" t="s">
        <v>30</v>
      </c>
      <c r="D1003" s="14" t="s">
        <v>194</v>
      </c>
      <c r="E1003" s="14" t="s">
        <v>369</v>
      </c>
      <c r="F1003" s="48" t="s">
        <v>31</v>
      </c>
      <c r="G1003" s="14" t="b">
        <f>OR(LCI_Table[[#This Row],[Feedstock]]="All",LCI_Table[[#This Row],[Feedstock]]=SelectedFeedstock)</f>
        <v>0</v>
      </c>
      <c r="H1003" s="14" t="b">
        <f>OR(LCI_Table[[#This Row],[Conversion]]="All",LCI_Table[[#This Row],[Conversion]]=SelectedConversion)</f>
        <v>1</v>
      </c>
      <c r="I1003" s="14" t="b">
        <f>OR(LCI_Table[[#This Row],[Data Set]]="all",LCI_Table[[#This Row],[Data Set]]=SelectedDataSet)</f>
        <v>0</v>
      </c>
      <c r="J1003" s="14" t="b">
        <f>OR(LCI_Table[[#This Row],[Technology]]="All",LCI_Table[[#This Row],[Technology]]=SelectedTechnology)</f>
        <v>1</v>
      </c>
      <c r="K1003" s="14" t="b">
        <f>OR(LCI_Table[[#This Row],[Data Source]]="All",LCI_Table[[#This Row],[Data Source]]=SelectedDataSource)</f>
        <v>0</v>
      </c>
      <c r="L1003" s="14" t="b">
        <f>TRUE</f>
        <v>1</v>
      </c>
      <c r="M1003" s="14" t="b">
        <f>(LCI_Table[[#This Row],[Dev Notes]]="Do not display")</f>
        <v>0</v>
      </c>
      <c r="N1003" s="14" t="b">
        <f>AND(LCI_Table[[#This Row],[Show Feedstock]:[Conditional]],NOT(LCI_Table[[#This Row],[Hide Row]]))</f>
        <v>0</v>
      </c>
      <c r="O1003" s="14" t="b">
        <f>LCI_Table[[#This Row],[GREET1 Name Range]]=""</f>
        <v>0</v>
      </c>
      <c r="P1003" s="14" t="s">
        <v>1448</v>
      </c>
      <c r="Q1003" s="14" t="s">
        <v>804</v>
      </c>
      <c r="R1003" s="14" t="s">
        <v>73</v>
      </c>
      <c r="S1003" s="37" cm="1">
        <f t="array" aca="1" ref="S10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315.73508405447421</v>
      </c>
      <c r="T1003" s="346" t="s">
        <v>2120</v>
      </c>
      <c r="U1003" s="347">
        <f ca="1">S1003*lb2g/Fuel_Specs!$E$48*Fuel_Specs!$B$48*Fuel_Specs!$B$81*BTU2mmBTU</f>
        <v>1736.0000000000007</v>
      </c>
      <c r="V1003" s="347">
        <v>315.73508405447421</v>
      </c>
      <c r="W1003" s="347">
        <v>1736.0000000000007</v>
      </c>
      <c r="X1003" s="14" t="s">
        <v>351</v>
      </c>
      <c r="Y1003" s="346" t="s">
        <v>416</v>
      </c>
      <c r="Z1003" s="14" t="str">
        <f>IF(ISBLANK(LCI_Table[[#This Row],[Notes for user]])," ",LCI_Table[[#This Row],[Notes for user]])</f>
        <v xml:space="preserve"> </v>
      </c>
      <c r="AA1003" s="14"/>
      <c r="AB1003" s="14"/>
      <c r="AC1003" s="346">
        <f ca="1">LCI_Table[[#This Row],[Default Calculated Value]]-LCI_Table[[#This Row],[Calculated Value]]</f>
        <v>0</v>
      </c>
    </row>
    <row r="1004" spans="1:29" x14ac:dyDescent="0.3">
      <c r="A10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SoybeanHEFAICAOLatAm(blank)_Soybean_Oil_HEFA_Energy_AllocationAllocation factor</v>
      </c>
      <c r="B1004" s="14" t="s">
        <v>10</v>
      </c>
      <c r="C1004" s="14" t="s">
        <v>30</v>
      </c>
      <c r="D1004" s="14" t="s">
        <v>194</v>
      </c>
      <c r="E1004" s="48" t="s">
        <v>369</v>
      </c>
      <c r="F1004" s="48" t="s">
        <v>31</v>
      </c>
      <c r="G1004" s="14" t="b">
        <f>OR(LCI_Table[[#This Row],[Feedstock]]="All",LCI_Table[[#This Row],[Feedstock]]=SelectedFeedstock)</f>
        <v>0</v>
      </c>
      <c r="H1004" s="14" t="b">
        <f>OR(LCI_Table[[#This Row],[Conversion]]="All",LCI_Table[[#This Row],[Conversion]]=SelectedConversion)</f>
        <v>1</v>
      </c>
      <c r="I1004" s="14" t="b">
        <f>OR(LCI_Table[[#This Row],[Data Set]]="all",LCI_Table[[#This Row],[Data Set]]=SelectedDataSet)</f>
        <v>0</v>
      </c>
      <c r="J1004" s="14" t="b">
        <f>OR(LCI_Table[[#This Row],[Technology]]="All",LCI_Table[[#This Row],[Technology]]=SelectedTechnology)</f>
        <v>1</v>
      </c>
      <c r="K1004" s="14" t="b">
        <f>OR(LCI_Table[[#This Row],[Data Source]]="All",LCI_Table[[#This Row],[Data Source]]=SelectedDataSource)</f>
        <v>0</v>
      </c>
      <c r="L1004" s="14" t="b">
        <f>TRUE</f>
        <v>1</v>
      </c>
      <c r="M1004" s="14" t="b">
        <f>(LCI_Table[[#This Row],[Dev Notes]]="Do not display")</f>
        <v>0</v>
      </c>
      <c r="N1004" s="14" t="b">
        <f>AND(LCI_Table[[#This Row],[Show Feedstock]:[Conditional]],NOT(LCI_Table[[#This Row],[Hide Row]]))</f>
        <v>0</v>
      </c>
      <c r="O1004" s="14" t="b">
        <f>LCI_Table[[#This Row],[GREET1 Name Range]]=""</f>
        <v>0</v>
      </c>
      <c r="P1004" s="14" t="s">
        <v>1448</v>
      </c>
      <c r="Q1004" s="14" t="s">
        <v>1115</v>
      </c>
      <c r="R1004" s="14" t="s">
        <v>1344</v>
      </c>
      <c r="S1004" s="37" cm="1">
        <f t="array" aca="1" ref="S10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91.298522130594534</v>
      </c>
      <c r="T1004" s="350" t="s">
        <v>1345</v>
      </c>
      <c r="U1004" s="351">
        <f ca="1">LCI_Table[[#This Row],[Dashboard Value]]/100</f>
        <v>0.91298522130594539</v>
      </c>
      <c r="V1004" s="351">
        <v>91.298522130594534</v>
      </c>
      <c r="W1004" s="351">
        <v>0.91298522130594539</v>
      </c>
      <c r="X1004" s="349" t="s">
        <v>1345</v>
      </c>
      <c r="Y1004" s="346" t="s">
        <v>416</v>
      </c>
      <c r="Z1004" s="14" t="str">
        <f>IF(ISBLANK(LCI_Table[[#This Row],[Notes for user]])," ",LCI_Table[[#This Row],[Notes for user]])</f>
        <v>Allocation to the main distillate products (energy allocation)</v>
      </c>
      <c r="AA1004" s="14" t="s">
        <v>1351</v>
      </c>
      <c r="AB1004" s="346"/>
      <c r="AC1004" s="346">
        <f ca="1">LCI_Table[[#This Row],[Default Calculated Value]]-LCI_Table[[#This Row],[Calculated Value]]</f>
        <v>0</v>
      </c>
    </row>
    <row r="1005" spans="1:29" x14ac:dyDescent="0.3">
      <c r="A10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dash_SoybeanHEFAICAOJRC(blank)_Yield_Farming</v>
      </c>
      <c r="B1005" s="48" t="s">
        <v>10</v>
      </c>
      <c r="C1005" s="48" t="s">
        <v>30</v>
      </c>
      <c r="D1005" s="48" t="s">
        <v>194</v>
      </c>
      <c r="E1005" s="48" t="s">
        <v>355</v>
      </c>
      <c r="F1005" s="48" t="s">
        <v>31</v>
      </c>
      <c r="G1005" s="14" t="b">
        <f>OR(LCI_Table[[#This Row],[Feedstock]]="All",LCI_Table[[#This Row],[Feedstock]]=SelectedFeedstock)</f>
        <v>0</v>
      </c>
      <c r="H1005" s="14" t="b">
        <f>OR(LCI_Table[[#This Row],[Conversion]]="All",LCI_Table[[#This Row],[Conversion]]=SelectedConversion)</f>
        <v>1</v>
      </c>
      <c r="I1005" s="14" t="b">
        <f>OR(LCI_Table[[#This Row],[Data Set]]="all",LCI_Table[[#This Row],[Data Set]]=SelectedDataSet)</f>
        <v>0</v>
      </c>
      <c r="J1005" s="14" t="b">
        <f>OR(LCI_Table[[#This Row],[Technology]]="All",LCI_Table[[#This Row],[Technology]]=SelectedTechnology)</f>
        <v>1</v>
      </c>
      <c r="K1005" s="14" t="b">
        <f>OR(LCI_Table[[#This Row],[Data Source]]="All",LCI_Table[[#This Row],[Data Source]]=SelectedDataSource)</f>
        <v>0</v>
      </c>
      <c r="L1005" s="14" t="b">
        <f>TRUE</f>
        <v>1</v>
      </c>
      <c r="M1005" s="14" t="b">
        <f>(LCI_Table[[#This Row],[Dev Notes]]="Do not display")</f>
        <v>0</v>
      </c>
      <c r="N1005" s="14" t="b">
        <f>AND(LCI_Table[[#This Row],[Show Feedstock]:[Conditional]],NOT(LCI_Table[[#This Row],[Hide Row]]))</f>
        <v>0</v>
      </c>
      <c r="O1005" s="14" t="b">
        <f>LCI_Table[[#This Row],[GREET1 Name Range]]=""</f>
        <v>1</v>
      </c>
      <c r="P1005" s="48" t="s">
        <v>14</v>
      </c>
      <c r="Q1005" s="14" t="s">
        <v>361</v>
      </c>
      <c r="R1005" s="48" t="s">
        <v>200</v>
      </c>
      <c r="S1005" s="37" cm="1">
        <f t="array" aca="1" ref="S10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50.6</v>
      </c>
      <c r="T1005" s="346" t="s">
        <v>2108</v>
      </c>
      <c r="U1005" s="344"/>
      <c r="V1005" s="344">
        <v>50.6</v>
      </c>
      <c r="W1005" s="344"/>
      <c r="X1005" s="48" t="s">
        <v>11</v>
      </c>
      <c r="Y1005" s="346" t="s">
        <v>413</v>
      </c>
      <c r="Z1005" s="14" t="str">
        <f>IF(ISBLANK(LCI_Table[[#This Row],[Notes for user]])," ",LCI_Table[[#This Row],[Notes for user]])</f>
        <v xml:space="preserve"> </v>
      </c>
      <c r="AA1005" s="48"/>
      <c r="AB1005" s="345"/>
      <c r="AC1005" s="346">
        <f>LCI_Table[[#This Row],[Default Calculated Value]]-LCI_Table[[#This Row],[Calculated Value]]</f>
        <v>0</v>
      </c>
    </row>
    <row r="1006" spans="1:29" x14ac:dyDescent="0.3">
      <c r="A10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SoybeanHEFAICAOJRC(blank)_Soybean_Farming_Nitrogen_fertilizerNitrogen fertilizer</v>
      </c>
      <c r="B1006" s="14" t="s">
        <v>10</v>
      </c>
      <c r="C1006" s="14" t="s">
        <v>30</v>
      </c>
      <c r="D1006" s="14" t="s">
        <v>194</v>
      </c>
      <c r="E1006" s="14" t="s">
        <v>355</v>
      </c>
      <c r="F1006" s="48" t="s">
        <v>31</v>
      </c>
      <c r="G1006" s="14" t="b">
        <f>OR(LCI_Table[[#This Row],[Feedstock]]="All",LCI_Table[[#This Row],[Feedstock]]=SelectedFeedstock)</f>
        <v>0</v>
      </c>
      <c r="H1006" s="14" t="b">
        <f>OR(LCI_Table[[#This Row],[Conversion]]="All",LCI_Table[[#This Row],[Conversion]]=SelectedConversion)</f>
        <v>1</v>
      </c>
      <c r="I1006" s="14" t="b">
        <f>OR(LCI_Table[[#This Row],[Data Set]]="all",LCI_Table[[#This Row],[Data Set]]=SelectedDataSet)</f>
        <v>0</v>
      </c>
      <c r="J1006" s="14" t="b">
        <f>OR(LCI_Table[[#This Row],[Technology]]="All",LCI_Table[[#This Row],[Technology]]=SelectedTechnology)</f>
        <v>1</v>
      </c>
      <c r="K1006" s="14" t="b">
        <f>OR(LCI_Table[[#This Row],[Data Source]]="All",LCI_Table[[#This Row],[Data Source]]=SelectedDataSource)</f>
        <v>0</v>
      </c>
      <c r="L1006" s="14" t="b">
        <f>TRUE</f>
        <v>1</v>
      </c>
      <c r="M1006" s="14" t="b">
        <f>(LCI_Table[[#This Row],[Dev Notes]]="Do not display")</f>
        <v>0</v>
      </c>
      <c r="N1006" s="14" t="b">
        <f>AND(LCI_Table[[#This Row],[Show Feedstock]:[Conditional]],NOT(LCI_Table[[#This Row],[Hide Row]]))</f>
        <v>0</v>
      </c>
      <c r="O1006" s="14" t="b">
        <f>LCI_Table[[#This Row],[GREET1 Name Range]]=""</f>
        <v>0</v>
      </c>
      <c r="P1006" s="14" t="s">
        <v>14</v>
      </c>
      <c r="Q1006" s="14" t="s">
        <v>800</v>
      </c>
      <c r="R1006" s="14" t="s">
        <v>111</v>
      </c>
      <c r="S1006" s="37" cm="1">
        <f t="array" aca="1" ref="S10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5.1091688336821104</v>
      </c>
      <c r="T1006" s="346" t="s">
        <v>1485</v>
      </c>
      <c r="U1006" s="347">
        <f ca="1">S1006/g2lb/S1005</f>
        <v>45.79999999999999</v>
      </c>
      <c r="V1006" s="347">
        <v>5.1091688336821104</v>
      </c>
      <c r="W1006" s="347">
        <v>45.79999999999999</v>
      </c>
      <c r="X1006" s="14" t="s">
        <v>12</v>
      </c>
      <c r="Y1006" s="346" t="s">
        <v>413</v>
      </c>
      <c r="Z1006" s="14" t="str">
        <f>IF(ISBLANK(LCI_Table[[#This Row],[Notes for user]])," ",LCI_Table[[#This Row],[Notes for user]])</f>
        <v xml:space="preserve"> </v>
      </c>
      <c r="AA1006" s="14"/>
      <c r="AB1006" s="14"/>
      <c r="AC1006" s="346">
        <f ca="1">LCI_Table[[#This Row],[Default Calculated Value]]-LCI_Table[[#This Row],[Calculated Value]]</f>
        <v>0</v>
      </c>
    </row>
    <row r="1007" spans="1:29" x14ac:dyDescent="0.3">
      <c r="A10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SoybeanHEFAICAOJRC(blank)_Soybean_Farming_P2O5P2O5</v>
      </c>
      <c r="B1007" s="14" t="s">
        <v>10</v>
      </c>
      <c r="C1007" s="14" t="s">
        <v>30</v>
      </c>
      <c r="D1007" s="14" t="s">
        <v>194</v>
      </c>
      <c r="E1007" s="14" t="s">
        <v>355</v>
      </c>
      <c r="F1007" s="48" t="s">
        <v>31</v>
      </c>
      <c r="G1007" s="14" t="b">
        <f>OR(LCI_Table[[#This Row],[Feedstock]]="All",LCI_Table[[#This Row],[Feedstock]]=SelectedFeedstock)</f>
        <v>0</v>
      </c>
      <c r="H1007" s="14" t="b">
        <f>OR(LCI_Table[[#This Row],[Conversion]]="All",LCI_Table[[#This Row],[Conversion]]=SelectedConversion)</f>
        <v>1</v>
      </c>
      <c r="I1007" s="14" t="b">
        <f>OR(LCI_Table[[#This Row],[Data Set]]="all",LCI_Table[[#This Row],[Data Set]]=SelectedDataSet)</f>
        <v>0</v>
      </c>
      <c r="J1007" s="14" t="b">
        <f>OR(LCI_Table[[#This Row],[Technology]]="All",LCI_Table[[#This Row],[Technology]]=SelectedTechnology)</f>
        <v>1</v>
      </c>
      <c r="K1007" s="14" t="b">
        <f>OR(LCI_Table[[#This Row],[Data Source]]="All",LCI_Table[[#This Row],[Data Source]]=SelectedDataSource)</f>
        <v>0</v>
      </c>
      <c r="L1007" s="14" t="b">
        <f>TRUE</f>
        <v>1</v>
      </c>
      <c r="M1007" s="14" t="b">
        <f>(LCI_Table[[#This Row],[Dev Notes]]="Do not display")</f>
        <v>0</v>
      </c>
      <c r="N1007" s="14" t="b">
        <f>AND(LCI_Table[[#This Row],[Show Feedstock]:[Conditional]],NOT(LCI_Table[[#This Row],[Hide Row]]))</f>
        <v>0</v>
      </c>
      <c r="O1007" s="14" t="b">
        <f>LCI_Table[[#This Row],[GREET1 Name Range]]=""</f>
        <v>0</v>
      </c>
      <c r="P1007" s="14" t="s">
        <v>14</v>
      </c>
      <c r="Q1007" s="14" t="s">
        <v>801</v>
      </c>
      <c r="R1007" s="14" t="s">
        <v>112</v>
      </c>
      <c r="S1007" s="37" cm="1">
        <f t="array" aca="1" ref="S10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44.387298666421657</v>
      </c>
      <c r="T1007" s="346" t="s">
        <v>1485</v>
      </c>
      <c r="U1007" s="347">
        <f ca="1">S1007/g2lb/S1005</f>
        <v>397.89999999999992</v>
      </c>
      <c r="V1007" s="347">
        <v>44.387298666421657</v>
      </c>
      <c r="W1007" s="347">
        <v>397.89999999999992</v>
      </c>
      <c r="X1007" s="14" t="s">
        <v>12</v>
      </c>
      <c r="Y1007" s="346" t="s">
        <v>413</v>
      </c>
      <c r="Z1007" s="14" t="str">
        <f>IF(ISBLANK(LCI_Table[[#This Row],[Notes for user]])," ",LCI_Table[[#This Row],[Notes for user]])</f>
        <v xml:space="preserve"> </v>
      </c>
      <c r="AA1007" s="14"/>
      <c r="AB1007" s="14"/>
      <c r="AC1007" s="346">
        <f ca="1">LCI_Table[[#This Row],[Default Calculated Value]]-LCI_Table[[#This Row],[Calculated Value]]</f>
        <v>0</v>
      </c>
    </row>
    <row r="1008" spans="1:29" x14ac:dyDescent="0.3">
      <c r="A10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SoybeanHEFAICAOJRC(blank)_Soybean_Farming_K2OK2O</v>
      </c>
      <c r="B1008" s="14" t="s">
        <v>10</v>
      </c>
      <c r="C1008" s="14" t="s">
        <v>30</v>
      </c>
      <c r="D1008" s="14" t="s">
        <v>194</v>
      </c>
      <c r="E1008" s="14" t="s">
        <v>355</v>
      </c>
      <c r="F1008" s="48" t="s">
        <v>31</v>
      </c>
      <c r="G1008" s="14" t="b">
        <f>OR(LCI_Table[[#This Row],[Feedstock]]="All",LCI_Table[[#This Row],[Feedstock]]=SelectedFeedstock)</f>
        <v>0</v>
      </c>
      <c r="H1008" s="14" t="b">
        <f>OR(LCI_Table[[#This Row],[Conversion]]="All",LCI_Table[[#This Row],[Conversion]]=SelectedConversion)</f>
        <v>1</v>
      </c>
      <c r="I1008" s="14" t="b">
        <f>OR(LCI_Table[[#This Row],[Data Set]]="all",LCI_Table[[#This Row],[Data Set]]=SelectedDataSet)</f>
        <v>0</v>
      </c>
      <c r="J1008" s="14" t="b">
        <f>OR(LCI_Table[[#This Row],[Technology]]="All",LCI_Table[[#This Row],[Technology]]=SelectedTechnology)</f>
        <v>1</v>
      </c>
      <c r="K1008" s="14" t="b">
        <f>OR(LCI_Table[[#This Row],[Data Source]]="All",LCI_Table[[#This Row],[Data Source]]=SelectedDataSource)</f>
        <v>0</v>
      </c>
      <c r="L1008" s="14" t="b">
        <f>TRUE</f>
        <v>1</v>
      </c>
      <c r="M1008" s="14" t="b">
        <f>(LCI_Table[[#This Row],[Dev Notes]]="Do not display")</f>
        <v>0</v>
      </c>
      <c r="N1008" s="14" t="b">
        <f>AND(LCI_Table[[#This Row],[Show Feedstock]:[Conditional]],NOT(LCI_Table[[#This Row],[Hide Row]]))</f>
        <v>0</v>
      </c>
      <c r="O1008" s="14" t="b">
        <f>LCI_Table[[#This Row],[GREET1 Name Range]]=""</f>
        <v>0</v>
      </c>
      <c r="P1008" s="14" t="s">
        <v>14</v>
      </c>
      <c r="Q1008" s="14" t="s">
        <v>797</v>
      </c>
      <c r="R1008" s="14" t="s">
        <v>113</v>
      </c>
      <c r="S1008" s="37" cm="1">
        <f t="array" aca="1" ref="S10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42.691679315505326</v>
      </c>
      <c r="T1008" s="346" t="s">
        <v>1485</v>
      </c>
      <c r="U1008" s="347">
        <f ca="1">S1008/g2lb/S1005</f>
        <v>382.7</v>
      </c>
      <c r="V1008" s="347">
        <v>42.691679315505326</v>
      </c>
      <c r="W1008" s="347">
        <v>382.7</v>
      </c>
      <c r="X1008" s="14" t="s">
        <v>12</v>
      </c>
      <c r="Y1008" s="346" t="s">
        <v>413</v>
      </c>
      <c r="Z1008" s="14" t="str">
        <f>IF(ISBLANK(LCI_Table[[#This Row],[Notes for user]])," ",LCI_Table[[#This Row],[Notes for user]])</f>
        <v xml:space="preserve"> </v>
      </c>
      <c r="AA1008" s="14"/>
      <c r="AB1008" s="14"/>
      <c r="AC1008" s="346">
        <f ca="1">LCI_Table[[#This Row],[Default Calculated Value]]-LCI_Table[[#This Row],[Calculated Value]]</f>
        <v>0</v>
      </c>
    </row>
    <row r="1009" spans="1:29" x14ac:dyDescent="0.3">
      <c r="A10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SoybeanHEFAICAOJRC(blank)_Soybean_Farming_CaCO3CaCO3</v>
      </c>
      <c r="B1009" s="14" t="s">
        <v>10</v>
      </c>
      <c r="C1009" s="14" t="s">
        <v>30</v>
      </c>
      <c r="D1009" s="14" t="s">
        <v>194</v>
      </c>
      <c r="E1009" s="14" t="s">
        <v>355</v>
      </c>
      <c r="F1009" s="48" t="s">
        <v>31</v>
      </c>
      <c r="G1009" s="14" t="b">
        <f>OR(LCI_Table[[#This Row],[Feedstock]]="All",LCI_Table[[#This Row],[Feedstock]]=SelectedFeedstock)</f>
        <v>0</v>
      </c>
      <c r="H1009" s="14" t="b">
        <f>OR(LCI_Table[[#This Row],[Conversion]]="All",LCI_Table[[#This Row],[Conversion]]=SelectedConversion)</f>
        <v>1</v>
      </c>
      <c r="I1009" s="14" t="b">
        <f>OR(LCI_Table[[#This Row],[Data Set]]="all",LCI_Table[[#This Row],[Data Set]]=SelectedDataSet)</f>
        <v>0</v>
      </c>
      <c r="J1009" s="14" t="b">
        <f>OR(LCI_Table[[#This Row],[Technology]]="All",LCI_Table[[#This Row],[Technology]]=SelectedTechnology)</f>
        <v>1</v>
      </c>
      <c r="K1009" s="14" t="b">
        <f>OR(LCI_Table[[#This Row],[Data Source]]="All",LCI_Table[[#This Row],[Data Source]]=SelectedDataSource)</f>
        <v>0</v>
      </c>
      <c r="L1009" s="14" t="b">
        <f>TRUE</f>
        <v>1</v>
      </c>
      <c r="M1009" s="14" t="b">
        <f>(LCI_Table[[#This Row],[Dev Notes]]="Do not display")</f>
        <v>0</v>
      </c>
      <c r="N1009" s="14" t="b">
        <f>AND(LCI_Table[[#This Row],[Show Feedstock]:[Conditional]],NOT(LCI_Table[[#This Row],[Hide Row]]))</f>
        <v>0</v>
      </c>
      <c r="O1009" s="14" t="b">
        <f>LCI_Table[[#This Row],[GREET1 Name Range]]=""</f>
        <v>0</v>
      </c>
      <c r="P1009" s="14" t="s">
        <v>14</v>
      </c>
      <c r="Q1009" s="14" t="s">
        <v>790</v>
      </c>
      <c r="R1009" s="14" t="s">
        <v>141</v>
      </c>
      <c r="S1009" s="37" cm="1">
        <f t="array" aca="1" ref="S10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461.16384188737658</v>
      </c>
      <c r="T1009" s="346" t="s">
        <v>1485</v>
      </c>
      <c r="U1009" s="347">
        <f ca="1">S1009/g2lb/S1005</f>
        <v>4134</v>
      </c>
      <c r="V1009" s="347">
        <v>461.16384188737658</v>
      </c>
      <c r="W1009" s="347">
        <v>4134</v>
      </c>
      <c r="X1009" s="14" t="s">
        <v>12</v>
      </c>
      <c r="Y1009" s="346" t="s">
        <v>413</v>
      </c>
      <c r="Z1009" s="14" t="str">
        <f>IF(ISBLANK(LCI_Table[[#This Row],[Notes for user]])," ",LCI_Table[[#This Row],[Notes for user]])</f>
        <v xml:space="preserve"> </v>
      </c>
      <c r="AA1009" s="14"/>
      <c r="AB1009" s="14"/>
      <c r="AC1009" s="346">
        <f ca="1">LCI_Table[[#This Row],[Default Calculated Value]]-LCI_Table[[#This Row],[Calculated Value]]</f>
        <v>0</v>
      </c>
    </row>
    <row r="1010" spans="1:29" x14ac:dyDescent="0.3">
      <c r="A10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SoybeanHEFAICAOJRC(blank)_Soybean_Farming_HerbicidesHerbicides</v>
      </c>
      <c r="B1010" s="14" t="s">
        <v>10</v>
      </c>
      <c r="C1010" s="14" t="s">
        <v>30</v>
      </c>
      <c r="D1010" s="14" t="s">
        <v>194</v>
      </c>
      <c r="E1010" s="14" t="s">
        <v>355</v>
      </c>
      <c r="F1010" s="48" t="s">
        <v>31</v>
      </c>
      <c r="G1010" s="14" t="b">
        <f>OR(LCI_Table[[#This Row],[Feedstock]]="All",LCI_Table[[#This Row],[Feedstock]]=SelectedFeedstock)</f>
        <v>0</v>
      </c>
      <c r="H1010" s="14" t="b">
        <f>OR(LCI_Table[[#This Row],[Conversion]]="All",LCI_Table[[#This Row],[Conversion]]=SelectedConversion)</f>
        <v>1</v>
      </c>
      <c r="I1010" s="14" t="b">
        <f>OR(LCI_Table[[#This Row],[Data Set]]="all",LCI_Table[[#This Row],[Data Set]]=SelectedDataSet)</f>
        <v>0</v>
      </c>
      <c r="J1010" s="14" t="b">
        <f>OR(LCI_Table[[#This Row],[Technology]]="All",LCI_Table[[#This Row],[Technology]]=SelectedTechnology)</f>
        <v>1</v>
      </c>
      <c r="K1010" s="14" t="b">
        <f>OR(LCI_Table[[#This Row],[Data Source]]="All",LCI_Table[[#This Row],[Data Source]]=SelectedDataSource)</f>
        <v>0</v>
      </c>
      <c r="L1010" s="14" t="b">
        <f>TRUE</f>
        <v>1</v>
      </c>
      <c r="M1010" s="14" t="b">
        <f>(LCI_Table[[#This Row],[Dev Notes]]="Do not display")</f>
        <v>0</v>
      </c>
      <c r="N1010" s="14" t="b">
        <f>AND(LCI_Table[[#This Row],[Show Feedstock]:[Conditional]],NOT(LCI_Table[[#This Row],[Hide Row]]))</f>
        <v>0</v>
      </c>
      <c r="O1010" s="14" t="b">
        <f>LCI_Table[[#This Row],[GREET1 Name Range]]=""</f>
        <v>0</v>
      </c>
      <c r="P1010" s="14" t="s">
        <v>14</v>
      </c>
      <c r="Q1010" s="14" t="s">
        <v>795</v>
      </c>
      <c r="R1010" s="14" t="s">
        <v>356</v>
      </c>
      <c r="S1010" s="37" cm="1">
        <f t="array" aca="1" ref="S10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3.4247048732323324</v>
      </c>
      <c r="T1010" s="346" t="s">
        <v>1485</v>
      </c>
      <c r="U1010" s="347">
        <f ca="1">S1010/g2lb/S1005</f>
        <v>30.7</v>
      </c>
      <c r="V1010" s="347">
        <v>3.4247048732323324</v>
      </c>
      <c r="W1010" s="347">
        <v>30.7</v>
      </c>
      <c r="X1010" s="14" t="s">
        <v>12</v>
      </c>
      <c r="Y1010" s="346" t="s">
        <v>413</v>
      </c>
      <c r="Z1010" s="14" t="str">
        <f>IF(ISBLANK(LCI_Table[[#This Row],[Notes for user]])," ",LCI_Table[[#This Row],[Notes for user]])</f>
        <v xml:space="preserve"> </v>
      </c>
      <c r="AA1010" s="14"/>
      <c r="AB1010" s="14"/>
      <c r="AC1010" s="346">
        <f ca="1">LCI_Table[[#This Row],[Default Calculated Value]]-LCI_Table[[#This Row],[Calculated Value]]</f>
        <v>0</v>
      </c>
    </row>
    <row r="1011" spans="1:29" x14ac:dyDescent="0.3">
      <c r="A10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SoybeanHEFAICAOJRC(blank)_Soybean_Farming_InsecticideInsecticide</v>
      </c>
      <c r="B1011" s="14" t="s">
        <v>10</v>
      </c>
      <c r="C1011" s="14" t="s">
        <v>30</v>
      </c>
      <c r="D1011" s="14" t="s">
        <v>194</v>
      </c>
      <c r="E1011" s="14" t="s">
        <v>355</v>
      </c>
      <c r="F1011" s="48" t="s">
        <v>31</v>
      </c>
      <c r="G1011" s="14" t="b">
        <f>OR(LCI_Table[[#This Row],[Feedstock]]="All",LCI_Table[[#This Row],[Feedstock]]=SelectedFeedstock)</f>
        <v>0</v>
      </c>
      <c r="H1011" s="14" t="b">
        <f>OR(LCI_Table[[#This Row],[Conversion]]="All",LCI_Table[[#This Row],[Conversion]]=SelectedConversion)</f>
        <v>1</v>
      </c>
      <c r="I1011" s="14" t="b">
        <f>OR(LCI_Table[[#This Row],[Data Set]]="all",LCI_Table[[#This Row],[Data Set]]=SelectedDataSet)</f>
        <v>0</v>
      </c>
      <c r="J1011" s="14" t="b">
        <f>OR(LCI_Table[[#This Row],[Technology]]="All",LCI_Table[[#This Row],[Technology]]=SelectedTechnology)</f>
        <v>1</v>
      </c>
      <c r="K1011" s="14" t="b">
        <f>OR(LCI_Table[[#This Row],[Data Source]]="All",LCI_Table[[#This Row],[Data Source]]=SelectedDataSource)</f>
        <v>0</v>
      </c>
      <c r="L1011" s="14" t="b">
        <f>TRUE</f>
        <v>1</v>
      </c>
      <c r="M1011" s="14" t="b">
        <f>(LCI_Table[[#This Row],[Dev Notes]]="Do not display")</f>
        <v>0</v>
      </c>
      <c r="N1011" s="14" t="b">
        <f>AND(LCI_Table[[#This Row],[Show Feedstock]:[Conditional]],NOT(LCI_Table[[#This Row],[Hide Row]]))</f>
        <v>0</v>
      </c>
      <c r="O1011" s="14" t="b">
        <f>LCI_Table[[#This Row],[GREET1 Name Range]]=""</f>
        <v>0</v>
      </c>
      <c r="P1011" s="14" t="s">
        <v>14</v>
      </c>
      <c r="Q1011" s="14" t="s">
        <v>796</v>
      </c>
      <c r="R1011" s="14" t="s">
        <v>114</v>
      </c>
      <c r="S1011" s="37" cm="1">
        <f t="array" aca="1" ref="S10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6.693234279932897E-2</v>
      </c>
      <c r="T1011" s="346" t="s">
        <v>1485</v>
      </c>
      <c r="U1011" s="347">
        <f ca="1">S1011/g2lb/S1005</f>
        <v>0.60000000000000009</v>
      </c>
      <c r="V1011" s="347">
        <v>6.693234279932897E-2</v>
      </c>
      <c r="W1011" s="347">
        <v>0.60000000000000009</v>
      </c>
      <c r="X1011" s="14" t="s">
        <v>12</v>
      </c>
      <c r="Y1011" s="346" t="s">
        <v>413</v>
      </c>
      <c r="Z1011" s="14" t="str">
        <f>IF(ISBLANK(LCI_Table[[#This Row],[Notes for user]])," ",LCI_Table[[#This Row],[Notes for user]])</f>
        <v xml:space="preserve"> </v>
      </c>
      <c r="AA1011" s="14"/>
      <c r="AB1011" s="14"/>
      <c r="AC1011" s="346">
        <f ca="1">LCI_Table[[#This Row],[Default Calculated Value]]-LCI_Table[[#This Row],[Calculated Value]]</f>
        <v>0</v>
      </c>
    </row>
    <row r="1012" spans="1:29" x14ac:dyDescent="0.3">
      <c r="A10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SoybeanHEFAICAOJRC(blank)_Soybean_Farming_Residual_oilResidual oil</v>
      </c>
      <c r="B1012" s="14" t="s">
        <v>10</v>
      </c>
      <c r="C1012" s="14" t="s">
        <v>30</v>
      </c>
      <c r="D1012" s="14" t="s">
        <v>194</v>
      </c>
      <c r="E1012" s="14" t="s">
        <v>355</v>
      </c>
      <c r="F1012" s="48" t="s">
        <v>31</v>
      </c>
      <c r="G1012" s="14" t="b">
        <f>OR(LCI_Table[[#This Row],[Feedstock]]="All",LCI_Table[[#This Row],[Feedstock]]=SelectedFeedstock)</f>
        <v>0</v>
      </c>
      <c r="H1012" s="14" t="b">
        <f>OR(LCI_Table[[#This Row],[Conversion]]="All",LCI_Table[[#This Row],[Conversion]]=SelectedConversion)</f>
        <v>1</v>
      </c>
      <c r="I1012" s="14" t="b">
        <f>OR(LCI_Table[[#This Row],[Data Set]]="all",LCI_Table[[#This Row],[Data Set]]=SelectedDataSet)</f>
        <v>0</v>
      </c>
      <c r="J1012" s="14" t="b">
        <f>OR(LCI_Table[[#This Row],[Technology]]="All",LCI_Table[[#This Row],[Technology]]=SelectedTechnology)</f>
        <v>1</v>
      </c>
      <c r="K1012" s="14" t="b">
        <f>OR(LCI_Table[[#This Row],[Data Source]]="All",LCI_Table[[#This Row],[Data Source]]=SelectedDataSource)</f>
        <v>0</v>
      </c>
      <c r="L1012" s="14" t="b">
        <f>TRUE</f>
        <v>1</v>
      </c>
      <c r="M1012" s="14" t="b">
        <f>(LCI_Table[[#This Row],[Dev Notes]]="Do not display")</f>
        <v>0</v>
      </c>
      <c r="N1012" s="14" t="b">
        <f>AND(LCI_Table[[#This Row],[Show Feedstock]:[Conditional]],NOT(LCI_Table[[#This Row],[Hide Row]]))</f>
        <v>0</v>
      </c>
      <c r="O1012" s="14" t="b">
        <f>LCI_Table[[#This Row],[GREET1 Name Range]]=""</f>
        <v>0</v>
      </c>
      <c r="P1012" s="14" t="s">
        <v>14</v>
      </c>
      <c r="Q1012" s="14" t="s">
        <v>802</v>
      </c>
      <c r="R1012" s="14" t="s">
        <v>115</v>
      </c>
      <c r="S1012" s="37" cm="1">
        <f t="array" aca="1" ref="S10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12" s="346" t="s">
        <v>1484</v>
      </c>
      <c r="U1012" s="347">
        <f ca="1">S1012*Fuel_Specs!$B$28/S1005</f>
        <v>0</v>
      </c>
      <c r="V1012" s="347">
        <v>0</v>
      </c>
      <c r="W1012" s="347">
        <v>0</v>
      </c>
      <c r="X1012" s="14" t="s">
        <v>5</v>
      </c>
      <c r="Y1012" s="346" t="s">
        <v>413</v>
      </c>
      <c r="Z1012" s="14" t="str">
        <f>IF(ISBLANK(LCI_Table[[#This Row],[Notes for user]])," ",LCI_Table[[#This Row],[Notes for user]])</f>
        <v xml:space="preserve"> </v>
      </c>
      <c r="AA1012" s="14"/>
      <c r="AB1012" s="14"/>
      <c r="AC1012" s="346">
        <f ca="1">LCI_Table[[#This Row],[Default Calculated Value]]-LCI_Table[[#This Row],[Calculated Value]]</f>
        <v>0</v>
      </c>
    </row>
    <row r="1013" spans="1:29" x14ac:dyDescent="0.3">
      <c r="A10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SoybeanHEFAICAOJRC(blank)_Soybean_Farming_DieselDiesel</v>
      </c>
      <c r="B1013" s="14" t="s">
        <v>10</v>
      </c>
      <c r="C1013" s="14" t="s">
        <v>30</v>
      </c>
      <c r="D1013" s="14" t="s">
        <v>194</v>
      </c>
      <c r="E1013" s="14" t="s">
        <v>355</v>
      </c>
      <c r="F1013" s="48" t="s">
        <v>31</v>
      </c>
      <c r="G1013" s="14" t="b">
        <f>OR(LCI_Table[[#This Row],[Feedstock]]="All",LCI_Table[[#This Row],[Feedstock]]=SelectedFeedstock)</f>
        <v>0</v>
      </c>
      <c r="H1013" s="14" t="b">
        <f>OR(LCI_Table[[#This Row],[Conversion]]="All",LCI_Table[[#This Row],[Conversion]]=SelectedConversion)</f>
        <v>1</v>
      </c>
      <c r="I1013" s="14" t="b">
        <f>OR(LCI_Table[[#This Row],[Data Set]]="all",LCI_Table[[#This Row],[Data Set]]=SelectedDataSet)</f>
        <v>0</v>
      </c>
      <c r="J1013" s="14" t="b">
        <f>OR(LCI_Table[[#This Row],[Technology]]="All",LCI_Table[[#This Row],[Technology]]=SelectedTechnology)</f>
        <v>1</v>
      </c>
      <c r="K1013" s="14" t="b">
        <f>OR(LCI_Table[[#This Row],[Data Source]]="All",LCI_Table[[#This Row],[Data Source]]=SelectedDataSource)</f>
        <v>0</v>
      </c>
      <c r="L1013" s="14" t="b">
        <f>TRUE</f>
        <v>1</v>
      </c>
      <c r="M1013" s="14" t="b">
        <f>(LCI_Table[[#This Row],[Dev Notes]]="Do not display")</f>
        <v>0</v>
      </c>
      <c r="N1013" s="14" t="b">
        <f>AND(LCI_Table[[#This Row],[Show Feedstock]:[Conditional]],NOT(LCI_Table[[#This Row],[Hide Row]]))</f>
        <v>0</v>
      </c>
      <c r="O1013" s="14" t="b">
        <f>LCI_Table[[#This Row],[GREET1 Name Range]]=""</f>
        <v>0</v>
      </c>
      <c r="P1013" s="14" t="s">
        <v>14</v>
      </c>
      <c r="Q1013" s="14" t="s">
        <v>792</v>
      </c>
      <c r="R1013" s="14" t="s">
        <v>106</v>
      </c>
      <c r="S1013" s="37" cm="1">
        <f t="array" aca="1" ref="S10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6.5498341767224604</v>
      </c>
      <c r="T1013" s="346" t="s">
        <v>1484</v>
      </c>
      <c r="U1013" s="347">
        <f ca="1">S1013*Fuel_Specs!$B$19/S1005</f>
        <v>16627</v>
      </c>
      <c r="V1013" s="347">
        <v>6.5498341767224604</v>
      </c>
      <c r="W1013" s="347">
        <v>16627</v>
      </c>
      <c r="X1013" s="14" t="s">
        <v>5</v>
      </c>
      <c r="Y1013" s="346" t="s">
        <v>413</v>
      </c>
      <c r="Z1013" s="14" t="str">
        <f>IF(ISBLANK(LCI_Table[[#This Row],[Notes for user]])," ",LCI_Table[[#This Row],[Notes for user]])</f>
        <v xml:space="preserve"> </v>
      </c>
      <c r="AA1013" s="14"/>
      <c r="AB1013" s="14"/>
      <c r="AC1013" s="346">
        <f ca="1">LCI_Table[[#This Row],[Default Calculated Value]]-LCI_Table[[#This Row],[Calculated Value]]</f>
        <v>0</v>
      </c>
    </row>
    <row r="1014" spans="1:29" x14ac:dyDescent="0.3">
      <c r="A10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SoybeanHEFAICAOJRC(blank)_Soybean_Farming_GasolineGasoline</v>
      </c>
      <c r="B1014" s="14" t="s">
        <v>10</v>
      </c>
      <c r="C1014" s="14" t="s">
        <v>30</v>
      </c>
      <c r="D1014" s="14" t="s">
        <v>194</v>
      </c>
      <c r="E1014" s="14" t="s">
        <v>355</v>
      </c>
      <c r="F1014" s="48" t="s">
        <v>31</v>
      </c>
      <c r="G1014" s="14" t="b">
        <f>OR(LCI_Table[[#This Row],[Feedstock]]="All",LCI_Table[[#This Row],[Feedstock]]=SelectedFeedstock)</f>
        <v>0</v>
      </c>
      <c r="H1014" s="14" t="b">
        <f>OR(LCI_Table[[#This Row],[Conversion]]="All",LCI_Table[[#This Row],[Conversion]]=SelectedConversion)</f>
        <v>1</v>
      </c>
      <c r="I1014" s="14" t="b">
        <f>OR(LCI_Table[[#This Row],[Data Set]]="all",LCI_Table[[#This Row],[Data Set]]=SelectedDataSet)</f>
        <v>0</v>
      </c>
      <c r="J1014" s="14" t="b">
        <f>OR(LCI_Table[[#This Row],[Technology]]="All",LCI_Table[[#This Row],[Technology]]=SelectedTechnology)</f>
        <v>1</v>
      </c>
      <c r="K1014" s="14" t="b">
        <f>OR(LCI_Table[[#This Row],[Data Source]]="All",LCI_Table[[#This Row],[Data Source]]=SelectedDataSource)</f>
        <v>0</v>
      </c>
      <c r="L1014" s="14" t="b">
        <f>TRUE</f>
        <v>1</v>
      </c>
      <c r="M1014" s="14" t="b">
        <f>(LCI_Table[[#This Row],[Dev Notes]]="Do not display")</f>
        <v>0</v>
      </c>
      <c r="N1014" s="14" t="b">
        <f>AND(LCI_Table[[#This Row],[Show Feedstock]:[Conditional]],NOT(LCI_Table[[#This Row],[Hide Row]]))</f>
        <v>0</v>
      </c>
      <c r="O1014" s="14" t="b">
        <f>LCI_Table[[#This Row],[GREET1 Name Range]]=""</f>
        <v>0</v>
      </c>
      <c r="P1014" s="14" t="s">
        <v>14</v>
      </c>
      <c r="Q1014" s="14" t="s">
        <v>794</v>
      </c>
      <c r="R1014" s="14" t="s">
        <v>107</v>
      </c>
      <c r="S1014" s="37" cm="1">
        <f t="array" aca="1" ref="S10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14" s="346" t="s">
        <v>1484</v>
      </c>
      <c r="U1014" s="347">
        <f ca="1">S1014*Fuel_Specs!$B$15/S1005</f>
        <v>0</v>
      </c>
      <c r="V1014" s="347">
        <v>0</v>
      </c>
      <c r="W1014" s="347">
        <v>0</v>
      </c>
      <c r="X1014" s="14" t="s">
        <v>5</v>
      </c>
      <c r="Y1014" s="346" t="s">
        <v>413</v>
      </c>
      <c r="Z1014" s="14" t="str">
        <f>IF(ISBLANK(LCI_Table[[#This Row],[Notes for user]])," ",LCI_Table[[#This Row],[Notes for user]])</f>
        <v xml:space="preserve"> </v>
      </c>
      <c r="AA1014" s="14"/>
      <c r="AB1014" s="14"/>
      <c r="AC1014" s="346">
        <f ca="1">LCI_Table[[#This Row],[Default Calculated Value]]-LCI_Table[[#This Row],[Calculated Value]]</f>
        <v>0</v>
      </c>
    </row>
    <row r="1015" spans="1:29" x14ac:dyDescent="0.3">
      <c r="A10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SoybeanHEFAICAOJRC(blank)_Soybean_Farming_Natural_gasNatural gas</v>
      </c>
      <c r="B1015" s="14" t="s">
        <v>10</v>
      </c>
      <c r="C1015" s="14" t="s">
        <v>30</v>
      </c>
      <c r="D1015" s="14" t="s">
        <v>194</v>
      </c>
      <c r="E1015" s="14" t="s">
        <v>355</v>
      </c>
      <c r="F1015" s="48" t="s">
        <v>31</v>
      </c>
      <c r="G1015" s="14" t="b">
        <f>OR(LCI_Table[[#This Row],[Feedstock]]="All",LCI_Table[[#This Row],[Feedstock]]=SelectedFeedstock)</f>
        <v>0</v>
      </c>
      <c r="H1015" s="14" t="b">
        <f>OR(LCI_Table[[#This Row],[Conversion]]="All",LCI_Table[[#This Row],[Conversion]]=SelectedConversion)</f>
        <v>1</v>
      </c>
      <c r="I1015" s="14" t="b">
        <f>OR(LCI_Table[[#This Row],[Data Set]]="all",LCI_Table[[#This Row],[Data Set]]=SelectedDataSet)</f>
        <v>0</v>
      </c>
      <c r="J1015" s="14" t="b">
        <f>OR(LCI_Table[[#This Row],[Technology]]="All",LCI_Table[[#This Row],[Technology]]=SelectedTechnology)</f>
        <v>1</v>
      </c>
      <c r="K1015" s="14" t="b">
        <f>OR(LCI_Table[[#This Row],[Data Source]]="All",LCI_Table[[#This Row],[Data Source]]=SelectedDataSource)</f>
        <v>0</v>
      </c>
      <c r="L1015" s="14" t="b">
        <f>TRUE</f>
        <v>1</v>
      </c>
      <c r="M1015" s="14" t="b">
        <f>(LCI_Table[[#This Row],[Dev Notes]]="Do not display")</f>
        <v>0</v>
      </c>
      <c r="N1015" s="14" t="b">
        <f>AND(LCI_Table[[#This Row],[Show Feedstock]:[Conditional]],NOT(LCI_Table[[#This Row],[Hide Row]]))</f>
        <v>0</v>
      </c>
      <c r="O1015" s="14" t="b">
        <f>LCI_Table[[#This Row],[GREET1 Name Range]]=""</f>
        <v>0</v>
      </c>
      <c r="P1015" s="14" t="s">
        <v>14</v>
      </c>
      <c r="Q1015" s="14" t="s">
        <v>799</v>
      </c>
      <c r="R1015" s="14" t="s">
        <v>108</v>
      </c>
      <c r="S1015" s="37" cm="1">
        <f t="array" aca="1" ref="S10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15" s="346" t="s">
        <v>2109</v>
      </c>
      <c r="U1015" s="347">
        <f ca="1">S1015*Fuel_Specs!$B$79/S1005</f>
        <v>0</v>
      </c>
      <c r="V1015" s="347">
        <v>0</v>
      </c>
      <c r="W1015" s="347">
        <v>0</v>
      </c>
      <c r="X1015" s="14" t="s">
        <v>351</v>
      </c>
      <c r="Y1015" s="346" t="s">
        <v>413</v>
      </c>
      <c r="Z1015" s="14" t="str">
        <f>IF(ISBLANK(LCI_Table[[#This Row],[Notes for user]])," ",LCI_Table[[#This Row],[Notes for user]])</f>
        <v xml:space="preserve"> </v>
      </c>
      <c r="AA1015" s="14"/>
      <c r="AB1015" s="14"/>
      <c r="AC1015" s="346">
        <f ca="1">LCI_Table[[#This Row],[Default Calculated Value]]-LCI_Table[[#This Row],[Calculated Value]]</f>
        <v>0</v>
      </c>
    </row>
    <row r="1016" spans="1:29" x14ac:dyDescent="0.3">
      <c r="A10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SoybeanHEFAICAOJRC(blank)_Soybean_Farming_CoalCoal</v>
      </c>
      <c r="B1016" s="14" t="s">
        <v>10</v>
      </c>
      <c r="C1016" s="14" t="s">
        <v>30</v>
      </c>
      <c r="D1016" s="14" t="s">
        <v>194</v>
      </c>
      <c r="E1016" s="14" t="s">
        <v>355</v>
      </c>
      <c r="F1016" s="48" t="s">
        <v>31</v>
      </c>
      <c r="G1016" s="14" t="b">
        <f>OR(LCI_Table[[#This Row],[Feedstock]]="All",LCI_Table[[#This Row],[Feedstock]]=SelectedFeedstock)</f>
        <v>0</v>
      </c>
      <c r="H1016" s="14" t="b">
        <f>OR(LCI_Table[[#This Row],[Conversion]]="All",LCI_Table[[#This Row],[Conversion]]=SelectedConversion)</f>
        <v>1</v>
      </c>
      <c r="I1016" s="14" t="b">
        <f>OR(LCI_Table[[#This Row],[Data Set]]="all",LCI_Table[[#This Row],[Data Set]]=SelectedDataSet)</f>
        <v>0</v>
      </c>
      <c r="J1016" s="14" t="b">
        <f>OR(LCI_Table[[#This Row],[Technology]]="All",LCI_Table[[#This Row],[Technology]]=SelectedTechnology)</f>
        <v>1</v>
      </c>
      <c r="K1016" s="14" t="b">
        <f>OR(LCI_Table[[#This Row],[Data Source]]="All",LCI_Table[[#This Row],[Data Source]]=SelectedDataSource)</f>
        <v>0</v>
      </c>
      <c r="L1016" s="14" t="b">
        <f>TRUE</f>
        <v>1</v>
      </c>
      <c r="M1016" s="14" t="b">
        <f>(LCI_Table[[#This Row],[Dev Notes]]="Do not display")</f>
        <v>0</v>
      </c>
      <c r="N1016" s="14" t="b">
        <f>AND(LCI_Table[[#This Row],[Show Feedstock]:[Conditional]],NOT(LCI_Table[[#This Row],[Hide Row]]))</f>
        <v>0</v>
      </c>
      <c r="O1016" s="14" t="b">
        <f>LCI_Table[[#This Row],[GREET1 Name Range]]=""</f>
        <v>0</v>
      </c>
      <c r="P1016" s="14" t="s">
        <v>14</v>
      </c>
      <c r="Q1016" s="14" t="s">
        <v>791</v>
      </c>
      <c r="R1016" s="14" t="s">
        <v>9</v>
      </c>
      <c r="S1016" s="37" cm="1">
        <f t="array" aca="1" ref="S10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16" s="346" t="s">
        <v>2110</v>
      </c>
      <c r="U1016" s="347">
        <f ca="1">S1016/S1005</f>
        <v>0</v>
      </c>
      <c r="V1016" s="347">
        <v>0</v>
      </c>
      <c r="W1016" s="347">
        <v>0</v>
      </c>
      <c r="X1016" s="14" t="s">
        <v>117</v>
      </c>
      <c r="Y1016" s="346" t="s">
        <v>413</v>
      </c>
      <c r="Z1016" s="14" t="str">
        <f>IF(ISBLANK(LCI_Table[[#This Row],[Notes for user]])," ",LCI_Table[[#This Row],[Notes for user]])</f>
        <v xml:space="preserve"> </v>
      </c>
      <c r="AA1016" s="14"/>
      <c r="AB1016" s="14"/>
      <c r="AC1016" s="346">
        <f ca="1">LCI_Table[[#This Row],[Default Calculated Value]]-LCI_Table[[#This Row],[Calculated Value]]</f>
        <v>0</v>
      </c>
    </row>
    <row r="1017" spans="1:29" x14ac:dyDescent="0.3">
      <c r="A10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SoybeanHEFAICAOJRC(blank)_Soybean_Farming_LPGLPG</v>
      </c>
      <c r="B1017" s="14" t="s">
        <v>10</v>
      </c>
      <c r="C1017" s="14" t="s">
        <v>30</v>
      </c>
      <c r="D1017" s="14" t="s">
        <v>194</v>
      </c>
      <c r="E1017" s="14" t="s">
        <v>355</v>
      </c>
      <c r="F1017" s="48" t="s">
        <v>31</v>
      </c>
      <c r="G1017" s="14" t="b">
        <f>OR(LCI_Table[[#This Row],[Feedstock]]="All",LCI_Table[[#This Row],[Feedstock]]=SelectedFeedstock)</f>
        <v>0</v>
      </c>
      <c r="H1017" s="14" t="b">
        <f>OR(LCI_Table[[#This Row],[Conversion]]="All",LCI_Table[[#This Row],[Conversion]]=SelectedConversion)</f>
        <v>1</v>
      </c>
      <c r="I1017" s="14" t="b">
        <f>OR(LCI_Table[[#This Row],[Data Set]]="all",LCI_Table[[#This Row],[Data Set]]=SelectedDataSet)</f>
        <v>0</v>
      </c>
      <c r="J1017" s="14" t="b">
        <f>OR(LCI_Table[[#This Row],[Technology]]="All",LCI_Table[[#This Row],[Technology]]=SelectedTechnology)</f>
        <v>1</v>
      </c>
      <c r="K1017" s="14" t="b">
        <f>OR(LCI_Table[[#This Row],[Data Source]]="All",LCI_Table[[#This Row],[Data Source]]=SelectedDataSource)</f>
        <v>0</v>
      </c>
      <c r="L1017" s="14" t="b">
        <f>TRUE</f>
        <v>1</v>
      </c>
      <c r="M1017" s="14" t="b">
        <f>(LCI_Table[[#This Row],[Dev Notes]]="Do not display")</f>
        <v>0</v>
      </c>
      <c r="N1017" s="14" t="b">
        <f>AND(LCI_Table[[#This Row],[Show Feedstock]:[Conditional]],NOT(LCI_Table[[#This Row],[Hide Row]]))</f>
        <v>0</v>
      </c>
      <c r="O1017" s="14" t="b">
        <f>LCI_Table[[#This Row],[GREET1 Name Range]]=""</f>
        <v>0</v>
      </c>
      <c r="P1017" s="14" t="s">
        <v>14</v>
      </c>
      <c r="Q1017" s="14" t="s">
        <v>798</v>
      </c>
      <c r="R1017" s="14" t="s">
        <v>109</v>
      </c>
      <c r="S1017" s="37" cm="1">
        <f t="array" aca="1" ref="S10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17" s="346" t="s">
        <v>1484</v>
      </c>
      <c r="U1017" s="347">
        <f ca="1">S1017*Fuel_Specs!$B$35/S1005</f>
        <v>0</v>
      </c>
      <c r="V1017" s="347">
        <v>0</v>
      </c>
      <c r="W1017" s="347">
        <v>0</v>
      </c>
      <c r="X1017" s="14" t="s">
        <v>5</v>
      </c>
      <c r="Y1017" s="346" t="s">
        <v>413</v>
      </c>
      <c r="Z1017" s="14" t="str">
        <f>IF(ISBLANK(LCI_Table[[#This Row],[Notes for user]])," ",LCI_Table[[#This Row],[Notes for user]])</f>
        <v xml:space="preserve"> </v>
      </c>
      <c r="AA1017" s="14"/>
      <c r="AB1017" s="14"/>
      <c r="AC1017" s="346">
        <f ca="1">LCI_Table[[#This Row],[Default Calculated Value]]-LCI_Table[[#This Row],[Calculated Value]]</f>
        <v>0</v>
      </c>
    </row>
    <row r="1018" spans="1:29" x14ac:dyDescent="0.3">
      <c r="A10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SoybeanHEFAICAOJRC(blank)_Soybean_Farming_ElectricityElectricity</v>
      </c>
      <c r="B1018" s="14" t="s">
        <v>10</v>
      </c>
      <c r="C1018" s="14" t="s">
        <v>30</v>
      </c>
      <c r="D1018" s="14" t="s">
        <v>194</v>
      </c>
      <c r="E1018" s="14" t="s">
        <v>355</v>
      </c>
      <c r="F1018" s="48" t="s">
        <v>31</v>
      </c>
      <c r="G1018" s="14" t="b">
        <f>OR(LCI_Table[[#This Row],[Feedstock]]="All",LCI_Table[[#This Row],[Feedstock]]=SelectedFeedstock)</f>
        <v>0</v>
      </c>
      <c r="H1018" s="14" t="b">
        <f>OR(LCI_Table[[#This Row],[Conversion]]="All",LCI_Table[[#This Row],[Conversion]]=SelectedConversion)</f>
        <v>1</v>
      </c>
      <c r="I1018" s="14" t="b">
        <f>OR(LCI_Table[[#This Row],[Data Set]]="all",LCI_Table[[#This Row],[Data Set]]=SelectedDataSet)</f>
        <v>0</v>
      </c>
      <c r="J1018" s="14" t="b">
        <f>OR(LCI_Table[[#This Row],[Technology]]="All",LCI_Table[[#This Row],[Technology]]=SelectedTechnology)</f>
        <v>1</v>
      </c>
      <c r="K1018" s="14" t="b">
        <f>OR(LCI_Table[[#This Row],[Data Source]]="All",LCI_Table[[#This Row],[Data Source]]=SelectedDataSource)</f>
        <v>0</v>
      </c>
      <c r="L1018" s="14" t="b">
        <f>TRUE</f>
        <v>1</v>
      </c>
      <c r="M1018" s="14" t="b">
        <f>(LCI_Table[[#This Row],[Dev Notes]]="Do not display")</f>
        <v>0</v>
      </c>
      <c r="N1018" s="14" t="b">
        <f>AND(LCI_Table[[#This Row],[Show Feedstock]:[Conditional]],NOT(LCI_Table[[#This Row],[Hide Row]]))</f>
        <v>0</v>
      </c>
      <c r="O1018" s="14" t="b">
        <f>LCI_Table[[#This Row],[GREET1 Name Range]]=""</f>
        <v>0</v>
      </c>
      <c r="P1018" s="14" t="s">
        <v>14</v>
      </c>
      <c r="Q1018" s="14" t="s">
        <v>793</v>
      </c>
      <c r="R1018" s="14" t="s">
        <v>110</v>
      </c>
      <c r="S1018" s="37" cm="1">
        <f t="array" aca="1" ref="S10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18" s="346" t="s">
        <v>1561</v>
      </c>
      <c r="U1018" s="347">
        <f ca="1">S1018/BTU2kWh/S1005</f>
        <v>0</v>
      </c>
      <c r="V1018" s="347">
        <v>0</v>
      </c>
      <c r="W1018" s="347">
        <v>0</v>
      </c>
      <c r="X1018" s="14" t="s">
        <v>51</v>
      </c>
      <c r="Y1018" s="346" t="s">
        <v>413</v>
      </c>
      <c r="Z1018" s="14" t="str">
        <f>IF(ISBLANK(LCI_Table[[#This Row],[Notes for user]])," ",LCI_Table[[#This Row],[Notes for user]])</f>
        <v xml:space="preserve"> </v>
      </c>
      <c r="AA1018" s="14"/>
      <c r="AB1018" s="14"/>
      <c r="AC1018" s="346">
        <f ca="1">LCI_Table[[#This Row],[Default Calculated Value]]-LCI_Table[[#This Row],[Calculated Value]]</f>
        <v>0</v>
      </c>
    </row>
    <row r="1019" spans="1:29" x14ac:dyDescent="0.3">
      <c r="A10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dash_SoybeanHEFAICAOJRC(blank)_Soybean_Extraction</v>
      </c>
      <c r="B1019" s="14" t="s">
        <v>10</v>
      </c>
      <c r="C1019" s="14" t="s">
        <v>30</v>
      </c>
      <c r="D1019" s="14" t="s">
        <v>194</v>
      </c>
      <c r="E1019" s="14" t="s">
        <v>355</v>
      </c>
      <c r="F1019" s="48" t="s">
        <v>31</v>
      </c>
      <c r="G1019" s="14" t="b">
        <f>OR(LCI_Table[[#This Row],[Feedstock]]="All",LCI_Table[[#This Row],[Feedstock]]=SelectedFeedstock)</f>
        <v>0</v>
      </c>
      <c r="H1019" s="14" t="b">
        <f>OR(LCI_Table[[#This Row],[Conversion]]="All",LCI_Table[[#This Row],[Conversion]]=SelectedConversion)</f>
        <v>1</v>
      </c>
      <c r="I1019" s="14" t="b">
        <f>OR(LCI_Table[[#This Row],[Data Set]]="all",LCI_Table[[#This Row],[Data Set]]=SelectedDataSet)</f>
        <v>0</v>
      </c>
      <c r="J1019" s="14" t="b">
        <f>OR(LCI_Table[[#This Row],[Technology]]="All",LCI_Table[[#This Row],[Technology]]=SelectedTechnology)</f>
        <v>1</v>
      </c>
      <c r="K1019" s="14" t="b">
        <f>OR(LCI_Table[[#This Row],[Data Source]]="All",LCI_Table[[#This Row],[Data Source]]=SelectedDataSource)</f>
        <v>0</v>
      </c>
      <c r="L1019" s="14" t="b">
        <f>TRUE</f>
        <v>1</v>
      </c>
      <c r="M1019" s="14" t="b">
        <f>(LCI_Table[[#This Row],[Dev Notes]]="Do not display")</f>
        <v>1</v>
      </c>
      <c r="N1019" s="14" t="b">
        <f>AND(LCI_Table[[#This Row],[Show Feedstock]:[Conditional]],NOT(LCI_Table[[#This Row],[Hide Row]]))</f>
        <v>0</v>
      </c>
      <c r="O1019" s="14" t="b">
        <f>LCI_Table[[#This Row],[GREET1 Name Range]]=""</f>
        <v>1</v>
      </c>
      <c r="P1019" s="14" t="s">
        <v>15</v>
      </c>
      <c r="Q1019" s="14" t="s">
        <v>361</v>
      </c>
      <c r="R1019" s="14" t="s">
        <v>10</v>
      </c>
      <c r="S1019" s="37" cm="1">
        <f t="array" aca="1" ref="S10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4.6260000000000003</v>
      </c>
      <c r="T1019" s="346" t="s">
        <v>2111</v>
      </c>
      <c r="U1019" s="347">
        <f ca="1">S1019/busoybean2lb</f>
        <v>7.7100000000000002E-2</v>
      </c>
      <c r="V1019" s="347">
        <v>4.6260000000000003</v>
      </c>
      <c r="W1019" s="347">
        <v>7.7100000000000002E-2</v>
      </c>
      <c r="X1019" s="14" t="s">
        <v>12</v>
      </c>
      <c r="Y1019" s="346" t="s">
        <v>891</v>
      </c>
      <c r="Z1019" s="14" t="str">
        <f>IF(ISBLANK(LCI_Table[[#This Row],[Notes for user]])," ",LCI_Table[[#This Row],[Notes for user]])</f>
        <v xml:space="preserve"> </v>
      </c>
      <c r="AA1019" s="348"/>
      <c r="AB1019" s="348" t="s">
        <v>1138</v>
      </c>
      <c r="AC1019" s="346">
        <f ca="1">LCI_Table[[#This Row],[Default Calculated Value]]-LCI_Table[[#This Row],[Calculated Value]]</f>
        <v>0</v>
      </c>
    </row>
    <row r="1020" spans="1:29" x14ac:dyDescent="0.3">
      <c r="A10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SoybeanHEFAICAOJRC(blank)_Soybean_Extraction_Residual_oilResidual oil</v>
      </c>
      <c r="B1020" s="14" t="s">
        <v>10</v>
      </c>
      <c r="C1020" s="14" t="s">
        <v>30</v>
      </c>
      <c r="D1020" s="14" t="s">
        <v>194</v>
      </c>
      <c r="E1020" s="14" t="s">
        <v>355</v>
      </c>
      <c r="F1020" s="48" t="s">
        <v>31</v>
      </c>
      <c r="G1020" s="14" t="b">
        <f>OR(LCI_Table[[#This Row],[Feedstock]]="All",LCI_Table[[#This Row],[Feedstock]]=SelectedFeedstock)</f>
        <v>0</v>
      </c>
      <c r="H1020" s="14" t="b">
        <f>OR(LCI_Table[[#This Row],[Conversion]]="All",LCI_Table[[#This Row],[Conversion]]=SelectedConversion)</f>
        <v>1</v>
      </c>
      <c r="I1020" s="14" t="b">
        <f>OR(LCI_Table[[#This Row],[Data Set]]="all",LCI_Table[[#This Row],[Data Set]]=SelectedDataSet)</f>
        <v>0</v>
      </c>
      <c r="J1020" s="14" t="b">
        <f>OR(LCI_Table[[#This Row],[Technology]]="All",LCI_Table[[#This Row],[Technology]]=SelectedTechnology)</f>
        <v>1</v>
      </c>
      <c r="K1020" s="14" t="b">
        <f>OR(LCI_Table[[#This Row],[Data Source]]="All",LCI_Table[[#This Row],[Data Source]]=SelectedDataSource)</f>
        <v>0</v>
      </c>
      <c r="L1020" s="14" t="b">
        <f>TRUE</f>
        <v>1</v>
      </c>
      <c r="M1020" s="14" t="b">
        <f>(LCI_Table[[#This Row],[Dev Notes]]="Do not display")</f>
        <v>0</v>
      </c>
      <c r="N1020" s="14" t="b">
        <f>AND(LCI_Table[[#This Row],[Show Feedstock]:[Conditional]],NOT(LCI_Table[[#This Row],[Hide Row]]))</f>
        <v>0</v>
      </c>
      <c r="O1020" s="14" t="b">
        <f>LCI_Table[[#This Row],[GREET1 Name Range]]=""</f>
        <v>0</v>
      </c>
      <c r="P1020" s="14" t="s">
        <v>15</v>
      </c>
      <c r="Q1020" s="14" t="s">
        <v>789</v>
      </c>
      <c r="R1020" s="14" t="s">
        <v>115</v>
      </c>
      <c r="S1020" s="37" cm="1">
        <f t="array" aca="1" ref="S10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20" s="346" t="s">
        <v>2112</v>
      </c>
      <c r="U1020" s="347">
        <f ca="1">S1020*Fuel_Specs!$B$28</f>
        <v>0</v>
      </c>
      <c r="V1020" s="347">
        <v>0</v>
      </c>
      <c r="W1020" s="347">
        <v>0</v>
      </c>
      <c r="X1020" s="14" t="s">
        <v>5</v>
      </c>
      <c r="Y1020" s="346" t="s">
        <v>891</v>
      </c>
      <c r="Z1020" s="14" t="str">
        <f>IF(ISBLANK(LCI_Table[[#This Row],[Notes for user]])," ",LCI_Table[[#This Row],[Notes for user]])</f>
        <v xml:space="preserve"> </v>
      </c>
      <c r="AA1020" s="14"/>
      <c r="AB1020" s="14"/>
      <c r="AC1020" s="346">
        <f ca="1">LCI_Table[[#This Row],[Default Calculated Value]]-LCI_Table[[#This Row],[Calculated Value]]</f>
        <v>0</v>
      </c>
    </row>
    <row r="1021" spans="1:29" x14ac:dyDescent="0.3">
      <c r="A10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SoybeanHEFAICAOJRC(blank)_Soybean_Extraction_DieselDiesel</v>
      </c>
      <c r="B1021" s="14" t="s">
        <v>10</v>
      </c>
      <c r="C1021" s="14" t="s">
        <v>30</v>
      </c>
      <c r="D1021" s="14" t="s">
        <v>194</v>
      </c>
      <c r="E1021" s="14" t="s">
        <v>355</v>
      </c>
      <c r="F1021" s="48" t="s">
        <v>31</v>
      </c>
      <c r="G1021" s="14" t="b">
        <f>OR(LCI_Table[[#This Row],[Feedstock]]="All",LCI_Table[[#This Row],[Feedstock]]=SelectedFeedstock)</f>
        <v>0</v>
      </c>
      <c r="H1021" s="14" t="b">
        <f>OR(LCI_Table[[#This Row],[Conversion]]="All",LCI_Table[[#This Row],[Conversion]]=SelectedConversion)</f>
        <v>1</v>
      </c>
      <c r="I1021" s="14" t="b">
        <f>OR(LCI_Table[[#This Row],[Data Set]]="all",LCI_Table[[#This Row],[Data Set]]=SelectedDataSet)</f>
        <v>0</v>
      </c>
      <c r="J1021" s="14" t="b">
        <f>OR(LCI_Table[[#This Row],[Technology]]="All",LCI_Table[[#This Row],[Technology]]=SelectedTechnology)</f>
        <v>1</v>
      </c>
      <c r="K1021" s="14" t="b">
        <f>OR(LCI_Table[[#This Row],[Data Source]]="All",LCI_Table[[#This Row],[Data Source]]=SelectedDataSource)</f>
        <v>0</v>
      </c>
      <c r="L1021" s="14" t="b">
        <f>TRUE</f>
        <v>1</v>
      </c>
      <c r="M1021" s="14" t="b">
        <f>(LCI_Table[[#This Row],[Dev Notes]]="Do not display")</f>
        <v>0</v>
      </c>
      <c r="N1021" s="14" t="b">
        <f>AND(LCI_Table[[#This Row],[Show Feedstock]:[Conditional]],NOT(LCI_Table[[#This Row],[Hide Row]]))</f>
        <v>0</v>
      </c>
      <c r="O1021" s="14" t="b">
        <f>LCI_Table[[#This Row],[GREET1 Name Range]]=""</f>
        <v>0</v>
      </c>
      <c r="P1021" s="14" t="s">
        <v>15</v>
      </c>
      <c r="Q1021" s="14" t="s">
        <v>781</v>
      </c>
      <c r="R1021" s="14" t="s">
        <v>106</v>
      </c>
      <c r="S1021" s="37" cm="1">
        <f t="array" aca="1" ref="S10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21" s="346" t="s">
        <v>2112</v>
      </c>
      <c r="U1021" s="347">
        <f ca="1">S1021*Fuel_Specs!$B$19</f>
        <v>0</v>
      </c>
      <c r="V1021" s="347">
        <v>0</v>
      </c>
      <c r="W1021" s="347">
        <v>0</v>
      </c>
      <c r="X1021" s="14" t="s">
        <v>5</v>
      </c>
      <c r="Y1021" s="346" t="s">
        <v>891</v>
      </c>
      <c r="Z1021" s="14" t="str">
        <f>IF(ISBLANK(LCI_Table[[#This Row],[Notes for user]])," ",LCI_Table[[#This Row],[Notes for user]])</f>
        <v xml:space="preserve"> </v>
      </c>
      <c r="AA1021" s="14"/>
      <c r="AB1021" s="14"/>
      <c r="AC1021" s="346">
        <f ca="1">LCI_Table[[#This Row],[Default Calculated Value]]-LCI_Table[[#This Row],[Calculated Value]]</f>
        <v>0</v>
      </c>
    </row>
    <row r="1022" spans="1:29" x14ac:dyDescent="0.3">
      <c r="A10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SoybeanHEFAICAOJRC(blank)_Soybean_Extraction_GasolineGasoline</v>
      </c>
      <c r="B1022" s="14" t="s">
        <v>10</v>
      </c>
      <c r="C1022" s="14" t="s">
        <v>30</v>
      </c>
      <c r="D1022" s="14" t="s">
        <v>194</v>
      </c>
      <c r="E1022" s="14" t="s">
        <v>355</v>
      </c>
      <c r="F1022" s="48" t="s">
        <v>31</v>
      </c>
      <c r="G1022" s="14" t="b">
        <f>OR(LCI_Table[[#This Row],[Feedstock]]="All",LCI_Table[[#This Row],[Feedstock]]=SelectedFeedstock)</f>
        <v>0</v>
      </c>
      <c r="H1022" s="14" t="b">
        <f>OR(LCI_Table[[#This Row],[Conversion]]="All",LCI_Table[[#This Row],[Conversion]]=SelectedConversion)</f>
        <v>1</v>
      </c>
      <c r="I1022" s="14" t="b">
        <f>OR(LCI_Table[[#This Row],[Data Set]]="all",LCI_Table[[#This Row],[Data Set]]=SelectedDataSet)</f>
        <v>0</v>
      </c>
      <c r="J1022" s="14" t="b">
        <f>OR(LCI_Table[[#This Row],[Technology]]="All",LCI_Table[[#This Row],[Technology]]=SelectedTechnology)</f>
        <v>1</v>
      </c>
      <c r="K1022" s="14" t="b">
        <f>OR(LCI_Table[[#This Row],[Data Source]]="All",LCI_Table[[#This Row],[Data Source]]=SelectedDataSource)</f>
        <v>0</v>
      </c>
      <c r="L1022" s="14" t="b">
        <f>TRUE</f>
        <v>1</v>
      </c>
      <c r="M1022" s="14" t="b">
        <f>(LCI_Table[[#This Row],[Dev Notes]]="Do not display")</f>
        <v>0</v>
      </c>
      <c r="N1022" s="14" t="b">
        <f>AND(LCI_Table[[#This Row],[Show Feedstock]:[Conditional]],NOT(LCI_Table[[#This Row],[Hide Row]]))</f>
        <v>0</v>
      </c>
      <c r="O1022" s="14" t="b">
        <f>LCI_Table[[#This Row],[GREET1 Name Range]]=""</f>
        <v>0</v>
      </c>
      <c r="P1022" s="14" t="s">
        <v>15</v>
      </c>
      <c r="Q1022" s="14" t="s">
        <v>784</v>
      </c>
      <c r="R1022" s="14" t="s">
        <v>107</v>
      </c>
      <c r="S1022" s="37" cm="1">
        <f t="array" aca="1" ref="S10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22" s="346" t="s">
        <v>2112</v>
      </c>
      <c r="U1022" s="347">
        <f ca="1">S1022*Fuel_Specs!$B$15</f>
        <v>0</v>
      </c>
      <c r="V1022" s="347">
        <v>0</v>
      </c>
      <c r="W1022" s="347">
        <v>0</v>
      </c>
      <c r="X1022" s="14" t="s">
        <v>5</v>
      </c>
      <c r="Y1022" s="346" t="s">
        <v>891</v>
      </c>
      <c r="Z1022" s="14" t="str">
        <f>IF(ISBLANK(LCI_Table[[#This Row],[Notes for user]])," ",LCI_Table[[#This Row],[Notes for user]])</f>
        <v xml:space="preserve"> </v>
      </c>
      <c r="AA1022" s="14"/>
      <c r="AB1022" s="14"/>
      <c r="AC1022" s="346">
        <f ca="1">LCI_Table[[#This Row],[Default Calculated Value]]-LCI_Table[[#This Row],[Calculated Value]]</f>
        <v>0</v>
      </c>
    </row>
    <row r="1023" spans="1:29" x14ac:dyDescent="0.3">
      <c r="A10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SoybeanHEFAICAOJRC(blank)_Soybean_Extraction_Natural_gasNatural gas</v>
      </c>
      <c r="B1023" s="14" t="s">
        <v>10</v>
      </c>
      <c r="C1023" s="14" t="s">
        <v>30</v>
      </c>
      <c r="D1023" s="14" t="s">
        <v>194</v>
      </c>
      <c r="E1023" s="14" t="s">
        <v>355</v>
      </c>
      <c r="F1023" s="48" t="s">
        <v>31</v>
      </c>
      <c r="G1023" s="14" t="b">
        <f>OR(LCI_Table[[#This Row],[Feedstock]]="All",LCI_Table[[#This Row],[Feedstock]]=SelectedFeedstock)</f>
        <v>0</v>
      </c>
      <c r="H1023" s="14" t="b">
        <f>OR(LCI_Table[[#This Row],[Conversion]]="All",LCI_Table[[#This Row],[Conversion]]=SelectedConversion)</f>
        <v>1</v>
      </c>
      <c r="I1023" s="14" t="b">
        <f>OR(LCI_Table[[#This Row],[Data Set]]="all",LCI_Table[[#This Row],[Data Set]]=SelectedDataSet)</f>
        <v>0</v>
      </c>
      <c r="J1023" s="14" t="b">
        <f>OR(LCI_Table[[#This Row],[Technology]]="All",LCI_Table[[#This Row],[Technology]]=SelectedTechnology)</f>
        <v>1</v>
      </c>
      <c r="K1023" s="14" t="b">
        <f>OR(LCI_Table[[#This Row],[Data Source]]="All",LCI_Table[[#This Row],[Data Source]]=SelectedDataSource)</f>
        <v>0</v>
      </c>
      <c r="L1023" s="14" t="b">
        <f>TRUE</f>
        <v>1</v>
      </c>
      <c r="M1023" s="14" t="b">
        <f>(LCI_Table[[#This Row],[Dev Notes]]="Do not display")</f>
        <v>0</v>
      </c>
      <c r="N1023" s="14" t="b">
        <f>AND(LCI_Table[[#This Row],[Show Feedstock]:[Conditional]],NOT(LCI_Table[[#This Row],[Hide Row]]))</f>
        <v>0</v>
      </c>
      <c r="O1023" s="14" t="b">
        <f>LCI_Table[[#This Row],[GREET1 Name Range]]=""</f>
        <v>0</v>
      </c>
      <c r="P1023" s="14" t="s">
        <v>15</v>
      </c>
      <c r="Q1023" s="14" t="s">
        <v>788</v>
      </c>
      <c r="R1023" s="14" t="s">
        <v>108</v>
      </c>
      <c r="S1023" s="37" cm="1">
        <f t="array" aca="1" ref="S10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1.4720244150559512</v>
      </c>
      <c r="T1023" s="346" t="s">
        <v>2113</v>
      </c>
      <c r="U1023" s="347">
        <f ca="1">S1023*Fuel_Specs!$B$79</f>
        <v>1447</v>
      </c>
      <c r="V1023" s="347">
        <v>1.4720244150559512</v>
      </c>
      <c r="W1023" s="347">
        <v>1447</v>
      </c>
      <c r="X1023" s="14" t="s">
        <v>351</v>
      </c>
      <c r="Y1023" s="346" t="s">
        <v>891</v>
      </c>
      <c r="Z1023" s="14" t="str">
        <f>IF(ISBLANK(LCI_Table[[#This Row],[Notes for user]])," ",LCI_Table[[#This Row],[Notes for user]])</f>
        <v xml:space="preserve"> </v>
      </c>
      <c r="AA1023" s="14"/>
      <c r="AB1023" s="14"/>
      <c r="AC1023" s="346">
        <f ca="1">LCI_Table[[#This Row],[Default Calculated Value]]-LCI_Table[[#This Row],[Calculated Value]]</f>
        <v>0</v>
      </c>
    </row>
    <row r="1024" spans="1:29" x14ac:dyDescent="0.3">
      <c r="A10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SoybeanHEFAICAOJRC(blank)_Soybean_Extraction_CoalCoal</v>
      </c>
      <c r="B1024" s="14" t="s">
        <v>10</v>
      </c>
      <c r="C1024" s="14" t="s">
        <v>30</v>
      </c>
      <c r="D1024" s="14" t="s">
        <v>194</v>
      </c>
      <c r="E1024" s="14" t="s">
        <v>355</v>
      </c>
      <c r="F1024" s="48" t="s">
        <v>31</v>
      </c>
      <c r="G1024" s="14" t="b">
        <f>OR(LCI_Table[[#This Row],[Feedstock]]="All",LCI_Table[[#This Row],[Feedstock]]=SelectedFeedstock)</f>
        <v>0</v>
      </c>
      <c r="H1024" s="14" t="b">
        <f>OR(LCI_Table[[#This Row],[Conversion]]="All",LCI_Table[[#This Row],[Conversion]]=SelectedConversion)</f>
        <v>1</v>
      </c>
      <c r="I1024" s="14" t="b">
        <f>OR(LCI_Table[[#This Row],[Data Set]]="all",LCI_Table[[#This Row],[Data Set]]=SelectedDataSet)</f>
        <v>0</v>
      </c>
      <c r="J1024" s="14" t="b">
        <f>OR(LCI_Table[[#This Row],[Technology]]="All",LCI_Table[[#This Row],[Technology]]=SelectedTechnology)</f>
        <v>1</v>
      </c>
      <c r="K1024" s="14" t="b">
        <f>OR(LCI_Table[[#This Row],[Data Source]]="All",LCI_Table[[#This Row],[Data Source]]=SelectedDataSource)</f>
        <v>0</v>
      </c>
      <c r="L1024" s="14" t="b">
        <f>TRUE</f>
        <v>1</v>
      </c>
      <c r="M1024" s="14" t="b">
        <f>(LCI_Table[[#This Row],[Dev Notes]]="Do not display")</f>
        <v>0</v>
      </c>
      <c r="N1024" s="14" t="b">
        <f>AND(LCI_Table[[#This Row],[Show Feedstock]:[Conditional]],NOT(LCI_Table[[#This Row],[Hide Row]]))</f>
        <v>0</v>
      </c>
      <c r="O1024" s="14" t="b">
        <f>LCI_Table[[#This Row],[GREET1 Name Range]]=""</f>
        <v>0</v>
      </c>
      <c r="P1024" s="14" t="s">
        <v>15</v>
      </c>
      <c r="Q1024" s="14" t="s">
        <v>780</v>
      </c>
      <c r="R1024" s="14" t="s">
        <v>9</v>
      </c>
      <c r="S1024" s="37" cm="1">
        <f t="array" aca="1" ref="S10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24" s="346" t="s">
        <v>2114</v>
      </c>
      <c r="U1024" s="347">
        <f ca="1">S1024</f>
        <v>0</v>
      </c>
      <c r="V1024" s="347">
        <v>0</v>
      </c>
      <c r="W1024" s="347">
        <v>0</v>
      </c>
      <c r="X1024" s="14" t="s">
        <v>117</v>
      </c>
      <c r="Y1024" s="346" t="s">
        <v>891</v>
      </c>
      <c r="Z1024" s="14" t="str">
        <f>IF(ISBLANK(LCI_Table[[#This Row],[Notes for user]])," ",LCI_Table[[#This Row],[Notes for user]])</f>
        <v xml:space="preserve"> </v>
      </c>
      <c r="AA1024" s="14"/>
      <c r="AB1024" s="14"/>
      <c r="AC1024" s="346">
        <f ca="1">LCI_Table[[#This Row],[Default Calculated Value]]-LCI_Table[[#This Row],[Calculated Value]]</f>
        <v>0</v>
      </c>
    </row>
    <row r="1025" spans="1:29" x14ac:dyDescent="0.3">
      <c r="A10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SoybeanHEFAICAOJRC(blank)_Soybean_Extraction_LPGLPG</v>
      </c>
      <c r="B1025" s="14" t="s">
        <v>10</v>
      </c>
      <c r="C1025" s="14" t="s">
        <v>30</v>
      </c>
      <c r="D1025" s="14" t="s">
        <v>194</v>
      </c>
      <c r="E1025" s="14" t="s">
        <v>355</v>
      </c>
      <c r="F1025" s="48" t="s">
        <v>31</v>
      </c>
      <c r="G1025" s="14" t="b">
        <f>OR(LCI_Table[[#This Row],[Feedstock]]="All",LCI_Table[[#This Row],[Feedstock]]=SelectedFeedstock)</f>
        <v>0</v>
      </c>
      <c r="H1025" s="14" t="b">
        <f>OR(LCI_Table[[#This Row],[Conversion]]="All",LCI_Table[[#This Row],[Conversion]]=SelectedConversion)</f>
        <v>1</v>
      </c>
      <c r="I1025" s="14" t="b">
        <f>OR(LCI_Table[[#This Row],[Data Set]]="all",LCI_Table[[#This Row],[Data Set]]=SelectedDataSet)</f>
        <v>0</v>
      </c>
      <c r="J1025" s="14" t="b">
        <f>OR(LCI_Table[[#This Row],[Technology]]="All",LCI_Table[[#This Row],[Technology]]=SelectedTechnology)</f>
        <v>1</v>
      </c>
      <c r="K1025" s="14" t="b">
        <f>OR(LCI_Table[[#This Row],[Data Source]]="All",LCI_Table[[#This Row],[Data Source]]=SelectedDataSource)</f>
        <v>0</v>
      </c>
      <c r="L1025" s="14" t="b">
        <f>TRUE</f>
        <v>1</v>
      </c>
      <c r="M1025" s="14" t="b">
        <f>(LCI_Table[[#This Row],[Dev Notes]]="Do not display")</f>
        <v>0</v>
      </c>
      <c r="N1025" s="14" t="b">
        <f>AND(LCI_Table[[#This Row],[Show Feedstock]:[Conditional]],NOT(LCI_Table[[#This Row],[Hide Row]]))</f>
        <v>0</v>
      </c>
      <c r="O1025" s="14" t="b">
        <f>LCI_Table[[#This Row],[GREET1 Name Range]]=""</f>
        <v>0</v>
      </c>
      <c r="P1025" s="14" t="s">
        <v>15</v>
      </c>
      <c r="Q1025" s="14" t="s">
        <v>786</v>
      </c>
      <c r="R1025" s="14" t="s">
        <v>109</v>
      </c>
      <c r="S1025" s="37" cm="1">
        <f t="array" aca="1" ref="S10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25" s="346" t="s">
        <v>2112</v>
      </c>
      <c r="U1025" s="347">
        <f ca="1">S1025*Fuel_Specs!$B$35</f>
        <v>0</v>
      </c>
      <c r="V1025" s="347">
        <v>0</v>
      </c>
      <c r="W1025" s="347">
        <v>0</v>
      </c>
      <c r="X1025" s="14" t="s">
        <v>5</v>
      </c>
      <c r="Y1025" s="346" t="s">
        <v>891</v>
      </c>
      <c r="Z1025" s="14" t="str">
        <f>IF(ISBLANK(LCI_Table[[#This Row],[Notes for user]])," ",LCI_Table[[#This Row],[Notes for user]])</f>
        <v xml:space="preserve"> </v>
      </c>
      <c r="AA1025" s="14"/>
      <c r="AB1025" s="14"/>
      <c r="AC1025" s="346">
        <f ca="1">LCI_Table[[#This Row],[Default Calculated Value]]-LCI_Table[[#This Row],[Calculated Value]]</f>
        <v>0</v>
      </c>
    </row>
    <row r="1026" spans="1:29" x14ac:dyDescent="0.3">
      <c r="A10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SoybeanHEFAICAOJRC(blank)_Soybean_Extraction_ElectricityElectricity</v>
      </c>
      <c r="B1026" s="14" t="s">
        <v>10</v>
      </c>
      <c r="C1026" s="14" t="s">
        <v>30</v>
      </c>
      <c r="D1026" s="14" t="s">
        <v>194</v>
      </c>
      <c r="E1026" s="14" t="s">
        <v>355</v>
      </c>
      <c r="F1026" s="48" t="s">
        <v>31</v>
      </c>
      <c r="G1026" s="14" t="b">
        <f>OR(LCI_Table[[#This Row],[Feedstock]]="All",LCI_Table[[#This Row],[Feedstock]]=SelectedFeedstock)</f>
        <v>0</v>
      </c>
      <c r="H1026" s="14" t="b">
        <f>OR(LCI_Table[[#This Row],[Conversion]]="All",LCI_Table[[#This Row],[Conversion]]=SelectedConversion)</f>
        <v>1</v>
      </c>
      <c r="I1026" s="14" t="b">
        <f>OR(LCI_Table[[#This Row],[Data Set]]="all",LCI_Table[[#This Row],[Data Set]]=SelectedDataSet)</f>
        <v>0</v>
      </c>
      <c r="J1026" s="14" t="b">
        <f>OR(LCI_Table[[#This Row],[Technology]]="All",LCI_Table[[#This Row],[Technology]]=SelectedTechnology)</f>
        <v>1</v>
      </c>
      <c r="K1026" s="14" t="b">
        <f>OR(LCI_Table[[#This Row],[Data Source]]="All",LCI_Table[[#This Row],[Data Source]]=SelectedDataSource)</f>
        <v>0</v>
      </c>
      <c r="L1026" s="14" t="b">
        <f>TRUE</f>
        <v>1</v>
      </c>
      <c r="M1026" s="14" t="b">
        <f>(LCI_Table[[#This Row],[Dev Notes]]="Do not display")</f>
        <v>0</v>
      </c>
      <c r="N1026" s="14" t="b">
        <f>AND(LCI_Table[[#This Row],[Show Feedstock]:[Conditional]],NOT(LCI_Table[[#This Row],[Hide Row]]))</f>
        <v>0</v>
      </c>
      <c r="O1026" s="14" t="b">
        <f>LCI_Table[[#This Row],[GREET1 Name Range]]=""</f>
        <v>0</v>
      </c>
      <c r="P1026" s="14" t="s">
        <v>15</v>
      </c>
      <c r="Q1026" s="14" t="s">
        <v>782</v>
      </c>
      <c r="R1026" s="14" t="s">
        <v>110</v>
      </c>
      <c r="S1026" s="37" cm="1">
        <f t="array" aca="1" ref="S10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7.5670950130555553E-2</v>
      </c>
      <c r="T1026" s="346" t="s">
        <v>2115</v>
      </c>
      <c r="U1026" s="347">
        <f ca="1">S1026/BTU2kWh</f>
        <v>258.2</v>
      </c>
      <c r="V1026" s="347">
        <v>7.5670950130555553E-2</v>
      </c>
      <c r="W1026" s="347">
        <v>258.2</v>
      </c>
      <c r="X1026" s="14" t="s">
        <v>51</v>
      </c>
      <c r="Y1026" s="346" t="s">
        <v>891</v>
      </c>
      <c r="Z1026" s="14" t="str">
        <f>IF(ISBLANK(LCI_Table[[#This Row],[Notes for user]])," ",LCI_Table[[#This Row],[Notes for user]])</f>
        <v xml:space="preserve"> </v>
      </c>
      <c r="AA1026" s="14"/>
      <c r="AB1026" s="14"/>
      <c r="AC1026" s="346">
        <f ca="1">LCI_Table[[#This Row],[Default Calculated Value]]-LCI_Table[[#This Row],[Calculated Value]]</f>
        <v>0</v>
      </c>
    </row>
    <row r="1027" spans="1:29" x14ac:dyDescent="0.3">
      <c r="A10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SoybeanHEFAICAOJRC(blank)_Soybean_Extraction_N_hexaneN-hexane</v>
      </c>
      <c r="B1027" s="14" t="s">
        <v>10</v>
      </c>
      <c r="C1027" s="14" t="s">
        <v>30</v>
      </c>
      <c r="D1027" s="14" t="s">
        <v>194</v>
      </c>
      <c r="E1027" s="14" t="s">
        <v>355</v>
      </c>
      <c r="F1027" s="48" t="s">
        <v>31</v>
      </c>
      <c r="G1027" s="14" t="b">
        <f>OR(LCI_Table[[#This Row],[Feedstock]]="All",LCI_Table[[#This Row],[Feedstock]]=SelectedFeedstock)</f>
        <v>0</v>
      </c>
      <c r="H1027" s="14" t="b">
        <f>OR(LCI_Table[[#This Row],[Conversion]]="All",LCI_Table[[#This Row],[Conversion]]=SelectedConversion)</f>
        <v>1</v>
      </c>
      <c r="I1027" s="14" t="b">
        <f>OR(LCI_Table[[#This Row],[Data Set]]="all",LCI_Table[[#This Row],[Data Set]]=SelectedDataSet)</f>
        <v>0</v>
      </c>
      <c r="J1027" s="14" t="b">
        <f>OR(LCI_Table[[#This Row],[Technology]]="All",LCI_Table[[#This Row],[Technology]]=SelectedTechnology)</f>
        <v>1</v>
      </c>
      <c r="K1027" s="14" t="b">
        <f>OR(LCI_Table[[#This Row],[Data Source]]="All",LCI_Table[[#This Row],[Data Source]]=SelectedDataSource)</f>
        <v>0</v>
      </c>
      <c r="L1027" s="14" t="b">
        <f>TRUE</f>
        <v>1</v>
      </c>
      <c r="M1027" s="14" t="b">
        <f>(LCI_Table[[#This Row],[Dev Notes]]="Do not display")</f>
        <v>0</v>
      </c>
      <c r="N1027" s="14" t="b">
        <f>AND(LCI_Table[[#This Row],[Show Feedstock]:[Conditional]],NOT(LCI_Table[[#This Row],[Hide Row]]))</f>
        <v>0</v>
      </c>
      <c r="O1027" s="14" t="b">
        <f>LCI_Table[[#This Row],[GREET1 Name Range]]=""</f>
        <v>0</v>
      </c>
      <c r="P1027" s="14" t="s">
        <v>15</v>
      </c>
      <c r="Q1027" s="14" t="s">
        <v>787</v>
      </c>
      <c r="R1027" s="14" t="s">
        <v>116</v>
      </c>
      <c r="S1027" s="37" cm="1">
        <f t="array" aca="1" ref="S10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2.7681384411670703E-7</v>
      </c>
      <c r="T1027" s="346" t="s">
        <v>2111</v>
      </c>
      <c r="U1027" s="347">
        <f ca="1">S1027*Fuel_Specs!$B$58*ton2lb</f>
        <v>58.20000000000001</v>
      </c>
      <c r="V1027" s="347">
        <v>2.7681384411670703E-7</v>
      </c>
      <c r="W1027" s="347">
        <v>58.20000000000001</v>
      </c>
      <c r="X1027" s="14" t="s">
        <v>12</v>
      </c>
      <c r="Y1027" s="346" t="s">
        <v>891</v>
      </c>
      <c r="Z1027" s="14" t="str">
        <f>IF(ISBLANK(LCI_Table[[#This Row],[Notes for user]])," ",LCI_Table[[#This Row],[Notes for user]])</f>
        <v xml:space="preserve"> </v>
      </c>
      <c r="AA1027" s="14"/>
      <c r="AB1027" s="14"/>
      <c r="AC1027" s="346">
        <f ca="1">LCI_Table[[#This Row],[Default Calculated Value]]-LCI_Table[[#This Row],[Calculated Value]]</f>
        <v>0</v>
      </c>
    </row>
    <row r="1028" spans="1:29" x14ac:dyDescent="0.3">
      <c r="A10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SoybeanHEFAICAOJRC(blank)_Soybean_Extraction_Forest_residueForest residue</v>
      </c>
      <c r="B1028" s="14" t="s">
        <v>10</v>
      </c>
      <c r="C1028" s="14" t="s">
        <v>30</v>
      </c>
      <c r="D1028" s="14" t="s">
        <v>194</v>
      </c>
      <c r="E1028" s="14" t="s">
        <v>355</v>
      </c>
      <c r="F1028" s="48" t="s">
        <v>31</v>
      </c>
      <c r="G1028" s="14" t="b">
        <f>OR(LCI_Table[[#This Row],[Feedstock]]="All",LCI_Table[[#This Row],[Feedstock]]=SelectedFeedstock)</f>
        <v>0</v>
      </c>
      <c r="H1028" s="14" t="b">
        <f>OR(LCI_Table[[#This Row],[Conversion]]="All",LCI_Table[[#This Row],[Conversion]]=SelectedConversion)</f>
        <v>1</v>
      </c>
      <c r="I1028" s="14" t="b">
        <f>OR(LCI_Table[[#This Row],[Data Set]]="all",LCI_Table[[#This Row],[Data Set]]=SelectedDataSet)</f>
        <v>0</v>
      </c>
      <c r="J1028" s="14" t="b">
        <f>OR(LCI_Table[[#This Row],[Technology]]="All",LCI_Table[[#This Row],[Technology]]=SelectedTechnology)</f>
        <v>1</v>
      </c>
      <c r="K1028" s="14" t="b">
        <f>OR(LCI_Table[[#This Row],[Data Source]]="All",LCI_Table[[#This Row],[Data Source]]=SelectedDataSource)</f>
        <v>0</v>
      </c>
      <c r="L1028" s="14" t="b">
        <f>TRUE</f>
        <v>1</v>
      </c>
      <c r="M1028" s="14" t="b">
        <f>(LCI_Table[[#This Row],[Dev Notes]]="Do not display")</f>
        <v>0</v>
      </c>
      <c r="N1028" s="14" t="b">
        <f>AND(LCI_Table[[#This Row],[Show Feedstock]:[Conditional]],NOT(LCI_Table[[#This Row],[Hide Row]]))</f>
        <v>0</v>
      </c>
      <c r="O1028" s="14" t="b">
        <f>LCI_Table[[#This Row],[GREET1 Name Range]]=""</f>
        <v>0</v>
      </c>
      <c r="P1028" s="14" t="s">
        <v>15</v>
      </c>
      <c r="Q1028" s="14" t="s">
        <v>783</v>
      </c>
      <c r="R1028" s="14" t="s">
        <v>316</v>
      </c>
      <c r="S1028" s="37" cm="1">
        <f t="array" aca="1" ref="S10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28" s="346" t="s">
        <v>2111</v>
      </c>
      <c r="U1028" s="347">
        <f ca="1">S1028*Fuel_Specs!$B$100*ton2lb</f>
        <v>0</v>
      </c>
      <c r="V1028" s="347">
        <v>0</v>
      </c>
      <c r="W1028" s="347">
        <v>0</v>
      </c>
      <c r="X1028" s="14" t="s">
        <v>12</v>
      </c>
      <c r="Y1028" s="346" t="s">
        <v>891</v>
      </c>
      <c r="Z1028" s="14" t="str">
        <f>IF(ISBLANK(LCI_Table[[#This Row],[Notes for user]])," ",LCI_Table[[#This Row],[Notes for user]])</f>
        <v xml:space="preserve"> </v>
      </c>
      <c r="AA1028" s="14"/>
      <c r="AB1028" s="14"/>
      <c r="AC1028" s="346">
        <f ca="1">LCI_Table[[#This Row],[Default Calculated Value]]-LCI_Table[[#This Row],[Calculated Value]]</f>
        <v>0</v>
      </c>
    </row>
    <row r="1029" spans="1:29" x14ac:dyDescent="0.3">
      <c r="A10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SoybeanHEFAICAOJRC(blank)_Soybean_Extraction_Landfill_gasLandfill gas</v>
      </c>
      <c r="B1029" s="14" t="s">
        <v>10</v>
      </c>
      <c r="C1029" s="14" t="s">
        <v>30</v>
      </c>
      <c r="D1029" s="14" t="s">
        <v>194</v>
      </c>
      <c r="E1029" s="14" t="s">
        <v>355</v>
      </c>
      <c r="F1029" s="48" t="s">
        <v>31</v>
      </c>
      <c r="G1029" s="14" t="b">
        <f>OR(LCI_Table[[#This Row],[Feedstock]]="All",LCI_Table[[#This Row],[Feedstock]]=SelectedFeedstock)</f>
        <v>0</v>
      </c>
      <c r="H1029" s="14" t="b">
        <f>OR(LCI_Table[[#This Row],[Conversion]]="All",LCI_Table[[#This Row],[Conversion]]=SelectedConversion)</f>
        <v>1</v>
      </c>
      <c r="I1029" s="14" t="b">
        <f>OR(LCI_Table[[#This Row],[Data Set]]="all",LCI_Table[[#This Row],[Data Set]]=SelectedDataSet)</f>
        <v>0</v>
      </c>
      <c r="J1029" s="14" t="b">
        <f>OR(LCI_Table[[#This Row],[Technology]]="All",LCI_Table[[#This Row],[Technology]]=SelectedTechnology)</f>
        <v>1</v>
      </c>
      <c r="K1029" s="14" t="b">
        <f>OR(LCI_Table[[#This Row],[Data Source]]="All",LCI_Table[[#This Row],[Data Source]]=SelectedDataSource)</f>
        <v>0</v>
      </c>
      <c r="L1029" s="14" t="b">
        <f>TRUE</f>
        <v>1</v>
      </c>
      <c r="M1029" s="14" t="b">
        <f>(LCI_Table[[#This Row],[Dev Notes]]="Do not display")</f>
        <v>0</v>
      </c>
      <c r="N1029" s="14" t="b">
        <f>AND(LCI_Table[[#This Row],[Show Feedstock]:[Conditional]],NOT(LCI_Table[[#This Row],[Hide Row]]))</f>
        <v>0</v>
      </c>
      <c r="O1029" s="14" t="b">
        <f>LCI_Table[[#This Row],[GREET1 Name Range]]=""</f>
        <v>0</v>
      </c>
      <c r="P1029" s="14" t="s">
        <v>15</v>
      </c>
      <c r="Q1029" s="14" t="s">
        <v>785</v>
      </c>
      <c r="R1029" s="14" t="s">
        <v>130</v>
      </c>
      <c r="S1029" s="37" cm="1">
        <f t="array" aca="1" ref="S10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29" s="346" t="s">
        <v>2113</v>
      </c>
      <c r="U1029" s="347">
        <f ca="1">S1029*Fuel_Specs!$B$79</f>
        <v>0</v>
      </c>
      <c r="V1029" s="347">
        <v>0</v>
      </c>
      <c r="W1029" s="347">
        <v>0</v>
      </c>
      <c r="X1029" s="14" t="s">
        <v>351</v>
      </c>
      <c r="Y1029" s="346" t="s">
        <v>891</v>
      </c>
      <c r="Z1029" s="14" t="str">
        <f>IF(ISBLANK(LCI_Table[[#This Row],[Notes for user]])," ",LCI_Table[[#This Row],[Notes for user]])</f>
        <v xml:space="preserve"> </v>
      </c>
      <c r="AA1029" s="14"/>
      <c r="AB1029" s="14"/>
      <c r="AC1029" s="346">
        <f ca="1">LCI_Table[[#This Row],[Default Calculated Value]]-LCI_Table[[#This Row],[Calculated Value]]</f>
        <v>0</v>
      </c>
    </row>
    <row r="1030" spans="1:29" x14ac:dyDescent="0.3">
      <c r="A10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SoybeanHEFAICAOJRC(blank)_Soybean_Oil_Extraction_Energy_AllocationAllocation factor</v>
      </c>
      <c r="B1030" s="14" t="s">
        <v>10</v>
      </c>
      <c r="C1030" s="14" t="s">
        <v>30</v>
      </c>
      <c r="D1030" s="14" t="s">
        <v>194</v>
      </c>
      <c r="E1030" s="48" t="s">
        <v>355</v>
      </c>
      <c r="F1030" s="48" t="s">
        <v>31</v>
      </c>
      <c r="G1030" s="14" t="b">
        <f>OR(LCI_Table[[#This Row],[Feedstock]]="All",LCI_Table[[#This Row],[Feedstock]]=SelectedFeedstock)</f>
        <v>0</v>
      </c>
      <c r="H1030" s="14" t="b">
        <f>OR(LCI_Table[[#This Row],[Conversion]]="All",LCI_Table[[#This Row],[Conversion]]=SelectedConversion)</f>
        <v>1</v>
      </c>
      <c r="I1030" s="14" t="b">
        <f>OR(LCI_Table[[#This Row],[Data Set]]="all",LCI_Table[[#This Row],[Data Set]]=SelectedDataSet)</f>
        <v>0</v>
      </c>
      <c r="J1030" s="14" t="b">
        <f>OR(LCI_Table[[#This Row],[Technology]]="All",LCI_Table[[#This Row],[Technology]]=SelectedTechnology)</f>
        <v>1</v>
      </c>
      <c r="K1030" s="14" t="b">
        <f>OR(LCI_Table[[#This Row],[Data Source]]="All",LCI_Table[[#This Row],[Data Source]]=SelectedDataSource)</f>
        <v>0</v>
      </c>
      <c r="L1030" s="14" t="b">
        <f>TRUE</f>
        <v>1</v>
      </c>
      <c r="M1030" s="14" t="b">
        <f>(LCI_Table[[#This Row],[Dev Notes]]="Do not display")</f>
        <v>0</v>
      </c>
      <c r="N1030" s="14" t="b">
        <f>AND(LCI_Table[[#This Row],[Show Feedstock]:[Conditional]],NOT(LCI_Table[[#This Row],[Hide Row]]))</f>
        <v>0</v>
      </c>
      <c r="O1030" s="14" t="b">
        <f>LCI_Table[[#This Row],[GREET1 Name Range]]=""</f>
        <v>0</v>
      </c>
      <c r="P1030" s="14" t="s">
        <v>15</v>
      </c>
      <c r="Q1030" s="14" t="s">
        <v>1105</v>
      </c>
      <c r="R1030" s="14" t="s">
        <v>1344</v>
      </c>
      <c r="S1030" s="37" cm="1">
        <f t="array" aca="1" ref="S10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43</v>
      </c>
      <c r="T1030" s="346" t="s">
        <v>1345</v>
      </c>
      <c r="U1030" s="347">
        <f ca="1">LCI_Table[[#This Row],[Dashboard Value]]/100</f>
        <v>0.43</v>
      </c>
      <c r="V1030" s="347">
        <v>43</v>
      </c>
      <c r="W1030" s="347">
        <v>0.43</v>
      </c>
      <c r="X1030" s="349" t="s">
        <v>1345</v>
      </c>
      <c r="Y1030" s="346" t="s">
        <v>891</v>
      </c>
      <c r="Z1030" s="14" t="str">
        <f>IF(ISBLANK(LCI_Table[[#This Row],[Notes for user]])," ",LCI_Table[[#This Row],[Notes for user]])</f>
        <v>Allocation to soy oil (energy allocation)</v>
      </c>
      <c r="AA1030" s="14" t="s">
        <v>1354</v>
      </c>
      <c r="AB1030" s="14"/>
      <c r="AC1030" s="346">
        <f ca="1">LCI_Table[[#This Row],[Default Calculated Value]]-LCI_Table[[#This Row],[Calculated Value]]</f>
        <v>0</v>
      </c>
    </row>
    <row r="1031" spans="1:29" x14ac:dyDescent="0.3">
      <c r="A10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SoybeanHEFAICAOJRC(blank)_HEFA_feed_usageSoybean Oil</v>
      </c>
      <c r="B1031" s="14" t="s">
        <v>10</v>
      </c>
      <c r="C1031" s="14" t="s">
        <v>30</v>
      </c>
      <c r="D1031" s="14" t="s">
        <v>194</v>
      </c>
      <c r="E1031" s="14" t="s">
        <v>355</v>
      </c>
      <c r="F1031" s="48" t="s">
        <v>31</v>
      </c>
      <c r="G1031" s="14" t="b">
        <f>OR(LCI_Table[[#This Row],[Feedstock]]="All",LCI_Table[[#This Row],[Feedstock]]=SelectedFeedstock)</f>
        <v>0</v>
      </c>
      <c r="H1031" s="14" t="b">
        <f>OR(LCI_Table[[#This Row],[Conversion]]="All",LCI_Table[[#This Row],[Conversion]]=SelectedConversion)</f>
        <v>1</v>
      </c>
      <c r="I1031" s="14" t="b">
        <f>OR(LCI_Table[[#This Row],[Data Set]]="all",LCI_Table[[#This Row],[Data Set]]=SelectedDataSet)</f>
        <v>0</v>
      </c>
      <c r="J1031" s="14" t="b">
        <f>OR(LCI_Table[[#This Row],[Technology]]="All",LCI_Table[[#This Row],[Technology]]=SelectedTechnology)</f>
        <v>1</v>
      </c>
      <c r="K1031" s="14" t="b">
        <f>OR(LCI_Table[[#This Row],[Data Source]]="All",LCI_Table[[#This Row],[Data Source]]=SelectedDataSource)</f>
        <v>0</v>
      </c>
      <c r="L1031" s="14" t="b">
        <f>TRUE</f>
        <v>1</v>
      </c>
      <c r="M1031" s="14" t="b">
        <f>(LCI_Table[[#This Row],[Dev Notes]]="Do not display")</f>
        <v>0</v>
      </c>
      <c r="N1031" s="14" t="b">
        <f>AND(LCI_Table[[#This Row],[Show Feedstock]:[Conditional]],NOT(LCI_Table[[#This Row],[Hide Row]]))</f>
        <v>0</v>
      </c>
      <c r="O1031" s="14" t="b">
        <f>LCI_Table[[#This Row],[GREET1 Name Range]]=""</f>
        <v>0</v>
      </c>
      <c r="P1031" s="14" t="s">
        <v>1448</v>
      </c>
      <c r="Q1031" s="14" t="s">
        <v>933</v>
      </c>
      <c r="R1031" s="14" t="s">
        <v>1903</v>
      </c>
      <c r="S1031" s="37" cm="1">
        <f t="array" aca="1" ref="S10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64.651733024069841</v>
      </c>
      <c r="T1031" s="346" t="s">
        <v>2119</v>
      </c>
      <c r="U1031" s="347">
        <f ca="1">S1031*lb2g/Fuel_Specs!$E$48*Fuel_Specs!$B$48*BTU2mmBTU</f>
        <v>1.2257701777479215</v>
      </c>
      <c r="V1031" s="347">
        <v>64.651733024069841</v>
      </c>
      <c r="W1031" s="347">
        <v>1.2257701777479215</v>
      </c>
      <c r="X1031" s="14" t="s">
        <v>12</v>
      </c>
      <c r="Y1031" s="346" t="s">
        <v>416</v>
      </c>
      <c r="Z1031" s="14" t="str">
        <f>IF(ISBLANK(LCI_Table[[#This Row],[Notes for user]])," ",LCI_Table[[#This Row],[Notes for user]])</f>
        <v xml:space="preserve"> </v>
      </c>
      <c r="AA1031" s="358"/>
      <c r="AB1031" s="14"/>
      <c r="AC1031" s="346">
        <f ca="1">LCI_Table[[#This Row],[Default Calculated Value]]-LCI_Table[[#This Row],[Calculated Value]]</f>
        <v>0</v>
      </c>
    </row>
    <row r="1032" spans="1:29" x14ac:dyDescent="0.3">
      <c r="A10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SoybeanHEFAICAOJRC(blank)_Soybean_HEFA_Natural_gasNatural gas</v>
      </c>
      <c r="B1032" s="14" t="s">
        <v>10</v>
      </c>
      <c r="C1032" s="14" t="s">
        <v>30</v>
      </c>
      <c r="D1032" s="14" t="s">
        <v>194</v>
      </c>
      <c r="E1032" s="14" t="s">
        <v>355</v>
      </c>
      <c r="F1032" s="48" t="s">
        <v>31</v>
      </c>
      <c r="G1032" s="14" t="b">
        <f>OR(LCI_Table[[#This Row],[Feedstock]]="All",LCI_Table[[#This Row],[Feedstock]]=SelectedFeedstock)</f>
        <v>0</v>
      </c>
      <c r="H1032" s="14" t="b">
        <f>OR(LCI_Table[[#This Row],[Conversion]]="All",LCI_Table[[#This Row],[Conversion]]=SelectedConversion)</f>
        <v>1</v>
      </c>
      <c r="I1032" s="14" t="b">
        <f>OR(LCI_Table[[#This Row],[Data Set]]="all",LCI_Table[[#This Row],[Data Set]]=SelectedDataSet)</f>
        <v>0</v>
      </c>
      <c r="J1032" s="14" t="b">
        <f>OR(LCI_Table[[#This Row],[Technology]]="All",LCI_Table[[#This Row],[Technology]]=SelectedTechnology)</f>
        <v>1</v>
      </c>
      <c r="K1032" s="14" t="b">
        <f>OR(LCI_Table[[#This Row],[Data Source]]="All",LCI_Table[[#This Row],[Data Source]]=SelectedDataSource)</f>
        <v>0</v>
      </c>
      <c r="L1032" s="14" t="b">
        <f>TRUE</f>
        <v>1</v>
      </c>
      <c r="M1032" s="14" t="b">
        <f>(LCI_Table[[#This Row],[Dev Notes]]="Do not display")</f>
        <v>0</v>
      </c>
      <c r="N1032" s="14" t="b">
        <f>AND(LCI_Table[[#This Row],[Show Feedstock]:[Conditional]],NOT(LCI_Table[[#This Row],[Hide Row]]))</f>
        <v>0</v>
      </c>
      <c r="O1032" s="14" t="b">
        <f>LCI_Table[[#This Row],[GREET1 Name Range]]=""</f>
        <v>0</v>
      </c>
      <c r="P1032" s="14" t="s">
        <v>1448</v>
      </c>
      <c r="Q1032" s="14" t="s">
        <v>805</v>
      </c>
      <c r="R1032" s="14" t="s">
        <v>108</v>
      </c>
      <c r="S1032" s="37" cm="1">
        <f t="array" aca="1" ref="S10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204.96559373142176</v>
      </c>
      <c r="T1032" s="346" t="s">
        <v>2120</v>
      </c>
      <c r="U1032" s="347">
        <f ca="1">S1032*lb2g/Fuel_Specs!$E$48*Fuel_Specs!$B$48*Fuel_Specs!$B$79*BTU2mmBTU</f>
        <v>3820.0000000000005</v>
      </c>
      <c r="V1032" s="347">
        <v>204.96559373142176</v>
      </c>
      <c r="W1032" s="347">
        <v>3820.0000000000005</v>
      </c>
      <c r="X1032" s="14" t="s">
        <v>351</v>
      </c>
      <c r="Y1032" s="346" t="s">
        <v>416</v>
      </c>
      <c r="Z1032" s="14" t="str">
        <f>IF(ISBLANK(LCI_Table[[#This Row],[Notes for user]])," ",LCI_Table[[#This Row],[Notes for user]])</f>
        <v xml:space="preserve"> </v>
      </c>
      <c r="AA1032" s="14"/>
      <c r="AB1032" s="14"/>
      <c r="AC1032" s="346">
        <f ca="1">LCI_Table[[#This Row],[Default Calculated Value]]-LCI_Table[[#This Row],[Calculated Value]]</f>
        <v>0</v>
      </c>
    </row>
    <row r="1033" spans="1:29" x14ac:dyDescent="0.3">
      <c r="A10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SoybeanHEFAICAOJRC(blank)_Soybean_HEFA_ElectricityGrid Electricity</v>
      </c>
      <c r="B1033" s="14" t="s">
        <v>10</v>
      </c>
      <c r="C1033" s="14" t="s">
        <v>30</v>
      </c>
      <c r="D1033" s="14" t="s">
        <v>194</v>
      </c>
      <c r="E1033" s="14" t="s">
        <v>355</v>
      </c>
      <c r="F1033" s="48" t="s">
        <v>31</v>
      </c>
      <c r="G1033" s="14" t="b">
        <f>OR(LCI_Table[[#This Row],[Feedstock]]="All",LCI_Table[[#This Row],[Feedstock]]=SelectedFeedstock)</f>
        <v>0</v>
      </c>
      <c r="H1033" s="14" t="b">
        <f>OR(LCI_Table[[#This Row],[Conversion]]="All",LCI_Table[[#This Row],[Conversion]]=SelectedConversion)</f>
        <v>1</v>
      </c>
      <c r="I1033" s="14" t="b">
        <f>OR(LCI_Table[[#This Row],[Data Set]]="all",LCI_Table[[#This Row],[Data Set]]=SelectedDataSet)</f>
        <v>0</v>
      </c>
      <c r="J1033" s="14" t="b">
        <f>OR(LCI_Table[[#This Row],[Technology]]="All",LCI_Table[[#This Row],[Technology]]=SelectedTechnology)</f>
        <v>1</v>
      </c>
      <c r="K1033" s="14" t="b">
        <f>OR(LCI_Table[[#This Row],[Data Source]]="All",LCI_Table[[#This Row],[Data Source]]=SelectedDataSource)</f>
        <v>0</v>
      </c>
      <c r="L1033" s="14" t="b">
        <f>TRUE</f>
        <v>1</v>
      </c>
      <c r="M1033" s="14" t="b">
        <f>(LCI_Table[[#This Row],[Dev Notes]]="Do not display")</f>
        <v>0</v>
      </c>
      <c r="N1033" s="14" t="b">
        <f>AND(LCI_Table[[#This Row],[Show Feedstock]:[Conditional]],NOT(LCI_Table[[#This Row],[Hide Row]]))</f>
        <v>0</v>
      </c>
      <c r="O1033" s="14" t="b">
        <f>LCI_Table[[#This Row],[GREET1 Name Range]]=""</f>
        <v>0</v>
      </c>
      <c r="P1033" s="14" t="s">
        <v>1448</v>
      </c>
      <c r="Q1033" s="14" t="s">
        <v>803</v>
      </c>
      <c r="R1033" s="14" t="s">
        <v>1684</v>
      </c>
      <c r="S1033" s="37" cm="1">
        <f t="array" aca="1" ref="S10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0.52401505822687899</v>
      </c>
      <c r="T1033" s="346" t="s">
        <v>2121</v>
      </c>
      <c r="U1033" s="347">
        <f ca="1">S1033*lb2g/Fuel_Specs!$E$48*Fuel_Specs!$B$48/BTU2kWh*BTU2mmBTU</f>
        <v>33.9</v>
      </c>
      <c r="V1033" s="347">
        <v>0.52401505822687899</v>
      </c>
      <c r="W1033" s="347">
        <v>33.9</v>
      </c>
      <c r="X1033" s="14" t="s">
        <v>51</v>
      </c>
      <c r="Y1033" s="346" t="s">
        <v>416</v>
      </c>
      <c r="Z1033" s="14" t="str">
        <f>IF(ISBLANK(LCI_Table[[#This Row],[Notes for user]])," ",LCI_Table[[#This Row],[Notes for user]])</f>
        <v xml:space="preserve"> </v>
      </c>
      <c r="AA1033" s="14"/>
      <c r="AB1033" s="14"/>
      <c r="AC1033" s="346">
        <f ca="1">LCI_Table[[#This Row],[Default Calculated Value]]-LCI_Table[[#This Row],[Calculated Value]]</f>
        <v>0</v>
      </c>
    </row>
    <row r="1034" spans="1:29" x14ac:dyDescent="0.3">
      <c r="A10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SoybeanHEFAICAOJRC(blank)_Soybean_HEFA_H2Hydrogen</v>
      </c>
      <c r="B1034" s="14" t="s">
        <v>10</v>
      </c>
      <c r="C1034" s="14" t="s">
        <v>30</v>
      </c>
      <c r="D1034" s="14" t="s">
        <v>194</v>
      </c>
      <c r="E1034" s="14" t="s">
        <v>355</v>
      </c>
      <c r="F1034" s="48" t="s">
        <v>31</v>
      </c>
      <c r="G1034" s="14" t="b">
        <f>OR(LCI_Table[[#This Row],[Feedstock]]="All",LCI_Table[[#This Row],[Feedstock]]=SelectedFeedstock)</f>
        <v>0</v>
      </c>
      <c r="H1034" s="14" t="b">
        <f>OR(LCI_Table[[#This Row],[Conversion]]="All",LCI_Table[[#This Row],[Conversion]]=SelectedConversion)</f>
        <v>1</v>
      </c>
      <c r="I1034" s="14" t="b">
        <f>OR(LCI_Table[[#This Row],[Data Set]]="all",LCI_Table[[#This Row],[Data Set]]=SelectedDataSet)</f>
        <v>0</v>
      </c>
      <c r="J1034" s="14" t="b">
        <f>OR(LCI_Table[[#This Row],[Technology]]="All",LCI_Table[[#This Row],[Technology]]=SelectedTechnology)</f>
        <v>1</v>
      </c>
      <c r="K1034" s="14" t="b">
        <f>OR(LCI_Table[[#This Row],[Data Source]]="All",LCI_Table[[#This Row],[Data Source]]=SelectedDataSource)</f>
        <v>0</v>
      </c>
      <c r="L1034" s="14" t="b">
        <f>TRUE</f>
        <v>1</v>
      </c>
      <c r="M1034" s="14" t="b">
        <f>(LCI_Table[[#This Row],[Dev Notes]]="Do not display")</f>
        <v>0</v>
      </c>
      <c r="N1034" s="14" t="b">
        <f>AND(LCI_Table[[#This Row],[Show Feedstock]:[Conditional]],NOT(LCI_Table[[#This Row],[Hide Row]]))</f>
        <v>0</v>
      </c>
      <c r="O1034" s="14" t="b">
        <f>LCI_Table[[#This Row],[GREET1 Name Range]]=""</f>
        <v>0</v>
      </c>
      <c r="P1034" s="14" t="s">
        <v>1448</v>
      </c>
      <c r="Q1034" s="14" t="s">
        <v>804</v>
      </c>
      <c r="R1034" s="14" t="s">
        <v>73</v>
      </c>
      <c r="S1034" s="37" cm="1">
        <f t="array" aca="1" ref="S10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57.727140368024244</v>
      </c>
      <c r="T1034" s="346" t="s">
        <v>2120</v>
      </c>
      <c r="U1034" s="347">
        <f ca="1">S1034*lb2g/Fuel_Specs!$E$48*Fuel_Specs!$B$48*Fuel_Specs!$B$81*BTU2mmBTU</f>
        <v>317.40000000000003</v>
      </c>
      <c r="V1034" s="347">
        <v>57.727140368024244</v>
      </c>
      <c r="W1034" s="347">
        <v>317.40000000000003</v>
      </c>
      <c r="X1034" s="14" t="s">
        <v>351</v>
      </c>
      <c r="Y1034" s="346" t="s">
        <v>416</v>
      </c>
      <c r="Z1034" s="14" t="str">
        <f>IF(ISBLANK(LCI_Table[[#This Row],[Notes for user]])," ",LCI_Table[[#This Row],[Notes for user]])</f>
        <v xml:space="preserve"> </v>
      </c>
      <c r="AA1034" s="14"/>
      <c r="AB1034" s="14"/>
      <c r="AC1034" s="346">
        <f ca="1">LCI_Table[[#This Row],[Default Calculated Value]]-LCI_Table[[#This Row],[Calculated Value]]</f>
        <v>0</v>
      </c>
    </row>
    <row r="1035" spans="1:29" x14ac:dyDescent="0.3">
      <c r="A10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SoybeanHEFAICAOJRC(blank)_Soybean_Oil_HEFA_Energy_AllocationAllocation factor</v>
      </c>
      <c r="B1035" s="14" t="s">
        <v>10</v>
      </c>
      <c r="C1035" s="14" t="s">
        <v>30</v>
      </c>
      <c r="D1035" s="14" t="s">
        <v>194</v>
      </c>
      <c r="E1035" s="48" t="s">
        <v>355</v>
      </c>
      <c r="F1035" s="48" t="s">
        <v>31</v>
      </c>
      <c r="G1035" s="14" t="b">
        <f>OR(LCI_Table[[#This Row],[Feedstock]]="All",LCI_Table[[#This Row],[Feedstock]]=SelectedFeedstock)</f>
        <v>0</v>
      </c>
      <c r="H1035" s="14" t="b">
        <f>OR(LCI_Table[[#This Row],[Conversion]]="All",LCI_Table[[#This Row],[Conversion]]=SelectedConversion)</f>
        <v>1</v>
      </c>
      <c r="I1035" s="14" t="b">
        <f>OR(LCI_Table[[#This Row],[Data Set]]="all",LCI_Table[[#This Row],[Data Set]]=SelectedDataSet)</f>
        <v>0</v>
      </c>
      <c r="J1035" s="14" t="b">
        <f>OR(LCI_Table[[#This Row],[Technology]]="All",LCI_Table[[#This Row],[Technology]]=SelectedTechnology)</f>
        <v>1</v>
      </c>
      <c r="K1035" s="14" t="b">
        <f>OR(LCI_Table[[#This Row],[Data Source]]="All",LCI_Table[[#This Row],[Data Source]]=SelectedDataSource)</f>
        <v>0</v>
      </c>
      <c r="L1035" s="14" t="b">
        <f>TRUE</f>
        <v>1</v>
      </c>
      <c r="M1035" s="14" t="b">
        <f>(LCI_Table[[#This Row],[Dev Notes]]="Do not display")</f>
        <v>0</v>
      </c>
      <c r="N1035" s="14" t="b">
        <f>AND(LCI_Table[[#This Row],[Show Feedstock]:[Conditional]],NOT(LCI_Table[[#This Row],[Hide Row]]))</f>
        <v>0</v>
      </c>
      <c r="O1035" s="14" t="b">
        <f>LCI_Table[[#This Row],[GREET1 Name Range]]=""</f>
        <v>0</v>
      </c>
      <c r="P1035" s="14" t="s">
        <v>1448</v>
      </c>
      <c r="Q1035" s="14" t="s">
        <v>1115</v>
      </c>
      <c r="R1035" s="14" t="s">
        <v>1344</v>
      </c>
      <c r="S1035" s="37" cm="1">
        <f t="array" aca="1" ref="S10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99.009879652760063</v>
      </c>
      <c r="T1035" s="350" t="s">
        <v>1345</v>
      </c>
      <c r="U1035" s="351">
        <f ca="1">LCI_Table[[#This Row],[Dashboard Value]]/100</f>
        <v>0.99009879652760058</v>
      </c>
      <c r="V1035" s="351">
        <v>99.009879652760063</v>
      </c>
      <c r="W1035" s="351">
        <v>0.99009879652760058</v>
      </c>
      <c r="X1035" s="349" t="s">
        <v>1345</v>
      </c>
      <c r="Y1035" s="346" t="s">
        <v>416</v>
      </c>
      <c r="Z1035" s="14" t="str">
        <f>IF(ISBLANK(LCI_Table[[#This Row],[Notes for user]])," ",LCI_Table[[#This Row],[Notes for user]])</f>
        <v>Allocation to the main distillate products (energy allocation)</v>
      </c>
      <c r="AA1035" s="14" t="s">
        <v>1351</v>
      </c>
      <c r="AB1035" s="346"/>
      <c r="AC1035" s="346">
        <f ca="1">LCI_Table[[#This Row],[Default Calculated Value]]-LCI_Table[[#This Row],[Calculated Value]]</f>
        <v>0</v>
      </c>
    </row>
    <row r="1036" spans="1:29" x14ac:dyDescent="0.3">
      <c r="A10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dash_Canola/RapeseedHEFAICAOUS (GREET)(blank)_Yield_Farming</v>
      </c>
      <c r="B1036" s="48" t="s">
        <v>1347</v>
      </c>
      <c r="C1036" s="48" t="s">
        <v>30</v>
      </c>
      <c r="D1036" s="48" t="s">
        <v>194</v>
      </c>
      <c r="E1036" s="14" t="s">
        <v>1349</v>
      </c>
      <c r="F1036" s="48" t="s">
        <v>31</v>
      </c>
      <c r="G1036" s="14" t="b">
        <f>OR(LCI_Table[[#This Row],[Feedstock]]="All",LCI_Table[[#This Row],[Feedstock]]=SelectedFeedstock)</f>
        <v>1</v>
      </c>
      <c r="H1036" s="14" t="b">
        <f>OR(LCI_Table[[#This Row],[Conversion]]="All",LCI_Table[[#This Row],[Conversion]]=SelectedConversion)</f>
        <v>1</v>
      </c>
      <c r="I1036" s="14" t="b">
        <f>OR(LCI_Table[[#This Row],[Data Set]]="all",LCI_Table[[#This Row],[Data Set]]=SelectedDataSet)</f>
        <v>0</v>
      </c>
      <c r="J1036" s="14" t="b">
        <f>OR(LCI_Table[[#This Row],[Technology]]="All",LCI_Table[[#This Row],[Technology]]=SelectedTechnology)</f>
        <v>1</v>
      </c>
      <c r="K1036" s="14" t="b">
        <f>OR(LCI_Table[[#This Row],[Data Source]]="All",LCI_Table[[#This Row],[Data Source]]=SelectedDataSource)</f>
        <v>0</v>
      </c>
      <c r="L1036" s="14" t="b">
        <f>TRUE</f>
        <v>1</v>
      </c>
      <c r="M1036" s="14" t="b">
        <f>(LCI_Table[[#This Row],[Dev Notes]]="Do not display")</f>
        <v>0</v>
      </c>
      <c r="N1036" s="14" t="b">
        <f>AND(LCI_Table[[#This Row],[Show Feedstock]:[Conditional]],NOT(LCI_Table[[#This Row],[Hide Row]]))</f>
        <v>0</v>
      </c>
      <c r="O1036" s="14" t="b">
        <f>LCI_Table[[#This Row],[GREET1 Name Range]]=""</f>
        <v>1</v>
      </c>
      <c r="P1036" s="48" t="s">
        <v>14</v>
      </c>
      <c r="Q1036" s="14" t="s">
        <v>361</v>
      </c>
      <c r="R1036" s="48" t="s">
        <v>200</v>
      </c>
      <c r="S1036" s="37" cm="1">
        <f t="array" aca="1" ref="S10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0.65100000000000002</v>
      </c>
      <c r="T1036" s="346" t="s">
        <v>2116</v>
      </c>
      <c r="U1036" s="344"/>
      <c r="V1036" s="353">
        <v>0.65100000000000002</v>
      </c>
      <c r="W1036" s="344"/>
      <c r="X1036" s="48" t="s">
        <v>55</v>
      </c>
      <c r="Y1036" s="346" t="s">
        <v>413</v>
      </c>
      <c r="Z1036" s="14" t="str">
        <f>IF(ISBLANK(LCI_Table[[#This Row],[Notes for user]])," ",LCI_Table[[#This Row],[Notes for user]])</f>
        <v>USDA (2021 data)</v>
      </c>
      <c r="AA1036" s="48" t="s">
        <v>915</v>
      </c>
      <c r="AB1036" s="345"/>
      <c r="AC1036" s="346">
        <f>LCI_Table[[#This Row],[Default Calculated Value]]-LCI_Table[[#This Row],[Calculated Value]]</f>
        <v>0</v>
      </c>
    </row>
    <row r="1037" spans="1:29" x14ac:dyDescent="0.3">
      <c r="A10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(GREET)(blank)_Canola_Farming_Nitrogen_fertilizerNitrogen fertilizer</v>
      </c>
      <c r="B1037" s="48" t="s">
        <v>1347</v>
      </c>
      <c r="C1037" s="14" t="s">
        <v>30</v>
      </c>
      <c r="D1037" s="14" t="s">
        <v>194</v>
      </c>
      <c r="E1037" s="14" t="s">
        <v>1349</v>
      </c>
      <c r="F1037" s="48" t="s">
        <v>31</v>
      </c>
      <c r="G1037" s="14" t="b">
        <f>OR(LCI_Table[[#This Row],[Feedstock]]="All",LCI_Table[[#This Row],[Feedstock]]=SelectedFeedstock)</f>
        <v>1</v>
      </c>
      <c r="H1037" s="14" t="b">
        <f>OR(LCI_Table[[#This Row],[Conversion]]="All",LCI_Table[[#This Row],[Conversion]]=SelectedConversion)</f>
        <v>1</v>
      </c>
      <c r="I1037" s="14" t="b">
        <f>OR(LCI_Table[[#This Row],[Data Set]]="all",LCI_Table[[#This Row],[Data Set]]=SelectedDataSet)</f>
        <v>0</v>
      </c>
      <c r="J1037" s="14" t="b">
        <f>OR(LCI_Table[[#This Row],[Technology]]="All",LCI_Table[[#This Row],[Technology]]=SelectedTechnology)</f>
        <v>1</v>
      </c>
      <c r="K1037" s="14" t="b">
        <f>OR(LCI_Table[[#This Row],[Data Source]]="All",LCI_Table[[#This Row],[Data Source]]=SelectedDataSource)</f>
        <v>0</v>
      </c>
      <c r="L1037" s="14" t="b">
        <f>TRUE</f>
        <v>1</v>
      </c>
      <c r="M1037" s="14" t="b">
        <f>(LCI_Table[[#This Row],[Dev Notes]]="Do not display")</f>
        <v>0</v>
      </c>
      <c r="N1037" s="14" t="b">
        <f>AND(LCI_Table[[#This Row],[Show Feedstock]:[Conditional]],NOT(LCI_Table[[#This Row],[Hide Row]]))</f>
        <v>0</v>
      </c>
      <c r="O1037" s="14" t="b">
        <f>LCI_Table[[#This Row],[GREET1 Name Range]]=""</f>
        <v>0</v>
      </c>
      <c r="P1037" s="14" t="s">
        <v>14</v>
      </c>
      <c r="Q1037" s="14" t="s">
        <v>498</v>
      </c>
      <c r="R1037" s="14" t="s">
        <v>111</v>
      </c>
      <c r="S1037" s="37" cm="1">
        <f t="array" aca="1" ref="S10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71.217969230769242</v>
      </c>
      <c r="T1037" s="346" t="s">
        <v>1485</v>
      </c>
      <c r="U1037" s="347">
        <f ca="1">S1037/g2lb/S1036*MT2ton</f>
        <v>54698.901098900991</v>
      </c>
      <c r="V1037" s="347">
        <v>71.217969230769242</v>
      </c>
      <c r="W1037" s="347">
        <v>54698.901098900991</v>
      </c>
      <c r="X1037" s="14" t="s">
        <v>12</v>
      </c>
      <c r="Y1037" s="346" t="s">
        <v>413</v>
      </c>
      <c r="Z1037" s="14" t="str">
        <f>IF(ISBLANK(LCI_Table[[#This Row],[Notes for user]])," ",LCI_Table[[#This Row],[Notes for user]])</f>
        <v xml:space="preserve"> </v>
      </c>
      <c r="AA1037" s="14"/>
      <c r="AB1037" s="14"/>
      <c r="AC1037" s="346">
        <f ca="1">LCI_Table[[#This Row],[Default Calculated Value]]-LCI_Table[[#This Row],[Calculated Value]]</f>
        <v>0</v>
      </c>
    </row>
    <row r="1038" spans="1:29" x14ac:dyDescent="0.3">
      <c r="A10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(GREET)(blank)_Canola_Farming_P2O5P2O5</v>
      </c>
      <c r="B1038" s="48" t="s">
        <v>1347</v>
      </c>
      <c r="C1038" s="14" t="s">
        <v>30</v>
      </c>
      <c r="D1038" s="14" t="s">
        <v>194</v>
      </c>
      <c r="E1038" s="14" t="s">
        <v>1349</v>
      </c>
      <c r="F1038" s="48" t="s">
        <v>31</v>
      </c>
      <c r="G1038" s="14" t="b">
        <f>OR(LCI_Table[[#This Row],[Feedstock]]="All",LCI_Table[[#This Row],[Feedstock]]=SelectedFeedstock)</f>
        <v>1</v>
      </c>
      <c r="H1038" s="14" t="b">
        <f>OR(LCI_Table[[#This Row],[Conversion]]="All",LCI_Table[[#This Row],[Conversion]]=SelectedConversion)</f>
        <v>1</v>
      </c>
      <c r="I1038" s="14" t="b">
        <f>OR(LCI_Table[[#This Row],[Data Set]]="all",LCI_Table[[#This Row],[Data Set]]=SelectedDataSet)</f>
        <v>0</v>
      </c>
      <c r="J1038" s="14" t="b">
        <f>OR(LCI_Table[[#This Row],[Technology]]="All",LCI_Table[[#This Row],[Technology]]=SelectedTechnology)</f>
        <v>1</v>
      </c>
      <c r="K1038" s="14" t="b">
        <f>OR(LCI_Table[[#This Row],[Data Source]]="All",LCI_Table[[#This Row],[Data Source]]=SelectedDataSource)</f>
        <v>0</v>
      </c>
      <c r="L1038" s="14" t="b">
        <f>TRUE</f>
        <v>1</v>
      </c>
      <c r="M1038" s="14" t="b">
        <f>(LCI_Table[[#This Row],[Dev Notes]]="Do not display")</f>
        <v>0</v>
      </c>
      <c r="N1038" s="14" t="b">
        <f>AND(LCI_Table[[#This Row],[Show Feedstock]:[Conditional]],NOT(LCI_Table[[#This Row],[Hide Row]]))</f>
        <v>0</v>
      </c>
      <c r="O1038" s="14" t="b">
        <f>LCI_Table[[#This Row],[GREET1 Name Range]]=""</f>
        <v>0</v>
      </c>
      <c r="P1038" s="14" t="s">
        <v>14</v>
      </c>
      <c r="Q1038" s="14" t="s">
        <v>499</v>
      </c>
      <c r="R1038" s="14" t="s">
        <v>112</v>
      </c>
      <c r="S1038" s="37" cm="1">
        <f t="array" aca="1" ref="S10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19.919169230769231</v>
      </c>
      <c r="T1038" s="346" t="s">
        <v>1485</v>
      </c>
      <c r="U1038" s="347">
        <f ca="1">S1038/g2lb/S1036*MT2ton</f>
        <v>15298.901098901066</v>
      </c>
      <c r="V1038" s="347">
        <v>19.919169230769231</v>
      </c>
      <c r="W1038" s="347">
        <v>15298.901098901066</v>
      </c>
      <c r="X1038" s="14" t="s">
        <v>12</v>
      </c>
      <c r="Y1038" s="346" t="s">
        <v>413</v>
      </c>
      <c r="Z1038" s="14" t="str">
        <f>IF(ISBLANK(LCI_Table[[#This Row],[Notes for user]])," ",LCI_Table[[#This Row],[Notes for user]])</f>
        <v xml:space="preserve"> </v>
      </c>
      <c r="AA1038" s="14"/>
      <c r="AB1038" s="14"/>
      <c r="AC1038" s="346">
        <f ca="1">LCI_Table[[#This Row],[Default Calculated Value]]-LCI_Table[[#This Row],[Calculated Value]]</f>
        <v>0</v>
      </c>
    </row>
    <row r="1039" spans="1:29" x14ac:dyDescent="0.3">
      <c r="A10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(GREET)(blank)_Canola_Farming_K2OK2O</v>
      </c>
      <c r="B1039" s="48" t="s">
        <v>1347</v>
      </c>
      <c r="C1039" s="14" t="s">
        <v>30</v>
      </c>
      <c r="D1039" s="14" t="s">
        <v>194</v>
      </c>
      <c r="E1039" s="14" t="s">
        <v>1349</v>
      </c>
      <c r="F1039" s="48" t="s">
        <v>31</v>
      </c>
      <c r="G1039" s="14" t="b">
        <f>OR(LCI_Table[[#This Row],[Feedstock]]="All",LCI_Table[[#This Row],[Feedstock]]=SelectedFeedstock)</f>
        <v>1</v>
      </c>
      <c r="H1039" s="14" t="b">
        <f>OR(LCI_Table[[#This Row],[Conversion]]="All",LCI_Table[[#This Row],[Conversion]]=SelectedConversion)</f>
        <v>1</v>
      </c>
      <c r="I1039" s="14" t="b">
        <f>OR(LCI_Table[[#This Row],[Data Set]]="all",LCI_Table[[#This Row],[Data Set]]=SelectedDataSet)</f>
        <v>0</v>
      </c>
      <c r="J1039" s="14" t="b">
        <f>OR(LCI_Table[[#This Row],[Technology]]="All",LCI_Table[[#This Row],[Technology]]=SelectedTechnology)</f>
        <v>1</v>
      </c>
      <c r="K1039" s="14" t="b">
        <f>OR(LCI_Table[[#This Row],[Data Source]]="All",LCI_Table[[#This Row],[Data Source]]=SelectedDataSource)</f>
        <v>0</v>
      </c>
      <c r="L1039" s="14" t="b">
        <f>TRUE</f>
        <v>1</v>
      </c>
      <c r="M1039" s="14" t="b">
        <f>(LCI_Table[[#This Row],[Dev Notes]]="Do not display")</f>
        <v>0</v>
      </c>
      <c r="N1039" s="14" t="b">
        <f>AND(LCI_Table[[#This Row],[Show Feedstock]:[Conditional]],NOT(LCI_Table[[#This Row],[Hide Row]]))</f>
        <v>0</v>
      </c>
      <c r="O1039" s="14" t="b">
        <f>LCI_Table[[#This Row],[GREET1 Name Range]]=""</f>
        <v>0</v>
      </c>
      <c r="P1039" s="14" t="s">
        <v>14</v>
      </c>
      <c r="Q1039" s="14" t="s">
        <v>495</v>
      </c>
      <c r="R1039" s="14" t="s">
        <v>113</v>
      </c>
      <c r="S1039" s="37" cm="1">
        <f t="array" aca="1" ref="S10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3.8358923076923075</v>
      </c>
      <c r="T1039" s="346" t="s">
        <v>1485</v>
      </c>
      <c r="U1039" s="347">
        <f ca="1">S1039/g2lb/S1036*MT2ton</f>
        <v>2946.1538461538403</v>
      </c>
      <c r="V1039" s="347">
        <v>3.8358923076923075</v>
      </c>
      <c r="W1039" s="347">
        <v>2946.1538461538403</v>
      </c>
      <c r="X1039" s="14" t="s">
        <v>12</v>
      </c>
      <c r="Y1039" s="346" t="s">
        <v>413</v>
      </c>
      <c r="Z1039" s="14" t="str">
        <f>IF(ISBLANK(LCI_Table[[#This Row],[Notes for user]])," ",LCI_Table[[#This Row],[Notes for user]])</f>
        <v xml:space="preserve"> </v>
      </c>
      <c r="AA1039" s="14"/>
      <c r="AB1039" s="14"/>
      <c r="AC1039" s="346">
        <f ca="1">LCI_Table[[#This Row],[Default Calculated Value]]-LCI_Table[[#This Row],[Calculated Value]]</f>
        <v>0</v>
      </c>
    </row>
    <row r="1040" spans="1:29" x14ac:dyDescent="0.3">
      <c r="A10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(GREET)(blank)_Canola_Farming_CaCO3CaCO3</v>
      </c>
      <c r="B1040" s="48" t="s">
        <v>1347</v>
      </c>
      <c r="C1040" s="14" t="s">
        <v>30</v>
      </c>
      <c r="D1040" s="14" t="s">
        <v>194</v>
      </c>
      <c r="E1040" s="14" t="s">
        <v>1349</v>
      </c>
      <c r="F1040" s="48" t="s">
        <v>31</v>
      </c>
      <c r="G1040" s="14" t="b">
        <f>OR(LCI_Table[[#This Row],[Feedstock]]="All",LCI_Table[[#This Row],[Feedstock]]=SelectedFeedstock)</f>
        <v>1</v>
      </c>
      <c r="H1040" s="14" t="b">
        <f>OR(LCI_Table[[#This Row],[Conversion]]="All",LCI_Table[[#This Row],[Conversion]]=SelectedConversion)</f>
        <v>1</v>
      </c>
      <c r="I1040" s="14" t="b">
        <f>OR(LCI_Table[[#This Row],[Data Set]]="all",LCI_Table[[#This Row],[Data Set]]=SelectedDataSet)</f>
        <v>0</v>
      </c>
      <c r="J1040" s="14" t="b">
        <f>OR(LCI_Table[[#This Row],[Technology]]="All",LCI_Table[[#This Row],[Technology]]=SelectedTechnology)</f>
        <v>1</v>
      </c>
      <c r="K1040" s="14" t="b">
        <f>OR(LCI_Table[[#This Row],[Data Source]]="All",LCI_Table[[#This Row],[Data Source]]=SelectedDataSource)</f>
        <v>0</v>
      </c>
      <c r="L1040" s="14" t="b">
        <f>TRUE</f>
        <v>1</v>
      </c>
      <c r="M1040" s="14" t="b">
        <f>(LCI_Table[[#This Row],[Dev Notes]]="Do not display")</f>
        <v>0</v>
      </c>
      <c r="N1040" s="14" t="b">
        <f>AND(LCI_Table[[#This Row],[Show Feedstock]:[Conditional]],NOT(LCI_Table[[#This Row],[Hide Row]]))</f>
        <v>0</v>
      </c>
      <c r="O1040" s="14" t="b">
        <f>LCI_Table[[#This Row],[GREET1 Name Range]]=""</f>
        <v>0</v>
      </c>
      <c r="P1040" s="14" t="s">
        <v>14</v>
      </c>
      <c r="Q1040" s="14" t="s">
        <v>488</v>
      </c>
      <c r="R1040" s="14" t="s">
        <v>141</v>
      </c>
      <c r="S1040" s="37" cm="1">
        <f t="array" aca="1" ref="S10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40" s="346" t="s">
        <v>1485</v>
      </c>
      <c r="U1040" s="347">
        <f ca="1">S1040/g2lb/S1036*MT2ton</f>
        <v>0</v>
      </c>
      <c r="V1040" s="347">
        <v>0</v>
      </c>
      <c r="W1040" s="347">
        <v>0</v>
      </c>
      <c r="X1040" s="14" t="s">
        <v>12</v>
      </c>
      <c r="Y1040" s="346" t="s">
        <v>413</v>
      </c>
      <c r="Z1040" s="14" t="str">
        <f>IF(ISBLANK(LCI_Table[[#This Row],[Notes for user]])," ",LCI_Table[[#This Row],[Notes for user]])</f>
        <v xml:space="preserve"> </v>
      </c>
      <c r="AA1040" s="14"/>
      <c r="AB1040" s="14"/>
      <c r="AC1040" s="346">
        <f ca="1">LCI_Table[[#This Row],[Default Calculated Value]]-LCI_Table[[#This Row],[Calculated Value]]</f>
        <v>0</v>
      </c>
    </row>
    <row r="1041" spans="1:29" x14ac:dyDescent="0.3">
      <c r="A10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(GREET)(blank)_Canola_Farming_HerbicidesHerbicides</v>
      </c>
      <c r="B1041" s="48" t="s">
        <v>1347</v>
      </c>
      <c r="C1041" s="14" t="s">
        <v>30</v>
      </c>
      <c r="D1041" s="14" t="s">
        <v>194</v>
      </c>
      <c r="E1041" s="14" t="s">
        <v>1349</v>
      </c>
      <c r="F1041" s="48" t="s">
        <v>31</v>
      </c>
      <c r="G1041" s="14" t="b">
        <f>OR(LCI_Table[[#This Row],[Feedstock]]="All",LCI_Table[[#This Row],[Feedstock]]=SelectedFeedstock)</f>
        <v>1</v>
      </c>
      <c r="H1041" s="14" t="b">
        <f>OR(LCI_Table[[#This Row],[Conversion]]="All",LCI_Table[[#This Row],[Conversion]]=SelectedConversion)</f>
        <v>1</v>
      </c>
      <c r="I1041" s="14" t="b">
        <f>OR(LCI_Table[[#This Row],[Data Set]]="all",LCI_Table[[#This Row],[Data Set]]=SelectedDataSet)</f>
        <v>0</v>
      </c>
      <c r="J1041" s="14" t="b">
        <f>OR(LCI_Table[[#This Row],[Technology]]="All",LCI_Table[[#This Row],[Technology]]=SelectedTechnology)</f>
        <v>1</v>
      </c>
      <c r="K1041" s="14" t="b">
        <f>OR(LCI_Table[[#This Row],[Data Source]]="All",LCI_Table[[#This Row],[Data Source]]=SelectedDataSource)</f>
        <v>0</v>
      </c>
      <c r="L1041" s="14" t="b">
        <f>TRUE</f>
        <v>1</v>
      </c>
      <c r="M1041" s="14" t="b">
        <f>(LCI_Table[[#This Row],[Dev Notes]]="Do not display")</f>
        <v>0</v>
      </c>
      <c r="N1041" s="14" t="b">
        <f>AND(LCI_Table[[#This Row],[Show Feedstock]:[Conditional]],NOT(LCI_Table[[#This Row],[Hide Row]]))</f>
        <v>0</v>
      </c>
      <c r="O1041" s="14" t="b">
        <f>LCI_Table[[#This Row],[GREET1 Name Range]]=""</f>
        <v>0</v>
      </c>
      <c r="P1041" s="14" t="s">
        <v>14</v>
      </c>
      <c r="Q1041" s="14" t="s">
        <v>493</v>
      </c>
      <c r="R1041" s="14" t="s">
        <v>356</v>
      </c>
      <c r="S1041" s="37" cm="1">
        <f t="array" aca="1" ref="S10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0.3906</v>
      </c>
      <c r="T1041" s="346" t="s">
        <v>1485</v>
      </c>
      <c r="U1041" s="347">
        <f ca="1">S1041/g2lb/S1036*MT2ton</f>
        <v>299.99999999999932</v>
      </c>
      <c r="V1041" s="347">
        <v>0.3906</v>
      </c>
      <c r="W1041" s="347">
        <v>299.99999999999932</v>
      </c>
      <c r="X1041" s="14" t="s">
        <v>12</v>
      </c>
      <c r="Y1041" s="346" t="s">
        <v>413</v>
      </c>
      <c r="Z1041" s="14" t="str">
        <f>IF(ISBLANK(LCI_Table[[#This Row],[Notes for user]])," ",LCI_Table[[#This Row],[Notes for user]])</f>
        <v xml:space="preserve"> </v>
      </c>
      <c r="AA1041" s="14"/>
      <c r="AB1041" s="14"/>
      <c r="AC1041" s="346">
        <f ca="1">LCI_Table[[#This Row],[Default Calculated Value]]-LCI_Table[[#This Row],[Calculated Value]]</f>
        <v>0</v>
      </c>
    </row>
    <row r="1042" spans="1:29" x14ac:dyDescent="0.3">
      <c r="A10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(GREET)(blank)_Canola_Farming_InsecticideInsecticide</v>
      </c>
      <c r="B1042" s="48" t="s">
        <v>1347</v>
      </c>
      <c r="C1042" s="14" t="s">
        <v>30</v>
      </c>
      <c r="D1042" s="14" t="s">
        <v>194</v>
      </c>
      <c r="E1042" s="14" t="s">
        <v>1349</v>
      </c>
      <c r="F1042" s="48" t="s">
        <v>31</v>
      </c>
      <c r="G1042" s="14" t="b">
        <f>OR(LCI_Table[[#This Row],[Feedstock]]="All",LCI_Table[[#This Row],[Feedstock]]=SelectedFeedstock)</f>
        <v>1</v>
      </c>
      <c r="H1042" s="14" t="b">
        <f>OR(LCI_Table[[#This Row],[Conversion]]="All",LCI_Table[[#This Row],[Conversion]]=SelectedConversion)</f>
        <v>1</v>
      </c>
      <c r="I1042" s="14" t="b">
        <f>OR(LCI_Table[[#This Row],[Data Set]]="all",LCI_Table[[#This Row],[Data Set]]=SelectedDataSet)</f>
        <v>0</v>
      </c>
      <c r="J1042" s="14" t="b">
        <f>OR(LCI_Table[[#This Row],[Technology]]="All",LCI_Table[[#This Row],[Technology]]=SelectedTechnology)</f>
        <v>1</v>
      </c>
      <c r="K1042" s="14" t="b">
        <f>OR(LCI_Table[[#This Row],[Data Source]]="All",LCI_Table[[#This Row],[Data Source]]=SelectedDataSource)</f>
        <v>0</v>
      </c>
      <c r="L1042" s="14" t="b">
        <f>TRUE</f>
        <v>1</v>
      </c>
      <c r="M1042" s="14" t="b">
        <f>(LCI_Table[[#This Row],[Dev Notes]]="Do not display")</f>
        <v>0</v>
      </c>
      <c r="N1042" s="14" t="b">
        <f>AND(LCI_Table[[#This Row],[Show Feedstock]:[Conditional]],NOT(LCI_Table[[#This Row],[Hide Row]]))</f>
        <v>0</v>
      </c>
      <c r="O1042" s="14" t="b">
        <f>LCI_Table[[#This Row],[GREET1 Name Range]]=""</f>
        <v>0</v>
      </c>
      <c r="P1042" s="14" t="s">
        <v>14</v>
      </c>
      <c r="Q1042" s="14" t="s">
        <v>494</v>
      </c>
      <c r="R1042" s="14" t="s">
        <v>114</v>
      </c>
      <c r="S1042" s="37" cm="1">
        <f t="array" aca="1" ref="S10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5.5800000000000002E-2</v>
      </c>
      <c r="T1042" s="346" t="s">
        <v>1485</v>
      </c>
      <c r="U1042" s="347">
        <f ca="1">S1042/g2lb/S1036*MT2ton</f>
        <v>42.857142857142769</v>
      </c>
      <c r="V1042" s="347">
        <v>5.5800000000000002E-2</v>
      </c>
      <c r="W1042" s="347">
        <v>42.857142857142769</v>
      </c>
      <c r="X1042" s="14" t="s">
        <v>12</v>
      </c>
      <c r="Y1042" s="346" t="s">
        <v>413</v>
      </c>
      <c r="Z1042" s="14" t="str">
        <f>IF(ISBLANK(LCI_Table[[#This Row],[Notes for user]])," ",LCI_Table[[#This Row],[Notes for user]])</f>
        <v xml:space="preserve"> </v>
      </c>
      <c r="AA1042" s="14"/>
      <c r="AB1042" s="14"/>
      <c r="AC1042" s="346">
        <f ca="1">LCI_Table[[#This Row],[Default Calculated Value]]-LCI_Table[[#This Row],[Calculated Value]]</f>
        <v>0</v>
      </c>
    </row>
    <row r="1043" spans="1:29" x14ac:dyDescent="0.3">
      <c r="A10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(GREET)(blank)_Canola_Farming_Residual_oilResidual oil</v>
      </c>
      <c r="B1043" s="48" t="s">
        <v>1347</v>
      </c>
      <c r="C1043" s="14" t="s">
        <v>30</v>
      </c>
      <c r="D1043" s="14" t="s">
        <v>194</v>
      </c>
      <c r="E1043" s="14" t="s">
        <v>1349</v>
      </c>
      <c r="F1043" s="48" t="s">
        <v>31</v>
      </c>
      <c r="G1043" s="14" t="b">
        <f>OR(LCI_Table[[#This Row],[Feedstock]]="All",LCI_Table[[#This Row],[Feedstock]]=SelectedFeedstock)</f>
        <v>1</v>
      </c>
      <c r="H1043" s="14" t="b">
        <f>OR(LCI_Table[[#This Row],[Conversion]]="All",LCI_Table[[#This Row],[Conversion]]=SelectedConversion)</f>
        <v>1</v>
      </c>
      <c r="I1043" s="14" t="b">
        <f>OR(LCI_Table[[#This Row],[Data Set]]="all",LCI_Table[[#This Row],[Data Set]]=SelectedDataSet)</f>
        <v>0</v>
      </c>
      <c r="J1043" s="14" t="b">
        <f>OR(LCI_Table[[#This Row],[Technology]]="All",LCI_Table[[#This Row],[Technology]]=SelectedTechnology)</f>
        <v>1</v>
      </c>
      <c r="K1043" s="14" t="b">
        <f>OR(LCI_Table[[#This Row],[Data Source]]="All",LCI_Table[[#This Row],[Data Source]]=SelectedDataSource)</f>
        <v>0</v>
      </c>
      <c r="L1043" s="14" t="b">
        <f>TRUE</f>
        <v>1</v>
      </c>
      <c r="M1043" s="14" t="b">
        <f>(LCI_Table[[#This Row],[Dev Notes]]="Do not display")</f>
        <v>0</v>
      </c>
      <c r="N1043" s="14" t="b">
        <f>AND(LCI_Table[[#This Row],[Show Feedstock]:[Conditional]],NOT(LCI_Table[[#This Row],[Hide Row]]))</f>
        <v>0</v>
      </c>
      <c r="O1043" s="14" t="b">
        <f>LCI_Table[[#This Row],[GREET1 Name Range]]=""</f>
        <v>0</v>
      </c>
      <c r="P1043" s="14" t="s">
        <v>14</v>
      </c>
      <c r="Q1043" s="14" t="s">
        <v>500</v>
      </c>
      <c r="R1043" s="14" t="s">
        <v>115</v>
      </c>
      <c r="S1043" s="37" cm="1">
        <f t="array" aca="1" ref="S10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43" s="346" t="s">
        <v>1484</v>
      </c>
      <c r="U1043" s="347">
        <f ca="1">S1043*Fuel_Specs!$B$28/S1036*MT2ton</f>
        <v>0</v>
      </c>
      <c r="V1043" s="347">
        <v>0</v>
      </c>
      <c r="W1043" s="347">
        <v>0</v>
      </c>
      <c r="X1043" s="14" t="s">
        <v>5</v>
      </c>
      <c r="Y1043" s="346" t="s">
        <v>413</v>
      </c>
      <c r="Z1043" s="14" t="str">
        <f>IF(ISBLANK(LCI_Table[[#This Row],[Notes for user]])," ",LCI_Table[[#This Row],[Notes for user]])</f>
        <v xml:space="preserve"> </v>
      </c>
      <c r="AA1043" s="14"/>
      <c r="AB1043" s="14"/>
      <c r="AC1043" s="346">
        <f ca="1">LCI_Table[[#This Row],[Default Calculated Value]]-LCI_Table[[#This Row],[Calculated Value]]</f>
        <v>0</v>
      </c>
    </row>
    <row r="1044" spans="1:29" x14ac:dyDescent="0.3">
      <c r="A10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(GREET)(blank)_Canola_Farming_DieselDiesel</v>
      </c>
      <c r="B1044" s="48" t="s">
        <v>1347</v>
      </c>
      <c r="C1044" s="14" t="s">
        <v>30</v>
      </c>
      <c r="D1044" s="14" t="s">
        <v>194</v>
      </c>
      <c r="E1044" s="14" t="s">
        <v>1349</v>
      </c>
      <c r="F1044" s="48" t="s">
        <v>31</v>
      </c>
      <c r="G1044" s="14" t="b">
        <f>OR(LCI_Table[[#This Row],[Feedstock]]="All",LCI_Table[[#This Row],[Feedstock]]=SelectedFeedstock)</f>
        <v>1</v>
      </c>
      <c r="H1044" s="14" t="b">
        <f>OR(LCI_Table[[#This Row],[Conversion]]="All",LCI_Table[[#This Row],[Conversion]]=SelectedConversion)</f>
        <v>1</v>
      </c>
      <c r="I1044" s="14" t="b">
        <f>OR(LCI_Table[[#This Row],[Data Set]]="all",LCI_Table[[#This Row],[Data Set]]=SelectedDataSet)</f>
        <v>0</v>
      </c>
      <c r="J1044" s="14" t="b">
        <f>OR(LCI_Table[[#This Row],[Technology]]="All",LCI_Table[[#This Row],[Technology]]=SelectedTechnology)</f>
        <v>1</v>
      </c>
      <c r="K1044" s="14" t="b">
        <f>OR(LCI_Table[[#This Row],[Data Source]]="All",LCI_Table[[#This Row],[Data Source]]=SelectedDataSource)</f>
        <v>0</v>
      </c>
      <c r="L1044" s="14" t="b">
        <f>TRUE</f>
        <v>1</v>
      </c>
      <c r="M1044" s="14" t="b">
        <f>(LCI_Table[[#This Row],[Dev Notes]]="Do not display")</f>
        <v>0</v>
      </c>
      <c r="N1044" s="14" t="b">
        <f>AND(LCI_Table[[#This Row],[Show Feedstock]:[Conditional]],NOT(LCI_Table[[#This Row],[Hide Row]]))</f>
        <v>0</v>
      </c>
      <c r="O1044" s="14" t="b">
        <f>LCI_Table[[#This Row],[GREET1 Name Range]]=""</f>
        <v>0</v>
      </c>
      <c r="P1044" s="14" t="s">
        <v>14</v>
      </c>
      <c r="Q1044" s="14" t="s">
        <v>490</v>
      </c>
      <c r="R1044" s="14" t="s">
        <v>106</v>
      </c>
      <c r="S1044" s="37" cm="1">
        <f t="array" aca="1" ref="S10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2.328356661540083</v>
      </c>
      <c r="T1044" s="346" t="s">
        <v>1484</v>
      </c>
      <c r="U1044" s="347">
        <f ca="1">S1044*Fuel_Specs!$B$19/S1036*MT2ton</f>
        <v>506415.38461538352</v>
      </c>
      <c r="V1044" s="347">
        <v>2.328356661540083</v>
      </c>
      <c r="W1044" s="347">
        <v>506415.38461538352</v>
      </c>
      <c r="X1044" s="14" t="s">
        <v>5</v>
      </c>
      <c r="Y1044" s="346" t="s">
        <v>413</v>
      </c>
      <c r="Z1044" s="14" t="str">
        <f>IF(ISBLANK(LCI_Table[[#This Row],[Notes for user]])," ",LCI_Table[[#This Row],[Notes for user]])</f>
        <v xml:space="preserve"> </v>
      </c>
      <c r="AA1044" s="14"/>
      <c r="AB1044" s="14"/>
      <c r="AC1044" s="346">
        <f ca="1">LCI_Table[[#This Row],[Default Calculated Value]]-LCI_Table[[#This Row],[Calculated Value]]</f>
        <v>0</v>
      </c>
    </row>
    <row r="1045" spans="1:29" x14ac:dyDescent="0.3">
      <c r="A10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(GREET)(blank)_Canola_Farming_GasolineGasoline</v>
      </c>
      <c r="B1045" s="48" t="s">
        <v>1347</v>
      </c>
      <c r="C1045" s="14" t="s">
        <v>30</v>
      </c>
      <c r="D1045" s="14" t="s">
        <v>194</v>
      </c>
      <c r="E1045" s="14" t="s">
        <v>1349</v>
      </c>
      <c r="F1045" s="48" t="s">
        <v>31</v>
      </c>
      <c r="G1045" s="14" t="b">
        <f>OR(LCI_Table[[#This Row],[Feedstock]]="All",LCI_Table[[#This Row],[Feedstock]]=SelectedFeedstock)</f>
        <v>1</v>
      </c>
      <c r="H1045" s="14" t="b">
        <f>OR(LCI_Table[[#This Row],[Conversion]]="All",LCI_Table[[#This Row],[Conversion]]=SelectedConversion)</f>
        <v>1</v>
      </c>
      <c r="I1045" s="14" t="b">
        <f>OR(LCI_Table[[#This Row],[Data Set]]="all",LCI_Table[[#This Row],[Data Set]]=SelectedDataSet)</f>
        <v>0</v>
      </c>
      <c r="J1045" s="14" t="b">
        <f>OR(LCI_Table[[#This Row],[Technology]]="All",LCI_Table[[#This Row],[Technology]]=SelectedTechnology)</f>
        <v>1</v>
      </c>
      <c r="K1045" s="14" t="b">
        <f>OR(LCI_Table[[#This Row],[Data Source]]="All",LCI_Table[[#This Row],[Data Source]]=SelectedDataSource)</f>
        <v>0</v>
      </c>
      <c r="L1045" s="14" t="b">
        <f>TRUE</f>
        <v>1</v>
      </c>
      <c r="M1045" s="14" t="b">
        <f>(LCI_Table[[#This Row],[Dev Notes]]="Do not display")</f>
        <v>0</v>
      </c>
      <c r="N1045" s="14" t="b">
        <f>AND(LCI_Table[[#This Row],[Show Feedstock]:[Conditional]],NOT(LCI_Table[[#This Row],[Hide Row]]))</f>
        <v>0</v>
      </c>
      <c r="O1045" s="14" t="b">
        <f>LCI_Table[[#This Row],[GREET1 Name Range]]=""</f>
        <v>0</v>
      </c>
      <c r="P1045" s="14" t="s">
        <v>14</v>
      </c>
      <c r="Q1045" s="14" t="s">
        <v>492</v>
      </c>
      <c r="R1045" s="14" t="s">
        <v>107</v>
      </c>
      <c r="S1045" s="37" cm="1">
        <f t="array" aca="1" ref="S10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45" s="346" t="s">
        <v>1484</v>
      </c>
      <c r="U1045" s="347">
        <f ca="1">S1045*Fuel_Specs!$B$15/S1036*MT2ton</f>
        <v>0</v>
      </c>
      <c r="V1045" s="347">
        <v>0</v>
      </c>
      <c r="W1045" s="347">
        <v>0</v>
      </c>
      <c r="X1045" s="14" t="s">
        <v>5</v>
      </c>
      <c r="Y1045" s="346" t="s">
        <v>413</v>
      </c>
      <c r="Z1045" s="14" t="str">
        <f>IF(ISBLANK(LCI_Table[[#This Row],[Notes for user]])," ",LCI_Table[[#This Row],[Notes for user]])</f>
        <v xml:space="preserve"> </v>
      </c>
      <c r="AA1045" s="14"/>
      <c r="AB1045" s="14"/>
      <c r="AC1045" s="346">
        <f ca="1">LCI_Table[[#This Row],[Default Calculated Value]]-LCI_Table[[#This Row],[Calculated Value]]</f>
        <v>0</v>
      </c>
    </row>
    <row r="1046" spans="1:29" x14ac:dyDescent="0.3">
      <c r="A10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(GREET)(blank)_Canola_Farming_Natural_gasNatural gas</v>
      </c>
      <c r="B1046" s="48" t="s">
        <v>1347</v>
      </c>
      <c r="C1046" s="14" t="s">
        <v>30</v>
      </c>
      <c r="D1046" s="14" t="s">
        <v>194</v>
      </c>
      <c r="E1046" s="14" t="s">
        <v>1349</v>
      </c>
      <c r="F1046" s="48" t="s">
        <v>31</v>
      </c>
      <c r="G1046" s="14" t="b">
        <f>OR(LCI_Table[[#This Row],[Feedstock]]="All",LCI_Table[[#This Row],[Feedstock]]=SelectedFeedstock)</f>
        <v>1</v>
      </c>
      <c r="H1046" s="14" t="b">
        <f>OR(LCI_Table[[#This Row],[Conversion]]="All",LCI_Table[[#This Row],[Conversion]]=SelectedConversion)</f>
        <v>1</v>
      </c>
      <c r="I1046" s="14" t="b">
        <f>OR(LCI_Table[[#This Row],[Data Set]]="all",LCI_Table[[#This Row],[Data Set]]=SelectedDataSet)</f>
        <v>0</v>
      </c>
      <c r="J1046" s="14" t="b">
        <f>OR(LCI_Table[[#This Row],[Technology]]="All",LCI_Table[[#This Row],[Technology]]=SelectedTechnology)</f>
        <v>1</v>
      </c>
      <c r="K1046" s="14" t="b">
        <f>OR(LCI_Table[[#This Row],[Data Source]]="All",LCI_Table[[#This Row],[Data Source]]=SelectedDataSource)</f>
        <v>0</v>
      </c>
      <c r="L1046" s="14" t="b">
        <f>TRUE</f>
        <v>1</v>
      </c>
      <c r="M1046" s="14" t="b">
        <f>(LCI_Table[[#This Row],[Dev Notes]]="Do not display")</f>
        <v>0</v>
      </c>
      <c r="N1046" s="14" t="b">
        <f>AND(LCI_Table[[#This Row],[Show Feedstock]:[Conditional]],NOT(LCI_Table[[#This Row],[Hide Row]]))</f>
        <v>0</v>
      </c>
      <c r="O1046" s="14" t="b">
        <f>LCI_Table[[#This Row],[GREET1 Name Range]]=""</f>
        <v>0</v>
      </c>
      <c r="P1046" s="14" t="s">
        <v>14</v>
      </c>
      <c r="Q1046" s="14" t="s">
        <v>497</v>
      </c>
      <c r="R1046" s="14" t="s">
        <v>108</v>
      </c>
      <c r="S1046" s="37" cm="1">
        <f t="array" aca="1" ref="S10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0.64370432975584824</v>
      </c>
      <c r="T1046" s="346" t="s">
        <v>2109</v>
      </c>
      <c r="U1046" s="347">
        <f ca="1">S1046*Fuel_Specs!$B$79/S1036*MT2ton</f>
        <v>1071.4285714285693</v>
      </c>
      <c r="V1046" s="347">
        <v>0.64370432975584824</v>
      </c>
      <c r="W1046" s="347">
        <v>1071.4285714285693</v>
      </c>
      <c r="X1046" s="14" t="s">
        <v>351</v>
      </c>
      <c r="Y1046" s="346" t="s">
        <v>413</v>
      </c>
      <c r="Z1046" s="14" t="str">
        <f>IF(ISBLANK(LCI_Table[[#This Row],[Notes for user]])," ",LCI_Table[[#This Row],[Notes for user]])</f>
        <v xml:space="preserve"> </v>
      </c>
      <c r="AA1046" s="14"/>
      <c r="AB1046" s="14"/>
      <c r="AC1046" s="346">
        <f ca="1">LCI_Table[[#This Row],[Default Calculated Value]]-LCI_Table[[#This Row],[Calculated Value]]</f>
        <v>0</v>
      </c>
    </row>
    <row r="1047" spans="1:29" x14ac:dyDescent="0.3">
      <c r="A10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(GREET)(blank)_Canola_Farming_CoalCoal</v>
      </c>
      <c r="B1047" s="48" t="s">
        <v>1347</v>
      </c>
      <c r="C1047" s="14" t="s">
        <v>30</v>
      </c>
      <c r="D1047" s="14" t="s">
        <v>194</v>
      </c>
      <c r="E1047" s="14" t="s">
        <v>1349</v>
      </c>
      <c r="F1047" s="48" t="s">
        <v>31</v>
      </c>
      <c r="G1047" s="14" t="b">
        <f>OR(LCI_Table[[#This Row],[Feedstock]]="All",LCI_Table[[#This Row],[Feedstock]]=SelectedFeedstock)</f>
        <v>1</v>
      </c>
      <c r="H1047" s="14" t="b">
        <f>OR(LCI_Table[[#This Row],[Conversion]]="All",LCI_Table[[#This Row],[Conversion]]=SelectedConversion)</f>
        <v>1</v>
      </c>
      <c r="I1047" s="14" t="b">
        <f>OR(LCI_Table[[#This Row],[Data Set]]="all",LCI_Table[[#This Row],[Data Set]]=SelectedDataSet)</f>
        <v>0</v>
      </c>
      <c r="J1047" s="14" t="b">
        <f>OR(LCI_Table[[#This Row],[Technology]]="All",LCI_Table[[#This Row],[Technology]]=SelectedTechnology)</f>
        <v>1</v>
      </c>
      <c r="K1047" s="14" t="b">
        <f>OR(LCI_Table[[#This Row],[Data Source]]="All",LCI_Table[[#This Row],[Data Source]]=SelectedDataSource)</f>
        <v>0</v>
      </c>
      <c r="L1047" s="14" t="b">
        <f>TRUE</f>
        <v>1</v>
      </c>
      <c r="M1047" s="14" t="b">
        <f>(LCI_Table[[#This Row],[Dev Notes]]="Do not display")</f>
        <v>0</v>
      </c>
      <c r="N1047" s="14" t="b">
        <f>AND(LCI_Table[[#This Row],[Show Feedstock]:[Conditional]],NOT(LCI_Table[[#This Row],[Hide Row]]))</f>
        <v>0</v>
      </c>
      <c r="O1047" s="14" t="b">
        <f>LCI_Table[[#This Row],[GREET1 Name Range]]=""</f>
        <v>0</v>
      </c>
      <c r="P1047" s="14" t="s">
        <v>14</v>
      </c>
      <c r="Q1047" s="14" t="s">
        <v>489</v>
      </c>
      <c r="R1047" s="14" t="s">
        <v>9</v>
      </c>
      <c r="S1047" s="37" cm="1">
        <f t="array" aca="1" ref="S10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47" s="346" t="s">
        <v>2110</v>
      </c>
      <c r="U1047" s="347">
        <f ca="1">S1047/S1036*MT2ton</f>
        <v>0</v>
      </c>
      <c r="V1047" s="347">
        <v>0</v>
      </c>
      <c r="W1047" s="347">
        <v>0</v>
      </c>
      <c r="X1047" s="14" t="s">
        <v>117</v>
      </c>
      <c r="Y1047" s="346" t="s">
        <v>413</v>
      </c>
      <c r="Z1047" s="14" t="str">
        <f>IF(ISBLANK(LCI_Table[[#This Row],[Notes for user]])," ",LCI_Table[[#This Row],[Notes for user]])</f>
        <v xml:space="preserve"> </v>
      </c>
      <c r="AA1047" s="14"/>
      <c r="AB1047" s="14"/>
      <c r="AC1047" s="346">
        <f ca="1">LCI_Table[[#This Row],[Default Calculated Value]]-LCI_Table[[#This Row],[Calculated Value]]</f>
        <v>0</v>
      </c>
    </row>
    <row r="1048" spans="1:29" x14ac:dyDescent="0.3">
      <c r="A10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(GREET)(blank)_Canola_Farming_LPGLPG</v>
      </c>
      <c r="B1048" s="48" t="s">
        <v>1347</v>
      </c>
      <c r="C1048" s="14" t="s">
        <v>30</v>
      </c>
      <c r="D1048" s="14" t="s">
        <v>194</v>
      </c>
      <c r="E1048" s="14" t="s">
        <v>1349</v>
      </c>
      <c r="F1048" s="48" t="s">
        <v>31</v>
      </c>
      <c r="G1048" s="14" t="b">
        <f>OR(LCI_Table[[#This Row],[Feedstock]]="All",LCI_Table[[#This Row],[Feedstock]]=SelectedFeedstock)</f>
        <v>1</v>
      </c>
      <c r="H1048" s="14" t="b">
        <f>OR(LCI_Table[[#This Row],[Conversion]]="All",LCI_Table[[#This Row],[Conversion]]=SelectedConversion)</f>
        <v>1</v>
      </c>
      <c r="I1048" s="14" t="b">
        <f>OR(LCI_Table[[#This Row],[Data Set]]="all",LCI_Table[[#This Row],[Data Set]]=SelectedDataSet)</f>
        <v>0</v>
      </c>
      <c r="J1048" s="14" t="b">
        <f>OR(LCI_Table[[#This Row],[Technology]]="All",LCI_Table[[#This Row],[Technology]]=SelectedTechnology)</f>
        <v>1</v>
      </c>
      <c r="K1048" s="14" t="b">
        <f>OR(LCI_Table[[#This Row],[Data Source]]="All",LCI_Table[[#This Row],[Data Source]]=SelectedDataSource)</f>
        <v>0</v>
      </c>
      <c r="L1048" s="14" t="b">
        <f>TRUE</f>
        <v>1</v>
      </c>
      <c r="M1048" s="14" t="b">
        <f>(LCI_Table[[#This Row],[Dev Notes]]="Do not display")</f>
        <v>0</v>
      </c>
      <c r="N1048" s="14" t="b">
        <f>AND(LCI_Table[[#This Row],[Show Feedstock]:[Conditional]],NOT(LCI_Table[[#This Row],[Hide Row]]))</f>
        <v>0</v>
      </c>
      <c r="O1048" s="14" t="b">
        <f>LCI_Table[[#This Row],[GREET1 Name Range]]=""</f>
        <v>0</v>
      </c>
      <c r="P1048" s="14" t="s">
        <v>14</v>
      </c>
      <c r="Q1048" s="14" t="s">
        <v>496</v>
      </c>
      <c r="R1048" s="14" t="s">
        <v>109</v>
      </c>
      <c r="S1048" s="37" cm="1">
        <f t="array" aca="1" ref="S10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48" s="346" t="s">
        <v>1484</v>
      </c>
      <c r="U1048" s="347">
        <f ca="1">S1048*Fuel_Specs!$B$35/S1036*MT2ton</f>
        <v>0</v>
      </c>
      <c r="V1048" s="347">
        <v>0</v>
      </c>
      <c r="W1048" s="347">
        <v>0</v>
      </c>
      <c r="X1048" s="14" t="s">
        <v>5</v>
      </c>
      <c r="Y1048" s="346" t="s">
        <v>413</v>
      </c>
      <c r="Z1048" s="14" t="str">
        <f>IF(ISBLANK(LCI_Table[[#This Row],[Notes for user]])," ",LCI_Table[[#This Row],[Notes for user]])</f>
        <v xml:space="preserve"> </v>
      </c>
      <c r="AA1048" s="14"/>
      <c r="AB1048" s="14"/>
      <c r="AC1048" s="346">
        <f ca="1">LCI_Table[[#This Row],[Default Calculated Value]]-LCI_Table[[#This Row],[Calculated Value]]</f>
        <v>0</v>
      </c>
    </row>
    <row r="1049" spans="1:29" x14ac:dyDescent="0.3">
      <c r="A10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(GREET)(blank)_Canola_Farming_ElectricityElectricity</v>
      </c>
      <c r="B1049" s="48" t="s">
        <v>1347</v>
      </c>
      <c r="C1049" s="14" t="s">
        <v>30</v>
      </c>
      <c r="D1049" s="14" t="s">
        <v>194</v>
      </c>
      <c r="E1049" s="14" t="s">
        <v>1349</v>
      </c>
      <c r="F1049" s="48" t="s">
        <v>31</v>
      </c>
      <c r="G1049" s="14" t="b">
        <f>OR(LCI_Table[[#This Row],[Feedstock]]="All",LCI_Table[[#This Row],[Feedstock]]=SelectedFeedstock)</f>
        <v>1</v>
      </c>
      <c r="H1049" s="14" t="b">
        <f>OR(LCI_Table[[#This Row],[Conversion]]="All",LCI_Table[[#This Row],[Conversion]]=SelectedConversion)</f>
        <v>1</v>
      </c>
      <c r="I1049" s="14" t="b">
        <f>OR(LCI_Table[[#This Row],[Data Set]]="all",LCI_Table[[#This Row],[Data Set]]=SelectedDataSet)</f>
        <v>0</v>
      </c>
      <c r="J1049" s="14" t="b">
        <f>OR(LCI_Table[[#This Row],[Technology]]="All",LCI_Table[[#This Row],[Technology]]=SelectedTechnology)</f>
        <v>1</v>
      </c>
      <c r="K1049" s="14" t="b">
        <f>OR(LCI_Table[[#This Row],[Data Source]]="All",LCI_Table[[#This Row],[Data Source]]=SelectedDataSource)</f>
        <v>0</v>
      </c>
      <c r="L1049" s="14" t="b">
        <f>TRUE</f>
        <v>1</v>
      </c>
      <c r="M1049" s="14" t="b">
        <f>(LCI_Table[[#This Row],[Dev Notes]]="Do not display")</f>
        <v>0</v>
      </c>
      <c r="N1049" s="14" t="b">
        <f>AND(LCI_Table[[#This Row],[Show Feedstock]:[Conditional]],NOT(LCI_Table[[#This Row],[Hide Row]]))</f>
        <v>0</v>
      </c>
      <c r="O1049" s="14" t="b">
        <f>LCI_Table[[#This Row],[GREET1 Name Range]]=""</f>
        <v>0</v>
      </c>
      <c r="P1049" s="14" t="s">
        <v>14</v>
      </c>
      <c r="Q1049" s="14" t="s">
        <v>491</v>
      </c>
      <c r="R1049" s="14" t="s">
        <v>110</v>
      </c>
      <c r="S1049" s="37" cm="1">
        <f t="array" aca="1" ref="S10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2.2038360786096582</v>
      </c>
      <c r="T1049" s="346" t="s">
        <v>1561</v>
      </c>
      <c r="U1049" s="347">
        <f ca="1">S1049/BTU2kWh/S1036*MT2ton</f>
        <v>12732.967032967006</v>
      </c>
      <c r="V1049" s="347">
        <v>2.2038360786096582</v>
      </c>
      <c r="W1049" s="347">
        <v>12732.967032967006</v>
      </c>
      <c r="X1049" s="14" t="s">
        <v>51</v>
      </c>
      <c r="Y1049" s="346" t="s">
        <v>413</v>
      </c>
      <c r="Z1049" s="14" t="str">
        <f>IF(ISBLANK(LCI_Table[[#This Row],[Notes for user]])," ",LCI_Table[[#This Row],[Notes for user]])</f>
        <v xml:space="preserve"> </v>
      </c>
      <c r="AA1049" s="14"/>
      <c r="AB1049" s="14"/>
      <c r="AC1049" s="346">
        <f ca="1">LCI_Table[[#This Row],[Default Calculated Value]]-LCI_Table[[#This Row],[Calculated Value]]</f>
        <v>0</v>
      </c>
    </row>
    <row r="1050" spans="1:29" x14ac:dyDescent="0.3">
      <c r="A10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dash_Canola/RapeseedHEFAICAOUS (GREET)(blank)_Canola_Extraction</v>
      </c>
      <c r="B1050" s="48" t="s">
        <v>1347</v>
      </c>
      <c r="C1050" s="14" t="s">
        <v>30</v>
      </c>
      <c r="D1050" s="14" t="s">
        <v>194</v>
      </c>
      <c r="E1050" s="14" t="s">
        <v>1349</v>
      </c>
      <c r="F1050" s="48" t="s">
        <v>31</v>
      </c>
      <c r="G1050" s="14" t="b">
        <f>OR(LCI_Table[[#This Row],[Feedstock]]="All",LCI_Table[[#This Row],[Feedstock]]=SelectedFeedstock)</f>
        <v>1</v>
      </c>
      <c r="H1050" s="14" t="b">
        <f>OR(LCI_Table[[#This Row],[Conversion]]="All",LCI_Table[[#This Row],[Conversion]]=SelectedConversion)</f>
        <v>1</v>
      </c>
      <c r="I1050" s="14" t="b">
        <f>OR(LCI_Table[[#This Row],[Data Set]]="all",LCI_Table[[#This Row],[Data Set]]=SelectedDataSet)</f>
        <v>0</v>
      </c>
      <c r="J1050" s="14" t="b">
        <f>OR(LCI_Table[[#This Row],[Technology]]="All",LCI_Table[[#This Row],[Technology]]=SelectedTechnology)</f>
        <v>1</v>
      </c>
      <c r="K1050" s="14" t="b">
        <f>OR(LCI_Table[[#This Row],[Data Source]]="All",LCI_Table[[#This Row],[Data Source]]=SelectedDataSource)</f>
        <v>0</v>
      </c>
      <c r="L1050" s="14" t="b">
        <f>TRUE</f>
        <v>1</v>
      </c>
      <c r="M1050" s="14" t="b">
        <f>(LCI_Table[[#This Row],[Dev Notes]]="Do not display")</f>
        <v>1</v>
      </c>
      <c r="N1050" s="14" t="b">
        <f>AND(LCI_Table[[#This Row],[Show Feedstock]:[Conditional]],NOT(LCI_Table[[#This Row],[Hide Row]]))</f>
        <v>0</v>
      </c>
      <c r="O1050" s="14" t="b">
        <f>LCI_Table[[#This Row],[GREET1 Name Range]]=""</f>
        <v>1</v>
      </c>
      <c r="P1050" s="14" t="s">
        <v>15</v>
      </c>
      <c r="Q1050" s="14" t="s">
        <v>361</v>
      </c>
      <c r="R1050" s="14" t="s">
        <v>125</v>
      </c>
      <c r="S1050" s="37" cm="1">
        <f t="array" aca="1" ref="S10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2.1543560606060654</v>
      </c>
      <c r="T1050" s="346" t="s">
        <v>2111</v>
      </c>
      <c r="U1050" s="347">
        <f ca="1">S1050/MT2lb</f>
        <v>9.771994713541688E-4</v>
      </c>
      <c r="V1050" s="347">
        <v>2.1543560606060654</v>
      </c>
      <c r="W1050" s="347">
        <v>9.771994713541688E-4</v>
      </c>
      <c r="X1050" s="14" t="s">
        <v>12</v>
      </c>
      <c r="Y1050" s="346" t="s">
        <v>891</v>
      </c>
      <c r="Z1050" s="14" t="str">
        <f>IF(ISBLANK(LCI_Table[[#This Row],[Notes for user]])," ",LCI_Table[[#This Row],[Notes for user]])</f>
        <v xml:space="preserve"> </v>
      </c>
      <c r="AA1050" s="348"/>
      <c r="AB1050" s="348" t="s">
        <v>1138</v>
      </c>
      <c r="AC1050" s="346">
        <f ca="1">LCI_Table[[#This Row],[Default Calculated Value]]-LCI_Table[[#This Row],[Calculated Value]]</f>
        <v>0</v>
      </c>
    </row>
    <row r="1051" spans="1:29" x14ac:dyDescent="0.3">
      <c r="A10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(GREET)(blank)_Canola_Extraction_Residual_oilResidual oil</v>
      </c>
      <c r="B1051" s="48" t="s">
        <v>1347</v>
      </c>
      <c r="C1051" s="14" t="s">
        <v>30</v>
      </c>
      <c r="D1051" s="14" t="s">
        <v>194</v>
      </c>
      <c r="E1051" s="14" t="s">
        <v>1349</v>
      </c>
      <c r="F1051" s="48" t="s">
        <v>31</v>
      </c>
      <c r="G1051" s="14" t="b">
        <f>OR(LCI_Table[[#This Row],[Feedstock]]="All",LCI_Table[[#This Row],[Feedstock]]=SelectedFeedstock)</f>
        <v>1</v>
      </c>
      <c r="H1051" s="14" t="b">
        <f>OR(LCI_Table[[#This Row],[Conversion]]="All",LCI_Table[[#This Row],[Conversion]]=SelectedConversion)</f>
        <v>1</v>
      </c>
      <c r="I1051" s="14" t="b">
        <f>OR(LCI_Table[[#This Row],[Data Set]]="all",LCI_Table[[#This Row],[Data Set]]=SelectedDataSet)</f>
        <v>0</v>
      </c>
      <c r="J1051" s="14" t="b">
        <f>OR(LCI_Table[[#This Row],[Technology]]="All",LCI_Table[[#This Row],[Technology]]=SelectedTechnology)</f>
        <v>1</v>
      </c>
      <c r="K1051" s="14" t="b">
        <f>OR(LCI_Table[[#This Row],[Data Source]]="All",LCI_Table[[#This Row],[Data Source]]=SelectedDataSource)</f>
        <v>0</v>
      </c>
      <c r="L1051" s="14" t="b">
        <f>TRUE</f>
        <v>1</v>
      </c>
      <c r="M1051" s="14" t="b">
        <f>(LCI_Table[[#This Row],[Dev Notes]]="Do not display")</f>
        <v>0</v>
      </c>
      <c r="N1051" s="14" t="b">
        <f>AND(LCI_Table[[#This Row],[Show Feedstock]:[Conditional]],NOT(LCI_Table[[#This Row],[Hide Row]]))</f>
        <v>0</v>
      </c>
      <c r="O1051" s="14" t="b">
        <f>LCI_Table[[#This Row],[GREET1 Name Range]]=""</f>
        <v>0</v>
      </c>
      <c r="P1051" s="14" t="s">
        <v>15</v>
      </c>
      <c r="Q1051" s="14" t="s">
        <v>487</v>
      </c>
      <c r="R1051" s="14" t="s">
        <v>115</v>
      </c>
      <c r="S1051" s="37" cm="1">
        <f t="array" aca="1" ref="S10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51" s="346" t="s">
        <v>2112</v>
      </c>
      <c r="U1051" s="347">
        <f ca="1">S1051*Fuel_Specs!$B$28</f>
        <v>0</v>
      </c>
      <c r="V1051" s="347">
        <v>0</v>
      </c>
      <c r="W1051" s="347">
        <v>0</v>
      </c>
      <c r="X1051" s="14" t="s">
        <v>5</v>
      </c>
      <c r="Y1051" s="346" t="s">
        <v>891</v>
      </c>
      <c r="Z1051" s="14" t="str">
        <f>IF(ISBLANK(LCI_Table[[#This Row],[Notes for user]])," ",LCI_Table[[#This Row],[Notes for user]])</f>
        <v xml:space="preserve"> </v>
      </c>
      <c r="AA1051" s="14"/>
      <c r="AB1051" s="14"/>
      <c r="AC1051" s="346">
        <f ca="1">LCI_Table[[#This Row],[Default Calculated Value]]-LCI_Table[[#This Row],[Calculated Value]]</f>
        <v>0</v>
      </c>
    </row>
    <row r="1052" spans="1:29" x14ac:dyDescent="0.3">
      <c r="A10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(GREET)(blank)_Canola_Extraction_DieselDiesel</v>
      </c>
      <c r="B1052" s="48" t="s">
        <v>1347</v>
      </c>
      <c r="C1052" s="14" t="s">
        <v>30</v>
      </c>
      <c r="D1052" s="14" t="s">
        <v>194</v>
      </c>
      <c r="E1052" s="14" t="s">
        <v>1349</v>
      </c>
      <c r="F1052" s="48" t="s">
        <v>31</v>
      </c>
      <c r="G1052" s="14" t="b">
        <f>OR(LCI_Table[[#This Row],[Feedstock]]="All",LCI_Table[[#This Row],[Feedstock]]=SelectedFeedstock)</f>
        <v>1</v>
      </c>
      <c r="H1052" s="14" t="b">
        <f>OR(LCI_Table[[#This Row],[Conversion]]="All",LCI_Table[[#This Row],[Conversion]]=SelectedConversion)</f>
        <v>1</v>
      </c>
      <c r="I1052" s="14" t="b">
        <f>OR(LCI_Table[[#This Row],[Data Set]]="all",LCI_Table[[#This Row],[Data Set]]=SelectedDataSet)</f>
        <v>0</v>
      </c>
      <c r="J1052" s="14" t="b">
        <f>OR(LCI_Table[[#This Row],[Technology]]="All",LCI_Table[[#This Row],[Technology]]=SelectedTechnology)</f>
        <v>1</v>
      </c>
      <c r="K1052" s="14" t="b">
        <f>OR(LCI_Table[[#This Row],[Data Source]]="All",LCI_Table[[#This Row],[Data Source]]=SelectedDataSource)</f>
        <v>0</v>
      </c>
      <c r="L1052" s="14" t="b">
        <f>TRUE</f>
        <v>1</v>
      </c>
      <c r="M1052" s="14" t="b">
        <f>(LCI_Table[[#This Row],[Dev Notes]]="Do not display")</f>
        <v>0</v>
      </c>
      <c r="N1052" s="14" t="b">
        <f>AND(LCI_Table[[#This Row],[Show Feedstock]:[Conditional]],NOT(LCI_Table[[#This Row],[Hide Row]]))</f>
        <v>0</v>
      </c>
      <c r="O1052" s="14" t="b">
        <f>LCI_Table[[#This Row],[GREET1 Name Range]]=""</f>
        <v>0</v>
      </c>
      <c r="P1052" s="14" t="s">
        <v>15</v>
      </c>
      <c r="Q1052" s="14" t="s">
        <v>479</v>
      </c>
      <c r="R1052" s="14" t="s">
        <v>106</v>
      </c>
      <c r="S1052" s="37" cm="1">
        <f t="array" aca="1" ref="S10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52" s="346" t="s">
        <v>2112</v>
      </c>
      <c r="U1052" s="347">
        <f ca="1">S1052*Fuel_Specs!$B$19</f>
        <v>0</v>
      </c>
      <c r="V1052" s="347">
        <v>0</v>
      </c>
      <c r="W1052" s="347">
        <v>0</v>
      </c>
      <c r="X1052" s="14" t="s">
        <v>5</v>
      </c>
      <c r="Y1052" s="346" t="s">
        <v>891</v>
      </c>
      <c r="Z1052" s="14" t="str">
        <f>IF(ISBLANK(LCI_Table[[#This Row],[Notes for user]])," ",LCI_Table[[#This Row],[Notes for user]])</f>
        <v xml:space="preserve"> </v>
      </c>
      <c r="AA1052" s="14"/>
      <c r="AB1052" s="14"/>
      <c r="AC1052" s="346">
        <f ca="1">LCI_Table[[#This Row],[Default Calculated Value]]-LCI_Table[[#This Row],[Calculated Value]]</f>
        <v>0</v>
      </c>
    </row>
    <row r="1053" spans="1:29" x14ac:dyDescent="0.3">
      <c r="A10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(GREET)(blank)_Canola_Extraction_GasolineGasoline</v>
      </c>
      <c r="B1053" s="48" t="s">
        <v>1347</v>
      </c>
      <c r="C1053" s="14" t="s">
        <v>30</v>
      </c>
      <c r="D1053" s="14" t="s">
        <v>194</v>
      </c>
      <c r="E1053" s="14" t="s">
        <v>1349</v>
      </c>
      <c r="F1053" s="48" t="s">
        <v>31</v>
      </c>
      <c r="G1053" s="14" t="b">
        <f>OR(LCI_Table[[#This Row],[Feedstock]]="All",LCI_Table[[#This Row],[Feedstock]]=SelectedFeedstock)</f>
        <v>1</v>
      </c>
      <c r="H1053" s="14" t="b">
        <f>OR(LCI_Table[[#This Row],[Conversion]]="All",LCI_Table[[#This Row],[Conversion]]=SelectedConversion)</f>
        <v>1</v>
      </c>
      <c r="I1053" s="14" t="b">
        <f>OR(LCI_Table[[#This Row],[Data Set]]="all",LCI_Table[[#This Row],[Data Set]]=SelectedDataSet)</f>
        <v>0</v>
      </c>
      <c r="J1053" s="14" t="b">
        <f>OR(LCI_Table[[#This Row],[Technology]]="All",LCI_Table[[#This Row],[Technology]]=SelectedTechnology)</f>
        <v>1</v>
      </c>
      <c r="K1053" s="14" t="b">
        <f>OR(LCI_Table[[#This Row],[Data Source]]="All",LCI_Table[[#This Row],[Data Source]]=SelectedDataSource)</f>
        <v>0</v>
      </c>
      <c r="L1053" s="14" t="b">
        <f>TRUE</f>
        <v>1</v>
      </c>
      <c r="M1053" s="14" t="b">
        <f>(LCI_Table[[#This Row],[Dev Notes]]="Do not display")</f>
        <v>0</v>
      </c>
      <c r="N1053" s="14" t="b">
        <f>AND(LCI_Table[[#This Row],[Show Feedstock]:[Conditional]],NOT(LCI_Table[[#This Row],[Hide Row]]))</f>
        <v>0</v>
      </c>
      <c r="O1053" s="14" t="b">
        <f>LCI_Table[[#This Row],[GREET1 Name Range]]=""</f>
        <v>0</v>
      </c>
      <c r="P1053" s="14" t="s">
        <v>15</v>
      </c>
      <c r="Q1053" s="14" t="s">
        <v>482</v>
      </c>
      <c r="R1053" s="14" t="s">
        <v>107</v>
      </c>
      <c r="S1053" s="37" cm="1">
        <f t="array" aca="1" ref="S10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53" s="346" t="s">
        <v>2112</v>
      </c>
      <c r="U1053" s="347">
        <f ca="1">S1053*Fuel_Specs!$B$15</f>
        <v>0</v>
      </c>
      <c r="V1053" s="347">
        <v>0</v>
      </c>
      <c r="W1053" s="347">
        <v>0</v>
      </c>
      <c r="X1053" s="14" t="s">
        <v>5</v>
      </c>
      <c r="Y1053" s="346" t="s">
        <v>891</v>
      </c>
      <c r="Z1053" s="14" t="str">
        <f>IF(ISBLANK(LCI_Table[[#This Row],[Notes for user]])," ",LCI_Table[[#This Row],[Notes for user]])</f>
        <v xml:space="preserve"> </v>
      </c>
      <c r="AA1053" s="14"/>
      <c r="AB1053" s="14"/>
      <c r="AC1053" s="346">
        <f ca="1">LCI_Table[[#This Row],[Default Calculated Value]]-LCI_Table[[#This Row],[Calculated Value]]</f>
        <v>0</v>
      </c>
    </row>
    <row r="1054" spans="1:29" x14ac:dyDescent="0.3">
      <c r="A10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(GREET)(blank)_Canola_Extraction_Natural_gasNatural gas</v>
      </c>
      <c r="B1054" s="48" t="s">
        <v>1347</v>
      </c>
      <c r="C1054" s="14" t="s">
        <v>30</v>
      </c>
      <c r="D1054" s="14" t="s">
        <v>194</v>
      </c>
      <c r="E1054" s="14" t="s">
        <v>1349</v>
      </c>
      <c r="F1054" s="48" t="s">
        <v>31</v>
      </c>
      <c r="G1054" s="14" t="b">
        <f>OR(LCI_Table[[#This Row],[Feedstock]]="All",LCI_Table[[#This Row],[Feedstock]]=SelectedFeedstock)</f>
        <v>1</v>
      </c>
      <c r="H1054" s="14" t="b">
        <f>OR(LCI_Table[[#This Row],[Conversion]]="All",LCI_Table[[#This Row],[Conversion]]=SelectedConversion)</f>
        <v>1</v>
      </c>
      <c r="I1054" s="14" t="b">
        <f>OR(LCI_Table[[#This Row],[Data Set]]="all",LCI_Table[[#This Row],[Data Set]]=SelectedDataSet)</f>
        <v>0</v>
      </c>
      <c r="J1054" s="14" t="b">
        <f>OR(LCI_Table[[#This Row],[Technology]]="All",LCI_Table[[#This Row],[Technology]]=SelectedTechnology)</f>
        <v>1</v>
      </c>
      <c r="K1054" s="14" t="b">
        <f>OR(LCI_Table[[#This Row],[Data Source]]="All",LCI_Table[[#This Row],[Data Source]]=SelectedDataSource)</f>
        <v>0</v>
      </c>
      <c r="L1054" s="14" t="b">
        <f>TRUE</f>
        <v>1</v>
      </c>
      <c r="M1054" s="14" t="b">
        <f>(LCI_Table[[#This Row],[Dev Notes]]="Do not display")</f>
        <v>0</v>
      </c>
      <c r="N1054" s="14" t="b">
        <f>AND(LCI_Table[[#This Row],[Show Feedstock]:[Conditional]],NOT(LCI_Table[[#This Row],[Hide Row]]))</f>
        <v>0</v>
      </c>
      <c r="O1054" s="14" t="b">
        <f>LCI_Table[[#This Row],[GREET1 Name Range]]=""</f>
        <v>0</v>
      </c>
      <c r="P1054" s="14" t="s">
        <v>15</v>
      </c>
      <c r="Q1054" s="14" t="s">
        <v>486</v>
      </c>
      <c r="R1054" s="14" t="s">
        <v>108</v>
      </c>
      <c r="S1054" s="37" cm="1">
        <f t="array" aca="1" ref="S10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1.0616358087487283</v>
      </c>
      <c r="T1054" s="346" t="s">
        <v>2113</v>
      </c>
      <c r="U1054" s="347">
        <f ca="1">S1054*Fuel_Specs!$B$79</f>
        <v>1043.588</v>
      </c>
      <c r="V1054" s="347">
        <v>1.0616358087487283</v>
      </c>
      <c r="W1054" s="347">
        <v>1043.588</v>
      </c>
      <c r="X1054" s="14" t="s">
        <v>351</v>
      </c>
      <c r="Y1054" s="346" t="s">
        <v>891</v>
      </c>
      <c r="Z1054" s="14" t="str">
        <f>IF(ISBLANK(LCI_Table[[#This Row],[Notes for user]])," ",LCI_Table[[#This Row],[Notes for user]])</f>
        <v xml:space="preserve"> </v>
      </c>
      <c r="AA1054" s="14"/>
      <c r="AB1054" s="14"/>
      <c r="AC1054" s="346">
        <f ca="1">LCI_Table[[#This Row],[Default Calculated Value]]-LCI_Table[[#This Row],[Calculated Value]]</f>
        <v>0</v>
      </c>
    </row>
    <row r="1055" spans="1:29" x14ac:dyDescent="0.3">
      <c r="A10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(GREET)(blank)_Canola_Extraction_CoalCoal</v>
      </c>
      <c r="B1055" s="48" t="s">
        <v>1347</v>
      </c>
      <c r="C1055" s="14" t="s">
        <v>30</v>
      </c>
      <c r="D1055" s="14" t="s">
        <v>194</v>
      </c>
      <c r="E1055" s="14" t="s">
        <v>1349</v>
      </c>
      <c r="F1055" s="48" t="s">
        <v>31</v>
      </c>
      <c r="G1055" s="14" t="b">
        <f>OR(LCI_Table[[#This Row],[Feedstock]]="All",LCI_Table[[#This Row],[Feedstock]]=SelectedFeedstock)</f>
        <v>1</v>
      </c>
      <c r="H1055" s="14" t="b">
        <f>OR(LCI_Table[[#This Row],[Conversion]]="All",LCI_Table[[#This Row],[Conversion]]=SelectedConversion)</f>
        <v>1</v>
      </c>
      <c r="I1055" s="14" t="b">
        <f>OR(LCI_Table[[#This Row],[Data Set]]="all",LCI_Table[[#This Row],[Data Set]]=SelectedDataSet)</f>
        <v>0</v>
      </c>
      <c r="J1055" s="14" t="b">
        <f>OR(LCI_Table[[#This Row],[Technology]]="All",LCI_Table[[#This Row],[Technology]]=SelectedTechnology)</f>
        <v>1</v>
      </c>
      <c r="K1055" s="14" t="b">
        <f>OR(LCI_Table[[#This Row],[Data Source]]="All",LCI_Table[[#This Row],[Data Source]]=SelectedDataSource)</f>
        <v>0</v>
      </c>
      <c r="L1055" s="14" t="b">
        <f>TRUE</f>
        <v>1</v>
      </c>
      <c r="M1055" s="14" t="b">
        <f>(LCI_Table[[#This Row],[Dev Notes]]="Do not display")</f>
        <v>0</v>
      </c>
      <c r="N1055" s="14" t="b">
        <f>AND(LCI_Table[[#This Row],[Show Feedstock]:[Conditional]],NOT(LCI_Table[[#This Row],[Hide Row]]))</f>
        <v>0</v>
      </c>
      <c r="O1055" s="14" t="b">
        <f>LCI_Table[[#This Row],[GREET1 Name Range]]=""</f>
        <v>0</v>
      </c>
      <c r="P1055" s="14" t="s">
        <v>15</v>
      </c>
      <c r="Q1055" s="14" t="s">
        <v>478</v>
      </c>
      <c r="R1055" s="14" t="s">
        <v>9</v>
      </c>
      <c r="S1055" s="37" cm="1">
        <f t="array" aca="1" ref="S10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55" s="346" t="s">
        <v>2114</v>
      </c>
      <c r="U1055" s="347">
        <f ca="1">S1055</f>
        <v>0</v>
      </c>
      <c r="V1055" s="347">
        <v>0</v>
      </c>
      <c r="W1055" s="347">
        <v>0</v>
      </c>
      <c r="X1055" s="14" t="s">
        <v>117</v>
      </c>
      <c r="Y1055" s="346" t="s">
        <v>891</v>
      </c>
      <c r="Z1055" s="14" t="str">
        <f>IF(ISBLANK(LCI_Table[[#This Row],[Notes for user]])," ",LCI_Table[[#This Row],[Notes for user]])</f>
        <v xml:space="preserve"> </v>
      </c>
      <c r="AA1055" s="14"/>
      <c r="AB1055" s="14"/>
      <c r="AC1055" s="346">
        <f ca="1">LCI_Table[[#This Row],[Default Calculated Value]]-LCI_Table[[#This Row],[Calculated Value]]</f>
        <v>0</v>
      </c>
    </row>
    <row r="1056" spans="1:29" x14ac:dyDescent="0.3">
      <c r="A10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(GREET)(blank)_Canola_Extraction_LPGLPG</v>
      </c>
      <c r="B1056" s="48" t="s">
        <v>1347</v>
      </c>
      <c r="C1056" s="14" t="s">
        <v>30</v>
      </c>
      <c r="D1056" s="14" t="s">
        <v>194</v>
      </c>
      <c r="E1056" s="14" t="s">
        <v>1349</v>
      </c>
      <c r="F1056" s="48" t="s">
        <v>31</v>
      </c>
      <c r="G1056" s="14" t="b">
        <f>OR(LCI_Table[[#This Row],[Feedstock]]="All",LCI_Table[[#This Row],[Feedstock]]=SelectedFeedstock)</f>
        <v>1</v>
      </c>
      <c r="H1056" s="14" t="b">
        <f>OR(LCI_Table[[#This Row],[Conversion]]="All",LCI_Table[[#This Row],[Conversion]]=SelectedConversion)</f>
        <v>1</v>
      </c>
      <c r="I1056" s="14" t="b">
        <f>OR(LCI_Table[[#This Row],[Data Set]]="all",LCI_Table[[#This Row],[Data Set]]=SelectedDataSet)</f>
        <v>0</v>
      </c>
      <c r="J1056" s="14" t="b">
        <f>OR(LCI_Table[[#This Row],[Technology]]="All",LCI_Table[[#This Row],[Technology]]=SelectedTechnology)</f>
        <v>1</v>
      </c>
      <c r="K1056" s="14" t="b">
        <f>OR(LCI_Table[[#This Row],[Data Source]]="All",LCI_Table[[#This Row],[Data Source]]=SelectedDataSource)</f>
        <v>0</v>
      </c>
      <c r="L1056" s="14" t="b">
        <f>TRUE</f>
        <v>1</v>
      </c>
      <c r="M1056" s="14" t="b">
        <f>(LCI_Table[[#This Row],[Dev Notes]]="Do not display")</f>
        <v>0</v>
      </c>
      <c r="N1056" s="14" t="b">
        <f>AND(LCI_Table[[#This Row],[Show Feedstock]:[Conditional]],NOT(LCI_Table[[#This Row],[Hide Row]]))</f>
        <v>0</v>
      </c>
      <c r="O1056" s="14" t="b">
        <f>LCI_Table[[#This Row],[GREET1 Name Range]]=""</f>
        <v>0</v>
      </c>
      <c r="P1056" s="14" t="s">
        <v>15</v>
      </c>
      <c r="Q1056" s="14" t="s">
        <v>484</v>
      </c>
      <c r="R1056" s="14" t="s">
        <v>109</v>
      </c>
      <c r="S1056" s="37" cm="1">
        <f t="array" aca="1" ref="S10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56" s="346" t="s">
        <v>2112</v>
      </c>
      <c r="U1056" s="347">
        <f ca="1">S1056*Fuel_Specs!$B$35</f>
        <v>0</v>
      </c>
      <c r="V1056" s="347">
        <v>0</v>
      </c>
      <c r="W1056" s="347">
        <v>0</v>
      </c>
      <c r="X1056" s="14" t="s">
        <v>5</v>
      </c>
      <c r="Y1056" s="346" t="s">
        <v>891</v>
      </c>
      <c r="Z1056" s="14" t="str">
        <f>IF(ISBLANK(LCI_Table[[#This Row],[Notes for user]])," ",LCI_Table[[#This Row],[Notes for user]])</f>
        <v xml:space="preserve"> </v>
      </c>
      <c r="AA1056" s="14"/>
      <c r="AB1056" s="14"/>
      <c r="AC1056" s="346">
        <f ca="1">LCI_Table[[#This Row],[Default Calculated Value]]-LCI_Table[[#This Row],[Calculated Value]]</f>
        <v>0</v>
      </c>
    </row>
    <row r="1057" spans="1:29" x14ac:dyDescent="0.3">
      <c r="A10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(GREET)(blank)_Canola_Extraction_ElectricityElectricity</v>
      </c>
      <c r="B1057" s="48" t="s">
        <v>1347</v>
      </c>
      <c r="C1057" s="14" t="s">
        <v>30</v>
      </c>
      <c r="D1057" s="14" t="s">
        <v>194</v>
      </c>
      <c r="E1057" s="14" t="s">
        <v>1349</v>
      </c>
      <c r="F1057" s="48" t="s">
        <v>31</v>
      </c>
      <c r="G1057" s="14" t="b">
        <f>OR(LCI_Table[[#This Row],[Feedstock]]="All",LCI_Table[[#This Row],[Feedstock]]=SelectedFeedstock)</f>
        <v>1</v>
      </c>
      <c r="H1057" s="14" t="b">
        <f>OR(LCI_Table[[#This Row],[Conversion]]="All",LCI_Table[[#This Row],[Conversion]]=SelectedConversion)</f>
        <v>1</v>
      </c>
      <c r="I1057" s="14" t="b">
        <f>OR(LCI_Table[[#This Row],[Data Set]]="all",LCI_Table[[#This Row],[Data Set]]=SelectedDataSet)</f>
        <v>0</v>
      </c>
      <c r="J1057" s="14" t="b">
        <f>OR(LCI_Table[[#This Row],[Technology]]="All",LCI_Table[[#This Row],[Technology]]=SelectedTechnology)</f>
        <v>1</v>
      </c>
      <c r="K1057" s="14" t="b">
        <f>OR(LCI_Table[[#This Row],[Data Source]]="All",LCI_Table[[#This Row],[Data Source]]=SelectedDataSource)</f>
        <v>0</v>
      </c>
      <c r="L1057" s="14" t="b">
        <f>TRUE</f>
        <v>1</v>
      </c>
      <c r="M1057" s="14" t="b">
        <f>(LCI_Table[[#This Row],[Dev Notes]]="Do not display")</f>
        <v>0</v>
      </c>
      <c r="N1057" s="14" t="b">
        <f>AND(LCI_Table[[#This Row],[Show Feedstock]:[Conditional]],NOT(LCI_Table[[#This Row],[Hide Row]]))</f>
        <v>0</v>
      </c>
      <c r="O1057" s="14" t="b">
        <f>LCI_Table[[#This Row],[GREET1 Name Range]]=""</f>
        <v>0</v>
      </c>
      <c r="P1057" s="14" t="s">
        <v>15</v>
      </c>
      <c r="Q1057" s="14" t="s">
        <v>480</v>
      </c>
      <c r="R1057" s="14" t="s">
        <v>110</v>
      </c>
      <c r="S1057" s="37" cm="1">
        <f t="array" aca="1" ref="S10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5.168132467011112E-2</v>
      </c>
      <c r="T1057" s="346" t="s">
        <v>2115</v>
      </c>
      <c r="U1057" s="347">
        <f ca="1">S1057/BTU2kWh</f>
        <v>176.34400000000002</v>
      </c>
      <c r="V1057" s="347">
        <v>5.168132467011112E-2</v>
      </c>
      <c r="W1057" s="347">
        <v>176.34400000000002</v>
      </c>
      <c r="X1057" s="14" t="s">
        <v>51</v>
      </c>
      <c r="Y1057" s="346" t="s">
        <v>891</v>
      </c>
      <c r="Z1057" s="14" t="str">
        <f>IF(ISBLANK(LCI_Table[[#This Row],[Notes for user]])," ",LCI_Table[[#This Row],[Notes for user]])</f>
        <v xml:space="preserve"> </v>
      </c>
      <c r="AA1057" s="14"/>
      <c r="AB1057" s="14"/>
      <c r="AC1057" s="346">
        <f ca="1">LCI_Table[[#This Row],[Default Calculated Value]]-LCI_Table[[#This Row],[Calculated Value]]</f>
        <v>0</v>
      </c>
    </row>
    <row r="1058" spans="1:29" x14ac:dyDescent="0.3">
      <c r="A10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(GREET)(blank)_Canola_Extraction_N_hexaneN-hexane</v>
      </c>
      <c r="B1058" s="48" t="s">
        <v>1347</v>
      </c>
      <c r="C1058" s="14" t="s">
        <v>30</v>
      </c>
      <c r="D1058" s="14" t="s">
        <v>194</v>
      </c>
      <c r="E1058" s="14" t="s">
        <v>1349</v>
      </c>
      <c r="F1058" s="48" t="s">
        <v>31</v>
      </c>
      <c r="G1058" s="14" t="b">
        <f>OR(LCI_Table[[#This Row],[Feedstock]]="All",LCI_Table[[#This Row],[Feedstock]]=SelectedFeedstock)</f>
        <v>1</v>
      </c>
      <c r="H1058" s="14" t="b">
        <f>OR(LCI_Table[[#This Row],[Conversion]]="All",LCI_Table[[#This Row],[Conversion]]=SelectedConversion)</f>
        <v>1</v>
      </c>
      <c r="I1058" s="14" t="b">
        <f>OR(LCI_Table[[#This Row],[Data Set]]="all",LCI_Table[[#This Row],[Data Set]]=SelectedDataSet)</f>
        <v>0</v>
      </c>
      <c r="J1058" s="14" t="b">
        <f>OR(LCI_Table[[#This Row],[Technology]]="All",LCI_Table[[#This Row],[Technology]]=SelectedTechnology)</f>
        <v>1</v>
      </c>
      <c r="K1058" s="14" t="b">
        <f>OR(LCI_Table[[#This Row],[Data Source]]="All",LCI_Table[[#This Row],[Data Source]]=SelectedDataSource)</f>
        <v>0</v>
      </c>
      <c r="L1058" s="14" t="b">
        <f>TRUE</f>
        <v>1</v>
      </c>
      <c r="M1058" s="14" t="b">
        <f>(LCI_Table[[#This Row],[Dev Notes]]="Do not display")</f>
        <v>0</v>
      </c>
      <c r="N1058" s="14" t="b">
        <f>AND(LCI_Table[[#This Row],[Show Feedstock]:[Conditional]],NOT(LCI_Table[[#This Row],[Hide Row]]))</f>
        <v>0</v>
      </c>
      <c r="O1058" s="14" t="b">
        <f>LCI_Table[[#This Row],[GREET1 Name Range]]=""</f>
        <v>0</v>
      </c>
      <c r="P1058" s="14" t="s">
        <v>15</v>
      </c>
      <c r="Q1058" s="14" t="s">
        <v>485</v>
      </c>
      <c r="R1058" s="14" t="s">
        <v>116</v>
      </c>
      <c r="S1058" s="37" cm="1">
        <f t="array" aca="1" ref="S10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4.5692358035401732E-7</v>
      </c>
      <c r="T1058" s="346" t="s">
        <v>2111</v>
      </c>
      <c r="U1058" s="347">
        <f ca="1">S1058*Fuel_Specs!$B$58*ton2lb</f>
        <v>96.067999999999998</v>
      </c>
      <c r="V1058" s="347">
        <v>4.5692358035401732E-7</v>
      </c>
      <c r="W1058" s="347">
        <v>96.067999999999998</v>
      </c>
      <c r="X1058" s="14" t="s">
        <v>12</v>
      </c>
      <c r="Y1058" s="346" t="s">
        <v>891</v>
      </c>
      <c r="Z1058" s="14" t="str">
        <f>IF(ISBLANK(LCI_Table[[#This Row],[Notes for user]])," ",LCI_Table[[#This Row],[Notes for user]])</f>
        <v xml:space="preserve"> </v>
      </c>
      <c r="AA1058" s="14"/>
      <c r="AB1058" s="14"/>
      <c r="AC1058" s="346">
        <f ca="1">LCI_Table[[#This Row],[Default Calculated Value]]-LCI_Table[[#This Row],[Calculated Value]]</f>
        <v>0</v>
      </c>
    </row>
    <row r="1059" spans="1:29" x14ac:dyDescent="0.3">
      <c r="A10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(GREET)(blank)_Canola_Extraction_Forest_residueForest residue</v>
      </c>
      <c r="B1059" s="48" t="s">
        <v>1347</v>
      </c>
      <c r="C1059" s="14" t="s">
        <v>30</v>
      </c>
      <c r="D1059" s="14" t="s">
        <v>194</v>
      </c>
      <c r="E1059" s="14" t="s">
        <v>1349</v>
      </c>
      <c r="F1059" s="48" t="s">
        <v>31</v>
      </c>
      <c r="G1059" s="14" t="b">
        <f>OR(LCI_Table[[#This Row],[Feedstock]]="All",LCI_Table[[#This Row],[Feedstock]]=SelectedFeedstock)</f>
        <v>1</v>
      </c>
      <c r="H1059" s="14" t="b">
        <f>OR(LCI_Table[[#This Row],[Conversion]]="All",LCI_Table[[#This Row],[Conversion]]=SelectedConversion)</f>
        <v>1</v>
      </c>
      <c r="I1059" s="14" t="b">
        <f>OR(LCI_Table[[#This Row],[Data Set]]="all",LCI_Table[[#This Row],[Data Set]]=SelectedDataSet)</f>
        <v>0</v>
      </c>
      <c r="J1059" s="14" t="b">
        <f>OR(LCI_Table[[#This Row],[Technology]]="All",LCI_Table[[#This Row],[Technology]]=SelectedTechnology)</f>
        <v>1</v>
      </c>
      <c r="K1059" s="14" t="b">
        <f>OR(LCI_Table[[#This Row],[Data Source]]="All",LCI_Table[[#This Row],[Data Source]]=SelectedDataSource)</f>
        <v>0</v>
      </c>
      <c r="L1059" s="14" t="b">
        <f>TRUE</f>
        <v>1</v>
      </c>
      <c r="M1059" s="14" t="b">
        <f>(LCI_Table[[#This Row],[Dev Notes]]="Do not display")</f>
        <v>0</v>
      </c>
      <c r="N1059" s="14" t="b">
        <f>AND(LCI_Table[[#This Row],[Show Feedstock]:[Conditional]],NOT(LCI_Table[[#This Row],[Hide Row]]))</f>
        <v>0</v>
      </c>
      <c r="O1059" s="14" t="b">
        <f>LCI_Table[[#This Row],[GREET1 Name Range]]=""</f>
        <v>0</v>
      </c>
      <c r="P1059" s="14" t="s">
        <v>15</v>
      </c>
      <c r="Q1059" s="14" t="s">
        <v>481</v>
      </c>
      <c r="R1059" s="14" t="s">
        <v>316</v>
      </c>
      <c r="S1059" s="37" cm="1">
        <f t="array" aca="1" ref="S10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59" s="346" t="s">
        <v>2111</v>
      </c>
      <c r="U1059" s="347">
        <f ca="1">S1059*Fuel_Specs!$B$100*ton2lb</f>
        <v>0</v>
      </c>
      <c r="V1059" s="347">
        <v>0</v>
      </c>
      <c r="W1059" s="347">
        <v>0</v>
      </c>
      <c r="X1059" s="14" t="s">
        <v>12</v>
      </c>
      <c r="Y1059" s="346" t="s">
        <v>891</v>
      </c>
      <c r="Z1059" s="14" t="str">
        <f>IF(ISBLANK(LCI_Table[[#This Row],[Notes for user]])," ",LCI_Table[[#This Row],[Notes for user]])</f>
        <v xml:space="preserve"> </v>
      </c>
      <c r="AA1059" s="14"/>
      <c r="AB1059" s="14"/>
      <c r="AC1059" s="346">
        <f ca="1">LCI_Table[[#This Row],[Default Calculated Value]]-LCI_Table[[#This Row],[Calculated Value]]</f>
        <v>0</v>
      </c>
    </row>
    <row r="1060" spans="1:29" x14ac:dyDescent="0.3">
      <c r="A10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(GREET)(blank)_Canola_Extraction_Landfill_gasLandfill gas</v>
      </c>
      <c r="B1060" s="48" t="s">
        <v>1347</v>
      </c>
      <c r="C1060" s="14" t="s">
        <v>30</v>
      </c>
      <c r="D1060" s="14" t="s">
        <v>194</v>
      </c>
      <c r="E1060" s="14" t="s">
        <v>1349</v>
      </c>
      <c r="F1060" s="48" t="s">
        <v>31</v>
      </c>
      <c r="G1060" s="14" t="b">
        <f>OR(LCI_Table[[#This Row],[Feedstock]]="All",LCI_Table[[#This Row],[Feedstock]]=SelectedFeedstock)</f>
        <v>1</v>
      </c>
      <c r="H1060" s="14" t="b">
        <f>OR(LCI_Table[[#This Row],[Conversion]]="All",LCI_Table[[#This Row],[Conversion]]=SelectedConversion)</f>
        <v>1</v>
      </c>
      <c r="I1060" s="14" t="b">
        <f>OR(LCI_Table[[#This Row],[Data Set]]="all",LCI_Table[[#This Row],[Data Set]]=SelectedDataSet)</f>
        <v>0</v>
      </c>
      <c r="J1060" s="14" t="b">
        <f>OR(LCI_Table[[#This Row],[Technology]]="All",LCI_Table[[#This Row],[Technology]]=SelectedTechnology)</f>
        <v>1</v>
      </c>
      <c r="K1060" s="14" t="b">
        <f>OR(LCI_Table[[#This Row],[Data Source]]="All",LCI_Table[[#This Row],[Data Source]]=SelectedDataSource)</f>
        <v>0</v>
      </c>
      <c r="L1060" s="14" t="b">
        <f>TRUE</f>
        <v>1</v>
      </c>
      <c r="M1060" s="14" t="b">
        <f>(LCI_Table[[#This Row],[Dev Notes]]="Do not display")</f>
        <v>0</v>
      </c>
      <c r="N1060" s="14" t="b">
        <f>AND(LCI_Table[[#This Row],[Show Feedstock]:[Conditional]],NOT(LCI_Table[[#This Row],[Hide Row]]))</f>
        <v>0</v>
      </c>
      <c r="O1060" s="14" t="b">
        <f>LCI_Table[[#This Row],[GREET1 Name Range]]=""</f>
        <v>0</v>
      </c>
      <c r="P1060" s="14" t="s">
        <v>15</v>
      </c>
      <c r="Q1060" s="14" t="s">
        <v>483</v>
      </c>
      <c r="R1060" s="14" t="s">
        <v>130</v>
      </c>
      <c r="S1060" s="37" cm="1">
        <f t="array" aca="1" ref="S10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60" s="346" t="s">
        <v>2113</v>
      </c>
      <c r="U1060" s="347">
        <f ca="1">S1060*Fuel_Specs!$B$79</f>
        <v>0</v>
      </c>
      <c r="V1060" s="347">
        <v>0</v>
      </c>
      <c r="W1060" s="347">
        <v>0</v>
      </c>
      <c r="X1060" s="14" t="s">
        <v>351</v>
      </c>
      <c r="Y1060" s="346" t="s">
        <v>891</v>
      </c>
      <c r="Z1060" s="14" t="str">
        <f>IF(ISBLANK(LCI_Table[[#This Row],[Notes for user]])," ",LCI_Table[[#This Row],[Notes for user]])</f>
        <v xml:space="preserve"> </v>
      </c>
      <c r="AA1060" s="14"/>
      <c r="AB1060" s="14"/>
      <c r="AC1060" s="346">
        <f ca="1">LCI_Table[[#This Row],[Default Calculated Value]]-LCI_Table[[#This Row],[Calculated Value]]</f>
        <v>0</v>
      </c>
    </row>
    <row r="1061" spans="1:29" x14ac:dyDescent="0.3">
      <c r="A10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(GREET)(blank)_Canola_Oil_Extraction_Energy_AllocationAllocation factor</v>
      </c>
      <c r="B1061" s="48" t="s">
        <v>1347</v>
      </c>
      <c r="C1061" s="14" t="s">
        <v>30</v>
      </c>
      <c r="D1061" s="14" t="s">
        <v>194</v>
      </c>
      <c r="E1061" s="14" t="s">
        <v>1349</v>
      </c>
      <c r="F1061" s="48" t="s">
        <v>31</v>
      </c>
      <c r="G1061" s="14" t="b">
        <f>OR(LCI_Table[[#This Row],[Feedstock]]="All",LCI_Table[[#This Row],[Feedstock]]=SelectedFeedstock)</f>
        <v>1</v>
      </c>
      <c r="H1061" s="14" t="b">
        <f>OR(LCI_Table[[#This Row],[Conversion]]="All",LCI_Table[[#This Row],[Conversion]]=SelectedConversion)</f>
        <v>1</v>
      </c>
      <c r="I1061" s="14" t="b">
        <f>OR(LCI_Table[[#This Row],[Data Set]]="all",LCI_Table[[#This Row],[Data Set]]=SelectedDataSet)</f>
        <v>0</v>
      </c>
      <c r="J1061" s="14" t="b">
        <f>OR(LCI_Table[[#This Row],[Technology]]="All",LCI_Table[[#This Row],[Technology]]=SelectedTechnology)</f>
        <v>1</v>
      </c>
      <c r="K1061" s="14" t="b">
        <f>OR(LCI_Table[[#This Row],[Data Source]]="All",LCI_Table[[#This Row],[Data Source]]=SelectedDataSource)</f>
        <v>0</v>
      </c>
      <c r="L1061" s="14" t="b">
        <f>TRUE</f>
        <v>1</v>
      </c>
      <c r="M1061" s="14" t="b">
        <f>(LCI_Table[[#This Row],[Dev Notes]]="Do not display")</f>
        <v>0</v>
      </c>
      <c r="N1061" s="14" t="b">
        <f>AND(LCI_Table[[#This Row],[Show Feedstock]:[Conditional]],NOT(LCI_Table[[#This Row],[Hide Row]]))</f>
        <v>0</v>
      </c>
      <c r="O1061" s="14" t="b">
        <f>LCI_Table[[#This Row],[GREET1 Name Range]]=""</f>
        <v>0</v>
      </c>
      <c r="P1061" s="14" t="s">
        <v>15</v>
      </c>
      <c r="Q1061" s="14" t="s">
        <v>1107</v>
      </c>
      <c r="R1061" s="14" t="s">
        <v>1344</v>
      </c>
      <c r="S1061" s="37" cm="1">
        <f t="array" aca="1" ref="S10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71.455704922637509</v>
      </c>
      <c r="T1061" s="346" t="s">
        <v>1345</v>
      </c>
      <c r="U1061" s="347">
        <f ca="1">LCI_Table[[#This Row],[Dashboard Value]]/100</f>
        <v>0.71455704922637509</v>
      </c>
      <c r="V1061" s="347">
        <v>71.455704922637509</v>
      </c>
      <c r="W1061" s="347">
        <v>0.71455704922637509</v>
      </c>
      <c r="X1061" s="14" t="s">
        <v>1345</v>
      </c>
      <c r="Y1061" s="346" t="s">
        <v>891</v>
      </c>
      <c r="Z1061" s="14" t="str">
        <f>IF(ISBLANK(LCI_Table[[#This Row],[Notes for user]])," ",LCI_Table[[#This Row],[Notes for user]])</f>
        <v>Allocation to canola/rapeseed oil (energy allocation)</v>
      </c>
      <c r="AA1061" s="14" t="s">
        <v>1352</v>
      </c>
      <c r="AB1061" s="14"/>
      <c r="AC1061" s="346">
        <f ca="1">LCI_Table[[#This Row],[Default Calculated Value]]-LCI_Table[[#This Row],[Calculated Value]]</f>
        <v>0</v>
      </c>
    </row>
    <row r="1062" spans="1:29" x14ac:dyDescent="0.3">
      <c r="A10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(GREET)(blank)_HEFA_feed_usageCanola oil</v>
      </c>
      <c r="B1062" s="48" t="s">
        <v>1347</v>
      </c>
      <c r="C1062" s="14" t="s">
        <v>30</v>
      </c>
      <c r="D1062" s="14" t="s">
        <v>194</v>
      </c>
      <c r="E1062" s="14" t="s">
        <v>1349</v>
      </c>
      <c r="F1062" s="48" t="s">
        <v>31</v>
      </c>
      <c r="G1062" s="14" t="b">
        <f>OR(LCI_Table[[#This Row],[Feedstock]]="All",LCI_Table[[#This Row],[Feedstock]]=SelectedFeedstock)</f>
        <v>1</v>
      </c>
      <c r="H1062" s="14" t="b">
        <f>OR(LCI_Table[[#This Row],[Conversion]]="All",LCI_Table[[#This Row],[Conversion]]=SelectedConversion)</f>
        <v>1</v>
      </c>
      <c r="I1062" s="14" t="b">
        <f>OR(LCI_Table[[#This Row],[Data Set]]="all",LCI_Table[[#This Row],[Data Set]]=SelectedDataSet)</f>
        <v>0</v>
      </c>
      <c r="J1062" s="14" t="b">
        <f>OR(LCI_Table[[#This Row],[Technology]]="All",LCI_Table[[#This Row],[Technology]]=SelectedTechnology)</f>
        <v>1</v>
      </c>
      <c r="K1062" s="14" t="b">
        <f>OR(LCI_Table[[#This Row],[Data Source]]="All",LCI_Table[[#This Row],[Data Source]]=SelectedDataSource)</f>
        <v>0</v>
      </c>
      <c r="L1062" s="14" t="b">
        <f>TRUE</f>
        <v>1</v>
      </c>
      <c r="M1062" s="14" t="b">
        <f>(LCI_Table[[#This Row],[Dev Notes]]="Do not display")</f>
        <v>0</v>
      </c>
      <c r="N1062" s="14" t="b">
        <f>AND(LCI_Table[[#This Row],[Show Feedstock]:[Conditional]],NOT(LCI_Table[[#This Row],[Hide Row]]))</f>
        <v>0</v>
      </c>
      <c r="O1062" s="14" t="b">
        <f>LCI_Table[[#This Row],[GREET1 Name Range]]=""</f>
        <v>0</v>
      </c>
      <c r="P1062" s="14" t="s">
        <v>1448</v>
      </c>
      <c r="Q1062" s="14" t="s">
        <v>933</v>
      </c>
      <c r="R1062" s="14" t="s">
        <v>400</v>
      </c>
      <c r="S1062" s="37" cm="1">
        <f t="array" aca="1" ref="S10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67.105243036314235</v>
      </c>
      <c r="T1062" s="346" t="s">
        <v>2119</v>
      </c>
      <c r="U1062" s="347">
        <f ca="1">S1062*lb2g/Fuel_Specs!$E$48*Fuel_Specs!$B$48*BTU2mmBTU</f>
        <v>1.2722877150689311</v>
      </c>
      <c r="V1062" s="347">
        <v>67.105243036314235</v>
      </c>
      <c r="W1062" s="347">
        <v>1.2722877150689311</v>
      </c>
      <c r="X1062" s="14" t="s">
        <v>12</v>
      </c>
      <c r="Y1062" s="346" t="s">
        <v>416</v>
      </c>
      <c r="Z1062" s="14" t="str">
        <f>IF(ISBLANK(LCI_Table[[#This Row],[Notes for user]])," ",LCI_Table[[#This Row],[Notes for user]])</f>
        <v xml:space="preserve"> </v>
      </c>
      <c r="AA1062" s="358"/>
      <c r="AB1062" s="14"/>
      <c r="AC1062" s="346">
        <f ca="1">LCI_Table[[#This Row],[Default Calculated Value]]-LCI_Table[[#This Row],[Calculated Value]]</f>
        <v>0</v>
      </c>
    </row>
    <row r="1063" spans="1:29" x14ac:dyDescent="0.3">
      <c r="A10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(GREET)(blank)_Canola_HEFA_Natural_gasNatural gas</v>
      </c>
      <c r="B1063" s="48" t="s">
        <v>1347</v>
      </c>
      <c r="C1063" s="14" t="s">
        <v>30</v>
      </c>
      <c r="D1063" s="14" t="s">
        <v>194</v>
      </c>
      <c r="E1063" s="14" t="s">
        <v>1349</v>
      </c>
      <c r="F1063" s="48" t="s">
        <v>31</v>
      </c>
      <c r="G1063" s="14" t="b">
        <f>OR(LCI_Table[[#This Row],[Feedstock]]="All",LCI_Table[[#This Row],[Feedstock]]=SelectedFeedstock)</f>
        <v>1</v>
      </c>
      <c r="H1063" s="14" t="b">
        <f>OR(LCI_Table[[#This Row],[Conversion]]="All",LCI_Table[[#This Row],[Conversion]]=SelectedConversion)</f>
        <v>1</v>
      </c>
      <c r="I1063" s="14" t="b">
        <f>OR(LCI_Table[[#This Row],[Data Set]]="all",LCI_Table[[#This Row],[Data Set]]=SelectedDataSet)</f>
        <v>0</v>
      </c>
      <c r="J1063" s="14" t="b">
        <f>OR(LCI_Table[[#This Row],[Technology]]="All",LCI_Table[[#This Row],[Technology]]=SelectedTechnology)</f>
        <v>1</v>
      </c>
      <c r="K1063" s="14" t="b">
        <f>OR(LCI_Table[[#This Row],[Data Source]]="All",LCI_Table[[#This Row],[Data Source]]=SelectedDataSource)</f>
        <v>0</v>
      </c>
      <c r="L1063" s="14" t="b">
        <f>TRUE</f>
        <v>1</v>
      </c>
      <c r="M1063" s="14" t="b">
        <f>(LCI_Table[[#This Row],[Dev Notes]]="Do not display")</f>
        <v>0</v>
      </c>
      <c r="N1063" s="14" t="b">
        <f>AND(LCI_Table[[#This Row],[Show Feedstock]:[Conditional]],NOT(LCI_Table[[#This Row],[Hide Row]]))</f>
        <v>0</v>
      </c>
      <c r="O1063" s="14" t="b">
        <f>LCI_Table[[#This Row],[GREET1 Name Range]]=""</f>
        <v>0</v>
      </c>
      <c r="P1063" s="14" t="s">
        <v>1448</v>
      </c>
      <c r="Q1063" s="14" t="s">
        <v>503</v>
      </c>
      <c r="R1063" s="14" t="s">
        <v>108</v>
      </c>
      <c r="S1063" s="37" cm="1">
        <f t="array" aca="1" ref="S10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83.059355784356256</v>
      </c>
      <c r="T1063" s="346" t="s">
        <v>2120</v>
      </c>
      <c r="U1063" s="347">
        <f ca="1">S1063*lb2g/Fuel_Specs!$E$48*Fuel_Specs!$B$48*Fuel_Specs!$B$79*BTU2mmBTU</f>
        <v>1548.0000000000002</v>
      </c>
      <c r="V1063" s="347">
        <v>83.059355784356256</v>
      </c>
      <c r="W1063" s="347">
        <v>1548.0000000000002</v>
      </c>
      <c r="X1063" s="14" t="s">
        <v>351</v>
      </c>
      <c r="Y1063" s="346" t="s">
        <v>416</v>
      </c>
      <c r="Z1063" s="14" t="str">
        <f>IF(ISBLANK(LCI_Table[[#This Row],[Notes for user]])," ",LCI_Table[[#This Row],[Notes for user]])</f>
        <v xml:space="preserve"> </v>
      </c>
      <c r="AA1063" s="14"/>
      <c r="AB1063" s="14"/>
      <c r="AC1063" s="346">
        <f ca="1">LCI_Table[[#This Row],[Default Calculated Value]]-LCI_Table[[#This Row],[Calculated Value]]</f>
        <v>0</v>
      </c>
    </row>
    <row r="1064" spans="1:29" x14ac:dyDescent="0.3">
      <c r="A10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(GREET)(blank)_Canola_HEFA_ElectricityGrid Electricity</v>
      </c>
      <c r="B1064" s="48" t="s">
        <v>1347</v>
      </c>
      <c r="C1064" s="14" t="s">
        <v>30</v>
      </c>
      <c r="D1064" s="14" t="s">
        <v>194</v>
      </c>
      <c r="E1064" s="14" t="s">
        <v>1349</v>
      </c>
      <c r="F1064" s="48" t="s">
        <v>31</v>
      </c>
      <c r="G1064" s="14" t="b">
        <f>OR(LCI_Table[[#This Row],[Feedstock]]="All",LCI_Table[[#This Row],[Feedstock]]=SelectedFeedstock)</f>
        <v>1</v>
      </c>
      <c r="H1064" s="14" t="b">
        <f>OR(LCI_Table[[#This Row],[Conversion]]="All",LCI_Table[[#This Row],[Conversion]]=SelectedConversion)</f>
        <v>1</v>
      </c>
      <c r="I1064" s="14" t="b">
        <f>OR(LCI_Table[[#This Row],[Data Set]]="all",LCI_Table[[#This Row],[Data Set]]=SelectedDataSet)</f>
        <v>0</v>
      </c>
      <c r="J1064" s="14" t="b">
        <f>OR(LCI_Table[[#This Row],[Technology]]="All",LCI_Table[[#This Row],[Technology]]=SelectedTechnology)</f>
        <v>1</v>
      </c>
      <c r="K1064" s="14" t="b">
        <f>OR(LCI_Table[[#This Row],[Data Source]]="All",LCI_Table[[#This Row],[Data Source]]=SelectedDataSource)</f>
        <v>0</v>
      </c>
      <c r="L1064" s="14" t="b">
        <f>TRUE</f>
        <v>1</v>
      </c>
      <c r="M1064" s="14" t="b">
        <f>(LCI_Table[[#This Row],[Dev Notes]]="Do not display")</f>
        <v>0</v>
      </c>
      <c r="N1064" s="14" t="b">
        <f>AND(LCI_Table[[#This Row],[Show Feedstock]:[Conditional]],NOT(LCI_Table[[#This Row],[Hide Row]]))</f>
        <v>0</v>
      </c>
      <c r="O1064" s="14" t="b">
        <f>LCI_Table[[#This Row],[GREET1 Name Range]]=""</f>
        <v>0</v>
      </c>
      <c r="P1064" s="14" t="s">
        <v>1448</v>
      </c>
      <c r="Q1064" s="14" t="s">
        <v>501</v>
      </c>
      <c r="R1064" s="14" t="s">
        <v>1684</v>
      </c>
      <c r="S1064" s="37" cm="1">
        <f t="array" aca="1" ref="S10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1.3556377760028697</v>
      </c>
      <c r="T1064" s="346" t="s">
        <v>2121</v>
      </c>
      <c r="U1064" s="347">
        <f ca="1">S1064*lb2g/Fuel_Specs!$E$48*Fuel_Specs!$B$48/BTU2kWh*BTU2mmBTU</f>
        <v>87.699999999999974</v>
      </c>
      <c r="V1064" s="347">
        <v>1.3556377760028697</v>
      </c>
      <c r="W1064" s="347">
        <v>87.699999999999974</v>
      </c>
      <c r="X1064" s="14" t="s">
        <v>51</v>
      </c>
      <c r="Y1064" s="346" t="s">
        <v>416</v>
      </c>
      <c r="Z1064" s="14" t="str">
        <f>IF(ISBLANK(LCI_Table[[#This Row],[Notes for user]])," ",LCI_Table[[#This Row],[Notes for user]])</f>
        <v xml:space="preserve"> </v>
      </c>
      <c r="AA1064" s="14"/>
      <c r="AB1064" s="14"/>
      <c r="AC1064" s="346">
        <f ca="1">LCI_Table[[#This Row],[Default Calculated Value]]-LCI_Table[[#This Row],[Calculated Value]]</f>
        <v>0</v>
      </c>
    </row>
    <row r="1065" spans="1:29" x14ac:dyDescent="0.3">
      <c r="A10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(GREET)(blank)_Canola_HEFA_HydrogenHydrogen</v>
      </c>
      <c r="B1065" s="48" t="s">
        <v>1347</v>
      </c>
      <c r="C1065" s="14" t="s">
        <v>30</v>
      </c>
      <c r="D1065" s="14" t="s">
        <v>194</v>
      </c>
      <c r="E1065" s="14" t="s">
        <v>1349</v>
      </c>
      <c r="F1065" s="48" t="s">
        <v>31</v>
      </c>
      <c r="G1065" s="14" t="b">
        <f>OR(LCI_Table[[#This Row],[Feedstock]]="All",LCI_Table[[#This Row],[Feedstock]]=SelectedFeedstock)</f>
        <v>1</v>
      </c>
      <c r="H1065" s="14" t="b">
        <f>OR(LCI_Table[[#This Row],[Conversion]]="All",LCI_Table[[#This Row],[Conversion]]=SelectedConversion)</f>
        <v>1</v>
      </c>
      <c r="I1065" s="14" t="b">
        <f>OR(LCI_Table[[#This Row],[Data Set]]="all",LCI_Table[[#This Row],[Data Set]]=SelectedDataSet)</f>
        <v>0</v>
      </c>
      <c r="J1065" s="14" t="b">
        <f>OR(LCI_Table[[#This Row],[Technology]]="All",LCI_Table[[#This Row],[Technology]]=SelectedTechnology)</f>
        <v>1</v>
      </c>
      <c r="K1065" s="14" t="b">
        <f>OR(LCI_Table[[#This Row],[Data Source]]="All",LCI_Table[[#This Row],[Data Source]]=SelectedDataSource)</f>
        <v>0</v>
      </c>
      <c r="L1065" s="14" t="b">
        <f>TRUE</f>
        <v>1</v>
      </c>
      <c r="M1065" s="14" t="b">
        <f>(LCI_Table[[#This Row],[Dev Notes]]="Do not display")</f>
        <v>0</v>
      </c>
      <c r="N1065" s="14" t="b">
        <f>AND(LCI_Table[[#This Row],[Show Feedstock]:[Conditional]],NOT(LCI_Table[[#This Row],[Hide Row]]))</f>
        <v>0</v>
      </c>
      <c r="O1065" s="14" t="b">
        <f>LCI_Table[[#This Row],[GREET1 Name Range]]=""</f>
        <v>0</v>
      </c>
      <c r="P1065" s="14" t="s">
        <v>1448</v>
      </c>
      <c r="Q1065" s="14" t="s">
        <v>502</v>
      </c>
      <c r="R1065" s="14" t="s">
        <v>73</v>
      </c>
      <c r="S1065" s="37" cm="1">
        <f t="array" aca="1" ref="S10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315.73508405447421</v>
      </c>
      <c r="T1065" s="346" t="s">
        <v>2120</v>
      </c>
      <c r="U1065" s="347">
        <f ca="1">S1065*lb2g/Fuel_Specs!$E$48*Fuel_Specs!$B$48*Fuel_Specs!$B$81*BTU2mmBTU</f>
        <v>1736.0000000000007</v>
      </c>
      <c r="V1065" s="347">
        <v>315.73508405447421</v>
      </c>
      <c r="W1065" s="347">
        <v>1736.0000000000007</v>
      </c>
      <c r="X1065" s="14" t="s">
        <v>351</v>
      </c>
      <c r="Y1065" s="346" t="s">
        <v>416</v>
      </c>
      <c r="Z1065" s="14" t="str">
        <f>IF(ISBLANK(LCI_Table[[#This Row],[Notes for user]])," ",LCI_Table[[#This Row],[Notes for user]])</f>
        <v xml:space="preserve"> </v>
      </c>
      <c r="AA1065" s="14"/>
      <c r="AB1065" s="14"/>
      <c r="AC1065" s="346">
        <f ca="1">LCI_Table[[#This Row],[Default Calculated Value]]-LCI_Table[[#This Row],[Calculated Value]]</f>
        <v>0</v>
      </c>
    </row>
    <row r="1066" spans="1:29" x14ac:dyDescent="0.3">
      <c r="A10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Canola/RapeseedHEFAICAOUS (GREET)(blank)_Canola_Oil_HEFA_Energy_AllocationAllocation factor</v>
      </c>
      <c r="B1066" s="48" t="s">
        <v>1347</v>
      </c>
      <c r="C1066" s="14" t="s">
        <v>30</v>
      </c>
      <c r="D1066" s="14" t="s">
        <v>194</v>
      </c>
      <c r="E1066" s="14" t="s">
        <v>1349</v>
      </c>
      <c r="F1066" s="48" t="s">
        <v>31</v>
      </c>
      <c r="G1066" s="14" t="b">
        <f>OR(LCI_Table[[#This Row],[Feedstock]]="All",LCI_Table[[#This Row],[Feedstock]]=SelectedFeedstock)</f>
        <v>1</v>
      </c>
      <c r="H1066" s="14" t="b">
        <f>OR(LCI_Table[[#This Row],[Conversion]]="All",LCI_Table[[#This Row],[Conversion]]=SelectedConversion)</f>
        <v>1</v>
      </c>
      <c r="I1066" s="14" t="b">
        <f>OR(LCI_Table[[#This Row],[Data Set]]="all",LCI_Table[[#This Row],[Data Set]]=SelectedDataSet)</f>
        <v>0</v>
      </c>
      <c r="J1066" s="14" t="b">
        <f>OR(LCI_Table[[#This Row],[Technology]]="All",LCI_Table[[#This Row],[Technology]]=SelectedTechnology)</f>
        <v>1</v>
      </c>
      <c r="K1066" s="14" t="b">
        <f>OR(LCI_Table[[#This Row],[Data Source]]="All",LCI_Table[[#This Row],[Data Source]]=SelectedDataSource)</f>
        <v>0</v>
      </c>
      <c r="L1066" s="14" t="b">
        <f>TRUE</f>
        <v>1</v>
      </c>
      <c r="M1066" s="14" t="b">
        <f>(LCI_Table[[#This Row],[Dev Notes]]="Do not display")</f>
        <v>0</v>
      </c>
      <c r="N1066" s="14" t="b">
        <f>AND(LCI_Table[[#This Row],[Show Feedstock]:[Conditional]],NOT(LCI_Table[[#This Row],[Hide Row]]))</f>
        <v>0</v>
      </c>
      <c r="O1066" s="14" t="b">
        <f>LCI_Table[[#This Row],[GREET1 Name Range]]=""</f>
        <v>0</v>
      </c>
      <c r="P1066" s="14" t="s">
        <v>1448</v>
      </c>
      <c r="Q1066" s="14" t="s">
        <v>1117</v>
      </c>
      <c r="R1066" s="14" t="s">
        <v>1344</v>
      </c>
      <c r="S1066" s="37" cm="1">
        <f t="array" aca="1" ref="S10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91.298522130594534</v>
      </c>
      <c r="T1066" s="346" t="s">
        <v>1345</v>
      </c>
      <c r="U1066" s="347">
        <f ca="1">LCI_Table[[#This Row],[Dashboard Value]]/100</f>
        <v>0.91298522130594539</v>
      </c>
      <c r="V1066" s="351">
        <v>91.298522130594534</v>
      </c>
      <c r="W1066" s="351">
        <v>0.91298522130594539</v>
      </c>
      <c r="X1066" s="14" t="s">
        <v>1345</v>
      </c>
      <c r="Y1066" s="346" t="s">
        <v>416</v>
      </c>
      <c r="Z1066" s="14" t="str">
        <f>IF(ISBLANK(LCI_Table[[#This Row],[Notes for user]])," ",LCI_Table[[#This Row],[Notes for user]])</f>
        <v>Allocation to main distillate fuels (energy allocation)</v>
      </c>
      <c r="AA1066" s="14" t="s">
        <v>1353</v>
      </c>
      <c r="AB1066" s="14"/>
      <c r="AC1066" s="346">
        <f ca="1">LCI_Table[[#This Row],[Default Calculated Value]]-LCI_Table[[#This Row],[Calculated Value]]</f>
        <v>0</v>
      </c>
    </row>
    <row r="1067" spans="1:29" x14ac:dyDescent="0.3">
      <c r="A10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dash_Canola/RapeseedHEFAICAOBioGrace (EU)(blank)_Yield_Farming</v>
      </c>
      <c r="B1067" s="48" t="s">
        <v>1347</v>
      </c>
      <c r="C1067" s="48" t="s">
        <v>30</v>
      </c>
      <c r="D1067" s="48" t="s">
        <v>194</v>
      </c>
      <c r="E1067" s="48" t="s">
        <v>368</v>
      </c>
      <c r="F1067" s="48" t="s">
        <v>31</v>
      </c>
      <c r="G1067" s="14" t="b">
        <f>OR(LCI_Table[[#This Row],[Feedstock]]="All",LCI_Table[[#This Row],[Feedstock]]=SelectedFeedstock)</f>
        <v>1</v>
      </c>
      <c r="H1067" s="14" t="b">
        <f>OR(LCI_Table[[#This Row],[Conversion]]="All",LCI_Table[[#This Row],[Conversion]]=SelectedConversion)</f>
        <v>1</v>
      </c>
      <c r="I1067" s="14" t="b">
        <f>OR(LCI_Table[[#This Row],[Data Set]]="all",LCI_Table[[#This Row],[Data Set]]=SelectedDataSet)</f>
        <v>0</v>
      </c>
      <c r="J1067" s="14" t="b">
        <f>OR(LCI_Table[[#This Row],[Technology]]="All",LCI_Table[[#This Row],[Technology]]=SelectedTechnology)</f>
        <v>1</v>
      </c>
      <c r="K1067" s="14" t="b">
        <f>OR(LCI_Table[[#This Row],[Data Source]]="All",LCI_Table[[#This Row],[Data Source]]=SelectedDataSource)</f>
        <v>0</v>
      </c>
      <c r="L1067" s="14" t="b">
        <f>TRUE</f>
        <v>1</v>
      </c>
      <c r="M1067" s="14" t="b">
        <f>(LCI_Table[[#This Row],[Dev Notes]]="Do not display")</f>
        <v>0</v>
      </c>
      <c r="N1067" s="14" t="b">
        <f>AND(LCI_Table[[#This Row],[Show Feedstock]:[Conditional]],NOT(LCI_Table[[#This Row],[Hide Row]]))</f>
        <v>0</v>
      </c>
      <c r="O1067" s="14" t="b">
        <f>LCI_Table[[#This Row],[GREET1 Name Range]]=""</f>
        <v>1</v>
      </c>
      <c r="P1067" s="48" t="s">
        <v>14</v>
      </c>
      <c r="Q1067" s="14" t="s">
        <v>361</v>
      </c>
      <c r="R1067" s="48" t="s">
        <v>200</v>
      </c>
      <c r="S1067" s="37" cm="1">
        <f t="array" aca="1" ref="S10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0.65100000000000002</v>
      </c>
      <c r="T1067" s="346" t="s">
        <v>2116</v>
      </c>
      <c r="U1067" s="344"/>
      <c r="V1067" s="353">
        <v>0.65100000000000002</v>
      </c>
      <c r="W1067" s="344"/>
      <c r="X1067" s="48" t="s">
        <v>55</v>
      </c>
      <c r="Y1067" s="346" t="s">
        <v>413</v>
      </c>
      <c r="Z1067" s="14" t="str">
        <f>IF(ISBLANK(LCI_Table[[#This Row],[Notes for user]])," ",LCI_Table[[#This Row],[Notes for user]])</f>
        <v>USDA (2021 data)</v>
      </c>
      <c r="AA1067" s="48" t="s">
        <v>915</v>
      </c>
      <c r="AB1067" s="345"/>
      <c r="AC1067" s="346">
        <f>LCI_Table[[#This Row],[Default Calculated Value]]-LCI_Table[[#This Row],[Calculated Value]]</f>
        <v>0</v>
      </c>
    </row>
    <row r="1068" spans="1:29" x14ac:dyDescent="0.3">
      <c r="A10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(EU)(blank)_Canola_Farming_Nitrogen_fertilizerNitrogen fertilizer</v>
      </c>
      <c r="B1068" s="48" t="s">
        <v>1347</v>
      </c>
      <c r="C1068" s="14" t="s">
        <v>30</v>
      </c>
      <c r="D1068" s="14" t="s">
        <v>194</v>
      </c>
      <c r="E1068" s="14" t="s">
        <v>368</v>
      </c>
      <c r="F1068" s="48" t="s">
        <v>31</v>
      </c>
      <c r="G1068" s="14" t="b">
        <f>OR(LCI_Table[[#This Row],[Feedstock]]="All",LCI_Table[[#This Row],[Feedstock]]=SelectedFeedstock)</f>
        <v>1</v>
      </c>
      <c r="H1068" s="14" t="b">
        <f>OR(LCI_Table[[#This Row],[Conversion]]="All",LCI_Table[[#This Row],[Conversion]]=SelectedConversion)</f>
        <v>1</v>
      </c>
      <c r="I1068" s="14" t="b">
        <f>OR(LCI_Table[[#This Row],[Data Set]]="all",LCI_Table[[#This Row],[Data Set]]=SelectedDataSet)</f>
        <v>0</v>
      </c>
      <c r="J1068" s="14" t="b">
        <f>OR(LCI_Table[[#This Row],[Technology]]="All",LCI_Table[[#This Row],[Technology]]=SelectedTechnology)</f>
        <v>1</v>
      </c>
      <c r="K1068" s="14" t="b">
        <f>OR(LCI_Table[[#This Row],[Data Source]]="All",LCI_Table[[#This Row],[Data Source]]=SelectedDataSource)</f>
        <v>0</v>
      </c>
      <c r="L1068" s="14" t="b">
        <f>TRUE</f>
        <v>1</v>
      </c>
      <c r="M1068" s="14" t="b">
        <f>(LCI_Table[[#This Row],[Dev Notes]]="Do not display")</f>
        <v>0</v>
      </c>
      <c r="N1068" s="14" t="b">
        <f>AND(LCI_Table[[#This Row],[Show Feedstock]:[Conditional]],NOT(LCI_Table[[#This Row],[Hide Row]]))</f>
        <v>0</v>
      </c>
      <c r="O1068" s="14" t="b">
        <f>LCI_Table[[#This Row],[GREET1 Name Range]]=""</f>
        <v>0</v>
      </c>
      <c r="P1068" s="14" t="s">
        <v>14</v>
      </c>
      <c r="Q1068" s="14" t="s">
        <v>498</v>
      </c>
      <c r="R1068" s="14" t="s">
        <v>111</v>
      </c>
      <c r="S1068" s="37" cm="1">
        <f t="array" aca="1" ref="S10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63.407400000000003</v>
      </c>
      <c r="T1068" s="346" t="s">
        <v>1485</v>
      </c>
      <c r="U1068" s="347">
        <f ca="1">S1068/g2lb/S1067*MT2ton</f>
        <v>48699.999999999898</v>
      </c>
      <c r="V1068" s="347">
        <v>63.407400000000003</v>
      </c>
      <c r="W1068" s="347">
        <v>48699.999999999898</v>
      </c>
      <c r="X1068" s="14" t="s">
        <v>12</v>
      </c>
      <c r="Y1068" s="346" t="s">
        <v>413</v>
      </c>
      <c r="Z1068" s="14" t="str">
        <f>IF(ISBLANK(LCI_Table[[#This Row],[Notes for user]])," ",LCI_Table[[#This Row],[Notes for user]])</f>
        <v xml:space="preserve"> </v>
      </c>
      <c r="AA1068" s="14"/>
      <c r="AB1068" s="14"/>
      <c r="AC1068" s="346">
        <f ca="1">LCI_Table[[#This Row],[Default Calculated Value]]-LCI_Table[[#This Row],[Calculated Value]]</f>
        <v>0</v>
      </c>
    </row>
    <row r="1069" spans="1:29" x14ac:dyDescent="0.3">
      <c r="A10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(EU)(blank)_Canola_Farming_P2O5P2O5</v>
      </c>
      <c r="B1069" s="48" t="s">
        <v>1347</v>
      </c>
      <c r="C1069" s="14" t="s">
        <v>30</v>
      </c>
      <c r="D1069" s="14" t="s">
        <v>194</v>
      </c>
      <c r="E1069" s="14" t="s">
        <v>368</v>
      </c>
      <c r="F1069" s="48" t="s">
        <v>31</v>
      </c>
      <c r="G1069" s="14" t="b">
        <f>OR(LCI_Table[[#This Row],[Feedstock]]="All",LCI_Table[[#This Row],[Feedstock]]=SelectedFeedstock)</f>
        <v>1</v>
      </c>
      <c r="H1069" s="14" t="b">
        <f>OR(LCI_Table[[#This Row],[Conversion]]="All",LCI_Table[[#This Row],[Conversion]]=SelectedConversion)</f>
        <v>1</v>
      </c>
      <c r="I1069" s="14" t="b">
        <f>OR(LCI_Table[[#This Row],[Data Set]]="all",LCI_Table[[#This Row],[Data Set]]=SelectedDataSet)</f>
        <v>0</v>
      </c>
      <c r="J1069" s="14" t="b">
        <f>OR(LCI_Table[[#This Row],[Technology]]="All",LCI_Table[[#This Row],[Technology]]=SelectedTechnology)</f>
        <v>1</v>
      </c>
      <c r="K1069" s="14" t="b">
        <f>OR(LCI_Table[[#This Row],[Data Source]]="All",LCI_Table[[#This Row],[Data Source]]=SelectedDataSource)</f>
        <v>0</v>
      </c>
      <c r="L1069" s="14" t="b">
        <f>TRUE</f>
        <v>1</v>
      </c>
      <c r="M1069" s="14" t="b">
        <f>(LCI_Table[[#This Row],[Dev Notes]]="Do not display")</f>
        <v>0</v>
      </c>
      <c r="N1069" s="14" t="b">
        <f>AND(LCI_Table[[#This Row],[Show Feedstock]:[Conditional]],NOT(LCI_Table[[#This Row],[Hide Row]]))</f>
        <v>0</v>
      </c>
      <c r="O1069" s="14" t="b">
        <f>LCI_Table[[#This Row],[GREET1 Name Range]]=""</f>
        <v>0</v>
      </c>
      <c r="P1069" s="14" t="s">
        <v>14</v>
      </c>
      <c r="Q1069" s="14" t="s">
        <v>499</v>
      </c>
      <c r="R1069" s="14" t="s">
        <v>112</v>
      </c>
      <c r="S1069" s="37" cm="1">
        <f t="array" aca="1" ref="S10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15.623999999999999</v>
      </c>
      <c r="T1069" s="346" t="s">
        <v>1485</v>
      </c>
      <c r="U1069" s="347">
        <f ca="1">S1069/g2lb/S1067*MT2ton</f>
        <v>11999.999999999973</v>
      </c>
      <c r="V1069" s="347">
        <v>15.623999999999999</v>
      </c>
      <c r="W1069" s="347">
        <v>11999.999999999973</v>
      </c>
      <c r="X1069" s="14" t="s">
        <v>12</v>
      </c>
      <c r="Y1069" s="346" t="s">
        <v>413</v>
      </c>
      <c r="Z1069" s="14" t="str">
        <f>IF(ISBLANK(LCI_Table[[#This Row],[Notes for user]])," ",LCI_Table[[#This Row],[Notes for user]])</f>
        <v xml:space="preserve"> </v>
      </c>
      <c r="AA1069" s="14"/>
      <c r="AB1069" s="14"/>
      <c r="AC1069" s="346">
        <f ca="1">LCI_Table[[#This Row],[Default Calculated Value]]-LCI_Table[[#This Row],[Calculated Value]]</f>
        <v>0</v>
      </c>
    </row>
    <row r="1070" spans="1:29" x14ac:dyDescent="0.3">
      <c r="A10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(EU)(blank)_Canola_Farming_K2OK2O</v>
      </c>
      <c r="B1070" s="48" t="s">
        <v>1347</v>
      </c>
      <c r="C1070" s="14" t="s">
        <v>30</v>
      </c>
      <c r="D1070" s="14" t="s">
        <v>194</v>
      </c>
      <c r="E1070" s="14" t="s">
        <v>368</v>
      </c>
      <c r="F1070" s="48" t="s">
        <v>31</v>
      </c>
      <c r="G1070" s="14" t="b">
        <f>OR(LCI_Table[[#This Row],[Feedstock]]="All",LCI_Table[[#This Row],[Feedstock]]=SelectedFeedstock)</f>
        <v>1</v>
      </c>
      <c r="H1070" s="14" t="b">
        <f>OR(LCI_Table[[#This Row],[Conversion]]="All",LCI_Table[[#This Row],[Conversion]]=SelectedConversion)</f>
        <v>1</v>
      </c>
      <c r="I1070" s="14" t="b">
        <f>OR(LCI_Table[[#This Row],[Data Set]]="all",LCI_Table[[#This Row],[Data Set]]=SelectedDataSet)</f>
        <v>0</v>
      </c>
      <c r="J1070" s="14" t="b">
        <f>OR(LCI_Table[[#This Row],[Technology]]="All",LCI_Table[[#This Row],[Technology]]=SelectedTechnology)</f>
        <v>1</v>
      </c>
      <c r="K1070" s="14" t="b">
        <f>OR(LCI_Table[[#This Row],[Data Source]]="All",LCI_Table[[#This Row],[Data Source]]=SelectedDataSource)</f>
        <v>0</v>
      </c>
      <c r="L1070" s="14" t="b">
        <f>TRUE</f>
        <v>1</v>
      </c>
      <c r="M1070" s="14" t="b">
        <f>(LCI_Table[[#This Row],[Dev Notes]]="Do not display")</f>
        <v>0</v>
      </c>
      <c r="N1070" s="14" t="b">
        <f>AND(LCI_Table[[#This Row],[Show Feedstock]:[Conditional]],NOT(LCI_Table[[#This Row],[Hide Row]]))</f>
        <v>0</v>
      </c>
      <c r="O1070" s="14" t="b">
        <f>LCI_Table[[#This Row],[GREET1 Name Range]]=""</f>
        <v>0</v>
      </c>
      <c r="P1070" s="14" t="s">
        <v>14</v>
      </c>
      <c r="Q1070" s="14" t="s">
        <v>495</v>
      </c>
      <c r="R1070" s="14" t="s">
        <v>113</v>
      </c>
      <c r="S1070" s="37" cm="1">
        <f t="array" aca="1" ref="S10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22.915200000000002</v>
      </c>
      <c r="T1070" s="346" t="s">
        <v>1485</v>
      </c>
      <c r="U1070" s="347">
        <f ca="1">S1070/g2lb/S1067*MT2ton</f>
        <v>17599.999999999964</v>
      </c>
      <c r="V1070" s="347">
        <v>22.915200000000002</v>
      </c>
      <c r="W1070" s="347">
        <v>17599.999999999964</v>
      </c>
      <c r="X1070" s="14" t="s">
        <v>12</v>
      </c>
      <c r="Y1070" s="346" t="s">
        <v>413</v>
      </c>
      <c r="Z1070" s="14" t="str">
        <f>IF(ISBLANK(LCI_Table[[#This Row],[Notes for user]])," ",LCI_Table[[#This Row],[Notes for user]])</f>
        <v xml:space="preserve"> </v>
      </c>
      <c r="AA1070" s="14"/>
      <c r="AB1070" s="14"/>
      <c r="AC1070" s="346">
        <f ca="1">LCI_Table[[#This Row],[Default Calculated Value]]-LCI_Table[[#This Row],[Calculated Value]]</f>
        <v>0</v>
      </c>
    </row>
    <row r="1071" spans="1:29" x14ac:dyDescent="0.3">
      <c r="A10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(EU)(blank)_Canola_Farming_CaCO3CaCO3</v>
      </c>
      <c r="B1071" s="48" t="s">
        <v>1347</v>
      </c>
      <c r="C1071" s="14" t="s">
        <v>30</v>
      </c>
      <c r="D1071" s="14" t="s">
        <v>194</v>
      </c>
      <c r="E1071" s="14" t="s">
        <v>368</v>
      </c>
      <c r="F1071" s="48" t="s">
        <v>31</v>
      </c>
      <c r="G1071" s="14" t="b">
        <f>OR(LCI_Table[[#This Row],[Feedstock]]="All",LCI_Table[[#This Row],[Feedstock]]=SelectedFeedstock)</f>
        <v>1</v>
      </c>
      <c r="H1071" s="14" t="b">
        <f>OR(LCI_Table[[#This Row],[Conversion]]="All",LCI_Table[[#This Row],[Conversion]]=SelectedConversion)</f>
        <v>1</v>
      </c>
      <c r="I1071" s="14" t="b">
        <f>OR(LCI_Table[[#This Row],[Data Set]]="all",LCI_Table[[#This Row],[Data Set]]=SelectedDataSet)</f>
        <v>0</v>
      </c>
      <c r="J1071" s="14" t="b">
        <f>OR(LCI_Table[[#This Row],[Technology]]="All",LCI_Table[[#This Row],[Technology]]=SelectedTechnology)</f>
        <v>1</v>
      </c>
      <c r="K1071" s="14" t="b">
        <f>OR(LCI_Table[[#This Row],[Data Source]]="All",LCI_Table[[#This Row],[Data Source]]=SelectedDataSource)</f>
        <v>0</v>
      </c>
      <c r="L1071" s="14" t="b">
        <f>TRUE</f>
        <v>1</v>
      </c>
      <c r="M1071" s="14" t="b">
        <f>(LCI_Table[[#This Row],[Dev Notes]]="Do not display")</f>
        <v>0</v>
      </c>
      <c r="N1071" s="14" t="b">
        <f>AND(LCI_Table[[#This Row],[Show Feedstock]:[Conditional]],NOT(LCI_Table[[#This Row],[Hide Row]]))</f>
        <v>0</v>
      </c>
      <c r="O1071" s="14" t="b">
        <f>LCI_Table[[#This Row],[GREET1 Name Range]]=""</f>
        <v>0</v>
      </c>
      <c r="P1071" s="14" t="s">
        <v>14</v>
      </c>
      <c r="Q1071" s="14" t="s">
        <v>488</v>
      </c>
      <c r="R1071" s="14" t="s">
        <v>141</v>
      </c>
      <c r="S1071" s="37" cm="1">
        <f t="array" aca="1" ref="S10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15.623999999999999</v>
      </c>
      <c r="T1071" s="346" t="s">
        <v>1485</v>
      </c>
      <c r="U1071" s="347">
        <f ca="1">S1071/g2lb/S1067*MT2ton</f>
        <v>11999.999999999973</v>
      </c>
      <c r="V1071" s="347">
        <v>15.623999999999999</v>
      </c>
      <c r="W1071" s="347">
        <v>11999.999999999973</v>
      </c>
      <c r="X1071" s="14" t="s">
        <v>12</v>
      </c>
      <c r="Y1071" s="346" t="s">
        <v>413</v>
      </c>
      <c r="Z1071" s="14" t="str">
        <f>IF(ISBLANK(LCI_Table[[#This Row],[Notes for user]])," ",LCI_Table[[#This Row],[Notes for user]])</f>
        <v xml:space="preserve"> </v>
      </c>
      <c r="AA1071" s="14"/>
      <c r="AB1071" s="14"/>
      <c r="AC1071" s="346">
        <f ca="1">LCI_Table[[#This Row],[Default Calculated Value]]-LCI_Table[[#This Row],[Calculated Value]]</f>
        <v>0</v>
      </c>
    </row>
    <row r="1072" spans="1:29" x14ac:dyDescent="0.3">
      <c r="A10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(EU)(blank)_Canola_Farming_HerbicidesHerbicides</v>
      </c>
      <c r="B1072" s="48" t="s">
        <v>1347</v>
      </c>
      <c r="C1072" s="14" t="s">
        <v>30</v>
      </c>
      <c r="D1072" s="14" t="s">
        <v>194</v>
      </c>
      <c r="E1072" s="14" t="s">
        <v>368</v>
      </c>
      <c r="F1072" s="48" t="s">
        <v>31</v>
      </c>
      <c r="G1072" s="14" t="b">
        <f>OR(LCI_Table[[#This Row],[Feedstock]]="All",LCI_Table[[#This Row],[Feedstock]]=SelectedFeedstock)</f>
        <v>1</v>
      </c>
      <c r="H1072" s="14" t="b">
        <f>OR(LCI_Table[[#This Row],[Conversion]]="All",LCI_Table[[#This Row],[Conversion]]=SelectedConversion)</f>
        <v>1</v>
      </c>
      <c r="I1072" s="14" t="b">
        <f>OR(LCI_Table[[#This Row],[Data Set]]="all",LCI_Table[[#This Row],[Data Set]]=SelectedDataSet)</f>
        <v>0</v>
      </c>
      <c r="J1072" s="14" t="b">
        <f>OR(LCI_Table[[#This Row],[Technology]]="All",LCI_Table[[#This Row],[Technology]]=SelectedTechnology)</f>
        <v>1</v>
      </c>
      <c r="K1072" s="14" t="b">
        <f>OR(LCI_Table[[#This Row],[Data Source]]="All",LCI_Table[[#This Row],[Data Source]]=SelectedDataSource)</f>
        <v>0</v>
      </c>
      <c r="L1072" s="14" t="b">
        <f>TRUE</f>
        <v>1</v>
      </c>
      <c r="M1072" s="14" t="b">
        <f>(LCI_Table[[#This Row],[Dev Notes]]="Do not display")</f>
        <v>0</v>
      </c>
      <c r="N1072" s="14" t="b">
        <f>AND(LCI_Table[[#This Row],[Show Feedstock]:[Conditional]],NOT(LCI_Table[[#This Row],[Hide Row]]))</f>
        <v>0</v>
      </c>
      <c r="O1072" s="14" t="b">
        <f>LCI_Table[[#This Row],[GREET1 Name Range]]=""</f>
        <v>0</v>
      </c>
      <c r="P1072" s="14" t="s">
        <v>14</v>
      </c>
      <c r="Q1072" s="14" t="s">
        <v>493</v>
      </c>
      <c r="R1072" s="14" t="s">
        <v>356</v>
      </c>
      <c r="S1072" s="37" cm="1">
        <f t="array" aca="1" ref="S10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0.3906</v>
      </c>
      <c r="T1072" s="346" t="s">
        <v>1485</v>
      </c>
      <c r="U1072" s="347">
        <f ca="1">S1072/g2lb/S1067*MT2ton</f>
        <v>299.99999999999932</v>
      </c>
      <c r="V1072" s="347">
        <v>0.3906</v>
      </c>
      <c r="W1072" s="347">
        <v>299.99999999999932</v>
      </c>
      <c r="X1072" s="14" t="s">
        <v>12</v>
      </c>
      <c r="Y1072" s="346" t="s">
        <v>413</v>
      </c>
      <c r="Z1072" s="14" t="str">
        <f>IF(ISBLANK(LCI_Table[[#This Row],[Notes for user]])," ",LCI_Table[[#This Row],[Notes for user]])</f>
        <v xml:space="preserve"> </v>
      </c>
      <c r="AA1072" s="14"/>
      <c r="AB1072" s="14"/>
      <c r="AC1072" s="346">
        <f ca="1">LCI_Table[[#This Row],[Default Calculated Value]]-LCI_Table[[#This Row],[Calculated Value]]</f>
        <v>0</v>
      </c>
    </row>
    <row r="1073" spans="1:29" x14ac:dyDescent="0.3">
      <c r="A10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(EU)(blank)_Canola_Farming_InsecticideInsecticide</v>
      </c>
      <c r="B1073" s="48" t="s">
        <v>1347</v>
      </c>
      <c r="C1073" s="14" t="s">
        <v>30</v>
      </c>
      <c r="D1073" s="14" t="s">
        <v>194</v>
      </c>
      <c r="E1073" s="14" t="s">
        <v>368</v>
      </c>
      <c r="F1073" s="48" t="s">
        <v>31</v>
      </c>
      <c r="G1073" s="14" t="b">
        <f>OR(LCI_Table[[#This Row],[Feedstock]]="All",LCI_Table[[#This Row],[Feedstock]]=SelectedFeedstock)</f>
        <v>1</v>
      </c>
      <c r="H1073" s="14" t="b">
        <f>OR(LCI_Table[[#This Row],[Conversion]]="All",LCI_Table[[#This Row],[Conversion]]=SelectedConversion)</f>
        <v>1</v>
      </c>
      <c r="I1073" s="14" t="b">
        <f>OR(LCI_Table[[#This Row],[Data Set]]="all",LCI_Table[[#This Row],[Data Set]]=SelectedDataSet)</f>
        <v>0</v>
      </c>
      <c r="J1073" s="14" t="b">
        <f>OR(LCI_Table[[#This Row],[Technology]]="All",LCI_Table[[#This Row],[Technology]]=SelectedTechnology)</f>
        <v>1</v>
      </c>
      <c r="K1073" s="14" t="b">
        <f>OR(LCI_Table[[#This Row],[Data Source]]="All",LCI_Table[[#This Row],[Data Source]]=SelectedDataSource)</f>
        <v>0</v>
      </c>
      <c r="L1073" s="14" t="b">
        <f>TRUE</f>
        <v>1</v>
      </c>
      <c r="M1073" s="14" t="b">
        <f>(LCI_Table[[#This Row],[Dev Notes]]="Do not display")</f>
        <v>0</v>
      </c>
      <c r="N1073" s="14" t="b">
        <f>AND(LCI_Table[[#This Row],[Show Feedstock]:[Conditional]],NOT(LCI_Table[[#This Row],[Hide Row]]))</f>
        <v>0</v>
      </c>
      <c r="O1073" s="14" t="b">
        <f>LCI_Table[[#This Row],[GREET1 Name Range]]=""</f>
        <v>0</v>
      </c>
      <c r="P1073" s="14" t="s">
        <v>14</v>
      </c>
      <c r="Q1073" s="14" t="s">
        <v>494</v>
      </c>
      <c r="R1073" s="14" t="s">
        <v>114</v>
      </c>
      <c r="S1073" s="37" cm="1">
        <f t="array" aca="1" ref="S10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0.13020000000000001</v>
      </c>
      <c r="T1073" s="346" t="s">
        <v>1485</v>
      </c>
      <c r="U1073" s="347">
        <f ca="1">S1073/g2lb/S1067*MT2ton</f>
        <v>99.999999999999787</v>
      </c>
      <c r="V1073" s="347">
        <v>0.13020000000000001</v>
      </c>
      <c r="W1073" s="347">
        <v>99.999999999999787</v>
      </c>
      <c r="X1073" s="14" t="s">
        <v>12</v>
      </c>
      <c r="Y1073" s="346" t="s">
        <v>413</v>
      </c>
      <c r="Z1073" s="14" t="str">
        <f>IF(ISBLANK(LCI_Table[[#This Row],[Notes for user]])," ",LCI_Table[[#This Row],[Notes for user]])</f>
        <v xml:space="preserve"> </v>
      </c>
      <c r="AA1073" s="14"/>
      <c r="AB1073" s="14"/>
      <c r="AC1073" s="346">
        <f ca="1">LCI_Table[[#This Row],[Default Calculated Value]]-LCI_Table[[#This Row],[Calculated Value]]</f>
        <v>0</v>
      </c>
    </row>
    <row r="1074" spans="1:29" x14ac:dyDescent="0.3">
      <c r="A10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(EU)(blank)_Canola_Farming_Residual_oilResidual oil</v>
      </c>
      <c r="B1074" s="48" t="s">
        <v>1347</v>
      </c>
      <c r="C1074" s="14" t="s">
        <v>30</v>
      </c>
      <c r="D1074" s="14" t="s">
        <v>194</v>
      </c>
      <c r="E1074" s="14" t="s">
        <v>368</v>
      </c>
      <c r="F1074" s="48" t="s">
        <v>31</v>
      </c>
      <c r="G1074" s="14" t="b">
        <f>OR(LCI_Table[[#This Row],[Feedstock]]="All",LCI_Table[[#This Row],[Feedstock]]=SelectedFeedstock)</f>
        <v>1</v>
      </c>
      <c r="H1074" s="14" t="b">
        <f>OR(LCI_Table[[#This Row],[Conversion]]="All",LCI_Table[[#This Row],[Conversion]]=SelectedConversion)</f>
        <v>1</v>
      </c>
      <c r="I1074" s="14" t="b">
        <f>OR(LCI_Table[[#This Row],[Data Set]]="all",LCI_Table[[#This Row],[Data Set]]=SelectedDataSet)</f>
        <v>0</v>
      </c>
      <c r="J1074" s="14" t="b">
        <f>OR(LCI_Table[[#This Row],[Technology]]="All",LCI_Table[[#This Row],[Technology]]=SelectedTechnology)</f>
        <v>1</v>
      </c>
      <c r="K1074" s="14" t="b">
        <f>OR(LCI_Table[[#This Row],[Data Source]]="All",LCI_Table[[#This Row],[Data Source]]=SelectedDataSource)</f>
        <v>0</v>
      </c>
      <c r="L1074" s="14" t="b">
        <f>TRUE</f>
        <v>1</v>
      </c>
      <c r="M1074" s="14" t="b">
        <f>(LCI_Table[[#This Row],[Dev Notes]]="Do not display")</f>
        <v>0</v>
      </c>
      <c r="N1074" s="14" t="b">
        <f>AND(LCI_Table[[#This Row],[Show Feedstock]:[Conditional]],NOT(LCI_Table[[#This Row],[Hide Row]]))</f>
        <v>0</v>
      </c>
      <c r="O1074" s="14" t="b">
        <f>LCI_Table[[#This Row],[GREET1 Name Range]]=""</f>
        <v>0</v>
      </c>
      <c r="P1074" s="14" t="s">
        <v>14</v>
      </c>
      <c r="Q1074" s="14" t="s">
        <v>500</v>
      </c>
      <c r="R1074" s="14" t="s">
        <v>115</v>
      </c>
      <c r="S1074" s="37" cm="1">
        <f t="array" aca="1" ref="S10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74" s="346" t="s">
        <v>1484</v>
      </c>
      <c r="U1074" s="347">
        <f ca="1">S1074*Fuel_Specs!$B$28/S1067*MT2ton</f>
        <v>0</v>
      </c>
      <c r="V1074" s="347">
        <v>0</v>
      </c>
      <c r="W1074" s="347">
        <v>0</v>
      </c>
      <c r="X1074" s="14" t="s">
        <v>5</v>
      </c>
      <c r="Y1074" s="346" t="s">
        <v>413</v>
      </c>
      <c r="Z1074" s="14" t="str">
        <f>IF(ISBLANK(LCI_Table[[#This Row],[Notes for user]])," ",LCI_Table[[#This Row],[Notes for user]])</f>
        <v xml:space="preserve"> </v>
      </c>
      <c r="AA1074" s="14"/>
      <c r="AB1074" s="14"/>
      <c r="AC1074" s="346">
        <f ca="1">LCI_Table[[#This Row],[Default Calculated Value]]-LCI_Table[[#This Row],[Calculated Value]]</f>
        <v>0</v>
      </c>
    </row>
    <row r="1075" spans="1:29" x14ac:dyDescent="0.3">
      <c r="A10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(EU)(blank)_Canola_Farming_DieselDiesel</v>
      </c>
      <c r="B1075" s="48" t="s">
        <v>1347</v>
      </c>
      <c r="C1075" s="14" t="s">
        <v>30</v>
      </c>
      <c r="D1075" s="14" t="s">
        <v>194</v>
      </c>
      <c r="E1075" s="14" t="s">
        <v>368</v>
      </c>
      <c r="F1075" s="48" t="s">
        <v>31</v>
      </c>
      <c r="G1075" s="14" t="b">
        <f>OR(LCI_Table[[#This Row],[Feedstock]]="All",LCI_Table[[#This Row],[Feedstock]]=SelectedFeedstock)</f>
        <v>1</v>
      </c>
      <c r="H1075" s="14" t="b">
        <f>OR(LCI_Table[[#This Row],[Conversion]]="All",LCI_Table[[#This Row],[Conversion]]=SelectedConversion)</f>
        <v>1</v>
      </c>
      <c r="I1075" s="14" t="b">
        <f>OR(LCI_Table[[#This Row],[Data Set]]="all",LCI_Table[[#This Row],[Data Set]]=SelectedDataSet)</f>
        <v>0</v>
      </c>
      <c r="J1075" s="14" t="b">
        <f>OR(LCI_Table[[#This Row],[Technology]]="All",LCI_Table[[#This Row],[Technology]]=SelectedTechnology)</f>
        <v>1</v>
      </c>
      <c r="K1075" s="14" t="b">
        <f>OR(LCI_Table[[#This Row],[Data Source]]="All",LCI_Table[[#This Row],[Data Source]]=SelectedDataSource)</f>
        <v>0</v>
      </c>
      <c r="L1075" s="14" t="b">
        <f>TRUE</f>
        <v>1</v>
      </c>
      <c r="M1075" s="14" t="b">
        <f>(LCI_Table[[#This Row],[Dev Notes]]="Do not display")</f>
        <v>0</v>
      </c>
      <c r="N1075" s="14" t="b">
        <f>AND(LCI_Table[[#This Row],[Show Feedstock]:[Conditional]],NOT(LCI_Table[[#This Row],[Hide Row]]))</f>
        <v>0</v>
      </c>
      <c r="O1075" s="14" t="b">
        <f>LCI_Table[[#This Row],[GREET1 Name Range]]=""</f>
        <v>0</v>
      </c>
      <c r="P1075" s="14" t="s">
        <v>14</v>
      </c>
      <c r="Q1075" s="14" t="s">
        <v>490</v>
      </c>
      <c r="R1075" s="14" t="s">
        <v>106</v>
      </c>
      <c r="S1075" s="37" cm="1">
        <f t="array" aca="1" ref="S10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4.5719737878696369</v>
      </c>
      <c r="T1075" s="346" t="s">
        <v>1484</v>
      </c>
      <c r="U1075" s="347">
        <f ca="1">S1075*Fuel_Specs!$B$19/S1067*MT2ton</f>
        <v>994399.9999999979</v>
      </c>
      <c r="V1075" s="347">
        <v>4.5719737878696369</v>
      </c>
      <c r="W1075" s="347">
        <v>994399.9999999979</v>
      </c>
      <c r="X1075" s="14" t="s">
        <v>5</v>
      </c>
      <c r="Y1075" s="346" t="s">
        <v>413</v>
      </c>
      <c r="Z1075" s="14" t="str">
        <f>IF(ISBLANK(LCI_Table[[#This Row],[Notes for user]])," ",LCI_Table[[#This Row],[Notes for user]])</f>
        <v xml:space="preserve"> </v>
      </c>
      <c r="AA1075" s="14"/>
      <c r="AB1075" s="14"/>
      <c r="AC1075" s="346">
        <f ca="1">LCI_Table[[#This Row],[Default Calculated Value]]-LCI_Table[[#This Row],[Calculated Value]]</f>
        <v>0</v>
      </c>
    </row>
    <row r="1076" spans="1:29" x14ac:dyDescent="0.3">
      <c r="A10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(EU)(blank)_Canola_Farming_GasolineGasoline</v>
      </c>
      <c r="B1076" s="48" t="s">
        <v>1347</v>
      </c>
      <c r="C1076" s="14" t="s">
        <v>30</v>
      </c>
      <c r="D1076" s="14" t="s">
        <v>194</v>
      </c>
      <c r="E1076" s="14" t="s">
        <v>368</v>
      </c>
      <c r="F1076" s="48" t="s">
        <v>31</v>
      </c>
      <c r="G1076" s="14" t="b">
        <f>OR(LCI_Table[[#This Row],[Feedstock]]="All",LCI_Table[[#This Row],[Feedstock]]=SelectedFeedstock)</f>
        <v>1</v>
      </c>
      <c r="H1076" s="14" t="b">
        <f>OR(LCI_Table[[#This Row],[Conversion]]="All",LCI_Table[[#This Row],[Conversion]]=SelectedConversion)</f>
        <v>1</v>
      </c>
      <c r="I1076" s="14" t="b">
        <f>OR(LCI_Table[[#This Row],[Data Set]]="all",LCI_Table[[#This Row],[Data Set]]=SelectedDataSet)</f>
        <v>0</v>
      </c>
      <c r="J1076" s="14" t="b">
        <f>OR(LCI_Table[[#This Row],[Technology]]="All",LCI_Table[[#This Row],[Technology]]=SelectedTechnology)</f>
        <v>1</v>
      </c>
      <c r="K1076" s="14" t="b">
        <f>OR(LCI_Table[[#This Row],[Data Source]]="All",LCI_Table[[#This Row],[Data Source]]=SelectedDataSource)</f>
        <v>0</v>
      </c>
      <c r="L1076" s="14" t="b">
        <f>TRUE</f>
        <v>1</v>
      </c>
      <c r="M1076" s="14" t="b">
        <f>(LCI_Table[[#This Row],[Dev Notes]]="Do not display")</f>
        <v>0</v>
      </c>
      <c r="N1076" s="14" t="b">
        <f>AND(LCI_Table[[#This Row],[Show Feedstock]:[Conditional]],NOT(LCI_Table[[#This Row],[Hide Row]]))</f>
        <v>0</v>
      </c>
      <c r="O1076" s="14" t="b">
        <f>LCI_Table[[#This Row],[GREET1 Name Range]]=""</f>
        <v>0</v>
      </c>
      <c r="P1076" s="14" t="s">
        <v>14</v>
      </c>
      <c r="Q1076" s="14" t="s">
        <v>492</v>
      </c>
      <c r="R1076" s="14" t="s">
        <v>107</v>
      </c>
      <c r="S1076" s="37" cm="1">
        <f t="array" aca="1" ref="S10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76" s="346" t="s">
        <v>1484</v>
      </c>
      <c r="U1076" s="347">
        <f ca="1">S1076*Fuel_Specs!$B$15/S1067*MT2ton</f>
        <v>0</v>
      </c>
      <c r="V1076" s="347">
        <v>0</v>
      </c>
      <c r="W1076" s="347">
        <v>0</v>
      </c>
      <c r="X1076" s="14" t="s">
        <v>5</v>
      </c>
      <c r="Y1076" s="346" t="s">
        <v>413</v>
      </c>
      <c r="Z1076" s="14" t="str">
        <f>IF(ISBLANK(LCI_Table[[#This Row],[Notes for user]])," ",LCI_Table[[#This Row],[Notes for user]])</f>
        <v xml:space="preserve"> </v>
      </c>
      <c r="AA1076" s="14"/>
      <c r="AB1076" s="14"/>
      <c r="AC1076" s="346">
        <f ca="1">LCI_Table[[#This Row],[Default Calculated Value]]-LCI_Table[[#This Row],[Calculated Value]]</f>
        <v>0</v>
      </c>
    </row>
    <row r="1077" spans="1:29" x14ac:dyDescent="0.3">
      <c r="A10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(EU)(blank)_Canola_Farming_Natural_gasNatural gas</v>
      </c>
      <c r="B1077" s="48" t="s">
        <v>1347</v>
      </c>
      <c r="C1077" s="14" t="s">
        <v>30</v>
      </c>
      <c r="D1077" s="14" t="s">
        <v>194</v>
      </c>
      <c r="E1077" s="14" t="s">
        <v>368</v>
      </c>
      <c r="F1077" s="48" t="s">
        <v>31</v>
      </c>
      <c r="G1077" s="14" t="b">
        <f>OR(LCI_Table[[#This Row],[Feedstock]]="All",LCI_Table[[#This Row],[Feedstock]]=SelectedFeedstock)</f>
        <v>1</v>
      </c>
      <c r="H1077" s="14" t="b">
        <f>OR(LCI_Table[[#This Row],[Conversion]]="All",LCI_Table[[#This Row],[Conversion]]=SelectedConversion)</f>
        <v>1</v>
      </c>
      <c r="I1077" s="14" t="b">
        <f>OR(LCI_Table[[#This Row],[Data Set]]="all",LCI_Table[[#This Row],[Data Set]]=SelectedDataSet)</f>
        <v>0</v>
      </c>
      <c r="J1077" s="14" t="b">
        <f>OR(LCI_Table[[#This Row],[Technology]]="All",LCI_Table[[#This Row],[Technology]]=SelectedTechnology)</f>
        <v>1</v>
      </c>
      <c r="K1077" s="14" t="b">
        <f>OR(LCI_Table[[#This Row],[Data Source]]="All",LCI_Table[[#This Row],[Data Source]]=SelectedDataSource)</f>
        <v>0</v>
      </c>
      <c r="L1077" s="14" t="b">
        <f>TRUE</f>
        <v>1</v>
      </c>
      <c r="M1077" s="14" t="b">
        <f>(LCI_Table[[#This Row],[Dev Notes]]="Do not display")</f>
        <v>0</v>
      </c>
      <c r="N1077" s="14" t="b">
        <f>AND(LCI_Table[[#This Row],[Show Feedstock]:[Conditional]],NOT(LCI_Table[[#This Row],[Hide Row]]))</f>
        <v>0</v>
      </c>
      <c r="O1077" s="14" t="b">
        <f>LCI_Table[[#This Row],[GREET1 Name Range]]=""</f>
        <v>0</v>
      </c>
      <c r="P1077" s="14" t="s">
        <v>14</v>
      </c>
      <c r="Q1077" s="14" t="s">
        <v>497</v>
      </c>
      <c r="R1077" s="14" t="s">
        <v>108</v>
      </c>
      <c r="S1077" s="37" cm="1">
        <f t="array" aca="1" ref="S10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77" s="346" t="s">
        <v>2109</v>
      </c>
      <c r="U1077" s="347">
        <f ca="1">S1077*Fuel_Specs!$B$79/S1067*MT2ton</f>
        <v>0</v>
      </c>
      <c r="V1077" s="347">
        <v>0</v>
      </c>
      <c r="W1077" s="347">
        <v>0</v>
      </c>
      <c r="X1077" s="14" t="s">
        <v>351</v>
      </c>
      <c r="Y1077" s="346" t="s">
        <v>413</v>
      </c>
      <c r="Z1077" s="14" t="str">
        <f>IF(ISBLANK(LCI_Table[[#This Row],[Notes for user]])," ",LCI_Table[[#This Row],[Notes for user]])</f>
        <v xml:space="preserve"> </v>
      </c>
      <c r="AA1077" s="14"/>
      <c r="AB1077" s="14"/>
      <c r="AC1077" s="346">
        <f ca="1">LCI_Table[[#This Row],[Default Calculated Value]]-LCI_Table[[#This Row],[Calculated Value]]</f>
        <v>0</v>
      </c>
    </row>
    <row r="1078" spans="1:29" x14ac:dyDescent="0.3">
      <c r="A10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(EU)(blank)_Canola_Farming_CoalCoal</v>
      </c>
      <c r="B1078" s="48" t="s">
        <v>1347</v>
      </c>
      <c r="C1078" s="14" t="s">
        <v>30</v>
      </c>
      <c r="D1078" s="14" t="s">
        <v>194</v>
      </c>
      <c r="E1078" s="14" t="s">
        <v>368</v>
      </c>
      <c r="F1078" s="48" t="s">
        <v>31</v>
      </c>
      <c r="G1078" s="14" t="b">
        <f>OR(LCI_Table[[#This Row],[Feedstock]]="All",LCI_Table[[#This Row],[Feedstock]]=SelectedFeedstock)</f>
        <v>1</v>
      </c>
      <c r="H1078" s="14" t="b">
        <f>OR(LCI_Table[[#This Row],[Conversion]]="All",LCI_Table[[#This Row],[Conversion]]=SelectedConversion)</f>
        <v>1</v>
      </c>
      <c r="I1078" s="14" t="b">
        <f>OR(LCI_Table[[#This Row],[Data Set]]="all",LCI_Table[[#This Row],[Data Set]]=SelectedDataSet)</f>
        <v>0</v>
      </c>
      <c r="J1078" s="14" t="b">
        <f>OR(LCI_Table[[#This Row],[Technology]]="All",LCI_Table[[#This Row],[Technology]]=SelectedTechnology)</f>
        <v>1</v>
      </c>
      <c r="K1078" s="14" t="b">
        <f>OR(LCI_Table[[#This Row],[Data Source]]="All",LCI_Table[[#This Row],[Data Source]]=SelectedDataSource)</f>
        <v>0</v>
      </c>
      <c r="L1078" s="14" t="b">
        <f>TRUE</f>
        <v>1</v>
      </c>
      <c r="M1078" s="14" t="b">
        <f>(LCI_Table[[#This Row],[Dev Notes]]="Do not display")</f>
        <v>0</v>
      </c>
      <c r="N1078" s="14" t="b">
        <f>AND(LCI_Table[[#This Row],[Show Feedstock]:[Conditional]],NOT(LCI_Table[[#This Row],[Hide Row]]))</f>
        <v>0</v>
      </c>
      <c r="O1078" s="14" t="b">
        <f>LCI_Table[[#This Row],[GREET1 Name Range]]=""</f>
        <v>0</v>
      </c>
      <c r="P1078" s="14" t="s">
        <v>14</v>
      </c>
      <c r="Q1078" s="14" t="s">
        <v>489</v>
      </c>
      <c r="R1078" s="14" t="s">
        <v>9</v>
      </c>
      <c r="S1078" s="37" cm="1">
        <f t="array" aca="1" ref="S10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78" s="346" t="s">
        <v>2110</v>
      </c>
      <c r="U1078" s="347">
        <f ca="1">S1078/S1067*MT2ton</f>
        <v>0</v>
      </c>
      <c r="V1078" s="347">
        <v>0</v>
      </c>
      <c r="W1078" s="347">
        <v>0</v>
      </c>
      <c r="X1078" s="14" t="s">
        <v>117</v>
      </c>
      <c r="Y1078" s="346" t="s">
        <v>413</v>
      </c>
      <c r="Z1078" s="14" t="str">
        <f>IF(ISBLANK(LCI_Table[[#This Row],[Notes for user]])," ",LCI_Table[[#This Row],[Notes for user]])</f>
        <v xml:space="preserve"> </v>
      </c>
      <c r="AA1078" s="14"/>
      <c r="AB1078" s="14"/>
      <c r="AC1078" s="346">
        <f ca="1">LCI_Table[[#This Row],[Default Calculated Value]]-LCI_Table[[#This Row],[Calculated Value]]</f>
        <v>0</v>
      </c>
    </row>
    <row r="1079" spans="1:29" x14ac:dyDescent="0.3">
      <c r="A10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(EU)(blank)_Canola_Farming_LPGLPG</v>
      </c>
      <c r="B1079" s="48" t="s">
        <v>1347</v>
      </c>
      <c r="C1079" s="14" t="s">
        <v>30</v>
      </c>
      <c r="D1079" s="14" t="s">
        <v>194</v>
      </c>
      <c r="E1079" s="14" t="s">
        <v>368</v>
      </c>
      <c r="F1079" s="48" t="s">
        <v>31</v>
      </c>
      <c r="G1079" s="14" t="b">
        <f>OR(LCI_Table[[#This Row],[Feedstock]]="All",LCI_Table[[#This Row],[Feedstock]]=SelectedFeedstock)</f>
        <v>1</v>
      </c>
      <c r="H1079" s="14" t="b">
        <f>OR(LCI_Table[[#This Row],[Conversion]]="All",LCI_Table[[#This Row],[Conversion]]=SelectedConversion)</f>
        <v>1</v>
      </c>
      <c r="I1079" s="14" t="b">
        <f>OR(LCI_Table[[#This Row],[Data Set]]="all",LCI_Table[[#This Row],[Data Set]]=SelectedDataSet)</f>
        <v>0</v>
      </c>
      <c r="J1079" s="14" t="b">
        <f>OR(LCI_Table[[#This Row],[Technology]]="All",LCI_Table[[#This Row],[Technology]]=SelectedTechnology)</f>
        <v>1</v>
      </c>
      <c r="K1079" s="14" t="b">
        <f>OR(LCI_Table[[#This Row],[Data Source]]="All",LCI_Table[[#This Row],[Data Source]]=SelectedDataSource)</f>
        <v>0</v>
      </c>
      <c r="L1079" s="14" t="b">
        <f>TRUE</f>
        <v>1</v>
      </c>
      <c r="M1079" s="14" t="b">
        <f>(LCI_Table[[#This Row],[Dev Notes]]="Do not display")</f>
        <v>0</v>
      </c>
      <c r="N1079" s="14" t="b">
        <f>AND(LCI_Table[[#This Row],[Show Feedstock]:[Conditional]],NOT(LCI_Table[[#This Row],[Hide Row]]))</f>
        <v>0</v>
      </c>
      <c r="O1079" s="14" t="b">
        <f>LCI_Table[[#This Row],[GREET1 Name Range]]=""</f>
        <v>0</v>
      </c>
      <c r="P1079" s="14" t="s">
        <v>14</v>
      </c>
      <c r="Q1079" s="14" t="s">
        <v>496</v>
      </c>
      <c r="R1079" s="14" t="s">
        <v>109</v>
      </c>
      <c r="S1079" s="37" cm="1">
        <f t="array" aca="1" ref="S10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79" s="346" t="s">
        <v>1484</v>
      </c>
      <c r="U1079" s="347">
        <f ca="1">S1079*Fuel_Specs!$B$35/S1067*MT2ton</f>
        <v>0</v>
      </c>
      <c r="V1079" s="347">
        <v>0</v>
      </c>
      <c r="W1079" s="347">
        <v>0</v>
      </c>
      <c r="X1079" s="14" t="s">
        <v>5</v>
      </c>
      <c r="Y1079" s="346" t="s">
        <v>413</v>
      </c>
      <c r="Z1079" s="14" t="str">
        <f>IF(ISBLANK(LCI_Table[[#This Row],[Notes for user]])," ",LCI_Table[[#This Row],[Notes for user]])</f>
        <v xml:space="preserve"> </v>
      </c>
      <c r="AA1079" s="14"/>
      <c r="AB1079" s="14"/>
      <c r="AC1079" s="346">
        <f ca="1">LCI_Table[[#This Row],[Default Calculated Value]]-LCI_Table[[#This Row],[Calculated Value]]</f>
        <v>0</v>
      </c>
    </row>
    <row r="1080" spans="1:29" x14ac:dyDescent="0.3">
      <c r="A10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(EU)(blank)_Canola_Farming_ElectricityElectricity</v>
      </c>
      <c r="B1080" s="48" t="s">
        <v>1347</v>
      </c>
      <c r="C1080" s="14" t="s">
        <v>30</v>
      </c>
      <c r="D1080" s="14" t="s">
        <v>194</v>
      </c>
      <c r="E1080" s="14" t="s">
        <v>368</v>
      </c>
      <c r="F1080" s="48" t="s">
        <v>31</v>
      </c>
      <c r="G1080" s="14" t="b">
        <f>OR(LCI_Table[[#This Row],[Feedstock]]="All",LCI_Table[[#This Row],[Feedstock]]=SelectedFeedstock)</f>
        <v>1</v>
      </c>
      <c r="H1080" s="14" t="b">
        <f>OR(LCI_Table[[#This Row],[Conversion]]="All",LCI_Table[[#This Row],[Conversion]]=SelectedConversion)</f>
        <v>1</v>
      </c>
      <c r="I1080" s="14" t="b">
        <f>OR(LCI_Table[[#This Row],[Data Set]]="all",LCI_Table[[#This Row],[Data Set]]=SelectedDataSet)</f>
        <v>0</v>
      </c>
      <c r="J1080" s="14" t="b">
        <f>OR(LCI_Table[[#This Row],[Technology]]="All",LCI_Table[[#This Row],[Technology]]=SelectedTechnology)</f>
        <v>1</v>
      </c>
      <c r="K1080" s="14" t="b">
        <f>OR(LCI_Table[[#This Row],[Data Source]]="All",LCI_Table[[#This Row],[Data Source]]=SelectedDataSource)</f>
        <v>0</v>
      </c>
      <c r="L1080" s="14" t="b">
        <f>TRUE</f>
        <v>1</v>
      </c>
      <c r="M1080" s="14" t="b">
        <f>(LCI_Table[[#This Row],[Dev Notes]]="Do not display")</f>
        <v>0</v>
      </c>
      <c r="N1080" s="14" t="b">
        <f>AND(LCI_Table[[#This Row],[Show Feedstock]:[Conditional]],NOT(LCI_Table[[#This Row],[Hide Row]]))</f>
        <v>0</v>
      </c>
      <c r="O1080" s="14" t="b">
        <f>LCI_Table[[#This Row],[GREET1 Name Range]]=""</f>
        <v>0</v>
      </c>
      <c r="P1080" s="14" t="s">
        <v>14</v>
      </c>
      <c r="Q1080" s="14" t="s">
        <v>491</v>
      </c>
      <c r="R1080" s="14" t="s">
        <v>110</v>
      </c>
      <c r="S1080" s="37" cm="1">
        <f t="array" aca="1" ref="S10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80" s="346" t="s">
        <v>1561</v>
      </c>
      <c r="U1080" s="347">
        <f ca="1">S1080/BTU2kWh/S1067*MT2ton</f>
        <v>0</v>
      </c>
      <c r="V1080" s="347">
        <v>0</v>
      </c>
      <c r="W1080" s="347">
        <v>0</v>
      </c>
      <c r="X1080" s="14" t="s">
        <v>51</v>
      </c>
      <c r="Y1080" s="346" t="s">
        <v>413</v>
      </c>
      <c r="Z1080" s="14" t="str">
        <f>IF(ISBLANK(LCI_Table[[#This Row],[Notes for user]])," ",LCI_Table[[#This Row],[Notes for user]])</f>
        <v xml:space="preserve"> </v>
      </c>
      <c r="AA1080" s="14"/>
      <c r="AB1080" s="14"/>
      <c r="AC1080" s="346">
        <f ca="1">LCI_Table[[#This Row],[Default Calculated Value]]-LCI_Table[[#This Row],[Calculated Value]]</f>
        <v>0</v>
      </c>
    </row>
    <row r="1081" spans="1:29" x14ac:dyDescent="0.3">
      <c r="A10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dash_Canola/RapeseedHEFAICAOBioGrace (EU)(blank)_Canola_Extraction</v>
      </c>
      <c r="B1081" s="48" t="s">
        <v>1347</v>
      </c>
      <c r="C1081" s="14" t="s">
        <v>30</v>
      </c>
      <c r="D1081" s="14" t="s">
        <v>194</v>
      </c>
      <c r="E1081" s="14" t="s">
        <v>368</v>
      </c>
      <c r="F1081" s="48" t="s">
        <v>31</v>
      </c>
      <c r="G1081" s="14" t="b">
        <f>OR(LCI_Table[[#This Row],[Feedstock]]="All",LCI_Table[[#This Row],[Feedstock]]=SelectedFeedstock)</f>
        <v>1</v>
      </c>
      <c r="H1081" s="14" t="b">
        <f>OR(LCI_Table[[#This Row],[Conversion]]="All",LCI_Table[[#This Row],[Conversion]]=SelectedConversion)</f>
        <v>1</v>
      </c>
      <c r="I1081" s="14" t="b">
        <f>OR(LCI_Table[[#This Row],[Data Set]]="all",LCI_Table[[#This Row],[Data Set]]=SelectedDataSet)</f>
        <v>0</v>
      </c>
      <c r="J1081" s="14" t="b">
        <f>OR(LCI_Table[[#This Row],[Technology]]="All",LCI_Table[[#This Row],[Technology]]=SelectedTechnology)</f>
        <v>1</v>
      </c>
      <c r="K1081" s="14" t="b">
        <f>OR(LCI_Table[[#This Row],[Data Source]]="All",LCI_Table[[#This Row],[Data Source]]=SelectedDataSource)</f>
        <v>0</v>
      </c>
      <c r="L1081" s="14" t="b">
        <f>TRUE</f>
        <v>1</v>
      </c>
      <c r="M1081" s="14" t="b">
        <f>(LCI_Table[[#This Row],[Dev Notes]]="Do not display")</f>
        <v>1</v>
      </c>
      <c r="N1081" s="14" t="b">
        <f>AND(LCI_Table[[#This Row],[Show Feedstock]:[Conditional]],NOT(LCI_Table[[#This Row],[Hide Row]]))</f>
        <v>0</v>
      </c>
      <c r="O1081" s="14" t="b">
        <f>LCI_Table[[#This Row],[GREET1 Name Range]]=""</f>
        <v>1</v>
      </c>
      <c r="P1081" s="14" t="s">
        <v>15</v>
      </c>
      <c r="Q1081" s="14" t="s">
        <v>361</v>
      </c>
      <c r="R1081" s="14" t="s">
        <v>125</v>
      </c>
      <c r="S1081" s="37" cm="1">
        <f t="array" aca="1" ref="S10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2.3148537529412194</v>
      </c>
      <c r="T1081" s="346" t="s">
        <v>2111</v>
      </c>
      <c r="U1081" s="347">
        <f ca="1">S1081/MT2lb</f>
        <v>1.0500000000000021E-3</v>
      </c>
      <c r="V1081" s="347">
        <v>2.3148537529412194</v>
      </c>
      <c r="W1081" s="347">
        <v>1.0500000000000021E-3</v>
      </c>
      <c r="X1081" s="14" t="s">
        <v>12</v>
      </c>
      <c r="Y1081" s="346" t="s">
        <v>891</v>
      </c>
      <c r="Z1081" s="14" t="str">
        <f>IF(ISBLANK(LCI_Table[[#This Row],[Notes for user]])," ",LCI_Table[[#This Row],[Notes for user]])</f>
        <v xml:space="preserve"> </v>
      </c>
      <c r="AA1081" s="348"/>
      <c r="AB1081" s="348" t="s">
        <v>1138</v>
      </c>
      <c r="AC1081" s="346">
        <f ca="1">LCI_Table[[#This Row],[Default Calculated Value]]-LCI_Table[[#This Row],[Calculated Value]]</f>
        <v>0</v>
      </c>
    </row>
    <row r="1082" spans="1:29" x14ac:dyDescent="0.3">
      <c r="A10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(EU)(blank)_Canola_Extraction_Residual_oilResidual oil</v>
      </c>
      <c r="B1082" s="48" t="s">
        <v>1347</v>
      </c>
      <c r="C1082" s="14" t="s">
        <v>30</v>
      </c>
      <c r="D1082" s="14" t="s">
        <v>194</v>
      </c>
      <c r="E1082" s="14" t="s">
        <v>368</v>
      </c>
      <c r="F1082" s="48" t="s">
        <v>31</v>
      </c>
      <c r="G1082" s="14" t="b">
        <f>OR(LCI_Table[[#This Row],[Feedstock]]="All",LCI_Table[[#This Row],[Feedstock]]=SelectedFeedstock)</f>
        <v>1</v>
      </c>
      <c r="H1082" s="14" t="b">
        <f>OR(LCI_Table[[#This Row],[Conversion]]="All",LCI_Table[[#This Row],[Conversion]]=SelectedConversion)</f>
        <v>1</v>
      </c>
      <c r="I1082" s="14" t="b">
        <f>OR(LCI_Table[[#This Row],[Data Set]]="all",LCI_Table[[#This Row],[Data Set]]=SelectedDataSet)</f>
        <v>0</v>
      </c>
      <c r="J1082" s="14" t="b">
        <f>OR(LCI_Table[[#This Row],[Technology]]="All",LCI_Table[[#This Row],[Technology]]=SelectedTechnology)</f>
        <v>1</v>
      </c>
      <c r="K1082" s="14" t="b">
        <f>OR(LCI_Table[[#This Row],[Data Source]]="All",LCI_Table[[#This Row],[Data Source]]=SelectedDataSource)</f>
        <v>0</v>
      </c>
      <c r="L1082" s="14" t="b">
        <f>TRUE</f>
        <v>1</v>
      </c>
      <c r="M1082" s="14" t="b">
        <f>(LCI_Table[[#This Row],[Dev Notes]]="Do not display")</f>
        <v>0</v>
      </c>
      <c r="N1082" s="14" t="b">
        <f>AND(LCI_Table[[#This Row],[Show Feedstock]:[Conditional]],NOT(LCI_Table[[#This Row],[Hide Row]]))</f>
        <v>0</v>
      </c>
      <c r="O1082" s="14" t="b">
        <f>LCI_Table[[#This Row],[GREET1 Name Range]]=""</f>
        <v>0</v>
      </c>
      <c r="P1082" s="14" t="s">
        <v>15</v>
      </c>
      <c r="Q1082" s="14" t="s">
        <v>487</v>
      </c>
      <c r="R1082" s="14" t="s">
        <v>115</v>
      </c>
      <c r="S1082" s="37" cm="1">
        <f t="array" aca="1" ref="S10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82" s="346" t="s">
        <v>2112</v>
      </c>
      <c r="U1082" s="347">
        <f ca="1">S1082*Fuel_Specs!$B$28</f>
        <v>0</v>
      </c>
      <c r="V1082" s="347">
        <v>0</v>
      </c>
      <c r="W1082" s="347">
        <v>0</v>
      </c>
      <c r="X1082" s="14" t="s">
        <v>5</v>
      </c>
      <c r="Y1082" s="346" t="s">
        <v>891</v>
      </c>
      <c r="Z1082" s="14" t="str">
        <f>IF(ISBLANK(LCI_Table[[#This Row],[Notes for user]])," ",LCI_Table[[#This Row],[Notes for user]])</f>
        <v xml:space="preserve"> </v>
      </c>
      <c r="AA1082" s="14"/>
      <c r="AB1082" s="14"/>
      <c r="AC1082" s="346">
        <f ca="1">LCI_Table[[#This Row],[Default Calculated Value]]-LCI_Table[[#This Row],[Calculated Value]]</f>
        <v>0</v>
      </c>
    </row>
    <row r="1083" spans="1:29" x14ac:dyDescent="0.3">
      <c r="A10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(EU)(blank)_Canola_Extraction_DieselDiesel</v>
      </c>
      <c r="B1083" s="48" t="s">
        <v>1347</v>
      </c>
      <c r="C1083" s="14" t="s">
        <v>30</v>
      </c>
      <c r="D1083" s="14" t="s">
        <v>194</v>
      </c>
      <c r="E1083" s="14" t="s">
        <v>368</v>
      </c>
      <c r="F1083" s="48" t="s">
        <v>31</v>
      </c>
      <c r="G1083" s="14" t="b">
        <f>OR(LCI_Table[[#This Row],[Feedstock]]="All",LCI_Table[[#This Row],[Feedstock]]=SelectedFeedstock)</f>
        <v>1</v>
      </c>
      <c r="H1083" s="14" t="b">
        <f>OR(LCI_Table[[#This Row],[Conversion]]="All",LCI_Table[[#This Row],[Conversion]]=SelectedConversion)</f>
        <v>1</v>
      </c>
      <c r="I1083" s="14" t="b">
        <f>OR(LCI_Table[[#This Row],[Data Set]]="all",LCI_Table[[#This Row],[Data Set]]=SelectedDataSet)</f>
        <v>0</v>
      </c>
      <c r="J1083" s="14" t="b">
        <f>OR(LCI_Table[[#This Row],[Technology]]="All",LCI_Table[[#This Row],[Technology]]=SelectedTechnology)</f>
        <v>1</v>
      </c>
      <c r="K1083" s="14" t="b">
        <f>OR(LCI_Table[[#This Row],[Data Source]]="All",LCI_Table[[#This Row],[Data Source]]=SelectedDataSource)</f>
        <v>0</v>
      </c>
      <c r="L1083" s="14" t="b">
        <f>TRUE</f>
        <v>1</v>
      </c>
      <c r="M1083" s="14" t="b">
        <f>(LCI_Table[[#This Row],[Dev Notes]]="Do not display")</f>
        <v>0</v>
      </c>
      <c r="N1083" s="14" t="b">
        <f>AND(LCI_Table[[#This Row],[Show Feedstock]:[Conditional]],NOT(LCI_Table[[#This Row],[Hide Row]]))</f>
        <v>0</v>
      </c>
      <c r="O1083" s="14" t="b">
        <f>LCI_Table[[#This Row],[GREET1 Name Range]]=""</f>
        <v>0</v>
      </c>
      <c r="P1083" s="14" t="s">
        <v>15</v>
      </c>
      <c r="Q1083" s="14" t="s">
        <v>479</v>
      </c>
      <c r="R1083" s="14" t="s">
        <v>106</v>
      </c>
      <c r="S1083" s="37" cm="1">
        <f t="array" aca="1" ref="S10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83" s="346" t="s">
        <v>2112</v>
      </c>
      <c r="U1083" s="347">
        <f ca="1">S1083*Fuel_Specs!$B$19</f>
        <v>0</v>
      </c>
      <c r="V1083" s="347">
        <v>0</v>
      </c>
      <c r="W1083" s="347">
        <v>0</v>
      </c>
      <c r="X1083" s="14" t="s">
        <v>5</v>
      </c>
      <c r="Y1083" s="346" t="s">
        <v>891</v>
      </c>
      <c r="Z1083" s="14" t="str">
        <f>IF(ISBLANK(LCI_Table[[#This Row],[Notes for user]])," ",LCI_Table[[#This Row],[Notes for user]])</f>
        <v xml:space="preserve"> </v>
      </c>
      <c r="AA1083" s="14"/>
      <c r="AB1083" s="14"/>
      <c r="AC1083" s="346">
        <f ca="1">LCI_Table[[#This Row],[Default Calculated Value]]-LCI_Table[[#This Row],[Calculated Value]]</f>
        <v>0</v>
      </c>
    </row>
    <row r="1084" spans="1:29" x14ac:dyDescent="0.3">
      <c r="A10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(EU)(blank)_Canola_Extraction_GasolineGasoline</v>
      </c>
      <c r="B1084" s="48" t="s">
        <v>1347</v>
      </c>
      <c r="C1084" s="14" t="s">
        <v>30</v>
      </c>
      <c r="D1084" s="14" t="s">
        <v>194</v>
      </c>
      <c r="E1084" s="14" t="s">
        <v>368</v>
      </c>
      <c r="F1084" s="48" t="s">
        <v>31</v>
      </c>
      <c r="G1084" s="14" t="b">
        <f>OR(LCI_Table[[#This Row],[Feedstock]]="All",LCI_Table[[#This Row],[Feedstock]]=SelectedFeedstock)</f>
        <v>1</v>
      </c>
      <c r="H1084" s="14" t="b">
        <f>OR(LCI_Table[[#This Row],[Conversion]]="All",LCI_Table[[#This Row],[Conversion]]=SelectedConversion)</f>
        <v>1</v>
      </c>
      <c r="I1084" s="14" t="b">
        <f>OR(LCI_Table[[#This Row],[Data Set]]="all",LCI_Table[[#This Row],[Data Set]]=SelectedDataSet)</f>
        <v>0</v>
      </c>
      <c r="J1084" s="14" t="b">
        <f>OR(LCI_Table[[#This Row],[Technology]]="All",LCI_Table[[#This Row],[Technology]]=SelectedTechnology)</f>
        <v>1</v>
      </c>
      <c r="K1084" s="14" t="b">
        <f>OR(LCI_Table[[#This Row],[Data Source]]="All",LCI_Table[[#This Row],[Data Source]]=SelectedDataSource)</f>
        <v>0</v>
      </c>
      <c r="L1084" s="14" t="b">
        <f>TRUE</f>
        <v>1</v>
      </c>
      <c r="M1084" s="14" t="b">
        <f>(LCI_Table[[#This Row],[Dev Notes]]="Do not display")</f>
        <v>0</v>
      </c>
      <c r="N1084" s="14" t="b">
        <f>AND(LCI_Table[[#This Row],[Show Feedstock]:[Conditional]],NOT(LCI_Table[[#This Row],[Hide Row]]))</f>
        <v>0</v>
      </c>
      <c r="O1084" s="14" t="b">
        <f>LCI_Table[[#This Row],[GREET1 Name Range]]=""</f>
        <v>0</v>
      </c>
      <c r="P1084" s="14" t="s">
        <v>15</v>
      </c>
      <c r="Q1084" s="14" t="s">
        <v>482</v>
      </c>
      <c r="R1084" s="14" t="s">
        <v>107</v>
      </c>
      <c r="S1084" s="37" cm="1">
        <f t="array" aca="1" ref="S10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84" s="346" t="s">
        <v>2112</v>
      </c>
      <c r="U1084" s="347">
        <f ca="1">S1084*Fuel_Specs!$B$15</f>
        <v>0</v>
      </c>
      <c r="V1084" s="347">
        <v>0</v>
      </c>
      <c r="W1084" s="347">
        <v>0</v>
      </c>
      <c r="X1084" s="14" t="s">
        <v>5</v>
      </c>
      <c r="Y1084" s="346" t="s">
        <v>891</v>
      </c>
      <c r="Z1084" s="14" t="str">
        <f>IF(ISBLANK(LCI_Table[[#This Row],[Notes for user]])," ",LCI_Table[[#This Row],[Notes for user]])</f>
        <v xml:space="preserve"> </v>
      </c>
      <c r="AA1084" s="14"/>
      <c r="AB1084" s="14"/>
      <c r="AC1084" s="346">
        <f ca="1">LCI_Table[[#This Row],[Default Calculated Value]]-LCI_Table[[#This Row],[Calculated Value]]</f>
        <v>0</v>
      </c>
    </row>
    <row r="1085" spans="1:29" x14ac:dyDescent="0.3">
      <c r="A10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(EU)(blank)_Canola_Extraction_Natural_gasNatural gas</v>
      </c>
      <c r="B1085" s="48" t="s">
        <v>1347</v>
      </c>
      <c r="C1085" s="14" t="s">
        <v>30</v>
      </c>
      <c r="D1085" s="14" t="s">
        <v>194</v>
      </c>
      <c r="E1085" s="14" t="s">
        <v>368</v>
      </c>
      <c r="F1085" s="48" t="s">
        <v>31</v>
      </c>
      <c r="G1085" s="14" t="b">
        <f>OR(LCI_Table[[#This Row],[Feedstock]]="All",LCI_Table[[#This Row],[Feedstock]]=SelectedFeedstock)</f>
        <v>1</v>
      </c>
      <c r="H1085" s="14" t="b">
        <f>OR(LCI_Table[[#This Row],[Conversion]]="All",LCI_Table[[#This Row],[Conversion]]=SelectedConversion)</f>
        <v>1</v>
      </c>
      <c r="I1085" s="14" t="b">
        <f>OR(LCI_Table[[#This Row],[Data Set]]="all",LCI_Table[[#This Row],[Data Set]]=SelectedDataSet)</f>
        <v>0</v>
      </c>
      <c r="J1085" s="14" t="b">
        <f>OR(LCI_Table[[#This Row],[Technology]]="All",LCI_Table[[#This Row],[Technology]]=SelectedTechnology)</f>
        <v>1</v>
      </c>
      <c r="K1085" s="14" t="b">
        <f>OR(LCI_Table[[#This Row],[Data Source]]="All",LCI_Table[[#This Row],[Data Source]]=SelectedDataSource)</f>
        <v>0</v>
      </c>
      <c r="L1085" s="14" t="b">
        <f>TRUE</f>
        <v>1</v>
      </c>
      <c r="M1085" s="14" t="b">
        <f>(LCI_Table[[#This Row],[Dev Notes]]="Do not display")</f>
        <v>0</v>
      </c>
      <c r="N1085" s="14" t="b">
        <f>AND(LCI_Table[[#This Row],[Show Feedstock]:[Conditional]],NOT(LCI_Table[[#This Row],[Hide Row]]))</f>
        <v>0</v>
      </c>
      <c r="O1085" s="14" t="b">
        <f>LCI_Table[[#This Row],[GREET1 Name Range]]=""</f>
        <v>0</v>
      </c>
      <c r="P1085" s="14" t="s">
        <v>15</v>
      </c>
      <c r="Q1085" s="14" t="s">
        <v>486</v>
      </c>
      <c r="R1085" s="14" t="s">
        <v>108</v>
      </c>
      <c r="S1085" s="37" cm="1">
        <f t="array" aca="1" ref="S10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1.0068158697863683</v>
      </c>
      <c r="T1085" s="346" t="s">
        <v>2113</v>
      </c>
      <c r="U1085" s="347">
        <f ca="1">S1085*Fuel_Specs!$B$79</f>
        <v>989.7</v>
      </c>
      <c r="V1085" s="347">
        <v>1.0068158697863683</v>
      </c>
      <c r="W1085" s="347">
        <v>989.7</v>
      </c>
      <c r="X1085" s="14" t="s">
        <v>351</v>
      </c>
      <c r="Y1085" s="346" t="s">
        <v>891</v>
      </c>
      <c r="Z1085" s="14" t="str">
        <f>IF(ISBLANK(LCI_Table[[#This Row],[Notes for user]])," ",LCI_Table[[#This Row],[Notes for user]])</f>
        <v xml:space="preserve"> </v>
      </c>
      <c r="AA1085" s="14"/>
      <c r="AB1085" s="14"/>
      <c r="AC1085" s="346">
        <f ca="1">LCI_Table[[#This Row],[Default Calculated Value]]-LCI_Table[[#This Row],[Calculated Value]]</f>
        <v>0</v>
      </c>
    </row>
    <row r="1086" spans="1:29" x14ac:dyDescent="0.3">
      <c r="A10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(EU)(blank)_Canola_Extraction_CoalCoal</v>
      </c>
      <c r="B1086" s="48" t="s">
        <v>1347</v>
      </c>
      <c r="C1086" s="14" t="s">
        <v>30</v>
      </c>
      <c r="D1086" s="14" t="s">
        <v>194</v>
      </c>
      <c r="E1086" s="14" t="s">
        <v>368</v>
      </c>
      <c r="F1086" s="48" t="s">
        <v>31</v>
      </c>
      <c r="G1086" s="14" t="b">
        <f>OR(LCI_Table[[#This Row],[Feedstock]]="All",LCI_Table[[#This Row],[Feedstock]]=SelectedFeedstock)</f>
        <v>1</v>
      </c>
      <c r="H1086" s="14" t="b">
        <f>OR(LCI_Table[[#This Row],[Conversion]]="All",LCI_Table[[#This Row],[Conversion]]=SelectedConversion)</f>
        <v>1</v>
      </c>
      <c r="I1086" s="14" t="b">
        <f>OR(LCI_Table[[#This Row],[Data Set]]="all",LCI_Table[[#This Row],[Data Set]]=SelectedDataSet)</f>
        <v>0</v>
      </c>
      <c r="J1086" s="14" t="b">
        <f>OR(LCI_Table[[#This Row],[Technology]]="All",LCI_Table[[#This Row],[Technology]]=SelectedTechnology)</f>
        <v>1</v>
      </c>
      <c r="K1086" s="14" t="b">
        <f>OR(LCI_Table[[#This Row],[Data Source]]="All",LCI_Table[[#This Row],[Data Source]]=SelectedDataSource)</f>
        <v>0</v>
      </c>
      <c r="L1086" s="14" t="b">
        <f>TRUE</f>
        <v>1</v>
      </c>
      <c r="M1086" s="14" t="b">
        <f>(LCI_Table[[#This Row],[Dev Notes]]="Do not display")</f>
        <v>0</v>
      </c>
      <c r="N1086" s="14" t="b">
        <f>AND(LCI_Table[[#This Row],[Show Feedstock]:[Conditional]],NOT(LCI_Table[[#This Row],[Hide Row]]))</f>
        <v>0</v>
      </c>
      <c r="O1086" s="14" t="b">
        <f>LCI_Table[[#This Row],[GREET1 Name Range]]=""</f>
        <v>0</v>
      </c>
      <c r="P1086" s="14" t="s">
        <v>15</v>
      </c>
      <c r="Q1086" s="14" t="s">
        <v>478</v>
      </c>
      <c r="R1086" s="14" t="s">
        <v>9</v>
      </c>
      <c r="S1086" s="37" cm="1">
        <f t="array" aca="1" ref="S10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86" s="346" t="s">
        <v>2114</v>
      </c>
      <c r="U1086" s="347">
        <f ca="1">S1086</f>
        <v>0</v>
      </c>
      <c r="V1086" s="347">
        <v>0</v>
      </c>
      <c r="W1086" s="347">
        <v>0</v>
      </c>
      <c r="X1086" s="14" t="s">
        <v>117</v>
      </c>
      <c r="Y1086" s="346" t="s">
        <v>891</v>
      </c>
      <c r="Z1086" s="14" t="str">
        <f>IF(ISBLANK(LCI_Table[[#This Row],[Notes for user]])," ",LCI_Table[[#This Row],[Notes for user]])</f>
        <v xml:space="preserve"> </v>
      </c>
      <c r="AA1086" s="14"/>
      <c r="AB1086" s="14"/>
      <c r="AC1086" s="346">
        <f ca="1">LCI_Table[[#This Row],[Default Calculated Value]]-LCI_Table[[#This Row],[Calculated Value]]</f>
        <v>0</v>
      </c>
    </row>
    <row r="1087" spans="1:29" x14ac:dyDescent="0.3">
      <c r="A10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(EU)(blank)_Canola_Extraction_LPGLPG</v>
      </c>
      <c r="B1087" s="48" t="s">
        <v>1347</v>
      </c>
      <c r="C1087" s="14" t="s">
        <v>30</v>
      </c>
      <c r="D1087" s="14" t="s">
        <v>194</v>
      </c>
      <c r="E1087" s="14" t="s">
        <v>368</v>
      </c>
      <c r="F1087" s="48" t="s">
        <v>31</v>
      </c>
      <c r="G1087" s="14" t="b">
        <f>OR(LCI_Table[[#This Row],[Feedstock]]="All",LCI_Table[[#This Row],[Feedstock]]=SelectedFeedstock)</f>
        <v>1</v>
      </c>
      <c r="H1087" s="14" t="b">
        <f>OR(LCI_Table[[#This Row],[Conversion]]="All",LCI_Table[[#This Row],[Conversion]]=SelectedConversion)</f>
        <v>1</v>
      </c>
      <c r="I1087" s="14" t="b">
        <f>OR(LCI_Table[[#This Row],[Data Set]]="all",LCI_Table[[#This Row],[Data Set]]=SelectedDataSet)</f>
        <v>0</v>
      </c>
      <c r="J1087" s="14" t="b">
        <f>OR(LCI_Table[[#This Row],[Technology]]="All",LCI_Table[[#This Row],[Technology]]=SelectedTechnology)</f>
        <v>1</v>
      </c>
      <c r="K1087" s="14" t="b">
        <f>OR(LCI_Table[[#This Row],[Data Source]]="All",LCI_Table[[#This Row],[Data Source]]=SelectedDataSource)</f>
        <v>0</v>
      </c>
      <c r="L1087" s="14" t="b">
        <f>TRUE</f>
        <v>1</v>
      </c>
      <c r="M1087" s="14" t="b">
        <f>(LCI_Table[[#This Row],[Dev Notes]]="Do not display")</f>
        <v>0</v>
      </c>
      <c r="N1087" s="14" t="b">
        <f>AND(LCI_Table[[#This Row],[Show Feedstock]:[Conditional]],NOT(LCI_Table[[#This Row],[Hide Row]]))</f>
        <v>0</v>
      </c>
      <c r="O1087" s="14" t="b">
        <f>LCI_Table[[#This Row],[GREET1 Name Range]]=""</f>
        <v>0</v>
      </c>
      <c r="P1087" s="14" t="s">
        <v>15</v>
      </c>
      <c r="Q1087" s="14" t="s">
        <v>484</v>
      </c>
      <c r="R1087" s="14" t="s">
        <v>109</v>
      </c>
      <c r="S1087" s="37" cm="1">
        <f t="array" aca="1" ref="S10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87" s="346" t="s">
        <v>2112</v>
      </c>
      <c r="U1087" s="347">
        <f ca="1">S1087*Fuel_Specs!$B$35</f>
        <v>0</v>
      </c>
      <c r="V1087" s="347">
        <v>0</v>
      </c>
      <c r="W1087" s="347">
        <v>0</v>
      </c>
      <c r="X1087" s="14" t="s">
        <v>5</v>
      </c>
      <c r="Y1087" s="346" t="s">
        <v>891</v>
      </c>
      <c r="Z1087" s="14" t="str">
        <f>IF(ISBLANK(LCI_Table[[#This Row],[Notes for user]])," ",LCI_Table[[#This Row],[Notes for user]])</f>
        <v xml:space="preserve"> </v>
      </c>
      <c r="AA1087" s="14"/>
      <c r="AB1087" s="14"/>
      <c r="AC1087" s="346">
        <f ca="1">LCI_Table[[#This Row],[Default Calculated Value]]-LCI_Table[[#This Row],[Calculated Value]]</f>
        <v>0</v>
      </c>
    </row>
    <row r="1088" spans="1:29" x14ac:dyDescent="0.3">
      <c r="A10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(EU)(blank)_Canola_Extraction_ElectricityElectricity</v>
      </c>
      <c r="B1088" s="48" t="s">
        <v>1347</v>
      </c>
      <c r="C1088" s="14" t="s">
        <v>30</v>
      </c>
      <c r="D1088" s="14" t="s">
        <v>194</v>
      </c>
      <c r="E1088" s="14" t="s">
        <v>368</v>
      </c>
      <c r="F1088" s="48" t="s">
        <v>31</v>
      </c>
      <c r="G1088" s="14" t="b">
        <f>OR(LCI_Table[[#This Row],[Feedstock]]="All",LCI_Table[[#This Row],[Feedstock]]=SelectedFeedstock)</f>
        <v>1</v>
      </c>
      <c r="H1088" s="14" t="b">
        <f>OR(LCI_Table[[#This Row],[Conversion]]="All",LCI_Table[[#This Row],[Conversion]]=SelectedConversion)</f>
        <v>1</v>
      </c>
      <c r="I1088" s="14" t="b">
        <f>OR(LCI_Table[[#This Row],[Data Set]]="all",LCI_Table[[#This Row],[Data Set]]=SelectedDataSet)</f>
        <v>0</v>
      </c>
      <c r="J1088" s="14" t="b">
        <f>OR(LCI_Table[[#This Row],[Technology]]="All",LCI_Table[[#This Row],[Technology]]=SelectedTechnology)</f>
        <v>1</v>
      </c>
      <c r="K1088" s="14" t="b">
        <f>OR(LCI_Table[[#This Row],[Data Source]]="All",LCI_Table[[#This Row],[Data Source]]=SelectedDataSource)</f>
        <v>0</v>
      </c>
      <c r="L1088" s="14" t="b">
        <f>TRUE</f>
        <v>1</v>
      </c>
      <c r="M1088" s="14" t="b">
        <f>(LCI_Table[[#This Row],[Dev Notes]]="Do not display")</f>
        <v>0</v>
      </c>
      <c r="N1088" s="14" t="b">
        <f>AND(LCI_Table[[#This Row],[Show Feedstock]:[Conditional]],NOT(LCI_Table[[#This Row],[Hide Row]]))</f>
        <v>0</v>
      </c>
      <c r="O1088" s="14" t="b">
        <f>LCI_Table[[#This Row],[GREET1 Name Range]]=""</f>
        <v>0</v>
      </c>
      <c r="P1088" s="14" t="s">
        <v>15</v>
      </c>
      <c r="Q1088" s="14" t="s">
        <v>480</v>
      </c>
      <c r="R1088" s="14" t="s">
        <v>110</v>
      </c>
      <c r="S1088" s="37" cm="1">
        <f t="array" aca="1" ref="S10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6.0314026091666667E-2</v>
      </c>
      <c r="T1088" s="346" t="s">
        <v>2115</v>
      </c>
      <c r="U1088" s="347">
        <f ca="1">S1088/BTU2kWh</f>
        <v>205.8</v>
      </c>
      <c r="V1088" s="347">
        <v>6.0314026091666667E-2</v>
      </c>
      <c r="W1088" s="347">
        <v>205.8</v>
      </c>
      <c r="X1088" s="14" t="s">
        <v>51</v>
      </c>
      <c r="Y1088" s="346" t="s">
        <v>891</v>
      </c>
      <c r="Z1088" s="14" t="str">
        <f>IF(ISBLANK(LCI_Table[[#This Row],[Notes for user]])," ",LCI_Table[[#This Row],[Notes for user]])</f>
        <v xml:space="preserve"> </v>
      </c>
      <c r="AA1088" s="14"/>
      <c r="AB1088" s="14"/>
      <c r="AC1088" s="346">
        <f ca="1">LCI_Table[[#This Row],[Default Calculated Value]]-LCI_Table[[#This Row],[Calculated Value]]</f>
        <v>0</v>
      </c>
    </row>
    <row r="1089" spans="1:29" x14ac:dyDescent="0.3">
      <c r="A10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(EU)(blank)_Canola_Extraction_N_hexaneN-hexane</v>
      </c>
      <c r="B1089" s="48" t="s">
        <v>1347</v>
      </c>
      <c r="C1089" s="14" t="s">
        <v>30</v>
      </c>
      <c r="D1089" s="14" t="s">
        <v>194</v>
      </c>
      <c r="E1089" s="14" t="s">
        <v>368</v>
      </c>
      <c r="F1089" s="48" t="s">
        <v>31</v>
      </c>
      <c r="G1089" s="14" t="b">
        <f>OR(LCI_Table[[#This Row],[Feedstock]]="All",LCI_Table[[#This Row],[Feedstock]]=SelectedFeedstock)</f>
        <v>1</v>
      </c>
      <c r="H1089" s="14" t="b">
        <f>OR(LCI_Table[[#This Row],[Conversion]]="All",LCI_Table[[#This Row],[Conversion]]=SelectedConversion)</f>
        <v>1</v>
      </c>
      <c r="I1089" s="14" t="b">
        <f>OR(LCI_Table[[#This Row],[Data Set]]="all",LCI_Table[[#This Row],[Data Set]]=SelectedDataSet)</f>
        <v>0</v>
      </c>
      <c r="J1089" s="14" t="b">
        <f>OR(LCI_Table[[#This Row],[Technology]]="All",LCI_Table[[#This Row],[Technology]]=SelectedTechnology)</f>
        <v>1</v>
      </c>
      <c r="K1089" s="14" t="b">
        <f>OR(LCI_Table[[#This Row],[Data Source]]="All",LCI_Table[[#This Row],[Data Source]]=SelectedDataSource)</f>
        <v>0</v>
      </c>
      <c r="L1089" s="14" t="b">
        <f>TRUE</f>
        <v>1</v>
      </c>
      <c r="M1089" s="14" t="b">
        <f>(LCI_Table[[#This Row],[Dev Notes]]="Do not display")</f>
        <v>0</v>
      </c>
      <c r="N1089" s="14" t="b">
        <f>AND(LCI_Table[[#This Row],[Show Feedstock]:[Conditional]],NOT(LCI_Table[[#This Row],[Hide Row]]))</f>
        <v>0</v>
      </c>
      <c r="O1089" s="14" t="b">
        <f>LCI_Table[[#This Row],[GREET1 Name Range]]=""</f>
        <v>0</v>
      </c>
      <c r="P1089" s="14" t="s">
        <v>15</v>
      </c>
      <c r="Q1089" s="14" t="s">
        <v>485</v>
      </c>
      <c r="R1089" s="14" t="s">
        <v>116</v>
      </c>
      <c r="S1089" s="37" cm="1">
        <f t="array" aca="1" ref="S10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3.2723011125823777E-7</v>
      </c>
      <c r="T1089" s="346" t="s">
        <v>2111</v>
      </c>
      <c r="U1089" s="347">
        <f ca="1">S1089*Fuel_Specs!$B$58*ton2lb</f>
        <v>68.799999999999983</v>
      </c>
      <c r="V1089" s="347">
        <v>3.2723011125823777E-7</v>
      </c>
      <c r="W1089" s="347">
        <v>68.799999999999983</v>
      </c>
      <c r="X1089" s="14" t="s">
        <v>12</v>
      </c>
      <c r="Y1089" s="346" t="s">
        <v>891</v>
      </c>
      <c r="Z1089" s="14" t="str">
        <f>IF(ISBLANK(LCI_Table[[#This Row],[Notes for user]])," ",LCI_Table[[#This Row],[Notes for user]])</f>
        <v xml:space="preserve"> </v>
      </c>
      <c r="AA1089" s="14"/>
      <c r="AB1089" s="14"/>
      <c r="AC1089" s="346">
        <f ca="1">LCI_Table[[#This Row],[Default Calculated Value]]-LCI_Table[[#This Row],[Calculated Value]]</f>
        <v>0</v>
      </c>
    </row>
    <row r="1090" spans="1:29" x14ac:dyDescent="0.3">
      <c r="A10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(EU)(blank)_Canola_Extraction_Forest_residueForest residue</v>
      </c>
      <c r="B1090" s="48" t="s">
        <v>1347</v>
      </c>
      <c r="C1090" s="14" t="s">
        <v>30</v>
      </c>
      <c r="D1090" s="14" t="s">
        <v>194</v>
      </c>
      <c r="E1090" s="14" t="s">
        <v>368</v>
      </c>
      <c r="F1090" s="48" t="s">
        <v>31</v>
      </c>
      <c r="G1090" s="14" t="b">
        <f>OR(LCI_Table[[#This Row],[Feedstock]]="All",LCI_Table[[#This Row],[Feedstock]]=SelectedFeedstock)</f>
        <v>1</v>
      </c>
      <c r="H1090" s="14" t="b">
        <f>OR(LCI_Table[[#This Row],[Conversion]]="All",LCI_Table[[#This Row],[Conversion]]=SelectedConversion)</f>
        <v>1</v>
      </c>
      <c r="I1090" s="14" t="b">
        <f>OR(LCI_Table[[#This Row],[Data Set]]="all",LCI_Table[[#This Row],[Data Set]]=SelectedDataSet)</f>
        <v>0</v>
      </c>
      <c r="J1090" s="14" t="b">
        <f>OR(LCI_Table[[#This Row],[Technology]]="All",LCI_Table[[#This Row],[Technology]]=SelectedTechnology)</f>
        <v>1</v>
      </c>
      <c r="K1090" s="14" t="b">
        <f>OR(LCI_Table[[#This Row],[Data Source]]="All",LCI_Table[[#This Row],[Data Source]]=SelectedDataSource)</f>
        <v>0</v>
      </c>
      <c r="L1090" s="14" t="b">
        <f>TRUE</f>
        <v>1</v>
      </c>
      <c r="M1090" s="14" t="b">
        <f>(LCI_Table[[#This Row],[Dev Notes]]="Do not display")</f>
        <v>0</v>
      </c>
      <c r="N1090" s="14" t="b">
        <f>AND(LCI_Table[[#This Row],[Show Feedstock]:[Conditional]],NOT(LCI_Table[[#This Row],[Hide Row]]))</f>
        <v>0</v>
      </c>
      <c r="O1090" s="14" t="b">
        <f>LCI_Table[[#This Row],[GREET1 Name Range]]=""</f>
        <v>0</v>
      </c>
      <c r="P1090" s="14" t="s">
        <v>15</v>
      </c>
      <c r="Q1090" s="14" t="s">
        <v>481</v>
      </c>
      <c r="R1090" s="14" t="s">
        <v>316</v>
      </c>
      <c r="S1090" s="37" cm="1">
        <f t="array" aca="1" ref="S10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90" s="346" t="s">
        <v>2111</v>
      </c>
      <c r="U1090" s="347">
        <f ca="1">S1090*Fuel_Specs!$B$100*ton2lb</f>
        <v>0</v>
      </c>
      <c r="V1090" s="347">
        <v>0</v>
      </c>
      <c r="W1090" s="347">
        <v>0</v>
      </c>
      <c r="X1090" s="14" t="s">
        <v>12</v>
      </c>
      <c r="Y1090" s="346" t="s">
        <v>891</v>
      </c>
      <c r="Z1090" s="14" t="str">
        <f>IF(ISBLANK(LCI_Table[[#This Row],[Notes for user]])," ",LCI_Table[[#This Row],[Notes for user]])</f>
        <v xml:space="preserve"> </v>
      </c>
      <c r="AA1090" s="14"/>
      <c r="AB1090" s="14"/>
      <c r="AC1090" s="346">
        <f ca="1">LCI_Table[[#This Row],[Default Calculated Value]]-LCI_Table[[#This Row],[Calculated Value]]</f>
        <v>0</v>
      </c>
    </row>
    <row r="1091" spans="1:29" x14ac:dyDescent="0.3">
      <c r="A10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(EU)(blank)_Canola_Extraction_Landfill_gasLandfill gas</v>
      </c>
      <c r="B1091" s="48" t="s">
        <v>1347</v>
      </c>
      <c r="C1091" s="14" t="s">
        <v>30</v>
      </c>
      <c r="D1091" s="14" t="s">
        <v>194</v>
      </c>
      <c r="E1091" s="14" t="s">
        <v>368</v>
      </c>
      <c r="F1091" s="48" t="s">
        <v>31</v>
      </c>
      <c r="G1091" s="14" t="b">
        <f>OR(LCI_Table[[#This Row],[Feedstock]]="All",LCI_Table[[#This Row],[Feedstock]]=SelectedFeedstock)</f>
        <v>1</v>
      </c>
      <c r="H1091" s="14" t="b">
        <f>OR(LCI_Table[[#This Row],[Conversion]]="All",LCI_Table[[#This Row],[Conversion]]=SelectedConversion)</f>
        <v>1</v>
      </c>
      <c r="I1091" s="14" t="b">
        <f>OR(LCI_Table[[#This Row],[Data Set]]="all",LCI_Table[[#This Row],[Data Set]]=SelectedDataSet)</f>
        <v>0</v>
      </c>
      <c r="J1091" s="14" t="b">
        <f>OR(LCI_Table[[#This Row],[Technology]]="All",LCI_Table[[#This Row],[Technology]]=SelectedTechnology)</f>
        <v>1</v>
      </c>
      <c r="K1091" s="14" t="b">
        <f>OR(LCI_Table[[#This Row],[Data Source]]="All",LCI_Table[[#This Row],[Data Source]]=SelectedDataSource)</f>
        <v>0</v>
      </c>
      <c r="L1091" s="14" t="b">
        <f>TRUE</f>
        <v>1</v>
      </c>
      <c r="M1091" s="14" t="b">
        <f>(LCI_Table[[#This Row],[Dev Notes]]="Do not display")</f>
        <v>0</v>
      </c>
      <c r="N1091" s="14" t="b">
        <f>AND(LCI_Table[[#This Row],[Show Feedstock]:[Conditional]],NOT(LCI_Table[[#This Row],[Hide Row]]))</f>
        <v>0</v>
      </c>
      <c r="O1091" s="14" t="b">
        <f>LCI_Table[[#This Row],[GREET1 Name Range]]=""</f>
        <v>0</v>
      </c>
      <c r="P1091" s="14" t="s">
        <v>15</v>
      </c>
      <c r="Q1091" s="14" t="s">
        <v>483</v>
      </c>
      <c r="R1091" s="14" t="s">
        <v>130</v>
      </c>
      <c r="S1091" s="37" cm="1">
        <f t="array" aca="1" ref="S10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091" s="346" t="s">
        <v>2113</v>
      </c>
      <c r="U1091" s="347">
        <f ca="1">S1091*Fuel_Specs!$B$79</f>
        <v>0</v>
      </c>
      <c r="V1091" s="347">
        <v>0</v>
      </c>
      <c r="W1091" s="347">
        <v>0</v>
      </c>
      <c r="X1091" s="14" t="s">
        <v>351</v>
      </c>
      <c r="Y1091" s="346" t="s">
        <v>891</v>
      </c>
      <c r="Z1091" s="14" t="str">
        <f>IF(ISBLANK(LCI_Table[[#This Row],[Notes for user]])," ",LCI_Table[[#This Row],[Notes for user]])</f>
        <v xml:space="preserve"> </v>
      </c>
      <c r="AA1091" s="14"/>
      <c r="AB1091" s="14"/>
      <c r="AC1091" s="346">
        <f ca="1">LCI_Table[[#This Row],[Default Calculated Value]]-LCI_Table[[#This Row],[Calculated Value]]</f>
        <v>0</v>
      </c>
    </row>
    <row r="1092" spans="1:29" x14ac:dyDescent="0.3">
      <c r="A10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(EU)(blank)_Canola_Oil_Extraction_Energy_AllocationAllocation factor</v>
      </c>
      <c r="B1092" s="48" t="s">
        <v>1347</v>
      </c>
      <c r="C1092" s="14" t="s">
        <v>30</v>
      </c>
      <c r="D1092" s="14" t="s">
        <v>194</v>
      </c>
      <c r="E1092" s="14" t="s">
        <v>368</v>
      </c>
      <c r="F1092" s="48" t="s">
        <v>31</v>
      </c>
      <c r="G1092" s="14" t="b">
        <f>OR(LCI_Table[[#This Row],[Feedstock]]="All",LCI_Table[[#This Row],[Feedstock]]=SelectedFeedstock)</f>
        <v>1</v>
      </c>
      <c r="H1092" s="14" t="b">
        <f>OR(LCI_Table[[#This Row],[Conversion]]="All",LCI_Table[[#This Row],[Conversion]]=SelectedConversion)</f>
        <v>1</v>
      </c>
      <c r="I1092" s="14" t="b">
        <f>OR(LCI_Table[[#This Row],[Data Set]]="all",LCI_Table[[#This Row],[Data Set]]=SelectedDataSet)</f>
        <v>0</v>
      </c>
      <c r="J1092" s="14" t="b">
        <f>OR(LCI_Table[[#This Row],[Technology]]="All",LCI_Table[[#This Row],[Technology]]=SelectedTechnology)</f>
        <v>1</v>
      </c>
      <c r="K1092" s="14" t="b">
        <f>OR(LCI_Table[[#This Row],[Data Source]]="All",LCI_Table[[#This Row],[Data Source]]=SelectedDataSource)</f>
        <v>0</v>
      </c>
      <c r="L1092" s="14" t="b">
        <f>TRUE</f>
        <v>1</v>
      </c>
      <c r="M1092" s="14" t="b">
        <f>(LCI_Table[[#This Row],[Dev Notes]]="Do not display")</f>
        <v>0</v>
      </c>
      <c r="N1092" s="14" t="b">
        <f>AND(LCI_Table[[#This Row],[Show Feedstock]:[Conditional]],NOT(LCI_Table[[#This Row],[Hide Row]]))</f>
        <v>0</v>
      </c>
      <c r="O1092" s="14" t="b">
        <f>LCI_Table[[#This Row],[GREET1 Name Range]]=""</f>
        <v>0</v>
      </c>
      <c r="P1092" s="14" t="s">
        <v>15</v>
      </c>
      <c r="Q1092" s="14" t="s">
        <v>1107</v>
      </c>
      <c r="R1092" s="14" t="s">
        <v>1344</v>
      </c>
      <c r="S1092" s="37" cm="1">
        <f t="array" aca="1" ref="S10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68.937035671926452</v>
      </c>
      <c r="T1092" s="346" t="s">
        <v>1345</v>
      </c>
      <c r="U1092" s="347">
        <f ca="1">LCI_Table[[#This Row],[Dashboard Value]]/100</f>
        <v>0.6893703567192645</v>
      </c>
      <c r="V1092" s="347">
        <v>68.937035671926452</v>
      </c>
      <c r="W1092" s="347">
        <v>0.6893703567192645</v>
      </c>
      <c r="X1092" s="14" t="s">
        <v>1345</v>
      </c>
      <c r="Y1092" s="346" t="s">
        <v>891</v>
      </c>
      <c r="Z1092" s="14" t="str">
        <f>IF(ISBLANK(LCI_Table[[#This Row],[Notes for user]])," ",LCI_Table[[#This Row],[Notes for user]])</f>
        <v>Allocation to canola/rapeseed oil (energy allocation)</v>
      </c>
      <c r="AA1092" s="14" t="s">
        <v>1352</v>
      </c>
      <c r="AB1092" s="14"/>
      <c r="AC1092" s="346">
        <f ca="1">LCI_Table[[#This Row],[Default Calculated Value]]-LCI_Table[[#This Row],[Calculated Value]]</f>
        <v>0</v>
      </c>
    </row>
    <row r="1093" spans="1:29" x14ac:dyDescent="0.3">
      <c r="A10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(EU)(blank)_HEFA_feed_usageCanola oil</v>
      </c>
      <c r="B1093" s="48" t="s">
        <v>1347</v>
      </c>
      <c r="C1093" s="14" t="s">
        <v>30</v>
      </c>
      <c r="D1093" s="14" t="s">
        <v>194</v>
      </c>
      <c r="E1093" s="14" t="s">
        <v>368</v>
      </c>
      <c r="F1093" s="48" t="s">
        <v>31</v>
      </c>
      <c r="G1093" s="14" t="b">
        <f>OR(LCI_Table[[#This Row],[Feedstock]]="All",LCI_Table[[#This Row],[Feedstock]]=SelectedFeedstock)</f>
        <v>1</v>
      </c>
      <c r="H1093" s="14" t="b">
        <f>OR(LCI_Table[[#This Row],[Conversion]]="All",LCI_Table[[#This Row],[Conversion]]=SelectedConversion)</f>
        <v>1</v>
      </c>
      <c r="I1093" s="14" t="b">
        <f>OR(LCI_Table[[#This Row],[Data Set]]="all",LCI_Table[[#This Row],[Data Set]]=SelectedDataSet)</f>
        <v>0</v>
      </c>
      <c r="J1093" s="14" t="b">
        <f>OR(LCI_Table[[#This Row],[Technology]]="All",LCI_Table[[#This Row],[Technology]]=SelectedTechnology)</f>
        <v>1</v>
      </c>
      <c r="K1093" s="14" t="b">
        <f>OR(LCI_Table[[#This Row],[Data Source]]="All",LCI_Table[[#This Row],[Data Source]]=SelectedDataSource)</f>
        <v>0</v>
      </c>
      <c r="L1093" s="14" t="b">
        <f>TRUE</f>
        <v>1</v>
      </c>
      <c r="M1093" s="14" t="b">
        <f>(LCI_Table[[#This Row],[Dev Notes]]="Do not display")</f>
        <v>0</v>
      </c>
      <c r="N1093" s="14" t="b">
        <f>AND(LCI_Table[[#This Row],[Show Feedstock]:[Conditional]],NOT(LCI_Table[[#This Row],[Hide Row]]))</f>
        <v>0</v>
      </c>
      <c r="O1093" s="14" t="b">
        <f>LCI_Table[[#This Row],[GREET1 Name Range]]=""</f>
        <v>0</v>
      </c>
      <c r="P1093" s="14" t="s">
        <v>1448</v>
      </c>
      <c r="Q1093" s="14" t="s">
        <v>933</v>
      </c>
      <c r="R1093" s="14" t="s">
        <v>400</v>
      </c>
      <c r="S1093" s="37" cm="1">
        <f t="array" aca="1" ref="S10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64.651733024069841</v>
      </c>
      <c r="T1093" s="346" t="s">
        <v>2119</v>
      </c>
      <c r="U1093" s="347">
        <f ca="1">S1093*lb2g/Fuel_Specs!$E$48*Fuel_Specs!$B$48*BTU2mmBTU</f>
        <v>1.2257701777479215</v>
      </c>
      <c r="V1093" s="347">
        <v>64.651733024069841</v>
      </c>
      <c r="W1093" s="347">
        <v>1.2257701777479215</v>
      </c>
      <c r="X1093" s="14" t="s">
        <v>12</v>
      </c>
      <c r="Y1093" s="346" t="s">
        <v>416</v>
      </c>
      <c r="Z1093" s="14" t="str">
        <f>IF(ISBLANK(LCI_Table[[#This Row],[Notes for user]])," ",LCI_Table[[#This Row],[Notes for user]])</f>
        <v xml:space="preserve"> </v>
      </c>
      <c r="AA1093" s="358"/>
      <c r="AB1093" s="14"/>
      <c r="AC1093" s="346">
        <f ca="1">LCI_Table[[#This Row],[Default Calculated Value]]-LCI_Table[[#This Row],[Calculated Value]]</f>
        <v>0</v>
      </c>
    </row>
    <row r="1094" spans="1:29" x14ac:dyDescent="0.3">
      <c r="A10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(EU)(blank)_Canola_HEFA_Natural_gasNatural gas</v>
      </c>
      <c r="B1094" s="48" t="s">
        <v>1347</v>
      </c>
      <c r="C1094" s="14" t="s">
        <v>30</v>
      </c>
      <c r="D1094" s="14" t="s">
        <v>194</v>
      </c>
      <c r="E1094" s="14" t="s">
        <v>368</v>
      </c>
      <c r="F1094" s="48" t="s">
        <v>31</v>
      </c>
      <c r="G1094" s="14" t="b">
        <f>OR(LCI_Table[[#This Row],[Feedstock]]="All",LCI_Table[[#This Row],[Feedstock]]=SelectedFeedstock)</f>
        <v>1</v>
      </c>
      <c r="H1094" s="14" t="b">
        <f>OR(LCI_Table[[#This Row],[Conversion]]="All",LCI_Table[[#This Row],[Conversion]]=SelectedConversion)</f>
        <v>1</v>
      </c>
      <c r="I1094" s="14" t="b">
        <f>OR(LCI_Table[[#This Row],[Data Set]]="all",LCI_Table[[#This Row],[Data Set]]=SelectedDataSet)</f>
        <v>0</v>
      </c>
      <c r="J1094" s="14" t="b">
        <f>OR(LCI_Table[[#This Row],[Technology]]="All",LCI_Table[[#This Row],[Technology]]=SelectedTechnology)</f>
        <v>1</v>
      </c>
      <c r="K1094" s="14" t="b">
        <f>OR(LCI_Table[[#This Row],[Data Source]]="All",LCI_Table[[#This Row],[Data Source]]=SelectedDataSource)</f>
        <v>0</v>
      </c>
      <c r="L1094" s="14" t="b">
        <f>TRUE</f>
        <v>1</v>
      </c>
      <c r="M1094" s="14" t="b">
        <f>(LCI_Table[[#This Row],[Dev Notes]]="Do not display")</f>
        <v>0</v>
      </c>
      <c r="N1094" s="14" t="b">
        <f>AND(LCI_Table[[#This Row],[Show Feedstock]:[Conditional]],NOT(LCI_Table[[#This Row],[Hide Row]]))</f>
        <v>0</v>
      </c>
      <c r="O1094" s="14" t="b">
        <f>LCI_Table[[#This Row],[GREET1 Name Range]]=""</f>
        <v>0</v>
      </c>
      <c r="P1094" s="14" t="s">
        <v>1448</v>
      </c>
      <c r="Q1094" s="14" t="s">
        <v>503</v>
      </c>
      <c r="R1094" s="14" t="s">
        <v>108</v>
      </c>
      <c r="S1094" s="37" cm="1">
        <f t="array" aca="1" ref="S10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196.8635506284258</v>
      </c>
      <c r="T1094" s="346" t="s">
        <v>2120</v>
      </c>
      <c r="U1094" s="347">
        <f ca="1">S1094*lb2g/Fuel_Specs!$E$48*Fuel_Specs!$B$48*Fuel_Specs!$B$79*BTU2mmBTU</f>
        <v>3669</v>
      </c>
      <c r="V1094" s="347">
        <v>196.8635506284258</v>
      </c>
      <c r="W1094" s="347">
        <v>3669</v>
      </c>
      <c r="X1094" s="14" t="s">
        <v>351</v>
      </c>
      <c r="Y1094" s="346" t="s">
        <v>416</v>
      </c>
      <c r="Z1094" s="14" t="str">
        <f>IF(ISBLANK(LCI_Table[[#This Row],[Notes for user]])," ",LCI_Table[[#This Row],[Notes for user]])</f>
        <v xml:space="preserve"> </v>
      </c>
      <c r="AA1094" s="14"/>
      <c r="AB1094" s="14"/>
      <c r="AC1094" s="346">
        <f ca="1">LCI_Table[[#This Row],[Default Calculated Value]]-LCI_Table[[#This Row],[Calculated Value]]</f>
        <v>0</v>
      </c>
    </row>
    <row r="1095" spans="1:29" x14ac:dyDescent="0.3">
      <c r="A10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(EU)(blank)_Canola_HEFA_ElectricityGrid Electricity</v>
      </c>
      <c r="B1095" s="48" t="s">
        <v>1347</v>
      </c>
      <c r="C1095" s="14" t="s">
        <v>30</v>
      </c>
      <c r="D1095" s="14" t="s">
        <v>194</v>
      </c>
      <c r="E1095" s="14" t="s">
        <v>368</v>
      </c>
      <c r="F1095" s="48" t="s">
        <v>31</v>
      </c>
      <c r="G1095" s="14" t="b">
        <f>OR(LCI_Table[[#This Row],[Feedstock]]="All",LCI_Table[[#This Row],[Feedstock]]=SelectedFeedstock)</f>
        <v>1</v>
      </c>
      <c r="H1095" s="14" t="b">
        <f>OR(LCI_Table[[#This Row],[Conversion]]="All",LCI_Table[[#This Row],[Conversion]]=SelectedConversion)</f>
        <v>1</v>
      </c>
      <c r="I1095" s="14" t="b">
        <f>OR(LCI_Table[[#This Row],[Data Set]]="all",LCI_Table[[#This Row],[Data Set]]=SelectedDataSet)</f>
        <v>0</v>
      </c>
      <c r="J1095" s="14" t="b">
        <f>OR(LCI_Table[[#This Row],[Technology]]="All",LCI_Table[[#This Row],[Technology]]=SelectedTechnology)</f>
        <v>1</v>
      </c>
      <c r="K1095" s="14" t="b">
        <f>OR(LCI_Table[[#This Row],[Data Source]]="All",LCI_Table[[#This Row],[Data Source]]=SelectedDataSource)</f>
        <v>0</v>
      </c>
      <c r="L1095" s="14" t="b">
        <f>TRUE</f>
        <v>1</v>
      </c>
      <c r="M1095" s="14" t="b">
        <f>(LCI_Table[[#This Row],[Dev Notes]]="Do not display")</f>
        <v>0</v>
      </c>
      <c r="N1095" s="14" t="b">
        <f>AND(LCI_Table[[#This Row],[Show Feedstock]:[Conditional]],NOT(LCI_Table[[#This Row],[Hide Row]]))</f>
        <v>0</v>
      </c>
      <c r="O1095" s="14" t="b">
        <f>LCI_Table[[#This Row],[GREET1 Name Range]]=""</f>
        <v>0</v>
      </c>
      <c r="P1095" s="14" t="s">
        <v>1448</v>
      </c>
      <c r="Q1095" s="14" t="s">
        <v>501</v>
      </c>
      <c r="R1095" s="14" t="s">
        <v>1684</v>
      </c>
      <c r="S1095" s="37" cm="1">
        <f t="array" aca="1" ref="S10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2.2568200147824293</v>
      </c>
      <c r="T1095" s="346" t="s">
        <v>2121</v>
      </c>
      <c r="U1095" s="347">
        <f ca="1">S1095*lb2g/Fuel_Specs!$E$48*Fuel_Specs!$B$48/BTU2kWh*BTU2mmBTU</f>
        <v>146.00000000000006</v>
      </c>
      <c r="V1095" s="347">
        <v>2.2568200147824293</v>
      </c>
      <c r="W1095" s="347">
        <v>146.00000000000006</v>
      </c>
      <c r="X1095" s="14" t="s">
        <v>51</v>
      </c>
      <c r="Y1095" s="346" t="s">
        <v>416</v>
      </c>
      <c r="Z1095" s="14" t="str">
        <f>IF(ISBLANK(LCI_Table[[#This Row],[Notes for user]])," ",LCI_Table[[#This Row],[Notes for user]])</f>
        <v xml:space="preserve"> </v>
      </c>
      <c r="AA1095" s="14"/>
      <c r="AB1095" s="14"/>
      <c r="AC1095" s="346">
        <f ca="1">LCI_Table[[#This Row],[Default Calculated Value]]-LCI_Table[[#This Row],[Calculated Value]]</f>
        <v>0</v>
      </c>
    </row>
    <row r="1096" spans="1:29" x14ac:dyDescent="0.3">
      <c r="A10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(EU)(blank)_Canola_HEFA_HydrogenHydrogen</v>
      </c>
      <c r="B1096" s="48" t="s">
        <v>1347</v>
      </c>
      <c r="C1096" s="14" t="s">
        <v>30</v>
      </c>
      <c r="D1096" s="14" t="s">
        <v>194</v>
      </c>
      <c r="E1096" s="14" t="s">
        <v>368</v>
      </c>
      <c r="F1096" s="48" t="s">
        <v>31</v>
      </c>
      <c r="G1096" s="14" t="b">
        <f>OR(LCI_Table[[#This Row],[Feedstock]]="All",LCI_Table[[#This Row],[Feedstock]]=SelectedFeedstock)</f>
        <v>1</v>
      </c>
      <c r="H1096" s="14" t="b">
        <f>OR(LCI_Table[[#This Row],[Conversion]]="All",LCI_Table[[#This Row],[Conversion]]=SelectedConversion)</f>
        <v>1</v>
      </c>
      <c r="I1096" s="14" t="b">
        <f>OR(LCI_Table[[#This Row],[Data Set]]="all",LCI_Table[[#This Row],[Data Set]]=SelectedDataSet)</f>
        <v>0</v>
      </c>
      <c r="J1096" s="14" t="b">
        <f>OR(LCI_Table[[#This Row],[Technology]]="All",LCI_Table[[#This Row],[Technology]]=SelectedTechnology)</f>
        <v>1</v>
      </c>
      <c r="K1096" s="14" t="b">
        <f>OR(LCI_Table[[#This Row],[Data Source]]="All",LCI_Table[[#This Row],[Data Source]]=SelectedDataSource)</f>
        <v>0</v>
      </c>
      <c r="L1096" s="14" t="b">
        <f>TRUE</f>
        <v>1</v>
      </c>
      <c r="M1096" s="14" t="b">
        <f>(LCI_Table[[#This Row],[Dev Notes]]="Do not display")</f>
        <v>0</v>
      </c>
      <c r="N1096" s="14" t="b">
        <f>AND(LCI_Table[[#This Row],[Show Feedstock]:[Conditional]],NOT(LCI_Table[[#This Row],[Hide Row]]))</f>
        <v>0</v>
      </c>
      <c r="O1096" s="14" t="b">
        <f>LCI_Table[[#This Row],[GREET1 Name Range]]=""</f>
        <v>0</v>
      </c>
      <c r="P1096" s="14" t="s">
        <v>1448</v>
      </c>
      <c r="Q1096" s="14" t="s">
        <v>502</v>
      </c>
      <c r="R1096" s="14" t="s">
        <v>73</v>
      </c>
      <c r="S1096" s="37" cm="1">
        <f t="array" aca="1" ref="S10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57.727140368024244</v>
      </c>
      <c r="T1096" s="346" t="s">
        <v>2120</v>
      </c>
      <c r="U1096" s="347">
        <f ca="1">S1096*lb2g/Fuel_Specs!$E$48*Fuel_Specs!$B$48*Fuel_Specs!$B$81*BTU2mmBTU</f>
        <v>317.40000000000003</v>
      </c>
      <c r="V1096" s="347">
        <v>57.727140368024244</v>
      </c>
      <c r="W1096" s="347">
        <v>317.40000000000003</v>
      </c>
      <c r="X1096" s="14" t="s">
        <v>351</v>
      </c>
      <c r="Y1096" s="346" t="s">
        <v>416</v>
      </c>
      <c r="Z1096" s="14" t="str">
        <f>IF(ISBLANK(LCI_Table[[#This Row],[Notes for user]])," ",LCI_Table[[#This Row],[Notes for user]])</f>
        <v xml:space="preserve"> </v>
      </c>
      <c r="AA1096" s="14"/>
      <c r="AB1096" s="14"/>
      <c r="AC1096" s="346">
        <f ca="1">LCI_Table[[#This Row],[Default Calculated Value]]-LCI_Table[[#This Row],[Calculated Value]]</f>
        <v>0</v>
      </c>
    </row>
    <row r="1097" spans="1:29" x14ac:dyDescent="0.3">
      <c r="A10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Canola/RapeseedHEFAICAOBioGrace (EU)(blank)_Canola_Oil_HEFA_Energy_AllocationAllocation factor</v>
      </c>
      <c r="B1097" s="48" t="s">
        <v>1347</v>
      </c>
      <c r="C1097" s="14" t="s">
        <v>30</v>
      </c>
      <c r="D1097" s="14" t="s">
        <v>194</v>
      </c>
      <c r="E1097" s="14" t="s">
        <v>368</v>
      </c>
      <c r="F1097" s="48" t="s">
        <v>31</v>
      </c>
      <c r="G1097" s="14" t="b">
        <f>OR(LCI_Table[[#This Row],[Feedstock]]="All",LCI_Table[[#This Row],[Feedstock]]=SelectedFeedstock)</f>
        <v>1</v>
      </c>
      <c r="H1097" s="14" t="b">
        <f>OR(LCI_Table[[#This Row],[Conversion]]="All",LCI_Table[[#This Row],[Conversion]]=SelectedConversion)</f>
        <v>1</v>
      </c>
      <c r="I1097" s="14" t="b">
        <f>OR(LCI_Table[[#This Row],[Data Set]]="all",LCI_Table[[#This Row],[Data Set]]=SelectedDataSet)</f>
        <v>0</v>
      </c>
      <c r="J1097" s="14" t="b">
        <f>OR(LCI_Table[[#This Row],[Technology]]="All",LCI_Table[[#This Row],[Technology]]=SelectedTechnology)</f>
        <v>1</v>
      </c>
      <c r="K1097" s="14" t="b">
        <f>OR(LCI_Table[[#This Row],[Data Source]]="All",LCI_Table[[#This Row],[Data Source]]=SelectedDataSource)</f>
        <v>0</v>
      </c>
      <c r="L1097" s="14" t="b">
        <f>TRUE</f>
        <v>1</v>
      </c>
      <c r="M1097" s="14" t="b">
        <f>(LCI_Table[[#This Row],[Dev Notes]]="Do not display")</f>
        <v>0</v>
      </c>
      <c r="N1097" s="14" t="b">
        <f>AND(LCI_Table[[#This Row],[Show Feedstock]:[Conditional]],NOT(LCI_Table[[#This Row],[Hide Row]]))</f>
        <v>0</v>
      </c>
      <c r="O1097" s="14" t="b">
        <f>LCI_Table[[#This Row],[GREET1 Name Range]]=""</f>
        <v>0</v>
      </c>
      <c r="P1097" s="14" t="s">
        <v>1448</v>
      </c>
      <c r="Q1097" s="14" t="s">
        <v>1117</v>
      </c>
      <c r="R1097" s="14" t="s">
        <v>1344</v>
      </c>
      <c r="S1097" s="37" cm="1">
        <f t="array" aca="1" ref="S10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99.009879652760063</v>
      </c>
      <c r="T1097" s="346" t="s">
        <v>1345</v>
      </c>
      <c r="U1097" s="347">
        <f ca="1">LCI_Table[[#This Row],[Dashboard Value]]/100</f>
        <v>0.99009879652760058</v>
      </c>
      <c r="V1097" s="351">
        <v>99.009879652760063</v>
      </c>
      <c r="W1097" s="351">
        <v>0.99009879652760058</v>
      </c>
      <c r="X1097" s="14" t="s">
        <v>1345</v>
      </c>
      <c r="Y1097" s="346" t="s">
        <v>416</v>
      </c>
      <c r="Z1097" s="14" t="str">
        <f>IF(ISBLANK(LCI_Table[[#This Row],[Notes for user]])," ",LCI_Table[[#This Row],[Notes for user]])</f>
        <v>Allocation to main distillate fuels (energy allocation)</v>
      </c>
      <c r="AA1097" s="14" t="s">
        <v>1353</v>
      </c>
      <c r="AB1097" s="14"/>
      <c r="AC1097" s="346">
        <f ca="1">LCI_Table[[#This Row],[Default Calculated Value]]-LCI_Table[[#This Row],[Calculated Value]]</f>
        <v>0</v>
      </c>
    </row>
    <row r="1098" spans="1:29" x14ac:dyDescent="0.3">
      <c r="A10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dash_Canola/RapeseedHEFAICAOGHGenius (Canada)(blank)_Yield_Farming</v>
      </c>
      <c r="B1098" s="48" t="s">
        <v>1347</v>
      </c>
      <c r="C1098" s="48" t="s">
        <v>30</v>
      </c>
      <c r="D1098" s="48" t="s">
        <v>194</v>
      </c>
      <c r="E1098" s="48" t="s">
        <v>370</v>
      </c>
      <c r="F1098" s="48" t="s">
        <v>31</v>
      </c>
      <c r="G1098" s="14" t="b">
        <f>OR(LCI_Table[[#This Row],[Feedstock]]="All",LCI_Table[[#This Row],[Feedstock]]=SelectedFeedstock)</f>
        <v>1</v>
      </c>
      <c r="H1098" s="14" t="b">
        <f>OR(LCI_Table[[#This Row],[Conversion]]="All",LCI_Table[[#This Row],[Conversion]]=SelectedConversion)</f>
        <v>1</v>
      </c>
      <c r="I1098" s="14" t="b">
        <f>OR(LCI_Table[[#This Row],[Data Set]]="all",LCI_Table[[#This Row],[Data Set]]=SelectedDataSet)</f>
        <v>0</v>
      </c>
      <c r="J1098" s="14" t="b">
        <f>OR(LCI_Table[[#This Row],[Technology]]="All",LCI_Table[[#This Row],[Technology]]=SelectedTechnology)</f>
        <v>1</v>
      </c>
      <c r="K1098" s="14" t="b">
        <f>OR(LCI_Table[[#This Row],[Data Source]]="All",LCI_Table[[#This Row],[Data Source]]=SelectedDataSource)</f>
        <v>0</v>
      </c>
      <c r="L1098" s="14" t="b">
        <f>TRUE</f>
        <v>1</v>
      </c>
      <c r="M1098" s="14" t="b">
        <f>(LCI_Table[[#This Row],[Dev Notes]]="Do not display")</f>
        <v>0</v>
      </c>
      <c r="N1098" s="14" t="b">
        <f>AND(LCI_Table[[#This Row],[Show Feedstock]:[Conditional]],NOT(LCI_Table[[#This Row],[Hide Row]]))</f>
        <v>0</v>
      </c>
      <c r="O1098" s="14" t="b">
        <f>LCI_Table[[#This Row],[GREET1 Name Range]]=""</f>
        <v>1</v>
      </c>
      <c r="P1098" s="48" t="s">
        <v>14</v>
      </c>
      <c r="Q1098" s="14" t="s">
        <v>361</v>
      </c>
      <c r="R1098" s="48" t="s">
        <v>200</v>
      </c>
      <c r="S1098" s="37" cm="1">
        <f t="array" aca="1" ref="S10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0.65100000000000002</v>
      </c>
      <c r="T1098" s="346" t="s">
        <v>2116</v>
      </c>
      <c r="U1098" s="344"/>
      <c r="V1098" s="353">
        <v>0.65100000000000002</v>
      </c>
      <c r="W1098" s="344"/>
      <c r="X1098" s="48" t="s">
        <v>55</v>
      </c>
      <c r="Y1098" s="346" t="s">
        <v>413</v>
      </c>
      <c r="Z1098" s="14" t="str">
        <f>IF(ISBLANK(LCI_Table[[#This Row],[Notes for user]])," ",LCI_Table[[#This Row],[Notes for user]])</f>
        <v>USDA (2021 data)</v>
      </c>
      <c r="AA1098" s="48" t="s">
        <v>915</v>
      </c>
      <c r="AB1098" s="345"/>
      <c r="AC1098" s="346">
        <f>LCI_Table[[#This Row],[Default Calculated Value]]-LCI_Table[[#This Row],[Calculated Value]]</f>
        <v>0</v>
      </c>
    </row>
    <row r="1099" spans="1:29" x14ac:dyDescent="0.3">
      <c r="A10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(Canada)(blank)_Canola_Farming_Nitrogen_fertilizerNitrogen fertilizer</v>
      </c>
      <c r="B1099" s="48" t="s">
        <v>1347</v>
      </c>
      <c r="C1099" s="14" t="s">
        <v>30</v>
      </c>
      <c r="D1099" s="14" t="s">
        <v>194</v>
      </c>
      <c r="E1099" s="14" t="s">
        <v>370</v>
      </c>
      <c r="F1099" s="48" t="s">
        <v>31</v>
      </c>
      <c r="G1099" s="14" t="b">
        <f>OR(LCI_Table[[#This Row],[Feedstock]]="All",LCI_Table[[#This Row],[Feedstock]]=SelectedFeedstock)</f>
        <v>1</v>
      </c>
      <c r="H1099" s="14" t="b">
        <f>OR(LCI_Table[[#This Row],[Conversion]]="All",LCI_Table[[#This Row],[Conversion]]=SelectedConversion)</f>
        <v>1</v>
      </c>
      <c r="I1099" s="14" t="b">
        <f>OR(LCI_Table[[#This Row],[Data Set]]="all",LCI_Table[[#This Row],[Data Set]]=SelectedDataSet)</f>
        <v>0</v>
      </c>
      <c r="J1099" s="14" t="b">
        <f>OR(LCI_Table[[#This Row],[Technology]]="All",LCI_Table[[#This Row],[Technology]]=SelectedTechnology)</f>
        <v>1</v>
      </c>
      <c r="K1099" s="14" t="b">
        <f>OR(LCI_Table[[#This Row],[Data Source]]="All",LCI_Table[[#This Row],[Data Source]]=SelectedDataSource)</f>
        <v>0</v>
      </c>
      <c r="L1099" s="14" t="b">
        <f>TRUE</f>
        <v>1</v>
      </c>
      <c r="M1099" s="14" t="b">
        <f>(LCI_Table[[#This Row],[Dev Notes]]="Do not display")</f>
        <v>0</v>
      </c>
      <c r="N1099" s="14" t="b">
        <f>AND(LCI_Table[[#This Row],[Show Feedstock]:[Conditional]],NOT(LCI_Table[[#This Row],[Hide Row]]))</f>
        <v>0</v>
      </c>
      <c r="O1099" s="14" t="b">
        <f>LCI_Table[[#This Row],[GREET1 Name Range]]=""</f>
        <v>0</v>
      </c>
      <c r="P1099" s="14" t="s">
        <v>14</v>
      </c>
      <c r="Q1099" s="14" t="s">
        <v>498</v>
      </c>
      <c r="R1099" s="14" t="s">
        <v>111</v>
      </c>
      <c r="S1099" s="37" cm="1">
        <f t="array" aca="1" ref="S10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67.83420000000001</v>
      </c>
      <c r="T1099" s="346" t="s">
        <v>1485</v>
      </c>
      <c r="U1099" s="347">
        <f ca="1">S1099/g2lb/S1098*MT2ton</f>
        <v>52099.999999999898</v>
      </c>
      <c r="V1099" s="347">
        <v>67.83420000000001</v>
      </c>
      <c r="W1099" s="347">
        <v>52099.999999999898</v>
      </c>
      <c r="X1099" s="14" t="s">
        <v>12</v>
      </c>
      <c r="Y1099" s="346" t="s">
        <v>413</v>
      </c>
      <c r="Z1099" s="14" t="str">
        <f>IF(ISBLANK(LCI_Table[[#This Row],[Notes for user]])," ",LCI_Table[[#This Row],[Notes for user]])</f>
        <v xml:space="preserve"> </v>
      </c>
      <c r="AA1099" s="14"/>
      <c r="AB1099" s="14"/>
      <c r="AC1099" s="346">
        <f ca="1">LCI_Table[[#This Row],[Default Calculated Value]]-LCI_Table[[#This Row],[Calculated Value]]</f>
        <v>0</v>
      </c>
    </row>
    <row r="1100" spans="1:29" x14ac:dyDescent="0.3">
      <c r="A11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(Canada)(blank)_Canola_Farming_P2O5P2O5</v>
      </c>
      <c r="B1100" s="48" t="s">
        <v>1347</v>
      </c>
      <c r="C1100" s="14" t="s">
        <v>30</v>
      </c>
      <c r="D1100" s="14" t="s">
        <v>194</v>
      </c>
      <c r="E1100" s="14" t="s">
        <v>370</v>
      </c>
      <c r="F1100" s="48" t="s">
        <v>31</v>
      </c>
      <c r="G1100" s="14" t="b">
        <f>OR(LCI_Table[[#This Row],[Feedstock]]="All",LCI_Table[[#This Row],[Feedstock]]=SelectedFeedstock)</f>
        <v>1</v>
      </c>
      <c r="H1100" s="14" t="b">
        <f>OR(LCI_Table[[#This Row],[Conversion]]="All",LCI_Table[[#This Row],[Conversion]]=SelectedConversion)</f>
        <v>1</v>
      </c>
      <c r="I1100" s="14" t="b">
        <f>OR(LCI_Table[[#This Row],[Data Set]]="all",LCI_Table[[#This Row],[Data Set]]=SelectedDataSet)</f>
        <v>0</v>
      </c>
      <c r="J1100" s="14" t="b">
        <f>OR(LCI_Table[[#This Row],[Technology]]="All",LCI_Table[[#This Row],[Technology]]=SelectedTechnology)</f>
        <v>1</v>
      </c>
      <c r="K1100" s="14" t="b">
        <f>OR(LCI_Table[[#This Row],[Data Source]]="All",LCI_Table[[#This Row],[Data Source]]=SelectedDataSource)</f>
        <v>0</v>
      </c>
      <c r="L1100" s="14" t="b">
        <f>TRUE</f>
        <v>1</v>
      </c>
      <c r="M1100" s="14" t="b">
        <f>(LCI_Table[[#This Row],[Dev Notes]]="Do not display")</f>
        <v>0</v>
      </c>
      <c r="N1100" s="14" t="b">
        <f>AND(LCI_Table[[#This Row],[Show Feedstock]:[Conditional]],NOT(LCI_Table[[#This Row],[Hide Row]]))</f>
        <v>0</v>
      </c>
      <c r="O1100" s="14" t="b">
        <f>LCI_Table[[#This Row],[GREET1 Name Range]]=""</f>
        <v>0</v>
      </c>
      <c r="P1100" s="14" t="s">
        <v>14</v>
      </c>
      <c r="Q1100" s="14" t="s">
        <v>499</v>
      </c>
      <c r="R1100" s="14" t="s">
        <v>112</v>
      </c>
      <c r="S1100" s="37" cm="1">
        <f t="array" aca="1" ref="S11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19.920600000000004</v>
      </c>
      <c r="T1100" s="346" t="s">
        <v>1485</v>
      </c>
      <c r="U1100" s="347">
        <f ca="1">S1100/g2lb/S1098*MT2ton</f>
        <v>15299.999999999969</v>
      </c>
      <c r="V1100" s="347">
        <v>19.920600000000004</v>
      </c>
      <c r="W1100" s="347">
        <v>15299.999999999969</v>
      </c>
      <c r="X1100" s="14" t="s">
        <v>12</v>
      </c>
      <c r="Y1100" s="346" t="s">
        <v>413</v>
      </c>
      <c r="Z1100" s="14" t="str">
        <f>IF(ISBLANK(LCI_Table[[#This Row],[Notes for user]])," ",LCI_Table[[#This Row],[Notes for user]])</f>
        <v xml:space="preserve"> </v>
      </c>
      <c r="AA1100" s="14"/>
      <c r="AB1100" s="14"/>
      <c r="AC1100" s="346">
        <f ca="1">LCI_Table[[#This Row],[Default Calculated Value]]-LCI_Table[[#This Row],[Calculated Value]]</f>
        <v>0</v>
      </c>
    </row>
    <row r="1101" spans="1:29" x14ac:dyDescent="0.3">
      <c r="A11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(Canada)(blank)_Canola_Farming_K2OK2O</v>
      </c>
      <c r="B1101" s="48" t="s">
        <v>1347</v>
      </c>
      <c r="C1101" s="14" t="s">
        <v>30</v>
      </c>
      <c r="D1101" s="14" t="s">
        <v>194</v>
      </c>
      <c r="E1101" s="14" t="s">
        <v>370</v>
      </c>
      <c r="F1101" s="48" t="s">
        <v>31</v>
      </c>
      <c r="G1101" s="14" t="b">
        <f>OR(LCI_Table[[#This Row],[Feedstock]]="All",LCI_Table[[#This Row],[Feedstock]]=SelectedFeedstock)</f>
        <v>1</v>
      </c>
      <c r="H1101" s="14" t="b">
        <f>OR(LCI_Table[[#This Row],[Conversion]]="All",LCI_Table[[#This Row],[Conversion]]=SelectedConversion)</f>
        <v>1</v>
      </c>
      <c r="I1101" s="14" t="b">
        <f>OR(LCI_Table[[#This Row],[Data Set]]="all",LCI_Table[[#This Row],[Data Set]]=SelectedDataSet)</f>
        <v>0</v>
      </c>
      <c r="J1101" s="14" t="b">
        <f>OR(LCI_Table[[#This Row],[Technology]]="All",LCI_Table[[#This Row],[Technology]]=SelectedTechnology)</f>
        <v>1</v>
      </c>
      <c r="K1101" s="14" t="b">
        <f>OR(LCI_Table[[#This Row],[Data Source]]="All",LCI_Table[[#This Row],[Data Source]]=SelectedDataSource)</f>
        <v>0</v>
      </c>
      <c r="L1101" s="14" t="b">
        <f>TRUE</f>
        <v>1</v>
      </c>
      <c r="M1101" s="14" t="b">
        <f>(LCI_Table[[#This Row],[Dev Notes]]="Do not display")</f>
        <v>0</v>
      </c>
      <c r="N1101" s="14" t="b">
        <f>AND(LCI_Table[[#This Row],[Show Feedstock]:[Conditional]],NOT(LCI_Table[[#This Row],[Hide Row]]))</f>
        <v>0</v>
      </c>
      <c r="O1101" s="14" t="b">
        <f>LCI_Table[[#This Row],[GREET1 Name Range]]=""</f>
        <v>0</v>
      </c>
      <c r="P1101" s="14" t="s">
        <v>14</v>
      </c>
      <c r="Q1101" s="14" t="s">
        <v>495</v>
      </c>
      <c r="R1101" s="14" t="s">
        <v>113</v>
      </c>
      <c r="S1101" s="37" cm="1">
        <f t="array" aca="1" ref="S11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3.3852000000000002</v>
      </c>
      <c r="T1101" s="346" t="s">
        <v>1485</v>
      </c>
      <c r="U1101" s="347">
        <f ca="1">S1101/g2lb/S1098*MT2ton</f>
        <v>2599.9999999999945</v>
      </c>
      <c r="V1101" s="347">
        <v>3.3852000000000002</v>
      </c>
      <c r="W1101" s="347">
        <v>2599.9999999999945</v>
      </c>
      <c r="X1101" s="14" t="s">
        <v>12</v>
      </c>
      <c r="Y1101" s="346" t="s">
        <v>413</v>
      </c>
      <c r="Z1101" s="14" t="str">
        <f>IF(ISBLANK(LCI_Table[[#This Row],[Notes for user]])," ",LCI_Table[[#This Row],[Notes for user]])</f>
        <v xml:space="preserve"> </v>
      </c>
      <c r="AA1101" s="14"/>
      <c r="AB1101" s="14"/>
      <c r="AC1101" s="346">
        <f ca="1">LCI_Table[[#This Row],[Default Calculated Value]]-LCI_Table[[#This Row],[Calculated Value]]</f>
        <v>0</v>
      </c>
    </row>
    <row r="1102" spans="1:29" x14ac:dyDescent="0.3">
      <c r="A11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(Canada)(blank)_Canola_Farming_CaCO3CaCO3</v>
      </c>
      <c r="B1102" s="48" t="s">
        <v>1347</v>
      </c>
      <c r="C1102" s="14" t="s">
        <v>30</v>
      </c>
      <c r="D1102" s="14" t="s">
        <v>194</v>
      </c>
      <c r="E1102" s="14" t="s">
        <v>370</v>
      </c>
      <c r="F1102" s="48" t="s">
        <v>31</v>
      </c>
      <c r="G1102" s="14" t="b">
        <f>OR(LCI_Table[[#This Row],[Feedstock]]="All",LCI_Table[[#This Row],[Feedstock]]=SelectedFeedstock)</f>
        <v>1</v>
      </c>
      <c r="H1102" s="14" t="b">
        <f>OR(LCI_Table[[#This Row],[Conversion]]="All",LCI_Table[[#This Row],[Conversion]]=SelectedConversion)</f>
        <v>1</v>
      </c>
      <c r="I1102" s="14" t="b">
        <f>OR(LCI_Table[[#This Row],[Data Set]]="all",LCI_Table[[#This Row],[Data Set]]=SelectedDataSet)</f>
        <v>0</v>
      </c>
      <c r="J1102" s="14" t="b">
        <f>OR(LCI_Table[[#This Row],[Technology]]="All",LCI_Table[[#This Row],[Technology]]=SelectedTechnology)</f>
        <v>1</v>
      </c>
      <c r="K1102" s="14" t="b">
        <f>OR(LCI_Table[[#This Row],[Data Source]]="All",LCI_Table[[#This Row],[Data Source]]=SelectedDataSource)</f>
        <v>0</v>
      </c>
      <c r="L1102" s="14" t="b">
        <f>TRUE</f>
        <v>1</v>
      </c>
      <c r="M1102" s="14" t="b">
        <f>(LCI_Table[[#This Row],[Dev Notes]]="Do not display")</f>
        <v>0</v>
      </c>
      <c r="N1102" s="14" t="b">
        <f>AND(LCI_Table[[#This Row],[Show Feedstock]:[Conditional]],NOT(LCI_Table[[#This Row],[Hide Row]]))</f>
        <v>0</v>
      </c>
      <c r="O1102" s="14" t="b">
        <f>LCI_Table[[#This Row],[GREET1 Name Range]]=""</f>
        <v>0</v>
      </c>
      <c r="P1102" s="14" t="s">
        <v>14</v>
      </c>
      <c r="Q1102" s="14" t="s">
        <v>488</v>
      </c>
      <c r="R1102" s="14" t="s">
        <v>141</v>
      </c>
      <c r="S1102" s="37" cm="1">
        <f t="array" aca="1" ref="S11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02" s="346" t="s">
        <v>1485</v>
      </c>
      <c r="U1102" s="347">
        <f ca="1">S1102/g2lb/S1098*MT2ton</f>
        <v>0</v>
      </c>
      <c r="V1102" s="347">
        <v>0</v>
      </c>
      <c r="W1102" s="347">
        <v>0</v>
      </c>
      <c r="X1102" s="14" t="s">
        <v>12</v>
      </c>
      <c r="Y1102" s="346" t="s">
        <v>413</v>
      </c>
      <c r="Z1102" s="14" t="str">
        <f>IF(ISBLANK(LCI_Table[[#This Row],[Notes for user]])," ",LCI_Table[[#This Row],[Notes for user]])</f>
        <v xml:space="preserve"> </v>
      </c>
      <c r="AA1102" s="14"/>
      <c r="AB1102" s="14"/>
      <c r="AC1102" s="346">
        <f ca="1">LCI_Table[[#This Row],[Default Calculated Value]]-LCI_Table[[#This Row],[Calculated Value]]</f>
        <v>0</v>
      </c>
    </row>
    <row r="1103" spans="1:29" x14ac:dyDescent="0.3">
      <c r="A11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(Canada)(blank)_Canola_Farming_HerbicidesHerbicides</v>
      </c>
      <c r="B1103" s="48" t="s">
        <v>1347</v>
      </c>
      <c r="C1103" s="14" t="s">
        <v>30</v>
      </c>
      <c r="D1103" s="14" t="s">
        <v>194</v>
      </c>
      <c r="E1103" s="14" t="s">
        <v>370</v>
      </c>
      <c r="F1103" s="48" t="s">
        <v>31</v>
      </c>
      <c r="G1103" s="14" t="b">
        <f>OR(LCI_Table[[#This Row],[Feedstock]]="All",LCI_Table[[#This Row],[Feedstock]]=SelectedFeedstock)</f>
        <v>1</v>
      </c>
      <c r="H1103" s="14" t="b">
        <f>OR(LCI_Table[[#This Row],[Conversion]]="All",LCI_Table[[#This Row],[Conversion]]=SelectedConversion)</f>
        <v>1</v>
      </c>
      <c r="I1103" s="14" t="b">
        <f>OR(LCI_Table[[#This Row],[Data Set]]="all",LCI_Table[[#This Row],[Data Set]]=SelectedDataSet)</f>
        <v>0</v>
      </c>
      <c r="J1103" s="14" t="b">
        <f>OR(LCI_Table[[#This Row],[Technology]]="All",LCI_Table[[#This Row],[Technology]]=SelectedTechnology)</f>
        <v>1</v>
      </c>
      <c r="K1103" s="14" t="b">
        <f>OR(LCI_Table[[#This Row],[Data Source]]="All",LCI_Table[[#This Row],[Data Source]]=SelectedDataSource)</f>
        <v>0</v>
      </c>
      <c r="L1103" s="14" t="b">
        <f>TRUE</f>
        <v>1</v>
      </c>
      <c r="M1103" s="14" t="b">
        <f>(LCI_Table[[#This Row],[Dev Notes]]="Do not display")</f>
        <v>0</v>
      </c>
      <c r="N1103" s="14" t="b">
        <f>AND(LCI_Table[[#This Row],[Show Feedstock]:[Conditional]],NOT(LCI_Table[[#This Row],[Hide Row]]))</f>
        <v>0</v>
      </c>
      <c r="O1103" s="14" t="b">
        <f>LCI_Table[[#This Row],[GREET1 Name Range]]=""</f>
        <v>0</v>
      </c>
      <c r="P1103" s="14" t="s">
        <v>14</v>
      </c>
      <c r="Q1103" s="14" t="s">
        <v>493</v>
      </c>
      <c r="R1103" s="14" t="s">
        <v>356</v>
      </c>
      <c r="S1103" s="37" cm="1">
        <f t="array" aca="1" ref="S11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0.3906</v>
      </c>
      <c r="T1103" s="346" t="s">
        <v>1485</v>
      </c>
      <c r="U1103" s="347">
        <f ca="1">S1103/g2lb/S1098*MT2ton</f>
        <v>299.99999999999932</v>
      </c>
      <c r="V1103" s="347">
        <v>0.3906</v>
      </c>
      <c r="W1103" s="347">
        <v>299.99999999999932</v>
      </c>
      <c r="X1103" s="14" t="s">
        <v>12</v>
      </c>
      <c r="Y1103" s="346" t="s">
        <v>413</v>
      </c>
      <c r="Z1103" s="14" t="str">
        <f>IF(ISBLANK(LCI_Table[[#This Row],[Notes for user]])," ",LCI_Table[[#This Row],[Notes for user]])</f>
        <v xml:space="preserve"> </v>
      </c>
      <c r="AA1103" s="14"/>
      <c r="AB1103" s="14"/>
      <c r="AC1103" s="346">
        <f ca="1">LCI_Table[[#This Row],[Default Calculated Value]]-LCI_Table[[#This Row],[Calculated Value]]</f>
        <v>0</v>
      </c>
    </row>
    <row r="1104" spans="1:29" x14ac:dyDescent="0.3">
      <c r="A11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(Canada)(blank)_Canola_Farming_InsecticideInsecticide</v>
      </c>
      <c r="B1104" s="48" t="s">
        <v>1347</v>
      </c>
      <c r="C1104" s="14" t="s">
        <v>30</v>
      </c>
      <c r="D1104" s="14" t="s">
        <v>194</v>
      </c>
      <c r="E1104" s="14" t="s">
        <v>370</v>
      </c>
      <c r="F1104" s="48" t="s">
        <v>31</v>
      </c>
      <c r="G1104" s="14" t="b">
        <f>OR(LCI_Table[[#This Row],[Feedstock]]="All",LCI_Table[[#This Row],[Feedstock]]=SelectedFeedstock)</f>
        <v>1</v>
      </c>
      <c r="H1104" s="14" t="b">
        <f>OR(LCI_Table[[#This Row],[Conversion]]="All",LCI_Table[[#This Row],[Conversion]]=SelectedConversion)</f>
        <v>1</v>
      </c>
      <c r="I1104" s="14" t="b">
        <f>OR(LCI_Table[[#This Row],[Data Set]]="all",LCI_Table[[#This Row],[Data Set]]=SelectedDataSet)</f>
        <v>0</v>
      </c>
      <c r="J1104" s="14" t="b">
        <f>OR(LCI_Table[[#This Row],[Technology]]="All",LCI_Table[[#This Row],[Technology]]=SelectedTechnology)</f>
        <v>1</v>
      </c>
      <c r="K1104" s="14" t="b">
        <f>OR(LCI_Table[[#This Row],[Data Source]]="All",LCI_Table[[#This Row],[Data Source]]=SelectedDataSource)</f>
        <v>0</v>
      </c>
      <c r="L1104" s="14" t="b">
        <f>TRUE</f>
        <v>1</v>
      </c>
      <c r="M1104" s="14" t="b">
        <f>(LCI_Table[[#This Row],[Dev Notes]]="Do not display")</f>
        <v>0</v>
      </c>
      <c r="N1104" s="14" t="b">
        <f>AND(LCI_Table[[#This Row],[Show Feedstock]:[Conditional]],NOT(LCI_Table[[#This Row],[Hide Row]]))</f>
        <v>0</v>
      </c>
      <c r="O1104" s="14" t="b">
        <f>LCI_Table[[#This Row],[GREET1 Name Range]]=""</f>
        <v>0</v>
      </c>
      <c r="P1104" s="14" t="s">
        <v>14</v>
      </c>
      <c r="Q1104" s="14" t="s">
        <v>494</v>
      </c>
      <c r="R1104" s="14" t="s">
        <v>114</v>
      </c>
      <c r="S1104" s="37" cm="1">
        <f t="array" aca="1" ref="S11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0.13020000000000001</v>
      </c>
      <c r="T1104" s="346" t="s">
        <v>1485</v>
      </c>
      <c r="U1104" s="347">
        <f ca="1">S1104/g2lb/S1098*MT2ton</f>
        <v>99.999999999999787</v>
      </c>
      <c r="V1104" s="347">
        <v>0.13020000000000001</v>
      </c>
      <c r="W1104" s="347">
        <v>99.999999999999787</v>
      </c>
      <c r="X1104" s="14" t="s">
        <v>12</v>
      </c>
      <c r="Y1104" s="346" t="s">
        <v>413</v>
      </c>
      <c r="Z1104" s="14" t="str">
        <f>IF(ISBLANK(LCI_Table[[#This Row],[Notes for user]])," ",LCI_Table[[#This Row],[Notes for user]])</f>
        <v xml:space="preserve"> </v>
      </c>
      <c r="AA1104" s="14"/>
      <c r="AB1104" s="14"/>
      <c r="AC1104" s="346">
        <f ca="1">LCI_Table[[#This Row],[Default Calculated Value]]-LCI_Table[[#This Row],[Calculated Value]]</f>
        <v>0</v>
      </c>
    </row>
    <row r="1105" spans="1:29" x14ac:dyDescent="0.3">
      <c r="A11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(Canada)(blank)_Canola_Farming_Residual_oilResidual oil</v>
      </c>
      <c r="B1105" s="48" t="s">
        <v>1347</v>
      </c>
      <c r="C1105" s="14" t="s">
        <v>30</v>
      </c>
      <c r="D1105" s="14" t="s">
        <v>194</v>
      </c>
      <c r="E1105" s="14" t="s">
        <v>370</v>
      </c>
      <c r="F1105" s="48" t="s">
        <v>31</v>
      </c>
      <c r="G1105" s="14" t="b">
        <f>OR(LCI_Table[[#This Row],[Feedstock]]="All",LCI_Table[[#This Row],[Feedstock]]=SelectedFeedstock)</f>
        <v>1</v>
      </c>
      <c r="H1105" s="14" t="b">
        <f>OR(LCI_Table[[#This Row],[Conversion]]="All",LCI_Table[[#This Row],[Conversion]]=SelectedConversion)</f>
        <v>1</v>
      </c>
      <c r="I1105" s="14" t="b">
        <f>OR(LCI_Table[[#This Row],[Data Set]]="all",LCI_Table[[#This Row],[Data Set]]=SelectedDataSet)</f>
        <v>0</v>
      </c>
      <c r="J1105" s="14" t="b">
        <f>OR(LCI_Table[[#This Row],[Technology]]="All",LCI_Table[[#This Row],[Technology]]=SelectedTechnology)</f>
        <v>1</v>
      </c>
      <c r="K1105" s="14" t="b">
        <f>OR(LCI_Table[[#This Row],[Data Source]]="All",LCI_Table[[#This Row],[Data Source]]=SelectedDataSource)</f>
        <v>0</v>
      </c>
      <c r="L1105" s="14" t="b">
        <f>TRUE</f>
        <v>1</v>
      </c>
      <c r="M1105" s="14" t="b">
        <f>(LCI_Table[[#This Row],[Dev Notes]]="Do not display")</f>
        <v>0</v>
      </c>
      <c r="N1105" s="14" t="b">
        <f>AND(LCI_Table[[#This Row],[Show Feedstock]:[Conditional]],NOT(LCI_Table[[#This Row],[Hide Row]]))</f>
        <v>0</v>
      </c>
      <c r="O1105" s="14" t="b">
        <f>LCI_Table[[#This Row],[GREET1 Name Range]]=""</f>
        <v>0</v>
      </c>
      <c r="P1105" s="14" t="s">
        <v>14</v>
      </c>
      <c r="Q1105" s="14" t="s">
        <v>500</v>
      </c>
      <c r="R1105" s="14" t="s">
        <v>115</v>
      </c>
      <c r="S1105" s="37" cm="1">
        <f t="array" aca="1" ref="S11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05" s="346" t="s">
        <v>1484</v>
      </c>
      <c r="U1105" s="347">
        <f ca="1">S1105*Fuel_Specs!$B$28/S1098*MT2ton</f>
        <v>0</v>
      </c>
      <c r="V1105" s="347">
        <v>0</v>
      </c>
      <c r="W1105" s="347">
        <v>0</v>
      </c>
      <c r="X1105" s="14" t="s">
        <v>5</v>
      </c>
      <c r="Y1105" s="346" t="s">
        <v>413</v>
      </c>
      <c r="Z1105" s="14" t="str">
        <f>IF(ISBLANK(LCI_Table[[#This Row],[Notes for user]])," ",LCI_Table[[#This Row],[Notes for user]])</f>
        <v xml:space="preserve"> </v>
      </c>
      <c r="AA1105" s="14"/>
      <c r="AB1105" s="14"/>
      <c r="AC1105" s="346">
        <f ca="1">LCI_Table[[#This Row],[Default Calculated Value]]-LCI_Table[[#This Row],[Calculated Value]]</f>
        <v>0</v>
      </c>
    </row>
    <row r="1106" spans="1:29" x14ac:dyDescent="0.3">
      <c r="A11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(Canada)(blank)_Canola_Farming_DieselDiesel</v>
      </c>
      <c r="B1106" s="48" t="s">
        <v>1347</v>
      </c>
      <c r="C1106" s="14" t="s">
        <v>30</v>
      </c>
      <c r="D1106" s="14" t="s">
        <v>194</v>
      </c>
      <c r="E1106" s="14" t="s">
        <v>370</v>
      </c>
      <c r="F1106" s="48" t="s">
        <v>31</v>
      </c>
      <c r="G1106" s="14" t="b">
        <f>OR(LCI_Table[[#This Row],[Feedstock]]="All",LCI_Table[[#This Row],[Feedstock]]=SelectedFeedstock)</f>
        <v>1</v>
      </c>
      <c r="H1106" s="14" t="b">
        <f>OR(LCI_Table[[#This Row],[Conversion]]="All",LCI_Table[[#This Row],[Conversion]]=SelectedConversion)</f>
        <v>1</v>
      </c>
      <c r="I1106" s="14" t="b">
        <f>OR(LCI_Table[[#This Row],[Data Set]]="all",LCI_Table[[#This Row],[Data Set]]=SelectedDataSet)</f>
        <v>0</v>
      </c>
      <c r="J1106" s="14" t="b">
        <f>OR(LCI_Table[[#This Row],[Technology]]="All",LCI_Table[[#This Row],[Technology]]=SelectedTechnology)</f>
        <v>1</v>
      </c>
      <c r="K1106" s="14" t="b">
        <f>OR(LCI_Table[[#This Row],[Data Source]]="All",LCI_Table[[#This Row],[Data Source]]=SelectedDataSource)</f>
        <v>0</v>
      </c>
      <c r="L1106" s="14" t="b">
        <f>TRUE</f>
        <v>1</v>
      </c>
      <c r="M1106" s="14" t="b">
        <f>(LCI_Table[[#This Row],[Dev Notes]]="Do not display")</f>
        <v>0</v>
      </c>
      <c r="N1106" s="14" t="b">
        <f>AND(LCI_Table[[#This Row],[Show Feedstock]:[Conditional]],NOT(LCI_Table[[#This Row],[Hide Row]]))</f>
        <v>0</v>
      </c>
      <c r="O1106" s="14" t="b">
        <f>LCI_Table[[#This Row],[GREET1 Name Range]]=""</f>
        <v>0</v>
      </c>
      <c r="P1106" s="14" t="s">
        <v>14</v>
      </c>
      <c r="Q1106" s="14" t="s">
        <v>490</v>
      </c>
      <c r="R1106" s="14" t="s">
        <v>106</v>
      </c>
      <c r="S1106" s="37" cm="1">
        <f t="array" aca="1" ref="S11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2.2584005677811398</v>
      </c>
      <c r="T1106" s="346" t="s">
        <v>1484</v>
      </c>
      <c r="U1106" s="347">
        <f ca="1">S1106*Fuel_Specs!$B$19/S1098*MT2ton</f>
        <v>491199.99999999889</v>
      </c>
      <c r="V1106" s="347">
        <v>2.2584005677811398</v>
      </c>
      <c r="W1106" s="347">
        <v>491199.99999999889</v>
      </c>
      <c r="X1106" s="14" t="s">
        <v>5</v>
      </c>
      <c r="Y1106" s="346" t="s">
        <v>413</v>
      </c>
      <c r="Z1106" s="14" t="str">
        <f>IF(ISBLANK(LCI_Table[[#This Row],[Notes for user]])," ",LCI_Table[[#This Row],[Notes for user]])</f>
        <v xml:space="preserve"> </v>
      </c>
      <c r="AA1106" s="14"/>
      <c r="AB1106" s="14"/>
      <c r="AC1106" s="346">
        <f ca="1">LCI_Table[[#This Row],[Default Calculated Value]]-LCI_Table[[#This Row],[Calculated Value]]</f>
        <v>0</v>
      </c>
    </row>
    <row r="1107" spans="1:29" x14ac:dyDescent="0.3">
      <c r="A11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(Canada)(blank)_Canola_Farming_GasolineGasoline</v>
      </c>
      <c r="B1107" s="48" t="s">
        <v>1347</v>
      </c>
      <c r="C1107" s="14" t="s">
        <v>30</v>
      </c>
      <c r="D1107" s="14" t="s">
        <v>194</v>
      </c>
      <c r="E1107" s="14" t="s">
        <v>370</v>
      </c>
      <c r="F1107" s="48" t="s">
        <v>31</v>
      </c>
      <c r="G1107" s="14" t="b">
        <f>OR(LCI_Table[[#This Row],[Feedstock]]="All",LCI_Table[[#This Row],[Feedstock]]=SelectedFeedstock)</f>
        <v>1</v>
      </c>
      <c r="H1107" s="14" t="b">
        <f>OR(LCI_Table[[#This Row],[Conversion]]="All",LCI_Table[[#This Row],[Conversion]]=SelectedConversion)</f>
        <v>1</v>
      </c>
      <c r="I1107" s="14" t="b">
        <f>OR(LCI_Table[[#This Row],[Data Set]]="all",LCI_Table[[#This Row],[Data Set]]=SelectedDataSet)</f>
        <v>0</v>
      </c>
      <c r="J1107" s="14" t="b">
        <f>OR(LCI_Table[[#This Row],[Technology]]="All",LCI_Table[[#This Row],[Technology]]=SelectedTechnology)</f>
        <v>1</v>
      </c>
      <c r="K1107" s="14" t="b">
        <f>OR(LCI_Table[[#This Row],[Data Source]]="All",LCI_Table[[#This Row],[Data Source]]=SelectedDataSource)</f>
        <v>0</v>
      </c>
      <c r="L1107" s="14" t="b">
        <f>TRUE</f>
        <v>1</v>
      </c>
      <c r="M1107" s="14" t="b">
        <f>(LCI_Table[[#This Row],[Dev Notes]]="Do not display")</f>
        <v>0</v>
      </c>
      <c r="N1107" s="14" t="b">
        <f>AND(LCI_Table[[#This Row],[Show Feedstock]:[Conditional]],NOT(LCI_Table[[#This Row],[Hide Row]]))</f>
        <v>0</v>
      </c>
      <c r="O1107" s="14" t="b">
        <f>LCI_Table[[#This Row],[GREET1 Name Range]]=""</f>
        <v>0</v>
      </c>
      <c r="P1107" s="14" t="s">
        <v>14</v>
      </c>
      <c r="Q1107" s="14" t="s">
        <v>492</v>
      </c>
      <c r="R1107" s="14" t="s">
        <v>107</v>
      </c>
      <c r="S1107" s="37" cm="1">
        <f t="array" aca="1" ref="S11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07" s="346" t="s">
        <v>1484</v>
      </c>
      <c r="U1107" s="347">
        <f ca="1">S1107*Fuel_Specs!$B$15/S1098*MT2ton</f>
        <v>0</v>
      </c>
      <c r="V1107" s="347">
        <v>0</v>
      </c>
      <c r="W1107" s="347">
        <v>0</v>
      </c>
      <c r="X1107" s="14" t="s">
        <v>5</v>
      </c>
      <c r="Y1107" s="346" t="s">
        <v>413</v>
      </c>
      <c r="Z1107" s="14" t="str">
        <f>IF(ISBLANK(LCI_Table[[#This Row],[Notes for user]])," ",LCI_Table[[#This Row],[Notes for user]])</f>
        <v xml:space="preserve"> </v>
      </c>
      <c r="AA1107" s="14"/>
      <c r="AB1107" s="14"/>
      <c r="AC1107" s="346">
        <f ca="1">LCI_Table[[#This Row],[Default Calculated Value]]-LCI_Table[[#This Row],[Calculated Value]]</f>
        <v>0</v>
      </c>
    </row>
    <row r="1108" spans="1:29" x14ac:dyDescent="0.3">
      <c r="A11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(Canada)(blank)_Canola_Farming_Natural_gasNatural gas</v>
      </c>
      <c r="B1108" s="48" t="s">
        <v>1347</v>
      </c>
      <c r="C1108" s="14" t="s">
        <v>30</v>
      </c>
      <c r="D1108" s="14" t="s">
        <v>194</v>
      </c>
      <c r="E1108" s="14" t="s">
        <v>370</v>
      </c>
      <c r="F1108" s="48" t="s">
        <v>31</v>
      </c>
      <c r="G1108" s="14" t="b">
        <f>OR(LCI_Table[[#This Row],[Feedstock]]="All",LCI_Table[[#This Row],[Feedstock]]=SelectedFeedstock)</f>
        <v>1</v>
      </c>
      <c r="H1108" s="14" t="b">
        <f>OR(LCI_Table[[#This Row],[Conversion]]="All",LCI_Table[[#This Row],[Conversion]]=SelectedConversion)</f>
        <v>1</v>
      </c>
      <c r="I1108" s="14" t="b">
        <f>OR(LCI_Table[[#This Row],[Data Set]]="all",LCI_Table[[#This Row],[Data Set]]=SelectedDataSet)</f>
        <v>0</v>
      </c>
      <c r="J1108" s="14" t="b">
        <f>OR(LCI_Table[[#This Row],[Technology]]="All",LCI_Table[[#This Row],[Technology]]=SelectedTechnology)</f>
        <v>1</v>
      </c>
      <c r="K1108" s="14" t="b">
        <f>OR(LCI_Table[[#This Row],[Data Source]]="All",LCI_Table[[#This Row],[Data Source]]=SelectedDataSource)</f>
        <v>0</v>
      </c>
      <c r="L1108" s="14" t="b">
        <f>TRUE</f>
        <v>1</v>
      </c>
      <c r="M1108" s="14" t="b">
        <f>(LCI_Table[[#This Row],[Dev Notes]]="Do not display")</f>
        <v>0</v>
      </c>
      <c r="N1108" s="14" t="b">
        <f>AND(LCI_Table[[#This Row],[Show Feedstock]:[Conditional]],NOT(LCI_Table[[#This Row],[Hide Row]]))</f>
        <v>0</v>
      </c>
      <c r="O1108" s="14" t="b">
        <f>LCI_Table[[#This Row],[GREET1 Name Range]]=""</f>
        <v>0</v>
      </c>
      <c r="P1108" s="14" t="s">
        <v>14</v>
      </c>
      <c r="Q1108" s="14" t="s">
        <v>497</v>
      </c>
      <c r="R1108" s="14" t="s">
        <v>108</v>
      </c>
      <c r="S1108" s="37" cm="1">
        <f t="array" aca="1" ref="S11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0.48063256621770001</v>
      </c>
      <c r="T1108" s="346" t="s">
        <v>2109</v>
      </c>
      <c r="U1108" s="347">
        <f ca="1">S1108*Fuel_Specs!$B$79/S1098*MT2ton</f>
        <v>799.99999999999829</v>
      </c>
      <c r="V1108" s="347">
        <v>0.48063256621770001</v>
      </c>
      <c r="W1108" s="347">
        <v>799.99999999999829</v>
      </c>
      <c r="X1108" s="14" t="s">
        <v>351</v>
      </c>
      <c r="Y1108" s="346" t="s">
        <v>413</v>
      </c>
      <c r="Z1108" s="14" t="str">
        <f>IF(ISBLANK(LCI_Table[[#This Row],[Notes for user]])," ",LCI_Table[[#This Row],[Notes for user]])</f>
        <v xml:space="preserve"> </v>
      </c>
      <c r="AA1108" s="14"/>
      <c r="AB1108" s="14"/>
      <c r="AC1108" s="346">
        <f ca="1">LCI_Table[[#This Row],[Default Calculated Value]]-LCI_Table[[#This Row],[Calculated Value]]</f>
        <v>0</v>
      </c>
    </row>
    <row r="1109" spans="1:29" x14ac:dyDescent="0.3">
      <c r="A11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(Canada)(blank)_Canola_Farming_CoalCoal</v>
      </c>
      <c r="B1109" s="48" t="s">
        <v>1347</v>
      </c>
      <c r="C1109" s="14" t="s">
        <v>30</v>
      </c>
      <c r="D1109" s="14" t="s">
        <v>194</v>
      </c>
      <c r="E1109" s="14" t="s">
        <v>370</v>
      </c>
      <c r="F1109" s="48" t="s">
        <v>31</v>
      </c>
      <c r="G1109" s="14" t="b">
        <f>OR(LCI_Table[[#This Row],[Feedstock]]="All",LCI_Table[[#This Row],[Feedstock]]=SelectedFeedstock)</f>
        <v>1</v>
      </c>
      <c r="H1109" s="14" t="b">
        <f>OR(LCI_Table[[#This Row],[Conversion]]="All",LCI_Table[[#This Row],[Conversion]]=SelectedConversion)</f>
        <v>1</v>
      </c>
      <c r="I1109" s="14" t="b">
        <f>OR(LCI_Table[[#This Row],[Data Set]]="all",LCI_Table[[#This Row],[Data Set]]=SelectedDataSet)</f>
        <v>0</v>
      </c>
      <c r="J1109" s="14" t="b">
        <f>OR(LCI_Table[[#This Row],[Technology]]="All",LCI_Table[[#This Row],[Technology]]=SelectedTechnology)</f>
        <v>1</v>
      </c>
      <c r="K1109" s="14" t="b">
        <f>OR(LCI_Table[[#This Row],[Data Source]]="All",LCI_Table[[#This Row],[Data Source]]=SelectedDataSource)</f>
        <v>0</v>
      </c>
      <c r="L1109" s="14" t="b">
        <f>TRUE</f>
        <v>1</v>
      </c>
      <c r="M1109" s="14" t="b">
        <f>(LCI_Table[[#This Row],[Dev Notes]]="Do not display")</f>
        <v>0</v>
      </c>
      <c r="N1109" s="14" t="b">
        <f>AND(LCI_Table[[#This Row],[Show Feedstock]:[Conditional]],NOT(LCI_Table[[#This Row],[Hide Row]]))</f>
        <v>0</v>
      </c>
      <c r="O1109" s="14" t="b">
        <f>LCI_Table[[#This Row],[GREET1 Name Range]]=""</f>
        <v>0</v>
      </c>
      <c r="P1109" s="14" t="s">
        <v>14</v>
      </c>
      <c r="Q1109" s="14" t="s">
        <v>489</v>
      </c>
      <c r="R1109" s="14" t="s">
        <v>9</v>
      </c>
      <c r="S1109" s="37" cm="1">
        <f t="array" aca="1" ref="S11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09" s="346" t="s">
        <v>2110</v>
      </c>
      <c r="U1109" s="347">
        <f ca="1">S1109/S1098*MT2ton</f>
        <v>0</v>
      </c>
      <c r="V1109" s="347">
        <v>0</v>
      </c>
      <c r="W1109" s="347">
        <v>0</v>
      </c>
      <c r="X1109" s="14" t="s">
        <v>117</v>
      </c>
      <c r="Y1109" s="346" t="s">
        <v>413</v>
      </c>
      <c r="Z1109" s="14" t="str">
        <f>IF(ISBLANK(LCI_Table[[#This Row],[Notes for user]])," ",LCI_Table[[#This Row],[Notes for user]])</f>
        <v xml:space="preserve"> </v>
      </c>
      <c r="AA1109" s="14"/>
      <c r="AB1109" s="14"/>
      <c r="AC1109" s="346">
        <f ca="1">LCI_Table[[#This Row],[Default Calculated Value]]-LCI_Table[[#This Row],[Calculated Value]]</f>
        <v>0</v>
      </c>
    </row>
    <row r="1110" spans="1:29" x14ac:dyDescent="0.3">
      <c r="A11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(Canada)(blank)_Canola_Farming_LPGLPG</v>
      </c>
      <c r="B1110" s="48" t="s">
        <v>1347</v>
      </c>
      <c r="C1110" s="14" t="s">
        <v>30</v>
      </c>
      <c r="D1110" s="14" t="s">
        <v>194</v>
      </c>
      <c r="E1110" s="14" t="s">
        <v>370</v>
      </c>
      <c r="F1110" s="48" t="s">
        <v>31</v>
      </c>
      <c r="G1110" s="14" t="b">
        <f>OR(LCI_Table[[#This Row],[Feedstock]]="All",LCI_Table[[#This Row],[Feedstock]]=SelectedFeedstock)</f>
        <v>1</v>
      </c>
      <c r="H1110" s="14" t="b">
        <f>OR(LCI_Table[[#This Row],[Conversion]]="All",LCI_Table[[#This Row],[Conversion]]=SelectedConversion)</f>
        <v>1</v>
      </c>
      <c r="I1110" s="14" t="b">
        <f>OR(LCI_Table[[#This Row],[Data Set]]="all",LCI_Table[[#This Row],[Data Set]]=SelectedDataSet)</f>
        <v>0</v>
      </c>
      <c r="J1110" s="14" t="b">
        <f>OR(LCI_Table[[#This Row],[Technology]]="All",LCI_Table[[#This Row],[Technology]]=SelectedTechnology)</f>
        <v>1</v>
      </c>
      <c r="K1110" s="14" t="b">
        <f>OR(LCI_Table[[#This Row],[Data Source]]="All",LCI_Table[[#This Row],[Data Source]]=SelectedDataSource)</f>
        <v>0</v>
      </c>
      <c r="L1110" s="14" t="b">
        <f>TRUE</f>
        <v>1</v>
      </c>
      <c r="M1110" s="14" t="b">
        <f>(LCI_Table[[#This Row],[Dev Notes]]="Do not display")</f>
        <v>0</v>
      </c>
      <c r="N1110" s="14" t="b">
        <f>AND(LCI_Table[[#This Row],[Show Feedstock]:[Conditional]],NOT(LCI_Table[[#This Row],[Hide Row]]))</f>
        <v>0</v>
      </c>
      <c r="O1110" s="14" t="b">
        <f>LCI_Table[[#This Row],[GREET1 Name Range]]=""</f>
        <v>0</v>
      </c>
      <c r="P1110" s="14" t="s">
        <v>14</v>
      </c>
      <c r="Q1110" s="14" t="s">
        <v>496</v>
      </c>
      <c r="R1110" s="14" t="s">
        <v>109</v>
      </c>
      <c r="S1110" s="37" cm="1">
        <f t="array" aca="1" ref="S11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10" s="346" t="s">
        <v>1484</v>
      </c>
      <c r="U1110" s="347">
        <f ca="1">S1110*Fuel_Specs!$B$35/S1098*MT2ton</f>
        <v>0</v>
      </c>
      <c r="V1110" s="347">
        <v>0</v>
      </c>
      <c r="W1110" s="347">
        <v>0</v>
      </c>
      <c r="X1110" s="14" t="s">
        <v>5</v>
      </c>
      <c r="Y1110" s="346" t="s">
        <v>413</v>
      </c>
      <c r="Z1110" s="14" t="str">
        <f>IF(ISBLANK(LCI_Table[[#This Row],[Notes for user]])," ",LCI_Table[[#This Row],[Notes for user]])</f>
        <v xml:space="preserve"> </v>
      </c>
      <c r="AA1110" s="14"/>
      <c r="AB1110" s="14"/>
      <c r="AC1110" s="346">
        <f ca="1">LCI_Table[[#This Row],[Default Calculated Value]]-LCI_Table[[#This Row],[Calculated Value]]</f>
        <v>0</v>
      </c>
    </row>
    <row r="1111" spans="1:29" x14ac:dyDescent="0.3">
      <c r="A11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(Canada)(blank)_Canola_Farming_ElectricityElectricity</v>
      </c>
      <c r="B1111" s="48" t="s">
        <v>1347</v>
      </c>
      <c r="C1111" s="14" t="s">
        <v>30</v>
      </c>
      <c r="D1111" s="14" t="s">
        <v>194</v>
      </c>
      <c r="E1111" s="14" t="s">
        <v>370</v>
      </c>
      <c r="F1111" s="48" t="s">
        <v>31</v>
      </c>
      <c r="G1111" s="14" t="b">
        <f>OR(LCI_Table[[#This Row],[Feedstock]]="All",LCI_Table[[#This Row],[Feedstock]]=SelectedFeedstock)</f>
        <v>1</v>
      </c>
      <c r="H1111" s="14" t="b">
        <f>OR(LCI_Table[[#This Row],[Conversion]]="All",LCI_Table[[#This Row],[Conversion]]=SelectedConversion)</f>
        <v>1</v>
      </c>
      <c r="I1111" s="14" t="b">
        <f>OR(LCI_Table[[#This Row],[Data Set]]="all",LCI_Table[[#This Row],[Data Set]]=SelectedDataSet)</f>
        <v>0</v>
      </c>
      <c r="J1111" s="14" t="b">
        <f>OR(LCI_Table[[#This Row],[Technology]]="All",LCI_Table[[#This Row],[Technology]]=SelectedTechnology)</f>
        <v>1</v>
      </c>
      <c r="K1111" s="14" t="b">
        <f>OR(LCI_Table[[#This Row],[Data Source]]="All",LCI_Table[[#This Row],[Data Source]]=SelectedDataSource)</f>
        <v>0</v>
      </c>
      <c r="L1111" s="14" t="b">
        <f>TRUE</f>
        <v>1</v>
      </c>
      <c r="M1111" s="14" t="b">
        <f>(LCI_Table[[#This Row],[Dev Notes]]="Do not display")</f>
        <v>0</v>
      </c>
      <c r="N1111" s="14" t="b">
        <f>AND(LCI_Table[[#This Row],[Show Feedstock]:[Conditional]],NOT(LCI_Table[[#This Row],[Hide Row]]))</f>
        <v>0</v>
      </c>
      <c r="O1111" s="14" t="b">
        <f>LCI_Table[[#This Row],[GREET1 Name Range]]=""</f>
        <v>0</v>
      </c>
      <c r="P1111" s="14" t="s">
        <v>14</v>
      </c>
      <c r="Q1111" s="14" t="s">
        <v>491</v>
      </c>
      <c r="R1111" s="14" t="s">
        <v>110</v>
      </c>
      <c r="S1111" s="37" cm="1">
        <f t="array" aca="1" ref="S11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2.0250489970619689</v>
      </c>
      <c r="T1111" s="346" t="s">
        <v>1561</v>
      </c>
      <c r="U1111" s="347">
        <f ca="1">S1111/BTU2kWh/S1098*MT2ton</f>
        <v>11699.999999999978</v>
      </c>
      <c r="V1111" s="347">
        <v>2.0250489970619689</v>
      </c>
      <c r="W1111" s="347">
        <v>11699.999999999978</v>
      </c>
      <c r="X1111" s="14" t="s">
        <v>51</v>
      </c>
      <c r="Y1111" s="346" t="s">
        <v>413</v>
      </c>
      <c r="Z1111" s="14" t="str">
        <f>IF(ISBLANK(LCI_Table[[#This Row],[Notes for user]])," ",LCI_Table[[#This Row],[Notes for user]])</f>
        <v xml:space="preserve"> </v>
      </c>
      <c r="AA1111" s="14"/>
      <c r="AB1111" s="14"/>
      <c r="AC1111" s="346">
        <f ca="1">LCI_Table[[#This Row],[Default Calculated Value]]-LCI_Table[[#This Row],[Calculated Value]]</f>
        <v>0</v>
      </c>
    </row>
    <row r="1112" spans="1:29" x14ac:dyDescent="0.3">
      <c r="A11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dash_Canola/RapeseedHEFAICAOGHGenius (Canada)(blank)_Canola_Extraction</v>
      </c>
      <c r="B1112" s="48" t="s">
        <v>1347</v>
      </c>
      <c r="C1112" s="14" t="s">
        <v>30</v>
      </c>
      <c r="D1112" s="14" t="s">
        <v>194</v>
      </c>
      <c r="E1112" s="14" t="s">
        <v>370</v>
      </c>
      <c r="F1112" s="48" t="s">
        <v>31</v>
      </c>
      <c r="G1112" s="14" t="b">
        <f>OR(LCI_Table[[#This Row],[Feedstock]]="All",LCI_Table[[#This Row],[Feedstock]]=SelectedFeedstock)</f>
        <v>1</v>
      </c>
      <c r="H1112" s="14" t="b">
        <f>OR(LCI_Table[[#This Row],[Conversion]]="All",LCI_Table[[#This Row],[Conversion]]=SelectedConversion)</f>
        <v>1</v>
      </c>
      <c r="I1112" s="14" t="b">
        <f>OR(LCI_Table[[#This Row],[Data Set]]="all",LCI_Table[[#This Row],[Data Set]]=SelectedDataSet)</f>
        <v>0</v>
      </c>
      <c r="J1112" s="14" t="b">
        <f>OR(LCI_Table[[#This Row],[Technology]]="All",LCI_Table[[#This Row],[Technology]]=SelectedTechnology)</f>
        <v>1</v>
      </c>
      <c r="K1112" s="14" t="b">
        <f>OR(LCI_Table[[#This Row],[Data Source]]="All",LCI_Table[[#This Row],[Data Source]]=SelectedDataSource)</f>
        <v>0</v>
      </c>
      <c r="L1112" s="14" t="b">
        <f>TRUE</f>
        <v>1</v>
      </c>
      <c r="M1112" s="14" t="b">
        <f>(LCI_Table[[#This Row],[Dev Notes]]="Do not display")</f>
        <v>1</v>
      </c>
      <c r="N1112" s="14" t="b">
        <f>AND(LCI_Table[[#This Row],[Show Feedstock]:[Conditional]],NOT(LCI_Table[[#This Row],[Hide Row]]))</f>
        <v>0</v>
      </c>
      <c r="O1112" s="14" t="b">
        <f>LCI_Table[[#This Row],[GREET1 Name Range]]=""</f>
        <v>1</v>
      </c>
      <c r="P1112" s="14" t="s">
        <v>15</v>
      </c>
      <c r="Q1112" s="14" t="s">
        <v>361</v>
      </c>
      <c r="R1112" s="14" t="s">
        <v>125</v>
      </c>
      <c r="S1112" s="37" cm="1">
        <f t="array" aca="1" ref="S11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2.0853525380067612</v>
      </c>
      <c r="T1112" s="346" t="s">
        <v>2111</v>
      </c>
      <c r="U1112" s="347">
        <f ca="1">S1112/MT2lb</f>
        <v>9.459000000000019E-4</v>
      </c>
      <c r="V1112" s="347">
        <v>2.0853525380067612</v>
      </c>
      <c r="W1112" s="347">
        <v>9.459000000000019E-4</v>
      </c>
      <c r="X1112" s="14" t="s">
        <v>12</v>
      </c>
      <c r="Y1112" s="346" t="s">
        <v>891</v>
      </c>
      <c r="Z1112" s="14" t="str">
        <f>IF(ISBLANK(LCI_Table[[#This Row],[Notes for user]])," ",LCI_Table[[#This Row],[Notes for user]])</f>
        <v xml:space="preserve"> </v>
      </c>
      <c r="AA1112" s="348"/>
      <c r="AB1112" s="348" t="s">
        <v>1138</v>
      </c>
      <c r="AC1112" s="346">
        <f ca="1">LCI_Table[[#This Row],[Default Calculated Value]]-LCI_Table[[#This Row],[Calculated Value]]</f>
        <v>0</v>
      </c>
    </row>
    <row r="1113" spans="1:29" x14ac:dyDescent="0.3">
      <c r="A11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(Canada)(blank)_Canola_Extraction_Residual_oilResidual oil</v>
      </c>
      <c r="B1113" s="48" t="s">
        <v>1347</v>
      </c>
      <c r="C1113" s="14" t="s">
        <v>30</v>
      </c>
      <c r="D1113" s="14" t="s">
        <v>194</v>
      </c>
      <c r="E1113" s="14" t="s">
        <v>370</v>
      </c>
      <c r="F1113" s="48" t="s">
        <v>31</v>
      </c>
      <c r="G1113" s="14" t="b">
        <f>OR(LCI_Table[[#This Row],[Feedstock]]="All",LCI_Table[[#This Row],[Feedstock]]=SelectedFeedstock)</f>
        <v>1</v>
      </c>
      <c r="H1113" s="14" t="b">
        <f>OR(LCI_Table[[#This Row],[Conversion]]="All",LCI_Table[[#This Row],[Conversion]]=SelectedConversion)</f>
        <v>1</v>
      </c>
      <c r="I1113" s="14" t="b">
        <f>OR(LCI_Table[[#This Row],[Data Set]]="all",LCI_Table[[#This Row],[Data Set]]=SelectedDataSet)</f>
        <v>0</v>
      </c>
      <c r="J1113" s="14" t="b">
        <f>OR(LCI_Table[[#This Row],[Technology]]="All",LCI_Table[[#This Row],[Technology]]=SelectedTechnology)</f>
        <v>1</v>
      </c>
      <c r="K1113" s="14" t="b">
        <f>OR(LCI_Table[[#This Row],[Data Source]]="All",LCI_Table[[#This Row],[Data Source]]=SelectedDataSource)</f>
        <v>0</v>
      </c>
      <c r="L1113" s="14" t="b">
        <f>TRUE</f>
        <v>1</v>
      </c>
      <c r="M1113" s="14" t="b">
        <f>(LCI_Table[[#This Row],[Dev Notes]]="Do not display")</f>
        <v>0</v>
      </c>
      <c r="N1113" s="14" t="b">
        <f>AND(LCI_Table[[#This Row],[Show Feedstock]:[Conditional]],NOT(LCI_Table[[#This Row],[Hide Row]]))</f>
        <v>0</v>
      </c>
      <c r="O1113" s="14" t="b">
        <f>LCI_Table[[#This Row],[GREET1 Name Range]]=""</f>
        <v>0</v>
      </c>
      <c r="P1113" s="14" t="s">
        <v>15</v>
      </c>
      <c r="Q1113" s="14" t="s">
        <v>487</v>
      </c>
      <c r="R1113" s="14" t="s">
        <v>115</v>
      </c>
      <c r="S1113" s="37" cm="1">
        <f t="array" aca="1" ref="S11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13" s="346" t="s">
        <v>2112</v>
      </c>
      <c r="U1113" s="347">
        <f ca="1">S1113*Fuel_Specs!$B$28</f>
        <v>0</v>
      </c>
      <c r="V1113" s="347">
        <v>0</v>
      </c>
      <c r="W1113" s="347">
        <v>0</v>
      </c>
      <c r="X1113" s="14" t="s">
        <v>5</v>
      </c>
      <c r="Y1113" s="346" t="s">
        <v>891</v>
      </c>
      <c r="Z1113" s="14" t="str">
        <f>IF(ISBLANK(LCI_Table[[#This Row],[Notes for user]])," ",LCI_Table[[#This Row],[Notes for user]])</f>
        <v xml:space="preserve"> </v>
      </c>
      <c r="AA1113" s="14"/>
      <c r="AB1113" s="14"/>
      <c r="AC1113" s="346">
        <f ca="1">LCI_Table[[#This Row],[Default Calculated Value]]-LCI_Table[[#This Row],[Calculated Value]]</f>
        <v>0</v>
      </c>
    </row>
    <row r="1114" spans="1:29" x14ac:dyDescent="0.3">
      <c r="A11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(Canada)(blank)_Canola_Extraction_DieselDiesel</v>
      </c>
      <c r="B1114" s="48" t="s">
        <v>1347</v>
      </c>
      <c r="C1114" s="14" t="s">
        <v>30</v>
      </c>
      <c r="D1114" s="14" t="s">
        <v>194</v>
      </c>
      <c r="E1114" s="14" t="s">
        <v>370</v>
      </c>
      <c r="F1114" s="48" t="s">
        <v>31</v>
      </c>
      <c r="G1114" s="14" t="b">
        <f>OR(LCI_Table[[#This Row],[Feedstock]]="All",LCI_Table[[#This Row],[Feedstock]]=SelectedFeedstock)</f>
        <v>1</v>
      </c>
      <c r="H1114" s="14" t="b">
        <f>OR(LCI_Table[[#This Row],[Conversion]]="All",LCI_Table[[#This Row],[Conversion]]=SelectedConversion)</f>
        <v>1</v>
      </c>
      <c r="I1114" s="14" t="b">
        <f>OR(LCI_Table[[#This Row],[Data Set]]="all",LCI_Table[[#This Row],[Data Set]]=SelectedDataSet)</f>
        <v>0</v>
      </c>
      <c r="J1114" s="14" t="b">
        <f>OR(LCI_Table[[#This Row],[Technology]]="All",LCI_Table[[#This Row],[Technology]]=SelectedTechnology)</f>
        <v>1</v>
      </c>
      <c r="K1114" s="14" t="b">
        <f>OR(LCI_Table[[#This Row],[Data Source]]="All",LCI_Table[[#This Row],[Data Source]]=SelectedDataSource)</f>
        <v>0</v>
      </c>
      <c r="L1114" s="14" t="b">
        <f>TRUE</f>
        <v>1</v>
      </c>
      <c r="M1114" s="14" t="b">
        <f>(LCI_Table[[#This Row],[Dev Notes]]="Do not display")</f>
        <v>0</v>
      </c>
      <c r="N1114" s="14" t="b">
        <f>AND(LCI_Table[[#This Row],[Show Feedstock]:[Conditional]],NOT(LCI_Table[[#This Row],[Hide Row]]))</f>
        <v>0</v>
      </c>
      <c r="O1114" s="14" t="b">
        <f>LCI_Table[[#This Row],[GREET1 Name Range]]=""</f>
        <v>0</v>
      </c>
      <c r="P1114" s="14" t="s">
        <v>15</v>
      </c>
      <c r="Q1114" s="14" t="s">
        <v>479</v>
      </c>
      <c r="R1114" s="14" t="s">
        <v>106</v>
      </c>
      <c r="S1114" s="37" cm="1">
        <f t="array" aca="1" ref="S11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14" s="346" t="s">
        <v>2112</v>
      </c>
      <c r="U1114" s="347">
        <f ca="1">S1114*Fuel_Specs!$B$19</f>
        <v>0</v>
      </c>
      <c r="V1114" s="347">
        <v>0</v>
      </c>
      <c r="W1114" s="347">
        <v>0</v>
      </c>
      <c r="X1114" s="14" t="s">
        <v>5</v>
      </c>
      <c r="Y1114" s="346" t="s">
        <v>891</v>
      </c>
      <c r="Z1114" s="14" t="str">
        <f>IF(ISBLANK(LCI_Table[[#This Row],[Notes for user]])," ",LCI_Table[[#This Row],[Notes for user]])</f>
        <v xml:space="preserve"> </v>
      </c>
      <c r="AA1114" s="14"/>
      <c r="AB1114" s="14"/>
      <c r="AC1114" s="346">
        <f ca="1">LCI_Table[[#This Row],[Default Calculated Value]]-LCI_Table[[#This Row],[Calculated Value]]</f>
        <v>0</v>
      </c>
    </row>
    <row r="1115" spans="1:29" x14ac:dyDescent="0.3">
      <c r="A11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(Canada)(blank)_Canola_Extraction_GasolineGasoline</v>
      </c>
      <c r="B1115" s="48" t="s">
        <v>1347</v>
      </c>
      <c r="C1115" s="14" t="s">
        <v>30</v>
      </c>
      <c r="D1115" s="14" t="s">
        <v>194</v>
      </c>
      <c r="E1115" s="14" t="s">
        <v>370</v>
      </c>
      <c r="F1115" s="48" t="s">
        <v>31</v>
      </c>
      <c r="G1115" s="14" t="b">
        <f>OR(LCI_Table[[#This Row],[Feedstock]]="All",LCI_Table[[#This Row],[Feedstock]]=SelectedFeedstock)</f>
        <v>1</v>
      </c>
      <c r="H1115" s="14" t="b">
        <f>OR(LCI_Table[[#This Row],[Conversion]]="All",LCI_Table[[#This Row],[Conversion]]=SelectedConversion)</f>
        <v>1</v>
      </c>
      <c r="I1115" s="14" t="b">
        <f>OR(LCI_Table[[#This Row],[Data Set]]="all",LCI_Table[[#This Row],[Data Set]]=SelectedDataSet)</f>
        <v>0</v>
      </c>
      <c r="J1115" s="14" t="b">
        <f>OR(LCI_Table[[#This Row],[Technology]]="All",LCI_Table[[#This Row],[Technology]]=SelectedTechnology)</f>
        <v>1</v>
      </c>
      <c r="K1115" s="14" t="b">
        <f>OR(LCI_Table[[#This Row],[Data Source]]="All",LCI_Table[[#This Row],[Data Source]]=SelectedDataSource)</f>
        <v>0</v>
      </c>
      <c r="L1115" s="14" t="b">
        <f>TRUE</f>
        <v>1</v>
      </c>
      <c r="M1115" s="14" t="b">
        <f>(LCI_Table[[#This Row],[Dev Notes]]="Do not display")</f>
        <v>0</v>
      </c>
      <c r="N1115" s="14" t="b">
        <f>AND(LCI_Table[[#This Row],[Show Feedstock]:[Conditional]],NOT(LCI_Table[[#This Row],[Hide Row]]))</f>
        <v>0</v>
      </c>
      <c r="O1115" s="14" t="b">
        <f>LCI_Table[[#This Row],[GREET1 Name Range]]=""</f>
        <v>0</v>
      </c>
      <c r="P1115" s="14" t="s">
        <v>15</v>
      </c>
      <c r="Q1115" s="14" t="s">
        <v>482</v>
      </c>
      <c r="R1115" s="14" t="s">
        <v>107</v>
      </c>
      <c r="S1115" s="37" cm="1">
        <f t="array" aca="1" ref="S11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15" s="346" t="s">
        <v>2112</v>
      </c>
      <c r="U1115" s="347">
        <f ca="1">S1115*Fuel_Specs!$B$15</f>
        <v>0</v>
      </c>
      <c r="V1115" s="347">
        <v>0</v>
      </c>
      <c r="W1115" s="347">
        <v>0</v>
      </c>
      <c r="X1115" s="14" t="s">
        <v>5</v>
      </c>
      <c r="Y1115" s="346" t="s">
        <v>891</v>
      </c>
      <c r="Z1115" s="14" t="str">
        <f>IF(ISBLANK(LCI_Table[[#This Row],[Notes for user]])," ",LCI_Table[[#This Row],[Notes for user]])</f>
        <v xml:space="preserve"> </v>
      </c>
      <c r="AA1115" s="14"/>
      <c r="AB1115" s="14"/>
      <c r="AC1115" s="346">
        <f ca="1">LCI_Table[[#This Row],[Default Calculated Value]]-LCI_Table[[#This Row],[Calculated Value]]</f>
        <v>0</v>
      </c>
    </row>
    <row r="1116" spans="1:29" x14ac:dyDescent="0.3">
      <c r="A11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(Canada)(blank)_Canola_Extraction_Natural_gasNatural gas</v>
      </c>
      <c r="B1116" s="48" t="s">
        <v>1347</v>
      </c>
      <c r="C1116" s="14" t="s">
        <v>30</v>
      </c>
      <c r="D1116" s="14" t="s">
        <v>194</v>
      </c>
      <c r="E1116" s="14" t="s">
        <v>370</v>
      </c>
      <c r="F1116" s="48" t="s">
        <v>31</v>
      </c>
      <c r="G1116" s="14" t="b">
        <f>OR(LCI_Table[[#This Row],[Feedstock]]="All",LCI_Table[[#This Row],[Feedstock]]=SelectedFeedstock)</f>
        <v>1</v>
      </c>
      <c r="H1116" s="14" t="b">
        <f>OR(LCI_Table[[#This Row],[Conversion]]="All",LCI_Table[[#This Row],[Conversion]]=SelectedConversion)</f>
        <v>1</v>
      </c>
      <c r="I1116" s="14" t="b">
        <f>OR(LCI_Table[[#This Row],[Data Set]]="all",LCI_Table[[#This Row],[Data Set]]=SelectedDataSet)</f>
        <v>0</v>
      </c>
      <c r="J1116" s="14" t="b">
        <f>OR(LCI_Table[[#This Row],[Technology]]="All",LCI_Table[[#This Row],[Technology]]=SelectedTechnology)</f>
        <v>1</v>
      </c>
      <c r="K1116" s="14" t="b">
        <f>OR(LCI_Table[[#This Row],[Data Source]]="All",LCI_Table[[#This Row],[Data Source]]=SelectedDataSource)</f>
        <v>0</v>
      </c>
      <c r="L1116" s="14" t="b">
        <f>TRUE</f>
        <v>1</v>
      </c>
      <c r="M1116" s="14" t="b">
        <f>(LCI_Table[[#This Row],[Dev Notes]]="Do not display")</f>
        <v>0</v>
      </c>
      <c r="N1116" s="14" t="b">
        <f>AND(LCI_Table[[#This Row],[Show Feedstock]:[Conditional]],NOT(LCI_Table[[#This Row],[Hide Row]]))</f>
        <v>0</v>
      </c>
      <c r="O1116" s="14" t="b">
        <f>LCI_Table[[#This Row],[GREET1 Name Range]]=""</f>
        <v>0</v>
      </c>
      <c r="P1116" s="14" t="s">
        <v>15</v>
      </c>
      <c r="Q1116" s="14" t="s">
        <v>486</v>
      </c>
      <c r="R1116" s="14" t="s">
        <v>108</v>
      </c>
      <c r="S1116" s="37" cm="1">
        <f t="array" aca="1" ref="S11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0.99857578840284844</v>
      </c>
      <c r="T1116" s="346" t="s">
        <v>2113</v>
      </c>
      <c r="U1116" s="347">
        <f ca="1">S1116*Fuel_Specs!$B$79</f>
        <v>981.6</v>
      </c>
      <c r="V1116" s="347">
        <v>0.99857578840284844</v>
      </c>
      <c r="W1116" s="347">
        <v>981.6</v>
      </c>
      <c r="X1116" s="14" t="s">
        <v>351</v>
      </c>
      <c r="Y1116" s="346" t="s">
        <v>891</v>
      </c>
      <c r="Z1116" s="14" t="str">
        <f>IF(ISBLANK(LCI_Table[[#This Row],[Notes for user]])," ",LCI_Table[[#This Row],[Notes for user]])</f>
        <v xml:space="preserve"> </v>
      </c>
      <c r="AA1116" s="14"/>
      <c r="AB1116" s="14"/>
      <c r="AC1116" s="346">
        <f ca="1">LCI_Table[[#This Row],[Default Calculated Value]]-LCI_Table[[#This Row],[Calculated Value]]</f>
        <v>0</v>
      </c>
    </row>
    <row r="1117" spans="1:29" x14ac:dyDescent="0.3">
      <c r="A11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(Canada)(blank)_Canola_Extraction_CoalCoal</v>
      </c>
      <c r="B1117" s="48" t="s">
        <v>1347</v>
      </c>
      <c r="C1117" s="14" t="s">
        <v>30</v>
      </c>
      <c r="D1117" s="14" t="s">
        <v>194</v>
      </c>
      <c r="E1117" s="14" t="s">
        <v>370</v>
      </c>
      <c r="F1117" s="48" t="s">
        <v>31</v>
      </c>
      <c r="G1117" s="14" t="b">
        <f>OR(LCI_Table[[#This Row],[Feedstock]]="All",LCI_Table[[#This Row],[Feedstock]]=SelectedFeedstock)</f>
        <v>1</v>
      </c>
      <c r="H1117" s="14" t="b">
        <f>OR(LCI_Table[[#This Row],[Conversion]]="All",LCI_Table[[#This Row],[Conversion]]=SelectedConversion)</f>
        <v>1</v>
      </c>
      <c r="I1117" s="14" t="b">
        <f>OR(LCI_Table[[#This Row],[Data Set]]="all",LCI_Table[[#This Row],[Data Set]]=SelectedDataSet)</f>
        <v>0</v>
      </c>
      <c r="J1117" s="14" t="b">
        <f>OR(LCI_Table[[#This Row],[Technology]]="All",LCI_Table[[#This Row],[Technology]]=SelectedTechnology)</f>
        <v>1</v>
      </c>
      <c r="K1117" s="14" t="b">
        <f>OR(LCI_Table[[#This Row],[Data Source]]="All",LCI_Table[[#This Row],[Data Source]]=SelectedDataSource)</f>
        <v>0</v>
      </c>
      <c r="L1117" s="14" t="b">
        <f>TRUE</f>
        <v>1</v>
      </c>
      <c r="M1117" s="14" t="b">
        <f>(LCI_Table[[#This Row],[Dev Notes]]="Do not display")</f>
        <v>0</v>
      </c>
      <c r="N1117" s="14" t="b">
        <f>AND(LCI_Table[[#This Row],[Show Feedstock]:[Conditional]],NOT(LCI_Table[[#This Row],[Hide Row]]))</f>
        <v>0</v>
      </c>
      <c r="O1117" s="14" t="b">
        <f>LCI_Table[[#This Row],[GREET1 Name Range]]=""</f>
        <v>0</v>
      </c>
      <c r="P1117" s="14" t="s">
        <v>15</v>
      </c>
      <c r="Q1117" s="14" t="s">
        <v>478</v>
      </c>
      <c r="R1117" s="14" t="s">
        <v>9</v>
      </c>
      <c r="S1117" s="37" cm="1">
        <f t="array" aca="1" ref="S11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17" s="346" t="s">
        <v>2114</v>
      </c>
      <c r="U1117" s="347">
        <f ca="1">S1117</f>
        <v>0</v>
      </c>
      <c r="V1117" s="347">
        <v>0</v>
      </c>
      <c r="W1117" s="347">
        <v>0</v>
      </c>
      <c r="X1117" s="14" t="s">
        <v>117</v>
      </c>
      <c r="Y1117" s="346" t="s">
        <v>891</v>
      </c>
      <c r="Z1117" s="14" t="str">
        <f>IF(ISBLANK(LCI_Table[[#This Row],[Notes for user]])," ",LCI_Table[[#This Row],[Notes for user]])</f>
        <v xml:space="preserve"> </v>
      </c>
      <c r="AA1117" s="14"/>
      <c r="AB1117" s="14"/>
      <c r="AC1117" s="346">
        <f ca="1">LCI_Table[[#This Row],[Default Calculated Value]]-LCI_Table[[#This Row],[Calculated Value]]</f>
        <v>0</v>
      </c>
    </row>
    <row r="1118" spans="1:29" x14ac:dyDescent="0.3">
      <c r="A11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(Canada)(blank)_Canola_Extraction_LPGLPG</v>
      </c>
      <c r="B1118" s="48" t="s">
        <v>1347</v>
      </c>
      <c r="C1118" s="14" t="s">
        <v>30</v>
      </c>
      <c r="D1118" s="14" t="s">
        <v>194</v>
      </c>
      <c r="E1118" s="14" t="s">
        <v>370</v>
      </c>
      <c r="F1118" s="48" t="s">
        <v>31</v>
      </c>
      <c r="G1118" s="14" t="b">
        <f>OR(LCI_Table[[#This Row],[Feedstock]]="All",LCI_Table[[#This Row],[Feedstock]]=SelectedFeedstock)</f>
        <v>1</v>
      </c>
      <c r="H1118" s="14" t="b">
        <f>OR(LCI_Table[[#This Row],[Conversion]]="All",LCI_Table[[#This Row],[Conversion]]=SelectedConversion)</f>
        <v>1</v>
      </c>
      <c r="I1118" s="14" t="b">
        <f>OR(LCI_Table[[#This Row],[Data Set]]="all",LCI_Table[[#This Row],[Data Set]]=SelectedDataSet)</f>
        <v>0</v>
      </c>
      <c r="J1118" s="14" t="b">
        <f>OR(LCI_Table[[#This Row],[Technology]]="All",LCI_Table[[#This Row],[Technology]]=SelectedTechnology)</f>
        <v>1</v>
      </c>
      <c r="K1118" s="14" t="b">
        <f>OR(LCI_Table[[#This Row],[Data Source]]="All",LCI_Table[[#This Row],[Data Source]]=SelectedDataSource)</f>
        <v>0</v>
      </c>
      <c r="L1118" s="14" t="b">
        <f>TRUE</f>
        <v>1</v>
      </c>
      <c r="M1118" s="14" t="b">
        <f>(LCI_Table[[#This Row],[Dev Notes]]="Do not display")</f>
        <v>0</v>
      </c>
      <c r="N1118" s="14" t="b">
        <f>AND(LCI_Table[[#This Row],[Show Feedstock]:[Conditional]],NOT(LCI_Table[[#This Row],[Hide Row]]))</f>
        <v>0</v>
      </c>
      <c r="O1118" s="14" t="b">
        <f>LCI_Table[[#This Row],[GREET1 Name Range]]=""</f>
        <v>0</v>
      </c>
      <c r="P1118" s="14" t="s">
        <v>15</v>
      </c>
      <c r="Q1118" s="14" t="s">
        <v>484</v>
      </c>
      <c r="R1118" s="14" t="s">
        <v>109</v>
      </c>
      <c r="S1118" s="37" cm="1">
        <f t="array" aca="1" ref="S11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18" s="346" t="s">
        <v>2112</v>
      </c>
      <c r="U1118" s="347">
        <f ca="1">S1118*Fuel_Specs!$B$35</f>
        <v>0</v>
      </c>
      <c r="V1118" s="347">
        <v>0</v>
      </c>
      <c r="W1118" s="347">
        <v>0</v>
      </c>
      <c r="X1118" s="14" t="s">
        <v>5</v>
      </c>
      <c r="Y1118" s="346" t="s">
        <v>891</v>
      </c>
      <c r="Z1118" s="14" t="str">
        <f>IF(ISBLANK(LCI_Table[[#This Row],[Notes for user]])," ",LCI_Table[[#This Row],[Notes for user]])</f>
        <v xml:space="preserve"> </v>
      </c>
      <c r="AA1118" s="14"/>
      <c r="AB1118" s="14"/>
      <c r="AC1118" s="346">
        <f ca="1">LCI_Table[[#This Row],[Default Calculated Value]]-LCI_Table[[#This Row],[Calculated Value]]</f>
        <v>0</v>
      </c>
    </row>
    <row r="1119" spans="1:29" x14ac:dyDescent="0.3">
      <c r="A11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(Canada)(blank)_Canola_Extraction_ElectricityElectricity</v>
      </c>
      <c r="B1119" s="48" t="s">
        <v>1347</v>
      </c>
      <c r="C1119" s="14" t="s">
        <v>30</v>
      </c>
      <c r="D1119" s="14" t="s">
        <v>194</v>
      </c>
      <c r="E1119" s="14" t="s">
        <v>370</v>
      </c>
      <c r="F1119" s="48" t="s">
        <v>31</v>
      </c>
      <c r="G1119" s="14" t="b">
        <f>OR(LCI_Table[[#This Row],[Feedstock]]="All",LCI_Table[[#This Row],[Feedstock]]=SelectedFeedstock)</f>
        <v>1</v>
      </c>
      <c r="H1119" s="14" t="b">
        <f>OR(LCI_Table[[#This Row],[Conversion]]="All",LCI_Table[[#This Row],[Conversion]]=SelectedConversion)</f>
        <v>1</v>
      </c>
      <c r="I1119" s="14" t="b">
        <f>OR(LCI_Table[[#This Row],[Data Set]]="all",LCI_Table[[#This Row],[Data Set]]=SelectedDataSet)</f>
        <v>0</v>
      </c>
      <c r="J1119" s="14" t="b">
        <f>OR(LCI_Table[[#This Row],[Technology]]="All",LCI_Table[[#This Row],[Technology]]=SelectedTechnology)</f>
        <v>1</v>
      </c>
      <c r="K1119" s="14" t="b">
        <f>OR(LCI_Table[[#This Row],[Data Source]]="All",LCI_Table[[#This Row],[Data Source]]=SelectedDataSource)</f>
        <v>0</v>
      </c>
      <c r="L1119" s="14" t="b">
        <f>TRUE</f>
        <v>1</v>
      </c>
      <c r="M1119" s="14" t="b">
        <f>(LCI_Table[[#This Row],[Dev Notes]]="Do not display")</f>
        <v>0</v>
      </c>
      <c r="N1119" s="14" t="b">
        <f>AND(LCI_Table[[#This Row],[Show Feedstock]:[Conditional]],NOT(LCI_Table[[#This Row],[Hide Row]]))</f>
        <v>0</v>
      </c>
      <c r="O1119" s="14" t="b">
        <f>LCI_Table[[#This Row],[GREET1 Name Range]]=""</f>
        <v>0</v>
      </c>
      <c r="P1119" s="14" t="s">
        <v>15</v>
      </c>
      <c r="Q1119" s="14" t="s">
        <v>480</v>
      </c>
      <c r="R1119" s="14" t="s">
        <v>110</v>
      </c>
      <c r="S1119" s="37" cm="1">
        <f t="array" aca="1" ref="S11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4.9997924447222224E-2</v>
      </c>
      <c r="T1119" s="346" t="s">
        <v>2115</v>
      </c>
      <c r="U1119" s="347">
        <f ca="1">S1119/BTU2kWh</f>
        <v>170.6</v>
      </c>
      <c r="V1119" s="347">
        <v>4.9997924447222224E-2</v>
      </c>
      <c r="W1119" s="347">
        <v>170.6</v>
      </c>
      <c r="X1119" s="14" t="s">
        <v>51</v>
      </c>
      <c r="Y1119" s="346" t="s">
        <v>891</v>
      </c>
      <c r="Z1119" s="14" t="str">
        <f>IF(ISBLANK(LCI_Table[[#This Row],[Notes for user]])," ",LCI_Table[[#This Row],[Notes for user]])</f>
        <v xml:space="preserve"> </v>
      </c>
      <c r="AA1119" s="14"/>
      <c r="AB1119" s="14"/>
      <c r="AC1119" s="346">
        <f ca="1">LCI_Table[[#This Row],[Default Calculated Value]]-LCI_Table[[#This Row],[Calculated Value]]</f>
        <v>0</v>
      </c>
    </row>
    <row r="1120" spans="1:29" x14ac:dyDescent="0.3">
      <c r="A11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(Canada)(blank)_Canola_Extraction_N_hexaneN-hexane</v>
      </c>
      <c r="B1120" s="48" t="s">
        <v>1347</v>
      </c>
      <c r="C1120" s="14" t="s">
        <v>30</v>
      </c>
      <c r="D1120" s="14" t="s">
        <v>194</v>
      </c>
      <c r="E1120" s="14" t="s">
        <v>370</v>
      </c>
      <c r="F1120" s="48" t="s">
        <v>31</v>
      </c>
      <c r="G1120" s="14" t="b">
        <f>OR(LCI_Table[[#This Row],[Feedstock]]="All",LCI_Table[[#This Row],[Feedstock]]=SelectedFeedstock)</f>
        <v>1</v>
      </c>
      <c r="H1120" s="14" t="b">
        <f>OR(LCI_Table[[#This Row],[Conversion]]="All",LCI_Table[[#This Row],[Conversion]]=SelectedConversion)</f>
        <v>1</v>
      </c>
      <c r="I1120" s="14" t="b">
        <f>OR(LCI_Table[[#This Row],[Data Set]]="all",LCI_Table[[#This Row],[Data Set]]=SelectedDataSet)</f>
        <v>0</v>
      </c>
      <c r="J1120" s="14" t="b">
        <f>OR(LCI_Table[[#This Row],[Technology]]="All",LCI_Table[[#This Row],[Technology]]=SelectedTechnology)</f>
        <v>1</v>
      </c>
      <c r="K1120" s="14" t="b">
        <f>OR(LCI_Table[[#This Row],[Data Source]]="All",LCI_Table[[#This Row],[Data Source]]=SelectedDataSource)</f>
        <v>0</v>
      </c>
      <c r="L1120" s="14" t="b">
        <f>TRUE</f>
        <v>1</v>
      </c>
      <c r="M1120" s="14" t="b">
        <f>(LCI_Table[[#This Row],[Dev Notes]]="Do not display")</f>
        <v>0</v>
      </c>
      <c r="N1120" s="14" t="b">
        <f>AND(LCI_Table[[#This Row],[Show Feedstock]:[Conditional]],NOT(LCI_Table[[#This Row],[Hide Row]]))</f>
        <v>0</v>
      </c>
      <c r="O1120" s="14" t="b">
        <f>LCI_Table[[#This Row],[GREET1 Name Range]]=""</f>
        <v>0</v>
      </c>
      <c r="P1120" s="14" t="s">
        <v>15</v>
      </c>
      <c r="Q1120" s="14" t="s">
        <v>485</v>
      </c>
      <c r="R1120" s="14" t="s">
        <v>116</v>
      </c>
      <c r="S1120" s="37" cm="1">
        <f t="array" aca="1" ref="S11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4.4233140039267612E-7</v>
      </c>
      <c r="T1120" s="346" t="s">
        <v>2111</v>
      </c>
      <c r="U1120" s="347">
        <f ca="1">S1120*Fuel_Specs!$B$58*ton2lb</f>
        <v>93</v>
      </c>
      <c r="V1120" s="347">
        <v>4.4233140039267612E-7</v>
      </c>
      <c r="W1120" s="347">
        <v>93</v>
      </c>
      <c r="X1120" s="14" t="s">
        <v>12</v>
      </c>
      <c r="Y1120" s="346" t="s">
        <v>891</v>
      </c>
      <c r="Z1120" s="14" t="str">
        <f>IF(ISBLANK(LCI_Table[[#This Row],[Notes for user]])," ",LCI_Table[[#This Row],[Notes for user]])</f>
        <v xml:space="preserve"> </v>
      </c>
      <c r="AA1120" s="14"/>
      <c r="AB1120" s="14"/>
      <c r="AC1120" s="346">
        <f ca="1">LCI_Table[[#This Row],[Default Calculated Value]]-LCI_Table[[#This Row],[Calculated Value]]</f>
        <v>0</v>
      </c>
    </row>
    <row r="1121" spans="1:29" x14ac:dyDescent="0.3">
      <c r="A11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(Canada)(blank)_Canola_Extraction_Forest_residueForest residue</v>
      </c>
      <c r="B1121" s="48" t="s">
        <v>1347</v>
      </c>
      <c r="C1121" s="14" t="s">
        <v>30</v>
      </c>
      <c r="D1121" s="14" t="s">
        <v>194</v>
      </c>
      <c r="E1121" s="14" t="s">
        <v>370</v>
      </c>
      <c r="F1121" s="48" t="s">
        <v>31</v>
      </c>
      <c r="G1121" s="14" t="b">
        <f>OR(LCI_Table[[#This Row],[Feedstock]]="All",LCI_Table[[#This Row],[Feedstock]]=SelectedFeedstock)</f>
        <v>1</v>
      </c>
      <c r="H1121" s="14" t="b">
        <f>OR(LCI_Table[[#This Row],[Conversion]]="All",LCI_Table[[#This Row],[Conversion]]=SelectedConversion)</f>
        <v>1</v>
      </c>
      <c r="I1121" s="14" t="b">
        <f>OR(LCI_Table[[#This Row],[Data Set]]="all",LCI_Table[[#This Row],[Data Set]]=SelectedDataSet)</f>
        <v>0</v>
      </c>
      <c r="J1121" s="14" t="b">
        <f>OR(LCI_Table[[#This Row],[Technology]]="All",LCI_Table[[#This Row],[Technology]]=SelectedTechnology)</f>
        <v>1</v>
      </c>
      <c r="K1121" s="14" t="b">
        <f>OR(LCI_Table[[#This Row],[Data Source]]="All",LCI_Table[[#This Row],[Data Source]]=SelectedDataSource)</f>
        <v>0</v>
      </c>
      <c r="L1121" s="14" t="b">
        <f>TRUE</f>
        <v>1</v>
      </c>
      <c r="M1121" s="14" t="b">
        <f>(LCI_Table[[#This Row],[Dev Notes]]="Do not display")</f>
        <v>0</v>
      </c>
      <c r="N1121" s="14" t="b">
        <f>AND(LCI_Table[[#This Row],[Show Feedstock]:[Conditional]],NOT(LCI_Table[[#This Row],[Hide Row]]))</f>
        <v>0</v>
      </c>
      <c r="O1121" s="14" t="b">
        <f>LCI_Table[[#This Row],[GREET1 Name Range]]=""</f>
        <v>0</v>
      </c>
      <c r="P1121" s="14" t="s">
        <v>15</v>
      </c>
      <c r="Q1121" s="14" t="s">
        <v>481</v>
      </c>
      <c r="R1121" s="14" t="s">
        <v>316</v>
      </c>
      <c r="S1121" s="37" cm="1">
        <f t="array" aca="1" ref="S11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21" s="346" t="s">
        <v>2111</v>
      </c>
      <c r="U1121" s="347">
        <f ca="1">S1121*Fuel_Specs!$B$100*ton2lb</f>
        <v>0</v>
      </c>
      <c r="V1121" s="347">
        <v>0</v>
      </c>
      <c r="W1121" s="347">
        <v>0</v>
      </c>
      <c r="X1121" s="14" t="s">
        <v>12</v>
      </c>
      <c r="Y1121" s="346" t="s">
        <v>891</v>
      </c>
      <c r="Z1121" s="14" t="str">
        <f>IF(ISBLANK(LCI_Table[[#This Row],[Notes for user]])," ",LCI_Table[[#This Row],[Notes for user]])</f>
        <v xml:space="preserve"> </v>
      </c>
      <c r="AA1121" s="14"/>
      <c r="AB1121" s="14"/>
      <c r="AC1121" s="346">
        <f ca="1">LCI_Table[[#This Row],[Default Calculated Value]]-LCI_Table[[#This Row],[Calculated Value]]</f>
        <v>0</v>
      </c>
    </row>
    <row r="1122" spans="1:29" x14ac:dyDescent="0.3">
      <c r="A11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(Canada)(blank)_Canola_Extraction_Landfill_gasLandfill gas</v>
      </c>
      <c r="B1122" s="48" t="s">
        <v>1347</v>
      </c>
      <c r="C1122" s="14" t="s">
        <v>30</v>
      </c>
      <c r="D1122" s="14" t="s">
        <v>194</v>
      </c>
      <c r="E1122" s="14" t="s">
        <v>370</v>
      </c>
      <c r="F1122" s="48" t="s">
        <v>31</v>
      </c>
      <c r="G1122" s="14" t="b">
        <f>OR(LCI_Table[[#This Row],[Feedstock]]="All",LCI_Table[[#This Row],[Feedstock]]=SelectedFeedstock)</f>
        <v>1</v>
      </c>
      <c r="H1122" s="14" t="b">
        <f>OR(LCI_Table[[#This Row],[Conversion]]="All",LCI_Table[[#This Row],[Conversion]]=SelectedConversion)</f>
        <v>1</v>
      </c>
      <c r="I1122" s="14" t="b">
        <f>OR(LCI_Table[[#This Row],[Data Set]]="all",LCI_Table[[#This Row],[Data Set]]=SelectedDataSet)</f>
        <v>0</v>
      </c>
      <c r="J1122" s="14" t="b">
        <f>OR(LCI_Table[[#This Row],[Technology]]="All",LCI_Table[[#This Row],[Technology]]=SelectedTechnology)</f>
        <v>1</v>
      </c>
      <c r="K1122" s="14" t="b">
        <f>OR(LCI_Table[[#This Row],[Data Source]]="All",LCI_Table[[#This Row],[Data Source]]=SelectedDataSource)</f>
        <v>0</v>
      </c>
      <c r="L1122" s="14" t="b">
        <f>TRUE</f>
        <v>1</v>
      </c>
      <c r="M1122" s="14" t="b">
        <f>(LCI_Table[[#This Row],[Dev Notes]]="Do not display")</f>
        <v>0</v>
      </c>
      <c r="N1122" s="14" t="b">
        <f>AND(LCI_Table[[#This Row],[Show Feedstock]:[Conditional]],NOT(LCI_Table[[#This Row],[Hide Row]]))</f>
        <v>0</v>
      </c>
      <c r="O1122" s="14" t="b">
        <f>LCI_Table[[#This Row],[GREET1 Name Range]]=""</f>
        <v>0</v>
      </c>
      <c r="P1122" s="14" t="s">
        <v>15</v>
      </c>
      <c r="Q1122" s="14" t="s">
        <v>483</v>
      </c>
      <c r="R1122" s="14" t="s">
        <v>130</v>
      </c>
      <c r="S1122" s="37" cm="1">
        <f t="array" aca="1" ref="S11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22" s="346" t="s">
        <v>2113</v>
      </c>
      <c r="U1122" s="347">
        <f ca="1">S1122*Fuel_Specs!$B$79</f>
        <v>0</v>
      </c>
      <c r="V1122" s="347">
        <v>0</v>
      </c>
      <c r="W1122" s="347">
        <v>0</v>
      </c>
      <c r="X1122" s="14" t="s">
        <v>351</v>
      </c>
      <c r="Y1122" s="346" t="s">
        <v>891</v>
      </c>
      <c r="Z1122" s="14" t="str">
        <f>IF(ISBLANK(LCI_Table[[#This Row],[Notes for user]])," ",LCI_Table[[#This Row],[Notes for user]])</f>
        <v xml:space="preserve"> </v>
      </c>
      <c r="AA1122" s="14"/>
      <c r="AB1122" s="14"/>
      <c r="AC1122" s="346">
        <f ca="1">LCI_Table[[#This Row],[Default Calculated Value]]-LCI_Table[[#This Row],[Calculated Value]]</f>
        <v>0</v>
      </c>
    </row>
    <row r="1123" spans="1:29" x14ac:dyDescent="0.3">
      <c r="A11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(Canada)(blank)_Canola_Oil_Extraction_Energy_AllocationAllocation factor</v>
      </c>
      <c r="B1123" s="48" t="s">
        <v>1347</v>
      </c>
      <c r="C1123" s="14" t="s">
        <v>30</v>
      </c>
      <c r="D1123" s="14" t="s">
        <v>194</v>
      </c>
      <c r="E1123" s="14" t="s">
        <v>370</v>
      </c>
      <c r="F1123" s="48" t="s">
        <v>31</v>
      </c>
      <c r="G1123" s="14" t="b">
        <f>OR(LCI_Table[[#This Row],[Feedstock]]="All",LCI_Table[[#This Row],[Feedstock]]=SelectedFeedstock)</f>
        <v>1</v>
      </c>
      <c r="H1123" s="14" t="b">
        <f>OR(LCI_Table[[#This Row],[Conversion]]="All",LCI_Table[[#This Row],[Conversion]]=SelectedConversion)</f>
        <v>1</v>
      </c>
      <c r="I1123" s="14" t="b">
        <f>OR(LCI_Table[[#This Row],[Data Set]]="all",LCI_Table[[#This Row],[Data Set]]=SelectedDataSet)</f>
        <v>0</v>
      </c>
      <c r="J1123" s="14" t="b">
        <f>OR(LCI_Table[[#This Row],[Technology]]="All",LCI_Table[[#This Row],[Technology]]=SelectedTechnology)</f>
        <v>1</v>
      </c>
      <c r="K1123" s="14" t="b">
        <f>OR(LCI_Table[[#This Row],[Data Source]]="All",LCI_Table[[#This Row],[Data Source]]=SelectedDataSource)</f>
        <v>0</v>
      </c>
      <c r="L1123" s="14" t="b">
        <f>TRUE</f>
        <v>1</v>
      </c>
      <c r="M1123" s="14" t="b">
        <f>(LCI_Table[[#This Row],[Dev Notes]]="Do not display")</f>
        <v>0</v>
      </c>
      <c r="N1123" s="14" t="b">
        <f>AND(LCI_Table[[#This Row],[Show Feedstock]:[Conditional]],NOT(LCI_Table[[#This Row],[Hide Row]]))</f>
        <v>0</v>
      </c>
      <c r="O1123" s="14" t="b">
        <f>LCI_Table[[#This Row],[GREET1 Name Range]]=""</f>
        <v>0</v>
      </c>
      <c r="P1123" s="14" t="s">
        <v>15</v>
      </c>
      <c r="Q1123" s="14" t="s">
        <v>1107</v>
      </c>
      <c r="R1123" s="14" t="s">
        <v>1344</v>
      </c>
      <c r="S1123" s="37" cm="1">
        <f t="array" aca="1" ref="S11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72.116452204685089</v>
      </c>
      <c r="T1123" s="346" t="s">
        <v>1345</v>
      </c>
      <c r="U1123" s="347">
        <f ca="1">LCI_Table[[#This Row],[Dashboard Value]]/100</f>
        <v>0.72116452204685089</v>
      </c>
      <c r="V1123" s="347">
        <v>72.116452204685089</v>
      </c>
      <c r="W1123" s="347">
        <v>0.72116452204685089</v>
      </c>
      <c r="X1123" s="14" t="s">
        <v>1345</v>
      </c>
      <c r="Y1123" s="346" t="s">
        <v>891</v>
      </c>
      <c r="Z1123" s="14" t="str">
        <f>IF(ISBLANK(LCI_Table[[#This Row],[Notes for user]])," ",LCI_Table[[#This Row],[Notes for user]])</f>
        <v>Allocation to canola/rapeseed oil (energy allocation)</v>
      </c>
      <c r="AA1123" s="14" t="s">
        <v>1352</v>
      </c>
      <c r="AB1123" s="14"/>
      <c r="AC1123" s="346">
        <f ca="1">LCI_Table[[#This Row],[Default Calculated Value]]-LCI_Table[[#This Row],[Calculated Value]]</f>
        <v>0</v>
      </c>
    </row>
    <row r="1124" spans="1:29" x14ac:dyDescent="0.3">
      <c r="A11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(Canada)(blank)_HEFA_feed_usageCanola oil</v>
      </c>
      <c r="B1124" s="48" t="s">
        <v>1347</v>
      </c>
      <c r="C1124" s="14" t="s">
        <v>30</v>
      </c>
      <c r="D1124" s="14" t="s">
        <v>194</v>
      </c>
      <c r="E1124" s="14" t="s">
        <v>370</v>
      </c>
      <c r="F1124" s="48" t="s">
        <v>31</v>
      </c>
      <c r="G1124" s="14" t="b">
        <f>OR(LCI_Table[[#This Row],[Feedstock]]="All",LCI_Table[[#This Row],[Feedstock]]=SelectedFeedstock)</f>
        <v>1</v>
      </c>
      <c r="H1124" s="14" t="b">
        <f>OR(LCI_Table[[#This Row],[Conversion]]="All",LCI_Table[[#This Row],[Conversion]]=SelectedConversion)</f>
        <v>1</v>
      </c>
      <c r="I1124" s="14" t="b">
        <f>OR(LCI_Table[[#This Row],[Data Set]]="all",LCI_Table[[#This Row],[Data Set]]=SelectedDataSet)</f>
        <v>0</v>
      </c>
      <c r="J1124" s="14" t="b">
        <f>OR(LCI_Table[[#This Row],[Technology]]="All",LCI_Table[[#This Row],[Technology]]=SelectedTechnology)</f>
        <v>1</v>
      </c>
      <c r="K1124" s="14" t="b">
        <f>OR(LCI_Table[[#This Row],[Data Source]]="All",LCI_Table[[#This Row],[Data Source]]=SelectedDataSource)</f>
        <v>0</v>
      </c>
      <c r="L1124" s="14" t="b">
        <f>TRUE</f>
        <v>1</v>
      </c>
      <c r="M1124" s="14" t="b">
        <f>(LCI_Table[[#This Row],[Dev Notes]]="Do not display")</f>
        <v>0</v>
      </c>
      <c r="N1124" s="14" t="b">
        <f>AND(LCI_Table[[#This Row],[Show Feedstock]:[Conditional]],NOT(LCI_Table[[#This Row],[Hide Row]]))</f>
        <v>0</v>
      </c>
      <c r="O1124" s="14" t="b">
        <f>LCI_Table[[#This Row],[GREET1 Name Range]]=""</f>
        <v>0</v>
      </c>
      <c r="P1124" s="14" t="s">
        <v>1448</v>
      </c>
      <c r="Q1124" s="14" t="s">
        <v>933</v>
      </c>
      <c r="R1124" s="14" t="s">
        <v>400</v>
      </c>
      <c r="S1124" s="37" cm="1">
        <f t="array" aca="1" ref="S11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67.105243036314235</v>
      </c>
      <c r="T1124" s="346" t="s">
        <v>2119</v>
      </c>
      <c r="U1124" s="347">
        <f ca="1">S1124*lb2g/Fuel_Specs!$E$48*Fuel_Specs!$B$48*BTU2mmBTU</f>
        <v>1.2722877150689311</v>
      </c>
      <c r="V1124" s="347">
        <v>67.105243036314235</v>
      </c>
      <c r="W1124" s="347">
        <v>1.2722877150689311</v>
      </c>
      <c r="X1124" s="14" t="s">
        <v>12</v>
      </c>
      <c r="Y1124" s="346" t="s">
        <v>416</v>
      </c>
      <c r="Z1124" s="14" t="str">
        <f>IF(ISBLANK(LCI_Table[[#This Row],[Notes for user]])," ",LCI_Table[[#This Row],[Notes for user]])</f>
        <v xml:space="preserve"> </v>
      </c>
      <c r="AA1124" s="358"/>
      <c r="AB1124" s="14"/>
      <c r="AC1124" s="346">
        <f ca="1">LCI_Table[[#This Row],[Default Calculated Value]]-LCI_Table[[#This Row],[Calculated Value]]</f>
        <v>0</v>
      </c>
    </row>
    <row r="1125" spans="1:29" x14ac:dyDescent="0.3">
      <c r="A11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(Canada)(blank)_Canola_HEFA_Natural_gasNatural gas</v>
      </c>
      <c r="B1125" s="48" t="s">
        <v>1347</v>
      </c>
      <c r="C1125" s="14" t="s">
        <v>30</v>
      </c>
      <c r="D1125" s="14" t="s">
        <v>194</v>
      </c>
      <c r="E1125" s="14" t="s">
        <v>370</v>
      </c>
      <c r="F1125" s="48" t="s">
        <v>31</v>
      </c>
      <c r="G1125" s="14" t="b">
        <f>OR(LCI_Table[[#This Row],[Feedstock]]="All",LCI_Table[[#This Row],[Feedstock]]=SelectedFeedstock)</f>
        <v>1</v>
      </c>
      <c r="H1125" s="14" t="b">
        <f>OR(LCI_Table[[#This Row],[Conversion]]="All",LCI_Table[[#This Row],[Conversion]]=SelectedConversion)</f>
        <v>1</v>
      </c>
      <c r="I1125" s="14" t="b">
        <f>OR(LCI_Table[[#This Row],[Data Set]]="all",LCI_Table[[#This Row],[Data Set]]=SelectedDataSet)</f>
        <v>0</v>
      </c>
      <c r="J1125" s="14" t="b">
        <f>OR(LCI_Table[[#This Row],[Technology]]="All",LCI_Table[[#This Row],[Technology]]=SelectedTechnology)</f>
        <v>1</v>
      </c>
      <c r="K1125" s="14" t="b">
        <f>OR(LCI_Table[[#This Row],[Data Source]]="All",LCI_Table[[#This Row],[Data Source]]=SelectedDataSource)</f>
        <v>0</v>
      </c>
      <c r="L1125" s="14" t="b">
        <f>TRUE</f>
        <v>1</v>
      </c>
      <c r="M1125" s="14" t="b">
        <f>(LCI_Table[[#This Row],[Dev Notes]]="Do not display")</f>
        <v>0</v>
      </c>
      <c r="N1125" s="14" t="b">
        <f>AND(LCI_Table[[#This Row],[Show Feedstock]:[Conditional]],NOT(LCI_Table[[#This Row],[Hide Row]]))</f>
        <v>0</v>
      </c>
      <c r="O1125" s="14" t="b">
        <f>LCI_Table[[#This Row],[GREET1 Name Range]]=""</f>
        <v>0</v>
      </c>
      <c r="P1125" s="14" t="s">
        <v>1448</v>
      </c>
      <c r="Q1125" s="14" t="s">
        <v>503</v>
      </c>
      <c r="R1125" s="14" t="s">
        <v>108</v>
      </c>
      <c r="S1125" s="37" cm="1">
        <f t="array" aca="1" ref="S11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83.059355784356256</v>
      </c>
      <c r="T1125" s="346" t="s">
        <v>2120</v>
      </c>
      <c r="U1125" s="347">
        <f ca="1">S1125*lb2g/Fuel_Specs!$E$48*Fuel_Specs!$B$48*Fuel_Specs!$B$79*BTU2mmBTU</f>
        <v>1548.0000000000002</v>
      </c>
      <c r="V1125" s="347">
        <v>83.059355784356256</v>
      </c>
      <c r="W1125" s="347">
        <v>1548.0000000000002</v>
      </c>
      <c r="X1125" s="14" t="s">
        <v>351</v>
      </c>
      <c r="Y1125" s="346" t="s">
        <v>416</v>
      </c>
      <c r="Z1125" s="14" t="str">
        <f>IF(ISBLANK(LCI_Table[[#This Row],[Notes for user]])," ",LCI_Table[[#This Row],[Notes for user]])</f>
        <v xml:space="preserve"> </v>
      </c>
      <c r="AA1125" s="14"/>
      <c r="AB1125" s="14"/>
      <c r="AC1125" s="346">
        <f ca="1">LCI_Table[[#This Row],[Default Calculated Value]]-LCI_Table[[#This Row],[Calculated Value]]</f>
        <v>0</v>
      </c>
    </row>
    <row r="1126" spans="1:29" x14ac:dyDescent="0.3">
      <c r="A11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(Canada)(blank)_Canola_HEFA_ElectricityGrid Electricity</v>
      </c>
      <c r="B1126" s="48" t="s">
        <v>1347</v>
      </c>
      <c r="C1126" s="14" t="s">
        <v>30</v>
      </c>
      <c r="D1126" s="14" t="s">
        <v>194</v>
      </c>
      <c r="E1126" s="14" t="s">
        <v>370</v>
      </c>
      <c r="F1126" s="48" t="s">
        <v>31</v>
      </c>
      <c r="G1126" s="14" t="b">
        <f>OR(LCI_Table[[#This Row],[Feedstock]]="All",LCI_Table[[#This Row],[Feedstock]]=SelectedFeedstock)</f>
        <v>1</v>
      </c>
      <c r="H1126" s="14" t="b">
        <f>OR(LCI_Table[[#This Row],[Conversion]]="All",LCI_Table[[#This Row],[Conversion]]=SelectedConversion)</f>
        <v>1</v>
      </c>
      <c r="I1126" s="14" t="b">
        <f>OR(LCI_Table[[#This Row],[Data Set]]="all",LCI_Table[[#This Row],[Data Set]]=SelectedDataSet)</f>
        <v>0</v>
      </c>
      <c r="J1126" s="14" t="b">
        <f>OR(LCI_Table[[#This Row],[Technology]]="All",LCI_Table[[#This Row],[Technology]]=SelectedTechnology)</f>
        <v>1</v>
      </c>
      <c r="K1126" s="14" t="b">
        <f>OR(LCI_Table[[#This Row],[Data Source]]="All",LCI_Table[[#This Row],[Data Source]]=SelectedDataSource)</f>
        <v>0</v>
      </c>
      <c r="L1126" s="14" t="b">
        <f>TRUE</f>
        <v>1</v>
      </c>
      <c r="M1126" s="14" t="b">
        <f>(LCI_Table[[#This Row],[Dev Notes]]="Do not display")</f>
        <v>0</v>
      </c>
      <c r="N1126" s="14" t="b">
        <f>AND(LCI_Table[[#This Row],[Show Feedstock]:[Conditional]],NOT(LCI_Table[[#This Row],[Hide Row]]))</f>
        <v>0</v>
      </c>
      <c r="O1126" s="14" t="b">
        <f>LCI_Table[[#This Row],[GREET1 Name Range]]=""</f>
        <v>0</v>
      </c>
      <c r="P1126" s="14" t="s">
        <v>1448</v>
      </c>
      <c r="Q1126" s="14" t="s">
        <v>501</v>
      </c>
      <c r="R1126" s="14" t="s">
        <v>1684</v>
      </c>
      <c r="S1126" s="37" cm="1">
        <f t="array" aca="1" ref="S11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1.3556377760028697</v>
      </c>
      <c r="T1126" s="346" t="s">
        <v>2121</v>
      </c>
      <c r="U1126" s="347">
        <f ca="1">S1126*lb2g/Fuel_Specs!$E$48*Fuel_Specs!$B$48/BTU2kWh*BTU2mmBTU</f>
        <v>87.699999999999974</v>
      </c>
      <c r="V1126" s="347">
        <v>1.3556377760028697</v>
      </c>
      <c r="W1126" s="347">
        <v>87.699999999999974</v>
      </c>
      <c r="X1126" s="14" t="s">
        <v>51</v>
      </c>
      <c r="Y1126" s="346" t="s">
        <v>416</v>
      </c>
      <c r="Z1126" s="14" t="str">
        <f>IF(ISBLANK(LCI_Table[[#This Row],[Notes for user]])," ",LCI_Table[[#This Row],[Notes for user]])</f>
        <v xml:space="preserve"> </v>
      </c>
      <c r="AA1126" s="14"/>
      <c r="AB1126" s="14"/>
      <c r="AC1126" s="346">
        <f ca="1">LCI_Table[[#This Row],[Default Calculated Value]]-LCI_Table[[#This Row],[Calculated Value]]</f>
        <v>0</v>
      </c>
    </row>
    <row r="1127" spans="1:29" x14ac:dyDescent="0.3">
      <c r="A11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(Canada)(blank)_Canola_HEFA_HydrogenHydrogen</v>
      </c>
      <c r="B1127" s="48" t="s">
        <v>1347</v>
      </c>
      <c r="C1127" s="14" t="s">
        <v>30</v>
      </c>
      <c r="D1127" s="14" t="s">
        <v>194</v>
      </c>
      <c r="E1127" s="14" t="s">
        <v>370</v>
      </c>
      <c r="F1127" s="48" t="s">
        <v>31</v>
      </c>
      <c r="G1127" s="14" t="b">
        <f>OR(LCI_Table[[#This Row],[Feedstock]]="All",LCI_Table[[#This Row],[Feedstock]]=SelectedFeedstock)</f>
        <v>1</v>
      </c>
      <c r="H1127" s="14" t="b">
        <f>OR(LCI_Table[[#This Row],[Conversion]]="All",LCI_Table[[#This Row],[Conversion]]=SelectedConversion)</f>
        <v>1</v>
      </c>
      <c r="I1127" s="14" t="b">
        <f>OR(LCI_Table[[#This Row],[Data Set]]="all",LCI_Table[[#This Row],[Data Set]]=SelectedDataSet)</f>
        <v>0</v>
      </c>
      <c r="J1127" s="14" t="b">
        <f>OR(LCI_Table[[#This Row],[Technology]]="All",LCI_Table[[#This Row],[Technology]]=SelectedTechnology)</f>
        <v>1</v>
      </c>
      <c r="K1127" s="14" t="b">
        <f>OR(LCI_Table[[#This Row],[Data Source]]="All",LCI_Table[[#This Row],[Data Source]]=SelectedDataSource)</f>
        <v>0</v>
      </c>
      <c r="L1127" s="14" t="b">
        <f>TRUE</f>
        <v>1</v>
      </c>
      <c r="M1127" s="14" t="b">
        <f>(LCI_Table[[#This Row],[Dev Notes]]="Do not display")</f>
        <v>0</v>
      </c>
      <c r="N1127" s="14" t="b">
        <f>AND(LCI_Table[[#This Row],[Show Feedstock]:[Conditional]],NOT(LCI_Table[[#This Row],[Hide Row]]))</f>
        <v>0</v>
      </c>
      <c r="O1127" s="14" t="b">
        <f>LCI_Table[[#This Row],[GREET1 Name Range]]=""</f>
        <v>0</v>
      </c>
      <c r="P1127" s="14" t="s">
        <v>1448</v>
      </c>
      <c r="Q1127" s="14" t="s">
        <v>502</v>
      </c>
      <c r="R1127" s="14" t="s">
        <v>73</v>
      </c>
      <c r="S1127" s="37" cm="1">
        <f t="array" aca="1" ref="S11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315.73508405447421</v>
      </c>
      <c r="T1127" s="346" t="s">
        <v>2120</v>
      </c>
      <c r="U1127" s="347">
        <f ca="1">S1127*lb2g/Fuel_Specs!$E$48*Fuel_Specs!$B$48*Fuel_Specs!$B$81*BTU2mmBTU</f>
        <v>1736.0000000000007</v>
      </c>
      <c r="V1127" s="347">
        <v>315.73508405447421</v>
      </c>
      <c r="W1127" s="347">
        <v>1736.0000000000007</v>
      </c>
      <c r="X1127" s="14" t="s">
        <v>351</v>
      </c>
      <c r="Y1127" s="346" t="s">
        <v>416</v>
      </c>
      <c r="Z1127" s="14" t="str">
        <f>IF(ISBLANK(LCI_Table[[#This Row],[Notes for user]])," ",LCI_Table[[#This Row],[Notes for user]])</f>
        <v xml:space="preserve"> </v>
      </c>
      <c r="AA1127" s="14"/>
      <c r="AB1127" s="14"/>
      <c r="AC1127" s="346">
        <f ca="1">LCI_Table[[#This Row],[Default Calculated Value]]-LCI_Table[[#This Row],[Calculated Value]]</f>
        <v>0</v>
      </c>
    </row>
    <row r="1128" spans="1:29" x14ac:dyDescent="0.3">
      <c r="A11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Canola/RapeseedHEFAICAOGHGenius (Canada)(blank)_Canola_Oil_HEFA_Energy_AllocationAllocation factor</v>
      </c>
      <c r="B1128" s="48" t="s">
        <v>1347</v>
      </c>
      <c r="C1128" s="14" t="s">
        <v>30</v>
      </c>
      <c r="D1128" s="14" t="s">
        <v>194</v>
      </c>
      <c r="E1128" s="14" t="s">
        <v>370</v>
      </c>
      <c r="F1128" s="48" t="s">
        <v>31</v>
      </c>
      <c r="G1128" s="14" t="b">
        <f>OR(LCI_Table[[#This Row],[Feedstock]]="All",LCI_Table[[#This Row],[Feedstock]]=SelectedFeedstock)</f>
        <v>1</v>
      </c>
      <c r="H1128" s="14" t="b">
        <f>OR(LCI_Table[[#This Row],[Conversion]]="All",LCI_Table[[#This Row],[Conversion]]=SelectedConversion)</f>
        <v>1</v>
      </c>
      <c r="I1128" s="14" t="b">
        <f>OR(LCI_Table[[#This Row],[Data Set]]="all",LCI_Table[[#This Row],[Data Set]]=SelectedDataSet)</f>
        <v>0</v>
      </c>
      <c r="J1128" s="14" t="b">
        <f>OR(LCI_Table[[#This Row],[Technology]]="All",LCI_Table[[#This Row],[Technology]]=SelectedTechnology)</f>
        <v>1</v>
      </c>
      <c r="K1128" s="14" t="b">
        <f>OR(LCI_Table[[#This Row],[Data Source]]="All",LCI_Table[[#This Row],[Data Source]]=SelectedDataSource)</f>
        <v>0</v>
      </c>
      <c r="L1128" s="14" t="b">
        <f>TRUE</f>
        <v>1</v>
      </c>
      <c r="M1128" s="14" t="b">
        <f>(LCI_Table[[#This Row],[Dev Notes]]="Do not display")</f>
        <v>0</v>
      </c>
      <c r="N1128" s="14" t="b">
        <f>AND(LCI_Table[[#This Row],[Show Feedstock]:[Conditional]],NOT(LCI_Table[[#This Row],[Hide Row]]))</f>
        <v>0</v>
      </c>
      <c r="O1128" s="14" t="b">
        <f>LCI_Table[[#This Row],[GREET1 Name Range]]=""</f>
        <v>0</v>
      </c>
      <c r="P1128" s="14" t="s">
        <v>1448</v>
      </c>
      <c r="Q1128" s="14" t="s">
        <v>1117</v>
      </c>
      <c r="R1128" s="14" t="s">
        <v>1344</v>
      </c>
      <c r="S1128" s="37" cm="1">
        <f t="array" aca="1" ref="S11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91.298522130594534</v>
      </c>
      <c r="T1128" s="346" t="s">
        <v>1345</v>
      </c>
      <c r="U1128" s="347">
        <f ca="1">LCI_Table[[#This Row],[Dashboard Value]]/100</f>
        <v>0.91298522130594539</v>
      </c>
      <c r="V1128" s="351">
        <v>91.298522130594534</v>
      </c>
      <c r="W1128" s="351">
        <v>0.91298522130594539</v>
      </c>
      <c r="X1128" s="14" t="s">
        <v>1345</v>
      </c>
      <c r="Y1128" s="346" t="s">
        <v>416</v>
      </c>
      <c r="Z1128" s="14" t="str">
        <f>IF(ISBLANK(LCI_Table[[#This Row],[Notes for user]])," ",LCI_Table[[#This Row],[Notes for user]])</f>
        <v>Allocation to main distillate fuels (energy allocation)</v>
      </c>
      <c r="AA1128" s="14" t="s">
        <v>1353</v>
      </c>
      <c r="AB1128" s="14"/>
      <c r="AC1128" s="346">
        <f ca="1">LCI_Table[[#This Row],[Default Calculated Value]]-LCI_Table[[#This Row],[Calculated Value]]</f>
        <v>0</v>
      </c>
    </row>
    <row r="1129" spans="1:29" x14ac:dyDescent="0.3">
      <c r="A11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dash_Canola/RapeseedHEFAICAOJRC(blank)_Yield_Farming</v>
      </c>
      <c r="B1129" s="48" t="s">
        <v>1347</v>
      </c>
      <c r="C1129" s="48" t="s">
        <v>30</v>
      </c>
      <c r="D1129" s="48" t="s">
        <v>194</v>
      </c>
      <c r="E1129" s="48" t="s">
        <v>355</v>
      </c>
      <c r="F1129" s="48" t="s">
        <v>31</v>
      </c>
      <c r="G1129" s="14" t="b">
        <f>OR(LCI_Table[[#This Row],[Feedstock]]="All",LCI_Table[[#This Row],[Feedstock]]=SelectedFeedstock)</f>
        <v>1</v>
      </c>
      <c r="H1129" s="14" t="b">
        <f>OR(LCI_Table[[#This Row],[Conversion]]="All",LCI_Table[[#This Row],[Conversion]]=SelectedConversion)</f>
        <v>1</v>
      </c>
      <c r="I1129" s="14" t="b">
        <f>OR(LCI_Table[[#This Row],[Data Set]]="all",LCI_Table[[#This Row],[Data Set]]=SelectedDataSet)</f>
        <v>0</v>
      </c>
      <c r="J1129" s="14" t="b">
        <f>OR(LCI_Table[[#This Row],[Technology]]="All",LCI_Table[[#This Row],[Technology]]=SelectedTechnology)</f>
        <v>1</v>
      </c>
      <c r="K1129" s="14" t="b">
        <f>OR(LCI_Table[[#This Row],[Data Source]]="All",LCI_Table[[#This Row],[Data Source]]=SelectedDataSource)</f>
        <v>0</v>
      </c>
      <c r="L1129" s="14" t="b">
        <f>TRUE</f>
        <v>1</v>
      </c>
      <c r="M1129" s="14" t="b">
        <f>(LCI_Table[[#This Row],[Dev Notes]]="Do not display")</f>
        <v>0</v>
      </c>
      <c r="N1129" s="14" t="b">
        <f>AND(LCI_Table[[#This Row],[Show Feedstock]:[Conditional]],NOT(LCI_Table[[#This Row],[Hide Row]]))</f>
        <v>0</v>
      </c>
      <c r="O1129" s="14" t="b">
        <f>LCI_Table[[#This Row],[GREET1 Name Range]]=""</f>
        <v>1</v>
      </c>
      <c r="P1129" s="48" t="s">
        <v>14</v>
      </c>
      <c r="Q1129" s="14" t="s">
        <v>361</v>
      </c>
      <c r="R1129" s="48" t="s">
        <v>200</v>
      </c>
      <c r="S1129" s="37" cm="1">
        <f t="array" aca="1" ref="S11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0.65100000000000002</v>
      </c>
      <c r="T1129" s="346" t="s">
        <v>2116</v>
      </c>
      <c r="U1129" s="344"/>
      <c r="V1129" s="353">
        <v>0.65100000000000002</v>
      </c>
      <c r="W1129" s="344"/>
      <c r="X1129" s="48" t="s">
        <v>55</v>
      </c>
      <c r="Y1129" s="346" t="s">
        <v>413</v>
      </c>
      <c r="Z1129" s="14" t="str">
        <f>IF(ISBLANK(LCI_Table[[#This Row],[Notes for user]])," ",LCI_Table[[#This Row],[Notes for user]])</f>
        <v>USDA (2021 data)</v>
      </c>
      <c r="AA1129" s="48" t="s">
        <v>915</v>
      </c>
      <c r="AB1129" s="345"/>
      <c r="AC1129" s="346">
        <f>LCI_Table[[#This Row],[Default Calculated Value]]-LCI_Table[[#This Row],[Calculated Value]]</f>
        <v>0</v>
      </c>
    </row>
    <row r="1130" spans="1:29" x14ac:dyDescent="0.3">
      <c r="A11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Canola/RapeseedHEFAICAOJRC(blank)_Canola_Farming_Nitrogen_fertilizerNitrogen fertilizer</v>
      </c>
      <c r="B1130" s="48" t="s">
        <v>1347</v>
      </c>
      <c r="C1130" s="14" t="s">
        <v>30</v>
      </c>
      <c r="D1130" s="14" t="s">
        <v>194</v>
      </c>
      <c r="E1130" s="14" t="s">
        <v>355</v>
      </c>
      <c r="F1130" s="48" t="s">
        <v>31</v>
      </c>
      <c r="G1130" s="14" t="b">
        <f>OR(LCI_Table[[#This Row],[Feedstock]]="All",LCI_Table[[#This Row],[Feedstock]]=SelectedFeedstock)</f>
        <v>1</v>
      </c>
      <c r="H1130" s="14" t="b">
        <f>OR(LCI_Table[[#This Row],[Conversion]]="All",LCI_Table[[#This Row],[Conversion]]=SelectedConversion)</f>
        <v>1</v>
      </c>
      <c r="I1130" s="14" t="b">
        <f>OR(LCI_Table[[#This Row],[Data Set]]="all",LCI_Table[[#This Row],[Data Set]]=SelectedDataSet)</f>
        <v>0</v>
      </c>
      <c r="J1130" s="14" t="b">
        <f>OR(LCI_Table[[#This Row],[Technology]]="All",LCI_Table[[#This Row],[Technology]]=SelectedTechnology)</f>
        <v>1</v>
      </c>
      <c r="K1130" s="14" t="b">
        <f>OR(LCI_Table[[#This Row],[Data Source]]="All",LCI_Table[[#This Row],[Data Source]]=SelectedDataSource)</f>
        <v>0</v>
      </c>
      <c r="L1130" s="14" t="b">
        <f>TRUE</f>
        <v>1</v>
      </c>
      <c r="M1130" s="14" t="b">
        <f>(LCI_Table[[#This Row],[Dev Notes]]="Do not display")</f>
        <v>0</v>
      </c>
      <c r="N1130" s="14" t="b">
        <f>AND(LCI_Table[[#This Row],[Show Feedstock]:[Conditional]],NOT(LCI_Table[[#This Row],[Hide Row]]))</f>
        <v>0</v>
      </c>
      <c r="O1130" s="14" t="b">
        <f>LCI_Table[[#This Row],[GREET1 Name Range]]=""</f>
        <v>0</v>
      </c>
      <c r="P1130" s="14" t="s">
        <v>14</v>
      </c>
      <c r="Q1130" s="14" t="s">
        <v>498</v>
      </c>
      <c r="R1130" s="14" t="s">
        <v>111</v>
      </c>
      <c r="S1130" s="37" cm="1">
        <f t="array" aca="1" ref="S11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63.146999999999998</v>
      </c>
      <c r="T1130" s="346" t="s">
        <v>1485</v>
      </c>
      <c r="U1130" s="347">
        <f ca="1">S1130/g2lb/S1129*MT2ton</f>
        <v>48499.999999999898</v>
      </c>
      <c r="V1130" s="347">
        <v>63.146999999999998</v>
      </c>
      <c r="W1130" s="347">
        <v>48499.999999999898</v>
      </c>
      <c r="X1130" s="14" t="s">
        <v>12</v>
      </c>
      <c r="Y1130" s="346" t="s">
        <v>413</v>
      </c>
      <c r="Z1130" s="14" t="str">
        <f>IF(ISBLANK(LCI_Table[[#This Row],[Notes for user]])," ",LCI_Table[[#This Row],[Notes for user]])</f>
        <v xml:space="preserve"> </v>
      </c>
      <c r="AA1130" s="14"/>
      <c r="AB1130" s="14"/>
      <c r="AC1130" s="346">
        <f ca="1">LCI_Table[[#This Row],[Default Calculated Value]]-LCI_Table[[#This Row],[Calculated Value]]</f>
        <v>0</v>
      </c>
    </row>
    <row r="1131" spans="1:29" x14ac:dyDescent="0.3">
      <c r="A11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Canola/RapeseedHEFAICAOJRC(blank)_Canola_Farming_P2O5P2O5</v>
      </c>
      <c r="B1131" s="48" t="s">
        <v>1347</v>
      </c>
      <c r="C1131" s="14" t="s">
        <v>30</v>
      </c>
      <c r="D1131" s="14" t="s">
        <v>194</v>
      </c>
      <c r="E1131" s="14" t="s">
        <v>355</v>
      </c>
      <c r="F1131" s="48" t="s">
        <v>31</v>
      </c>
      <c r="G1131" s="14" t="b">
        <f>OR(LCI_Table[[#This Row],[Feedstock]]="All",LCI_Table[[#This Row],[Feedstock]]=SelectedFeedstock)</f>
        <v>1</v>
      </c>
      <c r="H1131" s="14" t="b">
        <f>OR(LCI_Table[[#This Row],[Conversion]]="All",LCI_Table[[#This Row],[Conversion]]=SelectedConversion)</f>
        <v>1</v>
      </c>
      <c r="I1131" s="14" t="b">
        <f>OR(LCI_Table[[#This Row],[Data Set]]="all",LCI_Table[[#This Row],[Data Set]]=SelectedDataSet)</f>
        <v>0</v>
      </c>
      <c r="J1131" s="14" t="b">
        <f>OR(LCI_Table[[#This Row],[Technology]]="All",LCI_Table[[#This Row],[Technology]]=SelectedTechnology)</f>
        <v>1</v>
      </c>
      <c r="K1131" s="14" t="b">
        <f>OR(LCI_Table[[#This Row],[Data Source]]="All",LCI_Table[[#This Row],[Data Source]]=SelectedDataSource)</f>
        <v>0</v>
      </c>
      <c r="L1131" s="14" t="b">
        <f>TRUE</f>
        <v>1</v>
      </c>
      <c r="M1131" s="14" t="b">
        <f>(LCI_Table[[#This Row],[Dev Notes]]="Do not display")</f>
        <v>0</v>
      </c>
      <c r="N1131" s="14" t="b">
        <f>AND(LCI_Table[[#This Row],[Show Feedstock]:[Conditional]],NOT(LCI_Table[[#This Row],[Hide Row]]))</f>
        <v>0</v>
      </c>
      <c r="O1131" s="14" t="b">
        <f>LCI_Table[[#This Row],[GREET1 Name Range]]=""</f>
        <v>0</v>
      </c>
      <c r="P1131" s="14" t="s">
        <v>14</v>
      </c>
      <c r="Q1131" s="14" t="s">
        <v>499</v>
      </c>
      <c r="R1131" s="14" t="s">
        <v>112</v>
      </c>
      <c r="S1131" s="37" cm="1">
        <f t="array" aca="1" ref="S11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14.191800000000001</v>
      </c>
      <c r="T1131" s="346" t="s">
        <v>1485</v>
      </c>
      <c r="U1131" s="347">
        <f ca="1">S1131/g2lb/S1129*MT2ton</f>
        <v>10899.999999999976</v>
      </c>
      <c r="V1131" s="347">
        <v>14.191800000000001</v>
      </c>
      <c r="W1131" s="347">
        <v>10899.999999999976</v>
      </c>
      <c r="X1131" s="14" t="s">
        <v>12</v>
      </c>
      <c r="Y1131" s="346" t="s">
        <v>413</v>
      </c>
      <c r="Z1131" s="14" t="str">
        <f>IF(ISBLANK(LCI_Table[[#This Row],[Notes for user]])," ",LCI_Table[[#This Row],[Notes for user]])</f>
        <v xml:space="preserve"> </v>
      </c>
      <c r="AA1131" s="14"/>
      <c r="AB1131" s="14"/>
      <c r="AC1131" s="346">
        <f ca="1">LCI_Table[[#This Row],[Default Calculated Value]]-LCI_Table[[#This Row],[Calculated Value]]</f>
        <v>0</v>
      </c>
    </row>
    <row r="1132" spans="1:29" x14ac:dyDescent="0.3">
      <c r="A11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Canola/RapeseedHEFAICAOJRC(blank)_Canola_Farming_K2OK2O</v>
      </c>
      <c r="B1132" s="48" t="s">
        <v>1347</v>
      </c>
      <c r="C1132" s="14" t="s">
        <v>30</v>
      </c>
      <c r="D1132" s="14" t="s">
        <v>194</v>
      </c>
      <c r="E1132" s="14" t="s">
        <v>355</v>
      </c>
      <c r="F1132" s="48" t="s">
        <v>31</v>
      </c>
      <c r="G1132" s="14" t="b">
        <f>OR(LCI_Table[[#This Row],[Feedstock]]="All",LCI_Table[[#This Row],[Feedstock]]=SelectedFeedstock)</f>
        <v>1</v>
      </c>
      <c r="H1132" s="14" t="b">
        <f>OR(LCI_Table[[#This Row],[Conversion]]="All",LCI_Table[[#This Row],[Conversion]]=SelectedConversion)</f>
        <v>1</v>
      </c>
      <c r="I1132" s="14" t="b">
        <f>OR(LCI_Table[[#This Row],[Data Set]]="all",LCI_Table[[#This Row],[Data Set]]=SelectedDataSet)</f>
        <v>0</v>
      </c>
      <c r="J1132" s="14" t="b">
        <f>OR(LCI_Table[[#This Row],[Technology]]="All",LCI_Table[[#This Row],[Technology]]=SelectedTechnology)</f>
        <v>1</v>
      </c>
      <c r="K1132" s="14" t="b">
        <f>OR(LCI_Table[[#This Row],[Data Source]]="All",LCI_Table[[#This Row],[Data Source]]=SelectedDataSource)</f>
        <v>0</v>
      </c>
      <c r="L1132" s="14" t="b">
        <f>TRUE</f>
        <v>1</v>
      </c>
      <c r="M1132" s="14" t="b">
        <f>(LCI_Table[[#This Row],[Dev Notes]]="Do not display")</f>
        <v>0</v>
      </c>
      <c r="N1132" s="14" t="b">
        <f>AND(LCI_Table[[#This Row],[Show Feedstock]:[Conditional]],NOT(LCI_Table[[#This Row],[Hide Row]]))</f>
        <v>0</v>
      </c>
      <c r="O1132" s="14" t="b">
        <f>LCI_Table[[#This Row],[GREET1 Name Range]]=""</f>
        <v>0</v>
      </c>
      <c r="P1132" s="14" t="s">
        <v>14</v>
      </c>
      <c r="Q1132" s="14" t="s">
        <v>495</v>
      </c>
      <c r="R1132" s="14" t="s">
        <v>113</v>
      </c>
      <c r="S1132" s="37" cm="1">
        <f t="array" aca="1" ref="S11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19.139399999999998</v>
      </c>
      <c r="T1132" s="346" t="s">
        <v>1485</v>
      </c>
      <c r="U1132" s="347">
        <f ca="1">S1132/g2lb/S1129*MT2ton</f>
        <v>14699.999999999967</v>
      </c>
      <c r="V1132" s="347">
        <v>19.139399999999998</v>
      </c>
      <c r="W1132" s="347">
        <v>14699.999999999967</v>
      </c>
      <c r="X1132" s="14" t="s">
        <v>12</v>
      </c>
      <c r="Y1132" s="346" t="s">
        <v>413</v>
      </c>
      <c r="Z1132" s="14" t="str">
        <f>IF(ISBLANK(LCI_Table[[#This Row],[Notes for user]])," ",LCI_Table[[#This Row],[Notes for user]])</f>
        <v xml:space="preserve"> </v>
      </c>
      <c r="AA1132" s="14"/>
      <c r="AB1132" s="14"/>
      <c r="AC1132" s="346">
        <f ca="1">LCI_Table[[#This Row],[Default Calculated Value]]-LCI_Table[[#This Row],[Calculated Value]]</f>
        <v>0</v>
      </c>
    </row>
    <row r="1133" spans="1:29" x14ac:dyDescent="0.3">
      <c r="A11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Canola/RapeseedHEFAICAOJRC(blank)_Canola_Farming_CaCO3CaCO3</v>
      </c>
      <c r="B1133" s="48" t="s">
        <v>1347</v>
      </c>
      <c r="C1133" s="14" t="s">
        <v>30</v>
      </c>
      <c r="D1133" s="14" t="s">
        <v>194</v>
      </c>
      <c r="E1133" s="14" t="s">
        <v>355</v>
      </c>
      <c r="F1133" s="48" t="s">
        <v>31</v>
      </c>
      <c r="G1133" s="14" t="b">
        <f>OR(LCI_Table[[#This Row],[Feedstock]]="All",LCI_Table[[#This Row],[Feedstock]]=SelectedFeedstock)</f>
        <v>1</v>
      </c>
      <c r="H1133" s="14" t="b">
        <f>OR(LCI_Table[[#This Row],[Conversion]]="All",LCI_Table[[#This Row],[Conversion]]=SelectedConversion)</f>
        <v>1</v>
      </c>
      <c r="I1133" s="14" t="b">
        <f>OR(LCI_Table[[#This Row],[Data Set]]="all",LCI_Table[[#This Row],[Data Set]]=SelectedDataSet)</f>
        <v>0</v>
      </c>
      <c r="J1133" s="14" t="b">
        <f>OR(LCI_Table[[#This Row],[Technology]]="All",LCI_Table[[#This Row],[Technology]]=SelectedTechnology)</f>
        <v>1</v>
      </c>
      <c r="K1133" s="14" t="b">
        <f>OR(LCI_Table[[#This Row],[Data Source]]="All",LCI_Table[[#This Row],[Data Source]]=SelectedDataSource)</f>
        <v>0</v>
      </c>
      <c r="L1133" s="14" t="b">
        <f>TRUE</f>
        <v>1</v>
      </c>
      <c r="M1133" s="14" t="b">
        <f>(LCI_Table[[#This Row],[Dev Notes]]="Do not display")</f>
        <v>0</v>
      </c>
      <c r="N1133" s="14" t="b">
        <f>AND(LCI_Table[[#This Row],[Show Feedstock]:[Conditional]],NOT(LCI_Table[[#This Row],[Hide Row]]))</f>
        <v>0</v>
      </c>
      <c r="O1133" s="14" t="b">
        <f>LCI_Table[[#This Row],[GREET1 Name Range]]=""</f>
        <v>0</v>
      </c>
      <c r="P1133" s="14" t="s">
        <v>14</v>
      </c>
      <c r="Q1133" s="14" t="s">
        <v>488</v>
      </c>
      <c r="R1133" s="14" t="s">
        <v>141</v>
      </c>
      <c r="S1133" s="37" cm="1">
        <f t="array" aca="1" ref="S11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139.18380000000002</v>
      </c>
      <c r="T1133" s="346" t="s">
        <v>1485</v>
      </c>
      <c r="U1133" s="347">
        <f ca="1">S1133/g2lb/S1129*MT2ton</f>
        <v>106899.9999999998</v>
      </c>
      <c r="V1133" s="347">
        <v>139.18380000000002</v>
      </c>
      <c r="W1133" s="347">
        <v>106899.9999999998</v>
      </c>
      <c r="X1133" s="14" t="s">
        <v>12</v>
      </c>
      <c r="Y1133" s="346" t="s">
        <v>413</v>
      </c>
      <c r="Z1133" s="14" t="str">
        <f>IF(ISBLANK(LCI_Table[[#This Row],[Notes for user]])," ",LCI_Table[[#This Row],[Notes for user]])</f>
        <v xml:space="preserve"> </v>
      </c>
      <c r="AA1133" s="14"/>
      <c r="AB1133" s="14"/>
      <c r="AC1133" s="346">
        <f ca="1">LCI_Table[[#This Row],[Default Calculated Value]]-LCI_Table[[#This Row],[Calculated Value]]</f>
        <v>0</v>
      </c>
    </row>
    <row r="1134" spans="1:29" x14ac:dyDescent="0.3">
      <c r="A11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Canola/RapeseedHEFAICAOJRC(blank)_Canola_Farming_HerbicidesHerbicides</v>
      </c>
      <c r="B1134" s="48" t="s">
        <v>1347</v>
      </c>
      <c r="C1134" s="14" t="s">
        <v>30</v>
      </c>
      <c r="D1134" s="14" t="s">
        <v>194</v>
      </c>
      <c r="E1134" s="14" t="s">
        <v>355</v>
      </c>
      <c r="F1134" s="48" t="s">
        <v>31</v>
      </c>
      <c r="G1134" s="14" t="b">
        <f>OR(LCI_Table[[#This Row],[Feedstock]]="All",LCI_Table[[#This Row],[Feedstock]]=SelectedFeedstock)</f>
        <v>1</v>
      </c>
      <c r="H1134" s="14" t="b">
        <f>OR(LCI_Table[[#This Row],[Conversion]]="All",LCI_Table[[#This Row],[Conversion]]=SelectedConversion)</f>
        <v>1</v>
      </c>
      <c r="I1134" s="14" t="b">
        <f>OR(LCI_Table[[#This Row],[Data Set]]="all",LCI_Table[[#This Row],[Data Set]]=SelectedDataSet)</f>
        <v>0</v>
      </c>
      <c r="J1134" s="14" t="b">
        <f>OR(LCI_Table[[#This Row],[Technology]]="All",LCI_Table[[#This Row],[Technology]]=SelectedTechnology)</f>
        <v>1</v>
      </c>
      <c r="K1134" s="14" t="b">
        <f>OR(LCI_Table[[#This Row],[Data Source]]="All",LCI_Table[[#This Row],[Data Source]]=SelectedDataSource)</f>
        <v>0</v>
      </c>
      <c r="L1134" s="14" t="b">
        <f>TRUE</f>
        <v>1</v>
      </c>
      <c r="M1134" s="14" t="b">
        <f>(LCI_Table[[#This Row],[Dev Notes]]="Do not display")</f>
        <v>0</v>
      </c>
      <c r="N1134" s="14" t="b">
        <f>AND(LCI_Table[[#This Row],[Show Feedstock]:[Conditional]],NOT(LCI_Table[[#This Row],[Hide Row]]))</f>
        <v>0</v>
      </c>
      <c r="O1134" s="14" t="b">
        <f>LCI_Table[[#This Row],[GREET1 Name Range]]=""</f>
        <v>0</v>
      </c>
      <c r="P1134" s="14" t="s">
        <v>14</v>
      </c>
      <c r="Q1134" s="14" t="s">
        <v>493</v>
      </c>
      <c r="R1134" s="14" t="s">
        <v>356</v>
      </c>
      <c r="S1134" s="37" cm="1">
        <f t="array" aca="1" ref="S11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2.2134</v>
      </c>
      <c r="T1134" s="346" t="s">
        <v>1485</v>
      </c>
      <c r="U1134" s="347">
        <f ca="1">S1134/g2lb/S1129*MT2ton</f>
        <v>1699.9999999999964</v>
      </c>
      <c r="V1134" s="347">
        <v>2.2134</v>
      </c>
      <c r="W1134" s="347">
        <v>1699.9999999999964</v>
      </c>
      <c r="X1134" s="14" t="s">
        <v>12</v>
      </c>
      <c r="Y1134" s="346" t="s">
        <v>413</v>
      </c>
      <c r="Z1134" s="14" t="str">
        <f>IF(ISBLANK(LCI_Table[[#This Row],[Notes for user]])," ",LCI_Table[[#This Row],[Notes for user]])</f>
        <v xml:space="preserve"> </v>
      </c>
      <c r="AA1134" s="14"/>
      <c r="AB1134" s="14"/>
      <c r="AC1134" s="346">
        <f ca="1">LCI_Table[[#This Row],[Default Calculated Value]]-LCI_Table[[#This Row],[Calculated Value]]</f>
        <v>0</v>
      </c>
    </row>
    <row r="1135" spans="1:29" x14ac:dyDescent="0.3">
      <c r="A11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Canola/RapeseedHEFAICAOJRC(blank)_Canola_Farming_InsecticideInsecticide</v>
      </c>
      <c r="B1135" s="48" t="s">
        <v>1347</v>
      </c>
      <c r="C1135" s="14" t="s">
        <v>30</v>
      </c>
      <c r="D1135" s="14" t="s">
        <v>194</v>
      </c>
      <c r="E1135" s="14" t="s">
        <v>355</v>
      </c>
      <c r="F1135" s="48" t="s">
        <v>31</v>
      </c>
      <c r="G1135" s="14" t="b">
        <f>OR(LCI_Table[[#This Row],[Feedstock]]="All",LCI_Table[[#This Row],[Feedstock]]=SelectedFeedstock)</f>
        <v>1</v>
      </c>
      <c r="H1135" s="14" t="b">
        <f>OR(LCI_Table[[#This Row],[Conversion]]="All",LCI_Table[[#This Row],[Conversion]]=SelectedConversion)</f>
        <v>1</v>
      </c>
      <c r="I1135" s="14" t="b">
        <f>OR(LCI_Table[[#This Row],[Data Set]]="all",LCI_Table[[#This Row],[Data Set]]=SelectedDataSet)</f>
        <v>0</v>
      </c>
      <c r="J1135" s="14" t="b">
        <f>OR(LCI_Table[[#This Row],[Technology]]="All",LCI_Table[[#This Row],[Technology]]=SelectedTechnology)</f>
        <v>1</v>
      </c>
      <c r="K1135" s="14" t="b">
        <f>OR(LCI_Table[[#This Row],[Data Source]]="All",LCI_Table[[#This Row],[Data Source]]=SelectedDataSource)</f>
        <v>0</v>
      </c>
      <c r="L1135" s="14" t="b">
        <f>TRUE</f>
        <v>1</v>
      </c>
      <c r="M1135" s="14" t="b">
        <f>(LCI_Table[[#This Row],[Dev Notes]]="Do not display")</f>
        <v>0</v>
      </c>
      <c r="N1135" s="14" t="b">
        <f>AND(LCI_Table[[#This Row],[Show Feedstock]:[Conditional]],NOT(LCI_Table[[#This Row],[Hide Row]]))</f>
        <v>0</v>
      </c>
      <c r="O1135" s="14" t="b">
        <f>LCI_Table[[#This Row],[GREET1 Name Range]]=""</f>
        <v>0</v>
      </c>
      <c r="P1135" s="14" t="s">
        <v>14</v>
      </c>
      <c r="Q1135" s="14" t="s">
        <v>494</v>
      </c>
      <c r="R1135" s="14" t="s">
        <v>114</v>
      </c>
      <c r="S1135" s="37" cm="1">
        <f t="array" aca="1" ref="S11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0.65100000000000002</v>
      </c>
      <c r="T1135" s="346" t="s">
        <v>1485</v>
      </c>
      <c r="U1135" s="347">
        <f ca="1">S1135/g2lb/S1129*MT2ton</f>
        <v>499.99999999999898</v>
      </c>
      <c r="V1135" s="347">
        <v>0.65100000000000002</v>
      </c>
      <c r="W1135" s="347">
        <v>499.99999999999898</v>
      </c>
      <c r="X1135" s="14" t="s">
        <v>12</v>
      </c>
      <c r="Y1135" s="346" t="s">
        <v>413</v>
      </c>
      <c r="Z1135" s="14" t="str">
        <f>IF(ISBLANK(LCI_Table[[#This Row],[Notes for user]])," ",LCI_Table[[#This Row],[Notes for user]])</f>
        <v xml:space="preserve"> </v>
      </c>
      <c r="AA1135" s="14"/>
      <c r="AB1135" s="14"/>
      <c r="AC1135" s="346">
        <f ca="1">LCI_Table[[#This Row],[Default Calculated Value]]-LCI_Table[[#This Row],[Calculated Value]]</f>
        <v>0</v>
      </c>
    </row>
    <row r="1136" spans="1:29" x14ac:dyDescent="0.3">
      <c r="A11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Canola/RapeseedHEFAICAOJRC(blank)_Canola_Farming_Residual_oilResidual oil</v>
      </c>
      <c r="B1136" s="48" t="s">
        <v>1347</v>
      </c>
      <c r="C1136" s="14" t="s">
        <v>30</v>
      </c>
      <c r="D1136" s="14" t="s">
        <v>194</v>
      </c>
      <c r="E1136" s="14" t="s">
        <v>355</v>
      </c>
      <c r="F1136" s="48" t="s">
        <v>31</v>
      </c>
      <c r="G1136" s="14" t="b">
        <f>OR(LCI_Table[[#This Row],[Feedstock]]="All",LCI_Table[[#This Row],[Feedstock]]=SelectedFeedstock)</f>
        <v>1</v>
      </c>
      <c r="H1136" s="14" t="b">
        <f>OR(LCI_Table[[#This Row],[Conversion]]="All",LCI_Table[[#This Row],[Conversion]]=SelectedConversion)</f>
        <v>1</v>
      </c>
      <c r="I1136" s="14" t="b">
        <f>OR(LCI_Table[[#This Row],[Data Set]]="all",LCI_Table[[#This Row],[Data Set]]=SelectedDataSet)</f>
        <v>0</v>
      </c>
      <c r="J1136" s="14" t="b">
        <f>OR(LCI_Table[[#This Row],[Technology]]="All",LCI_Table[[#This Row],[Technology]]=SelectedTechnology)</f>
        <v>1</v>
      </c>
      <c r="K1136" s="14" t="b">
        <f>OR(LCI_Table[[#This Row],[Data Source]]="All",LCI_Table[[#This Row],[Data Source]]=SelectedDataSource)</f>
        <v>0</v>
      </c>
      <c r="L1136" s="14" t="b">
        <f>TRUE</f>
        <v>1</v>
      </c>
      <c r="M1136" s="14" t="b">
        <f>(LCI_Table[[#This Row],[Dev Notes]]="Do not display")</f>
        <v>0</v>
      </c>
      <c r="N1136" s="14" t="b">
        <f>AND(LCI_Table[[#This Row],[Show Feedstock]:[Conditional]],NOT(LCI_Table[[#This Row],[Hide Row]]))</f>
        <v>0</v>
      </c>
      <c r="O1136" s="14" t="b">
        <f>LCI_Table[[#This Row],[GREET1 Name Range]]=""</f>
        <v>0</v>
      </c>
      <c r="P1136" s="14" t="s">
        <v>14</v>
      </c>
      <c r="Q1136" s="14" t="s">
        <v>500</v>
      </c>
      <c r="R1136" s="14" t="s">
        <v>115</v>
      </c>
      <c r="S1136" s="37" cm="1">
        <f t="array" aca="1" ref="S11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36" s="346" t="s">
        <v>1484</v>
      </c>
      <c r="U1136" s="347">
        <f ca="1">S1136*Fuel_Specs!$B$28/S1129*MT2ton</f>
        <v>0</v>
      </c>
      <c r="V1136" s="347">
        <v>0</v>
      </c>
      <c r="W1136" s="347">
        <v>0</v>
      </c>
      <c r="X1136" s="14" t="s">
        <v>5</v>
      </c>
      <c r="Y1136" s="346" t="s">
        <v>413</v>
      </c>
      <c r="Z1136" s="14" t="str">
        <f>IF(ISBLANK(LCI_Table[[#This Row],[Notes for user]])," ",LCI_Table[[#This Row],[Notes for user]])</f>
        <v xml:space="preserve"> </v>
      </c>
      <c r="AA1136" s="14"/>
      <c r="AB1136" s="14"/>
      <c r="AC1136" s="346">
        <f ca="1">LCI_Table[[#This Row],[Default Calculated Value]]-LCI_Table[[#This Row],[Calculated Value]]</f>
        <v>0</v>
      </c>
    </row>
    <row r="1137" spans="1:29" x14ac:dyDescent="0.3">
      <c r="A11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Canola/RapeseedHEFAICAOJRC(blank)_Canola_Farming_DieselDiesel</v>
      </c>
      <c r="B1137" s="48" t="s">
        <v>1347</v>
      </c>
      <c r="C1137" s="14" t="s">
        <v>30</v>
      </c>
      <c r="D1137" s="14" t="s">
        <v>194</v>
      </c>
      <c r="E1137" s="14" t="s">
        <v>355</v>
      </c>
      <c r="F1137" s="48" t="s">
        <v>31</v>
      </c>
      <c r="G1137" s="14" t="b">
        <f>OR(LCI_Table[[#This Row],[Feedstock]]="All",LCI_Table[[#This Row],[Feedstock]]=SelectedFeedstock)</f>
        <v>1</v>
      </c>
      <c r="H1137" s="14" t="b">
        <f>OR(LCI_Table[[#This Row],[Conversion]]="All",LCI_Table[[#This Row],[Conversion]]=SelectedConversion)</f>
        <v>1</v>
      </c>
      <c r="I1137" s="14" t="b">
        <f>OR(LCI_Table[[#This Row],[Data Set]]="all",LCI_Table[[#This Row],[Data Set]]=SelectedDataSet)</f>
        <v>0</v>
      </c>
      <c r="J1137" s="14" t="b">
        <f>OR(LCI_Table[[#This Row],[Technology]]="All",LCI_Table[[#This Row],[Technology]]=SelectedTechnology)</f>
        <v>1</v>
      </c>
      <c r="K1137" s="14" t="b">
        <f>OR(LCI_Table[[#This Row],[Data Source]]="All",LCI_Table[[#This Row],[Data Source]]=SelectedDataSource)</f>
        <v>0</v>
      </c>
      <c r="L1137" s="14" t="b">
        <f>TRUE</f>
        <v>1</v>
      </c>
      <c r="M1137" s="14" t="b">
        <f>(LCI_Table[[#This Row],[Dev Notes]]="Do not display")</f>
        <v>0</v>
      </c>
      <c r="N1137" s="14" t="b">
        <f>AND(LCI_Table[[#This Row],[Show Feedstock]:[Conditional]],NOT(LCI_Table[[#This Row],[Hide Row]]))</f>
        <v>0</v>
      </c>
      <c r="O1137" s="14" t="b">
        <f>LCI_Table[[#This Row],[GREET1 Name Range]]=""</f>
        <v>0</v>
      </c>
      <c r="P1137" s="14" t="s">
        <v>14</v>
      </c>
      <c r="Q1137" s="14" t="s">
        <v>490</v>
      </c>
      <c r="R1137" s="14" t="s">
        <v>106</v>
      </c>
      <c r="S1137" s="37" cm="1">
        <f t="array" aca="1" ref="S11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4.4450766875627163</v>
      </c>
      <c r="T1137" s="346" t="s">
        <v>1484</v>
      </c>
      <c r="U1137" s="347">
        <f ca="1">S1137*Fuel_Specs!$B$19/S1129*MT2ton</f>
        <v>966799.99999999802</v>
      </c>
      <c r="V1137" s="347">
        <v>4.4450766875627163</v>
      </c>
      <c r="W1137" s="347">
        <v>966799.99999999802</v>
      </c>
      <c r="X1137" s="14" t="s">
        <v>5</v>
      </c>
      <c r="Y1137" s="346" t="s">
        <v>413</v>
      </c>
      <c r="Z1137" s="14" t="str">
        <f>IF(ISBLANK(LCI_Table[[#This Row],[Notes for user]])," ",LCI_Table[[#This Row],[Notes for user]])</f>
        <v xml:space="preserve"> </v>
      </c>
      <c r="AA1137" s="14"/>
      <c r="AB1137" s="14"/>
      <c r="AC1137" s="346">
        <f ca="1">LCI_Table[[#This Row],[Default Calculated Value]]-LCI_Table[[#This Row],[Calculated Value]]</f>
        <v>0</v>
      </c>
    </row>
    <row r="1138" spans="1:29" x14ac:dyDescent="0.3">
      <c r="A11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Canola/RapeseedHEFAICAOJRC(blank)_Canola_Farming_GasolineGasoline</v>
      </c>
      <c r="B1138" s="48" t="s">
        <v>1347</v>
      </c>
      <c r="C1138" s="14" t="s">
        <v>30</v>
      </c>
      <c r="D1138" s="14" t="s">
        <v>194</v>
      </c>
      <c r="E1138" s="14" t="s">
        <v>355</v>
      </c>
      <c r="F1138" s="48" t="s">
        <v>31</v>
      </c>
      <c r="G1138" s="14" t="b">
        <f>OR(LCI_Table[[#This Row],[Feedstock]]="All",LCI_Table[[#This Row],[Feedstock]]=SelectedFeedstock)</f>
        <v>1</v>
      </c>
      <c r="H1138" s="14" t="b">
        <f>OR(LCI_Table[[#This Row],[Conversion]]="All",LCI_Table[[#This Row],[Conversion]]=SelectedConversion)</f>
        <v>1</v>
      </c>
      <c r="I1138" s="14" t="b">
        <f>OR(LCI_Table[[#This Row],[Data Set]]="all",LCI_Table[[#This Row],[Data Set]]=SelectedDataSet)</f>
        <v>0</v>
      </c>
      <c r="J1138" s="14" t="b">
        <f>OR(LCI_Table[[#This Row],[Technology]]="All",LCI_Table[[#This Row],[Technology]]=SelectedTechnology)</f>
        <v>1</v>
      </c>
      <c r="K1138" s="14" t="b">
        <f>OR(LCI_Table[[#This Row],[Data Source]]="All",LCI_Table[[#This Row],[Data Source]]=SelectedDataSource)</f>
        <v>0</v>
      </c>
      <c r="L1138" s="14" t="b">
        <f>TRUE</f>
        <v>1</v>
      </c>
      <c r="M1138" s="14" t="b">
        <f>(LCI_Table[[#This Row],[Dev Notes]]="Do not display")</f>
        <v>0</v>
      </c>
      <c r="N1138" s="14" t="b">
        <f>AND(LCI_Table[[#This Row],[Show Feedstock]:[Conditional]],NOT(LCI_Table[[#This Row],[Hide Row]]))</f>
        <v>0</v>
      </c>
      <c r="O1138" s="14" t="b">
        <f>LCI_Table[[#This Row],[GREET1 Name Range]]=""</f>
        <v>0</v>
      </c>
      <c r="P1138" s="14" t="s">
        <v>14</v>
      </c>
      <c r="Q1138" s="14" t="s">
        <v>492</v>
      </c>
      <c r="R1138" s="14" t="s">
        <v>107</v>
      </c>
      <c r="S1138" s="37" cm="1">
        <f t="array" aca="1" ref="S11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38" s="346" t="s">
        <v>1484</v>
      </c>
      <c r="U1138" s="347">
        <f ca="1">S1138*Fuel_Specs!$B$15/S1129*MT2ton</f>
        <v>0</v>
      </c>
      <c r="V1138" s="347">
        <v>0</v>
      </c>
      <c r="W1138" s="347">
        <v>0</v>
      </c>
      <c r="X1138" s="14" t="s">
        <v>5</v>
      </c>
      <c r="Y1138" s="346" t="s">
        <v>413</v>
      </c>
      <c r="Z1138" s="14" t="str">
        <f>IF(ISBLANK(LCI_Table[[#This Row],[Notes for user]])," ",LCI_Table[[#This Row],[Notes for user]])</f>
        <v xml:space="preserve"> </v>
      </c>
      <c r="AA1138" s="14"/>
      <c r="AB1138" s="14"/>
      <c r="AC1138" s="346">
        <f ca="1">LCI_Table[[#This Row],[Default Calculated Value]]-LCI_Table[[#This Row],[Calculated Value]]</f>
        <v>0</v>
      </c>
    </row>
    <row r="1139" spans="1:29" x14ac:dyDescent="0.3">
      <c r="A11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Canola/RapeseedHEFAICAOJRC(blank)_Canola_Farming_Natural_gasNatural gas</v>
      </c>
      <c r="B1139" s="48" t="s">
        <v>1347</v>
      </c>
      <c r="C1139" s="14" t="s">
        <v>30</v>
      </c>
      <c r="D1139" s="14" t="s">
        <v>194</v>
      </c>
      <c r="E1139" s="14" t="s">
        <v>355</v>
      </c>
      <c r="F1139" s="48" t="s">
        <v>31</v>
      </c>
      <c r="G1139" s="14" t="b">
        <f>OR(LCI_Table[[#This Row],[Feedstock]]="All",LCI_Table[[#This Row],[Feedstock]]=SelectedFeedstock)</f>
        <v>1</v>
      </c>
      <c r="H1139" s="14" t="b">
        <f>OR(LCI_Table[[#This Row],[Conversion]]="All",LCI_Table[[#This Row],[Conversion]]=SelectedConversion)</f>
        <v>1</v>
      </c>
      <c r="I1139" s="14" t="b">
        <f>OR(LCI_Table[[#This Row],[Data Set]]="all",LCI_Table[[#This Row],[Data Set]]=SelectedDataSet)</f>
        <v>0</v>
      </c>
      <c r="J1139" s="14" t="b">
        <f>OR(LCI_Table[[#This Row],[Technology]]="All",LCI_Table[[#This Row],[Technology]]=SelectedTechnology)</f>
        <v>1</v>
      </c>
      <c r="K1139" s="14" t="b">
        <f>OR(LCI_Table[[#This Row],[Data Source]]="All",LCI_Table[[#This Row],[Data Source]]=SelectedDataSource)</f>
        <v>0</v>
      </c>
      <c r="L1139" s="14" t="b">
        <f>TRUE</f>
        <v>1</v>
      </c>
      <c r="M1139" s="14" t="b">
        <f>(LCI_Table[[#This Row],[Dev Notes]]="Do not display")</f>
        <v>0</v>
      </c>
      <c r="N1139" s="14" t="b">
        <f>AND(LCI_Table[[#This Row],[Show Feedstock]:[Conditional]],NOT(LCI_Table[[#This Row],[Hide Row]]))</f>
        <v>0</v>
      </c>
      <c r="O1139" s="14" t="b">
        <f>LCI_Table[[#This Row],[GREET1 Name Range]]=""</f>
        <v>0</v>
      </c>
      <c r="P1139" s="14" t="s">
        <v>14</v>
      </c>
      <c r="Q1139" s="14" t="s">
        <v>497</v>
      </c>
      <c r="R1139" s="14" t="s">
        <v>108</v>
      </c>
      <c r="S1139" s="37" cm="1">
        <f t="array" aca="1" ref="S11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39" s="346" t="s">
        <v>2109</v>
      </c>
      <c r="U1139" s="347">
        <f ca="1">S1139*Fuel_Specs!$B$79/S1129*MT2ton</f>
        <v>0</v>
      </c>
      <c r="V1139" s="347">
        <v>0</v>
      </c>
      <c r="W1139" s="347">
        <v>0</v>
      </c>
      <c r="X1139" s="14" t="s">
        <v>351</v>
      </c>
      <c r="Y1139" s="346" t="s">
        <v>413</v>
      </c>
      <c r="Z1139" s="14" t="str">
        <f>IF(ISBLANK(LCI_Table[[#This Row],[Notes for user]])," ",LCI_Table[[#This Row],[Notes for user]])</f>
        <v xml:space="preserve"> </v>
      </c>
      <c r="AA1139" s="14"/>
      <c r="AB1139" s="14"/>
      <c r="AC1139" s="346">
        <f ca="1">LCI_Table[[#This Row],[Default Calculated Value]]-LCI_Table[[#This Row],[Calculated Value]]</f>
        <v>0</v>
      </c>
    </row>
    <row r="1140" spans="1:29" x14ac:dyDescent="0.3">
      <c r="A11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Canola/RapeseedHEFAICAOJRC(blank)_Canola_Farming_CoalCoal</v>
      </c>
      <c r="B1140" s="48" t="s">
        <v>1347</v>
      </c>
      <c r="C1140" s="14" t="s">
        <v>30</v>
      </c>
      <c r="D1140" s="14" t="s">
        <v>194</v>
      </c>
      <c r="E1140" s="14" t="s">
        <v>355</v>
      </c>
      <c r="F1140" s="48" t="s">
        <v>31</v>
      </c>
      <c r="G1140" s="14" t="b">
        <f>OR(LCI_Table[[#This Row],[Feedstock]]="All",LCI_Table[[#This Row],[Feedstock]]=SelectedFeedstock)</f>
        <v>1</v>
      </c>
      <c r="H1140" s="14" t="b">
        <f>OR(LCI_Table[[#This Row],[Conversion]]="All",LCI_Table[[#This Row],[Conversion]]=SelectedConversion)</f>
        <v>1</v>
      </c>
      <c r="I1140" s="14" t="b">
        <f>OR(LCI_Table[[#This Row],[Data Set]]="all",LCI_Table[[#This Row],[Data Set]]=SelectedDataSet)</f>
        <v>0</v>
      </c>
      <c r="J1140" s="14" t="b">
        <f>OR(LCI_Table[[#This Row],[Technology]]="All",LCI_Table[[#This Row],[Technology]]=SelectedTechnology)</f>
        <v>1</v>
      </c>
      <c r="K1140" s="14" t="b">
        <f>OR(LCI_Table[[#This Row],[Data Source]]="All",LCI_Table[[#This Row],[Data Source]]=SelectedDataSource)</f>
        <v>0</v>
      </c>
      <c r="L1140" s="14" t="b">
        <f>TRUE</f>
        <v>1</v>
      </c>
      <c r="M1140" s="14" t="b">
        <f>(LCI_Table[[#This Row],[Dev Notes]]="Do not display")</f>
        <v>0</v>
      </c>
      <c r="N1140" s="14" t="b">
        <f>AND(LCI_Table[[#This Row],[Show Feedstock]:[Conditional]],NOT(LCI_Table[[#This Row],[Hide Row]]))</f>
        <v>0</v>
      </c>
      <c r="O1140" s="14" t="b">
        <f>LCI_Table[[#This Row],[GREET1 Name Range]]=""</f>
        <v>0</v>
      </c>
      <c r="P1140" s="14" t="s">
        <v>14</v>
      </c>
      <c r="Q1140" s="14" t="s">
        <v>489</v>
      </c>
      <c r="R1140" s="14" t="s">
        <v>9</v>
      </c>
      <c r="S1140" s="37" cm="1">
        <f t="array" aca="1" ref="S11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40" s="346" t="s">
        <v>2110</v>
      </c>
      <c r="U1140" s="347">
        <f ca="1">S1140/S1129*MT2ton</f>
        <v>0</v>
      </c>
      <c r="V1140" s="347">
        <v>0</v>
      </c>
      <c r="W1140" s="347">
        <v>0</v>
      </c>
      <c r="X1140" s="14" t="s">
        <v>117</v>
      </c>
      <c r="Y1140" s="346" t="s">
        <v>413</v>
      </c>
      <c r="Z1140" s="14" t="str">
        <f>IF(ISBLANK(LCI_Table[[#This Row],[Notes for user]])," ",LCI_Table[[#This Row],[Notes for user]])</f>
        <v xml:space="preserve"> </v>
      </c>
      <c r="AA1140" s="14"/>
      <c r="AB1140" s="14"/>
      <c r="AC1140" s="346">
        <f ca="1">LCI_Table[[#This Row],[Default Calculated Value]]-LCI_Table[[#This Row],[Calculated Value]]</f>
        <v>0</v>
      </c>
    </row>
    <row r="1141" spans="1:29" x14ac:dyDescent="0.3">
      <c r="A11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Canola/RapeseedHEFAICAOJRC(blank)_Canola_Farming_LPGLPG</v>
      </c>
      <c r="B1141" s="48" t="s">
        <v>1347</v>
      </c>
      <c r="C1141" s="14" t="s">
        <v>30</v>
      </c>
      <c r="D1141" s="14" t="s">
        <v>194</v>
      </c>
      <c r="E1141" s="14" t="s">
        <v>355</v>
      </c>
      <c r="F1141" s="48" t="s">
        <v>31</v>
      </c>
      <c r="G1141" s="14" t="b">
        <f>OR(LCI_Table[[#This Row],[Feedstock]]="All",LCI_Table[[#This Row],[Feedstock]]=SelectedFeedstock)</f>
        <v>1</v>
      </c>
      <c r="H1141" s="14" t="b">
        <f>OR(LCI_Table[[#This Row],[Conversion]]="All",LCI_Table[[#This Row],[Conversion]]=SelectedConversion)</f>
        <v>1</v>
      </c>
      <c r="I1141" s="14" t="b">
        <f>OR(LCI_Table[[#This Row],[Data Set]]="all",LCI_Table[[#This Row],[Data Set]]=SelectedDataSet)</f>
        <v>0</v>
      </c>
      <c r="J1141" s="14" t="b">
        <f>OR(LCI_Table[[#This Row],[Technology]]="All",LCI_Table[[#This Row],[Technology]]=SelectedTechnology)</f>
        <v>1</v>
      </c>
      <c r="K1141" s="14" t="b">
        <f>OR(LCI_Table[[#This Row],[Data Source]]="All",LCI_Table[[#This Row],[Data Source]]=SelectedDataSource)</f>
        <v>0</v>
      </c>
      <c r="L1141" s="14" t="b">
        <f>TRUE</f>
        <v>1</v>
      </c>
      <c r="M1141" s="14" t="b">
        <f>(LCI_Table[[#This Row],[Dev Notes]]="Do not display")</f>
        <v>0</v>
      </c>
      <c r="N1141" s="14" t="b">
        <f>AND(LCI_Table[[#This Row],[Show Feedstock]:[Conditional]],NOT(LCI_Table[[#This Row],[Hide Row]]))</f>
        <v>0</v>
      </c>
      <c r="O1141" s="14" t="b">
        <f>LCI_Table[[#This Row],[GREET1 Name Range]]=""</f>
        <v>0</v>
      </c>
      <c r="P1141" s="14" t="s">
        <v>14</v>
      </c>
      <c r="Q1141" s="14" t="s">
        <v>496</v>
      </c>
      <c r="R1141" s="14" t="s">
        <v>109</v>
      </c>
      <c r="S1141" s="37" cm="1">
        <f t="array" aca="1" ref="S11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41" s="346" t="s">
        <v>1484</v>
      </c>
      <c r="U1141" s="347">
        <f ca="1">S1141*Fuel_Specs!$B$35/S1129*MT2ton</f>
        <v>0</v>
      </c>
      <c r="V1141" s="347">
        <v>0</v>
      </c>
      <c r="W1141" s="347">
        <v>0</v>
      </c>
      <c r="X1141" s="14" t="s">
        <v>5</v>
      </c>
      <c r="Y1141" s="346" t="s">
        <v>413</v>
      </c>
      <c r="Z1141" s="14" t="str">
        <f>IF(ISBLANK(LCI_Table[[#This Row],[Notes for user]])," ",LCI_Table[[#This Row],[Notes for user]])</f>
        <v xml:space="preserve"> </v>
      </c>
      <c r="AA1141" s="14"/>
      <c r="AB1141" s="14"/>
      <c r="AC1141" s="346">
        <f ca="1">LCI_Table[[#This Row],[Default Calculated Value]]-LCI_Table[[#This Row],[Calculated Value]]</f>
        <v>0</v>
      </c>
    </row>
    <row r="1142" spans="1:29" x14ac:dyDescent="0.3">
      <c r="A11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Canola/RapeseedHEFAICAOJRC(blank)_Canola_Farming_ElectricityElectricity</v>
      </c>
      <c r="B1142" s="48" t="s">
        <v>1347</v>
      </c>
      <c r="C1142" s="14" t="s">
        <v>30</v>
      </c>
      <c r="D1142" s="14" t="s">
        <v>194</v>
      </c>
      <c r="E1142" s="14" t="s">
        <v>355</v>
      </c>
      <c r="F1142" s="48" t="s">
        <v>31</v>
      </c>
      <c r="G1142" s="14" t="b">
        <f>OR(LCI_Table[[#This Row],[Feedstock]]="All",LCI_Table[[#This Row],[Feedstock]]=SelectedFeedstock)</f>
        <v>1</v>
      </c>
      <c r="H1142" s="14" t="b">
        <f>OR(LCI_Table[[#This Row],[Conversion]]="All",LCI_Table[[#This Row],[Conversion]]=SelectedConversion)</f>
        <v>1</v>
      </c>
      <c r="I1142" s="14" t="b">
        <f>OR(LCI_Table[[#This Row],[Data Set]]="all",LCI_Table[[#This Row],[Data Set]]=SelectedDataSet)</f>
        <v>0</v>
      </c>
      <c r="J1142" s="14" t="b">
        <f>OR(LCI_Table[[#This Row],[Technology]]="All",LCI_Table[[#This Row],[Technology]]=SelectedTechnology)</f>
        <v>1</v>
      </c>
      <c r="K1142" s="14" t="b">
        <f>OR(LCI_Table[[#This Row],[Data Source]]="All",LCI_Table[[#This Row],[Data Source]]=SelectedDataSource)</f>
        <v>0</v>
      </c>
      <c r="L1142" s="14" t="b">
        <f>TRUE</f>
        <v>1</v>
      </c>
      <c r="M1142" s="14" t="b">
        <f>(LCI_Table[[#This Row],[Dev Notes]]="Do not display")</f>
        <v>0</v>
      </c>
      <c r="N1142" s="14" t="b">
        <f>AND(LCI_Table[[#This Row],[Show Feedstock]:[Conditional]],NOT(LCI_Table[[#This Row],[Hide Row]]))</f>
        <v>0</v>
      </c>
      <c r="O1142" s="14" t="b">
        <f>LCI_Table[[#This Row],[GREET1 Name Range]]=""</f>
        <v>0</v>
      </c>
      <c r="P1142" s="14" t="s">
        <v>14</v>
      </c>
      <c r="Q1142" s="14" t="s">
        <v>491</v>
      </c>
      <c r="R1142" s="14" t="s">
        <v>110</v>
      </c>
      <c r="S1142" s="37" cm="1">
        <f t="array" aca="1" ref="S11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42" s="346" t="s">
        <v>1561</v>
      </c>
      <c r="U1142" s="347">
        <f ca="1">S1142/BTU2kWh/S1129*MT2ton</f>
        <v>0</v>
      </c>
      <c r="V1142" s="347">
        <v>0</v>
      </c>
      <c r="W1142" s="347">
        <v>0</v>
      </c>
      <c r="X1142" s="14" t="s">
        <v>51</v>
      </c>
      <c r="Y1142" s="346" t="s">
        <v>413</v>
      </c>
      <c r="Z1142" s="14" t="str">
        <f>IF(ISBLANK(LCI_Table[[#This Row],[Notes for user]])," ",LCI_Table[[#This Row],[Notes for user]])</f>
        <v xml:space="preserve"> </v>
      </c>
      <c r="AA1142" s="14"/>
      <c r="AB1142" s="14"/>
      <c r="AC1142" s="346">
        <f ca="1">LCI_Table[[#This Row],[Default Calculated Value]]-LCI_Table[[#This Row],[Calculated Value]]</f>
        <v>0</v>
      </c>
    </row>
    <row r="1143" spans="1:29" x14ac:dyDescent="0.3">
      <c r="A11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dash_Canola/RapeseedHEFAICAOJRC(blank)_Canola_Extraction</v>
      </c>
      <c r="B1143" s="48" t="s">
        <v>1347</v>
      </c>
      <c r="C1143" s="14" t="s">
        <v>30</v>
      </c>
      <c r="D1143" s="14" t="s">
        <v>194</v>
      </c>
      <c r="E1143" s="14" t="s">
        <v>355</v>
      </c>
      <c r="F1143" s="48" t="s">
        <v>31</v>
      </c>
      <c r="G1143" s="14" t="b">
        <f>OR(LCI_Table[[#This Row],[Feedstock]]="All",LCI_Table[[#This Row],[Feedstock]]=SelectedFeedstock)</f>
        <v>1</v>
      </c>
      <c r="H1143" s="14" t="b">
        <f>OR(LCI_Table[[#This Row],[Conversion]]="All",LCI_Table[[#This Row],[Conversion]]=SelectedConversion)</f>
        <v>1</v>
      </c>
      <c r="I1143" s="14" t="b">
        <f>OR(LCI_Table[[#This Row],[Data Set]]="all",LCI_Table[[#This Row],[Data Set]]=SelectedDataSet)</f>
        <v>0</v>
      </c>
      <c r="J1143" s="14" t="b">
        <f>OR(LCI_Table[[#This Row],[Technology]]="All",LCI_Table[[#This Row],[Technology]]=SelectedTechnology)</f>
        <v>1</v>
      </c>
      <c r="K1143" s="14" t="b">
        <f>OR(LCI_Table[[#This Row],[Data Source]]="All",LCI_Table[[#This Row],[Data Source]]=SelectedDataSource)</f>
        <v>0</v>
      </c>
      <c r="L1143" s="14" t="b">
        <f>TRUE</f>
        <v>1</v>
      </c>
      <c r="M1143" s="14" t="b">
        <f>(LCI_Table[[#This Row],[Dev Notes]]="Do not display")</f>
        <v>1</v>
      </c>
      <c r="N1143" s="14" t="b">
        <f>AND(LCI_Table[[#This Row],[Show Feedstock]:[Conditional]],NOT(LCI_Table[[#This Row],[Hide Row]]))</f>
        <v>0</v>
      </c>
      <c r="O1143" s="14" t="b">
        <f>LCI_Table[[#This Row],[GREET1 Name Range]]=""</f>
        <v>1</v>
      </c>
      <c r="P1143" s="14" t="s">
        <v>15</v>
      </c>
      <c r="Q1143" s="14" t="s">
        <v>361</v>
      </c>
      <c r="R1143" s="14" t="s">
        <v>125</v>
      </c>
      <c r="S1143" s="37" cm="1">
        <f t="array" aca="1" ref="S11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2.2021975369647464</v>
      </c>
      <c r="T1143" s="346" t="s">
        <v>2111</v>
      </c>
      <c r="U1143" s="347">
        <f ca="1">S1143/MT2lb</f>
        <v>9.9890000000000178E-4</v>
      </c>
      <c r="V1143" s="347">
        <v>2.2021975369647464</v>
      </c>
      <c r="W1143" s="347">
        <v>9.9890000000000178E-4</v>
      </c>
      <c r="X1143" s="14" t="s">
        <v>12</v>
      </c>
      <c r="Y1143" s="346" t="s">
        <v>891</v>
      </c>
      <c r="Z1143" s="14" t="str">
        <f>IF(ISBLANK(LCI_Table[[#This Row],[Notes for user]])," ",LCI_Table[[#This Row],[Notes for user]])</f>
        <v xml:space="preserve"> </v>
      </c>
      <c r="AA1143" s="348"/>
      <c r="AB1143" s="348" t="s">
        <v>1138</v>
      </c>
      <c r="AC1143" s="346">
        <f ca="1">LCI_Table[[#This Row],[Default Calculated Value]]-LCI_Table[[#This Row],[Calculated Value]]</f>
        <v>0</v>
      </c>
    </row>
    <row r="1144" spans="1:29" x14ac:dyDescent="0.3">
      <c r="A11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Canola/RapeseedHEFAICAOJRC(blank)_Canola_Extraction_Residual_oilResidual oil</v>
      </c>
      <c r="B1144" s="48" t="s">
        <v>1347</v>
      </c>
      <c r="C1144" s="14" t="s">
        <v>30</v>
      </c>
      <c r="D1144" s="14" t="s">
        <v>194</v>
      </c>
      <c r="E1144" s="14" t="s">
        <v>355</v>
      </c>
      <c r="F1144" s="48" t="s">
        <v>31</v>
      </c>
      <c r="G1144" s="14" t="b">
        <f>OR(LCI_Table[[#This Row],[Feedstock]]="All",LCI_Table[[#This Row],[Feedstock]]=SelectedFeedstock)</f>
        <v>1</v>
      </c>
      <c r="H1144" s="14" t="b">
        <f>OR(LCI_Table[[#This Row],[Conversion]]="All",LCI_Table[[#This Row],[Conversion]]=SelectedConversion)</f>
        <v>1</v>
      </c>
      <c r="I1144" s="14" t="b">
        <f>OR(LCI_Table[[#This Row],[Data Set]]="all",LCI_Table[[#This Row],[Data Set]]=SelectedDataSet)</f>
        <v>0</v>
      </c>
      <c r="J1144" s="14" t="b">
        <f>OR(LCI_Table[[#This Row],[Technology]]="All",LCI_Table[[#This Row],[Technology]]=SelectedTechnology)</f>
        <v>1</v>
      </c>
      <c r="K1144" s="14" t="b">
        <f>OR(LCI_Table[[#This Row],[Data Source]]="All",LCI_Table[[#This Row],[Data Source]]=SelectedDataSource)</f>
        <v>0</v>
      </c>
      <c r="L1144" s="14" t="b">
        <f>TRUE</f>
        <v>1</v>
      </c>
      <c r="M1144" s="14" t="b">
        <f>(LCI_Table[[#This Row],[Dev Notes]]="Do not display")</f>
        <v>0</v>
      </c>
      <c r="N1144" s="14" t="b">
        <f>AND(LCI_Table[[#This Row],[Show Feedstock]:[Conditional]],NOT(LCI_Table[[#This Row],[Hide Row]]))</f>
        <v>0</v>
      </c>
      <c r="O1144" s="14" t="b">
        <f>LCI_Table[[#This Row],[GREET1 Name Range]]=""</f>
        <v>0</v>
      </c>
      <c r="P1144" s="14" t="s">
        <v>15</v>
      </c>
      <c r="Q1144" s="14" t="s">
        <v>487</v>
      </c>
      <c r="R1144" s="14" t="s">
        <v>115</v>
      </c>
      <c r="S1144" s="37" cm="1">
        <f t="array" aca="1" ref="S11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44" s="346" t="s">
        <v>2112</v>
      </c>
      <c r="U1144" s="347">
        <f ca="1">S1144*Fuel_Specs!$B$28</f>
        <v>0</v>
      </c>
      <c r="V1144" s="347">
        <v>0</v>
      </c>
      <c r="W1144" s="347">
        <v>0</v>
      </c>
      <c r="X1144" s="14" t="s">
        <v>5</v>
      </c>
      <c r="Y1144" s="346" t="s">
        <v>891</v>
      </c>
      <c r="Z1144" s="14" t="str">
        <f>IF(ISBLANK(LCI_Table[[#This Row],[Notes for user]])," ",LCI_Table[[#This Row],[Notes for user]])</f>
        <v xml:space="preserve"> </v>
      </c>
      <c r="AA1144" s="14"/>
      <c r="AB1144" s="14"/>
      <c r="AC1144" s="346">
        <f ca="1">LCI_Table[[#This Row],[Default Calculated Value]]-LCI_Table[[#This Row],[Calculated Value]]</f>
        <v>0</v>
      </c>
    </row>
    <row r="1145" spans="1:29" x14ac:dyDescent="0.3">
      <c r="A11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Canola/RapeseedHEFAICAOJRC(blank)_Canola_Extraction_DieselDiesel</v>
      </c>
      <c r="B1145" s="48" t="s">
        <v>1347</v>
      </c>
      <c r="C1145" s="14" t="s">
        <v>30</v>
      </c>
      <c r="D1145" s="14" t="s">
        <v>194</v>
      </c>
      <c r="E1145" s="14" t="s">
        <v>355</v>
      </c>
      <c r="F1145" s="48" t="s">
        <v>31</v>
      </c>
      <c r="G1145" s="14" t="b">
        <f>OR(LCI_Table[[#This Row],[Feedstock]]="All",LCI_Table[[#This Row],[Feedstock]]=SelectedFeedstock)</f>
        <v>1</v>
      </c>
      <c r="H1145" s="14" t="b">
        <f>OR(LCI_Table[[#This Row],[Conversion]]="All",LCI_Table[[#This Row],[Conversion]]=SelectedConversion)</f>
        <v>1</v>
      </c>
      <c r="I1145" s="14" t="b">
        <f>OR(LCI_Table[[#This Row],[Data Set]]="all",LCI_Table[[#This Row],[Data Set]]=SelectedDataSet)</f>
        <v>0</v>
      </c>
      <c r="J1145" s="14" t="b">
        <f>OR(LCI_Table[[#This Row],[Technology]]="All",LCI_Table[[#This Row],[Technology]]=SelectedTechnology)</f>
        <v>1</v>
      </c>
      <c r="K1145" s="14" t="b">
        <f>OR(LCI_Table[[#This Row],[Data Source]]="All",LCI_Table[[#This Row],[Data Source]]=SelectedDataSource)</f>
        <v>0</v>
      </c>
      <c r="L1145" s="14" t="b">
        <f>TRUE</f>
        <v>1</v>
      </c>
      <c r="M1145" s="14" t="b">
        <f>(LCI_Table[[#This Row],[Dev Notes]]="Do not display")</f>
        <v>0</v>
      </c>
      <c r="N1145" s="14" t="b">
        <f>AND(LCI_Table[[#This Row],[Show Feedstock]:[Conditional]],NOT(LCI_Table[[#This Row],[Hide Row]]))</f>
        <v>0</v>
      </c>
      <c r="O1145" s="14" t="b">
        <f>LCI_Table[[#This Row],[GREET1 Name Range]]=""</f>
        <v>0</v>
      </c>
      <c r="P1145" s="14" t="s">
        <v>15</v>
      </c>
      <c r="Q1145" s="14" t="s">
        <v>479</v>
      </c>
      <c r="R1145" s="14" t="s">
        <v>106</v>
      </c>
      <c r="S1145" s="37" cm="1">
        <f t="array" aca="1" ref="S11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45" s="346" t="s">
        <v>2112</v>
      </c>
      <c r="U1145" s="347">
        <f ca="1">S1145*Fuel_Specs!$B$19</f>
        <v>0</v>
      </c>
      <c r="V1145" s="347">
        <v>0</v>
      </c>
      <c r="W1145" s="347">
        <v>0</v>
      </c>
      <c r="X1145" s="14" t="s">
        <v>5</v>
      </c>
      <c r="Y1145" s="346" t="s">
        <v>891</v>
      </c>
      <c r="Z1145" s="14" t="str">
        <f>IF(ISBLANK(LCI_Table[[#This Row],[Notes for user]])," ",LCI_Table[[#This Row],[Notes for user]])</f>
        <v xml:space="preserve"> </v>
      </c>
      <c r="AA1145" s="14"/>
      <c r="AB1145" s="14"/>
      <c r="AC1145" s="346">
        <f ca="1">LCI_Table[[#This Row],[Default Calculated Value]]-LCI_Table[[#This Row],[Calculated Value]]</f>
        <v>0</v>
      </c>
    </row>
    <row r="1146" spans="1:29" x14ac:dyDescent="0.3">
      <c r="A11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Canola/RapeseedHEFAICAOJRC(blank)_Canola_Extraction_GasolineGasoline</v>
      </c>
      <c r="B1146" s="48" t="s">
        <v>1347</v>
      </c>
      <c r="C1146" s="14" t="s">
        <v>30</v>
      </c>
      <c r="D1146" s="14" t="s">
        <v>194</v>
      </c>
      <c r="E1146" s="14" t="s">
        <v>355</v>
      </c>
      <c r="F1146" s="48" t="s">
        <v>31</v>
      </c>
      <c r="G1146" s="14" t="b">
        <f>OR(LCI_Table[[#This Row],[Feedstock]]="All",LCI_Table[[#This Row],[Feedstock]]=SelectedFeedstock)</f>
        <v>1</v>
      </c>
      <c r="H1146" s="14" t="b">
        <f>OR(LCI_Table[[#This Row],[Conversion]]="All",LCI_Table[[#This Row],[Conversion]]=SelectedConversion)</f>
        <v>1</v>
      </c>
      <c r="I1146" s="14" t="b">
        <f>OR(LCI_Table[[#This Row],[Data Set]]="all",LCI_Table[[#This Row],[Data Set]]=SelectedDataSet)</f>
        <v>0</v>
      </c>
      <c r="J1146" s="14" t="b">
        <f>OR(LCI_Table[[#This Row],[Technology]]="All",LCI_Table[[#This Row],[Technology]]=SelectedTechnology)</f>
        <v>1</v>
      </c>
      <c r="K1146" s="14" t="b">
        <f>OR(LCI_Table[[#This Row],[Data Source]]="All",LCI_Table[[#This Row],[Data Source]]=SelectedDataSource)</f>
        <v>0</v>
      </c>
      <c r="L1146" s="14" t="b">
        <f>TRUE</f>
        <v>1</v>
      </c>
      <c r="M1146" s="14" t="b">
        <f>(LCI_Table[[#This Row],[Dev Notes]]="Do not display")</f>
        <v>0</v>
      </c>
      <c r="N1146" s="14" t="b">
        <f>AND(LCI_Table[[#This Row],[Show Feedstock]:[Conditional]],NOT(LCI_Table[[#This Row],[Hide Row]]))</f>
        <v>0</v>
      </c>
      <c r="O1146" s="14" t="b">
        <f>LCI_Table[[#This Row],[GREET1 Name Range]]=""</f>
        <v>0</v>
      </c>
      <c r="P1146" s="14" t="s">
        <v>15</v>
      </c>
      <c r="Q1146" s="14" t="s">
        <v>482</v>
      </c>
      <c r="R1146" s="14" t="s">
        <v>107</v>
      </c>
      <c r="S1146" s="37" cm="1">
        <f t="array" aca="1" ref="S11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46" s="346" t="s">
        <v>2112</v>
      </c>
      <c r="U1146" s="347">
        <f ca="1">S1146*Fuel_Specs!$B$15</f>
        <v>0</v>
      </c>
      <c r="V1146" s="347">
        <v>0</v>
      </c>
      <c r="W1146" s="347">
        <v>0</v>
      </c>
      <c r="X1146" s="14" t="s">
        <v>5</v>
      </c>
      <c r="Y1146" s="346" t="s">
        <v>891</v>
      </c>
      <c r="Z1146" s="14" t="str">
        <f>IF(ISBLANK(LCI_Table[[#This Row],[Notes for user]])," ",LCI_Table[[#This Row],[Notes for user]])</f>
        <v xml:space="preserve"> </v>
      </c>
      <c r="AA1146" s="14"/>
      <c r="AB1146" s="14"/>
      <c r="AC1146" s="346">
        <f ca="1">LCI_Table[[#This Row],[Default Calculated Value]]-LCI_Table[[#This Row],[Calculated Value]]</f>
        <v>0</v>
      </c>
    </row>
    <row r="1147" spans="1:29" x14ac:dyDescent="0.3">
      <c r="A11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Canola/RapeseedHEFAICAOJRC(blank)_Canola_Extraction_Natural_gasNatural gas</v>
      </c>
      <c r="B1147" s="48" t="s">
        <v>1347</v>
      </c>
      <c r="C1147" s="14" t="s">
        <v>30</v>
      </c>
      <c r="D1147" s="14" t="s">
        <v>194</v>
      </c>
      <c r="E1147" s="14" t="s">
        <v>355</v>
      </c>
      <c r="F1147" s="48" t="s">
        <v>31</v>
      </c>
      <c r="G1147" s="14" t="b">
        <f>OR(LCI_Table[[#This Row],[Feedstock]]="All",LCI_Table[[#This Row],[Feedstock]]=SelectedFeedstock)</f>
        <v>1</v>
      </c>
      <c r="H1147" s="14" t="b">
        <f>OR(LCI_Table[[#This Row],[Conversion]]="All",LCI_Table[[#This Row],[Conversion]]=SelectedConversion)</f>
        <v>1</v>
      </c>
      <c r="I1147" s="14" t="b">
        <f>OR(LCI_Table[[#This Row],[Data Set]]="all",LCI_Table[[#This Row],[Data Set]]=SelectedDataSet)</f>
        <v>0</v>
      </c>
      <c r="J1147" s="14" t="b">
        <f>OR(LCI_Table[[#This Row],[Technology]]="All",LCI_Table[[#This Row],[Technology]]=SelectedTechnology)</f>
        <v>1</v>
      </c>
      <c r="K1147" s="14" t="b">
        <f>OR(LCI_Table[[#This Row],[Data Source]]="All",LCI_Table[[#This Row],[Data Source]]=SelectedDataSource)</f>
        <v>0</v>
      </c>
      <c r="L1147" s="14" t="b">
        <f>TRUE</f>
        <v>1</v>
      </c>
      <c r="M1147" s="14" t="b">
        <f>(LCI_Table[[#This Row],[Dev Notes]]="Do not display")</f>
        <v>0</v>
      </c>
      <c r="N1147" s="14" t="b">
        <f>AND(LCI_Table[[#This Row],[Show Feedstock]:[Conditional]],NOT(LCI_Table[[#This Row],[Hide Row]]))</f>
        <v>0</v>
      </c>
      <c r="O1147" s="14" t="b">
        <f>LCI_Table[[#This Row],[GREET1 Name Range]]=""</f>
        <v>0</v>
      </c>
      <c r="P1147" s="14" t="s">
        <v>15</v>
      </c>
      <c r="Q1147" s="14" t="s">
        <v>486</v>
      </c>
      <c r="R1147" s="14" t="s">
        <v>108</v>
      </c>
      <c r="S1147" s="37" cm="1">
        <f t="array" aca="1" ref="S11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0.63550356052899293</v>
      </c>
      <c r="T1147" s="346" t="s">
        <v>2113</v>
      </c>
      <c r="U1147" s="347">
        <f ca="1">S1147*Fuel_Specs!$B$79</f>
        <v>624.70000000000005</v>
      </c>
      <c r="V1147" s="347">
        <v>0.63550356052899293</v>
      </c>
      <c r="W1147" s="347">
        <v>624.70000000000005</v>
      </c>
      <c r="X1147" s="14" t="s">
        <v>351</v>
      </c>
      <c r="Y1147" s="346" t="s">
        <v>891</v>
      </c>
      <c r="Z1147" s="14" t="str">
        <f>IF(ISBLANK(LCI_Table[[#This Row],[Notes for user]])," ",LCI_Table[[#This Row],[Notes for user]])</f>
        <v xml:space="preserve"> </v>
      </c>
      <c r="AA1147" s="14"/>
      <c r="AB1147" s="14"/>
      <c r="AC1147" s="346">
        <f ca="1">LCI_Table[[#This Row],[Default Calculated Value]]-LCI_Table[[#This Row],[Calculated Value]]</f>
        <v>0</v>
      </c>
    </row>
    <row r="1148" spans="1:29" x14ac:dyDescent="0.3">
      <c r="A11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Canola/RapeseedHEFAICAOJRC(blank)_Canola_Extraction_CoalCoal</v>
      </c>
      <c r="B1148" s="48" t="s">
        <v>1347</v>
      </c>
      <c r="C1148" s="14" t="s">
        <v>30</v>
      </c>
      <c r="D1148" s="14" t="s">
        <v>194</v>
      </c>
      <c r="E1148" s="14" t="s">
        <v>355</v>
      </c>
      <c r="F1148" s="48" t="s">
        <v>31</v>
      </c>
      <c r="G1148" s="14" t="b">
        <f>OR(LCI_Table[[#This Row],[Feedstock]]="All",LCI_Table[[#This Row],[Feedstock]]=SelectedFeedstock)</f>
        <v>1</v>
      </c>
      <c r="H1148" s="14" t="b">
        <f>OR(LCI_Table[[#This Row],[Conversion]]="All",LCI_Table[[#This Row],[Conversion]]=SelectedConversion)</f>
        <v>1</v>
      </c>
      <c r="I1148" s="14" t="b">
        <f>OR(LCI_Table[[#This Row],[Data Set]]="all",LCI_Table[[#This Row],[Data Set]]=SelectedDataSet)</f>
        <v>0</v>
      </c>
      <c r="J1148" s="14" t="b">
        <f>OR(LCI_Table[[#This Row],[Technology]]="All",LCI_Table[[#This Row],[Technology]]=SelectedTechnology)</f>
        <v>1</v>
      </c>
      <c r="K1148" s="14" t="b">
        <f>OR(LCI_Table[[#This Row],[Data Source]]="All",LCI_Table[[#This Row],[Data Source]]=SelectedDataSource)</f>
        <v>0</v>
      </c>
      <c r="L1148" s="14" t="b">
        <f>TRUE</f>
        <v>1</v>
      </c>
      <c r="M1148" s="14" t="b">
        <f>(LCI_Table[[#This Row],[Dev Notes]]="Do not display")</f>
        <v>0</v>
      </c>
      <c r="N1148" s="14" t="b">
        <f>AND(LCI_Table[[#This Row],[Show Feedstock]:[Conditional]],NOT(LCI_Table[[#This Row],[Hide Row]]))</f>
        <v>0</v>
      </c>
      <c r="O1148" s="14" t="b">
        <f>LCI_Table[[#This Row],[GREET1 Name Range]]=""</f>
        <v>0</v>
      </c>
      <c r="P1148" s="14" t="s">
        <v>15</v>
      </c>
      <c r="Q1148" s="14" t="s">
        <v>478</v>
      </c>
      <c r="R1148" s="14" t="s">
        <v>9</v>
      </c>
      <c r="S1148" s="37" cm="1">
        <f t="array" aca="1" ref="S11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48" s="346" t="s">
        <v>2114</v>
      </c>
      <c r="U1148" s="347">
        <f ca="1">S1148</f>
        <v>0</v>
      </c>
      <c r="V1148" s="347">
        <v>0</v>
      </c>
      <c r="W1148" s="347">
        <v>0</v>
      </c>
      <c r="X1148" s="14" t="s">
        <v>117</v>
      </c>
      <c r="Y1148" s="346" t="s">
        <v>891</v>
      </c>
      <c r="Z1148" s="14" t="str">
        <f>IF(ISBLANK(LCI_Table[[#This Row],[Notes for user]])," ",LCI_Table[[#This Row],[Notes for user]])</f>
        <v xml:space="preserve"> </v>
      </c>
      <c r="AA1148" s="14"/>
      <c r="AB1148" s="14"/>
      <c r="AC1148" s="346">
        <f ca="1">LCI_Table[[#This Row],[Default Calculated Value]]-LCI_Table[[#This Row],[Calculated Value]]</f>
        <v>0</v>
      </c>
    </row>
    <row r="1149" spans="1:29" x14ac:dyDescent="0.3">
      <c r="A11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Canola/RapeseedHEFAICAOJRC(blank)_Canola_Extraction_LPGLPG</v>
      </c>
      <c r="B1149" s="48" t="s">
        <v>1347</v>
      </c>
      <c r="C1149" s="14" t="s">
        <v>30</v>
      </c>
      <c r="D1149" s="14" t="s">
        <v>194</v>
      </c>
      <c r="E1149" s="14" t="s">
        <v>355</v>
      </c>
      <c r="F1149" s="48" t="s">
        <v>31</v>
      </c>
      <c r="G1149" s="14" t="b">
        <f>OR(LCI_Table[[#This Row],[Feedstock]]="All",LCI_Table[[#This Row],[Feedstock]]=SelectedFeedstock)</f>
        <v>1</v>
      </c>
      <c r="H1149" s="14" t="b">
        <f>OR(LCI_Table[[#This Row],[Conversion]]="All",LCI_Table[[#This Row],[Conversion]]=SelectedConversion)</f>
        <v>1</v>
      </c>
      <c r="I1149" s="14" t="b">
        <f>OR(LCI_Table[[#This Row],[Data Set]]="all",LCI_Table[[#This Row],[Data Set]]=SelectedDataSet)</f>
        <v>0</v>
      </c>
      <c r="J1149" s="14" t="b">
        <f>OR(LCI_Table[[#This Row],[Technology]]="All",LCI_Table[[#This Row],[Technology]]=SelectedTechnology)</f>
        <v>1</v>
      </c>
      <c r="K1149" s="14" t="b">
        <f>OR(LCI_Table[[#This Row],[Data Source]]="All",LCI_Table[[#This Row],[Data Source]]=SelectedDataSource)</f>
        <v>0</v>
      </c>
      <c r="L1149" s="14" t="b">
        <f>TRUE</f>
        <v>1</v>
      </c>
      <c r="M1149" s="14" t="b">
        <f>(LCI_Table[[#This Row],[Dev Notes]]="Do not display")</f>
        <v>0</v>
      </c>
      <c r="N1149" s="14" t="b">
        <f>AND(LCI_Table[[#This Row],[Show Feedstock]:[Conditional]],NOT(LCI_Table[[#This Row],[Hide Row]]))</f>
        <v>0</v>
      </c>
      <c r="O1149" s="14" t="b">
        <f>LCI_Table[[#This Row],[GREET1 Name Range]]=""</f>
        <v>0</v>
      </c>
      <c r="P1149" s="14" t="s">
        <v>15</v>
      </c>
      <c r="Q1149" s="14" t="s">
        <v>484</v>
      </c>
      <c r="R1149" s="14" t="s">
        <v>109</v>
      </c>
      <c r="S1149" s="37" cm="1">
        <f t="array" aca="1" ref="S11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49" s="346" t="s">
        <v>2112</v>
      </c>
      <c r="U1149" s="347">
        <f ca="1">S1149*Fuel_Specs!$B$35</f>
        <v>0</v>
      </c>
      <c r="V1149" s="347">
        <v>0</v>
      </c>
      <c r="W1149" s="347">
        <v>0</v>
      </c>
      <c r="X1149" s="14" t="s">
        <v>5</v>
      </c>
      <c r="Y1149" s="346" t="s">
        <v>891</v>
      </c>
      <c r="Z1149" s="14" t="str">
        <f>IF(ISBLANK(LCI_Table[[#This Row],[Notes for user]])," ",LCI_Table[[#This Row],[Notes for user]])</f>
        <v xml:space="preserve"> </v>
      </c>
      <c r="AA1149" s="14"/>
      <c r="AB1149" s="14"/>
      <c r="AC1149" s="346">
        <f ca="1">LCI_Table[[#This Row],[Default Calculated Value]]-LCI_Table[[#This Row],[Calculated Value]]</f>
        <v>0</v>
      </c>
    </row>
    <row r="1150" spans="1:29" x14ac:dyDescent="0.3">
      <c r="A11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Canola/RapeseedHEFAICAOJRC(blank)_Canola_Extraction_ElectricityElectricity</v>
      </c>
      <c r="B1150" s="48" t="s">
        <v>1347</v>
      </c>
      <c r="C1150" s="14" t="s">
        <v>30</v>
      </c>
      <c r="D1150" s="14" t="s">
        <v>194</v>
      </c>
      <c r="E1150" s="14" t="s">
        <v>355</v>
      </c>
      <c r="F1150" s="48" t="s">
        <v>31</v>
      </c>
      <c r="G1150" s="14" t="b">
        <f>OR(LCI_Table[[#This Row],[Feedstock]]="All",LCI_Table[[#This Row],[Feedstock]]=SelectedFeedstock)</f>
        <v>1</v>
      </c>
      <c r="H1150" s="14" t="b">
        <f>OR(LCI_Table[[#This Row],[Conversion]]="All",LCI_Table[[#This Row],[Conversion]]=SelectedConversion)</f>
        <v>1</v>
      </c>
      <c r="I1150" s="14" t="b">
        <f>OR(LCI_Table[[#This Row],[Data Set]]="all",LCI_Table[[#This Row],[Data Set]]=SelectedDataSet)</f>
        <v>0</v>
      </c>
      <c r="J1150" s="14" t="b">
        <f>OR(LCI_Table[[#This Row],[Technology]]="All",LCI_Table[[#This Row],[Technology]]=SelectedTechnology)</f>
        <v>1</v>
      </c>
      <c r="K1150" s="14" t="b">
        <f>OR(LCI_Table[[#This Row],[Data Source]]="All",LCI_Table[[#This Row],[Data Source]]=SelectedDataSource)</f>
        <v>0</v>
      </c>
      <c r="L1150" s="14" t="b">
        <f>TRUE</f>
        <v>1</v>
      </c>
      <c r="M1150" s="14" t="b">
        <f>(LCI_Table[[#This Row],[Dev Notes]]="Do not display")</f>
        <v>0</v>
      </c>
      <c r="N1150" s="14" t="b">
        <f>AND(LCI_Table[[#This Row],[Show Feedstock]:[Conditional]],NOT(LCI_Table[[#This Row],[Hide Row]]))</f>
        <v>0</v>
      </c>
      <c r="O1150" s="14" t="b">
        <f>LCI_Table[[#This Row],[GREET1 Name Range]]=""</f>
        <v>0</v>
      </c>
      <c r="P1150" s="14" t="s">
        <v>15</v>
      </c>
      <c r="Q1150" s="14" t="s">
        <v>480</v>
      </c>
      <c r="R1150" s="14" t="s">
        <v>110</v>
      </c>
      <c r="S1150" s="37" cm="1">
        <f t="array" aca="1" ref="S11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4.8473954886111115E-2</v>
      </c>
      <c r="T1150" s="346" t="s">
        <v>2115</v>
      </c>
      <c r="U1150" s="347">
        <f ca="1">S1150/BTU2kWh</f>
        <v>165.4</v>
      </c>
      <c r="V1150" s="347">
        <v>4.8473954886111115E-2</v>
      </c>
      <c r="W1150" s="347">
        <v>165.4</v>
      </c>
      <c r="X1150" s="14" t="s">
        <v>51</v>
      </c>
      <c r="Y1150" s="346" t="s">
        <v>891</v>
      </c>
      <c r="Z1150" s="14" t="str">
        <f>IF(ISBLANK(LCI_Table[[#This Row],[Notes for user]])," ",LCI_Table[[#This Row],[Notes for user]])</f>
        <v xml:space="preserve"> </v>
      </c>
      <c r="AA1150" s="14"/>
      <c r="AB1150" s="14"/>
      <c r="AC1150" s="346">
        <f ca="1">LCI_Table[[#This Row],[Default Calculated Value]]-LCI_Table[[#This Row],[Calculated Value]]</f>
        <v>0</v>
      </c>
    </row>
    <row r="1151" spans="1:29" x14ac:dyDescent="0.3">
      <c r="A11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Canola/RapeseedHEFAICAOJRC(blank)_Canola_Extraction_N_hexaneN-hexane</v>
      </c>
      <c r="B1151" s="48" t="s">
        <v>1347</v>
      </c>
      <c r="C1151" s="14" t="s">
        <v>30</v>
      </c>
      <c r="D1151" s="14" t="s">
        <v>194</v>
      </c>
      <c r="E1151" s="14" t="s">
        <v>355</v>
      </c>
      <c r="F1151" s="48" t="s">
        <v>31</v>
      </c>
      <c r="G1151" s="14" t="b">
        <f>OR(LCI_Table[[#This Row],[Feedstock]]="All",LCI_Table[[#This Row],[Feedstock]]=SelectedFeedstock)</f>
        <v>1</v>
      </c>
      <c r="H1151" s="14" t="b">
        <f>OR(LCI_Table[[#This Row],[Conversion]]="All",LCI_Table[[#This Row],[Conversion]]=SelectedConversion)</f>
        <v>1</v>
      </c>
      <c r="I1151" s="14" t="b">
        <f>OR(LCI_Table[[#This Row],[Data Set]]="all",LCI_Table[[#This Row],[Data Set]]=SelectedDataSet)</f>
        <v>0</v>
      </c>
      <c r="J1151" s="14" t="b">
        <f>OR(LCI_Table[[#This Row],[Technology]]="All",LCI_Table[[#This Row],[Technology]]=SelectedTechnology)</f>
        <v>1</v>
      </c>
      <c r="K1151" s="14" t="b">
        <f>OR(LCI_Table[[#This Row],[Data Source]]="All",LCI_Table[[#This Row],[Data Source]]=SelectedDataSource)</f>
        <v>0</v>
      </c>
      <c r="L1151" s="14" t="b">
        <f>TRUE</f>
        <v>1</v>
      </c>
      <c r="M1151" s="14" t="b">
        <f>(LCI_Table[[#This Row],[Dev Notes]]="Do not display")</f>
        <v>0</v>
      </c>
      <c r="N1151" s="14" t="b">
        <f>AND(LCI_Table[[#This Row],[Show Feedstock]:[Conditional]],NOT(LCI_Table[[#This Row],[Hide Row]]))</f>
        <v>0</v>
      </c>
      <c r="O1151" s="14" t="b">
        <f>LCI_Table[[#This Row],[GREET1 Name Range]]=""</f>
        <v>0</v>
      </c>
      <c r="P1151" s="14" t="s">
        <v>15</v>
      </c>
      <c r="Q1151" s="14" t="s">
        <v>485</v>
      </c>
      <c r="R1151" s="14" t="s">
        <v>116</v>
      </c>
      <c r="S1151" s="37" cm="1">
        <f t="array" aca="1" ref="S11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3.0249760284918494E-7</v>
      </c>
      <c r="T1151" s="346" t="s">
        <v>2111</v>
      </c>
      <c r="U1151" s="347">
        <f ca="1">S1151*Fuel_Specs!$B$58*ton2lb</f>
        <v>63.599999999999987</v>
      </c>
      <c r="V1151" s="347">
        <v>3.0249760284918494E-7</v>
      </c>
      <c r="W1151" s="347">
        <v>63.599999999999987</v>
      </c>
      <c r="X1151" s="14" t="s">
        <v>12</v>
      </c>
      <c r="Y1151" s="346" t="s">
        <v>891</v>
      </c>
      <c r="Z1151" s="14" t="str">
        <f>IF(ISBLANK(LCI_Table[[#This Row],[Notes for user]])," ",LCI_Table[[#This Row],[Notes for user]])</f>
        <v xml:space="preserve"> </v>
      </c>
      <c r="AA1151" s="14"/>
      <c r="AB1151" s="14"/>
      <c r="AC1151" s="346">
        <f ca="1">LCI_Table[[#This Row],[Default Calculated Value]]-LCI_Table[[#This Row],[Calculated Value]]</f>
        <v>0</v>
      </c>
    </row>
    <row r="1152" spans="1:29" x14ac:dyDescent="0.3">
      <c r="A11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Canola/RapeseedHEFAICAOJRC(blank)_Canola_Extraction_Forest_residueForest residue</v>
      </c>
      <c r="B1152" s="48" t="s">
        <v>1347</v>
      </c>
      <c r="C1152" s="14" t="s">
        <v>30</v>
      </c>
      <c r="D1152" s="14" t="s">
        <v>194</v>
      </c>
      <c r="E1152" s="14" t="s">
        <v>355</v>
      </c>
      <c r="F1152" s="48" t="s">
        <v>31</v>
      </c>
      <c r="G1152" s="14" t="b">
        <f>OR(LCI_Table[[#This Row],[Feedstock]]="All",LCI_Table[[#This Row],[Feedstock]]=SelectedFeedstock)</f>
        <v>1</v>
      </c>
      <c r="H1152" s="14" t="b">
        <f>OR(LCI_Table[[#This Row],[Conversion]]="All",LCI_Table[[#This Row],[Conversion]]=SelectedConversion)</f>
        <v>1</v>
      </c>
      <c r="I1152" s="14" t="b">
        <f>OR(LCI_Table[[#This Row],[Data Set]]="all",LCI_Table[[#This Row],[Data Set]]=SelectedDataSet)</f>
        <v>0</v>
      </c>
      <c r="J1152" s="14" t="b">
        <f>OR(LCI_Table[[#This Row],[Technology]]="All",LCI_Table[[#This Row],[Technology]]=SelectedTechnology)</f>
        <v>1</v>
      </c>
      <c r="K1152" s="14" t="b">
        <f>OR(LCI_Table[[#This Row],[Data Source]]="All",LCI_Table[[#This Row],[Data Source]]=SelectedDataSource)</f>
        <v>0</v>
      </c>
      <c r="L1152" s="14" t="b">
        <f>TRUE</f>
        <v>1</v>
      </c>
      <c r="M1152" s="14" t="b">
        <f>(LCI_Table[[#This Row],[Dev Notes]]="Do not display")</f>
        <v>0</v>
      </c>
      <c r="N1152" s="14" t="b">
        <f>AND(LCI_Table[[#This Row],[Show Feedstock]:[Conditional]],NOT(LCI_Table[[#This Row],[Hide Row]]))</f>
        <v>0</v>
      </c>
      <c r="O1152" s="14" t="b">
        <f>LCI_Table[[#This Row],[GREET1 Name Range]]=""</f>
        <v>0</v>
      </c>
      <c r="P1152" s="14" t="s">
        <v>15</v>
      </c>
      <c r="Q1152" s="14" t="s">
        <v>481</v>
      </c>
      <c r="R1152" s="14" t="s">
        <v>316</v>
      </c>
      <c r="S1152" s="37" cm="1">
        <f t="array" aca="1" ref="S11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52" s="346" t="s">
        <v>2111</v>
      </c>
      <c r="U1152" s="347">
        <f ca="1">S1152*Fuel_Specs!$B$100*ton2lb</f>
        <v>0</v>
      </c>
      <c r="V1152" s="347">
        <v>0</v>
      </c>
      <c r="W1152" s="347">
        <v>0</v>
      </c>
      <c r="X1152" s="14" t="s">
        <v>12</v>
      </c>
      <c r="Y1152" s="346" t="s">
        <v>891</v>
      </c>
      <c r="Z1152" s="14" t="str">
        <f>IF(ISBLANK(LCI_Table[[#This Row],[Notes for user]])," ",LCI_Table[[#This Row],[Notes for user]])</f>
        <v xml:space="preserve"> </v>
      </c>
      <c r="AA1152" s="14"/>
      <c r="AB1152" s="14"/>
      <c r="AC1152" s="346">
        <f ca="1">LCI_Table[[#This Row],[Default Calculated Value]]-LCI_Table[[#This Row],[Calculated Value]]</f>
        <v>0</v>
      </c>
    </row>
    <row r="1153" spans="1:29" x14ac:dyDescent="0.3">
      <c r="A11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Canola/RapeseedHEFAICAOJRC(blank)_Canola_Extraction_Landfill_gasLandfill gas</v>
      </c>
      <c r="B1153" s="48" t="s">
        <v>1347</v>
      </c>
      <c r="C1153" s="14" t="s">
        <v>30</v>
      </c>
      <c r="D1153" s="14" t="s">
        <v>194</v>
      </c>
      <c r="E1153" s="14" t="s">
        <v>355</v>
      </c>
      <c r="F1153" s="48" t="s">
        <v>31</v>
      </c>
      <c r="G1153" s="14" t="b">
        <f>OR(LCI_Table[[#This Row],[Feedstock]]="All",LCI_Table[[#This Row],[Feedstock]]=SelectedFeedstock)</f>
        <v>1</v>
      </c>
      <c r="H1153" s="14" t="b">
        <f>OR(LCI_Table[[#This Row],[Conversion]]="All",LCI_Table[[#This Row],[Conversion]]=SelectedConversion)</f>
        <v>1</v>
      </c>
      <c r="I1153" s="14" t="b">
        <f>OR(LCI_Table[[#This Row],[Data Set]]="all",LCI_Table[[#This Row],[Data Set]]=SelectedDataSet)</f>
        <v>0</v>
      </c>
      <c r="J1153" s="14" t="b">
        <f>OR(LCI_Table[[#This Row],[Technology]]="All",LCI_Table[[#This Row],[Technology]]=SelectedTechnology)</f>
        <v>1</v>
      </c>
      <c r="K1153" s="14" t="b">
        <f>OR(LCI_Table[[#This Row],[Data Source]]="All",LCI_Table[[#This Row],[Data Source]]=SelectedDataSource)</f>
        <v>0</v>
      </c>
      <c r="L1153" s="14" t="b">
        <f>TRUE</f>
        <v>1</v>
      </c>
      <c r="M1153" s="14" t="b">
        <f>(LCI_Table[[#This Row],[Dev Notes]]="Do not display")</f>
        <v>0</v>
      </c>
      <c r="N1153" s="14" t="b">
        <f>AND(LCI_Table[[#This Row],[Show Feedstock]:[Conditional]],NOT(LCI_Table[[#This Row],[Hide Row]]))</f>
        <v>0</v>
      </c>
      <c r="O1153" s="14" t="b">
        <f>LCI_Table[[#This Row],[GREET1 Name Range]]=""</f>
        <v>0</v>
      </c>
      <c r="P1153" s="14" t="s">
        <v>15</v>
      </c>
      <c r="Q1153" s="14" t="s">
        <v>483</v>
      </c>
      <c r="R1153" s="14" t="s">
        <v>130</v>
      </c>
      <c r="S1153" s="37" cm="1">
        <f t="array" aca="1" ref="S11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53" s="346" t="s">
        <v>2113</v>
      </c>
      <c r="U1153" s="347">
        <f ca="1">S1153*Fuel_Specs!$B$79</f>
        <v>0</v>
      </c>
      <c r="V1153" s="347">
        <v>0</v>
      </c>
      <c r="W1153" s="347">
        <v>0</v>
      </c>
      <c r="X1153" s="14" t="s">
        <v>351</v>
      </c>
      <c r="Y1153" s="346" t="s">
        <v>891</v>
      </c>
      <c r="Z1153" s="14" t="str">
        <f>IF(ISBLANK(LCI_Table[[#This Row],[Notes for user]])," ",LCI_Table[[#This Row],[Notes for user]])</f>
        <v xml:space="preserve"> </v>
      </c>
      <c r="AA1153" s="14"/>
      <c r="AB1153" s="14"/>
      <c r="AC1153" s="346">
        <f ca="1">LCI_Table[[#This Row],[Default Calculated Value]]-LCI_Table[[#This Row],[Calculated Value]]</f>
        <v>0</v>
      </c>
    </row>
    <row r="1154" spans="1:29" x14ac:dyDescent="0.3">
      <c r="A11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Canola/RapeseedHEFAICAOJRC(blank)_Canola_Oil_Extraction_Energy_AllocationAllocation factor</v>
      </c>
      <c r="B1154" s="48" t="s">
        <v>1347</v>
      </c>
      <c r="C1154" s="14" t="s">
        <v>30</v>
      </c>
      <c r="D1154" s="14" t="s">
        <v>194</v>
      </c>
      <c r="E1154" s="14" t="s">
        <v>355</v>
      </c>
      <c r="F1154" s="48" t="s">
        <v>31</v>
      </c>
      <c r="G1154" s="14" t="b">
        <f>OR(LCI_Table[[#This Row],[Feedstock]]="All",LCI_Table[[#This Row],[Feedstock]]=SelectedFeedstock)</f>
        <v>1</v>
      </c>
      <c r="H1154" s="14" t="b">
        <f>OR(LCI_Table[[#This Row],[Conversion]]="All",LCI_Table[[#This Row],[Conversion]]=SelectedConversion)</f>
        <v>1</v>
      </c>
      <c r="I1154" s="14" t="b">
        <f>OR(LCI_Table[[#This Row],[Data Set]]="all",LCI_Table[[#This Row],[Data Set]]=SelectedDataSet)</f>
        <v>0</v>
      </c>
      <c r="J1154" s="14" t="b">
        <f>OR(LCI_Table[[#This Row],[Technology]]="All",LCI_Table[[#This Row],[Technology]]=SelectedTechnology)</f>
        <v>1</v>
      </c>
      <c r="K1154" s="14" t="b">
        <f>OR(LCI_Table[[#This Row],[Data Source]]="All",LCI_Table[[#This Row],[Data Source]]=SelectedDataSource)</f>
        <v>0</v>
      </c>
      <c r="L1154" s="14" t="b">
        <f>TRUE</f>
        <v>1</v>
      </c>
      <c r="M1154" s="14" t="b">
        <f>(LCI_Table[[#This Row],[Dev Notes]]="Do not display")</f>
        <v>0</v>
      </c>
      <c r="N1154" s="14" t="b">
        <f>AND(LCI_Table[[#This Row],[Show Feedstock]:[Conditional]],NOT(LCI_Table[[#This Row],[Hide Row]]))</f>
        <v>0</v>
      </c>
      <c r="O1154" s="14" t="b">
        <f>LCI_Table[[#This Row],[GREET1 Name Range]]=""</f>
        <v>0</v>
      </c>
      <c r="P1154" s="14" t="s">
        <v>15</v>
      </c>
      <c r="Q1154" s="14" t="s">
        <v>1107</v>
      </c>
      <c r="R1154" s="14" t="s">
        <v>1344</v>
      </c>
      <c r="S1154" s="37" cm="1">
        <f t="array" aca="1" ref="S11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70.380961058019949</v>
      </c>
      <c r="T1154" s="346" t="s">
        <v>1345</v>
      </c>
      <c r="U1154" s="347">
        <f ca="1">LCI_Table[[#This Row],[Dashboard Value]]/100</f>
        <v>0.70380961058019953</v>
      </c>
      <c r="V1154" s="347">
        <v>70.380961058019949</v>
      </c>
      <c r="W1154" s="347">
        <v>0.70380961058019953</v>
      </c>
      <c r="X1154" s="14" t="s">
        <v>1345</v>
      </c>
      <c r="Y1154" s="346" t="s">
        <v>891</v>
      </c>
      <c r="Z1154" s="14" t="str">
        <f>IF(ISBLANK(LCI_Table[[#This Row],[Notes for user]])," ",LCI_Table[[#This Row],[Notes for user]])</f>
        <v>Allocation to canola/rapeseed oil (energy allocation)</v>
      </c>
      <c r="AA1154" s="14" t="s">
        <v>1352</v>
      </c>
      <c r="AB1154" s="14"/>
      <c r="AC1154" s="346">
        <f ca="1">LCI_Table[[#This Row],[Default Calculated Value]]-LCI_Table[[#This Row],[Calculated Value]]</f>
        <v>0</v>
      </c>
    </row>
    <row r="1155" spans="1:29" x14ac:dyDescent="0.3">
      <c r="A11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Canola/RapeseedHEFAICAOJRC(blank)_HEFA_feed_usageCanola oil</v>
      </c>
      <c r="B1155" s="48" t="s">
        <v>1347</v>
      </c>
      <c r="C1155" s="14" t="s">
        <v>30</v>
      </c>
      <c r="D1155" s="14" t="s">
        <v>194</v>
      </c>
      <c r="E1155" s="14" t="s">
        <v>355</v>
      </c>
      <c r="F1155" s="48" t="s">
        <v>31</v>
      </c>
      <c r="G1155" s="14" t="b">
        <f>OR(LCI_Table[[#This Row],[Feedstock]]="All",LCI_Table[[#This Row],[Feedstock]]=SelectedFeedstock)</f>
        <v>1</v>
      </c>
      <c r="H1155" s="14" t="b">
        <f>OR(LCI_Table[[#This Row],[Conversion]]="All",LCI_Table[[#This Row],[Conversion]]=SelectedConversion)</f>
        <v>1</v>
      </c>
      <c r="I1155" s="14" t="b">
        <f>OR(LCI_Table[[#This Row],[Data Set]]="all",LCI_Table[[#This Row],[Data Set]]=SelectedDataSet)</f>
        <v>0</v>
      </c>
      <c r="J1155" s="14" t="b">
        <f>OR(LCI_Table[[#This Row],[Technology]]="All",LCI_Table[[#This Row],[Technology]]=SelectedTechnology)</f>
        <v>1</v>
      </c>
      <c r="K1155" s="14" t="b">
        <f>OR(LCI_Table[[#This Row],[Data Source]]="All",LCI_Table[[#This Row],[Data Source]]=SelectedDataSource)</f>
        <v>0</v>
      </c>
      <c r="L1155" s="14" t="b">
        <f>TRUE</f>
        <v>1</v>
      </c>
      <c r="M1155" s="14" t="b">
        <f>(LCI_Table[[#This Row],[Dev Notes]]="Do not display")</f>
        <v>0</v>
      </c>
      <c r="N1155" s="14" t="b">
        <f>AND(LCI_Table[[#This Row],[Show Feedstock]:[Conditional]],NOT(LCI_Table[[#This Row],[Hide Row]]))</f>
        <v>0</v>
      </c>
      <c r="O1155" s="14" t="b">
        <f>LCI_Table[[#This Row],[GREET1 Name Range]]=""</f>
        <v>0</v>
      </c>
      <c r="P1155" s="14" t="s">
        <v>1448</v>
      </c>
      <c r="Q1155" s="14" t="s">
        <v>933</v>
      </c>
      <c r="R1155" s="14" t="s">
        <v>400</v>
      </c>
      <c r="S1155" s="37" cm="1">
        <f t="array" aca="1" ref="S11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64.651733024069841</v>
      </c>
      <c r="T1155" s="346" t="s">
        <v>2119</v>
      </c>
      <c r="U1155" s="347">
        <f ca="1">S1155*lb2g/Fuel_Specs!$E$48*Fuel_Specs!$B$48*BTU2mmBTU</f>
        <v>1.2257701777479215</v>
      </c>
      <c r="V1155" s="347">
        <v>64.651733024069841</v>
      </c>
      <c r="W1155" s="347">
        <v>1.2257701777479215</v>
      </c>
      <c r="X1155" s="14" t="s">
        <v>12</v>
      </c>
      <c r="Y1155" s="346" t="s">
        <v>416</v>
      </c>
      <c r="Z1155" s="14" t="str">
        <f>IF(ISBLANK(LCI_Table[[#This Row],[Notes for user]])," ",LCI_Table[[#This Row],[Notes for user]])</f>
        <v xml:space="preserve"> </v>
      </c>
      <c r="AA1155" s="358"/>
      <c r="AB1155" s="14"/>
      <c r="AC1155" s="346">
        <f ca="1">LCI_Table[[#This Row],[Default Calculated Value]]-LCI_Table[[#This Row],[Calculated Value]]</f>
        <v>0</v>
      </c>
    </row>
    <row r="1156" spans="1:29" x14ac:dyDescent="0.3">
      <c r="A11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Canola/RapeseedHEFAICAOJRC(blank)_Canola_HEFA_Natural_gasNatural gas</v>
      </c>
      <c r="B1156" s="48" t="s">
        <v>1347</v>
      </c>
      <c r="C1156" s="14" t="s">
        <v>30</v>
      </c>
      <c r="D1156" s="14" t="s">
        <v>194</v>
      </c>
      <c r="E1156" s="14" t="s">
        <v>355</v>
      </c>
      <c r="F1156" s="48" t="s">
        <v>31</v>
      </c>
      <c r="G1156" s="14" t="b">
        <f>OR(LCI_Table[[#This Row],[Feedstock]]="All",LCI_Table[[#This Row],[Feedstock]]=SelectedFeedstock)</f>
        <v>1</v>
      </c>
      <c r="H1156" s="14" t="b">
        <f>OR(LCI_Table[[#This Row],[Conversion]]="All",LCI_Table[[#This Row],[Conversion]]=SelectedConversion)</f>
        <v>1</v>
      </c>
      <c r="I1156" s="14" t="b">
        <f>OR(LCI_Table[[#This Row],[Data Set]]="all",LCI_Table[[#This Row],[Data Set]]=SelectedDataSet)</f>
        <v>0</v>
      </c>
      <c r="J1156" s="14" t="b">
        <f>OR(LCI_Table[[#This Row],[Technology]]="All",LCI_Table[[#This Row],[Technology]]=SelectedTechnology)</f>
        <v>1</v>
      </c>
      <c r="K1156" s="14" t="b">
        <f>OR(LCI_Table[[#This Row],[Data Source]]="All",LCI_Table[[#This Row],[Data Source]]=SelectedDataSource)</f>
        <v>0</v>
      </c>
      <c r="L1156" s="14" t="b">
        <f>TRUE</f>
        <v>1</v>
      </c>
      <c r="M1156" s="14" t="b">
        <f>(LCI_Table[[#This Row],[Dev Notes]]="Do not display")</f>
        <v>0</v>
      </c>
      <c r="N1156" s="14" t="b">
        <f>AND(LCI_Table[[#This Row],[Show Feedstock]:[Conditional]],NOT(LCI_Table[[#This Row],[Hide Row]]))</f>
        <v>0</v>
      </c>
      <c r="O1156" s="14" t="b">
        <f>LCI_Table[[#This Row],[GREET1 Name Range]]=""</f>
        <v>0</v>
      </c>
      <c r="P1156" s="14" t="s">
        <v>1448</v>
      </c>
      <c r="Q1156" s="14" t="s">
        <v>503</v>
      </c>
      <c r="R1156" s="14" t="s">
        <v>108</v>
      </c>
      <c r="S1156" s="37" cm="1">
        <f t="array" aca="1" ref="S11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196.8635506284258</v>
      </c>
      <c r="T1156" s="346" t="s">
        <v>2120</v>
      </c>
      <c r="U1156" s="347">
        <f ca="1">S1156*lb2g/Fuel_Specs!$E$48*Fuel_Specs!$B$48*Fuel_Specs!$B$79*BTU2mmBTU</f>
        <v>3669</v>
      </c>
      <c r="V1156" s="347">
        <v>196.8635506284258</v>
      </c>
      <c r="W1156" s="347">
        <v>3669</v>
      </c>
      <c r="X1156" s="14" t="s">
        <v>351</v>
      </c>
      <c r="Y1156" s="346" t="s">
        <v>416</v>
      </c>
      <c r="Z1156" s="14" t="str">
        <f>IF(ISBLANK(LCI_Table[[#This Row],[Notes for user]])," ",LCI_Table[[#This Row],[Notes for user]])</f>
        <v xml:space="preserve"> </v>
      </c>
      <c r="AA1156" s="14"/>
      <c r="AB1156" s="14"/>
      <c r="AC1156" s="346">
        <f ca="1">LCI_Table[[#This Row],[Default Calculated Value]]-LCI_Table[[#This Row],[Calculated Value]]</f>
        <v>0</v>
      </c>
    </row>
    <row r="1157" spans="1:29" x14ac:dyDescent="0.3">
      <c r="A11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Canola/RapeseedHEFAICAOJRC(blank)_Canola_HEFA_ElectricityGrid Electricity</v>
      </c>
      <c r="B1157" s="48" t="s">
        <v>1347</v>
      </c>
      <c r="C1157" s="14" t="s">
        <v>30</v>
      </c>
      <c r="D1157" s="14" t="s">
        <v>194</v>
      </c>
      <c r="E1157" s="14" t="s">
        <v>355</v>
      </c>
      <c r="F1157" s="48" t="s">
        <v>31</v>
      </c>
      <c r="G1157" s="14" t="b">
        <f>OR(LCI_Table[[#This Row],[Feedstock]]="All",LCI_Table[[#This Row],[Feedstock]]=SelectedFeedstock)</f>
        <v>1</v>
      </c>
      <c r="H1157" s="14" t="b">
        <f>OR(LCI_Table[[#This Row],[Conversion]]="All",LCI_Table[[#This Row],[Conversion]]=SelectedConversion)</f>
        <v>1</v>
      </c>
      <c r="I1157" s="14" t="b">
        <f>OR(LCI_Table[[#This Row],[Data Set]]="all",LCI_Table[[#This Row],[Data Set]]=SelectedDataSet)</f>
        <v>0</v>
      </c>
      <c r="J1157" s="14" t="b">
        <f>OR(LCI_Table[[#This Row],[Technology]]="All",LCI_Table[[#This Row],[Technology]]=SelectedTechnology)</f>
        <v>1</v>
      </c>
      <c r="K1157" s="14" t="b">
        <f>OR(LCI_Table[[#This Row],[Data Source]]="All",LCI_Table[[#This Row],[Data Source]]=SelectedDataSource)</f>
        <v>0</v>
      </c>
      <c r="L1157" s="14" t="b">
        <f>TRUE</f>
        <v>1</v>
      </c>
      <c r="M1157" s="14" t="b">
        <f>(LCI_Table[[#This Row],[Dev Notes]]="Do not display")</f>
        <v>0</v>
      </c>
      <c r="N1157" s="14" t="b">
        <f>AND(LCI_Table[[#This Row],[Show Feedstock]:[Conditional]],NOT(LCI_Table[[#This Row],[Hide Row]]))</f>
        <v>0</v>
      </c>
      <c r="O1157" s="14" t="b">
        <f>LCI_Table[[#This Row],[GREET1 Name Range]]=""</f>
        <v>0</v>
      </c>
      <c r="P1157" s="14" t="s">
        <v>1448</v>
      </c>
      <c r="Q1157" s="14" t="s">
        <v>501</v>
      </c>
      <c r="R1157" s="14" t="s">
        <v>1684</v>
      </c>
      <c r="S1157" s="37" cm="1">
        <f t="array" aca="1" ref="S11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2.2568200147824293</v>
      </c>
      <c r="T1157" s="346" t="s">
        <v>2121</v>
      </c>
      <c r="U1157" s="347">
        <f ca="1">S1157*lb2g/Fuel_Specs!$E$48*Fuel_Specs!$B$48/BTU2kWh*BTU2mmBTU</f>
        <v>146.00000000000006</v>
      </c>
      <c r="V1157" s="347">
        <v>2.2568200147824293</v>
      </c>
      <c r="W1157" s="347">
        <v>146.00000000000006</v>
      </c>
      <c r="X1157" s="14" t="s">
        <v>51</v>
      </c>
      <c r="Y1157" s="346" t="s">
        <v>416</v>
      </c>
      <c r="Z1157" s="14" t="str">
        <f>IF(ISBLANK(LCI_Table[[#This Row],[Notes for user]])," ",LCI_Table[[#This Row],[Notes for user]])</f>
        <v xml:space="preserve"> </v>
      </c>
      <c r="AA1157" s="14"/>
      <c r="AB1157" s="14"/>
      <c r="AC1157" s="346">
        <f ca="1">LCI_Table[[#This Row],[Default Calculated Value]]-LCI_Table[[#This Row],[Calculated Value]]</f>
        <v>0</v>
      </c>
    </row>
    <row r="1158" spans="1:29" x14ac:dyDescent="0.3">
      <c r="A11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Canola/RapeseedHEFAICAOJRC(blank)_Canola_HEFA_HydrogenHydrogen</v>
      </c>
      <c r="B1158" s="48" t="s">
        <v>1347</v>
      </c>
      <c r="C1158" s="14" t="s">
        <v>30</v>
      </c>
      <c r="D1158" s="14" t="s">
        <v>194</v>
      </c>
      <c r="E1158" s="14" t="s">
        <v>355</v>
      </c>
      <c r="F1158" s="48" t="s">
        <v>31</v>
      </c>
      <c r="G1158" s="14" t="b">
        <f>OR(LCI_Table[[#This Row],[Feedstock]]="All",LCI_Table[[#This Row],[Feedstock]]=SelectedFeedstock)</f>
        <v>1</v>
      </c>
      <c r="H1158" s="14" t="b">
        <f>OR(LCI_Table[[#This Row],[Conversion]]="All",LCI_Table[[#This Row],[Conversion]]=SelectedConversion)</f>
        <v>1</v>
      </c>
      <c r="I1158" s="14" t="b">
        <f>OR(LCI_Table[[#This Row],[Data Set]]="all",LCI_Table[[#This Row],[Data Set]]=SelectedDataSet)</f>
        <v>0</v>
      </c>
      <c r="J1158" s="14" t="b">
        <f>OR(LCI_Table[[#This Row],[Technology]]="All",LCI_Table[[#This Row],[Technology]]=SelectedTechnology)</f>
        <v>1</v>
      </c>
      <c r="K1158" s="14" t="b">
        <f>OR(LCI_Table[[#This Row],[Data Source]]="All",LCI_Table[[#This Row],[Data Source]]=SelectedDataSource)</f>
        <v>0</v>
      </c>
      <c r="L1158" s="14" t="b">
        <f>TRUE</f>
        <v>1</v>
      </c>
      <c r="M1158" s="14" t="b">
        <f>(LCI_Table[[#This Row],[Dev Notes]]="Do not display")</f>
        <v>0</v>
      </c>
      <c r="N1158" s="14" t="b">
        <f>AND(LCI_Table[[#This Row],[Show Feedstock]:[Conditional]],NOT(LCI_Table[[#This Row],[Hide Row]]))</f>
        <v>0</v>
      </c>
      <c r="O1158" s="14" t="b">
        <f>LCI_Table[[#This Row],[GREET1 Name Range]]=""</f>
        <v>0</v>
      </c>
      <c r="P1158" s="14" t="s">
        <v>1448</v>
      </c>
      <c r="Q1158" s="14" t="s">
        <v>502</v>
      </c>
      <c r="R1158" s="14" t="s">
        <v>73</v>
      </c>
      <c r="S1158" s="37" cm="1">
        <f t="array" aca="1" ref="S11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57.727140368024244</v>
      </c>
      <c r="T1158" s="346" t="s">
        <v>2120</v>
      </c>
      <c r="U1158" s="347">
        <f ca="1">S1158*lb2g/Fuel_Specs!$E$48*Fuel_Specs!$B$48*Fuel_Specs!$B$81*BTU2mmBTU</f>
        <v>317.40000000000003</v>
      </c>
      <c r="V1158" s="347">
        <v>57.727140368024244</v>
      </c>
      <c r="W1158" s="347">
        <v>317.40000000000003</v>
      </c>
      <c r="X1158" s="14" t="s">
        <v>351</v>
      </c>
      <c r="Y1158" s="346" t="s">
        <v>416</v>
      </c>
      <c r="Z1158" s="14" t="str">
        <f>IF(ISBLANK(LCI_Table[[#This Row],[Notes for user]])," ",LCI_Table[[#This Row],[Notes for user]])</f>
        <v xml:space="preserve"> </v>
      </c>
      <c r="AA1158" s="14"/>
      <c r="AB1158" s="14"/>
      <c r="AC1158" s="346">
        <f ca="1">LCI_Table[[#This Row],[Default Calculated Value]]-LCI_Table[[#This Row],[Calculated Value]]</f>
        <v>0</v>
      </c>
    </row>
    <row r="1159" spans="1:29" x14ac:dyDescent="0.3">
      <c r="A11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Canola/RapeseedHEFAICAOJRC(blank)_Canola_Oil_HEFA_Energy_AllocationAllocation factor</v>
      </c>
      <c r="B1159" s="48" t="s">
        <v>1347</v>
      </c>
      <c r="C1159" s="14" t="s">
        <v>30</v>
      </c>
      <c r="D1159" s="14" t="s">
        <v>194</v>
      </c>
      <c r="E1159" s="14" t="s">
        <v>355</v>
      </c>
      <c r="F1159" s="48" t="s">
        <v>31</v>
      </c>
      <c r="G1159" s="14" t="b">
        <f>OR(LCI_Table[[#This Row],[Feedstock]]="All",LCI_Table[[#This Row],[Feedstock]]=SelectedFeedstock)</f>
        <v>1</v>
      </c>
      <c r="H1159" s="14" t="b">
        <f>OR(LCI_Table[[#This Row],[Conversion]]="All",LCI_Table[[#This Row],[Conversion]]=SelectedConversion)</f>
        <v>1</v>
      </c>
      <c r="I1159" s="14" t="b">
        <f>OR(LCI_Table[[#This Row],[Data Set]]="all",LCI_Table[[#This Row],[Data Set]]=SelectedDataSet)</f>
        <v>0</v>
      </c>
      <c r="J1159" s="14" t="b">
        <f>OR(LCI_Table[[#This Row],[Technology]]="All",LCI_Table[[#This Row],[Technology]]=SelectedTechnology)</f>
        <v>1</v>
      </c>
      <c r="K1159" s="14" t="b">
        <f>OR(LCI_Table[[#This Row],[Data Source]]="All",LCI_Table[[#This Row],[Data Source]]=SelectedDataSource)</f>
        <v>0</v>
      </c>
      <c r="L1159" s="14" t="b">
        <f>TRUE</f>
        <v>1</v>
      </c>
      <c r="M1159" s="14" t="b">
        <f>(LCI_Table[[#This Row],[Dev Notes]]="Do not display")</f>
        <v>0</v>
      </c>
      <c r="N1159" s="14" t="b">
        <f>AND(LCI_Table[[#This Row],[Show Feedstock]:[Conditional]],NOT(LCI_Table[[#This Row],[Hide Row]]))</f>
        <v>0</v>
      </c>
      <c r="O1159" s="14" t="b">
        <f>LCI_Table[[#This Row],[GREET1 Name Range]]=""</f>
        <v>0</v>
      </c>
      <c r="P1159" s="14" t="s">
        <v>1448</v>
      </c>
      <c r="Q1159" s="14" t="s">
        <v>1117</v>
      </c>
      <c r="R1159" s="14" t="s">
        <v>1344</v>
      </c>
      <c r="S1159" s="37" cm="1">
        <f t="array" aca="1" ref="S11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99.009879652760063</v>
      </c>
      <c r="T1159" s="346" t="s">
        <v>1345</v>
      </c>
      <c r="U1159" s="347">
        <f ca="1">LCI_Table[[#This Row],[Dashboard Value]]/100</f>
        <v>0.99009879652760058</v>
      </c>
      <c r="V1159" s="351">
        <v>99.009879652760063</v>
      </c>
      <c r="W1159" s="351">
        <v>0.99009879652760058</v>
      </c>
      <c r="X1159" s="14" t="s">
        <v>1345</v>
      </c>
      <c r="Y1159" s="346" t="s">
        <v>416</v>
      </c>
      <c r="Z1159" s="14" t="str">
        <f>IF(ISBLANK(LCI_Table[[#This Row],[Notes for user]])," ",LCI_Table[[#This Row],[Notes for user]])</f>
        <v>Allocation to main distillate fuels (energy allocation)</v>
      </c>
      <c r="AA1159" s="14" t="s">
        <v>1353</v>
      </c>
      <c r="AB1159" s="14"/>
      <c r="AC1159" s="346">
        <f ca="1">LCI_Table[[#This Row],[Default Calculated Value]]-LCI_Table[[#This Row],[Calculated Value]]</f>
        <v>0</v>
      </c>
    </row>
    <row r="1160" spans="1:29" x14ac:dyDescent="0.3">
      <c r="A11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dash_CamelinaHEFAICAOUS (GREET)(blank)_Yield_Farming</v>
      </c>
      <c r="B1160" s="48" t="s">
        <v>127</v>
      </c>
      <c r="C1160" s="48" t="s">
        <v>30</v>
      </c>
      <c r="D1160" s="48" t="s">
        <v>194</v>
      </c>
      <c r="E1160" s="178" t="s">
        <v>1349</v>
      </c>
      <c r="F1160" s="48" t="s">
        <v>31</v>
      </c>
      <c r="G1160" s="14" t="b">
        <f>OR(LCI_Table[[#This Row],[Feedstock]]="All",LCI_Table[[#This Row],[Feedstock]]=SelectedFeedstock)</f>
        <v>0</v>
      </c>
      <c r="H1160" s="14" t="b">
        <f>OR(LCI_Table[[#This Row],[Conversion]]="All",LCI_Table[[#This Row],[Conversion]]=SelectedConversion)</f>
        <v>1</v>
      </c>
      <c r="I1160" s="14" t="b">
        <f>OR(LCI_Table[[#This Row],[Data Set]]="all",LCI_Table[[#This Row],[Data Set]]=SelectedDataSet)</f>
        <v>0</v>
      </c>
      <c r="J1160" s="14" t="b">
        <f>OR(LCI_Table[[#This Row],[Technology]]="All",LCI_Table[[#This Row],[Technology]]=SelectedTechnology)</f>
        <v>1</v>
      </c>
      <c r="K1160" s="14" t="b">
        <f>OR(LCI_Table[[#This Row],[Data Source]]="All",LCI_Table[[#This Row],[Data Source]]=SelectedDataSource)</f>
        <v>0</v>
      </c>
      <c r="L1160" s="14" t="b">
        <f>TRUE</f>
        <v>1</v>
      </c>
      <c r="M1160" s="14" t="b">
        <f>(LCI_Table[[#This Row],[Dev Notes]]="Do not display")</f>
        <v>0</v>
      </c>
      <c r="N1160" s="14" t="b">
        <f>AND(LCI_Table[[#This Row],[Show Feedstock]:[Conditional]],NOT(LCI_Table[[#This Row],[Hide Row]]))</f>
        <v>0</v>
      </c>
      <c r="O1160" s="14" t="b">
        <f>LCI_Table[[#This Row],[GREET1 Name Range]]=""</f>
        <v>1</v>
      </c>
      <c r="P1160" s="48" t="s">
        <v>14</v>
      </c>
      <c r="Q1160" s="14" t="s">
        <v>361</v>
      </c>
      <c r="R1160" s="48" t="s">
        <v>200</v>
      </c>
      <c r="S1160" s="37" cm="1">
        <f t="array" aca="1" ref="S11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0.6289872517364643</v>
      </c>
      <c r="T1160" s="346" t="s">
        <v>2116</v>
      </c>
      <c r="U1160" s="344"/>
      <c r="V1160" s="344">
        <v>0.6289872517364643</v>
      </c>
      <c r="W1160" s="344"/>
      <c r="X1160" s="48" t="s">
        <v>55</v>
      </c>
      <c r="Y1160" s="346" t="s">
        <v>413</v>
      </c>
      <c r="Z1160" s="14" t="str">
        <f>IF(ISBLANK(LCI_Table[[#This Row],[Notes for user]])," ",LCI_Table[[#This Row],[Notes for user]])</f>
        <v>Neupane et al. (2022); Dangol et al. (2015)</v>
      </c>
      <c r="AA1160" s="48" t="s">
        <v>916</v>
      </c>
      <c r="AB1160" s="345"/>
      <c r="AC1160" s="346">
        <f>LCI_Table[[#This Row],[Default Calculated Value]]-LCI_Table[[#This Row],[Calculated Value]]</f>
        <v>0</v>
      </c>
    </row>
    <row r="1161" spans="1:29" x14ac:dyDescent="0.3">
      <c r="A11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(GREET)(blank)_Camelina_Farming_Nitrogen_fertilizerNitrogen fertilizer</v>
      </c>
      <c r="B1161" s="14" t="s">
        <v>127</v>
      </c>
      <c r="C1161" s="14" t="s">
        <v>30</v>
      </c>
      <c r="D1161" s="14" t="s">
        <v>194</v>
      </c>
      <c r="E1161" s="178" t="s">
        <v>1349</v>
      </c>
      <c r="F1161" s="48" t="s">
        <v>31</v>
      </c>
      <c r="G1161" s="14" t="b">
        <f>OR(LCI_Table[[#This Row],[Feedstock]]="All",LCI_Table[[#This Row],[Feedstock]]=SelectedFeedstock)</f>
        <v>0</v>
      </c>
      <c r="H1161" s="14" t="b">
        <f>OR(LCI_Table[[#This Row],[Conversion]]="All",LCI_Table[[#This Row],[Conversion]]=SelectedConversion)</f>
        <v>1</v>
      </c>
      <c r="I1161" s="14" t="b">
        <f>OR(LCI_Table[[#This Row],[Data Set]]="all",LCI_Table[[#This Row],[Data Set]]=SelectedDataSet)</f>
        <v>0</v>
      </c>
      <c r="J1161" s="14" t="b">
        <f>OR(LCI_Table[[#This Row],[Technology]]="All",LCI_Table[[#This Row],[Technology]]=SelectedTechnology)</f>
        <v>1</v>
      </c>
      <c r="K1161" s="14" t="b">
        <f>OR(LCI_Table[[#This Row],[Data Source]]="All",LCI_Table[[#This Row],[Data Source]]=SelectedDataSource)</f>
        <v>0</v>
      </c>
      <c r="L1161" s="14" t="b">
        <f>TRUE</f>
        <v>1</v>
      </c>
      <c r="M1161" s="14" t="b">
        <f>(LCI_Table[[#This Row],[Dev Notes]]="Do not display")</f>
        <v>0</v>
      </c>
      <c r="N1161" s="14" t="b">
        <f>AND(LCI_Table[[#This Row],[Show Feedstock]:[Conditional]],NOT(LCI_Table[[#This Row],[Hide Row]]))</f>
        <v>0</v>
      </c>
      <c r="O1161" s="14" t="b">
        <f>LCI_Table[[#This Row],[GREET1 Name Range]]=""</f>
        <v>0</v>
      </c>
      <c r="P1161" s="14" t="s">
        <v>14</v>
      </c>
      <c r="Q1161" s="14" t="s">
        <v>471</v>
      </c>
      <c r="R1161" s="14" t="s">
        <v>111</v>
      </c>
      <c r="S1161" s="37" cm="1">
        <f t="array" aca="1" ref="S11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54.122158870346929</v>
      </c>
      <c r="T1161" s="346" t="s">
        <v>1485</v>
      </c>
      <c r="U1161" s="347">
        <f ca="1">S1161/g2lb/S1160*kg2ton</f>
        <v>43.02325581395349</v>
      </c>
      <c r="V1161" s="347">
        <v>54.122158870346929</v>
      </c>
      <c r="W1161" s="347">
        <v>43.02325581395349</v>
      </c>
      <c r="X1161" s="14" t="s">
        <v>12</v>
      </c>
      <c r="Y1161" s="346" t="s">
        <v>413</v>
      </c>
      <c r="Z1161" s="14" t="str">
        <f>IF(ISBLANK(LCI_Table[[#This Row],[Notes for user]])," ",LCI_Table[[#This Row],[Notes for user]])</f>
        <v xml:space="preserve"> </v>
      </c>
      <c r="AA1161" s="14"/>
      <c r="AB1161" s="14"/>
      <c r="AC1161" s="346">
        <f ca="1">LCI_Table[[#This Row],[Default Calculated Value]]-LCI_Table[[#This Row],[Calculated Value]]</f>
        <v>0</v>
      </c>
    </row>
    <row r="1162" spans="1:29" x14ac:dyDescent="0.3">
      <c r="A11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(GREET)(blank)_Camelina_Farming_P2O5P2O5</v>
      </c>
      <c r="B1162" s="14" t="s">
        <v>127</v>
      </c>
      <c r="C1162" s="14" t="s">
        <v>30</v>
      </c>
      <c r="D1162" s="14" t="s">
        <v>194</v>
      </c>
      <c r="E1162" s="178" t="s">
        <v>1349</v>
      </c>
      <c r="F1162" s="48" t="s">
        <v>31</v>
      </c>
      <c r="G1162" s="14" t="b">
        <f>OR(LCI_Table[[#This Row],[Feedstock]]="All",LCI_Table[[#This Row],[Feedstock]]=SelectedFeedstock)</f>
        <v>0</v>
      </c>
      <c r="H1162" s="14" t="b">
        <f>OR(LCI_Table[[#This Row],[Conversion]]="All",LCI_Table[[#This Row],[Conversion]]=SelectedConversion)</f>
        <v>1</v>
      </c>
      <c r="I1162" s="14" t="b">
        <f>OR(LCI_Table[[#This Row],[Data Set]]="all",LCI_Table[[#This Row],[Data Set]]=SelectedDataSet)</f>
        <v>0</v>
      </c>
      <c r="J1162" s="14" t="b">
        <f>OR(LCI_Table[[#This Row],[Technology]]="All",LCI_Table[[#This Row],[Technology]]=SelectedTechnology)</f>
        <v>1</v>
      </c>
      <c r="K1162" s="14" t="b">
        <f>OR(LCI_Table[[#This Row],[Data Source]]="All",LCI_Table[[#This Row],[Data Source]]=SelectedDataSource)</f>
        <v>0</v>
      </c>
      <c r="L1162" s="14" t="b">
        <f>TRUE</f>
        <v>1</v>
      </c>
      <c r="M1162" s="14" t="b">
        <f>(LCI_Table[[#This Row],[Dev Notes]]="Do not display")</f>
        <v>0</v>
      </c>
      <c r="N1162" s="14" t="b">
        <f>AND(LCI_Table[[#This Row],[Show Feedstock]:[Conditional]],NOT(LCI_Table[[#This Row],[Hide Row]]))</f>
        <v>0</v>
      </c>
      <c r="O1162" s="14" t="b">
        <f>LCI_Table[[#This Row],[GREET1 Name Range]]=""</f>
        <v>0</v>
      </c>
      <c r="P1162" s="14" t="s">
        <v>14</v>
      </c>
      <c r="Q1162" s="14" t="s">
        <v>472</v>
      </c>
      <c r="R1162" s="14" t="s">
        <v>112</v>
      </c>
      <c r="S1162" s="37" cm="1">
        <f t="array" aca="1" ref="S11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21.941415758248755</v>
      </c>
      <c r="T1162" s="346" t="s">
        <v>1485</v>
      </c>
      <c r="U1162" s="347">
        <f ca="1">S1162/g2lb/S1160*kg2ton</f>
        <v>17.441860465116278</v>
      </c>
      <c r="V1162" s="347">
        <v>21.941415758248755</v>
      </c>
      <c r="W1162" s="347">
        <v>17.441860465116278</v>
      </c>
      <c r="X1162" s="14" t="s">
        <v>12</v>
      </c>
      <c r="Y1162" s="346" t="s">
        <v>413</v>
      </c>
      <c r="Z1162" s="14" t="str">
        <f>IF(ISBLANK(LCI_Table[[#This Row],[Notes for user]])," ",LCI_Table[[#This Row],[Notes for user]])</f>
        <v xml:space="preserve"> </v>
      </c>
      <c r="AA1162" s="14"/>
      <c r="AB1162" s="14"/>
      <c r="AC1162" s="346">
        <f ca="1">LCI_Table[[#This Row],[Default Calculated Value]]-LCI_Table[[#This Row],[Calculated Value]]</f>
        <v>0</v>
      </c>
    </row>
    <row r="1163" spans="1:29" x14ac:dyDescent="0.3">
      <c r="A11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(GREET)(blank)_Camelina_Farming_K2OK2O</v>
      </c>
      <c r="B1163" s="14" t="s">
        <v>127</v>
      </c>
      <c r="C1163" s="14" t="s">
        <v>30</v>
      </c>
      <c r="D1163" s="14" t="s">
        <v>194</v>
      </c>
      <c r="E1163" s="178" t="s">
        <v>1349</v>
      </c>
      <c r="F1163" s="48" t="s">
        <v>31</v>
      </c>
      <c r="G1163" s="14" t="b">
        <f>OR(LCI_Table[[#This Row],[Feedstock]]="All",LCI_Table[[#This Row],[Feedstock]]=SelectedFeedstock)</f>
        <v>0</v>
      </c>
      <c r="H1163" s="14" t="b">
        <f>OR(LCI_Table[[#This Row],[Conversion]]="All",LCI_Table[[#This Row],[Conversion]]=SelectedConversion)</f>
        <v>1</v>
      </c>
      <c r="I1163" s="14" t="b">
        <f>OR(LCI_Table[[#This Row],[Data Set]]="all",LCI_Table[[#This Row],[Data Set]]=SelectedDataSet)</f>
        <v>0</v>
      </c>
      <c r="J1163" s="14" t="b">
        <f>OR(LCI_Table[[#This Row],[Technology]]="All",LCI_Table[[#This Row],[Technology]]=SelectedTechnology)</f>
        <v>1</v>
      </c>
      <c r="K1163" s="14" t="b">
        <f>OR(LCI_Table[[#This Row],[Data Source]]="All",LCI_Table[[#This Row],[Data Source]]=SelectedDataSource)</f>
        <v>0</v>
      </c>
      <c r="L1163" s="14" t="b">
        <f>TRUE</f>
        <v>1</v>
      </c>
      <c r="M1163" s="14" t="b">
        <f>(LCI_Table[[#This Row],[Dev Notes]]="Do not display")</f>
        <v>0</v>
      </c>
      <c r="N1163" s="14" t="b">
        <f>AND(LCI_Table[[#This Row],[Show Feedstock]:[Conditional]],NOT(LCI_Table[[#This Row],[Hide Row]]))</f>
        <v>0</v>
      </c>
      <c r="O1163" s="14" t="b">
        <f>LCI_Table[[#This Row],[GREET1 Name Range]]=""</f>
        <v>0</v>
      </c>
      <c r="P1163" s="14" t="s">
        <v>14</v>
      </c>
      <c r="Q1163" s="14" t="s">
        <v>468</v>
      </c>
      <c r="R1163" s="14" t="s">
        <v>113</v>
      </c>
      <c r="S1163" s="37" cm="1">
        <f t="array" aca="1" ref="S11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14.62761050549917</v>
      </c>
      <c r="T1163" s="346" t="s">
        <v>1485</v>
      </c>
      <c r="U1163" s="347">
        <f ca="1">S1163/g2lb/S1160*kg2ton</f>
        <v>11.627906976744185</v>
      </c>
      <c r="V1163" s="347">
        <v>14.62761050549917</v>
      </c>
      <c r="W1163" s="347">
        <v>11.627906976744185</v>
      </c>
      <c r="X1163" s="14" t="s">
        <v>12</v>
      </c>
      <c r="Y1163" s="346" t="s">
        <v>413</v>
      </c>
      <c r="Z1163" s="14" t="str">
        <f>IF(ISBLANK(LCI_Table[[#This Row],[Notes for user]])," ",LCI_Table[[#This Row],[Notes for user]])</f>
        <v xml:space="preserve"> </v>
      </c>
      <c r="AA1163" s="14"/>
      <c r="AB1163" s="14"/>
      <c r="AC1163" s="346">
        <f ca="1">LCI_Table[[#This Row],[Default Calculated Value]]-LCI_Table[[#This Row],[Calculated Value]]</f>
        <v>0</v>
      </c>
    </row>
    <row r="1164" spans="1:29" x14ac:dyDescent="0.3">
      <c r="A11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(GREET)(blank)_Camelina_Farming_CaCO3CaCO3</v>
      </c>
      <c r="B1164" s="14" t="s">
        <v>127</v>
      </c>
      <c r="C1164" s="14" t="s">
        <v>30</v>
      </c>
      <c r="D1164" s="14" t="s">
        <v>194</v>
      </c>
      <c r="E1164" s="178" t="s">
        <v>1349</v>
      </c>
      <c r="F1164" s="48" t="s">
        <v>31</v>
      </c>
      <c r="G1164" s="14" t="b">
        <f>OR(LCI_Table[[#This Row],[Feedstock]]="All",LCI_Table[[#This Row],[Feedstock]]=SelectedFeedstock)</f>
        <v>0</v>
      </c>
      <c r="H1164" s="14" t="b">
        <f>OR(LCI_Table[[#This Row],[Conversion]]="All",LCI_Table[[#This Row],[Conversion]]=SelectedConversion)</f>
        <v>1</v>
      </c>
      <c r="I1164" s="14" t="b">
        <f>OR(LCI_Table[[#This Row],[Data Set]]="all",LCI_Table[[#This Row],[Data Set]]=SelectedDataSet)</f>
        <v>0</v>
      </c>
      <c r="J1164" s="14" t="b">
        <f>OR(LCI_Table[[#This Row],[Technology]]="All",LCI_Table[[#This Row],[Technology]]=SelectedTechnology)</f>
        <v>1</v>
      </c>
      <c r="K1164" s="14" t="b">
        <f>OR(LCI_Table[[#This Row],[Data Source]]="All",LCI_Table[[#This Row],[Data Source]]=SelectedDataSource)</f>
        <v>0</v>
      </c>
      <c r="L1164" s="14" t="b">
        <f>TRUE</f>
        <v>1</v>
      </c>
      <c r="M1164" s="14" t="b">
        <f>(LCI_Table[[#This Row],[Dev Notes]]="Do not display")</f>
        <v>0</v>
      </c>
      <c r="N1164" s="14" t="b">
        <f>AND(LCI_Table[[#This Row],[Show Feedstock]:[Conditional]],NOT(LCI_Table[[#This Row],[Hide Row]]))</f>
        <v>0</v>
      </c>
      <c r="O1164" s="14" t="b">
        <f>LCI_Table[[#This Row],[GREET1 Name Range]]=""</f>
        <v>0</v>
      </c>
      <c r="P1164" s="14" t="s">
        <v>14</v>
      </c>
      <c r="Q1164" s="14" t="s">
        <v>461</v>
      </c>
      <c r="R1164" s="14" t="s">
        <v>141</v>
      </c>
      <c r="S1164" s="37" cm="1">
        <f t="array" aca="1" ref="S11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64" s="346" t="s">
        <v>1485</v>
      </c>
      <c r="U1164" s="347">
        <f ca="1">S1164/g2lb/S1160*kg2ton</f>
        <v>0</v>
      </c>
      <c r="V1164" s="347">
        <v>0</v>
      </c>
      <c r="W1164" s="347">
        <v>0</v>
      </c>
      <c r="X1164" s="14" t="s">
        <v>12</v>
      </c>
      <c r="Y1164" s="346" t="s">
        <v>413</v>
      </c>
      <c r="Z1164" s="14" t="str">
        <f>IF(ISBLANK(LCI_Table[[#This Row],[Notes for user]])," ",LCI_Table[[#This Row],[Notes for user]])</f>
        <v xml:space="preserve"> </v>
      </c>
      <c r="AA1164" s="14"/>
      <c r="AB1164" s="14"/>
      <c r="AC1164" s="346">
        <f ca="1">LCI_Table[[#This Row],[Default Calculated Value]]-LCI_Table[[#This Row],[Calculated Value]]</f>
        <v>0</v>
      </c>
    </row>
    <row r="1165" spans="1:29" x14ac:dyDescent="0.3">
      <c r="A11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(GREET)(blank)_Camelina_Farming_HerbicidesHerbicides</v>
      </c>
      <c r="B1165" s="14" t="s">
        <v>127</v>
      </c>
      <c r="C1165" s="14" t="s">
        <v>30</v>
      </c>
      <c r="D1165" s="14" t="s">
        <v>194</v>
      </c>
      <c r="E1165" s="178" t="s">
        <v>1349</v>
      </c>
      <c r="F1165" s="48" t="s">
        <v>31</v>
      </c>
      <c r="G1165" s="14" t="b">
        <f>OR(LCI_Table[[#This Row],[Feedstock]]="All",LCI_Table[[#This Row],[Feedstock]]=SelectedFeedstock)</f>
        <v>0</v>
      </c>
      <c r="H1165" s="14" t="b">
        <f>OR(LCI_Table[[#This Row],[Conversion]]="All",LCI_Table[[#This Row],[Conversion]]=SelectedConversion)</f>
        <v>1</v>
      </c>
      <c r="I1165" s="14" t="b">
        <f>OR(LCI_Table[[#This Row],[Data Set]]="all",LCI_Table[[#This Row],[Data Set]]=SelectedDataSet)</f>
        <v>0</v>
      </c>
      <c r="J1165" s="14" t="b">
        <f>OR(LCI_Table[[#This Row],[Technology]]="All",LCI_Table[[#This Row],[Technology]]=SelectedTechnology)</f>
        <v>1</v>
      </c>
      <c r="K1165" s="14" t="b">
        <f>OR(LCI_Table[[#This Row],[Data Source]]="All",LCI_Table[[#This Row],[Data Source]]=SelectedDataSource)</f>
        <v>0</v>
      </c>
      <c r="L1165" s="14" t="b">
        <f>TRUE</f>
        <v>1</v>
      </c>
      <c r="M1165" s="14" t="b">
        <f>(LCI_Table[[#This Row],[Dev Notes]]="Do not display")</f>
        <v>0</v>
      </c>
      <c r="N1165" s="14" t="b">
        <f>AND(LCI_Table[[#This Row],[Show Feedstock]:[Conditional]],NOT(LCI_Table[[#This Row],[Hide Row]]))</f>
        <v>0</v>
      </c>
      <c r="O1165" s="14" t="b">
        <f>LCI_Table[[#This Row],[GREET1 Name Range]]=""</f>
        <v>0</v>
      </c>
      <c r="P1165" s="14" t="s">
        <v>14</v>
      </c>
      <c r="Q1165" s="14" t="s">
        <v>466</v>
      </c>
      <c r="R1165" s="14" t="s">
        <v>356</v>
      </c>
      <c r="S1165" s="37" cm="1">
        <f t="array" aca="1" ref="S11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65" s="346" t="s">
        <v>1485</v>
      </c>
      <c r="U1165" s="347">
        <f ca="1">S1165/g2lb/S1160*kg2ton</f>
        <v>0</v>
      </c>
      <c r="V1165" s="347">
        <v>0</v>
      </c>
      <c r="W1165" s="347">
        <v>0</v>
      </c>
      <c r="X1165" s="14" t="s">
        <v>12</v>
      </c>
      <c r="Y1165" s="346" t="s">
        <v>413</v>
      </c>
      <c r="Z1165" s="14" t="str">
        <f>IF(ISBLANK(LCI_Table[[#This Row],[Notes for user]])," ",LCI_Table[[#This Row],[Notes for user]])</f>
        <v xml:space="preserve"> </v>
      </c>
      <c r="AA1165" s="14"/>
      <c r="AB1165" s="14"/>
      <c r="AC1165" s="346">
        <f ca="1">LCI_Table[[#This Row],[Default Calculated Value]]-LCI_Table[[#This Row],[Calculated Value]]</f>
        <v>0</v>
      </c>
    </row>
    <row r="1166" spans="1:29" x14ac:dyDescent="0.3">
      <c r="A11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(GREET)(blank)_Camelina_Farming_InsecticideInsecticide</v>
      </c>
      <c r="B1166" s="14" t="s">
        <v>127</v>
      </c>
      <c r="C1166" s="14" t="s">
        <v>30</v>
      </c>
      <c r="D1166" s="14" t="s">
        <v>194</v>
      </c>
      <c r="E1166" s="178" t="s">
        <v>1349</v>
      </c>
      <c r="F1166" s="48" t="s">
        <v>31</v>
      </c>
      <c r="G1166" s="14" t="b">
        <f>OR(LCI_Table[[#This Row],[Feedstock]]="All",LCI_Table[[#This Row],[Feedstock]]=SelectedFeedstock)</f>
        <v>0</v>
      </c>
      <c r="H1166" s="14" t="b">
        <f>OR(LCI_Table[[#This Row],[Conversion]]="All",LCI_Table[[#This Row],[Conversion]]=SelectedConversion)</f>
        <v>1</v>
      </c>
      <c r="I1166" s="14" t="b">
        <f>OR(LCI_Table[[#This Row],[Data Set]]="all",LCI_Table[[#This Row],[Data Set]]=SelectedDataSet)</f>
        <v>0</v>
      </c>
      <c r="J1166" s="14" t="b">
        <f>OR(LCI_Table[[#This Row],[Technology]]="All",LCI_Table[[#This Row],[Technology]]=SelectedTechnology)</f>
        <v>1</v>
      </c>
      <c r="K1166" s="14" t="b">
        <f>OR(LCI_Table[[#This Row],[Data Source]]="All",LCI_Table[[#This Row],[Data Source]]=SelectedDataSource)</f>
        <v>0</v>
      </c>
      <c r="L1166" s="14" t="b">
        <f>TRUE</f>
        <v>1</v>
      </c>
      <c r="M1166" s="14" t="b">
        <f>(LCI_Table[[#This Row],[Dev Notes]]="Do not display")</f>
        <v>0</v>
      </c>
      <c r="N1166" s="14" t="b">
        <f>AND(LCI_Table[[#This Row],[Show Feedstock]:[Conditional]],NOT(LCI_Table[[#This Row],[Hide Row]]))</f>
        <v>0</v>
      </c>
      <c r="O1166" s="14" t="b">
        <f>LCI_Table[[#This Row],[GREET1 Name Range]]=""</f>
        <v>0</v>
      </c>
      <c r="P1166" s="14" t="s">
        <v>14</v>
      </c>
      <c r="Q1166" s="14" t="s">
        <v>467</v>
      </c>
      <c r="R1166" s="14" t="s">
        <v>114</v>
      </c>
      <c r="S1166" s="37" cm="1">
        <f t="array" aca="1" ref="S11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66" s="346" t="s">
        <v>1485</v>
      </c>
      <c r="U1166" s="347">
        <f ca="1">S1166/g2lb/S1160*kg2ton</f>
        <v>0</v>
      </c>
      <c r="V1166" s="347">
        <v>0</v>
      </c>
      <c r="W1166" s="347">
        <v>0</v>
      </c>
      <c r="X1166" s="14" t="s">
        <v>12</v>
      </c>
      <c r="Y1166" s="346" t="s">
        <v>413</v>
      </c>
      <c r="Z1166" s="14" t="str">
        <f>IF(ISBLANK(LCI_Table[[#This Row],[Notes for user]])," ",LCI_Table[[#This Row],[Notes for user]])</f>
        <v xml:space="preserve"> </v>
      </c>
      <c r="AA1166" s="14"/>
      <c r="AB1166" s="14"/>
      <c r="AC1166" s="346">
        <f ca="1">LCI_Table[[#This Row],[Default Calculated Value]]-LCI_Table[[#This Row],[Calculated Value]]</f>
        <v>0</v>
      </c>
    </row>
    <row r="1167" spans="1:29" x14ac:dyDescent="0.3">
      <c r="A11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(GREET)(blank)_Camelina_Farming_Residual_oilResidual oil</v>
      </c>
      <c r="B1167" s="14" t="s">
        <v>127</v>
      </c>
      <c r="C1167" s="14" t="s">
        <v>30</v>
      </c>
      <c r="D1167" s="14" t="s">
        <v>194</v>
      </c>
      <c r="E1167" s="178" t="s">
        <v>1349</v>
      </c>
      <c r="F1167" s="48" t="s">
        <v>31</v>
      </c>
      <c r="G1167" s="14" t="b">
        <f>OR(LCI_Table[[#This Row],[Feedstock]]="All",LCI_Table[[#This Row],[Feedstock]]=SelectedFeedstock)</f>
        <v>0</v>
      </c>
      <c r="H1167" s="14" t="b">
        <f>OR(LCI_Table[[#This Row],[Conversion]]="All",LCI_Table[[#This Row],[Conversion]]=SelectedConversion)</f>
        <v>1</v>
      </c>
      <c r="I1167" s="14" t="b">
        <f>OR(LCI_Table[[#This Row],[Data Set]]="all",LCI_Table[[#This Row],[Data Set]]=SelectedDataSet)</f>
        <v>0</v>
      </c>
      <c r="J1167" s="14" t="b">
        <f>OR(LCI_Table[[#This Row],[Technology]]="All",LCI_Table[[#This Row],[Technology]]=SelectedTechnology)</f>
        <v>1</v>
      </c>
      <c r="K1167" s="14" t="b">
        <f>OR(LCI_Table[[#This Row],[Data Source]]="All",LCI_Table[[#This Row],[Data Source]]=SelectedDataSource)</f>
        <v>0</v>
      </c>
      <c r="L1167" s="14" t="b">
        <f>TRUE</f>
        <v>1</v>
      </c>
      <c r="M1167" s="14" t="b">
        <f>(LCI_Table[[#This Row],[Dev Notes]]="Do not display")</f>
        <v>0</v>
      </c>
      <c r="N1167" s="14" t="b">
        <f>AND(LCI_Table[[#This Row],[Show Feedstock]:[Conditional]],NOT(LCI_Table[[#This Row],[Hide Row]]))</f>
        <v>0</v>
      </c>
      <c r="O1167" s="14" t="b">
        <f>LCI_Table[[#This Row],[GREET1 Name Range]]=""</f>
        <v>0</v>
      </c>
      <c r="P1167" s="14" t="s">
        <v>14</v>
      </c>
      <c r="Q1167" s="14" t="s">
        <v>473</v>
      </c>
      <c r="R1167" s="14" t="s">
        <v>115</v>
      </c>
      <c r="S1167" s="37" cm="1">
        <f t="array" aca="1" ref="S11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67" s="346" t="s">
        <v>1484</v>
      </c>
      <c r="U1167" s="347">
        <f ca="1">S1167*Fuel_Specs!$B$28/S1160*kg2ton</f>
        <v>0</v>
      </c>
      <c r="V1167" s="347">
        <v>0</v>
      </c>
      <c r="W1167" s="347">
        <v>0</v>
      </c>
      <c r="X1167" s="14" t="s">
        <v>5</v>
      </c>
      <c r="Y1167" s="346" t="s">
        <v>413</v>
      </c>
      <c r="Z1167" s="14" t="str">
        <f>IF(ISBLANK(LCI_Table[[#This Row],[Notes for user]])," ",LCI_Table[[#This Row],[Notes for user]])</f>
        <v xml:space="preserve"> </v>
      </c>
      <c r="AA1167" s="14"/>
      <c r="AB1167" s="14"/>
      <c r="AC1167" s="346">
        <f ca="1">LCI_Table[[#This Row],[Default Calculated Value]]-LCI_Table[[#This Row],[Calculated Value]]</f>
        <v>0</v>
      </c>
    </row>
    <row r="1168" spans="1:29" x14ac:dyDescent="0.3">
      <c r="A11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(GREET)(blank)_Camelina_Farming_DieselDiesel</v>
      </c>
      <c r="B1168" s="14" t="s">
        <v>127</v>
      </c>
      <c r="C1168" s="14" t="s">
        <v>30</v>
      </c>
      <c r="D1168" s="14" t="s">
        <v>194</v>
      </c>
      <c r="E1168" s="178" t="s">
        <v>1349</v>
      </c>
      <c r="F1168" s="48" t="s">
        <v>31</v>
      </c>
      <c r="G1168" s="14" t="b">
        <f>OR(LCI_Table[[#This Row],[Feedstock]]="All",LCI_Table[[#This Row],[Feedstock]]=SelectedFeedstock)</f>
        <v>0</v>
      </c>
      <c r="H1168" s="14" t="b">
        <f>OR(LCI_Table[[#This Row],[Conversion]]="All",LCI_Table[[#This Row],[Conversion]]=SelectedConversion)</f>
        <v>1</v>
      </c>
      <c r="I1168" s="14" t="b">
        <f>OR(LCI_Table[[#This Row],[Data Set]]="all",LCI_Table[[#This Row],[Data Set]]=SelectedDataSet)</f>
        <v>0</v>
      </c>
      <c r="J1168" s="14" t="b">
        <f>OR(LCI_Table[[#This Row],[Technology]]="All",LCI_Table[[#This Row],[Technology]]=SelectedTechnology)</f>
        <v>1</v>
      </c>
      <c r="K1168" s="14" t="b">
        <f>OR(LCI_Table[[#This Row],[Data Source]]="All",LCI_Table[[#This Row],[Data Source]]=SelectedDataSource)</f>
        <v>0</v>
      </c>
      <c r="L1168" s="14" t="b">
        <f>TRUE</f>
        <v>1</v>
      </c>
      <c r="M1168" s="14" t="b">
        <f>(LCI_Table[[#This Row],[Dev Notes]]="Do not display")</f>
        <v>0</v>
      </c>
      <c r="N1168" s="14" t="b">
        <f>AND(LCI_Table[[#This Row],[Show Feedstock]:[Conditional]],NOT(LCI_Table[[#This Row],[Hide Row]]))</f>
        <v>0</v>
      </c>
      <c r="O1168" s="14" t="b">
        <f>LCI_Table[[#This Row],[GREET1 Name Range]]=""</f>
        <v>0</v>
      </c>
      <c r="P1168" s="14" t="s">
        <v>14</v>
      </c>
      <c r="Q1168" s="14" t="s">
        <v>463</v>
      </c>
      <c r="R1168" s="14" t="s">
        <v>106</v>
      </c>
      <c r="S1168" s="37" cm="1">
        <f t="array" aca="1" ref="S11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4.9653226047118499</v>
      </c>
      <c r="T1168" s="346" t="s">
        <v>1484</v>
      </c>
      <c r="U1168" s="347">
        <f ca="1">S1168*Fuel_Specs!$B$19/S1160*kg2ton</f>
        <v>1117.7482526622978</v>
      </c>
      <c r="V1168" s="347">
        <v>4.9653226047118499</v>
      </c>
      <c r="W1168" s="347">
        <v>1117.7482526622978</v>
      </c>
      <c r="X1168" s="14" t="s">
        <v>5</v>
      </c>
      <c r="Y1168" s="346" t="s">
        <v>413</v>
      </c>
      <c r="Z1168" s="14" t="str">
        <f>IF(ISBLANK(LCI_Table[[#This Row],[Notes for user]])," ",LCI_Table[[#This Row],[Notes for user]])</f>
        <v xml:space="preserve"> </v>
      </c>
      <c r="AA1168" s="14"/>
      <c r="AB1168" s="14"/>
      <c r="AC1168" s="346">
        <f ca="1">LCI_Table[[#This Row],[Default Calculated Value]]-LCI_Table[[#This Row],[Calculated Value]]</f>
        <v>0</v>
      </c>
    </row>
    <row r="1169" spans="1:29" x14ac:dyDescent="0.3">
      <c r="A11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(GREET)(blank)_Camelina_Farming_GasolineGasoline</v>
      </c>
      <c r="B1169" s="14" t="s">
        <v>127</v>
      </c>
      <c r="C1169" s="14" t="s">
        <v>30</v>
      </c>
      <c r="D1169" s="14" t="s">
        <v>194</v>
      </c>
      <c r="E1169" s="178" t="s">
        <v>1349</v>
      </c>
      <c r="F1169" s="48" t="s">
        <v>31</v>
      </c>
      <c r="G1169" s="14" t="b">
        <f>OR(LCI_Table[[#This Row],[Feedstock]]="All",LCI_Table[[#This Row],[Feedstock]]=SelectedFeedstock)</f>
        <v>0</v>
      </c>
      <c r="H1169" s="14" t="b">
        <f>OR(LCI_Table[[#This Row],[Conversion]]="All",LCI_Table[[#This Row],[Conversion]]=SelectedConversion)</f>
        <v>1</v>
      </c>
      <c r="I1169" s="14" t="b">
        <f>OR(LCI_Table[[#This Row],[Data Set]]="all",LCI_Table[[#This Row],[Data Set]]=SelectedDataSet)</f>
        <v>0</v>
      </c>
      <c r="J1169" s="14" t="b">
        <f>OR(LCI_Table[[#This Row],[Technology]]="All",LCI_Table[[#This Row],[Technology]]=SelectedTechnology)</f>
        <v>1</v>
      </c>
      <c r="K1169" s="14" t="b">
        <f>OR(LCI_Table[[#This Row],[Data Source]]="All",LCI_Table[[#This Row],[Data Source]]=SelectedDataSource)</f>
        <v>0</v>
      </c>
      <c r="L1169" s="14" t="b">
        <f>TRUE</f>
        <v>1</v>
      </c>
      <c r="M1169" s="14" t="b">
        <f>(LCI_Table[[#This Row],[Dev Notes]]="Do not display")</f>
        <v>0</v>
      </c>
      <c r="N1169" s="14" t="b">
        <f>AND(LCI_Table[[#This Row],[Show Feedstock]:[Conditional]],NOT(LCI_Table[[#This Row],[Hide Row]]))</f>
        <v>0</v>
      </c>
      <c r="O1169" s="14" t="b">
        <f>LCI_Table[[#This Row],[GREET1 Name Range]]=""</f>
        <v>0</v>
      </c>
      <c r="P1169" s="14" t="s">
        <v>14</v>
      </c>
      <c r="Q1169" s="14" t="s">
        <v>465</v>
      </c>
      <c r="R1169" s="14" t="s">
        <v>107</v>
      </c>
      <c r="S1169" s="37" cm="1">
        <f t="array" aca="1" ref="S11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69" s="346" t="s">
        <v>1484</v>
      </c>
      <c r="U1169" s="347">
        <f ca="1">S1169*Fuel_Specs!$B$15/S1160*kg2ton</f>
        <v>0</v>
      </c>
      <c r="V1169" s="347">
        <v>0</v>
      </c>
      <c r="W1169" s="347">
        <v>0</v>
      </c>
      <c r="X1169" s="14" t="s">
        <v>5</v>
      </c>
      <c r="Y1169" s="346" t="s">
        <v>413</v>
      </c>
      <c r="Z1169" s="14" t="str">
        <f>IF(ISBLANK(LCI_Table[[#This Row],[Notes for user]])," ",LCI_Table[[#This Row],[Notes for user]])</f>
        <v xml:space="preserve"> </v>
      </c>
      <c r="AA1169" s="14"/>
      <c r="AB1169" s="14"/>
      <c r="AC1169" s="346">
        <f ca="1">LCI_Table[[#This Row],[Default Calculated Value]]-LCI_Table[[#This Row],[Calculated Value]]</f>
        <v>0</v>
      </c>
    </row>
    <row r="1170" spans="1:29" x14ac:dyDescent="0.3">
      <c r="A11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(GREET)(blank)_Camelina_Farming_Natural_gasNatural gas</v>
      </c>
      <c r="B1170" s="14" t="s">
        <v>127</v>
      </c>
      <c r="C1170" s="14" t="s">
        <v>30</v>
      </c>
      <c r="D1170" s="14" t="s">
        <v>194</v>
      </c>
      <c r="E1170" s="178" t="s">
        <v>1349</v>
      </c>
      <c r="F1170" s="48" t="s">
        <v>31</v>
      </c>
      <c r="G1170" s="14" t="b">
        <f>OR(LCI_Table[[#This Row],[Feedstock]]="All",LCI_Table[[#This Row],[Feedstock]]=SelectedFeedstock)</f>
        <v>0</v>
      </c>
      <c r="H1170" s="14" t="b">
        <f>OR(LCI_Table[[#This Row],[Conversion]]="All",LCI_Table[[#This Row],[Conversion]]=SelectedConversion)</f>
        <v>1</v>
      </c>
      <c r="I1170" s="14" t="b">
        <f>OR(LCI_Table[[#This Row],[Data Set]]="all",LCI_Table[[#This Row],[Data Set]]=SelectedDataSet)</f>
        <v>0</v>
      </c>
      <c r="J1170" s="14" t="b">
        <f>OR(LCI_Table[[#This Row],[Technology]]="All",LCI_Table[[#This Row],[Technology]]=SelectedTechnology)</f>
        <v>1</v>
      </c>
      <c r="K1170" s="14" t="b">
        <f>OR(LCI_Table[[#This Row],[Data Source]]="All",LCI_Table[[#This Row],[Data Source]]=SelectedDataSource)</f>
        <v>0</v>
      </c>
      <c r="L1170" s="14" t="b">
        <f>TRUE</f>
        <v>1</v>
      </c>
      <c r="M1170" s="14" t="b">
        <f>(LCI_Table[[#This Row],[Dev Notes]]="Do not display")</f>
        <v>0</v>
      </c>
      <c r="N1170" s="14" t="b">
        <f>AND(LCI_Table[[#This Row],[Show Feedstock]:[Conditional]],NOT(LCI_Table[[#This Row],[Hide Row]]))</f>
        <v>0</v>
      </c>
      <c r="O1170" s="14" t="b">
        <f>LCI_Table[[#This Row],[GREET1 Name Range]]=""</f>
        <v>0</v>
      </c>
      <c r="P1170" s="14" t="s">
        <v>14</v>
      </c>
      <c r="Q1170" s="14" t="s">
        <v>470</v>
      </c>
      <c r="R1170" s="14" t="s">
        <v>108</v>
      </c>
      <c r="S1170" s="37" cm="1">
        <f t="array" aca="1" ref="S11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70" s="346" t="s">
        <v>2109</v>
      </c>
      <c r="U1170" s="347">
        <f ca="1">S1170*Fuel_Specs!$B$79/S1160*kg2ton</f>
        <v>0</v>
      </c>
      <c r="V1170" s="347">
        <v>0</v>
      </c>
      <c r="W1170" s="347">
        <v>0</v>
      </c>
      <c r="X1170" s="14" t="s">
        <v>351</v>
      </c>
      <c r="Y1170" s="346" t="s">
        <v>413</v>
      </c>
      <c r="Z1170" s="14" t="str">
        <f>IF(ISBLANK(LCI_Table[[#This Row],[Notes for user]])," ",LCI_Table[[#This Row],[Notes for user]])</f>
        <v xml:space="preserve"> </v>
      </c>
      <c r="AA1170" s="14"/>
      <c r="AB1170" s="14"/>
      <c r="AC1170" s="346">
        <f ca="1">LCI_Table[[#This Row],[Default Calculated Value]]-LCI_Table[[#This Row],[Calculated Value]]</f>
        <v>0</v>
      </c>
    </row>
    <row r="1171" spans="1:29" x14ac:dyDescent="0.3">
      <c r="A11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(GREET)(blank)_Camelina_Farming_CoalCoal</v>
      </c>
      <c r="B1171" s="14" t="s">
        <v>127</v>
      </c>
      <c r="C1171" s="14" t="s">
        <v>30</v>
      </c>
      <c r="D1171" s="14" t="s">
        <v>194</v>
      </c>
      <c r="E1171" s="178" t="s">
        <v>1349</v>
      </c>
      <c r="F1171" s="48" t="s">
        <v>31</v>
      </c>
      <c r="G1171" s="14" t="b">
        <f>OR(LCI_Table[[#This Row],[Feedstock]]="All",LCI_Table[[#This Row],[Feedstock]]=SelectedFeedstock)</f>
        <v>0</v>
      </c>
      <c r="H1171" s="14" t="b">
        <f>OR(LCI_Table[[#This Row],[Conversion]]="All",LCI_Table[[#This Row],[Conversion]]=SelectedConversion)</f>
        <v>1</v>
      </c>
      <c r="I1171" s="14" t="b">
        <f>OR(LCI_Table[[#This Row],[Data Set]]="all",LCI_Table[[#This Row],[Data Set]]=SelectedDataSet)</f>
        <v>0</v>
      </c>
      <c r="J1171" s="14" t="b">
        <f>OR(LCI_Table[[#This Row],[Technology]]="All",LCI_Table[[#This Row],[Technology]]=SelectedTechnology)</f>
        <v>1</v>
      </c>
      <c r="K1171" s="14" t="b">
        <f>OR(LCI_Table[[#This Row],[Data Source]]="All",LCI_Table[[#This Row],[Data Source]]=SelectedDataSource)</f>
        <v>0</v>
      </c>
      <c r="L1171" s="14" t="b">
        <f>TRUE</f>
        <v>1</v>
      </c>
      <c r="M1171" s="14" t="b">
        <f>(LCI_Table[[#This Row],[Dev Notes]]="Do not display")</f>
        <v>0</v>
      </c>
      <c r="N1171" s="14" t="b">
        <f>AND(LCI_Table[[#This Row],[Show Feedstock]:[Conditional]],NOT(LCI_Table[[#This Row],[Hide Row]]))</f>
        <v>0</v>
      </c>
      <c r="O1171" s="14" t="b">
        <f>LCI_Table[[#This Row],[GREET1 Name Range]]=""</f>
        <v>0</v>
      </c>
      <c r="P1171" s="14" t="s">
        <v>14</v>
      </c>
      <c r="Q1171" s="14" t="s">
        <v>462</v>
      </c>
      <c r="R1171" s="14" t="s">
        <v>9</v>
      </c>
      <c r="S1171" s="37" cm="1">
        <f t="array" aca="1" ref="S11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71" s="346" t="s">
        <v>2110</v>
      </c>
      <c r="U1171" s="347">
        <f ca="1">S1171/S1160*kg2ton</f>
        <v>0</v>
      </c>
      <c r="V1171" s="347">
        <v>0</v>
      </c>
      <c r="W1171" s="347">
        <v>0</v>
      </c>
      <c r="X1171" s="14" t="s">
        <v>117</v>
      </c>
      <c r="Y1171" s="346" t="s">
        <v>413</v>
      </c>
      <c r="Z1171" s="14" t="str">
        <f>IF(ISBLANK(LCI_Table[[#This Row],[Notes for user]])," ",LCI_Table[[#This Row],[Notes for user]])</f>
        <v xml:space="preserve"> </v>
      </c>
      <c r="AA1171" s="14"/>
      <c r="AB1171" s="14"/>
      <c r="AC1171" s="346">
        <f ca="1">LCI_Table[[#This Row],[Default Calculated Value]]-LCI_Table[[#This Row],[Calculated Value]]</f>
        <v>0</v>
      </c>
    </row>
    <row r="1172" spans="1:29" x14ac:dyDescent="0.3">
      <c r="A11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(GREET)(blank)_Camelina_Farming_LPGLPG</v>
      </c>
      <c r="B1172" s="14" t="s">
        <v>127</v>
      </c>
      <c r="C1172" s="14" t="s">
        <v>30</v>
      </c>
      <c r="D1172" s="14" t="s">
        <v>194</v>
      </c>
      <c r="E1172" s="178" t="s">
        <v>1349</v>
      </c>
      <c r="F1172" s="48" t="s">
        <v>31</v>
      </c>
      <c r="G1172" s="14" t="b">
        <f>OR(LCI_Table[[#This Row],[Feedstock]]="All",LCI_Table[[#This Row],[Feedstock]]=SelectedFeedstock)</f>
        <v>0</v>
      </c>
      <c r="H1172" s="14" t="b">
        <f>OR(LCI_Table[[#This Row],[Conversion]]="All",LCI_Table[[#This Row],[Conversion]]=SelectedConversion)</f>
        <v>1</v>
      </c>
      <c r="I1172" s="14" t="b">
        <f>OR(LCI_Table[[#This Row],[Data Set]]="all",LCI_Table[[#This Row],[Data Set]]=SelectedDataSet)</f>
        <v>0</v>
      </c>
      <c r="J1172" s="14" t="b">
        <f>OR(LCI_Table[[#This Row],[Technology]]="All",LCI_Table[[#This Row],[Technology]]=SelectedTechnology)</f>
        <v>1</v>
      </c>
      <c r="K1172" s="14" t="b">
        <f>OR(LCI_Table[[#This Row],[Data Source]]="All",LCI_Table[[#This Row],[Data Source]]=SelectedDataSource)</f>
        <v>0</v>
      </c>
      <c r="L1172" s="14" t="b">
        <f>TRUE</f>
        <v>1</v>
      </c>
      <c r="M1172" s="14" t="b">
        <f>(LCI_Table[[#This Row],[Dev Notes]]="Do not display")</f>
        <v>0</v>
      </c>
      <c r="N1172" s="14" t="b">
        <f>AND(LCI_Table[[#This Row],[Show Feedstock]:[Conditional]],NOT(LCI_Table[[#This Row],[Hide Row]]))</f>
        <v>0</v>
      </c>
      <c r="O1172" s="14" t="b">
        <f>LCI_Table[[#This Row],[GREET1 Name Range]]=""</f>
        <v>0</v>
      </c>
      <c r="P1172" s="14" t="s">
        <v>14</v>
      </c>
      <c r="Q1172" s="14" t="s">
        <v>469</v>
      </c>
      <c r="R1172" s="14" t="s">
        <v>109</v>
      </c>
      <c r="S1172" s="37" cm="1">
        <f t="array" aca="1" ref="S11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72" s="346" t="s">
        <v>1484</v>
      </c>
      <c r="U1172" s="347">
        <f ca="1">S1172*Fuel_Specs!$B$35/S1160*kg2ton</f>
        <v>0</v>
      </c>
      <c r="V1172" s="347">
        <v>0</v>
      </c>
      <c r="W1172" s="347">
        <v>0</v>
      </c>
      <c r="X1172" s="14" t="s">
        <v>5</v>
      </c>
      <c r="Y1172" s="346" t="s">
        <v>413</v>
      </c>
      <c r="Z1172" s="14" t="str">
        <f>IF(ISBLANK(LCI_Table[[#This Row],[Notes for user]])," ",LCI_Table[[#This Row],[Notes for user]])</f>
        <v xml:space="preserve"> </v>
      </c>
      <c r="AA1172" s="14"/>
      <c r="AB1172" s="14"/>
      <c r="AC1172" s="346">
        <f ca="1">LCI_Table[[#This Row],[Default Calculated Value]]-LCI_Table[[#This Row],[Calculated Value]]</f>
        <v>0</v>
      </c>
    </row>
    <row r="1173" spans="1:29" x14ac:dyDescent="0.3">
      <c r="A11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(GREET)(blank)_Camelina_Farming_ElectricityElectricity</v>
      </c>
      <c r="B1173" s="14" t="s">
        <v>127</v>
      </c>
      <c r="C1173" s="14" t="s">
        <v>30</v>
      </c>
      <c r="D1173" s="14" t="s">
        <v>194</v>
      </c>
      <c r="E1173" s="178" t="s">
        <v>1349</v>
      </c>
      <c r="F1173" s="48" t="s">
        <v>31</v>
      </c>
      <c r="G1173" s="14" t="b">
        <f>OR(LCI_Table[[#This Row],[Feedstock]]="All",LCI_Table[[#This Row],[Feedstock]]=SelectedFeedstock)</f>
        <v>0</v>
      </c>
      <c r="H1173" s="14" t="b">
        <f>OR(LCI_Table[[#This Row],[Conversion]]="All",LCI_Table[[#This Row],[Conversion]]=SelectedConversion)</f>
        <v>1</v>
      </c>
      <c r="I1173" s="14" t="b">
        <f>OR(LCI_Table[[#This Row],[Data Set]]="all",LCI_Table[[#This Row],[Data Set]]=SelectedDataSet)</f>
        <v>0</v>
      </c>
      <c r="J1173" s="14" t="b">
        <f>OR(LCI_Table[[#This Row],[Technology]]="All",LCI_Table[[#This Row],[Technology]]=SelectedTechnology)</f>
        <v>1</v>
      </c>
      <c r="K1173" s="14" t="b">
        <f>OR(LCI_Table[[#This Row],[Data Source]]="All",LCI_Table[[#This Row],[Data Source]]=SelectedDataSource)</f>
        <v>0</v>
      </c>
      <c r="L1173" s="14" t="b">
        <f>TRUE</f>
        <v>1</v>
      </c>
      <c r="M1173" s="14" t="b">
        <f>(LCI_Table[[#This Row],[Dev Notes]]="Do not display")</f>
        <v>0</v>
      </c>
      <c r="N1173" s="14" t="b">
        <f>AND(LCI_Table[[#This Row],[Show Feedstock]:[Conditional]],NOT(LCI_Table[[#This Row],[Hide Row]]))</f>
        <v>0</v>
      </c>
      <c r="O1173" s="14" t="b">
        <f>LCI_Table[[#This Row],[GREET1 Name Range]]=""</f>
        <v>0</v>
      </c>
      <c r="P1173" s="14" t="s">
        <v>14</v>
      </c>
      <c r="Q1173" s="14" t="s">
        <v>464</v>
      </c>
      <c r="R1173" s="14" t="s">
        <v>110</v>
      </c>
      <c r="S1173" s="37" cm="1">
        <f t="array" aca="1" ref="S11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73" s="346" t="s">
        <v>1561</v>
      </c>
      <c r="U1173" s="347">
        <f ca="1">S1173/BTU2kWh/S1160*kg2ton</f>
        <v>0</v>
      </c>
      <c r="V1173" s="347">
        <v>0</v>
      </c>
      <c r="W1173" s="347">
        <v>0</v>
      </c>
      <c r="X1173" s="14" t="s">
        <v>51</v>
      </c>
      <c r="Y1173" s="346" t="s">
        <v>413</v>
      </c>
      <c r="Z1173" s="14" t="str">
        <f>IF(ISBLANK(LCI_Table[[#This Row],[Notes for user]])," ",LCI_Table[[#This Row],[Notes for user]])</f>
        <v xml:space="preserve"> </v>
      </c>
      <c r="AA1173" s="14"/>
      <c r="AB1173" s="14"/>
      <c r="AC1173" s="346">
        <f ca="1">LCI_Table[[#This Row],[Default Calculated Value]]-LCI_Table[[#This Row],[Calculated Value]]</f>
        <v>0</v>
      </c>
    </row>
    <row r="1174" spans="1:29" x14ac:dyDescent="0.3">
      <c r="A11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dash_CamelinaHEFAICAOUS (GREET)(blank)_Camelina_Extraction</v>
      </c>
      <c r="B1174" s="14" t="s">
        <v>127</v>
      </c>
      <c r="C1174" s="14" t="s">
        <v>30</v>
      </c>
      <c r="D1174" s="14" t="s">
        <v>194</v>
      </c>
      <c r="E1174" s="178" t="s">
        <v>1349</v>
      </c>
      <c r="F1174" s="48" t="s">
        <v>31</v>
      </c>
      <c r="G1174" s="14" t="b">
        <f>OR(LCI_Table[[#This Row],[Feedstock]]="All",LCI_Table[[#This Row],[Feedstock]]=SelectedFeedstock)</f>
        <v>0</v>
      </c>
      <c r="H1174" s="14" t="b">
        <f>OR(LCI_Table[[#This Row],[Conversion]]="All",LCI_Table[[#This Row],[Conversion]]=SelectedConversion)</f>
        <v>1</v>
      </c>
      <c r="I1174" s="14" t="b">
        <f>OR(LCI_Table[[#This Row],[Data Set]]="all",LCI_Table[[#This Row],[Data Set]]=SelectedDataSet)</f>
        <v>0</v>
      </c>
      <c r="J1174" s="14" t="b">
        <f>OR(LCI_Table[[#This Row],[Technology]]="All",LCI_Table[[#This Row],[Technology]]=SelectedTechnology)</f>
        <v>1</v>
      </c>
      <c r="K1174" s="14" t="b">
        <f>OR(LCI_Table[[#This Row],[Data Source]]="All",LCI_Table[[#This Row],[Data Source]]=SelectedDataSource)</f>
        <v>0</v>
      </c>
      <c r="L1174" s="14" t="b">
        <f>TRUE</f>
        <v>1</v>
      </c>
      <c r="M1174" s="14" t="b">
        <f>(LCI_Table[[#This Row],[Dev Notes]]="Do not display")</f>
        <v>1</v>
      </c>
      <c r="N1174" s="14" t="b">
        <f>AND(LCI_Table[[#This Row],[Show Feedstock]:[Conditional]],NOT(LCI_Table[[#This Row],[Hide Row]]))</f>
        <v>0</v>
      </c>
      <c r="O1174" s="14" t="b">
        <f>LCI_Table[[#This Row],[GREET1 Name Range]]=""</f>
        <v>1</v>
      </c>
      <c r="P1174" s="14" t="s">
        <v>15</v>
      </c>
      <c r="Q1174" s="14" t="s">
        <v>361</v>
      </c>
      <c r="R1174" s="14" t="s">
        <v>127</v>
      </c>
      <c r="S1174" s="37" cm="1">
        <f t="array" aca="1" ref="S11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2.4884259259259309</v>
      </c>
      <c r="T1174" s="346" t="s">
        <v>2111</v>
      </c>
      <c r="U1174" s="347">
        <f ca="1">S1174/MT2lb</f>
        <v>1.1287310133101874E-3</v>
      </c>
      <c r="V1174" s="361">
        <v>2.4884259259259309</v>
      </c>
      <c r="W1174" s="347">
        <v>1.1287310133101874E-3</v>
      </c>
      <c r="X1174" s="14" t="s">
        <v>12</v>
      </c>
      <c r="Y1174" s="346" t="s">
        <v>891</v>
      </c>
      <c r="Z1174" s="14" t="str">
        <f>IF(ISBLANK(LCI_Table[[#This Row],[Notes for user]])," ",LCI_Table[[#This Row],[Notes for user]])</f>
        <v xml:space="preserve"> </v>
      </c>
      <c r="AA1174" s="348"/>
      <c r="AB1174" s="348" t="s">
        <v>1138</v>
      </c>
      <c r="AC1174" s="346">
        <f ca="1">LCI_Table[[#This Row],[Default Calculated Value]]-LCI_Table[[#This Row],[Calculated Value]]</f>
        <v>0</v>
      </c>
    </row>
    <row r="1175" spans="1:29" x14ac:dyDescent="0.3">
      <c r="A11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(GREET)(blank)_Camelina_Extraction_Residual_oilResidual oil</v>
      </c>
      <c r="B1175" s="14" t="s">
        <v>127</v>
      </c>
      <c r="C1175" s="14" t="s">
        <v>30</v>
      </c>
      <c r="D1175" s="14" t="s">
        <v>194</v>
      </c>
      <c r="E1175" s="178" t="s">
        <v>1349</v>
      </c>
      <c r="F1175" s="48" t="s">
        <v>31</v>
      </c>
      <c r="G1175" s="14" t="b">
        <f>OR(LCI_Table[[#This Row],[Feedstock]]="All",LCI_Table[[#This Row],[Feedstock]]=SelectedFeedstock)</f>
        <v>0</v>
      </c>
      <c r="H1175" s="14" t="b">
        <f>OR(LCI_Table[[#This Row],[Conversion]]="All",LCI_Table[[#This Row],[Conversion]]=SelectedConversion)</f>
        <v>1</v>
      </c>
      <c r="I1175" s="14" t="b">
        <f>OR(LCI_Table[[#This Row],[Data Set]]="all",LCI_Table[[#This Row],[Data Set]]=SelectedDataSet)</f>
        <v>0</v>
      </c>
      <c r="J1175" s="14" t="b">
        <f>OR(LCI_Table[[#This Row],[Technology]]="All",LCI_Table[[#This Row],[Technology]]=SelectedTechnology)</f>
        <v>1</v>
      </c>
      <c r="K1175" s="14" t="b">
        <f>OR(LCI_Table[[#This Row],[Data Source]]="All",LCI_Table[[#This Row],[Data Source]]=SelectedDataSource)</f>
        <v>0</v>
      </c>
      <c r="L1175" s="14" t="b">
        <f>TRUE</f>
        <v>1</v>
      </c>
      <c r="M1175" s="14" t="b">
        <f>(LCI_Table[[#This Row],[Dev Notes]]="Do not display")</f>
        <v>0</v>
      </c>
      <c r="N1175" s="14" t="b">
        <f>AND(LCI_Table[[#This Row],[Show Feedstock]:[Conditional]],NOT(LCI_Table[[#This Row],[Hide Row]]))</f>
        <v>0</v>
      </c>
      <c r="O1175" s="14" t="b">
        <f>LCI_Table[[#This Row],[GREET1 Name Range]]=""</f>
        <v>0</v>
      </c>
      <c r="P1175" s="14" t="s">
        <v>15</v>
      </c>
      <c r="Q1175" s="14" t="s">
        <v>460</v>
      </c>
      <c r="R1175" s="14" t="s">
        <v>115</v>
      </c>
      <c r="S1175" s="37" cm="1">
        <f t="array" aca="1" ref="S11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75" s="346" t="s">
        <v>2112</v>
      </c>
      <c r="U1175" s="347">
        <f ca="1">S1175*Fuel_Specs!$B$28</f>
        <v>0</v>
      </c>
      <c r="V1175" s="347">
        <v>0</v>
      </c>
      <c r="W1175" s="347">
        <v>0</v>
      </c>
      <c r="X1175" s="14" t="s">
        <v>5</v>
      </c>
      <c r="Y1175" s="346" t="s">
        <v>891</v>
      </c>
      <c r="Z1175" s="14" t="str">
        <f>IF(ISBLANK(LCI_Table[[#This Row],[Notes for user]])," ",LCI_Table[[#This Row],[Notes for user]])</f>
        <v xml:space="preserve"> </v>
      </c>
      <c r="AA1175" s="14"/>
      <c r="AB1175" s="14"/>
      <c r="AC1175" s="346">
        <f ca="1">LCI_Table[[#This Row],[Default Calculated Value]]-LCI_Table[[#This Row],[Calculated Value]]</f>
        <v>0</v>
      </c>
    </row>
    <row r="1176" spans="1:29" x14ac:dyDescent="0.3">
      <c r="A11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(GREET)(blank)_Camelina_Extraction_DieselDiesel</v>
      </c>
      <c r="B1176" s="14" t="s">
        <v>127</v>
      </c>
      <c r="C1176" s="14" t="s">
        <v>30</v>
      </c>
      <c r="D1176" s="14" t="s">
        <v>194</v>
      </c>
      <c r="E1176" s="178" t="s">
        <v>1349</v>
      </c>
      <c r="F1176" s="48" t="s">
        <v>31</v>
      </c>
      <c r="G1176" s="14" t="b">
        <f>OR(LCI_Table[[#This Row],[Feedstock]]="All",LCI_Table[[#This Row],[Feedstock]]=SelectedFeedstock)</f>
        <v>0</v>
      </c>
      <c r="H1176" s="14" t="b">
        <f>OR(LCI_Table[[#This Row],[Conversion]]="All",LCI_Table[[#This Row],[Conversion]]=SelectedConversion)</f>
        <v>1</v>
      </c>
      <c r="I1176" s="14" t="b">
        <f>OR(LCI_Table[[#This Row],[Data Set]]="all",LCI_Table[[#This Row],[Data Set]]=SelectedDataSet)</f>
        <v>0</v>
      </c>
      <c r="J1176" s="14" t="b">
        <f>OR(LCI_Table[[#This Row],[Technology]]="All",LCI_Table[[#This Row],[Technology]]=SelectedTechnology)</f>
        <v>1</v>
      </c>
      <c r="K1176" s="14" t="b">
        <f>OR(LCI_Table[[#This Row],[Data Source]]="All",LCI_Table[[#This Row],[Data Source]]=SelectedDataSource)</f>
        <v>0</v>
      </c>
      <c r="L1176" s="14" t="b">
        <f>TRUE</f>
        <v>1</v>
      </c>
      <c r="M1176" s="14" t="b">
        <f>(LCI_Table[[#This Row],[Dev Notes]]="Do not display")</f>
        <v>0</v>
      </c>
      <c r="N1176" s="14" t="b">
        <f>AND(LCI_Table[[#This Row],[Show Feedstock]:[Conditional]],NOT(LCI_Table[[#This Row],[Hide Row]]))</f>
        <v>0</v>
      </c>
      <c r="O1176" s="14" t="b">
        <f>LCI_Table[[#This Row],[GREET1 Name Range]]=""</f>
        <v>0</v>
      </c>
      <c r="P1176" s="14" t="s">
        <v>15</v>
      </c>
      <c r="Q1176" s="14" t="s">
        <v>452</v>
      </c>
      <c r="R1176" s="14" t="s">
        <v>106</v>
      </c>
      <c r="S1176" s="37" cm="1">
        <f t="array" aca="1" ref="S11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2.1466640716231999E-3</v>
      </c>
      <c r="T1176" s="346" t="s">
        <v>2112</v>
      </c>
      <c r="U1176" s="347">
        <f ca="1">S1176*Fuel_Specs!$B$19</f>
        <v>275.73900000000003</v>
      </c>
      <c r="V1176" s="347">
        <v>2.1466640716231999E-3</v>
      </c>
      <c r="W1176" s="347">
        <v>275.73900000000003</v>
      </c>
      <c r="X1176" s="14" t="s">
        <v>5</v>
      </c>
      <c r="Y1176" s="346" t="s">
        <v>891</v>
      </c>
      <c r="Z1176" s="14" t="str">
        <f>IF(ISBLANK(LCI_Table[[#This Row],[Notes for user]])," ",LCI_Table[[#This Row],[Notes for user]])</f>
        <v xml:space="preserve"> </v>
      </c>
      <c r="AA1176" s="14"/>
      <c r="AB1176" s="14"/>
      <c r="AC1176" s="346">
        <f ca="1">LCI_Table[[#This Row],[Default Calculated Value]]-LCI_Table[[#This Row],[Calculated Value]]</f>
        <v>0</v>
      </c>
    </row>
    <row r="1177" spans="1:29" x14ac:dyDescent="0.3">
      <c r="A11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(GREET)(blank)_Camelina_Extraction_GasolineGasoline</v>
      </c>
      <c r="B1177" s="14" t="s">
        <v>127</v>
      </c>
      <c r="C1177" s="14" t="s">
        <v>30</v>
      </c>
      <c r="D1177" s="14" t="s">
        <v>194</v>
      </c>
      <c r="E1177" s="178" t="s">
        <v>1349</v>
      </c>
      <c r="F1177" s="48" t="s">
        <v>31</v>
      </c>
      <c r="G1177" s="14" t="b">
        <f>OR(LCI_Table[[#This Row],[Feedstock]]="All",LCI_Table[[#This Row],[Feedstock]]=SelectedFeedstock)</f>
        <v>0</v>
      </c>
      <c r="H1177" s="14" t="b">
        <f>OR(LCI_Table[[#This Row],[Conversion]]="All",LCI_Table[[#This Row],[Conversion]]=SelectedConversion)</f>
        <v>1</v>
      </c>
      <c r="I1177" s="14" t="b">
        <f>OR(LCI_Table[[#This Row],[Data Set]]="all",LCI_Table[[#This Row],[Data Set]]=SelectedDataSet)</f>
        <v>0</v>
      </c>
      <c r="J1177" s="14" t="b">
        <f>OR(LCI_Table[[#This Row],[Technology]]="All",LCI_Table[[#This Row],[Technology]]=SelectedTechnology)</f>
        <v>1</v>
      </c>
      <c r="K1177" s="14" t="b">
        <f>OR(LCI_Table[[#This Row],[Data Source]]="All",LCI_Table[[#This Row],[Data Source]]=SelectedDataSource)</f>
        <v>0</v>
      </c>
      <c r="L1177" s="14" t="b">
        <f>TRUE</f>
        <v>1</v>
      </c>
      <c r="M1177" s="14" t="b">
        <f>(LCI_Table[[#This Row],[Dev Notes]]="Do not display")</f>
        <v>0</v>
      </c>
      <c r="N1177" s="14" t="b">
        <f>AND(LCI_Table[[#This Row],[Show Feedstock]:[Conditional]],NOT(LCI_Table[[#This Row],[Hide Row]]))</f>
        <v>0</v>
      </c>
      <c r="O1177" s="14" t="b">
        <f>LCI_Table[[#This Row],[GREET1 Name Range]]=""</f>
        <v>0</v>
      </c>
      <c r="P1177" s="14" t="s">
        <v>15</v>
      </c>
      <c r="Q1177" s="14" t="s">
        <v>455</v>
      </c>
      <c r="R1177" s="14" t="s">
        <v>107</v>
      </c>
      <c r="S1177" s="37" cm="1">
        <f t="array" aca="1" ref="S11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77" s="346" t="s">
        <v>2112</v>
      </c>
      <c r="U1177" s="347">
        <f ca="1">S1177*Fuel_Specs!$B$15</f>
        <v>0</v>
      </c>
      <c r="V1177" s="347">
        <v>0</v>
      </c>
      <c r="W1177" s="347">
        <v>0</v>
      </c>
      <c r="X1177" s="14" t="s">
        <v>5</v>
      </c>
      <c r="Y1177" s="346" t="s">
        <v>891</v>
      </c>
      <c r="Z1177" s="14" t="str">
        <f>IF(ISBLANK(LCI_Table[[#This Row],[Notes for user]])," ",LCI_Table[[#This Row],[Notes for user]])</f>
        <v xml:space="preserve"> </v>
      </c>
      <c r="AA1177" s="14"/>
      <c r="AB1177" s="14"/>
      <c r="AC1177" s="346">
        <f ca="1">LCI_Table[[#This Row],[Default Calculated Value]]-LCI_Table[[#This Row],[Calculated Value]]</f>
        <v>0</v>
      </c>
    </row>
    <row r="1178" spans="1:29" x14ac:dyDescent="0.3">
      <c r="A11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(GREET)(blank)_Camelina_Extraction_Natural_gasNatural gas</v>
      </c>
      <c r="B1178" s="14" t="s">
        <v>127</v>
      </c>
      <c r="C1178" s="14" t="s">
        <v>30</v>
      </c>
      <c r="D1178" s="14" t="s">
        <v>194</v>
      </c>
      <c r="E1178" s="178" t="s">
        <v>1349</v>
      </c>
      <c r="F1178" s="48" t="s">
        <v>31</v>
      </c>
      <c r="G1178" s="14" t="b">
        <f>OR(LCI_Table[[#This Row],[Feedstock]]="All",LCI_Table[[#This Row],[Feedstock]]=SelectedFeedstock)</f>
        <v>0</v>
      </c>
      <c r="H1178" s="14" t="b">
        <f>OR(LCI_Table[[#This Row],[Conversion]]="All",LCI_Table[[#This Row],[Conversion]]=SelectedConversion)</f>
        <v>1</v>
      </c>
      <c r="I1178" s="14" t="b">
        <f>OR(LCI_Table[[#This Row],[Data Set]]="all",LCI_Table[[#This Row],[Data Set]]=SelectedDataSet)</f>
        <v>0</v>
      </c>
      <c r="J1178" s="14" t="b">
        <f>OR(LCI_Table[[#This Row],[Technology]]="All",LCI_Table[[#This Row],[Technology]]=SelectedTechnology)</f>
        <v>1</v>
      </c>
      <c r="K1178" s="14" t="b">
        <f>OR(LCI_Table[[#This Row],[Data Source]]="All",LCI_Table[[#This Row],[Data Source]]=SelectedDataSource)</f>
        <v>0</v>
      </c>
      <c r="L1178" s="14" t="b">
        <f>TRUE</f>
        <v>1</v>
      </c>
      <c r="M1178" s="14" t="b">
        <f>(LCI_Table[[#This Row],[Dev Notes]]="Do not display")</f>
        <v>0</v>
      </c>
      <c r="N1178" s="14" t="b">
        <f>AND(LCI_Table[[#This Row],[Show Feedstock]:[Conditional]],NOT(LCI_Table[[#This Row],[Hide Row]]))</f>
        <v>0</v>
      </c>
      <c r="O1178" s="14" t="b">
        <f>LCI_Table[[#This Row],[GREET1 Name Range]]=""</f>
        <v>0</v>
      </c>
      <c r="P1178" s="14" t="s">
        <v>15</v>
      </c>
      <c r="Q1178" s="14" t="s">
        <v>459</v>
      </c>
      <c r="R1178" s="14" t="s">
        <v>108</v>
      </c>
      <c r="S1178" s="37" cm="1">
        <f t="array" aca="1" ref="S11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0.51207934893184126</v>
      </c>
      <c r="T1178" s="346" t="s">
        <v>2113</v>
      </c>
      <c r="U1178" s="347">
        <f ca="1">S1178*Fuel_Specs!$B$79</f>
        <v>503.37399999999997</v>
      </c>
      <c r="V1178" s="347">
        <v>0.51207934893184126</v>
      </c>
      <c r="W1178" s="347">
        <v>503.37399999999997</v>
      </c>
      <c r="X1178" s="14" t="s">
        <v>351</v>
      </c>
      <c r="Y1178" s="346" t="s">
        <v>891</v>
      </c>
      <c r="Z1178" s="14" t="str">
        <f>IF(ISBLANK(LCI_Table[[#This Row],[Notes for user]])," ",LCI_Table[[#This Row],[Notes for user]])</f>
        <v xml:space="preserve"> </v>
      </c>
      <c r="AA1178" s="14"/>
      <c r="AB1178" s="14"/>
      <c r="AC1178" s="346">
        <f ca="1">LCI_Table[[#This Row],[Default Calculated Value]]-LCI_Table[[#This Row],[Calculated Value]]</f>
        <v>0</v>
      </c>
    </row>
    <row r="1179" spans="1:29" x14ac:dyDescent="0.3">
      <c r="A11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(GREET)(blank)_Camelina_Extraction_CoalCoal</v>
      </c>
      <c r="B1179" s="14" t="s">
        <v>127</v>
      </c>
      <c r="C1179" s="14" t="s">
        <v>30</v>
      </c>
      <c r="D1179" s="14" t="s">
        <v>194</v>
      </c>
      <c r="E1179" s="178" t="s">
        <v>1349</v>
      </c>
      <c r="F1179" s="48" t="s">
        <v>31</v>
      </c>
      <c r="G1179" s="14" t="b">
        <f>OR(LCI_Table[[#This Row],[Feedstock]]="All",LCI_Table[[#This Row],[Feedstock]]=SelectedFeedstock)</f>
        <v>0</v>
      </c>
      <c r="H1179" s="14" t="b">
        <f>OR(LCI_Table[[#This Row],[Conversion]]="All",LCI_Table[[#This Row],[Conversion]]=SelectedConversion)</f>
        <v>1</v>
      </c>
      <c r="I1179" s="14" t="b">
        <f>OR(LCI_Table[[#This Row],[Data Set]]="all",LCI_Table[[#This Row],[Data Set]]=SelectedDataSet)</f>
        <v>0</v>
      </c>
      <c r="J1179" s="14" t="b">
        <f>OR(LCI_Table[[#This Row],[Technology]]="All",LCI_Table[[#This Row],[Technology]]=SelectedTechnology)</f>
        <v>1</v>
      </c>
      <c r="K1179" s="14" t="b">
        <f>OR(LCI_Table[[#This Row],[Data Source]]="All",LCI_Table[[#This Row],[Data Source]]=SelectedDataSource)</f>
        <v>0</v>
      </c>
      <c r="L1179" s="14" t="b">
        <f>TRUE</f>
        <v>1</v>
      </c>
      <c r="M1179" s="14" t="b">
        <f>(LCI_Table[[#This Row],[Dev Notes]]="Do not display")</f>
        <v>0</v>
      </c>
      <c r="N1179" s="14" t="b">
        <f>AND(LCI_Table[[#This Row],[Show Feedstock]:[Conditional]],NOT(LCI_Table[[#This Row],[Hide Row]]))</f>
        <v>0</v>
      </c>
      <c r="O1179" s="14" t="b">
        <f>LCI_Table[[#This Row],[GREET1 Name Range]]=""</f>
        <v>0</v>
      </c>
      <c r="P1179" s="14" t="s">
        <v>15</v>
      </c>
      <c r="Q1179" s="14" t="s">
        <v>451</v>
      </c>
      <c r="R1179" s="14" t="s">
        <v>9</v>
      </c>
      <c r="S1179" s="37" cm="1">
        <f t="array" aca="1" ref="S11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79" s="346" t="s">
        <v>2114</v>
      </c>
      <c r="U1179" s="347">
        <f ca="1">S1179</f>
        <v>0</v>
      </c>
      <c r="V1179" s="347">
        <v>0</v>
      </c>
      <c r="W1179" s="347">
        <v>0</v>
      </c>
      <c r="X1179" s="14" t="s">
        <v>117</v>
      </c>
      <c r="Y1179" s="346" t="s">
        <v>891</v>
      </c>
      <c r="Z1179" s="14" t="str">
        <f>IF(ISBLANK(LCI_Table[[#This Row],[Notes for user]])," ",LCI_Table[[#This Row],[Notes for user]])</f>
        <v xml:space="preserve"> </v>
      </c>
      <c r="AA1179" s="14"/>
      <c r="AB1179" s="14"/>
      <c r="AC1179" s="346">
        <f ca="1">LCI_Table[[#This Row],[Default Calculated Value]]-LCI_Table[[#This Row],[Calculated Value]]</f>
        <v>0</v>
      </c>
    </row>
    <row r="1180" spans="1:29" x14ac:dyDescent="0.3">
      <c r="A11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(GREET)(blank)_Camelina_Extraction_LPGLPG</v>
      </c>
      <c r="B1180" s="14" t="s">
        <v>127</v>
      </c>
      <c r="C1180" s="14" t="s">
        <v>30</v>
      </c>
      <c r="D1180" s="14" t="s">
        <v>194</v>
      </c>
      <c r="E1180" s="178" t="s">
        <v>1349</v>
      </c>
      <c r="F1180" s="48" t="s">
        <v>31</v>
      </c>
      <c r="G1180" s="14" t="b">
        <f>OR(LCI_Table[[#This Row],[Feedstock]]="All",LCI_Table[[#This Row],[Feedstock]]=SelectedFeedstock)</f>
        <v>0</v>
      </c>
      <c r="H1180" s="14" t="b">
        <f>OR(LCI_Table[[#This Row],[Conversion]]="All",LCI_Table[[#This Row],[Conversion]]=SelectedConversion)</f>
        <v>1</v>
      </c>
      <c r="I1180" s="14" t="b">
        <f>OR(LCI_Table[[#This Row],[Data Set]]="all",LCI_Table[[#This Row],[Data Set]]=SelectedDataSet)</f>
        <v>0</v>
      </c>
      <c r="J1180" s="14" t="b">
        <f>OR(LCI_Table[[#This Row],[Technology]]="All",LCI_Table[[#This Row],[Technology]]=SelectedTechnology)</f>
        <v>1</v>
      </c>
      <c r="K1180" s="14" t="b">
        <f>OR(LCI_Table[[#This Row],[Data Source]]="All",LCI_Table[[#This Row],[Data Source]]=SelectedDataSource)</f>
        <v>0</v>
      </c>
      <c r="L1180" s="14" t="b">
        <f>TRUE</f>
        <v>1</v>
      </c>
      <c r="M1180" s="14" t="b">
        <f>(LCI_Table[[#This Row],[Dev Notes]]="Do not display")</f>
        <v>0</v>
      </c>
      <c r="N1180" s="14" t="b">
        <f>AND(LCI_Table[[#This Row],[Show Feedstock]:[Conditional]],NOT(LCI_Table[[#This Row],[Hide Row]]))</f>
        <v>0</v>
      </c>
      <c r="O1180" s="14" t="b">
        <f>LCI_Table[[#This Row],[GREET1 Name Range]]=""</f>
        <v>0</v>
      </c>
      <c r="P1180" s="14" t="s">
        <v>15</v>
      </c>
      <c r="Q1180" s="14" t="s">
        <v>457</v>
      </c>
      <c r="R1180" s="14" t="s">
        <v>109</v>
      </c>
      <c r="S1180" s="37" cm="1">
        <f t="array" aca="1" ref="S11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80" s="346" t="s">
        <v>2112</v>
      </c>
      <c r="U1180" s="347">
        <f ca="1">S1180*Fuel_Specs!$B$35</f>
        <v>0</v>
      </c>
      <c r="V1180" s="347">
        <v>0</v>
      </c>
      <c r="W1180" s="347">
        <v>0</v>
      </c>
      <c r="X1180" s="14" t="s">
        <v>5</v>
      </c>
      <c r="Y1180" s="346" t="s">
        <v>891</v>
      </c>
      <c r="Z1180" s="14" t="str">
        <f>IF(ISBLANK(LCI_Table[[#This Row],[Notes for user]])," ",LCI_Table[[#This Row],[Notes for user]])</f>
        <v xml:space="preserve"> </v>
      </c>
      <c r="AA1180" s="14"/>
      <c r="AB1180" s="14"/>
      <c r="AC1180" s="346">
        <f ca="1">LCI_Table[[#This Row],[Default Calculated Value]]-LCI_Table[[#This Row],[Calculated Value]]</f>
        <v>0</v>
      </c>
    </row>
    <row r="1181" spans="1:29" x14ac:dyDescent="0.3">
      <c r="A11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(GREET)(blank)_Camelina_Extraction_ElectricityElectricity</v>
      </c>
      <c r="B1181" s="14" t="s">
        <v>127</v>
      </c>
      <c r="C1181" s="14" t="s">
        <v>30</v>
      </c>
      <c r="D1181" s="14" t="s">
        <v>194</v>
      </c>
      <c r="E1181" s="178" t="s">
        <v>1349</v>
      </c>
      <c r="F1181" s="48" t="s">
        <v>31</v>
      </c>
      <c r="G1181" s="14" t="b">
        <f>OR(LCI_Table[[#This Row],[Feedstock]]="All",LCI_Table[[#This Row],[Feedstock]]=SelectedFeedstock)</f>
        <v>0</v>
      </c>
      <c r="H1181" s="14" t="b">
        <f>OR(LCI_Table[[#This Row],[Conversion]]="All",LCI_Table[[#This Row],[Conversion]]=SelectedConversion)</f>
        <v>1</v>
      </c>
      <c r="I1181" s="14" t="b">
        <f>OR(LCI_Table[[#This Row],[Data Set]]="all",LCI_Table[[#This Row],[Data Set]]=SelectedDataSet)</f>
        <v>0</v>
      </c>
      <c r="J1181" s="14" t="b">
        <f>OR(LCI_Table[[#This Row],[Technology]]="All",LCI_Table[[#This Row],[Technology]]=SelectedTechnology)</f>
        <v>1</v>
      </c>
      <c r="K1181" s="14" t="b">
        <f>OR(LCI_Table[[#This Row],[Data Source]]="All",LCI_Table[[#This Row],[Data Source]]=SelectedDataSource)</f>
        <v>0</v>
      </c>
      <c r="L1181" s="14" t="b">
        <f>TRUE</f>
        <v>1</v>
      </c>
      <c r="M1181" s="14" t="b">
        <f>(LCI_Table[[#This Row],[Dev Notes]]="Do not display")</f>
        <v>0</v>
      </c>
      <c r="N1181" s="14" t="b">
        <f>AND(LCI_Table[[#This Row],[Show Feedstock]:[Conditional]],NOT(LCI_Table[[#This Row],[Hide Row]]))</f>
        <v>0</v>
      </c>
      <c r="O1181" s="14" t="b">
        <f>LCI_Table[[#This Row],[GREET1 Name Range]]=""</f>
        <v>0</v>
      </c>
      <c r="P1181" s="14" t="s">
        <v>15</v>
      </c>
      <c r="Q1181" s="14" t="s">
        <v>453</v>
      </c>
      <c r="R1181" s="14" t="s">
        <v>110</v>
      </c>
      <c r="S1181" s="37" cm="1">
        <f t="array" aca="1" ref="S11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1.0573418043416667E-2</v>
      </c>
      <c r="T1181" s="346" t="s">
        <v>2115</v>
      </c>
      <c r="U1181" s="347">
        <f ca="1">S1181/BTU2kWh</f>
        <v>36.078000000000003</v>
      </c>
      <c r="V1181" s="347">
        <v>1.0573418043416667E-2</v>
      </c>
      <c r="W1181" s="347">
        <v>36.078000000000003</v>
      </c>
      <c r="X1181" s="14" t="s">
        <v>51</v>
      </c>
      <c r="Y1181" s="346" t="s">
        <v>891</v>
      </c>
      <c r="Z1181" s="14" t="str">
        <f>IF(ISBLANK(LCI_Table[[#This Row],[Notes for user]])," ",LCI_Table[[#This Row],[Notes for user]])</f>
        <v xml:space="preserve"> </v>
      </c>
      <c r="AA1181" s="14"/>
      <c r="AB1181" s="14"/>
      <c r="AC1181" s="346">
        <f ca="1">LCI_Table[[#This Row],[Default Calculated Value]]-LCI_Table[[#This Row],[Calculated Value]]</f>
        <v>0</v>
      </c>
    </row>
    <row r="1182" spans="1:29" x14ac:dyDescent="0.3">
      <c r="A11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(GREET)(blank)_Camelina_Extraction_N_hexaneN-hexane</v>
      </c>
      <c r="B1182" s="14" t="s">
        <v>127</v>
      </c>
      <c r="C1182" s="14" t="s">
        <v>30</v>
      </c>
      <c r="D1182" s="14" t="s">
        <v>194</v>
      </c>
      <c r="E1182" s="178" t="s">
        <v>1349</v>
      </c>
      <c r="F1182" s="48" t="s">
        <v>31</v>
      </c>
      <c r="G1182" s="14" t="b">
        <f>OR(LCI_Table[[#This Row],[Feedstock]]="All",LCI_Table[[#This Row],[Feedstock]]=SelectedFeedstock)</f>
        <v>0</v>
      </c>
      <c r="H1182" s="14" t="b">
        <f>OR(LCI_Table[[#This Row],[Conversion]]="All",LCI_Table[[#This Row],[Conversion]]=SelectedConversion)</f>
        <v>1</v>
      </c>
      <c r="I1182" s="14" t="b">
        <f>OR(LCI_Table[[#This Row],[Data Set]]="all",LCI_Table[[#This Row],[Data Set]]=SelectedDataSet)</f>
        <v>0</v>
      </c>
      <c r="J1182" s="14" t="b">
        <f>OR(LCI_Table[[#This Row],[Technology]]="All",LCI_Table[[#This Row],[Technology]]=SelectedTechnology)</f>
        <v>1</v>
      </c>
      <c r="K1182" s="14" t="b">
        <f>OR(LCI_Table[[#This Row],[Data Source]]="All",LCI_Table[[#This Row],[Data Source]]=SelectedDataSource)</f>
        <v>0</v>
      </c>
      <c r="L1182" s="14" t="b">
        <f>TRUE</f>
        <v>1</v>
      </c>
      <c r="M1182" s="14" t="b">
        <f>(LCI_Table[[#This Row],[Dev Notes]]="Do not display")</f>
        <v>0</v>
      </c>
      <c r="N1182" s="14" t="b">
        <f>AND(LCI_Table[[#This Row],[Show Feedstock]:[Conditional]],NOT(LCI_Table[[#This Row],[Hide Row]]))</f>
        <v>0</v>
      </c>
      <c r="O1182" s="14" t="b">
        <f>LCI_Table[[#This Row],[GREET1 Name Range]]=""</f>
        <v>0</v>
      </c>
      <c r="P1182" s="14" t="s">
        <v>15</v>
      </c>
      <c r="Q1182" s="14" t="s">
        <v>458</v>
      </c>
      <c r="R1182" s="14" t="s">
        <v>116</v>
      </c>
      <c r="S1182" s="37" cm="1">
        <f t="array" aca="1" ref="S11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2.083666270946532E-7</v>
      </c>
      <c r="T1182" s="346" t="s">
        <v>2111</v>
      </c>
      <c r="U1182" s="347">
        <f ca="1">S1182*Fuel_Specs!$B$58*ton2lb</f>
        <v>43.808999999999997</v>
      </c>
      <c r="V1182" s="347">
        <v>2.083666270946532E-7</v>
      </c>
      <c r="W1182" s="347">
        <v>43.808999999999997</v>
      </c>
      <c r="X1182" s="14" t="s">
        <v>12</v>
      </c>
      <c r="Y1182" s="346" t="s">
        <v>891</v>
      </c>
      <c r="Z1182" s="14" t="str">
        <f>IF(ISBLANK(LCI_Table[[#This Row],[Notes for user]])," ",LCI_Table[[#This Row],[Notes for user]])</f>
        <v xml:space="preserve"> </v>
      </c>
      <c r="AA1182" s="14"/>
      <c r="AB1182" s="14"/>
      <c r="AC1182" s="346">
        <f ca="1">LCI_Table[[#This Row],[Default Calculated Value]]-LCI_Table[[#This Row],[Calculated Value]]</f>
        <v>0</v>
      </c>
    </row>
    <row r="1183" spans="1:29" x14ac:dyDescent="0.3">
      <c r="A11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(GREET)(blank)_Camelina_Extraction_Forest_residueForest residue</v>
      </c>
      <c r="B1183" s="14" t="s">
        <v>127</v>
      </c>
      <c r="C1183" s="14" t="s">
        <v>30</v>
      </c>
      <c r="D1183" s="14" t="s">
        <v>194</v>
      </c>
      <c r="E1183" s="178" t="s">
        <v>1349</v>
      </c>
      <c r="F1183" s="48" t="s">
        <v>31</v>
      </c>
      <c r="G1183" s="14" t="b">
        <f>OR(LCI_Table[[#This Row],[Feedstock]]="All",LCI_Table[[#This Row],[Feedstock]]=SelectedFeedstock)</f>
        <v>0</v>
      </c>
      <c r="H1183" s="14" t="b">
        <f>OR(LCI_Table[[#This Row],[Conversion]]="All",LCI_Table[[#This Row],[Conversion]]=SelectedConversion)</f>
        <v>1</v>
      </c>
      <c r="I1183" s="14" t="b">
        <f>OR(LCI_Table[[#This Row],[Data Set]]="all",LCI_Table[[#This Row],[Data Set]]=SelectedDataSet)</f>
        <v>0</v>
      </c>
      <c r="J1183" s="14" t="b">
        <f>OR(LCI_Table[[#This Row],[Technology]]="All",LCI_Table[[#This Row],[Technology]]=SelectedTechnology)</f>
        <v>1</v>
      </c>
      <c r="K1183" s="14" t="b">
        <f>OR(LCI_Table[[#This Row],[Data Source]]="All",LCI_Table[[#This Row],[Data Source]]=SelectedDataSource)</f>
        <v>0</v>
      </c>
      <c r="L1183" s="14" t="b">
        <f>TRUE</f>
        <v>1</v>
      </c>
      <c r="M1183" s="14" t="b">
        <f>(LCI_Table[[#This Row],[Dev Notes]]="Do not display")</f>
        <v>0</v>
      </c>
      <c r="N1183" s="14" t="b">
        <f>AND(LCI_Table[[#This Row],[Show Feedstock]:[Conditional]],NOT(LCI_Table[[#This Row],[Hide Row]]))</f>
        <v>0</v>
      </c>
      <c r="O1183" s="14" t="b">
        <f>LCI_Table[[#This Row],[GREET1 Name Range]]=""</f>
        <v>0</v>
      </c>
      <c r="P1183" s="14" t="s">
        <v>15</v>
      </c>
      <c r="Q1183" s="14" t="s">
        <v>454</v>
      </c>
      <c r="R1183" s="14" t="s">
        <v>316</v>
      </c>
      <c r="S1183" s="37" cm="1">
        <f t="array" aca="1" ref="S11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83" s="346" t="s">
        <v>2111</v>
      </c>
      <c r="U1183" s="347">
        <f ca="1">S1183*Fuel_Specs!$B$100*ton2lb</f>
        <v>0</v>
      </c>
      <c r="V1183" s="347">
        <v>0</v>
      </c>
      <c r="W1183" s="347">
        <v>0</v>
      </c>
      <c r="X1183" s="14" t="s">
        <v>12</v>
      </c>
      <c r="Y1183" s="346" t="s">
        <v>891</v>
      </c>
      <c r="Z1183" s="14" t="str">
        <f>IF(ISBLANK(LCI_Table[[#This Row],[Notes for user]])," ",LCI_Table[[#This Row],[Notes for user]])</f>
        <v xml:space="preserve"> </v>
      </c>
      <c r="AA1183" s="14"/>
      <c r="AB1183" s="14"/>
      <c r="AC1183" s="346">
        <f ca="1">LCI_Table[[#This Row],[Default Calculated Value]]-LCI_Table[[#This Row],[Calculated Value]]</f>
        <v>0</v>
      </c>
    </row>
    <row r="1184" spans="1:29" x14ac:dyDescent="0.3">
      <c r="A11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(GREET)(blank)_Camelina_Extraction_Landfill_gasLandfill gas</v>
      </c>
      <c r="B1184" s="14" t="s">
        <v>127</v>
      </c>
      <c r="C1184" s="14" t="s">
        <v>30</v>
      </c>
      <c r="D1184" s="14" t="s">
        <v>194</v>
      </c>
      <c r="E1184" s="178" t="s">
        <v>1349</v>
      </c>
      <c r="F1184" s="48" t="s">
        <v>31</v>
      </c>
      <c r="G1184" s="14" t="b">
        <f>OR(LCI_Table[[#This Row],[Feedstock]]="All",LCI_Table[[#This Row],[Feedstock]]=SelectedFeedstock)</f>
        <v>0</v>
      </c>
      <c r="H1184" s="14" t="b">
        <f>OR(LCI_Table[[#This Row],[Conversion]]="All",LCI_Table[[#This Row],[Conversion]]=SelectedConversion)</f>
        <v>1</v>
      </c>
      <c r="I1184" s="14" t="b">
        <f>OR(LCI_Table[[#This Row],[Data Set]]="all",LCI_Table[[#This Row],[Data Set]]=SelectedDataSet)</f>
        <v>0</v>
      </c>
      <c r="J1184" s="14" t="b">
        <f>OR(LCI_Table[[#This Row],[Technology]]="All",LCI_Table[[#This Row],[Technology]]=SelectedTechnology)</f>
        <v>1</v>
      </c>
      <c r="K1184" s="14" t="b">
        <f>OR(LCI_Table[[#This Row],[Data Source]]="All",LCI_Table[[#This Row],[Data Source]]=SelectedDataSource)</f>
        <v>0</v>
      </c>
      <c r="L1184" s="14" t="b">
        <f>TRUE</f>
        <v>1</v>
      </c>
      <c r="M1184" s="14" t="b">
        <f>(LCI_Table[[#This Row],[Dev Notes]]="Do not display")</f>
        <v>0</v>
      </c>
      <c r="N1184" s="14" t="b">
        <f>AND(LCI_Table[[#This Row],[Show Feedstock]:[Conditional]],NOT(LCI_Table[[#This Row],[Hide Row]]))</f>
        <v>0</v>
      </c>
      <c r="O1184" s="14" t="b">
        <f>LCI_Table[[#This Row],[GREET1 Name Range]]=""</f>
        <v>0</v>
      </c>
      <c r="P1184" s="14" t="s">
        <v>15</v>
      </c>
      <c r="Q1184" s="14" t="s">
        <v>456</v>
      </c>
      <c r="R1184" s="14" t="s">
        <v>130</v>
      </c>
      <c r="S1184" s="37" cm="1">
        <f t="array" aca="1" ref="S11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84" s="346" t="s">
        <v>2113</v>
      </c>
      <c r="U1184" s="347">
        <f ca="1">S1184*Fuel_Specs!$B$79</f>
        <v>0</v>
      </c>
      <c r="V1184" s="347">
        <v>0</v>
      </c>
      <c r="W1184" s="347">
        <v>0</v>
      </c>
      <c r="X1184" s="14" t="s">
        <v>351</v>
      </c>
      <c r="Y1184" s="346" t="s">
        <v>891</v>
      </c>
      <c r="Z1184" s="14" t="str">
        <f>IF(ISBLANK(LCI_Table[[#This Row],[Notes for user]])," ",LCI_Table[[#This Row],[Notes for user]])</f>
        <v xml:space="preserve"> </v>
      </c>
      <c r="AA1184" s="14"/>
      <c r="AB1184" s="14"/>
      <c r="AC1184" s="346">
        <f ca="1">LCI_Table[[#This Row],[Default Calculated Value]]-LCI_Table[[#This Row],[Calculated Value]]</f>
        <v>0</v>
      </c>
    </row>
    <row r="1185" spans="1:29" x14ac:dyDescent="0.3">
      <c r="A11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(GREET)(blank)_Camelina_Oil_Extraction_Energy_AllocationAllocation factor</v>
      </c>
      <c r="B1185" s="14" t="s">
        <v>127</v>
      </c>
      <c r="C1185" s="14" t="s">
        <v>30</v>
      </c>
      <c r="D1185" s="14" t="s">
        <v>194</v>
      </c>
      <c r="E1185" s="178" t="s">
        <v>1349</v>
      </c>
      <c r="F1185" s="48" t="s">
        <v>31</v>
      </c>
      <c r="G1185" s="14" t="b">
        <f>OR(LCI_Table[[#This Row],[Feedstock]]="All",LCI_Table[[#This Row],[Feedstock]]=SelectedFeedstock)</f>
        <v>0</v>
      </c>
      <c r="H1185" s="14" t="b">
        <f>OR(LCI_Table[[#This Row],[Conversion]]="All",LCI_Table[[#This Row],[Conversion]]=SelectedConversion)</f>
        <v>1</v>
      </c>
      <c r="I1185" s="14" t="b">
        <f>OR(LCI_Table[[#This Row],[Data Set]]="all",LCI_Table[[#This Row],[Data Set]]=SelectedDataSet)</f>
        <v>0</v>
      </c>
      <c r="J1185" s="14" t="b">
        <f>OR(LCI_Table[[#This Row],[Technology]]="All",LCI_Table[[#This Row],[Technology]]=SelectedTechnology)</f>
        <v>1</v>
      </c>
      <c r="K1185" s="14" t="b">
        <f>OR(LCI_Table[[#This Row],[Data Source]]="All",LCI_Table[[#This Row],[Data Source]]=SelectedDataSource)</f>
        <v>0</v>
      </c>
      <c r="L1185" s="14" t="b">
        <f>TRUE</f>
        <v>1</v>
      </c>
      <c r="M1185" s="14" t="b">
        <f>(LCI_Table[[#This Row],[Dev Notes]]="Do not display")</f>
        <v>0</v>
      </c>
      <c r="N1185" s="14" t="b">
        <f>AND(LCI_Table[[#This Row],[Show Feedstock]:[Conditional]],NOT(LCI_Table[[#This Row],[Hide Row]]))</f>
        <v>0</v>
      </c>
      <c r="O1185" s="14" t="b">
        <f>LCI_Table[[#This Row],[GREET1 Name Range]]=""</f>
        <v>0</v>
      </c>
      <c r="P1185" s="14" t="s">
        <v>15</v>
      </c>
      <c r="Q1185" s="14" t="s">
        <v>1109</v>
      </c>
      <c r="R1185" s="14" t="s">
        <v>1344</v>
      </c>
      <c r="S1185" s="37" cm="1">
        <f t="array" aca="1" ref="S11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65.816313932034788</v>
      </c>
      <c r="T1185" s="346" t="s">
        <v>1345</v>
      </c>
      <c r="U1185" s="347">
        <f ca="1">LCI_Table[[#This Row],[Dashboard Value]]/100</f>
        <v>0.65816313932034787</v>
      </c>
      <c r="V1185" s="347">
        <v>65.816313932034788</v>
      </c>
      <c r="W1185" s="347">
        <v>0.65816313932034787</v>
      </c>
      <c r="X1185" s="14" t="s">
        <v>1345</v>
      </c>
      <c r="Y1185" s="346" t="s">
        <v>891</v>
      </c>
      <c r="Z1185" s="14" t="str">
        <f>IF(ISBLANK(LCI_Table[[#This Row],[Notes for user]])," ",LCI_Table[[#This Row],[Notes for user]])</f>
        <v>Allocation to camelina oil (energy allocation)</v>
      </c>
      <c r="AA1185" s="14" t="s">
        <v>1356</v>
      </c>
      <c r="AB1185" s="14"/>
      <c r="AC1185" s="346">
        <f ca="1">LCI_Table[[#This Row],[Default Calculated Value]]-LCI_Table[[#This Row],[Calculated Value]]</f>
        <v>0</v>
      </c>
    </row>
    <row r="1186" spans="1:29" x14ac:dyDescent="0.3">
      <c r="A11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(GREET)(blank)_HEFA_feed_usageCamelina oil</v>
      </c>
      <c r="B1186" s="348" t="s">
        <v>127</v>
      </c>
      <c r="C1186" s="348" t="s">
        <v>30</v>
      </c>
      <c r="D1186" s="14" t="s">
        <v>194</v>
      </c>
      <c r="E1186" s="178" t="s">
        <v>1349</v>
      </c>
      <c r="F1186" s="48" t="s">
        <v>31</v>
      </c>
      <c r="G1186" s="14" t="b">
        <f>OR(LCI_Table[[#This Row],[Feedstock]]="All",LCI_Table[[#This Row],[Feedstock]]=SelectedFeedstock)</f>
        <v>0</v>
      </c>
      <c r="H1186" s="14" t="b">
        <f>OR(LCI_Table[[#This Row],[Conversion]]="All",LCI_Table[[#This Row],[Conversion]]=SelectedConversion)</f>
        <v>1</v>
      </c>
      <c r="I1186" s="14" t="b">
        <f>OR(LCI_Table[[#This Row],[Data Set]]="all",LCI_Table[[#This Row],[Data Set]]=SelectedDataSet)</f>
        <v>0</v>
      </c>
      <c r="J1186" s="14" t="b">
        <f>OR(LCI_Table[[#This Row],[Technology]]="All",LCI_Table[[#This Row],[Technology]]=SelectedTechnology)</f>
        <v>1</v>
      </c>
      <c r="K1186" s="14" t="b">
        <f>OR(LCI_Table[[#This Row],[Data Source]]="All",LCI_Table[[#This Row],[Data Source]]=SelectedDataSource)</f>
        <v>0</v>
      </c>
      <c r="L1186" s="14" t="b">
        <f>TRUE</f>
        <v>1</v>
      </c>
      <c r="M1186" s="14" t="b">
        <f>(LCI_Table[[#This Row],[Dev Notes]]="Do not display")</f>
        <v>0</v>
      </c>
      <c r="N1186" s="14" t="b">
        <f>AND(LCI_Table[[#This Row],[Show Feedstock]:[Conditional]],NOT(LCI_Table[[#This Row],[Hide Row]]))</f>
        <v>0</v>
      </c>
      <c r="O1186" s="14" t="b">
        <f>LCI_Table[[#This Row],[GREET1 Name Range]]=""</f>
        <v>0</v>
      </c>
      <c r="P1186" s="14" t="s">
        <v>1448</v>
      </c>
      <c r="Q1186" s="14" t="s">
        <v>933</v>
      </c>
      <c r="R1186" s="348" t="s">
        <v>380</v>
      </c>
      <c r="S1186" s="37" cm="1">
        <f t="array" aca="1" ref="S11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67.105243036314235</v>
      </c>
      <c r="T1186" s="346" t="s">
        <v>2119</v>
      </c>
      <c r="U1186" s="347">
        <f ca="1">S1186*lb2g/Fuel_Specs!$E$48*Fuel_Specs!$B$48*BTU2mmBTU</f>
        <v>1.2722877150689311</v>
      </c>
      <c r="V1186" s="347">
        <v>67.105243036314235</v>
      </c>
      <c r="W1186" s="347">
        <v>1.2722877150689311</v>
      </c>
      <c r="X1186" s="14" t="s">
        <v>12</v>
      </c>
      <c r="Y1186" s="346" t="s">
        <v>416</v>
      </c>
      <c r="Z1186" s="14" t="str">
        <f>IF(ISBLANK(LCI_Table[[#This Row],[Notes for user]])," ",LCI_Table[[#This Row],[Notes for user]])</f>
        <v xml:space="preserve"> </v>
      </c>
      <c r="AA1186" s="358"/>
      <c r="AB1186" s="348"/>
      <c r="AC1186" s="346">
        <f ca="1">LCI_Table[[#This Row],[Default Calculated Value]]-LCI_Table[[#This Row],[Calculated Value]]</f>
        <v>0</v>
      </c>
    </row>
    <row r="1187" spans="1:29" x14ac:dyDescent="0.3">
      <c r="A11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(GREET)(blank)_Camelina_HEFA_Natural_gasNatural gas</v>
      </c>
      <c r="B1187" s="348" t="s">
        <v>127</v>
      </c>
      <c r="C1187" s="348" t="s">
        <v>30</v>
      </c>
      <c r="D1187" s="14" t="s">
        <v>194</v>
      </c>
      <c r="E1187" s="178" t="s">
        <v>1349</v>
      </c>
      <c r="F1187" s="48" t="s">
        <v>31</v>
      </c>
      <c r="G1187" s="14" t="b">
        <f>OR(LCI_Table[[#This Row],[Feedstock]]="All",LCI_Table[[#This Row],[Feedstock]]=SelectedFeedstock)</f>
        <v>0</v>
      </c>
      <c r="H1187" s="14" t="b">
        <f>OR(LCI_Table[[#This Row],[Conversion]]="All",LCI_Table[[#This Row],[Conversion]]=SelectedConversion)</f>
        <v>1</v>
      </c>
      <c r="I1187" s="14" t="b">
        <f>OR(LCI_Table[[#This Row],[Data Set]]="all",LCI_Table[[#This Row],[Data Set]]=SelectedDataSet)</f>
        <v>0</v>
      </c>
      <c r="J1187" s="14" t="b">
        <f>OR(LCI_Table[[#This Row],[Technology]]="All",LCI_Table[[#This Row],[Technology]]=SelectedTechnology)</f>
        <v>1</v>
      </c>
      <c r="K1187" s="14" t="b">
        <f>OR(LCI_Table[[#This Row],[Data Source]]="All",LCI_Table[[#This Row],[Data Source]]=SelectedDataSource)</f>
        <v>0</v>
      </c>
      <c r="L1187" s="14" t="b">
        <f>TRUE</f>
        <v>1</v>
      </c>
      <c r="M1187" s="14" t="b">
        <f>(LCI_Table[[#This Row],[Dev Notes]]="Do not display")</f>
        <v>0</v>
      </c>
      <c r="N1187" s="14" t="b">
        <f>AND(LCI_Table[[#This Row],[Show Feedstock]:[Conditional]],NOT(LCI_Table[[#This Row],[Hide Row]]))</f>
        <v>0</v>
      </c>
      <c r="O1187" s="14" t="b">
        <f>LCI_Table[[#This Row],[GREET1 Name Range]]=""</f>
        <v>0</v>
      </c>
      <c r="P1187" s="14" t="s">
        <v>1448</v>
      </c>
      <c r="Q1187" s="14" t="s">
        <v>476</v>
      </c>
      <c r="R1187" s="348" t="s">
        <v>108</v>
      </c>
      <c r="S1187" s="37" cm="1">
        <f t="array" aca="1" ref="S11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83.059355784356256</v>
      </c>
      <c r="T1187" s="346" t="s">
        <v>2120</v>
      </c>
      <c r="U1187" s="347">
        <f ca="1">S1187*lb2g/Fuel_Specs!$E$48*Fuel_Specs!$B$48*Fuel_Specs!$B$79*BTU2mmBTU</f>
        <v>1548.0000000000002</v>
      </c>
      <c r="V1187" s="347">
        <v>83.059355784356256</v>
      </c>
      <c r="W1187" s="347">
        <v>1548.0000000000002</v>
      </c>
      <c r="X1187" s="14" t="s">
        <v>351</v>
      </c>
      <c r="Y1187" s="346" t="s">
        <v>416</v>
      </c>
      <c r="Z1187" s="14" t="str">
        <f>IF(ISBLANK(LCI_Table[[#This Row],[Notes for user]])," ",LCI_Table[[#This Row],[Notes for user]])</f>
        <v xml:space="preserve"> </v>
      </c>
      <c r="AA1187" s="14"/>
      <c r="AB1187" s="348"/>
      <c r="AC1187" s="346">
        <f ca="1">LCI_Table[[#This Row],[Default Calculated Value]]-LCI_Table[[#This Row],[Calculated Value]]</f>
        <v>0</v>
      </c>
    </row>
    <row r="1188" spans="1:29" x14ac:dyDescent="0.3">
      <c r="A11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(GREET)(blank)_Camelina_HEFA_ElectricityGrid Electricity</v>
      </c>
      <c r="B1188" s="348" t="s">
        <v>127</v>
      </c>
      <c r="C1188" s="348" t="s">
        <v>30</v>
      </c>
      <c r="D1188" s="14" t="s">
        <v>194</v>
      </c>
      <c r="E1188" s="178" t="s">
        <v>1349</v>
      </c>
      <c r="F1188" s="48" t="s">
        <v>31</v>
      </c>
      <c r="G1188" s="14" t="b">
        <f>OR(LCI_Table[[#This Row],[Feedstock]]="All",LCI_Table[[#This Row],[Feedstock]]=SelectedFeedstock)</f>
        <v>0</v>
      </c>
      <c r="H1188" s="14" t="b">
        <f>OR(LCI_Table[[#This Row],[Conversion]]="All",LCI_Table[[#This Row],[Conversion]]=SelectedConversion)</f>
        <v>1</v>
      </c>
      <c r="I1188" s="14" t="b">
        <f>OR(LCI_Table[[#This Row],[Data Set]]="all",LCI_Table[[#This Row],[Data Set]]=SelectedDataSet)</f>
        <v>0</v>
      </c>
      <c r="J1188" s="14" t="b">
        <f>OR(LCI_Table[[#This Row],[Technology]]="All",LCI_Table[[#This Row],[Technology]]=SelectedTechnology)</f>
        <v>1</v>
      </c>
      <c r="K1188" s="14" t="b">
        <f>OR(LCI_Table[[#This Row],[Data Source]]="All",LCI_Table[[#This Row],[Data Source]]=SelectedDataSource)</f>
        <v>0</v>
      </c>
      <c r="L1188" s="14" t="b">
        <f>TRUE</f>
        <v>1</v>
      </c>
      <c r="M1188" s="14" t="b">
        <f>(LCI_Table[[#This Row],[Dev Notes]]="Do not display")</f>
        <v>0</v>
      </c>
      <c r="N1188" s="14" t="b">
        <f>AND(LCI_Table[[#This Row],[Show Feedstock]:[Conditional]],NOT(LCI_Table[[#This Row],[Hide Row]]))</f>
        <v>0</v>
      </c>
      <c r="O1188" s="14" t="b">
        <f>LCI_Table[[#This Row],[GREET1 Name Range]]=""</f>
        <v>0</v>
      </c>
      <c r="P1188" s="14" t="s">
        <v>1448</v>
      </c>
      <c r="Q1188" s="14" t="s">
        <v>474</v>
      </c>
      <c r="R1188" s="14" t="s">
        <v>1684</v>
      </c>
      <c r="S1188" s="37" cm="1">
        <f t="array" aca="1" ref="S11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1.3556377760028697</v>
      </c>
      <c r="T1188" s="346" t="s">
        <v>2121</v>
      </c>
      <c r="U1188" s="347">
        <f ca="1">S1188*lb2g/Fuel_Specs!$E$48*Fuel_Specs!$B$48/BTU2kWh*BTU2mmBTU</f>
        <v>87.699999999999974</v>
      </c>
      <c r="V1188" s="347">
        <v>1.3556377760028697</v>
      </c>
      <c r="W1188" s="347">
        <v>87.699999999999974</v>
      </c>
      <c r="X1188" s="14" t="s">
        <v>51</v>
      </c>
      <c r="Y1188" s="346" t="s">
        <v>416</v>
      </c>
      <c r="Z1188" s="14" t="str">
        <f>IF(ISBLANK(LCI_Table[[#This Row],[Notes for user]])," ",LCI_Table[[#This Row],[Notes for user]])</f>
        <v xml:space="preserve"> </v>
      </c>
      <c r="AA1188" s="14"/>
      <c r="AB1188" s="348"/>
      <c r="AC1188" s="346">
        <f ca="1">LCI_Table[[#This Row],[Default Calculated Value]]-LCI_Table[[#This Row],[Calculated Value]]</f>
        <v>0</v>
      </c>
    </row>
    <row r="1189" spans="1:29" x14ac:dyDescent="0.3">
      <c r="A11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(GREET)(blank)_Camelina_HEFA_HydrogenHydrogen</v>
      </c>
      <c r="B1189" s="348" t="s">
        <v>127</v>
      </c>
      <c r="C1189" s="348" t="s">
        <v>30</v>
      </c>
      <c r="D1189" s="14" t="s">
        <v>194</v>
      </c>
      <c r="E1189" s="178" t="s">
        <v>1349</v>
      </c>
      <c r="F1189" s="48" t="s">
        <v>31</v>
      </c>
      <c r="G1189" s="14" t="b">
        <f>OR(LCI_Table[[#This Row],[Feedstock]]="All",LCI_Table[[#This Row],[Feedstock]]=SelectedFeedstock)</f>
        <v>0</v>
      </c>
      <c r="H1189" s="14" t="b">
        <f>OR(LCI_Table[[#This Row],[Conversion]]="All",LCI_Table[[#This Row],[Conversion]]=SelectedConversion)</f>
        <v>1</v>
      </c>
      <c r="I1189" s="14" t="b">
        <f>OR(LCI_Table[[#This Row],[Data Set]]="all",LCI_Table[[#This Row],[Data Set]]=SelectedDataSet)</f>
        <v>0</v>
      </c>
      <c r="J1189" s="14" t="b">
        <f>OR(LCI_Table[[#This Row],[Technology]]="All",LCI_Table[[#This Row],[Technology]]=SelectedTechnology)</f>
        <v>1</v>
      </c>
      <c r="K1189" s="14" t="b">
        <f>OR(LCI_Table[[#This Row],[Data Source]]="All",LCI_Table[[#This Row],[Data Source]]=SelectedDataSource)</f>
        <v>0</v>
      </c>
      <c r="L1189" s="14" t="b">
        <f>TRUE</f>
        <v>1</v>
      </c>
      <c r="M1189" s="14" t="b">
        <f>(LCI_Table[[#This Row],[Dev Notes]]="Do not display")</f>
        <v>0</v>
      </c>
      <c r="N1189" s="14" t="b">
        <f>AND(LCI_Table[[#This Row],[Show Feedstock]:[Conditional]],NOT(LCI_Table[[#This Row],[Hide Row]]))</f>
        <v>0</v>
      </c>
      <c r="O1189" s="14" t="b">
        <f>LCI_Table[[#This Row],[GREET1 Name Range]]=""</f>
        <v>0</v>
      </c>
      <c r="P1189" s="14" t="s">
        <v>1448</v>
      </c>
      <c r="Q1189" s="14" t="s">
        <v>475</v>
      </c>
      <c r="R1189" s="348" t="s">
        <v>73</v>
      </c>
      <c r="S1189" s="37" cm="1">
        <f t="array" aca="1" ref="S11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315.73508405447421</v>
      </c>
      <c r="T1189" s="346" t="s">
        <v>2120</v>
      </c>
      <c r="U1189" s="347">
        <f ca="1">S1189*lb2g/Fuel_Specs!$E$48*Fuel_Specs!$B$48*Fuel_Specs!$B$81*BTU2mmBTU</f>
        <v>1736.0000000000007</v>
      </c>
      <c r="V1189" s="347">
        <v>315.73508405447421</v>
      </c>
      <c r="W1189" s="347">
        <v>1736.0000000000007</v>
      </c>
      <c r="X1189" s="14" t="s">
        <v>351</v>
      </c>
      <c r="Y1189" s="346" t="s">
        <v>416</v>
      </c>
      <c r="Z1189" s="14" t="str">
        <f>IF(ISBLANK(LCI_Table[[#This Row],[Notes for user]])," ",LCI_Table[[#This Row],[Notes for user]])</f>
        <v xml:space="preserve"> </v>
      </c>
      <c r="AA1189" s="14"/>
      <c r="AB1189" s="348"/>
      <c r="AC1189" s="346">
        <f ca="1">LCI_Table[[#This Row],[Default Calculated Value]]-LCI_Table[[#This Row],[Calculated Value]]</f>
        <v>0</v>
      </c>
    </row>
    <row r="1190" spans="1:29" x14ac:dyDescent="0.3">
      <c r="A11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CamelinaHEFAICAOUS (GREET)(blank)_Camelina_Oil_HEFA_Energy_AllocationAllocation factor</v>
      </c>
      <c r="B1190" s="14" t="s">
        <v>127</v>
      </c>
      <c r="C1190" s="14" t="s">
        <v>30</v>
      </c>
      <c r="D1190" s="14" t="s">
        <v>194</v>
      </c>
      <c r="E1190" s="178" t="s">
        <v>1349</v>
      </c>
      <c r="F1190" s="48" t="s">
        <v>31</v>
      </c>
      <c r="G1190" s="14" t="b">
        <f>OR(LCI_Table[[#This Row],[Feedstock]]="All",LCI_Table[[#This Row],[Feedstock]]=SelectedFeedstock)</f>
        <v>0</v>
      </c>
      <c r="H1190" s="14" t="b">
        <f>OR(LCI_Table[[#This Row],[Conversion]]="All",LCI_Table[[#This Row],[Conversion]]=SelectedConversion)</f>
        <v>1</v>
      </c>
      <c r="I1190" s="14" t="b">
        <f>OR(LCI_Table[[#This Row],[Data Set]]="all",LCI_Table[[#This Row],[Data Set]]=SelectedDataSet)</f>
        <v>0</v>
      </c>
      <c r="J1190" s="14" t="b">
        <f>OR(LCI_Table[[#This Row],[Technology]]="All",LCI_Table[[#This Row],[Technology]]=SelectedTechnology)</f>
        <v>1</v>
      </c>
      <c r="K1190" s="14" t="b">
        <f>OR(LCI_Table[[#This Row],[Data Source]]="All",LCI_Table[[#This Row],[Data Source]]=SelectedDataSource)</f>
        <v>0</v>
      </c>
      <c r="L1190" s="14" t="b">
        <f>TRUE</f>
        <v>1</v>
      </c>
      <c r="M1190" s="14" t="b">
        <f>(LCI_Table[[#This Row],[Dev Notes]]="Do not display")</f>
        <v>0</v>
      </c>
      <c r="N1190" s="14" t="b">
        <f>AND(LCI_Table[[#This Row],[Show Feedstock]:[Conditional]],NOT(LCI_Table[[#This Row],[Hide Row]]))</f>
        <v>0</v>
      </c>
      <c r="O1190" s="14" t="b">
        <f>LCI_Table[[#This Row],[GREET1 Name Range]]=""</f>
        <v>0</v>
      </c>
      <c r="P1190" s="14" t="s">
        <v>1448</v>
      </c>
      <c r="Q1190" s="14" t="s">
        <v>1119</v>
      </c>
      <c r="R1190" s="14" t="s">
        <v>1344</v>
      </c>
      <c r="S1190" s="37" cm="1">
        <f t="array" aca="1" ref="S11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91.298522130594534</v>
      </c>
      <c r="T1190" s="346" t="s">
        <v>1345</v>
      </c>
      <c r="U1190" s="347">
        <f ca="1">LCI_Table[[#This Row],[Dashboard Value]]/100</f>
        <v>0.91298522130594539</v>
      </c>
      <c r="V1190" s="351">
        <v>91.298522130594534</v>
      </c>
      <c r="W1190" s="351">
        <v>0.91298522130594539</v>
      </c>
      <c r="X1190" s="14" t="s">
        <v>1345</v>
      </c>
      <c r="Y1190" s="346" t="s">
        <v>416</v>
      </c>
      <c r="Z1190" s="14" t="str">
        <f>IF(ISBLANK(LCI_Table[[#This Row],[Notes for user]])," ",LCI_Table[[#This Row],[Notes for user]])</f>
        <v>Allocation to main distillate fuels (energy allocation)</v>
      </c>
      <c r="AA1190" s="14" t="s">
        <v>1353</v>
      </c>
      <c r="AB1190" s="14"/>
      <c r="AC1190" s="346">
        <f ca="1">LCI_Table[[#This Row],[Default Calculated Value]]-LCI_Table[[#This Row],[Calculated Value]]</f>
        <v>0</v>
      </c>
    </row>
    <row r="1191" spans="1:29" x14ac:dyDescent="0.3">
      <c r="A11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dash_CamelinaHEFAICAOGHGenius (Canada)(blank)_Yield_Farming</v>
      </c>
      <c r="B1191" s="48" t="s">
        <v>127</v>
      </c>
      <c r="C1191" s="48" t="s">
        <v>30</v>
      </c>
      <c r="D1191" s="48" t="s">
        <v>194</v>
      </c>
      <c r="E1191" s="48" t="s">
        <v>370</v>
      </c>
      <c r="F1191" s="48" t="s">
        <v>31</v>
      </c>
      <c r="G1191" s="14" t="b">
        <f>OR(LCI_Table[[#This Row],[Feedstock]]="All",LCI_Table[[#This Row],[Feedstock]]=SelectedFeedstock)</f>
        <v>0</v>
      </c>
      <c r="H1191" s="14" t="b">
        <f>OR(LCI_Table[[#This Row],[Conversion]]="All",LCI_Table[[#This Row],[Conversion]]=SelectedConversion)</f>
        <v>1</v>
      </c>
      <c r="I1191" s="14" t="b">
        <f>OR(LCI_Table[[#This Row],[Data Set]]="all",LCI_Table[[#This Row],[Data Set]]=SelectedDataSet)</f>
        <v>0</v>
      </c>
      <c r="J1191" s="14" t="b">
        <f>OR(LCI_Table[[#This Row],[Technology]]="All",LCI_Table[[#This Row],[Technology]]=SelectedTechnology)</f>
        <v>1</v>
      </c>
      <c r="K1191" s="14" t="b">
        <f>OR(LCI_Table[[#This Row],[Data Source]]="All",LCI_Table[[#This Row],[Data Source]]=SelectedDataSource)</f>
        <v>0</v>
      </c>
      <c r="L1191" s="14" t="b">
        <f>TRUE</f>
        <v>1</v>
      </c>
      <c r="M1191" s="14" t="b">
        <f>(LCI_Table[[#This Row],[Dev Notes]]="Do not display")</f>
        <v>0</v>
      </c>
      <c r="N1191" s="14" t="b">
        <f>AND(LCI_Table[[#This Row],[Show Feedstock]:[Conditional]],NOT(LCI_Table[[#This Row],[Hide Row]]))</f>
        <v>0</v>
      </c>
      <c r="O1191" s="14" t="b">
        <f>LCI_Table[[#This Row],[GREET1 Name Range]]=""</f>
        <v>1</v>
      </c>
      <c r="P1191" s="48" t="s">
        <v>14</v>
      </c>
      <c r="Q1191" s="14" t="s">
        <v>361</v>
      </c>
      <c r="R1191" s="48" t="s">
        <v>200</v>
      </c>
      <c r="S1191" s="37" cm="1">
        <f t="array" aca="1" ref="S11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0.6289872517364643</v>
      </c>
      <c r="T1191" s="346" t="s">
        <v>2116</v>
      </c>
      <c r="U1191" s="344"/>
      <c r="V1191" s="344">
        <v>0.6289872517364643</v>
      </c>
      <c r="W1191" s="344"/>
      <c r="X1191" s="48" t="s">
        <v>55</v>
      </c>
      <c r="Y1191" s="346" t="s">
        <v>413</v>
      </c>
      <c r="Z1191" s="14" t="str">
        <f>IF(ISBLANK(LCI_Table[[#This Row],[Notes for user]])," ",LCI_Table[[#This Row],[Notes for user]])</f>
        <v>Neupane et al. (2022); Dangol et al. (2015)</v>
      </c>
      <c r="AA1191" s="48" t="s">
        <v>916</v>
      </c>
      <c r="AB1191" s="345"/>
      <c r="AC1191" s="346">
        <f>LCI_Table[[#This Row],[Default Calculated Value]]-LCI_Table[[#This Row],[Calculated Value]]</f>
        <v>0</v>
      </c>
    </row>
    <row r="1192" spans="1:29" x14ac:dyDescent="0.3">
      <c r="A11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(Canada)(blank)_Camelina_Farming_Nitrogen_fertilizerNitrogen fertilizer</v>
      </c>
      <c r="B1192" s="14" t="s">
        <v>127</v>
      </c>
      <c r="C1192" s="14" t="s">
        <v>30</v>
      </c>
      <c r="D1192" s="14" t="s">
        <v>194</v>
      </c>
      <c r="E1192" s="14" t="s">
        <v>370</v>
      </c>
      <c r="F1192" s="48" t="s">
        <v>31</v>
      </c>
      <c r="G1192" s="14" t="b">
        <f>OR(LCI_Table[[#This Row],[Feedstock]]="All",LCI_Table[[#This Row],[Feedstock]]=SelectedFeedstock)</f>
        <v>0</v>
      </c>
      <c r="H1192" s="14" t="b">
        <f>OR(LCI_Table[[#This Row],[Conversion]]="All",LCI_Table[[#This Row],[Conversion]]=SelectedConversion)</f>
        <v>1</v>
      </c>
      <c r="I1192" s="14" t="b">
        <f>OR(LCI_Table[[#This Row],[Data Set]]="all",LCI_Table[[#This Row],[Data Set]]=SelectedDataSet)</f>
        <v>0</v>
      </c>
      <c r="J1192" s="14" t="b">
        <f>OR(LCI_Table[[#This Row],[Technology]]="All",LCI_Table[[#This Row],[Technology]]=SelectedTechnology)</f>
        <v>1</v>
      </c>
      <c r="K1192" s="14" t="b">
        <f>OR(LCI_Table[[#This Row],[Data Source]]="All",LCI_Table[[#This Row],[Data Source]]=SelectedDataSource)</f>
        <v>0</v>
      </c>
      <c r="L1192" s="14" t="b">
        <f>TRUE</f>
        <v>1</v>
      </c>
      <c r="M1192" s="14" t="b">
        <f>(LCI_Table[[#This Row],[Dev Notes]]="Do not display")</f>
        <v>0</v>
      </c>
      <c r="N1192" s="14" t="b">
        <f>AND(LCI_Table[[#This Row],[Show Feedstock]:[Conditional]],NOT(LCI_Table[[#This Row],[Hide Row]]))</f>
        <v>0</v>
      </c>
      <c r="O1192" s="14" t="b">
        <f>LCI_Table[[#This Row],[GREET1 Name Range]]=""</f>
        <v>0</v>
      </c>
      <c r="P1192" s="14" t="s">
        <v>14</v>
      </c>
      <c r="Q1192" s="14" t="s">
        <v>471</v>
      </c>
      <c r="R1192" s="14" t="s">
        <v>111</v>
      </c>
      <c r="S1192" s="37" cm="1">
        <f t="array" aca="1" ref="S11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64.534092028161226</v>
      </c>
      <c r="T1192" s="346" t="s">
        <v>1485</v>
      </c>
      <c r="U1192" s="347">
        <f ca="1">S1192/g2lb/S1191*kg2ton</f>
        <v>51.29999999999999</v>
      </c>
      <c r="V1192" s="347">
        <v>64.534092028161226</v>
      </c>
      <c r="W1192" s="347">
        <v>51.29999999999999</v>
      </c>
      <c r="X1192" s="14" t="s">
        <v>12</v>
      </c>
      <c r="Y1192" s="346" t="s">
        <v>413</v>
      </c>
      <c r="Z1192" s="14" t="str">
        <f>IF(ISBLANK(LCI_Table[[#This Row],[Notes for user]])," ",LCI_Table[[#This Row],[Notes for user]])</f>
        <v xml:space="preserve"> </v>
      </c>
      <c r="AA1192" s="14"/>
      <c r="AB1192" s="14"/>
      <c r="AC1192" s="346">
        <f ca="1">LCI_Table[[#This Row],[Default Calculated Value]]-LCI_Table[[#This Row],[Calculated Value]]</f>
        <v>0</v>
      </c>
    </row>
    <row r="1193" spans="1:29" x14ac:dyDescent="0.3">
      <c r="A11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(Canada)(blank)_Camelina_Farming_P2O5P2O5</v>
      </c>
      <c r="B1193" s="14" t="s">
        <v>127</v>
      </c>
      <c r="C1193" s="14" t="s">
        <v>30</v>
      </c>
      <c r="D1193" s="14" t="s">
        <v>194</v>
      </c>
      <c r="E1193" s="14" t="s">
        <v>370</v>
      </c>
      <c r="F1193" s="48" t="s">
        <v>31</v>
      </c>
      <c r="G1193" s="14" t="b">
        <f>OR(LCI_Table[[#This Row],[Feedstock]]="All",LCI_Table[[#This Row],[Feedstock]]=SelectedFeedstock)</f>
        <v>0</v>
      </c>
      <c r="H1193" s="14" t="b">
        <f>OR(LCI_Table[[#This Row],[Conversion]]="All",LCI_Table[[#This Row],[Conversion]]=SelectedConversion)</f>
        <v>1</v>
      </c>
      <c r="I1193" s="14" t="b">
        <f>OR(LCI_Table[[#This Row],[Data Set]]="all",LCI_Table[[#This Row],[Data Set]]=SelectedDataSet)</f>
        <v>0</v>
      </c>
      <c r="J1193" s="14" t="b">
        <f>OR(LCI_Table[[#This Row],[Technology]]="All",LCI_Table[[#This Row],[Technology]]=SelectedTechnology)</f>
        <v>1</v>
      </c>
      <c r="K1193" s="14" t="b">
        <f>OR(LCI_Table[[#This Row],[Data Source]]="All",LCI_Table[[#This Row],[Data Source]]=SelectedDataSource)</f>
        <v>0</v>
      </c>
      <c r="L1193" s="14" t="b">
        <f>TRUE</f>
        <v>1</v>
      </c>
      <c r="M1193" s="14" t="b">
        <f>(LCI_Table[[#This Row],[Dev Notes]]="Do not display")</f>
        <v>0</v>
      </c>
      <c r="N1193" s="14" t="b">
        <f>AND(LCI_Table[[#This Row],[Show Feedstock]:[Conditional]],NOT(LCI_Table[[#This Row],[Hide Row]]))</f>
        <v>0</v>
      </c>
      <c r="O1193" s="14" t="b">
        <f>LCI_Table[[#This Row],[GREET1 Name Range]]=""</f>
        <v>0</v>
      </c>
      <c r="P1193" s="14" t="s">
        <v>14</v>
      </c>
      <c r="Q1193" s="14" t="s">
        <v>472</v>
      </c>
      <c r="R1193" s="14" t="s">
        <v>112</v>
      </c>
      <c r="S1193" s="37" cm="1">
        <f t="array" aca="1" ref="S11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32.204147288906974</v>
      </c>
      <c r="T1193" s="346" t="s">
        <v>1485</v>
      </c>
      <c r="U1193" s="347">
        <f ca="1">S1193/g2lb/S1191*kg2ton</f>
        <v>25.6</v>
      </c>
      <c r="V1193" s="347">
        <v>32.204147288906974</v>
      </c>
      <c r="W1193" s="347">
        <v>25.6</v>
      </c>
      <c r="X1193" s="14" t="s">
        <v>12</v>
      </c>
      <c r="Y1193" s="346" t="s">
        <v>413</v>
      </c>
      <c r="Z1193" s="14" t="str">
        <f>IF(ISBLANK(LCI_Table[[#This Row],[Notes for user]])," ",LCI_Table[[#This Row],[Notes for user]])</f>
        <v xml:space="preserve"> </v>
      </c>
      <c r="AA1193" s="14"/>
      <c r="AB1193" s="14"/>
      <c r="AC1193" s="346">
        <f ca="1">LCI_Table[[#This Row],[Default Calculated Value]]-LCI_Table[[#This Row],[Calculated Value]]</f>
        <v>0</v>
      </c>
    </row>
    <row r="1194" spans="1:29" x14ac:dyDescent="0.3">
      <c r="A11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(Canada)(blank)_Camelina_Farming_K2OK2O</v>
      </c>
      <c r="B1194" s="14" t="s">
        <v>127</v>
      </c>
      <c r="C1194" s="14" t="s">
        <v>30</v>
      </c>
      <c r="D1194" s="14" t="s">
        <v>194</v>
      </c>
      <c r="E1194" s="14" t="s">
        <v>370</v>
      </c>
      <c r="F1194" s="48" t="s">
        <v>31</v>
      </c>
      <c r="G1194" s="14" t="b">
        <f>OR(LCI_Table[[#This Row],[Feedstock]]="All",LCI_Table[[#This Row],[Feedstock]]=SelectedFeedstock)</f>
        <v>0</v>
      </c>
      <c r="H1194" s="14" t="b">
        <f>OR(LCI_Table[[#This Row],[Conversion]]="All",LCI_Table[[#This Row],[Conversion]]=SelectedConversion)</f>
        <v>1</v>
      </c>
      <c r="I1194" s="14" t="b">
        <f>OR(LCI_Table[[#This Row],[Data Set]]="all",LCI_Table[[#This Row],[Data Set]]=SelectedDataSet)</f>
        <v>0</v>
      </c>
      <c r="J1194" s="14" t="b">
        <f>OR(LCI_Table[[#This Row],[Technology]]="All",LCI_Table[[#This Row],[Technology]]=SelectedTechnology)</f>
        <v>1</v>
      </c>
      <c r="K1194" s="14" t="b">
        <f>OR(LCI_Table[[#This Row],[Data Source]]="All",LCI_Table[[#This Row],[Data Source]]=SelectedDataSource)</f>
        <v>0</v>
      </c>
      <c r="L1194" s="14" t="b">
        <f>TRUE</f>
        <v>1</v>
      </c>
      <c r="M1194" s="14" t="b">
        <f>(LCI_Table[[#This Row],[Dev Notes]]="Do not display")</f>
        <v>0</v>
      </c>
      <c r="N1194" s="14" t="b">
        <f>AND(LCI_Table[[#This Row],[Show Feedstock]:[Conditional]],NOT(LCI_Table[[#This Row],[Hide Row]]))</f>
        <v>0</v>
      </c>
      <c r="O1194" s="14" t="b">
        <f>LCI_Table[[#This Row],[GREET1 Name Range]]=""</f>
        <v>0</v>
      </c>
      <c r="P1194" s="14" t="s">
        <v>14</v>
      </c>
      <c r="Q1194" s="14" t="s">
        <v>468</v>
      </c>
      <c r="R1194" s="14" t="s">
        <v>113</v>
      </c>
      <c r="S1194" s="37" cm="1">
        <f t="array" aca="1" ref="S11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94" s="346" t="s">
        <v>1485</v>
      </c>
      <c r="U1194" s="347">
        <f ca="1">S1194/g2lb/S1191*kg2ton</f>
        <v>0</v>
      </c>
      <c r="V1194" s="347">
        <v>0</v>
      </c>
      <c r="W1194" s="347">
        <v>0</v>
      </c>
      <c r="X1194" s="14" t="s">
        <v>12</v>
      </c>
      <c r="Y1194" s="346" t="s">
        <v>413</v>
      </c>
      <c r="Z1194" s="14" t="str">
        <f>IF(ISBLANK(LCI_Table[[#This Row],[Notes for user]])," ",LCI_Table[[#This Row],[Notes for user]])</f>
        <v xml:space="preserve"> </v>
      </c>
      <c r="AA1194" s="14"/>
      <c r="AB1194" s="14"/>
      <c r="AC1194" s="346">
        <f ca="1">LCI_Table[[#This Row],[Default Calculated Value]]-LCI_Table[[#This Row],[Calculated Value]]</f>
        <v>0</v>
      </c>
    </row>
    <row r="1195" spans="1:29" x14ac:dyDescent="0.3">
      <c r="A11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(Canada)(blank)_Camelina_Farming_CaCO3CaCO3</v>
      </c>
      <c r="B1195" s="14" t="s">
        <v>127</v>
      </c>
      <c r="C1195" s="14" t="s">
        <v>30</v>
      </c>
      <c r="D1195" s="14" t="s">
        <v>194</v>
      </c>
      <c r="E1195" s="14" t="s">
        <v>370</v>
      </c>
      <c r="F1195" s="48" t="s">
        <v>31</v>
      </c>
      <c r="G1195" s="14" t="b">
        <f>OR(LCI_Table[[#This Row],[Feedstock]]="All",LCI_Table[[#This Row],[Feedstock]]=SelectedFeedstock)</f>
        <v>0</v>
      </c>
      <c r="H1195" s="14" t="b">
        <f>OR(LCI_Table[[#This Row],[Conversion]]="All",LCI_Table[[#This Row],[Conversion]]=SelectedConversion)</f>
        <v>1</v>
      </c>
      <c r="I1195" s="14" t="b">
        <f>OR(LCI_Table[[#This Row],[Data Set]]="all",LCI_Table[[#This Row],[Data Set]]=SelectedDataSet)</f>
        <v>0</v>
      </c>
      <c r="J1195" s="14" t="b">
        <f>OR(LCI_Table[[#This Row],[Technology]]="All",LCI_Table[[#This Row],[Technology]]=SelectedTechnology)</f>
        <v>1</v>
      </c>
      <c r="K1195" s="14" t="b">
        <f>OR(LCI_Table[[#This Row],[Data Source]]="All",LCI_Table[[#This Row],[Data Source]]=SelectedDataSource)</f>
        <v>0</v>
      </c>
      <c r="L1195" s="14" t="b">
        <f>TRUE</f>
        <v>1</v>
      </c>
      <c r="M1195" s="14" t="b">
        <f>(LCI_Table[[#This Row],[Dev Notes]]="Do not display")</f>
        <v>0</v>
      </c>
      <c r="N1195" s="14" t="b">
        <f>AND(LCI_Table[[#This Row],[Show Feedstock]:[Conditional]],NOT(LCI_Table[[#This Row],[Hide Row]]))</f>
        <v>0</v>
      </c>
      <c r="O1195" s="14" t="b">
        <f>LCI_Table[[#This Row],[GREET1 Name Range]]=""</f>
        <v>0</v>
      </c>
      <c r="P1195" s="14" t="s">
        <v>14</v>
      </c>
      <c r="Q1195" s="14" t="s">
        <v>461</v>
      </c>
      <c r="R1195" s="14" t="s">
        <v>141</v>
      </c>
      <c r="S1195" s="37" cm="1">
        <f t="array" aca="1" ref="S11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95" s="346" t="s">
        <v>1485</v>
      </c>
      <c r="U1195" s="347">
        <f ca="1">S1195/g2lb/S1191*kg2ton</f>
        <v>0</v>
      </c>
      <c r="V1195" s="347">
        <v>0</v>
      </c>
      <c r="W1195" s="347">
        <v>0</v>
      </c>
      <c r="X1195" s="14" t="s">
        <v>12</v>
      </c>
      <c r="Y1195" s="346" t="s">
        <v>413</v>
      </c>
      <c r="Z1195" s="14" t="str">
        <f>IF(ISBLANK(LCI_Table[[#This Row],[Notes for user]])," ",LCI_Table[[#This Row],[Notes for user]])</f>
        <v xml:space="preserve"> </v>
      </c>
      <c r="AA1195" s="14"/>
      <c r="AB1195" s="14"/>
      <c r="AC1195" s="346">
        <f ca="1">LCI_Table[[#This Row],[Default Calculated Value]]-LCI_Table[[#This Row],[Calculated Value]]</f>
        <v>0</v>
      </c>
    </row>
    <row r="1196" spans="1:29" x14ac:dyDescent="0.3">
      <c r="A11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(Canada)(blank)_Camelina_Farming_HerbicidesHerbicides</v>
      </c>
      <c r="B1196" s="14" t="s">
        <v>127</v>
      </c>
      <c r="C1196" s="14" t="s">
        <v>30</v>
      </c>
      <c r="D1196" s="14" t="s">
        <v>194</v>
      </c>
      <c r="E1196" s="14" t="s">
        <v>370</v>
      </c>
      <c r="F1196" s="48" t="s">
        <v>31</v>
      </c>
      <c r="G1196" s="14" t="b">
        <f>OR(LCI_Table[[#This Row],[Feedstock]]="All",LCI_Table[[#This Row],[Feedstock]]=SelectedFeedstock)</f>
        <v>0</v>
      </c>
      <c r="H1196" s="14" t="b">
        <f>OR(LCI_Table[[#This Row],[Conversion]]="All",LCI_Table[[#This Row],[Conversion]]=SelectedConversion)</f>
        <v>1</v>
      </c>
      <c r="I1196" s="14" t="b">
        <f>OR(LCI_Table[[#This Row],[Data Set]]="all",LCI_Table[[#This Row],[Data Set]]=SelectedDataSet)</f>
        <v>0</v>
      </c>
      <c r="J1196" s="14" t="b">
        <f>OR(LCI_Table[[#This Row],[Technology]]="All",LCI_Table[[#This Row],[Technology]]=SelectedTechnology)</f>
        <v>1</v>
      </c>
      <c r="K1196" s="14" t="b">
        <f>OR(LCI_Table[[#This Row],[Data Source]]="All",LCI_Table[[#This Row],[Data Source]]=SelectedDataSource)</f>
        <v>0</v>
      </c>
      <c r="L1196" s="14" t="b">
        <f>TRUE</f>
        <v>1</v>
      </c>
      <c r="M1196" s="14" t="b">
        <f>(LCI_Table[[#This Row],[Dev Notes]]="Do not display")</f>
        <v>0</v>
      </c>
      <c r="N1196" s="14" t="b">
        <f>AND(LCI_Table[[#This Row],[Show Feedstock]:[Conditional]],NOT(LCI_Table[[#This Row],[Hide Row]]))</f>
        <v>0</v>
      </c>
      <c r="O1196" s="14" t="b">
        <f>LCI_Table[[#This Row],[GREET1 Name Range]]=""</f>
        <v>0</v>
      </c>
      <c r="P1196" s="14" t="s">
        <v>14</v>
      </c>
      <c r="Q1196" s="14" t="s">
        <v>466</v>
      </c>
      <c r="R1196" s="14" t="s">
        <v>356</v>
      </c>
      <c r="S1196" s="37" cm="1">
        <f t="array" aca="1" ref="S11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1.2579745034729286</v>
      </c>
      <c r="T1196" s="346" t="s">
        <v>1485</v>
      </c>
      <c r="U1196" s="347">
        <f ca="1">S1196/g2lb/S1191*kg2ton</f>
        <v>0.99999999999999989</v>
      </c>
      <c r="V1196" s="347">
        <v>1.2579745034729286</v>
      </c>
      <c r="W1196" s="347">
        <v>0.99999999999999989</v>
      </c>
      <c r="X1196" s="14" t="s">
        <v>12</v>
      </c>
      <c r="Y1196" s="346" t="s">
        <v>413</v>
      </c>
      <c r="Z1196" s="14" t="str">
        <f>IF(ISBLANK(LCI_Table[[#This Row],[Notes for user]])," ",LCI_Table[[#This Row],[Notes for user]])</f>
        <v xml:space="preserve"> </v>
      </c>
      <c r="AA1196" s="14"/>
      <c r="AB1196" s="14"/>
      <c r="AC1196" s="346">
        <f ca="1">LCI_Table[[#This Row],[Default Calculated Value]]-LCI_Table[[#This Row],[Calculated Value]]</f>
        <v>0</v>
      </c>
    </row>
    <row r="1197" spans="1:29" x14ac:dyDescent="0.3">
      <c r="A11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(Canada)(blank)_Camelina_Farming_InsecticideInsecticide</v>
      </c>
      <c r="B1197" s="14" t="s">
        <v>127</v>
      </c>
      <c r="C1197" s="14" t="s">
        <v>30</v>
      </c>
      <c r="D1197" s="14" t="s">
        <v>194</v>
      </c>
      <c r="E1197" s="14" t="s">
        <v>370</v>
      </c>
      <c r="F1197" s="48" t="s">
        <v>31</v>
      </c>
      <c r="G1197" s="14" t="b">
        <f>OR(LCI_Table[[#This Row],[Feedstock]]="All",LCI_Table[[#This Row],[Feedstock]]=SelectedFeedstock)</f>
        <v>0</v>
      </c>
      <c r="H1197" s="14" t="b">
        <f>OR(LCI_Table[[#This Row],[Conversion]]="All",LCI_Table[[#This Row],[Conversion]]=SelectedConversion)</f>
        <v>1</v>
      </c>
      <c r="I1197" s="14" t="b">
        <f>OR(LCI_Table[[#This Row],[Data Set]]="all",LCI_Table[[#This Row],[Data Set]]=SelectedDataSet)</f>
        <v>0</v>
      </c>
      <c r="J1197" s="14" t="b">
        <f>OR(LCI_Table[[#This Row],[Technology]]="All",LCI_Table[[#This Row],[Technology]]=SelectedTechnology)</f>
        <v>1</v>
      </c>
      <c r="K1197" s="14" t="b">
        <f>OR(LCI_Table[[#This Row],[Data Source]]="All",LCI_Table[[#This Row],[Data Source]]=SelectedDataSource)</f>
        <v>0</v>
      </c>
      <c r="L1197" s="14" t="b">
        <f>TRUE</f>
        <v>1</v>
      </c>
      <c r="M1197" s="14" t="b">
        <f>(LCI_Table[[#This Row],[Dev Notes]]="Do not display")</f>
        <v>0</v>
      </c>
      <c r="N1197" s="14" t="b">
        <f>AND(LCI_Table[[#This Row],[Show Feedstock]:[Conditional]],NOT(LCI_Table[[#This Row],[Hide Row]]))</f>
        <v>0</v>
      </c>
      <c r="O1197" s="14" t="b">
        <f>LCI_Table[[#This Row],[GREET1 Name Range]]=""</f>
        <v>0</v>
      </c>
      <c r="P1197" s="14" t="s">
        <v>14</v>
      </c>
      <c r="Q1197" s="14" t="s">
        <v>467</v>
      </c>
      <c r="R1197" s="14" t="s">
        <v>114</v>
      </c>
      <c r="S1197" s="37" cm="1">
        <f t="array" aca="1" ref="S11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97" s="346" t="s">
        <v>1485</v>
      </c>
      <c r="U1197" s="347">
        <f ca="1">S1197/g2lb/S1191*kg2ton</f>
        <v>0</v>
      </c>
      <c r="V1197" s="347">
        <v>0</v>
      </c>
      <c r="W1197" s="347">
        <v>0</v>
      </c>
      <c r="X1197" s="14" t="s">
        <v>12</v>
      </c>
      <c r="Y1197" s="346" t="s">
        <v>413</v>
      </c>
      <c r="Z1197" s="14" t="str">
        <f>IF(ISBLANK(LCI_Table[[#This Row],[Notes for user]])," ",LCI_Table[[#This Row],[Notes for user]])</f>
        <v xml:space="preserve"> </v>
      </c>
      <c r="AA1197" s="14"/>
      <c r="AB1197" s="14"/>
      <c r="AC1197" s="346">
        <f ca="1">LCI_Table[[#This Row],[Default Calculated Value]]-LCI_Table[[#This Row],[Calculated Value]]</f>
        <v>0</v>
      </c>
    </row>
    <row r="1198" spans="1:29" x14ac:dyDescent="0.3">
      <c r="A11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(Canada)(blank)_Camelina_Farming_Residual_oilResidual oil</v>
      </c>
      <c r="B1198" s="14" t="s">
        <v>127</v>
      </c>
      <c r="C1198" s="14" t="s">
        <v>30</v>
      </c>
      <c r="D1198" s="14" t="s">
        <v>194</v>
      </c>
      <c r="E1198" s="14" t="s">
        <v>370</v>
      </c>
      <c r="F1198" s="48" t="s">
        <v>31</v>
      </c>
      <c r="G1198" s="14" t="b">
        <f>OR(LCI_Table[[#This Row],[Feedstock]]="All",LCI_Table[[#This Row],[Feedstock]]=SelectedFeedstock)</f>
        <v>0</v>
      </c>
      <c r="H1198" s="14" t="b">
        <f>OR(LCI_Table[[#This Row],[Conversion]]="All",LCI_Table[[#This Row],[Conversion]]=SelectedConversion)</f>
        <v>1</v>
      </c>
      <c r="I1198" s="14" t="b">
        <f>OR(LCI_Table[[#This Row],[Data Set]]="all",LCI_Table[[#This Row],[Data Set]]=SelectedDataSet)</f>
        <v>0</v>
      </c>
      <c r="J1198" s="14" t="b">
        <f>OR(LCI_Table[[#This Row],[Technology]]="All",LCI_Table[[#This Row],[Technology]]=SelectedTechnology)</f>
        <v>1</v>
      </c>
      <c r="K1198" s="14" t="b">
        <f>OR(LCI_Table[[#This Row],[Data Source]]="All",LCI_Table[[#This Row],[Data Source]]=SelectedDataSource)</f>
        <v>0</v>
      </c>
      <c r="L1198" s="14" t="b">
        <f>TRUE</f>
        <v>1</v>
      </c>
      <c r="M1198" s="14" t="b">
        <f>(LCI_Table[[#This Row],[Dev Notes]]="Do not display")</f>
        <v>0</v>
      </c>
      <c r="N1198" s="14" t="b">
        <f>AND(LCI_Table[[#This Row],[Show Feedstock]:[Conditional]],NOT(LCI_Table[[#This Row],[Hide Row]]))</f>
        <v>0</v>
      </c>
      <c r="O1198" s="14" t="b">
        <f>LCI_Table[[#This Row],[GREET1 Name Range]]=""</f>
        <v>0</v>
      </c>
      <c r="P1198" s="14" t="s">
        <v>14</v>
      </c>
      <c r="Q1198" s="14" t="s">
        <v>473</v>
      </c>
      <c r="R1198" s="14" t="s">
        <v>115</v>
      </c>
      <c r="S1198" s="37" cm="1">
        <f t="array" aca="1" ref="S11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198" s="346" t="s">
        <v>1484</v>
      </c>
      <c r="U1198" s="347">
        <f ca="1">S1198*Fuel_Specs!$B$28/S1191*kg2ton</f>
        <v>0</v>
      </c>
      <c r="V1198" s="347">
        <v>0</v>
      </c>
      <c r="W1198" s="347">
        <v>0</v>
      </c>
      <c r="X1198" s="14" t="s">
        <v>5</v>
      </c>
      <c r="Y1198" s="346" t="s">
        <v>413</v>
      </c>
      <c r="Z1198" s="14" t="str">
        <f>IF(ISBLANK(LCI_Table[[#This Row],[Notes for user]])," ",LCI_Table[[#This Row],[Notes for user]])</f>
        <v xml:space="preserve"> </v>
      </c>
      <c r="AA1198" s="14"/>
      <c r="AB1198" s="14"/>
      <c r="AC1198" s="346">
        <f ca="1">LCI_Table[[#This Row],[Default Calculated Value]]-LCI_Table[[#This Row],[Calculated Value]]</f>
        <v>0</v>
      </c>
    </row>
    <row r="1199" spans="1:29" x14ac:dyDescent="0.3">
      <c r="A11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(Canada)(blank)_Camelina_Farming_DieselDiesel</v>
      </c>
      <c r="B1199" s="14" t="s">
        <v>127</v>
      </c>
      <c r="C1199" s="14" t="s">
        <v>30</v>
      </c>
      <c r="D1199" s="14" t="s">
        <v>194</v>
      </c>
      <c r="E1199" s="14" t="s">
        <v>370</v>
      </c>
      <c r="F1199" s="48" t="s">
        <v>31</v>
      </c>
      <c r="G1199" s="14" t="b">
        <f>OR(LCI_Table[[#This Row],[Feedstock]]="All",LCI_Table[[#This Row],[Feedstock]]=SelectedFeedstock)</f>
        <v>0</v>
      </c>
      <c r="H1199" s="14" t="b">
        <f>OR(LCI_Table[[#This Row],[Conversion]]="All",LCI_Table[[#This Row],[Conversion]]=SelectedConversion)</f>
        <v>1</v>
      </c>
      <c r="I1199" s="14" t="b">
        <f>OR(LCI_Table[[#This Row],[Data Set]]="all",LCI_Table[[#This Row],[Data Set]]=SelectedDataSet)</f>
        <v>0</v>
      </c>
      <c r="J1199" s="14" t="b">
        <f>OR(LCI_Table[[#This Row],[Technology]]="All",LCI_Table[[#This Row],[Technology]]=SelectedTechnology)</f>
        <v>1</v>
      </c>
      <c r="K1199" s="14" t="b">
        <f>OR(LCI_Table[[#This Row],[Data Source]]="All",LCI_Table[[#This Row],[Data Source]]=SelectedDataSource)</f>
        <v>0</v>
      </c>
      <c r="L1199" s="14" t="b">
        <f>TRUE</f>
        <v>1</v>
      </c>
      <c r="M1199" s="14" t="b">
        <f>(LCI_Table[[#This Row],[Dev Notes]]="Do not display")</f>
        <v>0</v>
      </c>
      <c r="N1199" s="14" t="b">
        <f>AND(LCI_Table[[#This Row],[Show Feedstock]:[Conditional]],NOT(LCI_Table[[#This Row],[Hide Row]]))</f>
        <v>0</v>
      </c>
      <c r="O1199" s="14" t="b">
        <f>LCI_Table[[#This Row],[GREET1 Name Range]]=""</f>
        <v>0</v>
      </c>
      <c r="P1199" s="14" t="s">
        <v>14</v>
      </c>
      <c r="Q1199" s="14" t="s">
        <v>463</v>
      </c>
      <c r="R1199" s="14" t="s">
        <v>106</v>
      </c>
      <c r="S1199" s="37" cm="1">
        <f t="array" aca="1" ref="S11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4.7443281876768246</v>
      </c>
      <c r="T1199" s="346" t="s">
        <v>1484</v>
      </c>
      <c r="U1199" s="347">
        <f ca="1">S1199*Fuel_Specs!$B$19/S1191*kg2ton</f>
        <v>1068</v>
      </c>
      <c r="V1199" s="347">
        <v>4.7443281876768246</v>
      </c>
      <c r="W1199" s="347">
        <v>1068</v>
      </c>
      <c r="X1199" s="14" t="s">
        <v>5</v>
      </c>
      <c r="Y1199" s="346" t="s">
        <v>413</v>
      </c>
      <c r="Z1199" s="14" t="str">
        <f>IF(ISBLANK(LCI_Table[[#This Row],[Notes for user]])," ",LCI_Table[[#This Row],[Notes for user]])</f>
        <v xml:space="preserve"> </v>
      </c>
      <c r="AA1199" s="14"/>
      <c r="AB1199" s="14"/>
      <c r="AC1199" s="346">
        <f ca="1">LCI_Table[[#This Row],[Default Calculated Value]]-LCI_Table[[#This Row],[Calculated Value]]</f>
        <v>0</v>
      </c>
    </row>
    <row r="1200" spans="1:29" x14ac:dyDescent="0.3">
      <c r="A12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(Canada)(blank)_Camelina_Farming_GasolineGasoline</v>
      </c>
      <c r="B1200" s="14" t="s">
        <v>127</v>
      </c>
      <c r="C1200" s="14" t="s">
        <v>30</v>
      </c>
      <c r="D1200" s="14" t="s">
        <v>194</v>
      </c>
      <c r="E1200" s="14" t="s">
        <v>370</v>
      </c>
      <c r="F1200" s="48" t="s">
        <v>31</v>
      </c>
      <c r="G1200" s="14" t="b">
        <f>OR(LCI_Table[[#This Row],[Feedstock]]="All",LCI_Table[[#This Row],[Feedstock]]=SelectedFeedstock)</f>
        <v>0</v>
      </c>
      <c r="H1200" s="14" t="b">
        <f>OR(LCI_Table[[#This Row],[Conversion]]="All",LCI_Table[[#This Row],[Conversion]]=SelectedConversion)</f>
        <v>1</v>
      </c>
      <c r="I1200" s="14" t="b">
        <f>OR(LCI_Table[[#This Row],[Data Set]]="all",LCI_Table[[#This Row],[Data Set]]=SelectedDataSet)</f>
        <v>0</v>
      </c>
      <c r="J1200" s="14" t="b">
        <f>OR(LCI_Table[[#This Row],[Technology]]="All",LCI_Table[[#This Row],[Technology]]=SelectedTechnology)</f>
        <v>1</v>
      </c>
      <c r="K1200" s="14" t="b">
        <f>OR(LCI_Table[[#This Row],[Data Source]]="All",LCI_Table[[#This Row],[Data Source]]=SelectedDataSource)</f>
        <v>0</v>
      </c>
      <c r="L1200" s="14" t="b">
        <f>TRUE</f>
        <v>1</v>
      </c>
      <c r="M1200" s="14" t="b">
        <f>(LCI_Table[[#This Row],[Dev Notes]]="Do not display")</f>
        <v>0</v>
      </c>
      <c r="N1200" s="14" t="b">
        <f>AND(LCI_Table[[#This Row],[Show Feedstock]:[Conditional]],NOT(LCI_Table[[#This Row],[Hide Row]]))</f>
        <v>0</v>
      </c>
      <c r="O1200" s="14" t="b">
        <f>LCI_Table[[#This Row],[GREET1 Name Range]]=""</f>
        <v>0</v>
      </c>
      <c r="P1200" s="14" t="s">
        <v>14</v>
      </c>
      <c r="Q1200" s="14" t="s">
        <v>465</v>
      </c>
      <c r="R1200" s="14" t="s">
        <v>107</v>
      </c>
      <c r="S1200" s="37" cm="1">
        <f t="array" aca="1" ref="S12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00" s="346" t="s">
        <v>1484</v>
      </c>
      <c r="U1200" s="347">
        <f ca="1">S1200*Fuel_Specs!$B$15/S1191*kg2ton</f>
        <v>0</v>
      </c>
      <c r="V1200" s="347">
        <v>0</v>
      </c>
      <c r="W1200" s="347">
        <v>0</v>
      </c>
      <c r="X1200" s="14" t="s">
        <v>5</v>
      </c>
      <c r="Y1200" s="346" t="s">
        <v>413</v>
      </c>
      <c r="Z1200" s="14" t="str">
        <f>IF(ISBLANK(LCI_Table[[#This Row],[Notes for user]])," ",LCI_Table[[#This Row],[Notes for user]])</f>
        <v xml:space="preserve"> </v>
      </c>
      <c r="AA1200" s="14"/>
      <c r="AB1200" s="14"/>
      <c r="AC1200" s="346">
        <f ca="1">LCI_Table[[#This Row],[Default Calculated Value]]-LCI_Table[[#This Row],[Calculated Value]]</f>
        <v>0</v>
      </c>
    </row>
    <row r="1201" spans="1:29" x14ac:dyDescent="0.3">
      <c r="A12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(Canada)(blank)_Camelina_Farming_Natural_gasNatural gas</v>
      </c>
      <c r="B1201" s="14" t="s">
        <v>127</v>
      </c>
      <c r="C1201" s="14" t="s">
        <v>30</v>
      </c>
      <c r="D1201" s="14" t="s">
        <v>194</v>
      </c>
      <c r="E1201" s="14" t="s">
        <v>370</v>
      </c>
      <c r="F1201" s="48" t="s">
        <v>31</v>
      </c>
      <c r="G1201" s="14" t="b">
        <f>OR(LCI_Table[[#This Row],[Feedstock]]="All",LCI_Table[[#This Row],[Feedstock]]=SelectedFeedstock)</f>
        <v>0</v>
      </c>
      <c r="H1201" s="14" t="b">
        <f>OR(LCI_Table[[#This Row],[Conversion]]="All",LCI_Table[[#This Row],[Conversion]]=SelectedConversion)</f>
        <v>1</v>
      </c>
      <c r="I1201" s="14" t="b">
        <f>OR(LCI_Table[[#This Row],[Data Set]]="all",LCI_Table[[#This Row],[Data Set]]=SelectedDataSet)</f>
        <v>0</v>
      </c>
      <c r="J1201" s="14" t="b">
        <f>OR(LCI_Table[[#This Row],[Technology]]="All",LCI_Table[[#This Row],[Technology]]=SelectedTechnology)</f>
        <v>1</v>
      </c>
      <c r="K1201" s="14" t="b">
        <f>OR(LCI_Table[[#This Row],[Data Source]]="All",LCI_Table[[#This Row],[Data Source]]=SelectedDataSource)</f>
        <v>0</v>
      </c>
      <c r="L1201" s="14" t="b">
        <f>TRUE</f>
        <v>1</v>
      </c>
      <c r="M1201" s="14" t="b">
        <f>(LCI_Table[[#This Row],[Dev Notes]]="Do not display")</f>
        <v>0</v>
      </c>
      <c r="N1201" s="14" t="b">
        <f>AND(LCI_Table[[#This Row],[Show Feedstock]:[Conditional]],NOT(LCI_Table[[#This Row],[Hide Row]]))</f>
        <v>0</v>
      </c>
      <c r="O1201" s="14" t="b">
        <f>LCI_Table[[#This Row],[GREET1 Name Range]]=""</f>
        <v>0</v>
      </c>
      <c r="P1201" s="14" t="s">
        <v>14</v>
      </c>
      <c r="Q1201" s="14" t="s">
        <v>470</v>
      </c>
      <c r="R1201" s="14" t="s">
        <v>108</v>
      </c>
      <c r="S1201" s="37" cm="1">
        <f t="array" aca="1" ref="S12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01" s="346" t="s">
        <v>2109</v>
      </c>
      <c r="U1201" s="347">
        <f ca="1">S1201*Fuel_Specs!$B$79/S1191*kg2ton</f>
        <v>0</v>
      </c>
      <c r="V1201" s="347">
        <v>0</v>
      </c>
      <c r="W1201" s="347">
        <v>0</v>
      </c>
      <c r="X1201" s="14" t="s">
        <v>351</v>
      </c>
      <c r="Y1201" s="346" t="s">
        <v>413</v>
      </c>
      <c r="Z1201" s="14" t="str">
        <f>IF(ISBLANK(LCI_Table[[#This Row],[Notes for user]])," ",LCI_Table[[#This Row],[Notes for user]])</f>
        <v xml:space="preserve"> </v>
      </c>
      <c r="AA1201" s="14"/>
      <c r="AB1201" s="14"/>
      <c r="AC1201" s="346">
        <f ca="1">LCI_Table[[#This Row],[Default Calculated Value]]-LCI_Table[[#This Row],[Calculated Value]]</f>
        <v>0</v>
      </c>
    </row>
    <row r="1202" spans="1:29" x14ac:dyDescent="0.3">
      <c r="A12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(Canada)(blank)_Camelina_Farming_CoalCoal</v>
      </c>
      <c r="B1202" s="14" t="s">
        <v>127</v>
      </c>
      <c r="C1202" s="14" t="s">
        <v>30</v>
      </c>
      <c r="D1202" s="14" t="s">
        <v>194</v>
      </c>
      <c r="E1202" s="14" t="s">
        <v>370</v>
      </c>
      <c r="F1202" s="48" t="s">
        <v>31</v>
      </c>
      <c r="G1202" s="14" t="b">
        <f>OR(LCI_Table[[#This Row],[Feedstock]]="All",LCI_Table[[#This Row],[Feedstock]]=SelectedFeedstock)</f>
        <v>0</v>
      </c>
      <c r="H1202" s="14" t="b">
        <f>OR(LCI_Table[[#This Row],[Conversion]]="All",LCI_Table[[#This Row],[Conversion]]=SelectedConversion)</f>
        <v>1</v>
      </c>
      <c r="I1202" s="14" t="b">
        <f>OR(LCI_Table[[#This Row],[Data Set]]="all",LCI_Table[[#This Row],[Data Set]]=SelectedDataSet)</f>
        <v>0</v>
      </c>
      <c r="J1202" s="14" t="b">
        <f>OR(LCI_Table[[#This Row],[Technology]]="All",LCI_Table[[#This Row],[Technology]]=SelectedTechnology)</f>
        <v>1</v>
      </c>
      <c r="K1202" s="14" t="b">
        <f>OR(LCI_Table[[#This Row],[Data Source]]="All",LCI_Table[[#This Row],[Data Source]]=SelectedDataSource)</f>
        <v>0</v>
      </c>
      <c r="L1202" s="14" t="b">
        <f>TRUE</f>
        <v>1</v>
      </c>
      <c r="M1202" s="14" t="b">
        <f>(LCI_Table[[#This Row],[Dev Notes]]="Do not display")</f>
        <v>0</v>
      </c>
      <c r="N1202" s="14" t="b">
        <f>AND(LCI_Table[[#This Row],[Show Feedstock]:[Conditional]],NOT(LCI_Table[[#This Row],[Hide Row]]))</f>
        <v>0</v>
      </c>
      <c r="O1202" s="14" t="b">
        <f>LCI_Table[[#This Row],[GREET1 Name Range]]=""</f>
        <v>0</v>
      </c>
      <c r="P1202" s="14" t="s">
        <v>14</v>
      </c>
      <c r="Q1202" s="14" t="s">
        <v>462</v>
      </c>
      <c r="R1202" s="14" t="s">
        <v>9</v>
      </c>
      <c r="S1202" s="37" cm="1">
        <f t="array" aca="1" ref="S12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02" s="346" t="s">
        <v>2110</v>
      </c>
      <c r="U1202" s="347">
        <f ca="1">S1202/S1191*kg2ton</f>
        <v>0</v>
      </c>
      <c r="V1202" s="347">
        <v>0</v>
      </c>
      <c r="W1202" s="347">
        <v>0</v>
      </c>
      <c r="X1202" s="14" t="s">
        <v>117</v>
      </c>
      <c r="Y1202" s="346" t="s">
        <v>413</v>
      </c>
      <c r="Z1202" s="14" t="str">
        <f>IF(ISBLANK(LCI_Table[[#This Row],[Notes for user]])," ",LCI_Table[[#This Row],[Notes for user]])</f>
        <v xml:space="preserve"> </v>
      </c>
      <c r="AA1202" s="14"/>
      <c r="AB1202" s="14"/>
      <c r="AC1202" s="346">
        <f ca="1">LCI_Table[[#This Row],[Default Calculated Value]]-LCI_Table[[#This Row],[Calculated Value]]</f>
        <v>0</v>
      </c>
    </row>
    <row r="1203" spans="1:29" x14ac:dyDescent="0.3">
      <c r="A12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(Canada)(blank)_Camelina_Farming_LPGLPG</v>
      </c>
      <c r="B1203" s="14" t="s">
        <v>127</v>
      </c>
      <c r="C1203" s="14" t="s">
        <v>30</v>
      </c>
      <c r="D1203" s="14" t="s">
        <v>194</v>
      </c>
      <c r="E1203" s="14" t="s">
        <v>370</v>
      </c>
      <c r="F1203" s="48" t="s">
        <v>31</v>
      </c>
      <c r="G1203" s="14" t="b">
        <f>OR(LCI_Table[[#This Row],[Feedstock]]="All",LCI_Table[[#This Row],[Feedstock]]=SelectedFeedstock)</f>
        <v>0</v>
      </c>
      <c r="H1203" s="14" t="b">
        <f>OR(LCI_Table[[#This Row],[Conversion]]="All",LCI_Table[[#This Row],[Conversion]]=SelectedConversion)</f>
        <v>1</v>
      </c>
      <c r="I1203" s="14" t="b">
        <f>OR(LCI_Table[[#This Row],[Data Set]]="all",LCI_Table[[#This Row],[Data Set]]=SelectedDataSet)</f>
        <v>0</v>
      </c>
      <c r="J1203" s="14" t="b">
        <f>OR(LCI_Table[[#This Row],[Technology]]="All",LCI_Table[[#This Row],[Technology]]=SelectedTechnology)</f>
        <v>1</v>
      </c>
      <c r="K1203" s="14" t="b">
        <f>OR(LCI_Table[[#This Row],[Data Source]]="All",LCI_Table[[#This Row],[Data Source]]=SelectedDataSource)</f>
        <v>0</v>
      </c>
      <c r="L1203" s="14" t="b">
        <f>TRUE</f>
        <v>1</v>
      </c>
      <c r="M1203" s="14" t="b">
        <f>(LCI_Table[[#This Row],[Dev Notes]]="Do not display")</f>
        <v>0</v>
      </c>
      <c r="N1203" s="14" t="b">
        <f>AND(LCI_Table[[#This Row],[Show Feedstock]:[Conditional]],NOT(LCI_Table[[#This Row],[Hide Row]]))</f>
        <v>0</v>
      </c>
      <c r="O1203" s="14" t="b">
        <f>LCI_Table[[#This Row],[GREET1 Name Range]]=""</f>
        <v>0</v>
      </c>
      <c r="P1203" s="14" t="s">
        <v>14</v>
      </c>
      <c r="Q1203" s="14" t="s">
        <v>469</v>
      </c>
      <c r="R1203" s="14" t="s">
        <v>109</v>
      </c>
      <c r="S1203" s="37" cm="1">
        <f t="array" aca="1" ref="S12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03" s="346" t="s">
        <v>1484</v>
      </c>
      <c r="U1203" s="347">
        <f ca="1">S1203*Fuel_Specs!$B$35/S1191*kg2ton</f>
        <v>0</v>
      </c>
      <c r="V1203" s="347">
        <v>0</v>
      </c>
      <c r="W1203" s="347">
        <v>0</v>
      </c>
      <c r="X1203" s="14" t="s">
        <v>5</v>
      </c>
      <c r="Y1203" s="346" t="s">
        <v>413</v>
      </c>
      <c r="Z1203" s="14" t="str">
        <f>IF(ISBLANK(LCI_Table[[#This Row],[Notes for user]])," ",LCI_Table[[#This Row],[Notes for user]])</f>
        <v xml:space="preserve"> </v>
      </c>
      <c r="AA1203" s="14"/>
      <c r="AB1203" s="14"/>
      <c r="AC1203" s="346">
        <f ca="1">LCI_Table[[#This Row],[Default Calculated Value]]-LCI_Table[[#This Row],[Calculated Value]]</f>
        <v>0</v>
      </c>
    </row>
    <row r="1204" spans="1:29" x14ac:dyDescent="0.3">
      <c r="A12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(Canada)(blank)_Camelina_Farming_ElectricityElectricity</v>
      </c>
      <c r="B1204" s="14" t="s">
        <v>127</v>
      </c>
      <c r="C1204" s="14" t="s">
        <v>30</v>
      </c>
      <c r="D1204" s="14" t="s">
        <v>194</v>
      </c>
      <c r="E1204" s="14" t="s">
        <v>370</v>
      </c>
      <c r="F1204" s="48" t="s">
        <v>31</v>
      </c>
      <c r="G1204" s="14" t="b">
        <f>OR(LCI_Table[[#This Row],[Feedstock]]="All",LCI_Table[[#This Row],[Feedstock]]=SelectedFeedstock)</f>
        <v>0</v>
      </c>
      <c r="H1204" s="14" t="b">
        <f>OR(LCI_Table[[#This Row],[Conversion]]="All",LCI_Table[[#This Row],[Conversion]]=SelectedConversion)</f>
        <v>1</v>
      </c>
      <c r="I1204" s="14" t="b">
        <f>OR(LCI_Table[[#This Row],[Data Set]]="all",LCI_Table[[#This Row],[Data Set]]=SelectedDataSet)</f>
        <v>0</v>
      </c>
      <c r="J1204" s="14" t="b">
        <f>OR(LCI_Table[[#This Row],[Technology]]="All",LCI_Table[[#This Row],[Technology]]=SelectedTechnology)</f>
        <v>1</v>
      </c>
      <c r="K1204" s="14" t="b">
        <f>OR(LCI_Table[[#This Row],[Data Source]]="All",LCI_Table[[#This Row],[Data Source]]=SelectedDataSource)</f>
        <v>0</v>
      </c>
      <c r="L1204" s="14" t="b">
        <f>TRUE</f>
        <v>1</v>
      </c>
      <c r="M1204" s="14" t="b">
        <f>(LCI_Table[[#This Row],[Dev Notes]]="Do not display")</f>
        <v>0</v>
      </c>
      <c r="N1204" s="14" t="b">
        <f>AND(LCI_Table[[#This Row],[Show Feedstock]:[Conditional]],NOT(LCI_Table[[#This Row],[Hide Row]]))</f>
        <v>0</v>
      </c>
      <c r="O1204" s="14" t="b">
        <f>LCI_Table[[#This Row],[GREET1 Name Range]]=""</f>
        <v>0</v>
      </c>
      <c r="P1204" s="14" t="s">
        <v>14</v>
      </c>
      <c r="Q1204" s="14" t="s">
        <v>464</v>
      </c>
      <c r="R1204" s="14" t="s">
        <v>110</v>
      </c>
      <c r="S1204" s="37" cm="1">
        <f t="array" aca="1" ref="S12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04" s="346" t="s">
        <v>1561</v>
      </c>
      <c r="U1204" s="347">
        <f ca="1">S1204/BTU2kWh/S1191*kg2ton</f>
        <v>0</v>
      </c>
      <c r="V1204" s="347">
        <v>0</v>
      </c>
      <c r="W1204" s="347">
        <v>0</v>
      </c>
      <c r="X1204" s="14" t="s">
        <v>51</v>
      </c>
      <c r="Y1204" s="346" t="s">
        <v>413</v>
      </c>
      <c r="Z1204" s="14" t="str">
        <f>IF(ISBLANK(LCI_Table[[#This Row],[Notes for user]])," ",LCI_Table[[#This Row],[Notes for user]])</f>
        <v xml:space="preserve"> </v>
      </c>
      <c r="AA1204" s="14"/>
      <c r="AB1204" s="14"/>
      <c r="AC1204" s="346">
        <f ca="1">LCI_Table[[#This Row],[Default Calculated Value]]-LCI_Table[[#This Row],[Calculated Value]]</f>
        <v>0</v>
      </c>
    </row>
    <row r="1205" spans="1:29" x14ac:dyDescent="0.3">
      <c r="A12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dash_CamelinaHEFAICAOGHGenius (Canada)(blank)_Camelina_Extraction</v>
      </c>
      <c r="B1205" s="14" t="s">
        <v>127</v>
      </c>
      <c r="C1205" s="14" t="s">
        <v>30</v>
      </c>
      <c r="D1205" s="14" t="s">
        <v>194</v>
      </c>
      <c r="E1205" s="14" t="s">
        <v>370</v>
      </c>
      <c r="F1205" s="48" t="s">
        <v>31</v>
      </c>
      <c r="G1205" s="14" t="b">
        <f>OR(LCI_Table[[#This Row],[Feedstock]]="All",LCI_Table[[#This Row],[Feedstock]]=SelectedFeedstock)</f>
        <v>0</v>
      </c>
      <c r="H1205" s="14" t="b">
        <f>OR(LCI_Table[[#This Row],[Conversion]]="All",LCI_Table[[#This Row],[Conversion]]=SelectedConversion)</f>
        <v>1</v>
      </c>
      <c r="I1205" s="14" t="b">
        <f>OR(LCI_Table[[#This Row],[Data Set]]="all",LCI_Table[[#This Row],[Data Set]]=SelectedDataSet)</f>
        <v>0</v>
      </c>
      <c r="J1205" s="14" t="b">
        <f>OR(LCI_Table[[#This Row],[Technology]]="All",LCI_Table[[#This Row],[Technology]]=SelectedTechnology)</f>
        <v>1</v>
      </c>
      <c r="K1205" s="14" t="b">
        <f>OR(LCI_Table[[#This Row],[Data Source]]="All",LCI_Table[[#This Row],[Data Source]]=SelectedDataSource)</f>
        <v>0</v>
      </c>
      <c r="L1205" s="14" t="b">
        <f>TRUE</f>
        <v>1</v>
      </c>
      <c r="M1205" s="14" t="b">
        <f>(LCI_Table[[#This Row],[Dev Notes]]="Do not display")</f>
        <v>1</v>
      </c>
      <c r="N1205" s="14" t="b">
        <f>AND(LCI_Table[[#This Row],[Show Feedstock]:[Conditional]],NOT(LCI_Table[[#This Row],[Hide Row]]))</f>
        <v>0</v>
      </c>
      <c r="O1205" s="14" t="b">
        <f>LCI_Table[[#This Row],[GREET1 Name Range]]=""</f>
        <v>1</v>
      </c>
      <c r="P1205" s="14" t="s">
        <v>15</v>
      </c>
      <c r="Q1205" s="14" t="s">
        <v>361</v>
      </c>
      <c r="R1205" s="14" t="s">
        <v>127</v>
      </c>
      <c r="S1205" s="37" cm="1">
        <f t="array" aca="1" ref="S12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2.4890189400672726</v>
      </c>
      <c r="T1205" s="346" t="s">
        <v>2111</v>
      </c>
      <c r="U1205" s="347">
        <f ca="1">S1205/MT2lb</f>
        <v>1.1290000000000022E-3</v>
      </c>
      <c r="V1205" s="347">
        <v>2.4890189400672726</v>
      </c>
      <c r="W1205" s="347">
        <v>1.1290000000000022E-3</v>
      </c>
      <c r="X1205" s="14" t="s">
        <v>12</v>
      </c>
      <c r="Y1205" s="346" t="s">
        <v>891</v>
      </c>
      <c r="Z1205" s="14" t="str">
        <f>IF(ISBLANK(LCI_Table[[#This Row],[Notes for user]])," ",LCI_Table[[#This Row],[Notes for user]])</f>
        <v xml:space="preserve"> </v>
      </c>
      <c r="AA1205" s="348"/>
      <c r="AB1205" s="348" t="s">
        <v>1138</v>
      </c>
      <c r="AC1205" s="346">
        <f ca="1">LCI_Table[[#This Row],[Default Calculated Value]]-LCI_Table[[#This Row],[Calculated Value]]</f>
        <v>0</v>
      </c>
    </row>
    <row r="1206" spans="1:29" x14ac:dyDescent="0.3">
      <c r="A12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(Canada)(blank)_Camelina_Extraction_Residual_oilResidual oil</v>
      </c>
      <c r="B1206" s="14" t="s">
        <v>127</v>
      </c>
      <c r="C1206" s="14" t="s">
        <v>30</v>
      </c>
      <c r="D1206" s="14" t="s">
        <v>194</v>
      </c>
      <c r="E1206" s="14" t="s">
        <v>370</v>
      </c>
      <c r="F1206" s="48" t="s">
        <v>31</v>
      </c>
      <c r="G1206" s="14" t="b">
        <f>OR(LCI_Table[[#This Row],[Feedstock]]="All",LCI_Table[[#This Row],[Feedstock]]=SelectedFeedstock)</f>
        <v>0</v>
      </c>
      <c r="H1206" s="14" t="b">
        <f>OR(LCI_Table[[#This Row],[Conversion]]="All",LCI_Table[[#This Row],[Conversion]]=SelectedConversion)</f>
        <v>1</v>
      </c>
      <c r="I1206" s="14" t="b">
        <f>OR(LCI_Table[[#This Row],[Data Set]]="all",LCI_Table[[#This Row],[Data Set]]=SelectedDataSet)</f>
        <v>0</v>
      </c>
      <c r="J1206" s="14" t="b">
        <f>OR(LCI_Table[[#This Row],[Technology]]="All",LCI_Table[[#This Row],[Technology]]=SelectedTechnology)</f>
        <v>1</v>
      </c>
      <c r="K1206" s="14" t="b">
        <f>OR(LCI_Table[[#This Row],[Data Source]]="All",LCI_Table[[#This Row],[Data Source]]=SelectedDataSource)</f>
        <v>0</v>
      </c>
      <c r="L1206" s="14" t="b">
        <f>TRUE</f>
        <v>1</v>
      </c>
      <c r="M1206" s="14" t="b">
        <f>(LCI_Table[[#This Row],[Dev Notes]]="Do not display")</f>
        <v>0</v>
      </c>
      <c r="N1206" s="14" t="b">
        <f>AND(LCI_Table[[#This Row],[Show Feedstock]:[Conditional]],NOT(LCI_Table[[#This Row],[Hide Row]]))</f>
        <v>0</v>
      </c>
      <c r="O1206" s="14" t="b">
        <f>LCI_Table[[#This Row],[GREET1 Name Range]]=""</f>
        <v>0</v>
      </c>
      <c r="P1206" s="14" t="s">
        <v>15</v>
      </c>
      <c r="Q1206" s="14" t="s">
        <v>460</v>
      </c>
      <c r="R1206" s="14" t="s">
        <v>115</v>
      </c>
      <c r="S1206" s="37" cm="1">
        <f t="array" aca="1" ref="S12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06" s="346" t="s">
        <v>2112</v>
      </c>
      <c r="U1206" s="347">
        <f ca="1">S1206*Fuel_Specs!$B$28</f>
        <v>0</v>
      </c>
      <c r="V1206" s="347">
        <v>0</v>
      </c>
      <c r="W1206" s="347">
        <v>0</v>
      </c>
      <c r="X1206" s="14" t="s">
        <v>5</v>
      </c>
      <c r="Y1206" s="346" t="s">
        <v>891</v>
      </c>
      <c r="Z1206" s="14" t="str">
        <f>IF(ISBLANK(LCI_Table[[#This Row],[Notes for user]])," ",LCI_Table[[#This Row],[Notes for user]])</f>
        <v xml:space="preserve"> </v>
      </c>
      <c r="AA1206" s="14"/>
      <c r="AB1206" s="14"/>
      <c r="AC1206" s="346">
        <f ca="1">LCI_Table[[#This Row],[Default Calculated Value]]-LCI_Table[[#This Row],[Calculated Value]]</f>
        <v>0</v>
      </c>
    </row>
    <row r="1207" spans="1:29" x14ac:dyDescent="0.3">
      <c r="A12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(Canada)(blank)_Camelina_Extraction_DieselDiesel</v>
      </c>
      <c r="B1207" s="14" t="s">
        <v>127</v>
      </c>
      <c r="C1207" s="14" t="s">
        <v>30</v>
      </c>
      <c r="D1207" s="14" t="s">
        <v>194</v>
      </c>
      <c r="E1207" s="14" t="s">
        <v>370</v>
      </c>
      <c r="F1207" s="48" t="s">
        <v>31</v>
      </c>
      <c r="G1207" s="14" t="b">
        <f>OR(LCI_Table[[#This Row],[Feedstock]]="All",LCI_Table[[#This Row],[Feedstock]]=SelectedFeedstock)</f>
        <v>0</v>
      </c>
      <c r="H1207" s="14" t="b">
        <f>OR(LCI_Table[[#This Row],[Conversion]]="All",LCI_Table[[#This Row],[Conversion]]=SelectedConversion)</f>
        <v>1</v>
      </c>
      <c r="I1207" s="14" t="b">
        <f>OR(LCI_Table[[#This Row],[Data Set]]="all",LCI_Table[[#This Row],[Data Set]]=SelectedDataSet)</f>
        <v>0</v>
      </c>
      <c r="J1207" s="14" t="b">
        <f>OR(LCI_Table[[#This Row],[Technology]]="All",LCI_Table[[#This Row],[Technology]]=SelectedTechnology)</f>
        <v>1</v>
      </c>
      <c r="K1207" s="14" t="b">
        <f>OR(LCI_Table[[#This Row],[Data Source]]="All",LCI_Table[[#This Row],[Data Source]]=SelectedDataSource)</f>
        <v>0</v>
      </c>
      <c r="L1207" s="14" t="b">
        <f>TRUE</f>
        <v>1</v>
      </c>
      <c r="M1207" s="14" t="b">
        <f>(LCI_Table[[#This Row],[Dev Notes]]="Do not display")</f>
        <v>0</v>
      </c>
      <c r="N1207" s="14" t="b">
        <f>AND(LCI_Table[[#This Row],[Show Feedstock]:[Conditional]],NOT(LCI_Table[[#This Row],[Hide Row]]))</f>
        <v>0</v>
      </c>
      <c r="O1207" s="14" t="b">
        <f>LCI_Table[[#This Row],[GREET1 Name Range]]=""</f>
        <v>0</v>
      </c>
      <c r="P1207" s="14" t="s">
        <v>15</v>
      </c>
      <c r="Q1207" s="14" t="s">
        <v>452</v>
      </c>
      <c r="R1207" s="14" t="s">
        <v>106</v>
      </c>
      <c r="S1207" s="37" cm="1">
        <f t="array" aca="1" ref="S12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2.1463604515375638E-3</v>
      </c>
      <c r="T1207" s="346" t="s">
        <v>2112</v>
      </c>
      <c r="U1207" s="347">
        <f ca="1">S1207*Fuel_Specs!$B$19</f>
        <v>275.70000000000005</v>
      </c>
      <c r="V1207" s="347">
        <v>2.1463604515375638E-3</v>
      </c>
      <c r="W1207" s="347">
        <v>275.70000000000005</v>
      </c>
      <c r="X1207" s="14" t="s">
        <v>5</v>
      </c>
      <c r="Y1207" s="346" t="s">
        <v>891</v>
      </c>
      <c r="Z1207" s="14" t="str">
        <f>IF(ISBLANK(LCI_Table[[#This Row],[Notes for user]])," ",LCI_Table[[#This Row],[Notes for user]])</f>
        <v xml:space="preserve"> </v>
      </c>
      <c r="AA1207" s="14"/>
      <c r="AB1207" s="14"/>
      <c r="AC1207" s="346">
        <f ca="1">LCI_Table[[#This Row],[Default Calculated Value]]-LCI_Table[[#This Row],[Calculated Value]]</f>
        <v>0</v>
      </c>
    </row>
    <row r="1208" spans="1:29" x14ac:dyDescent="0.3">
      <c r="A12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(Canada)(blank)_Camelina_Extraction_GasolineGasoline</v>
      </c>
      <c r="B1208" s="14" t="s">
        <v>127</v>
      </c>
      <c r="C1208" s="14" t="s">
        <v>30</v>
      </c>
      <c r="D1208" s="14" t="s">
        <v>194</v>
      </c>
      <c r="E1208" s="14" t="s">
        <v>370</v>
      </c>
      <c r="F1208" s="48" t="s">
        <v>31</v>
      </c>
      <c r="G1208" s="14" t="b">
        <f>OR(LCI_Table[[#This Row],[Feedstock]]="All",LCI_Table[[#This Row],[Feedstock]]=SelectedFeedstock)</f>
        <v>0</v>
      </c>
      <c r="H1208" s="14" t="b">
        <f>OR(LCI_Table[[#This Row],[Conversion]]="All",LCI_Table[[#This Row],[Conversion]]=SelectedConversion)</f>
        <v>1</v>
      </c>
      <c r="I1208" s="14" t="b">
        <f>OR(LCI_Table[[#This Row],[Data Set]]="all",LCI_Table[[#This Row],[Data Set]]=SelectedDataSet)</f>
        <v>0</v>
      </c>
      <c r="J1208" s="14" t="b">
        <f>OR(LCI_Table[[#This Row],[Technology]]="All",LCI_Table[[#This Row],[Technology]]=SelectedTechnology)</f>
        <v>1</v>
      </c>
      <c r="K1208" s="14" t="b">
        <f>OR(LCI_Table[[#This Row],[Data Source]]="All",LCI_Table[[#This Row],[Data Source]]=SelectedDataSource)</f>
        <v>0</v>
      </c>
      <c r="L1208" s="14" t="b">
        <f>TRUE</f>
        <v>1</v>
      </c>
      <c r="M1208" s="14" t="b">
        <f>(LCI_Table[[#This Row],[Dev Notes]]="Do not display")</f>
        <v>0</v>
      </c>
      <c r="N1208" s="14" t="b">
        <f>AND(LCI_Table[[#This Row],[Show Feedstock]:[Conditional]],NOT(LCI_Table[[#This Row],[Hide Row]]))</f>
        <v>0</v>
      </c>
      <c r="O1208" s="14" t="b">
        <f>LCI_Table[[#This Row],[GREET1 Name Range]]=""</f>
        <v>0</v>
      </c>
      <c r="P1208" s="14" t="s">
        <v>15</v>
      </c>
      <c r="Q1208" s="14" t="s">
        <v>455</v>
      </c>
      <c r="R1208" s="14" t="s">
        <v>107</v>
      </c>
      <c r="S1208" s="37" cm="1">
        <f t="array" aca="1" ref="S12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08" s="346" t="s">
        <v>2112</v>
      </c>
      <c r="U1208" s="347">
        <f ca="1">S1208*Fuel_Specs!$B$15</f>
        <v>0</v>
      </c>
      <c r="V1208" s="347">
        <v>0</v>
      </c>
      <c r="W1208" s="347">
        <v>0</v>
      </c>
      <c r="X1208" s="14" t="s">
        <v>5</v>
      </c>
      <c r="Y1208" s="346" t="s">
        <v>891</v>
      </c>
      <c r="Z1208" s="14" t="str">
        <f>IF(ISBLANK(LCI_Table[[#This Row],[Notes for user]])," ",LCI_Table[[#This Row],[Notes for user]])</f>
        <v xml:space="preserve"> </v>
      </c>
      <c r="AA1208" s="14"/>
      <c r="AB1208" s="14"/>
      <c r="AC1208" s="346">
        <f ca="1">LCI_Table[[#This Row],[Default Calculated Value]]-LCI_Table[[#This Row],[Calculated Value]]</f>
        <v>0</v>
      </c>
    </row>
    <row r="1209" spans="1:29" x14ac:dyDescent="0.3">
      <c r="A12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(Canada)(blank)_Camelina_Extraction_Natural_gasNatural gas</v>
      </c>
      <c r="B1209" s="14" t="s">
        <v>127</v>
      </c>
      <c r="C1209" s="14" t="s">
        <v>30</v>
      </c>
      <c r="D1209" s="14" t="s">
        <v>194</v>
      </c>
      <c r="E1209" s="14" t="s">
        <v>370</v>
      </c>
      <c r="F1209" s="48" t="s">
        <v>31</v>
      </c>
      <c r="G1209" s="14" t="b">
        <f>OR(LCI_Table[[#This Row],[Feedstock]]="All",LCI_Table[[#This Row],[Feedstock]]=SelectedFeedstock)</f>
        <v>0</v>
      </c>
      <c r="H1209" s="14" t="b">
        <f>OR(LCI_Table[[#This Row],[Conversion]]="All",LCI_Table[[#This Row],[Conversion]]=SelectedConversion)</f>
        <v>1</v>
      </c>
      <c r="I1209" s="14" t="b">
        <f>OR(LCI_Table[[#This Row],[Data Set]]="all",LCI_Table[[#This Row],[Data Set]]=SelectedDataSet)</f>
        <v>0</v>
      </c>
      <c r="J1209" s="14" t="b">
        <f>OR(LCI_Table[[#This Row],[Technology]]="All",LCI_Table[[#This Row],[Technology]]=SelectedTechnology)</f>
        <v>1</v>
      </c>
      <c r="K1209" s="14" t="b">
        <f>OR(LCI_Table[[#This Row],[Data Source]]="All",LCI_Table[[#This Row],[Data Source]]=SelectedDataSource)</f>
        <v>0</v>
      </c>
      <c r="L1209" s="14" t="b">
        <f>TRUE</f>
        <v>1</v>
      </c>
      <c r="M1209" s="14" t="b">
        <f>(LCI_Table[[#This Row],[Dev Notes]]="Do not display")</f>
        <v>0</v>
      </c>
      <c r="N1209" s="14" t="b">
        <f>AND(LCI_Table[[#This Row],[Show Feedstock]:[Conditional]],NOT(LCI_Table[[#This Row],[Hide Row]]))</f>
        <v>0</v>
      </c>
      <c r="O1209" s="14" t="b">
        <f>LCI_Table[[#This Row],[GREET1 Name Range]]=""</f>
        <v>0</v>
      </c>
      <c r="P1209" s="14" t="s">
        <v>15</v>
      </c>
      <c r="Q1209" s="14" t="s">
        <v>459</v>
      </c>
      <c r="R1209" s="14" t="s">
        <v>108</v>
      </c>
      <c r="S1209" s="37" cm="1">
        <f t="array" aca="1" ref="S12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0.51210579857578842</v>
      </c>
      <c r="T1209" s="346" t="s">
        <v>2113</v>
      </c>
      <c r="U1209" s="347">
        <f ca="1">S1209*Fuel_Specs!$B$79</f>
        <v>503.40000000000003</v>
      </c>
      <c r="V1209" s="347">
        <v>0.51210579857578842</v>
      </c>
      <c r="W1209" s="347">
        <v>503.40000000000003</v>
      </c>
      <c r="X1209" s="14" t="s">
        <v>351</v>
      </c>
      <c r="Y1209" s="346" t="s">
        <v>891</v>
      </c>
      <c r="Z1209" s="14" t="str">
        <f>IF(ISBLANK(LCI_Table[[#This Row],[Notes for user]])," ",LCI_Table[[#This Row],[Notes for user]])</f>
        <v xml:space="preserve"> </v>
      </c>
      <c r="AA1209" s="14"/>
      <c r="AB1209" s="14"/>
      <c r="AC1209" s="346">
        <f ca="1">LCI_Table[[#This Row],[Default Calculated Value]]-LCI_Table[[#This Row],[Calculated Value]]</f>
        <v>0</v>
      </c>
    </row>
    <row r="1210" spans="1:29" x14ac:dyDescent="0.3">
      <c r="A12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(Canada)(blank)_Camelina_Extraction_CoalCoal</v>
      </c>
      <c r="B1210" s="14" t="s">
        <v>127</v>
      </c>
      <c r="C1210" s="14" t="s">
        <v>30</v>
      </c>
      <c r="D1210" s="14" t="s">
        <v>194</v>
      </c>
      <c r="E1210" s="14" t="s">
        <v>370</v>
      </c>
      <c r="F1210" s="48" t="s">
        <v>31</v>
      </c>
      <c r="G1210" s="14" t="b">
        <f>OR(LCI_Table[[#This Row],[Feedstock]]="All",LCI_Table[[#This Row],[Feedstock]]=SelectedFeedstock)</f>
        <v>0</v>
      </c>
      <c r="H1210" s="14" t="b">
        <f>OR(LCI_Table[[#This Row],[Conversion]]="All",LCI_Table[[#This Row],[Conversion]]=SelectedConversion)</f>
        <v>1</v>
      </c>
      <c r="I1210" s="14" t="b">
        <f>OR(LCI_Table[[#This Row],[Data Set]]="all",LCI_Table[[#This Row],[Data Set]]=SelectedDataSet)</f>
        <v>0</v>
      </c>
      <c r="J1210" s="14" t="b">
        <f>OR(LCI_Table[[#This Row],[Technology]]="All",LCI_Table[[#This Row],[Technology]]=SelectedTechnology)</f>
        <v>1</v>
      </c>
      <c r="K1210" s="14" t="b">
        <f>OR(LCI_Table[[#This Row],[Data Source]]="All",LCI_Table[[#This Row],[Data Source]]=SelectedDataSource)</f>
        <v>0</v>
      </c>
      <c r="L1210" s="14" t="b">
        <f>TRUE</f>
        <v>1</v>
      </c>
      <c r="M1210" s="14" t="b">
        <f>(LCI_Table[[#This Row],[Dev Notes]]="Do not display")</f>
        <v>0</v>
      </c>
      <c r="N1210" s="14" t="b">
        <f>AND(LCI_Table[[#This Row],[Show Feedstock]:[Conditional]],NOT(LCI_Table[[#This Row],[Hide Row]]))</f>
        <v>0</v>
      </c>
      <c r="O1210" s="14" t="b">
        <f>LCI_Table[[#This Row],[GREET1 Name Range]]=""</f>
        <v>0</v>
      </c>
      <c r="P1210" s="14" t="s">
        <v>15</v>
      </c>
      <c r="Q1210" s="14" t="s">
        <v>451</v>
      </c>
      <c r="R1210" s="14" t="s">
        <v>9</v>
      </c>
      <c r="S1210" s="37" cm="1">
        <f t="array" aca="1" ref="S12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10" s="346" t="s">
        <v>2114</v>
      </c>
      <c r="U1210" s="347">
        <f ca="1">S1210</f>
        <v>0</v>
      </c>
      <c r="V1210" s="347">
        <v>0</v>
      </c>
      <c r="W1210" s="347">
        <v>0</v>
      </c>
      <c r="X1210" s="14" t="s">
        <v>117</v>
      </c>
      <c r="Y1210" s="346" t="s">
        <v>891</v>
      </c>
      <c r="Z1210" s="14" t="str">
        <f>IF(ISBLANK(LCI_Table[[#This Row],[Notes for user]])," ",LCI_Table[[#This Row],[Notes for user]])</f>
        <v xml:space="preserve"> </v>
      </c>
      <c r="AA1210" s="14"/>
      <c r="AB1210" s="14"/>
      <c r="AC1210" s="346">
        <f ca="1">LCI_Table[[#This Row],[Default Calculated Value]]-LCI_Table[[#This Row],[Calculated Value]]</f>
        <v>0</v>
      </c>
    </row>
    <row r="1211" spans="1:29" x14ac:dyDescent="0.3">
      <c r="A12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(Canada)(blank)_Camelina_Extraction_LPGLPG</v>
      </c>
      <c r="B1211" s="14" t="s">
        <v>127</v>
      </c>
      <c r="C1211" s="14" t="s">
        <v>30</v>
      </c>
      <c r="D1211" s="14" t="s">
        <v>194</v>
      </c>
      <c r="E1211" s="14" t="s">
        <v>370</v>
      </c>
      <c r="F1211" s="48" t="s">
        <v>31</v>
      </c>
      <c r="G1211" s="14" t="b">
        <f>OR(LCI_Table[[#This Row],[Feedstock]]="All",LCI_Table[[#This Row],[Feedstock]]=SelectedFeedstock)</f>
        <v>0</v>
      </c>
      <c r="H1211" s="14" t="b">
        <f>OR(LCI_Table[[#This Row],[Conversion]]="All",LCI_Table[[#This Row],[Conversion]]=SelectedConversion)</f>
        <v>1</v>
      </c>
      <c r="I1211" s="14" t="b">
        <f>OR(LCI_Table[[#This Row],[Data Set]]="all",LCI_Table[[#This Row],[Data Set]]=SelectedDataSet)</f>
        <v>0</v>
      </c>
      <c r="J1211" s="14" t="b">
        <f>OR(LCI_Table[[#This Row],[Technology]]="All",LCI_Table[[#This Row],[Technology]]=SelectedTechnology)</f>
        <v>1</v>
      </c>
      <c r="K1211" s="14" t="b">
        <f>OR(LCI_Table[[#This Row],[Data Source]]="All",LCI_Table[[#This Row],[Data Source]]=SelectedDataSource)</f>
        <v>0</v>
      </c>
      <c r="L1211" s="14" t="b">
        <f>TRUE</f>
        <v>1</v>
      </c>
      <c r="M1211" s="14" t="b">
        <f>(LCI_Table[[#This Row],[Dev Notes]]="Do not display")</f>
        <v>0</v>
      </c>
      <c r="N1211" s="14" t="b">
        <f>AND(LCI_Table[[#This Row],[Show Feedstock]:[Conditional]],NOT(LCI_Table[[#This Row],[Hide Row]]))</f>
        <v>0</v>
      </c>
      <c r="O1211" s="14" t="b">
        <f>LCI_Table[[#This Row],[GREET1 Name Range]]=""</f>
        <v>0</v>
      </c>
      <c r="P1211" s="14" t="s">
        <v>15</v>
      </c>
      <c r="Q1211" s="14" t="s">
        <v>457</v>
      </c>
      <c r="R1211" s="14" t="s">
        <v>109</v>
      </c>
      <c r="S1211" s="37" cm="1">
        <f t="array" aca="1" ref="S12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11" s="346" t="s">
        <v>2112</v>
      </c>
      <c r="U1211" s="347">
        <f ca="1">S1211*Fuel_Specs!$B$35</f>
        <v>0</v>
      </c>
      <c r="V1211" s="347">
        <v>0</v>
      </c>
      <c r="W1211" s="347">
        <v>0</v>
      </c>
      <c r="X1211" s="14" t="s">
        <v>5</v>
      </c>
      <c r="Y1211" s="346" t="s">
        <v>891</v>
      </c>
      <c r="Z1211" s="14" t="str">
        <f>IF(ISBLANK(LCI_Table[[#This Row],[Notes for user]])," ",LCI_Table[[#This Row],[Notes for user]])</f>
        <v xml:space="preserve"> </v>
      </c>
      <c r="AA1211" s="14"/>
      <c r="AB1211" s="14"/>
      <c r="AC1211" s="346">
        <f ca="1">LCI_Table[[#This Row],[Default Calculated Value]]-LCI_Table[[#This Row],[Calculated Value]]</f>
        <v>0</v>
      </c>
    </row>
    <row r="1212" spans="1:29" x14ac:dyDescent="0.3">
      <c r="A12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(Canada)(blank)_Camelina_Extraction_ElectricityElectricity</v>
      </c>
      <c r="B1212" s="14" t="s">
        <v>127</v>
      </c>
      <c r="C1212" s="14" t="s">
        <v>30</v>
      </c>
      <c r="D1212" s="14" t="s">
        <v>194</v>
      </c>
      <c r="E1212" s="14" t="s">
        <v>370</v>
      </c>
      <c r="F1212" s="48" t="s">
        <v>31</v>
      </c>
      <c r="G1212" s="14" t="b">
        <f>OR(LCI_Table[[#This Row],[Feedstock]]="All",LCI_Table[[#This Row],[Feedstock]]=SelectedFeedstock)</f>
        <v>0</v>
      </c>
      <c r="H1212" s="14" t="b">
        <f>OR(LCI_Table[[#This Row],[Conversion]]="All",LCI_Table[[#This Row],[Conversion]]=SelectedConversion)</f>
        <v>1</v>
      </c>
      <c r="I1212" s="14" t="b">
        <f>OR(LCI_Table[[#This Row],[Data Set]]="all",LCI_Table[[#This Row],[Data Set]]=SelectedDataSet)</f>
        <v>0</v>
      </c>
      <c r="J1212" s="14" t="b">
        <f>OR(LCI_Table[[#This Row],[Technology]]="All",LCI_Table[[#This Row],[Technology]]=SelectedTechnology)</f>
        <v>1</v>
      </c>
      <c r="K1212" s="14" t="b">
        <f>OR(LCI_Table[[#This Row],[Data Source]]="All",LCI_Table[[#This Row],[Data Source]]=SelectedDataSource)</f>
        <v>0</v>
      </c>
      <c r="L1212" s="14" t="b">
        <f>TRUE</f>
        <v>1</v>
      </c>
      <c r="M1212" s="14" t="b">
        <f>(LCI_Table[[#This Row],[Dev Notes]]="Do not display")</f>
        <v>0</v>
      </c>
      <c r="N1212" s="14" t="b">
        <f>AND(LCI_Table[[#This Row],[Show Feedstock]:[Conditional]],NOT(LCI_Table[[#This Row],[Hide Row]]))</f>
        <v>0</v>
      </c>
      <c r="O1212" s="14" t="b">
        <f>LCI_Table[[#This Row],[GREET1 Name Range]]=""</f>
        <v>0</v>
      </c>
      <c r="P1212" s="14" t="s">
        <v>15</v>
      </c>
      <c r="Q1212" s="14" t="s">
        <v>453</v>
      </c>
      <c r="R1212" s="14" t="s">
        <v>110</v>
      </c>
      <c r="S1212" s="37" cm="1">
        <f t="array" aca="1" ref="S12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1.0579865606944445E-2</v>
      </c>
      <c r="T1212" s="346" t="s">
        <v>2115</v>
      </c>
      <c r="U1212" s="347">
        <f ca="1">S1212/BTU2kWh</f>
        <v>36.1</v>
      </c>
      <c r="V1212" s="347">
        <v>1.0579865606944445E-2</v>
      </c>
      <c r="W1212" s="347">
        <v>36.1</v>
      </c>
      <c r="X1212" s="14" t="s">
        <v>51</v>
      </c>
      <c r="Y1212" s="346" t="s">
        <v>891</v>
      </c>
      <c r="Z1212" s="14" t="str">
        <f>IF(ISBLANK(LCI_Table[[#This Row],[Notes for user]])," ",LCI_Table[[#This Row],[Notes for user]])</f>
        <v xml:space="preserve"> </v>
      </c>
      <c r="AA1212" s="14"/>
      <c r="AB1212" s="14"/>
      <c r="AC1212" s="346">
        <f ca="1">LCI_Table[[#This Row],[Default Calculated Value]]-LCI_Table[[#This Row],[Calculated Value]]</f>
        <v>0</v>
      </c>
    </row>
    <row r="1213" spans="1:29" x14ac:dyDescent="0.3">
      <c r="A12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(Canada)(blank)_Camelina_Extraction_N_hexaneN-hexane</v>
      </c>
      <c r="B1213" s="14" t="s">
        <v>127</v>
      </c>
      <c r="C1213" s="14" t="s">
        <v>30</v>
      </c>
      <c r="D1213" s="14" t="s">
        <v>194</v>
      </c>
      <c r="E1213" s="14" t="s">
        <v>370</v>
      </c>
      <c r="F1213" s="48" t="s">
        <v>31</v>
      </c>
      <c r="G1213" s="14" t="b">
        <f>OR(LCI_Table[[#This Row],[Feedstock]]="All",LCI_Table[[#This Row],[Feedstock]]=SelectedFeedstock)</f>
        <v>0</v>
      </c>
      <c r="H1213" s="14" t="b">
        <f>OR(LCI_Table[[#This Row],[Conversion]]="All",LCI_Table[[#This Row],[Conversion]]=SelectedConversion)</f>
        <v>1</v>
      </c>
      <c r="I1213" s="14" t="b">
        <f>OR(LCI_Table[[#This Row],[Data Set]]="all",LCI_Table[[#This Row],[Data Set]]=SelectedDataSet)</f>
        <v>0</v>
      </c>
      <c r="J1213" s="14" t="b">
        <f>OR(LCI_Table[[#This Row],[Technology]]="All",LCI_Table[[#This Row],[Technology]]=SelectedTechnology)</f>
        <v>1</v>
      </c>
      <c r="K1213" s="14" t="b">
        <f>OR(LCI_Table[[#This Row],[Data Source]]="All",LCI_Table[[#This Row],[Data Source]]=SelectedDataSource)</f>
        <v>0</v>
      </c>
      <c r="L1213" s="14" t="b">
        <f>TRUE</f>
        <v>1</v>
      </c>
      <c r="M1213" s="14" t="b">
        <f>(LCI_Table[[#This Row],[Dev Notes]]="Do not display")</f>
        <v>0</v>
      </c>
      <c r="N1213" s="14" t="b">
        <f>AND(LCI_Table[[#This Row],[Show Feedstock]:[Conditional]],NOT(LCI_Table[[#This Row],[Hide Row]]))</f>
        <v>0</v>
      </c>
      <c r="O1213" s="14" t="b">
        <f>LCI_Table[[#This Row],[GREET1 Name Range]]=""</f>
        <v>0</v>
      </c>
      <c r="P1213" s="14" t="s">
        <v>15</v>
      </c>
      <c r="Q1213" s="14" t="s">
        <v>458</v>
      </c>
      <c r="R1213" s="14" t="s">
        <v>116</v>
      </c>
      <c r="S1213" s="37" cm="1">
        <f t="array" aca="1" ref="S12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2.0832382083009908E-7</v>
      </c>
      <c r="T1213" s="346" t="s">
        <v>2111</v>
      </c>
      <c r="U1213" s="347">
        <f ca="1">S1213*Fuel_Specs!$B$58*ton2lb</f>
        <v>43.8</v>
      </c>
      <c r="V1213" s="347">
        <v>2.0832382083009908E-7</v>
      </c>
      <c r="W1213" s="347">
        <v>43.8</v>
      </c>
      <c r="X1213" s="14" t="s">
        <v>12</v>
      </c>
      <c r="Y1213" s="346" t="s">
        <v>891</v>
      </c>
      <c r="Z1213" s="14" t="str">
        <f>IF(ISBLANK(LCI_Table[[#This Row],[Notes for user]])," ",LCI_Table[[#This Row],[Notes for user]])</f>
        <v xml:space="preserve"> </v>
      </c>
      <c r="AA1213" s="14"/>
      <c r="AB1213" s="14"/>
      <c r="AC1213" s="346">
        <f ca="1">LCI_Table[[#This Row],[Default Calculated Value]]-LCI_Table[[#This Row],[Calculated Value]]</f>
        <v>0</v>
      </c>
    </row>
    <row r="1214" spans="1:29" x14ac:dyDescent="0.3">
      <c r="A12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(Canada)(blank)_Camelina_Extraction_Forest_residueForest residue</v>
      </c>
      <c r="B1214" s="14" t="s">
        <v>127</v>
      </c>
      <c r="C1214" s="14" t="s">
        <v>30</v>
      </c>
      <c r="D1214" s="14" t="s">
        <v>194</v>
      </c>
      <c r="E1214" s="14" t="s">
        <v>370</v>
      </c>
      <c r="F1214" s="48" t="s">
        <v>31</v>
      </c>
      <c r="G1214" s="14" t="b">
        <f>OR(LCI_Table[[#This Row],[Feedstock]]="All",LCI_Table[[#This Row],[Feedstock]]=SelectedFeedstock)</f>
        <v>0</v>
      </c>
      <c r="H1214" s="14" t="b">
        <f>OR(LCI_Table[[#This Row],[Conversion]]="All",LCI_Table[[#This Row],[Conversion]]=SelectedConversion)</f>
        <v>1</v>
      </c>
      <c r="I1214" s="14" t="b">
        <f>OR(LCI_Table[[#This Row],[Data Set]]="all",LCI_Table[[#This Row],[Data Set]]=SelectedDataSet)</f>
        <v>0</v>
      </c>
      <c r="J1214" s="14" t="b">
        <f>OR(LCI_Table[[#This Row],[Technology]]="All",LCI_Table[[#This Row],[Technology]]=SelectedTechnology)</f>
        <v>1</v>
      </c>
      <c r="K1214" s="14" t="b">
        <f>OR(LCI_Table[[#This Row],[Data Source]]="All",LCI_Table[[#This Row],[Data Source]]=SelectedDataSource)</f>
        <v>0</v>
      </c>
      <c r="L1214" s="14" t="b">
        <f>TRUE</f>
        <v>1</v>
      </c>
      <c r="M1214" s="14" t="b">
        <f>(LCI_Table[[#This Row],[Dev Notes]]="Do not display")</f>
        <v>0</v>
      </c>
      <c r="N1214" s="14" t="b">
        <f>AND(LCI_Table[[#This Row],[Show Feedstock]:[Conditional]],NOT(LCI_Table[[#This Row],[Hide Row]]))</f>
        <v>0</v>
      </c>
      <c r="O1214" s="14" t="b">
        <f>LCI_Table[[#This Row],[GREET1 Name Range]]=""</f>
        <v>0</v>
      </c>
      <c r="P1214" s="14" t="s">
        <v>15</v>
      </c>
      <c r="Q1214" s="14" t="s">
        <v>454</v>
      </c>
      <c r="R1214" s="14" t="s">
        <v>316</v>
      </c>
      <c r="S1214" s="37" cm="1">
        <f t="array" aca="1" ref="S12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14" s="346" t="s">
        <v>2111</v>
      </c>
      <c r="U1214" s="347">
        <f ca="1">S1214*Fuel_Specs!$B$100*ton2lb</f>
        <v>0</v>
      </c>
      <c r="V1214" s="347">
        <v>0</v>
      </c>
      <c r="W1214" s="347">
        <v>0</v>
      </c>
      <c r="X1214" s="14" t="s">
        <v>12</v>
      </c>
      <c r="Y1214" s="346" t="s">
        <v>891</v>
      </c>
      <c r="Z1214" s="14" t="str">
        <f>IF(ISBLANK(LCI_Table[[#This Row],[Notes for user]])," ",LCI_Table[[#This Row],[Notes for user]])</f>
        <v xml:space="preserve"> </v>
      </c>
      <c r="AA1214" s="14"/>
      <c r="AB1214" s="14"/>
      <c r="AC1214" s="346">
        <f ca="1">LCI_Table[[#This Row],[Default Calculated Value]]-LCI_Table[[#This Row],[Calculated Value]]</f>
        <v>0</v>
      </c>
    </row>
    <row r="1215" spans="1:29" x14ac:dyDescent="0.3">
      <c r="A12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(Canada)(blank)_Camelina_Extraction_Landfill_gasLandfill gas</v>
      </c>
      <c r="B1215" s="14" t="s">
        <v>127</v>
      </c>
      <c r="C1215" s="14" t="s">
        <v>30</v>
      </c>
      <c r="D1215" s="14" t="s">
        <v>194</v>
      </c>
      <c r="E1215" s="14" t="s">
        <v>370</v>
      </c>
      <c r="F1215" s="48" t="s">
        <v>31</v>
      </c>
      <c r="G1215" s="14" t="b">
        <f>OR(LCI_Table[[#This Row],[Feedstock]]="All",LCI_Table[[#This Row],[Feedstock]]=SelectedFeedstock)</f>
        <v>0</v>
      </c>
      <c r="H1215" s="14" t="b">
        <f>OR(LCI_Table[[#This Row],[Conversion]]="All",LCI_Table[[#This Row],[Conversion]]=SelectedConversion)</f>
        <v>1</v>
      </c>
      <c r="I1215" s="14" t="b">
        <f>OR(LCI_Table[[#This Row],[Data Set]]="all",LCI_Table[[#This Row],[Data Set]]=SelectedDataSet)</f>
        <v>0</v>
      </c>
      <c r="J1215" s="14" t="b">
        <f>OR(LCI_Table[[#This Row],[Technology]]="All",LCI_Table[[#This Row],[Technology]]=SelectedTechnology)</f>
        <v>1</v>
      </c>
      <c r="K1215" s="14" t="b">
        <f>OR(LCI_Table[[#This Row],[Data Source]]="All",LCI_Table[[#This Row],[Data Source]]=SelectedDataSource)</f>
        <v>0</v>
      </c>
      <c r="L1215" s="14" t="b">
        <f>TRUE</f>
        <v>1</v>
      </c>
      <c r="M1215" s="14" t="b">
        <f>(LCI_Table[[#This Row],[Dev Notes]]="Do not display")</f>
        <v>0</v>
      </c>
      <c r="N1215" s="14" t="b">
        <f>AND(LCI_Table[[#This Row],[Show Feedstock]:[Conditional]],NOT(LCI_Table[[#This Row],[Hide Row]]))</f>
        <v>0</v>
      </c>
      <c r="O1215" s="14" t="b">
        <f>LCI_Table[[#This Row],[GREET1 Name Range]]=""</f>
        <v>0</v>
      </c>
      <c r="P1215" s="14" t="s">
        <v>15</v>
      </c>
      <c r="Q1215" s="14" t="s">
        <v>456</v>
      </c>
      <c r="R1215" s="14" t="s">
        <v>130</v>
      </c>
      <c r="S1215" s="37" cm="1">
        <f t="array" aca="1" ref="S12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15" s="346" t="s">
        <v>2113</v>
      </c>
      <c r="U1215" s="347">
        <f ca="1">S1215*Fuel_Specs!$B$79</f>
        <v>0</v>
      </c>
      <c r="V1215" s="347">
        <v>0</v>
      </c>
      <c r="W1215" s="347">
        <v>0</v>
      </c>
      <c r="X1215" s="14" t="s">
        <v>351</v>
      </c>
      <c r="Y1215" s="346" t="s">
        <v>891</v>
      </c>
      <c r="Z1215" s="14" t="str">
        <f>IF(ISBLANK(LCI_Table[[#This Row],[Notes for user]])," ",LCI_Table[[#This Row],[Notes for user]])</f>
        <v xml:space="preserve"> </v>
      </c>
      <c r="AA1215" s="14"/>
      <c r="AB1215" s="14"/>
      <c r="AC1215" s="346">
        <f ca="1">LCI_Table[[#This Row],[Default Calculated Value]]-LCI_Table[[#This Row],[Calculated Value]]</f>
        <v>0</v>
      </c>
    </row>
    <row r="1216" spans="1:29" x14ac:dyDescent="0.3">
      <c r="A12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(Canada)(blank)_Camelina_Oil_Extraction_Energy_AllocationAllocation factor</v>
      </c>
      <c r="B1216" s="14" t="s">
        <v>127</v>
      </c>
      <c r="C1216" s="14" t="s">
        <v>30</v>
      </c>
      <c r="D1216" s="14" t="s">
        <v>194</v>
      </c>
      <c r="E1216" s="14" t="s">
        <v>370</v>
      </c>
      <c r="F1216" s="48" t="s">
        <v>31</v>
      </c>
      <c r="G1216" s="14" t="b">
        <f>OR(LCI_Table[[#This Row],[Feedstock]]="All",LCI_Table[[#This Row],[Feedstock]]=SelectedFeedstock)</f>
        <v>0</v>
      </c>
      <c r="H1216" s="14" t="b">
        <f>OR(LCI_Table[[#This Row],[Conversion]]="All",LCI_Table[[#This Row],[Conversion]]=SelectedConversion)</f>
        <v>1</v>
      </c>
      <c r="I1216" s="14" t="b">
        <f>OR(LCI_Table[[#This Row],[Data Set]]="all",LCI_Table[[#This Row],[Data Set]]=SelectedDataSet)</f>
        <v>0</v>
      </c>
      <c r="J1216" s="14" t="b">
        <f>OR(LCI_Table[[#This Row],[Technology]]="All",LCI_Table[[#This Row],[Technology]]=SelectedTechnology)</f>
        <v>1</v>
      </c>
      <c r="K1216" s="14" t="b">
        <f>OR(LCI_Table[[#This Row],[Data Source]]="All",LCI_Table[[#This Row],[Data Source]]=SelectedDataSource)</f>
        <v>0</v>
      </c>
      <c r="L1216" s="14" t="b">
        <f>TRUE</f>
        <v>1</v>
      </c>
      <c r="M1216" s="14" t="b">
        <f>(LCI_Table[[#This Row],[Dev Notes]]="Do not display")</f>
        <v>0</v>
      </c>
      <c r="N1216" s="14" t="b">
        <f>AND(LCI_Table[[#This Row],[Show Feedstock]:[Conditional]],NOT(LCI_Table[[#This Row],[Hide Row]]))</f>
        <v>0</v>
      </c>
      <c r="O1216" s="14" t="b">
        <f>LCI_Table[[#This Row],[GREET1 Name Range]]=""</f>
        <v>0</v>
      </c>
      <c r="P1216" s="14" t="s">
        <v>15</v>
      </c>
      <c r="Q1216" s="14" t="s">
        <v>1109</v>
      </c>
      <c r="R1216" s="14" t="s">
        <v>1344</v>
      </c>
      <c r="S1216" s="37" cm="1">
        <f t="array" aca="1" ref="S12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65.816313932034788</v>
      </c>
      <c r="T1216" s="346" t="s">
        <v>1345</v>
      </c>
      <c r="U1216" s="347">
        <f ca="1">LCI_Table[[#This Row],[Dashboard Value]]/100</f>
        <v>0.65816313932034787</v>
      </c>
      <c r="V1216" s="347">
        <v>65.816313932034788</v>
      </c>
      <c r="W1216" s="347">
        <v>0.65816313932034787</v>
      </c>
      <c r="X1216" s="14" t="s">
        <v>1345</v>
      </c>
      <c r="Y1216" s="346" t="s">
        <v>891</v>
      </c>
      <c r="Z1216" s="14" t="str">
        <f>IF(ISBLANK(LCI_Table[[#This Row],[Notes for user]])," ",LCI_Table[[#This Row],[Notes for user]])</f>
        <v>Allocation to camelina oil (energy allocation)</v>
      </c>
      <c r="AA1216" s="14" t="s">
        <v>1356</v>
      </c>
      <c r="AB1216" s="14"/>
      <c r="AC1216" s="346">
        <f ca="1">LCI_Table[[#This Row],[Default Calculated Value]]-LCI_Table[[#This Row],[Calculated Value]]</f>
        <v>0</v>
      </c>
    </row>
    <row r="1217" spans="1:29" x14ac:dyDescent="0.3">
      <c r="A12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(Canada)(blank)_HEFA_feed_usageCamelina oil</v>
      </c>
      <c r="B1217" s="14" t="s">
        <v>127</v>
      </c>
      <c r="C1217" s="14" t="s">
        <v>30</v>
      </c>
      <c r="D1217" s="14" t="s">
        <v>194</v>
      </c>
      <c r="E1217" s="14" t="s">
        <v>370</v>
      </c>
      <c r="F1217" s="48" t="s">
        <v>31</v>
      </c>
      <c r="G1217" s="14" t="b">
        <f>OR(LCI_Table[[#This Row],[Feedstock]]="All",LCI_Table[[#This Row],[Feedstock]]=SelectedFeedstock)</f>
        <v>0</v>
      </c>
      <c r="H1217" s="14" t="b">
        <f>OR(LCI_Table[[#This Row],[Conversion]]="All",LCI_Table[[#This Row],[Conversion]]=SelectedConversion)</f>
        <v>1</v>
      </c>
      <c r="I1217" s="14" t="b">
        <f>OR(LCI_Table[[#This Row],[Data Set]]="all",LCI_Table[[#This Row],[Data Set]]=SelectedDataSet)</f>
        <v>0</v>
      </c>
      <c r="J1217" s="14" t="b">
        <f>OR(LCI_Table[[#This Row],[Technology]]="All",LCI_Table[[#This Row],[Technology]]=SelectedTechnology)</f>
        <v>1</v>
      </c>
      <c r="K1217" s="14" t="b">
        <f>OR(LCI_Table[[#This Row],[Data Source]]="All",LCI_Table[[#This Row],[Data Source]]=SelectedDataSource)</f>
        <v>0</v>
      </c>
      <c r="L1217" s="14" t="b">
        <f>TRUE</f>
        <v>1</v>
      </c>
      <c r="M1217" s="14" t="b">
        <f>(LCI_Table[[#This Row],[Dev Notes]]="Do not display")</f>
        <v>0</v>
      </c>
      <c r="N1217" s="14" t="b">
        <f>AND(LCI_Table[[#This Row],[Show Feedstock]:[Conditional]],NOT(LCI_Table[[#This Row],[Hide Row]]))</f>
        <v>0</v>
      </c>
      <c r="O1217" s="14" t="b">
        <f>LCI_Table[[#This Row],[GREET1 Name Range]]=""</f>
        <v>0</v>
      </c>
      <c r="P1217" s="14" t="s">
        <v>1448</v>
      </c>
      <c r="Q1217" s="14" t="s">
        <v>933</v>
      </c>
      <c r="R1217" s="14" t="s">
        <v>380</v>
      </c>
      <c r="S1217" s="37" cm="1">
        <f t="array" aca="1" ref="S12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67.105243036314235</v>
      </c>
      <c r="T1217" s="346" t="s">
        <v>2119</v>
      </c>
      <c r="U1217" s="347">
        <f ca="1">S1217*lb2g/Fuel_Specs!$E$48*Fuel_Specs!$B$48*BTU2mmBTU</f>
        <v>1.2722877150689311</v>
      </c>
      <c r="V1217" s="347">
        <v>67.105243036314235</v>
      </c>
      <c r="W1217" s="347">
        <v>1.2722877150689311</v>
      </c>
      <c r="X1217" s="14" t="s">
        <v>12</v>
      </c>
      <c r="Y1217" s="346" t="s">
        <v>416</v>
      </c>
      <c r="Z1217" s="14" t="str">
        <f>IF(ISBLANK(LCI_Table[[#This Row],[Notes for user]])," ",LCI_Table[[#This Row],[Notes for user]])</f>
        <v xml:space="preserve"> </v>
      </c>
      <c r="AA1217" s="358"/>
      <c r="AB1217" s="14"/>
      <c r="AC1217" s="346">
        <f ca="1">LCI_Table[[#This Row],[Default Calculated Value]]-LCI_Table[[#This Row],[Calculated Value]]</f>
        <v>0</v>
      </c>
    </row>
    <row r="1218" spans="1:29" x14ac:dyDescent="0.3">
      <c r="A12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(Canada)(blank)_Camelina_HEFA_Natural_gasNatural gas</v>
      </c>
      <c r="B1218" s="14" t="s">
        <v>127</v>
      </c>
      <c r="C1218" s="14" t="s">
        <v>30</v>
      </c>
      <c r="D1218" s="14" t="s">
        <v>194</v>
      </c>
      <c r="E1218" s="14" t="s">
        <v>370</v>
      </c>
      <c r="F1218" s="48" t="s">
        <v>31</v>
      </c>
      <c r="G1218" s="14" t="b">
        <f>OR(LCI_Table[[#This Row],[Feedstock]]="All",LCI_Table[[#This Row],[Feedstock]]=SelectedFeedstock)</f>
        <v>0</v>
      </c>
      <c r="H1218" s="14" t="b">
        <f>OR(LCI_Table[[#This Row],[Conversion]]="All",LCI_Table[[#This Row],[Conversion]]=SelectedConversion)</f>
        <v>1</v>
      </c>
      <c r="I1218" s="14" t="b">
        <f>OR(LCI_Table[[#This Row],[Data Set]]="all",LCI_Table[[#This Row],[Data Set]]=SelectedDataSet)</f>
        <v>0</v>
      </c>
      <c r="J1218" s="14" t="b">
        <f>OR(LCI_Table[[#This Row],[Technology]]="All",LCI_Table[[#This Row],[Technology]]=SelectedTechnology)</f>
        <v>1</v>
      </c>
      <c r="K1218" s="14" t="b">
        <f>OR(LCI_Table[[#This Row],[Data Source]]="All",LCI_Table[[#This Row],[Data Source]]=SelectedDataSource)</f>
        <v>0</v>
      </c>
      <c r="L1218" s="14" t="b">
        <f>TRUE</f>
        <v>1</v>
      </c>
      <c r="M1218" s="14" t="b">
        <f>(LCI_Table[[#This Row],[Dev Notes]]="Do not display")</f>
        <v>0</v>
      </c>
      <c r="N1218" s="14" t="b">
        <f>AND(LCI_Table[[#This Row],[Show Feedstock]:[Conditional]],NOT(LCI_Table[[#This Row],[Hide Row]]))</f>
        <v>0</v>
      </c>
      <c r="O1218" s="14" t="b">
        <f>LCI_Table[[#This Row],[GREET1 Name Range]]=""</f>
        <v>0</v>
      </c>
      <c r="P1218" s="14" t="s">
        <v>1448</v>
      </c>
      <c r="Q1218" s="14" t="s">
        <v>476</v>
      </c>
      <c r="R1218" s="14" t="s">
        <v>108</v>
      </c>
      <c r="S1218" s="37" cm="1">
        <f t="array" aca="1" ref="S12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83.059355784356256</v>
      </c>
      <c r="T1218" s="346" t="s">
        <v>2120</v>
      </c>
      <c r="U1218" s="347">
        <f ca="1">S1218*lb2g/Fuel_Specs!$E$48*Fuel_Specs!$B$48*Fuel_Specs!$B$79*BTU2mmBTU</f>
        <v>1548.0000000000002</v>
      </c>
      <c r="V1218" s="347">
        <v>83.059355784356256</v>
      </c>
      <c r="W1218" s="347">
        <v>1548.0000000000002</v>
      </c>
      <c r="X1218" s="14" t="s">
        <v>351</v>
      </c>
      <c r="Y1218" s="346" t="s">
        <v>416</v>
      </c>
      <c r="Z1218" s="14" t="str">
        <f>IF(ISBLANK(LCI_Table[[#This Row],[Notes for user]])," ",LCI_Table[[#This Row],[Notes for user]])</f>
        <v xml:space="preserve"> </v>
      </c>
      <c r="AA1218" s="14"/>
      <c r="AB1218" s="14"/>
      <c r="AC1218" s="346">
        <f ca="1">LCI_Table[[#This Row],[Default Calculated Value]]-LCI_Table[[#This Row],[Calculated Value]]</f>
        <v>0</v>
      </c>
    </row>
    <row r="1219" spans="1:29" x14ac:dyDescent="0.3">
      <c r="A12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(Canada)(blank)_Camelina_HEFA_ElectricityGrid Electricity</v>
      </c>
      <c r="B1219" s="14" t="s">
        <v>127</v>
      </c>
      <c r="C1219" s="14" t="s">
        <v>30</v>
      </c>
      <c r="D1219" s="14" t="s">
        <v>194</v>
      </c>
      <c r="E1219" s="14" t="s">
        <v>370</v>
      </c>
      <c r="F1219" s="48" t="s">
        <v>31</v>
      </c>
      <c r="G1219" s="14" t="b">
        <f>OR(LCI_Table[[#This Row],[Feedstock]]="All",LCI_Table[[#This Row],[Feedstock]]=SelectedFeedstock)</f>
        <v>0</v>
      </c>
      <c r="H1219" s="14" t="b">
        <f>OR(LCI_Table[[#This Row],[Conversion]]="All",LCI_Table[[#This Row],[Conversion]]=SelectedConversion)</f>
        <v>1</v>
      </c>
      <c r="I1219" s="14" t="b">
        <f>OR(LCI_Table[[#This Row],[Data Set]]="all",LCI_Table[[#This Row],[Data Set]]=SelectedDataSet)</f>
        <v>0</v>
      </c>
      <c r="J1219" s="14" t="b">
        <f>OR(LCI_Table[[#This Row],[Technology]]="All",LCI_Table[[#This Row],[Technology]]=SelectedTechnology)</f>
        <v>1</v>
      </c>
      <c r="K1219" s="14" t="b">
        <f>OR(LCI_Table[[#This Row],[Data Source]]="All",LCI_Table[[#This Row],[Data Source]]=SelectedDataSource)</f>
        <v>0</v>
      </c>
      <c r="L1219" s="14" t="b">
        <f>TRUE</f>
        <v>1</v>
      </c>
      <c r="M1219" s="14" t="b">
        <f>(LCI_Table[[#This Row],[Dev Notes]]="Do not display")</f>
        <v>0</v>
      </c>
      <c r="N1219" s="14" t="b">
        <f>AND(LCI_Table[[#This Row],[Show Feedstock]:[Conditional]],NOT(LCI_Table[[#This Row],[Hide Row]]))</f>
        <v>0</v>
      </c>
      <c r="O1219" s="14" t="b">
        <f>LCI_Table[[#This Row],[GREET1 Name Range]]=""</f>
        <v>0</v>
      </c>
      <c r="P1219" s="14" t="s">
        <v>1448</v>
      </c>
      <c r="Q1219" s="14" t="s">
        <v>474</v>
      </c>
      <c r="R1219" s="14" t="s">
        <v>1684</v>
      </c>
      <c r="S1219" s="37" cm="1">
        <f t="array" aca="1" ref="S12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1.3556377760028697</v>
      </c>
      <c r="T1219" s="346" t="s">
        <v>2121</v>
      </c>
      <c r="U1219" s="347">
        <f ca="1">S1219*lb2g/Fuel_Specs!$E$48*Fuel_Specs!$B$48/BTU2kWh*BTU2mmBTU</f>
        <v>87.699999999999974</v>
      </c>
      <c r="V1219" s="347">
        <v>1.3556377760028697</v>
      </c>
      <c r="W1219" s="347">
        <v>87.699999999999974</v>
      </c>
      <c r="X1219" s="14" t="s">
        <v>51</v>
      </c>
      <c r="Y1219" s="346" t="s">
        <v>416</v>
      </c>
      <c r="Z1219" s="14" t="str">
        <f>IF(ISBLANK(LCI_Table[[#This Row],[Notes for user]])," ",LCI_Table[[#This Row],[Notes for user]])</f>
        <v xml:space="preserve"> </v>
      </c>
      <c r="AA1219" s="14"/>
      <c r="AB1219" s="14"/>
      <c r="AC1219" s="346">
        <f ca="1">LCI_Table[[#This Row],[Default Calculated Value]]-LCI_Table[[#This Row],[Calculated Value]]</f>
        <v>0</v>
      </c>
    </row>
    <row r="1220" spans="1:29" x14ac:dyDescent="0.3">
      <c r="A12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(Canada)(blank)_Camelina_HEFA_HydrogenHydrogen</v>
      </c>
      <c r="B1220" s="14" t="s">
        <v>127</v>
      </c>
      <c r="C1220" s="14" t="s">
        <v>30</v>
      </c>
      <c r="D1220" s="14" t="s">
        <v>194</v>
      </c>
      <c r="E1220" s="14" t="s">
        <v>370</v>
      </c>
      <c r="F1220" s="48" t="s">
        <v>31</v>
      </c>
      <c r="G1220" s="14" t="b">
        <f>OR(LCI_Table[[#This Row],[Feedstock]]="All",LCI_Table[[#This Row],[Feedstock]]=SelectedFeedstock)</f>
        <v>0</v>
      </c>
      <c r="H1220" s="14" t="b">
        <f>OR(LCI_Table[[#This Row],[Conversion]]="All",LCI_Table[[#This Row],[Conversion]]=SelectedConversion)</f>
        <v>1</v>
      </c>
      <c r="I1220" s="14" t="b">
        <f>OR(LCI_Table[[#This Row],[Data Set]]="all",LCI_Table[[#This Row],[Data Set]]=SelectedDataSet)</f>
        <v>0</v>
      </c>
      <c r="J1220" s="14" t="b">
        <f>OR(LCI_Table[[#This Row],[Technology]]="All",LCI_Table[[#This Row],[Technology]]=SelectedTechnology)</f>
        <v>1</v>
      </c>
      <c r="K1220" s="14" t="b">
        <f>OR(LCI_Table[[#This Row],[Data Source]]="All",LCI_Table[[#This Row],[Data Source]]=SelectedDataSource)</f>
        <v>0</v>
      </c>
      <c r="L1220" s="14" t="b">
        <f>TRUE</f>
        <v>1</v>
      </c>
      <c r="M1220" s="14" t="b">
        <f>(LCI_Table[[#This Row],[Dev Notes]]="Do not display")</f>
        <v>0</v>
      </c>
      <c r="N1220" s="14" t="b">
        <f>AND(LCI_Table[[#This Row],[Show Feedstock]:[Conditional]],NOT(LCI_Table[[#This Row],[Hide Row]]))</f>
        <v>0</v>
      </c>
      <c r="O1220" s="14" t="b">
        <f>LCI_Table[[#This Row],[GREET1 Name Range]]=""</f>
        <v>0</v>
      </c>
      <c r="P1220" s="14" t="s">
        <v>1448</v>
      </c>
      <c r="Q1220" s="14" t="s">
        <v>475</v>
      </c>
      <c r="R1220" s="14" t="s">
        <v>73</v>
      </c>
      <c r="S1220" s="37" cm="1">
        <f t="array" aca="1" ref="S12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315.73508405447421</v>
      </c>
      <c r="T1220" s="346" t="s">
        <v>2120</v>
      </c>
      <c r="U1220" s="347">
        <f ca="1">S1220*lb2g/Fuel_Specs!$E$48*Fuel_Specs!$B$48*Fuel_Specs!$B$81*BTU2mmBTU</f>
        <v>1736.0000000000007</v>
      </c>
      <c r="V1220" s="347">
        <v>315.73508405447421</v>
      </c>
      <c r="W1220" s="347">
        <v>1736.0000000000007</v>
      </c>
      <c r="X1220" s="14" t="s">
        <v>351</v>
      </c>
      <c r="Y1220" s="346" t="s">
        <v>416</v>
      </c>
      <c r="Z1220" s="14" t="str">
        <f>IF(ISBLANK(LCI_Table[[#This Row],[Notes for user]])," ",LCI_Table[[#This Row],[Notes for user]])</f>
        <v xml:space="preserve"> </v>
      </c>
      <c r="AA1220" s="14"/>
      <c r="AB1220" s="14"/>
      <c r="AC1220" s="346">
        <f ca="1">LCI_Table[[#This Row],[Default Calculated Value]]-LCI_Table[[#This Row],[Calculated Value]]</f>
        <v>0</v>
      </c>
    </row>
    <row r="1221" spans="1:29" x14ac:dyDescent="0.3">
      <c r="A12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CamelinaHEFAICAOGHGenius (Canada)(blank)_Camelina_Oil_HEFA_Energy_AllocationAllocation factor</v>
      </c>
      <c r="B1221" s="14" t="s">
        <v>127</v>
      </c>
      <c r="C1221" s="14" t="s">
        <v>30</v>
      </c>
      <c r="D1221" s="14" t="s">
        <v>194</v>
      </c>
      <c r="E1221" s="14" t="s">
        <v>370</v>
      </c>
      <c r="F1221" s="48" t="s">
        <v>31</v>
      </c>
      <c r="G1221" s="14" t="b">
        <f>OR(LCI_Table[[#This Row],[Feedstock]]="All",LCI_Table[[#This Row],[Feedstock]]=SelectedFeedstock)</f>
        <v>0</v>
      </c>
      <c r="H1221" s="14" t="b">
        <f>OR(LCI_Table[[#This Row],[Conversion]]="All",LCI_Table[[#This Row],[Conversion]]=SelectedConversion)</f>
        <v>1</v>
      </c>
      <c r="I1221" s="14" t="b">
        <f>OR(LCI_Table[[#This Row],[Data Set]]="all",LCI_Table[[#This Row],[Data Set]]=SelectedDataSet)</f>
        <v>0</v>
      </c>
      <c r="J1221" s="14" t="b">
        <f>OR(LCI_Table[[#This Row],[Technology]]="All",LCI_Table[[#This Row],[Technology]]=SelectedTechnology)</f>
        <v>1</v>
      </c>
      <c r="K1221" s="14" t="b">
        <f>OR(LCI_Table[[#This Row],[Data Source]]="All",LCI_Table[[#This Row],[Data Source]]=SelectedDataSource)</f>
        <v>0</v>
      </c>
      <c r="L1221" s="14" t="b">
        <f>TRUE</f>
        <v>1</v>
      </c>
      <c r="M1221" s="14" t="b">
        <f>(LCI_Table[[#This Row],[Dev Notes]]="Do not display")</f>
        <v>0</v>
      </c>
      <c r="N1221" s="14" t="b">
        <f>AND(LCI_Table[[#This Row],[Show Feedstock]:[Conditional]],NOT(LCI_Table[[#This Row],[Hide Row]]))</f>
        <v>0</v>
      </c>
      <c r="O1221" s="14" t="b">
        <f>LCI_Table[[#This Row],[GREET1 Name Range]]=""</f>
        <v>0</v>
      </c>
      <c r="P1221" s="14" t="s">
        <v>1448</v>
      </c>
      <c r="Q1221" s="14" t="s">
        <v>1119</v>
      </c>
      <c r="R1221" s="14" t="s">
        <v>1344</v>
      </c>
      <c r="S1221" s="37" cm="1">
        <f t="array" aca="1" ref="S12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91.298522130594534</v>
      </c>
      <c r="T1221" s="346" t="s">
        <v>1345</v>
      </c>
      <c r="U1221" s="347">
        <f ca="1">LCI_Table[[#This Row],[Dashboard Value]]/100</f>
        <v>0.91298522130594539</v>
      </c>
      <c r="V1221" s="351">
        <v>91.298522130594534</v>
      </c>
      <c r="W1221" s="351">
        <v>0.91298522130594539</v>
      </c>
      <c r="X1221" s="14" t="s">
        <v>1345</v>
      </c>
      <c r="Y1221" s="346" t="s">
        <v>416</v>
      </c>
      <c r="Z1221" s="14" t="str">
        <f>IF(ISBLANK(LCI_Table[[#This Row],[Notes for user]])," ",LCI_Table[[#This Row],[Notes for user]])</f>
        <v>Allocation to main distillate fuels (energy allocation)</v>
      </c>
      <c r="AA1221" s="14" t="s">
        <v>1353</v>
      </c>
      <c r="AB1221" s="14"/>
      <c r="AC1221" s="346">
        <f ca="1">LCI_Table[[#This Row],[Default Calculated Value]]-LCI_Table[[#This Row],[Calculated Value]]</f>
        <v>0</v>
      </c>
    </row>
    <row r="1222" spans="1:29" x14ac:dyDescent="0.3">
      <c r="A12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dash_CamelinaHEFAICAOJRC(blank)_Yield_Farming</v>
      </c>
      <c r="B1222" s="48" t="s">
        <v>127</v>
      </c>
      <c r="C1222" s="48" t="s">
        <v>30</v>
      </c>
      <c r="D1222" s="48" t="s">
        <v>194</v>
      </c>
      <c r="E1222" s="48" t="s">
        <v>355</v>
      </c>
      <c r="F1222" s="48" t="s">
        <v>31</v>
      </c>
      <c r="G1222" s="14" t="b">
        <f>OR(LCI_Table[[#This Row],[Feedstock]]="All",LCI_Table[[#This Row],[Feedstock]]=SelectedFeedstock)</f>
        <v>0</v>
      </c>
      <c r="H1222" s="14" t="b">
        <f>OR(LCI_Table[[#This Row],[Conversion]]="All",LCI_Table[[#This Row],[Conversion]]=SelectedConversion)</f>
        <v>1</v>
      </c>
      <c r="I1222" s="14" t="b">
        <f>OR(LCI_Table[[#This Row],[Data Set]]="all",LCI_Table[[#This Row],[Data Set]]=SelectedDataSet)</f>
        <v>0</v>
      </c>
      <c r="J1222" s="14" t="b">
        <f>OR(LCI_Table[[#This Row],[Technology]]="All",LCI_Table[[#This Row],[Technology]]=SelectedTechnology)</f>
        <v>1</v>
      </c>
      <c r="K1222" s="14" t="b">
        <f>OR(LCI_Table[[#This Row],[Data Source]]="All",LCI_Table[[#This Row],[Data Source]]=SelectedDataSource)</f>
        <v>0</v>
      </c>
      <c r="L1222" s="14" t="b">
        <f>TRUE</f>
        <v>1</v>
      </c>
      <c r="M1222" s="14" t="b">
        <f>(LCI_Table[[#This Row],[Dev Notes]]="Do not display")</f>
        <v>0</v>
      </c>
      <c r="N1222" s="14" t="b">
        <f>AND(LCI_Table[[#This Row],[Show Feedstock]:[Conditional]],NOT(LCI_Table[[#This Row],[Hide Row]]))</f>
        <v>0</v>
      </c>
      <c r="O1222" s="14" t="b">
        <f>LCI_Table[[#This Row],[GREET1 Name Range]]=""</f>
        <v>1</v>
      </c>
      <c r="P1222" s="48" t="s">
        <v>14</v>
      </c>
      <c r="Q1222" s="14" t="s">
        <v>361</v>
      </c>
      <c r="R1222" s="48" t="s">
        <v>200</v>
      </c>
      <c r="S1222" s="37" cm="1">
        <f t="array" aca="1" ref="S12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0.6289872517364643</v>
      </c>
      <c r="T1222" s="346" t="s">
        <v>2116</v>
      </c>
      <c r="U1222" s="344"/>
      <c r="V1222" s="344">
        <v>0.6289872517364643</v>
      </c>
      <c r="W1222" s="344"/>
      <c r="X1222" s="48" t="s">
        <v>55</v>
      </c>
      <c r="Y1222" s="346" t="s">
        <v>413</v>
      </c>
      <c r="Z1222" s="14" t="str">
        <f>IF(ISBLANK(LCI_Table[[#This Row],[Notes for user]])," ",LCI_Table[[#This Row],[Notes for user]])</f>
        <v>Neupane et al. (2022); Dangol et al. (2015)</v>
      </c>
      <c r="AA1222" s="48" t="s">
        <v>916</v>
      </c>
      <c r="AB1222" s="345"/>
      <c r="AC1222" s="346">
        <f>LCI_Table[[#This Row],[Default Calculated Value]]-LCI_Table[[#This Row],[Calculated Value]]</f>
        <v>0</v>
      </c>
    </row>
    <row r="1223" spans="1:29" x14ac:dyDescent="0.3">
      <c r="A12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CamelinaHEFAICAOJRC(blank)_Camelina_Farming_Nitrogen_fertilizerNitrogen fertilizer</v>
      </c>
      <c r="B1223" s="14" t="s">
        <v>127</v>
      </c>
      <c r="C1223" s="14" t="s">
        <v>30</v>
      </c>
      <c r="D1223" s="14" t="s">
        <v>194</v>
      </c>
      <c r="E1223" s="14" t="s">
        <v>355</v>
      </c>
      <c r="F1223" s="48" t="s">
        <v>31</v>
      </c>
      <c r="G1223" s="14" t="b">
        <f>OR(LCI_Table[[#This Row],[Feedstock]]="All",LCI_Table[[#This Row],[Feedstock]]=SelectedFeedstock)</f>
        <v>0</v>
      </c>
      <c r="H1223" s="14" t="b">
        <f>OR(LCI_Table[[#This Row],[Conversion]]="All",LCI_Table[[#This Row],[Conversion]]=SelectedConversion)</f>
        <v>1</v>
      </c>
      <c r="I1223" s="14" t="b">
        <f>OR(LCI_Table[[#This Row],[Data Set]]="all",LCI_Table[[#This Row],[Data Set]]=SelectedDataSet)</f>
        <v>0</v>
      </c>
      <c r="J1223" s="14" t="b">
        <f>OR(LCI_Table[[#This Row],[Technology]]="All",LCI_Table[[#This Row],[Technology]]=SelectedTechnology)</f>
        <v>1</v>
      </c>
      <c r="K1223" s="14" t="b">
        <f>OR(LCI_Table[[#This Row],[Data Source]]="All",LCI_Table[[#This Row],[Data Source]]=SelectedDataSource)</f>
        <v>0</v>
      </c>
      <c r="L1223" s="14" t="b">
        <f>TRUE</f>
        <v>1</v>
      </c>
      <c r="M1223" s="14" t="b">
        <f>(LCI_Table[[#This Row],[Dev Notes]]="Do not display")</f>
        <v>0</v>
      </c>
      <c r="N1223" s="14" t="b">
        <f>AND(LCI_Table[[#This Row],[Show Feedstock]:[Conditional]],NOT(LCI_Table[[#This Row],[Hide Row]]))</f>
        <v>0</v>
      </c>
      <c r="O1223" s="14" t="b">
        <f>LCI_Table[[#This Row],[GREET1 Name Range]]=""</f>
        <v>0</v>
      </c>
      <c r="P1223" s="14" t="s">
        <v>14</v>
      </c>
      <c r="Q1223" s="14" t="s">
        <v>471</v>
      </c>
      <c r="R1223" s="14" t="s">
        <v>111</v>
      </c>
      <c r="S1223" s="37" cm="1">
        <f t="array" aca="1" ref="S12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47.174043880234819</v>
      </c>
      <c r="T1223" s="346" t="s">
        <v>1485</v>
      </c>
      <c r="U1223" s="347">
        <f ca="1">S1223/g2lb/S1222*kg2ton</f>
        <v>37.5</v>
      </c>
      <c r="V1223" s="347">
        <v>47.174043880234819</v>
      </c>
      <c r="W1223" s="347">
        <v>37.5</v>
      </c>
      <c r="X1223" s="14" t="s">
        <v>12</v>
      </c>
      <c r="Y1223" s="346" t="s">
        <v>413</v>
      </c>
      <c r="Z1223" s="14" t="str">
        <f>IF(ISBLANK(LCI_Table[[#This Row],[Notes for user]])," ",LCI_Table[[#This Row],[Notes for user]])</f>
        <v xml:space="preserve"> </v>
      </c>
      <c r="AA1223" s="14"/>
      <c r="AB1223" s="14"/>
      <c r="AC1223" s="346">
        <f ca="1">LCI_Table[[#This Row],[Default Calculated Value]]-LCI_Table[[#This Row],[Calculated Value]]</f>
        <v>0</v>
      </c>
    </row>
    <row r="1224" spans="1:29" x14ac:dyDescent="0.3">
      <c r="A12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CamelinaHEFAICAOJRC(blank)_Camelina_Farming_P2O5P2O5</v>
      </c>
      <c r="B1224" s="14" t="s">
        <v>127</v>
      </c>
      <c r="C1224" s="14" t="s">
        <v>30</v>
      </c>
      <c r="D1224" s="14" t="s">
        <v>194</v>
      </c>
      <c r="E1224" s="14" t="s">
        <v>355</v>
      </c>
      <c r="F1224" s="48" t="s">
        <v>31</v>
      </c>
      <c r="G1224" s="14" t="b">
        <f>OR(LCI_Table[[#This Row],[Feedstock]]="All",LCI_Table[[#This Row],[Feedstock]]=SelectedFeedstock)</f>
        <v>0</v>
      </c>
      <c r="H1224" s="14" t="b">
        <f>OR(LCI_Table[[#This Row],[Conversion]]="All",LCI_Table[[#This Row],[Conversion]]=SelectedConversion)</f>
        <v>1</v>
      </c>
      <c r="I1224" s="14" t="b">
        <f>OR(LCI_Table[[#This Row],[Data Set]]="all",LCI_Table[[#This Row],[Data Set]]=SelectedDataSet)</f>
        <v>0</v>
      </c>
      <c r="J1224" s="14" t="b">
        <f>OR(LCI_Table[[#This Row],[Technology]]="All",LCI_Table[[#This Row],[Technology]]=SelectedTechnology)</f>
        <v>1</v>
      </c>
      <c r="K1224" s="14" t="b">
        <f>OR(LCI_Table[[#This Row],[Data Source]]="All",LCI_Table[[#This Row],[Data Source]]=SelectedDataSource)</f>
        <v>0</v>
      </c>
      <c r="L1224" s="14" t="b">
        <f>TRUE</f>
        <v>1</v>
      </c>
      <c r="M1224" s="14" t="b">
        <f>(LCI_Table[[#This Row],[Dev Notes]]="Do not display")</f>
        <v>0</v>
      </c>
      <c r="N1224" s="14" t="b">
        <f>AND(LCI_Table[[#This Row],[Show Feedstock]:[Conditional]],NOT(LCI_Table[[#This Row],[Hide Row]]))</f>
        <v>0</v>
      </c>
      <c r="O1224" s="14" t="b">
        <f>LCI_Table[[#This Row],[GREET1 Name Range]]=""</f>
        <v>0</v>
      </c>
      <c r="P1224" s="14" t="s">
        <v>14</v>
      </c>
      <c r="Q1224" s="14" t="s">
        <v>472</v>
      </c>
      <c r="R1224" s="14" t="s">
        <v>112</v>
      </c>
      <c r="S1224" s="37" cm="1">
        <f t="array" aca="1" ref="S12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9.1832138753523775</v>
      </c>
      <c r="T1224" s="346" t="s">
        <v>1485</v>
      </c>
      <c r="U1224" s="347">
        <f ca="1">S1224/g2lb/S1222*kg2ton</f>
        <v>7.3</v>
      </c>
      <c r="V1224" s="347">
        <v>9.1832138753523775</v>
      </c>
      <c r="W1224" s="347">
        <v>7.3</v>
      </c>
      <c r="X1224" s="14" t="s">
        <v>12</v>
      </c>
      <c r="Y1224" s="346" t="s">
        <v>413</v>
      </c>
      <c r="Z1224" s="14" t="str">
        <f>IF(ISBLANK(LCI_Table[[#This Row],[Notes for user]])," ",LCI_Table[[#This Row],[Notes for user]])</f>
        <v xml:space="preserve"> </v>
      </c>
      <c r="AA1224" s="14"/>
      <c r="AB1224" s="14"/>
      <c r="AC1224" s="346">
        <f ca="1">LCI_Table[[#This Row],[Default Calculated Value]]-LCI_Table[[#This Row],[Calculated Value]]</f>
        <v>0</v>
      </c>
    </row>
    <row r="1225" spans="1:29" x14ac:dyDescent="0.3">
      <c r="A12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CamelinaHEFAICAOJRC(blank)_Camelina_Farming_K2OK2O</v>
      </c>
      <c r="B1225" s="14" t="s">
        <v>127</v>
      </c>
      <c r="C1225" s="14" t="s">
        <v>30</v>
      </c>
      <c r="D1225" s="14" t="s">
        <v>194</v>
      </c>
      <c r="E1225" s="14" t="s">
        <v>355</v>
      </c>
      <c r="F1225" s="48" t="s">
        <v>31</v>
      </c>
      <c r="G1225" s="14" t="b">
        <f>OR(LCI_Table[[#This Row],[Feedstock]]="All",LCI_Table[[#This Row],[Feedstock]]=SelectedFeedstock)</f>
        <v>0</v>
      </c>
      <c r="H1225" s="14" t="b">
        <f>OR(LCI_Table[[#This Row],[Conversion]]="All",LCI_Table[[#This Row],[Conversion]]=SelectedConversion)</f>
        <v>1</v>
      </c>
      <c r="I1225" s="14" t="b">
        <f>OR(LCI_Table[[#This Row],[Data Set]]="all",LCI_Table[[#This Row],[Data Set]]=SelectedDataSet)</f>
        <v>0</v>
      </c>
      <c r="J1225" s="14" t="b">
        <f>OR(LCI_Table[[#This Row],[Technology]]="All",LCI_Table[[#This Row],[Technology]]=SelectedTechnology)</f>
        <v>1</v>
      </c>
      <c r="K1225" s="14" t="b">
        <f>OR(LCI_Table[[#This Row],[Data Source]]="All",LCI_Table[[#This Row],[Data Source]]=SelectedDataSource)</f>
        <v>0</v>
      </c>
      <c r="L1225" s="14" t="b">
        <f>TRUE</f>
        <v>1</v>
      </c>
      <c r="M1225" s="14" t="b">
        <f>(LCI_Table[[#This Row],[Dev Notes]]="Do not display")</f>
        <v>0</v>
      </c>
      <c r="N1225" s="14" t="b">
        <f>AND(LCI_Table[[#This Row],[Show Feedstock]:[Conditional]],NOT(LCI_Table[[#This Row],[Hide Row]]))</f>
        <v>0</v>
      </c>
      <c r="O1225" s="14" t="b">
        <f>LCI_Table[[#This Row],[GREET1 Name Range]]=""</f>
        <v>0</v>
      </c>
      <c r="P1225" s="14" t="s">
        <v>14</v>
      </c>
      <c r="Q1225" s="14" t="s">
        <v>468</v>
      </c>
      <c r="R1225" s="14" t="s">
        <v>113</v>
      </c>
      <c r="S1225" s="37" cm="1">
        <f t="array" aca="1" ref="S12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25" s="346" t="s">
        <v>1485</v>
      </c>
      <c r="U1225" s="347">
        <f ca="1">S1225/g2lb/S1222*kg2ton</f>
        <v>0</v>
      </c>
      <c r="V1225" s="347">
        <v>0</v>
      </c>
      <c r="W1225" s="347">
        <v>0</v>
      </c>
      <c r="X1225" s="14" t="s">
        <v>12</v>
      </c>
      <c r="Y1225" s="346" t="s">
        <v>413</v>
      </c>
      <c r="Z1225" s="14" t="str">
        <f>IF(ISBLANK(LCI_Table[[#This Row],[Notes for user]])," ",LCI_Table[[#This Row],[Notes for user]])</f>
        <v xml:space="preserve"> </v>
      </c>
      <c r="AA1225" s="14"/>
      <c r="AB1225" s="14"/>
      <c r="AC1225" s="346">
        <f ca="1">LCI_Table[[#This Row],[Default Calculated Value]]-LCI_Table[[#This Row],[Calculated Value]]</f>
        <v>0</v>
      </c>
    </row>
    <row r="1226" spans="1:29" x14ac:dyDescent="0.3">
      <c r="A12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CamelinaHEFAICAOJRC(blank)_Camelina_Farming_CaCO3CaCO3</v>
      </c>
      <c r="B1226" s="14" t="s">
        <v>127</v>
      </c>
      <c r="C1226" s="14" t="s">
        <v>30</v>
      </c>
      <c r="D1226" s="14" t="s">
        <v>194</v>
      </c>
      <c r="E1226" s="14" t="s">
        <v>355</v>
      </c>
      <c r="F1226" s="48" t="s">
        <v>31</v>
      </c>
      <c r="G1226" s="14" t="b">
        <f>OR(LCI_Table[[#This Row],[Feedstock]]="All",LCI_Table[[#This Row],[Feedstock]]=SelectedFeedstock)</f>
        <v>0</v>
      </c>
      <c r="H1226" s="14" t="b">
        <f>OR(LCI_Table[[#This Row],[Conversion]]="All",LCI_Table[[#This Row],[Conversion]]=SelectedConversion)</f>
        <v>1</v>
      </c>
      <c r="I1226" s="14" t="b">
        <f>OR(LCI_Table[[#This Row],[Data Set]]="all",LCI_Table[[#This Row],[Data Set]]=SelectedDataSet)</f>
        <v>0</v>
      </c>
      <c r="J1226" s="14" t="b">
        <f>OR(LCI_Table[[#This Row],[Technology]]="All",LCI_Table[[#This Row],[Technology]]=SelectedTechnology)</f>
        <v>1</v>
      </c>
      <c r="K1226" s="14" t="b">
        <f>OR(LCI_Table[[#This Row],[Data Source]]="All",LCI_Table[[#This Row],[Data Source]]=SelectedDataSource)</f>
        <v>0</v>
      </c>
      <c r="L1226" s="14" t="b">
        <f>TRUE</f>
        <v>1</v>
      </c>
      <c r="M1226" s="14" t="b">
        <f>(LCI_Table[[#This Row],[Dev Notes]]="Do not display")</f>
        <v>0</v>
      </c>
      <c r="N1226" s="14" t="b">
        <f>AND(LCI_Table[[#This Row],[Show Feedstock]:[Conditional]],NOT(LCI_Table[[#This Row],[Hide Row]]))</f>
        <v>0</v>
      </c>
      <c r="O1226" s="14" t="b">
        <f>LCI_Table[[#This Row],[GREET1 Name Range]]=""</f>
        <v>0</v>
      </c>
      <c r="P1226" s="14" t="s">
        <v>14</v>
      </c>
      <c r="Q1226" s="14" t="s">
        <v>461</v>
      </c>
      <c r="R1226" s="14" t="s">
        <v>141</v>
      </c>
      <c r="S1226" s="37" cm="1">
        <f t="array" aca="1" ref="S12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26" s="346" t="s">
        <v>1485</v>
      </c>
      <c r="U1226" s="347">
        <f ca="1">S1226/g2lb/S1222*kg2ton</f>
        <v>0</v>
      </c>
      <c r="V1226" s="347">
        <v>0</v>
      </c>
      <c r="W1226" s="347">
        <v>0</v>
      </c>
      <c r="X1226" s="14" t="s">
        <v>12</v>
      </c>
      <c r="Y1226" s="346" t="s">
        <v>413</v>
      </c>
      <c r="Z1226" s="14" t="str">
        <f>IF(ISBLANK(LCI_Table[[#This Row],[Notes for user]])," ",LCI_Table[[#This Row],[Notes for user]])</f>
        <v xml:space="preserve"> </v>
      </c>
      <c r="AA1226" s="14"/>
      <c r="AB1226" s="14"/>
      <c r="AC1226" s="346">
        <f ca="1">LCI_Table[[#This Row],[Default Calculated Value]]-LCI_Table[[#This Row],[Calculated Value]]</f>
        <v>0</v>
      </c>
    </row>
    <row r="1227" spans="1:29" x14ac:dyDescent="0.3">
      <c r="A12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CamelinaHEFAICAOJRC(blank)_Camelina_Farming_HerbicidesHerbicides</v>
      </c>
      <c r="B1227" s="14" t="s">
        <v>127</v>
      </c>
      <c r="C1227" s="14" t="s">
        <v>30</v>
      </c>
      <c r="D1227" s="14" t="s">
        <v>194</v>
      </c>
      <c r="E1227" s="14" t="s">
        <v>355</v>
      </c>
      <c r="F1227" s="48" t="s">
        <v>31</v>
      </c>
      <c r="G1227" s="14" t="b">
        <f>OR(LCI_Table[[#This Row],[Feedstock]]="All",LCI_Table[[#This Row],[Feedstock]]=SelectedFeedstock)</f>
        <v>0</v>
      </c>
      <c r="H1227" s="14" t="b">
        <f>OR(LCI_Table[[#This Row],[Conversion]]="All",LCI_Table[[#This Row],[Conversion]]=SelectedConversion)</f>
        <v>1</v>
      </c>
      <c r="I1227" s="14" t="b">
        <f>OR(LCI_Table[[#This Row],[Data Set]]="all",LCI_Table[[#This Row],[Data Set]]=SelectedDataSet)</f>
        <v>0</v>
      </c>
      <c r="J1227" s="14" t="b">
        <f>OR(LCI_Table[[#This Row],[Technology]]="All",LCI_Table[[#This Row],[Technology]]=SelectedTechnology)</f>
        <v>1</v>
      </c>
      <c r="K1227" s="14" t="b">
        <f>OR(LCI_Table[[#This Row],[Data Source]]="All",LCI_Table[[#This Row],[Data Source]]=SelectedDataSource)</f>
        <v>0</v>
      </c>
      <c r="L1227" s="14" t="b">
        <f>TRUE</f>
        <v>1</v>
      </c>
      <c r="M1227" s="14" t="b">
        <f>(LCI_Table[[#This Row],[Dev Notes]]="Do not display")</f>
        <v>0</v>
      </c>
      <c r="N1227" s="14" t="b">
        <f>AND(LCI_Table[[#This Row],[Show Feedstock]:[Conditional]],NOT(LCI_Table[[#This Row],[Hide Row]]))</f>
        <v>0</v>
      </c>
      <c r="O1227" s="14" t="b">
        <f>LCI_Table[[#This Row],[GREET1 Name Range]]=""</f>
        <v>0</v>
      </c>
      <c r="P1227" s="14" t="s">
        <v>14</v>
      </c>
      <c r="Q1227" s="14" t="s">
        <v>466</v>
      </c>
      <c r="R1227" s="14" t="s">
        <v>356</v>
      </c>
      <c r="S1227" s="37" cm="1">
        <f t="array" aca="1" ref="S12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27" s="346" t="s">
        <v>1485</v>
      </c>
      <c r="U1227" s="347">
        <f ca="1">S1227/g2lb/S1222*kg2ton</f>
        <v>0</v>
      </c>
      <c r="V1227" s="347">
        <v>0</v>
      </c>
      <c r="W1227" s="347">
        <v>0</v>
      </c>
      <c r="X1227" s="14" t="s">
        <v>12</v>
      </c>
      <c r="Y1227" s="346" t="s">
        <v>413</v>
      </c>
      <c r="Z1227" s="14" t="str">
        <f>IF(ISBLANK(LCI_Table[[#This Row],[Notes for user]])," ",LCI_Table[[#This Row],[Notes for user]])</f>
        <v xml:space="preserve"> </v>
      </c>
      <c r="AA1227" s="14"/>
      <c r="AB1227" s="14"/>
      <c r="AC1227" s="346">
        <f ca="1">LCI_Table[[#This Row],[Default Calculated Value]]-LCI_Table[[#This Row],[Calculated Value]]</f>
        <v>0</v>
      </c>
    </row>
    <row r="1228" spans="1:29" x14ac:dyDescent="0.3">
      <c r="A12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CamelinaHEFAICAOJRC(blank)_Camelina_Farming_InsecticideInsecticide</v>
      </c>
      <c r="B1228" s="14" t="s">
        <v>127</v>
      </c>
      <c r="C1228" s="14" t="s">
        <v>30</v>
      </c>
      <c r="D1228" s="14" t="s">
        <v>194</v>
      </c>
      <c r="E1228" s="14" t="s">
        <v>355</v>
      </c>
      <c r="F1228" s="48" t="s">
        <v>31</v>
      </c>
      <c r="G1228" s="14" t="b">
        <f>OR(LCI_Table[[#This Row],[Feedstock]]="All",LCI_Table[[#This Row],[Feedstock]]=SelectedFeedstock)</f>
        <v>0</v>
      </c>
      <c r="H1228" s="14" t="b">
        <f>OR(LCI_Table[[#This Row],[Conversion]]="All",LCI_Table[[#This Row],[Conversion]]=SelectedConversion)</f>
        <v>1</v>
      </c>
      <c r="I1228" s="14" t="b">
        <f>OR(LCI_Table[[#This Row],[Data Set]]="all",LCI_Table[[#This Row],[Data Set]]=SelectedDataSet)</f>
        <v>0</v>
      </c>
      <c r="J1228" s="14" t="b">
        <f>OR(LCI_Table[[#This Row],[Technology]]="All",LCI_Table[[#This Row],[Technology]]=SelectedTechnology)</f>
        <v>1</v>
      </c>
      <c r="K1228" s="14" t="b">
        <f>OR(LCI_Table[[#This Row],[Data Source]]="All",LCI_Table[[#This Row],[Data Source]]=SelectedDataSource)</f>
        <v>0</v>
      </c>
      <c r="L1228" s="14" t="b">
        <f>TRUE</f>
        <v>1</v>
      </c>
      <c r="M1228" s="14" t="b">
        <f>(LCI_Table[[#This Row],[Dev Notes]]="Do not display")</f>
        <v>0</v>
      </c>
      <c r="N1228" s="14" t="b">
        <f>AND(LCI_Table[[#This Row],[Show Feedstock]:[Conditional]],NOT(LCI_Table[[#This Row],[Hide Row]]))</f>
        <v>0</v>
      </c>
      <c r="O1228" s="14" t="b">
        <f>LCI_Table[[#This Row],[GREET1 Name Range]]=""</f>
        <v>0</v>
      </c>
      <c r="P1228" s="14" t="s">
        <v>14</v>
      </c>
      <c r="Q1228" s="14" t="s">
        <v>467</v>
      </c>
      <c r="R1228" s="14" t="s">
        <v>114</v>
      </c>
      <c r="S1228" s="37" cm="1">
        <f t="array" aca="1" ref="S12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28" s="346" t="s">
        <v>1485</v>
      </c>
      <c r="U1228" s="347">
        <f ca="1">S1228/g2lb/S1222*kg2ton</f>
        <v>0</v>
      </c>
      <c r="V1228" s="347">
        <v>0</v>
      </c>
      <c r="W1228" s="347">
        <v>0</v>
      </c>
      <c r="X1228" s="14" t="s">
        <v>12</v>
      </c>
      <c r="Y1228" s="346" t="s">
        <v>413</v>
      </c>
      <c r="Z1228" s="14" t="str">
        <f>IF(ISBLANK(LCI_Table[[#This Row],[Notes for user]])," ",LCI_Table[[#This Row],[Notes for user]])</f>
        <v xml:space="preserve"> </v>
      </c>
      <c r="AA1228" s="14"/>
      <c r="AB1228" s="14"/>
      <c r="AC1228" s="346">
        <f ca="1">LCI_Table[[#This Row],[Default Calculated Value]]-LCI_Table[[#This Row],[Calculated Value]]</f>
        <v>0</v>
      </c>
    </row>
    <row r="1229" spans="1:29" x14ac:dyDescent="0.3">
      <c r="A12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CamelinaHEFAICAOJRC(blank)_Camelina_Farming_Residual_oilResidual oil</v>
      </c>
      <c r="B1229" s="14" t="s">
        <v>127</v>
      </c>
      <c r="C1229" s="14" t="s">
        <v>30</v>
      </c>
      <c r="D1229" s="14" t="s">
        <v>194</v>
      </c>
      <c r="E1229" s="14" t="s">
        <v>355</v>
      </c>
      <c r="F1229" s="48" t="s">
        <v>31</v>
      </c>
      <c r="G1229" s="14" t="b">
        <f>OR(LCI_Table[[#This Row],[Feedstock]]="All",LCI_Table[[#This Row],[Feedstock]]=SelectedFeedstock)</f>
        <v>0</v>
      </c>
      <c r="H1229" s="14" t="b">
        <f>OR(LCI_Table[[#This Row],[Conversion]]="All",LCI_Table[[#This Row],[Conversion]]=SelectedConversion)</f>
        <v>1</v>
      </c>
      <c r="I1229" s="14" t="b">
        <f>OR(LCI_Table[[#This Row],[Data Set]]="all",LCI_Table[[#This Row],[Data Set]]=SelectedDataSet)</f>
        <v>0</v>
      </c>
      <c r="J1229" s="14" t="b">
        <f>OR(LCI_Table[[#This Row],[Technology]]="All",LCI_Table[[#This Row],[Technology]]=SelectedTechnology)</f>
        <v>1</v>
      </c>
      <c r="K1229" s="14" t="b">
        <f>OR(LCI_Table[[#This Row],[Data Source]]="All",LCI_Table[[#This Row],[Data Source]]=SelectedDataSource)</f>
        <v>0</v>
      </c>
      <c r="L1229" s="14" t="b">
        <f>TRUE</f>
        <v>1</v>
      </c>
      <c r="M1229" s="14" t="b">
        <f>(LCI_Table[[#This Row],[Dev Notes]]="Do not display")</f>
        <v>0</v>
      </c>
      <c r="N1229" s="14" t="b">
        <f>AND(LCI_Table[[#This Row],[Show Feedstock]:[Conditional]],NOT(LCI_Table[[#This Row],[Hide Row]]))</f>
        <v>0</v>
      </c>
      <c r="O1229" s="14" t="b">
        <f>LCI_Table[[#This Row],[GREET1 Name Range]]=""</f>
        <v>0</v>
      </c>
      <c r="P1229" s="14" t="s">
        <v>14</v>
      </c>
      <c r="Q1229" s="14" t="s">
        <v>473</v>
      </c>
      <c r="R1229" s="14" t="s">
        <v>115</v>
      </c>
      <c r="S1229" s="37" cm="1">
        <f t="array" aca="1" ref="S12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29" s="346" t="s">
        <v>1484</v>
      </c>
      <c r="U1229" s="347">
        <f ca="1">S1229*Fuel_Specs!$B$28/S1222*kg2ton</f>
        <v>0</v>
      </c>
      <c r="V1229" s="347">
        <v>0</v>
      </c>
      <c r="W1229" s="347">
        <v>0</v>
      </c>
      <c r="X1229" s="14" t="s">
        <v>5</v>
      </c>
      <c r="Y1229" s="346" t="s">
        <v>413</v>
      </c>
      <c r="Z1229" s="14" t="str">
        <f>IF(ISBLANK(LCI_Table[[#This Row],[Notes for user]])," ",LCI_Table[[#This Row],[Notes for user]])</f>
        <v xml:space="preserve"> </v>
      </c>
      <c r="AA1229" s="14"/>
      <c r="AB1229" s="14"/>
      <c r="AC1229" s="346">
        <f ca="1">LCI_Table[[#This Row],[Default Calculated Value]]-LCI_Table[[#This Row],[Calculated Value]]</f>
        <v>0</v>
      </c>
    </row>
    <row r="1230" spans="1:29" x14ac:dyDescent="0.3">
      <c r="A12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CamelinaHEFAICAOJRC(blank)_Camelina_Farming_DieselDiesel</v>
      </c>
      <c r="B1230" s="14" t="s">
        <v>127</v>
      </c>
      <c r="C1230" s="14" t="s">
        <v>30</v>
      </c>
      <c r="D1230" s="14" t="s">
        <v>194</v>
      </c>
      <c r="E1230" s="14" t="s">
        <v>355</v>
      </c>
      <c r="F1230" s="48" t="s">
        <v>31</v>
      </c>
      <c r="G1230" s="14" t="b">
        <f>OR(LCI_Table[[#This Row],[Feedstock]]="All",LCI_Table[[#This Row],[Feedstock]]=SelectedFeedstock)</f>
        <v>0</v>
      </c>
      <c r="H1230" s="14" t="b">
        <f>OR(LCI_Table[[#This Row],[Conversion]]="All",LCI_Table[[#This Row],[Conversion]]=SelectedConversion)</f>
        <v>1</v>
      </c>
      <c r="I1230" s="14" t="b">
        <f>OR(LCI_Table[[#This Row],[Data Set]]="all",LCI_Table[[#This Row],[Data Set]]=SelectedDataSet)</f>
        <v>0</v>
      </c>
      <c r="J1230" s="14" t="b">
        <f>OR(LCI_Table[[#This Row],[Technology]]="All",LCI_Table[[#This Row],[Technology]]=SelectedTechnology)</f>
        <v>1</v>
      </c>
      <c r="K1230" s="14" t="b">
        <f>OR(LCI_Table[[#This Row],[Data Source]]="All",LCI_Table[[#This Row],[Data Source]]=SelectedDataSource)</f>
        <v>0</v>
      </c>
      <c r="L1230" s="14" t="b">
        <f>TRUE</f>
        <v>1</v>
      </c>
      <c r="M1230" s="14" t="b">
        <f>(LCI_Table[[#This Row],[Dev Notes]]="Do not display")</f>
        <v>0</v>
      </c>
      <c r="N1230" s="14" t="b">
        <f>AND(LCI_Table[[#This Row],[Show Feedstock]:[Conditional]],NOT(LCI_Table[[#This Row],[Hide Row]]))</f>
        <v>0</v>
      </c>
      <c r="O1230" s="14" t="b">
        <f>LCI_Table[[#This Row],[GREET1 Name Range]]=""</f>
        <v>0</v>
      </c>
      <c r="P1230" s="14" t="s">
        <v>14</v>
      </c>
      <c r="Q1230" s="14" t="s">
        <v>463</v>
      </c>
      <c r="R1230" s="14" t="s">
        <v>106</v>
      </c>
      <c r="S1230" s="37" cm="1">
        <f t="array" aca="1" ref="S12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5.8015848437321473</v>
      </c>
      <c r="T1230" s="346" t="s">
        <v>1484</v>
      </c>
      <c r="U1230" s="347">
        <f ca="1">S1230*Fuel_Specs!$B$19/S1222*kg2ton</f>
        <v>1306.0000000000002</v>
      </c>
      <c r="V1230" s="347">
        <v>5.8015848437321473</v>
      </c>
      <c r="W1230" s="347">
        <v>1306.0000000000002</v>
      </c>
      <c r="X1230" s="14" t="s">
        <v>5</v>
      </c>
      <c r="Y1230" s="346" t="s">
        <v>413</v>
      </c>
      <c r="Z1230" s="14" t="str">
        <f>IF(ISBLANK(LCI_Table[[#This Row],[Notes for user]])," ",LCI_Table[[#This Row],[Notes for user]])</f>
        <v xml:space="preserve"> </v>
      </c>
      <c r="AA1230" s="14"/>
      <c r="AB1230" s="14"/>
      <c r="AC1230" s="346">
        <f ca="1">LCI_Table[[#This Row],[Default Calculated Value]]-LCI_Table[[#This Row],[Calculated Value]]</f>
        <v>0</v>
      </c>
    </row>
    <row r="1231" spans="1:29" x14ac:dyDescent="0.3">
      <c r="A12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CamelinaHEFAICAOJRC(blank)_Camelina_Farming_GasolineGasoline</v>
      </c>
      <c r="B1231" s="14" t="s">
        <v>127</v>
      </c>
      <c r="C1231" s="14" t="s">
        <v>30</v>
      </c>
      <c r="D1231" s="14" t="s">
        <v>194</v>
      </c>
      <c r="E1231" s="14" t="s">
        <v>355</v>
      </c>
      <c r="F1231" s="48" t="s">
        <v>31</v>
      </c>
      <c r="G1231" s="14" t="b">
        <f>OR(LCI_Table[[#This Row],[Feedstock]]="All",LCI_Table[[#This Row],[Feedstock]]=SelectedFeedstock)</f>
        <v>0</v>
      </c>
      <c r="H1231" s="14" t="b">
        <f>OR(LCI_Table[[#This Row],[Conversion]]="All",LCI_Table[[#This Row],[Conversion]]=SelectedConversion)</f>
        <v>1</v>
      </c>
      <c r="I1231" s="14" t="b">
        <f>OR(LCI_Table[[#This Row],[Data Set]]="all",LCI_Table[[#This Row],[Data Set]]=SelectedDataSet)</f>
        <v>0</v>
      </c>
      <c r="J1231" s="14" t="b">
        <f>OR(LCI_Table[[#This Row],[Technology]]="All",LCI_Table[[#This Row],[Technology]]=SelectedTechnology)</f>
        <v>1</v>
      </c>
      <c r="K1231" s="14" t="b">
        <f>OR(LCI_Table[[#This Row],[Data Source]]="All",LCI_Table[[#This Row],[Data Source]]=SelectedDataSource)</f>
        <v>0</v>
      </c>
      <c r="L1231" s="14" t="b">
        <f>TRUE</f>
        <v>1</v>
      </c>
      <c r="M1231" s="14" t="b">
        <f>(LCI_Table[[#This Row],[Dev Notes]]="Do not display")</f>
        <v>0</v>
      </c>
      <c r="N1231" s="14" t="b">
        <f>AND(LCI_Table[[#This Row],[Show Feedstock]:[Conditional]],NOT(LCI_Table[[#This Row],[Hide Row]]))</f>
        <v>0</v>
      </c>
      <c r="O1231" s="14" t="b">
        <f>LCI_Table[[#This Row],[GREET1 Name Range]]=""</f>
        <v>0</v>
      </c>
      <c r="P1231" s="14" t="s">
        <v>14</v>
      </c>
      <c r="Q1231" s="14" t="s">
        <v>465</v>
      </c>
      <c r="R1231" s="14" t="s">
        <v>107</v>
      </c>
      <c r="S1231" s="37" cm="1">
        <f t="array" aca="1" ref="S12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31" s="346" t="s">
        <v>1484</v>
      </c>
      <c r="U1231" s="347">
        <f ca="1">S1231*Fuel_Specs!$B$15/S1222*kg2ton</f>
        <v>0</v>
      </c>
      <c r="V1231" s="347">
        <v>0</v>
      </c>
      <c r="W1231" s="347">
        <v>0</v>
      </c>
      <c r="X1231" s="14" t="s">
        <v>5</v>
      </c>
      <c r="Y1231" s="346" t="s">
        <v>413</v>
      </c>
      <c r="Z1231" s="14" t="str">
        <f>IF(ISBLANK(LCI_Table[[#This Row],[Notes for user]])," ",LCI_Table[[#This Row],[Notes for user]])</f>
        <v xml:space="preserve"> </v>
      </c>
      <c r="AA1231" s="14"/>
      <c r="AB1231" s="14"/>
      <c r="AC1231" s="346">
        <f ca="1">LCI_Table[[#This Row],[Default Calculated Value]]-LCI_Table[[#This Row],[Calculated Value]]</f>
        <v>0</v>
      </c>
    </row>
    <row r="1232" spans="1:29" x14ac:dyDescent="0.3">
      <c r="A12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CamelinaHEFAICAOJRC(blank)_Camelina_Farming_Natural_gasNatural gas</v>
      </c>
      <c r="B1232" s="14" t="s">
        <v>127</v>
      </c>
      <c r="C1232" s="14" t="s">
        <v>30</v>
      </c>
      <c r="D1232" s="14" t="s">
        <v>194</v>
      </c>
      <c r="E1232" s="14" t="s">
        <v>355</v>
      </c>
      <c r="F1232" s="48" t="s">
        <v>31</v>
      </c>
      <c r="G1232" s="14" t="b">
        <f>OR(LCI_Table[[#This Row],[Feedstock]]="All",LCI_Table[[#This Row],[Feedstock]]=SelectedFeedstock)</f>
        <v>0</v>
      </c>
      <c r="H1232" s="14" t="b">
        <f>OR(LCI_Table[[#This Row],[Conversion]]="All",LCI_Table[[#This Row],[Conversion]]=SelectedConversion)</f>
        <v>1</v>
      </c>
      <c r="I1232" s="14" t="b">
        <f>OR(LCI_Table[[#This Row],[Data Set]]="all",LCI_Table[[#This Row],[Data Set]]=SelectedDataSet)</f>
        <v>0</v>
      </c>
      <c r="J1232" s="14" t="b">
        <f>OR(LCI_Table[[#This Row],[Technology]]="All",LCI_Table[[#This Row],[Technology]]=SelectedTechnology)</f>
        <v>1</v>
      </c>
      <c r="K1232" s="14" t="b">
        <f>OR(LCI_Table[[#This Row],[Data Source]]="All",LCI_Table[[#This Row],[Data Source]]=SelectedDataSource)</f>
        <v>0</v>
      </c>
      <c r="L1232" s="14" t="b">
        <f>TRUE</f>
        <v>1</v>
      </c>
      <c r="M1232" s="14" t="b">
        <f>(LCI_Table[[#This Row],[Dev Notes]]="Do not display")</f>
        <v>0</v>
      </c>
      <c r="N1232" s="14" t="b">
        <f>AND(LCI_Table[[#This Row],[Show Feedstock]:[Conditional]],NOT(LCI_Table[[#This Row],[Hide Row]]))</f>
        <v>0</v>
      </c>
      <c r="O1232" s="14" t="b">
        <f>LCI_Table[[#This Row],[GREET1 Name Range]]=""</f>
        <v>0</v>
      </c>
      <c r="P1232" s="14" t="s">
        <v>14</v>
      </c>
      <c r="Q1232" s="14" t="s">
        <v>470</v>
      </c>
      <c r="R1232" s="14" t="s">
        <v>108</v>
      </c>
      <c r="S1232" s="37" cm="1">
        <f t="array" aca="1" ref="S12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32" s="346" t="s">
        <v>2109</v>
      </c>
      <c r="U1232" s="347">
        <f ca="1">S1232*Fuel_Specs!$B$79/S1222*kg2ton</f>
        <v>0</v>
      </c>
      <c r="V1232" s="347">
        <v>0</v>
      </c>
      <c r="W1232" s="347">
        <v>0</v>
      </c>
      <c r="X1232" s="14" t="s">
        <v>351</v>
      </c>
      <c r="Y1232" s="346" t="s">
        <v>413</v>
      </c>
      <c r="Z1232" s="14" t="str">
        <f>IF(ISBLANK(LCI_Table[[#This Row],[Notes for user]])," ",LCI_Table[[#This Row],[Notes for user]])</f>
        <v xml:space="preserve"> </v>
      </c>
      <c r="AA1232" s="14"/>
      <c r="AB1232" s="14"/>
      <c r="AC1232" s="346">
        <f ca="1">LCI_Table[[#This Row],[Default Calculated Value]]-LCI_Table[[#This Row],[Calculated Value]]</f>
        <v>0</v>
      </c>
    </row>
    <row r="1233" spans="1:29" x14ac:dyDescent="0.3">
      <c r="A12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CamelinaHEFAICAOJRC(blank)_Camelina_Farming_CoalCoal</v>
      </c>
      <c r="B1233" s="14" t="s">
        <v>127</v>
      </c>
      <c r="C1233" s="14" t="s">
        <v>30</v>
      </c>
      <c r="D1233" s="14" t="s">
        <v>194</v>
      </c>
      <c r="E1233" s="14" t="s">
        <v>355</v>
      </c>
      <c r="F1233" s="48" t="s">
        <v>31</v>
      </c>
      <c r="G1233" s="14" t="b">
        <f>OR(LCI_Table[[#This Row],[Feedstock]]="All",LCI_Table[[#This Row],[Feedstock]]=SelectedFeedstock)</f>
        <v>0</v>
      </c>
      <c r="H1233" s="14" t="b">
        <f>OR(LCI_Table[[#This Row],[Conversion]]="All",LCI_Table[[#This Row],[Conversion]]=SelectedConversion)</f>
        <v>1</v>
      </c>
      <c r="I1233" s="14" t="b">
        <f>OR(LCI_Table[[#This Row],[Data Set]]="all",LCI_Table[[#This Row],[Data Set]]=SelectedDataSet)</f>
        <v>0</v>
      </c>
      <c r="J1233" s="14" t="b">
        <f>OR(LCI_Table[[#This Row],[Technology]]="All",LCI_Table[[#This Row],[Technology]]=SelectedTechnology)</f>
        <v>1</v>
      </c>
      <c r="K1233" s="14" t="b">
        <f>OR(LCI_Table[[#This Row],[Data Source]]="All",LCI_Table[[#This Row],[Data Source]]=SelectedDataSource)</f>
        <v>0</v>
      </c>
      <c r="L1233" s="14" t="b">
        <f>TRUE</f>
        <v>1</v>
      </c>
      <c r="M1233" s="14" t="b">
        <f>(LCI_Table[[#This Row],[Dev Notes]]="Do not display")</f>
        <v>0</v>
      </c>
      <c r="N1233" s="14" t="b">
        <f>AND(LCI_Table[[#This Row],[Show Feedstock]:[Conditional]],NOT(LCI_Table[[#This Row],[Hide Row]]))</f>
        <v>0</v>
      </c>
      <c r="O1233" s="14" t="b">
        <f>LCI_Table[[#This Row],[GREET1 Name Range]]=""</f>
        <v>0</v>
      </c>
      <c r="P1233" s="14" t="s">
        <v>14</v>
      </c>
      <c r="Q1233" s="14" t="s">
        <v>462</v>
      </c>
      <c r="R1233" s="14" t="s">
        <v>9</v>
      </c>
      <c r="S1233" s="37" cm="1">
        <f t="array" aca="1" ref="S12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33" s="346" t="s">
        <v>2110</v>
      </c>
      <c r="U1233" s="347">
        <f ca="1">S1233/S1222*kg2ton</f>
        <v>0</v>
      </c>
      <c r="V1233" s="347">
        <v>0</v>
      </c>
      <c r="W1233" s="347">
        <v>0</v>
      </c>
      <c r="X1233" s="14" t="s">
        <v>117</v>
      </c>
      <c r="Y1233" s="346" t="s">
        <v>413</v>
      </c>
      <c r="Z1233" s="14" t="str">
        <f>IF(ISBLANK(LCI_Table[[#This Row],[Notes for user]])," ",LCI_Table[[#This Row],[Notes for user]])</f>
        <v xml:space="preserve"> </v>
      </c>
      <c r="AA1233" s="14"/>
      <c r="AB1233" s="14"/>
      <c r="AC1233" s="346">
        <f ca="1">LCI_Table[[#This Row],[Default Calculated Value]]-LCI_Table[[#This Row],[Calculated Value]]</f>
        <v>0</v>
      </c>
    </row>
    <row r="1234" spans="1:29" x14ac:dyDescent="0.3">
      <c r="A12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CamelinaHEFAICAOJRC(blank)_Camelina_Farming_LPGLPG</v>
      </c>
      <c r="B1234" s="14" t="s">
        <v>127</v>
      </c>
      <c r="C1234" s="14" t="s">
        <v>30</v>
      </c>
      <c r="D1234" s="14" t="s">
        <v>194</v>
      </c>
      <c r="E1234" s="14" t="s">
        <v>355</v>
      </c>
      <c r="F1234" s="48" t="s">
        <v>31</v>
      </c>
      <c r="G1234" s="14" t="b">
        <f>OR(LCI_Table[[#This Row],[Feedstock]]="All",LCI_Table[[#This Row],[Feedstock]]=SelectedFeedstock)</f>
        <v>0</v>
      </c>
      <c r="H1234" s="14" t="b">
        <f>OR(LCI_Table[[#This Row],[Conversion]]="All",LCI_Table[[#This Row],[Conversion]]=SelectedConversion)</f>
        <v>1</v>
      </c>
      <c r="I1234" s="14" t="b">
        <f>OR(LCI_Table[[#This Row],[Data Set]]="all",LCI_Table[[#This Row],[Data Set]]=SelectedDataSet)</f>
        <v>0</v>
      </c>
      <c r="J1234" s="14" t="b">
        <f>OR(LCI_Table[[#This Row],[Technology]]="All",LCI_Table[[#This Row],[Technology]]=SelectedTechnology)</f>
        <v>1</v>
      </c>
      <c r="K1234" s="14" t="b">
        <f>OR(LCI_Table[[#This Row],[Data Source]]="All",LCI_Table[[#This Row],[Data Source]]=SelectedDataSource)</f>
        <v>0</v>
      </c>
      <c r="L1234" s="14" t="b">
        <f>TRUE</f>
        <v>1</v>
      </c>
      <c r="M1234" s="14" t="b">
        <f>(LCI_Table[[#This Row],[Dev Notes]]="Do not display")</f>
        <v>0</v>
      </c>
      <c r="N1234" s="14" t="b">
        <f>AND(LCI_Table[[#This Row],[Show Feedstock]:[Conditional]],NOT(LCI_Table[[#This Row],[Hide Row]]))</f>
        <v>0</v>
      </c>
      <c r="O1234" s="14" t="b">
        <f>LCI_Table[[#This Row],[GREET1 Name Range]]=""</f>
        <v>0</v>
      </c>
      <c r="P1234" s="14" t="s">
        <v>14</v>
      </c>
      <c r="Q1234" s="14" t="s">
        <v>469</v>
      </c>
      <c r="R1234" s="14" t="s">
        <v>109</v>
      </c>
      <c r="S1234" s="37" cm="1">
        <f t="array" aca="1" ref="S12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34" s="346" t="s">
        <v>1484</v>
      </c>
      <c r="U1234" s="347">
        <f ca="1">S1234*Fuel_Specs!$B$35/S1222*kg2ton</f>
        <v>0</v>
      </c>
      <c r="V1234" s="347">
        <v>0</v>
      </c>
      <c r="W1234" s="347">
        <v>0</v>
      </c>
      <c r="X1234" s="14" t="s">
        <v>5</v>
      </c>
      <c r="Y1234" s="346" t="s">
        <v>413</v>
      </c>
      <c r="Z1234" s="14" t="str">
        <f>IF(ISBLANK(LCI_Table[[#This Row],[Notes for user]])," ",LCI_Table[[#This Row],[Notes for user]])</f>
        <v xml:space="preserve"> </v>
      </c>
      <c r="AA1234" s="14"/>
      <c r="AB1234" s="14"/>
      <c r="AC1234" s="346">
        <f ca="1">LCI_Table[[#This Row],[Default Calculated Value]]-LCI_Table[[#This Row],[Calculated Value]]</f>
        <v>0</v>
      </c>
    </row>
    <row r="1235" spans="1:29" x14ac:dyDescent="0.3">
      <c r="A12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CamelinaHEFAICAOJRC(blank)_Camelina_Farming_ElectricityElectricity</v>
      </c>
      <c r="B1235" s="14" t="s">
        <v>127</v>
      </c>
      <c r="C1235" s="14" t="s">
        <v>30</v>
      </c>
      <c r="D1235" s="14" t="s">
        <v>194</v>
      </c>
      <c r="E1235" s="14" t="s">
        <v>355</v>
      </c>
      <c r="F1235" s="48" t="s">
        <v>31</v>
      </c>
      <c r="G1235" s="14" t="b">
        <f>OR(LCI_Table[[#This Row],[Feedstock]]="All",LCI_Table[[#This Row],[Feedstock]]=SelectedFeedstock)</f>
        <v>0</v>
      </c>
      <c r="H1235" s="14" t="b">
        <f>OR(LCI_Table[[#This Row],[Conversion]]="All",LCI_Table[[#This Row],[Conversion]]=SelectedConversion)</f>
        <v>1</v>
      </c>
      <c r="I1235" s="14" t="b">
        <f>OR(LCI_Table[[#This Row],[Data Set]]="all",LCI_Table[[#This Row],[Data Set]]=SelectedDataSet)</f>
        <v>0</v>
      </c>
      <c r="J1235" s="14" t="b">
        <f>OR(LCI_Table[[#This Row],[Technology]]="All",LCI_Table[[#This Row],[Technology]]=SelectedTechnology)</f>
        <v>1</v>
      </c>
      <c r="K1235" s="14" t="b">
        <f>OR(LCI_Table[[#This Row],[Data Source]]="All",LCI_Table[[#This Row],[Data Source]]=SelectedDataSource)</f>
        <v>0</v>
      </c>
      <c r="L1235" s="14" t="b">
        <f>TRUE</f>
        <v>1</v>
      </c>
      <c r="M1235" s="14" t="b">
        <f>(LCI_Table[[#This Row],[Dev Notes]]="Do not display")</f>
        <v>0</v>
      </c>
      <c r="N1235" s="14" t="b">
        <f>AND(LCI_Table[[#This Row],[Show Feedstock]:[Conditional]],NOT(LCI_Table[[#This Row],[Hide Row]]))</f>
        <v>0</v>
      </c>
      <c r="O1235" s="14" t="b">
        <f>LCI_Table[[#This Row],[GREET1 Name Range]]=""</f>
        <v>0</v>
      </c>
      <c r="P1235" s="14" t="s">
        <v>14</v>
      </c>
      <c r="Q1235" s="14" t="s">
        <v>464</v>
      </c>
      <c r="R1235" s="14" t="s">
        <v>110</v>
      </c>
      <c r="S1235" s="37" cm="1">
        <f t="array" aca="1" ref="S12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35" s="346" t="s">
        <v>1561</v>
      </c>
      <c r="U1235" s="347">
        <f ca="1">S1235/BTU2kWh/S1222*kg2ton</f>
        <v>0</v>
      </c>
      <c r="V1235" s="347">
        <v>0</v>
      </c>
      <c r="W1235" s="347">
        <v>0</v>
      </c>
      <c r="X1235" s="14" t="s">
        <v>51</v>
      </c>
      <c r="Y1235" s="346" t="s">
        <v>413</v>
      </c>
      <c r="Z1235" s="14" t="str">
        <f>IF(ISBLANK(LCI_Table[[#This Row],[Notes for user]])," ",LCI_Table[[#This Row],[Notes for user]])</f>
        <v xml:space="preserve"> </v>
      </c>
      <c r="AA1235" s="14"/>
      <c r="AB1235" s="14"/>
      <c r="AC1235" s="346">
        <f ca="1">LCI_Table[[#This Row],[Default Calculated Value]]-LCI_Table[[#This Row],[Calculated Value]]</f>
        <v>0</v>
      </c>
    </row>
    <row r="1236" spans="1:29" x14ac:dyDescent="0.3">
      <c r="A12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dash_CamelinaHEFAICAOJRC(blank)_Camelina_Extraction</v>
      </c>
      <c r="B1236" s="14" t="s">
        <v>127</v>
      </c>
      <c r="C1236" s="14" t="s">
        <v>30</v>
      </c>
      <c r="D1236" s="14" t="s">
        <v>194</v>
      </c>
      <c r="E1236" s="14" t="s">
        <v>355</v>
      </c>
      <c r="F1236" s="48" t="s">
        <v>31</v>
      </c>
      <c r="G1236" s="14" t="b">
        <f>OR(LCI_Table[[#This Row],[Feedstock]]="All",LCI_Table[[#This Row],[Feedstock]]=SelectedFeedstock)</f>
        <v>0</v>
      </c>
      <c r="H1236" s="14" t="b">
        <f>OR(LCI_Table[[#This Row],[Conversion]]="All",LCI_Table[[#This Row],[Conversion]]=SelectedConversion)</f>
        <v>1</v>
      </c>
      <c r="I1236" s="14" t="b">
        <f>OR(LCI_Table[[#This Row],[Data Set]]="all",LCI_Table[[#This Row],[Data Set]]=SelectedDataSet)</f>
        <v>0</v>
      </c>
      <c r="J1236" s="14" t="b">
        <f>OR(LCI_Table[[#This Row],[Technology]]="All",LCI_Table[[#This Row],[Technology]]=SelectedTechnology)</f>
        <v>1</v>
      </c>
      <c r="K1236" s="14" t="b">
        <f>OR(LCI_Table[[#This Row],[Data Source]]="All",LCI_Table[[#This Row],[Data Source]]=SelectedDataSource)</f>
        <v>0</v>
      </c>
      <c r="L1236" s="14" t="b">
        <f>TRUE</f>
        <v>1</v>
      </c>
      <c r="M1236" s="14" t="b">
        <f>(LCI_Table[[#This Row],[Dev Notes]]="Do not display")</f>
        <v>1</v>
      </c>
      <c r="N1236" s="14" t="b">
        <f>AND(LCI_Table[[#This Row],[Show Feedstock]:[Conditional]],NOT(LCI_Table[[#This Row],[Hide Row]]))</f>
        <v>0</v>
      </c>
      <c r="O1236" s="14" t="b">
        <f>LCI_Table[[#This Row],[GREET1 Name Range]]=""</f>
        <v>1</v>
      </c>
      <c r="P1236" s="14" t="s">
        <v>15</v>
      </c>
      <c r="Q1236" s="14" t="s">
        <v>361</v>
      </c>
      <c r="R1236" s="14" t="s">
        <v>127</v>
      </c>
      <c r="S1236" s="37" cm="1">
        <f t="array" aca="1" ref="S12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2.3148537529412194</v>
      </c>
      <c r="T1236" s="346" t="s">
        <v>2111</v>
      </c>
      <c r="U1236" s="347">
        <f ca="1">S1236/MT2lb</f>
        <v>1.0500000000000021E-3</v>
      </c>
      <c r="V1236" s="347">
        <v>2.3148537529412194</v>
      </c>
      <c r="W1236" s="347">
        <v>1.0500000000000021E-3</v>
      </c>
      <c r="X1236" s="14" t="s">
        <v>12</v>
      </c>
      <c r="Y1236" s="346" t="s">
        <v>891</v>
      </c>
      <c r="Z1236" s="14" t="str">
        <f>IF(ISBLANK(LCI_Table[[#This Row],[Notes for user]])," ",LCI_Table[[#This Row],[Notes for user]])</f>
        <v xml:space="preserve"> </v>
      </c>
      <c r="AA1236" s="348"/>
      <c r="AB1236" s="348" t="s">
        <v>1138</v>
      </c>
      <c r="AC1236" s="346">
        <f ca="1">LCI_Table[[#This Row],[Default Calculated Value]]-LCI_Table[[#This Row],[Calculated Value]]</f>
        <v>0</v>
      </c>
    </row>
    <row r="1237" spans="1:29" x14ac:dyDescent="0.3">
      <c r="A12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CamelinaHEFAICAOJRC(blank)_Camelina_Extraction_Residual_oilResidual oil</v>
      </c>
      <c r="B1237" s="14" t="s">
        <v>127</v>
      </c>
      <c r="C1237" s="14" t="s">
        <v>30</v>
      </c>
      <c r="D1237" s="14" t="s">
        <v>194</v>
      </c>
      <c r="E1237" s="14" t="s">
        <v>355</v>
      </c>
      <c r="F1237" s="48" t="s">
        <v>31</v>
      </c>
      <c r="G1237" s="14" t="b">
        <f>OR(LCI_Table[[#This Row],[Feedstock]]="All",LCI_Table[[#This Row],[Feedstock]]=SelectedFeedstock)</f>
        <v>0</v>
      </c>
      <c r="H1237" s="14" t="b">
        <f>OR(LCI_Table[[#This Row],[Conversion]]="All",LCI_Table[[#This Row],[Conversion]]=SelectedConversion)</f>
        <v>1</v>
      </c>
      <c r="I1237" s="14" t="b">
        <f>OR(LCI_Table[[#This Row],[Data Set]]="all",LCI_Table[[#This Row],[Data Set]]=SelectedDataSet)</f>
        <v>0</v>
      </c>
      <c r="J1237" s="14" t="b">
        <f>OR(LCI_Table[[#This Row],[Technology]]="All",LCI_Table[[#This Row],[Technology]]=SelectedTechnology)</f>
        <v>1</v>
      </c>
      <c r="K1237" s="14" t="b">
        <f>OR(LCI_Table[[#This Row],[Data Source]]="All",LCI_Table[[#This Row],[Data Source]]=SelectedDataSource)</f>
        <v>0</v>
      </c>
      <c r="L1237" s="14" t="b">
        <f>TRUE</f>
        <v>1</v>
      </c>
      <c r="M1237" s="14" t="b">
        <f>(LCI_Table[[#This Row],[Dev Notes]]="Do not display")</f>
        <v>0</v>
      </c>
      <c r="N1237" s="14" t="b">
        <f>AND(LCI_Table[[#This Row],[Show Feedstock]:[Conditional]],NOT(LCI_Table[[#This Row],[Hide Row]]))</f>
        <v>0</v>
      </c>
      <c r="O1237" s="14" t="b">
        <f>LCI_Table[[#This Row],[GREET1 Name Range]]=""</f>
        <v>0</v>
      </c>
      <c r="P1237" s="14" t="s">
        <v>15</v>
      </c>
      <c r="Q1237" s="14" t="s">
        <v>460</v>
      </c>
      <c r="R1237" s="14" t="s">
        <v>115</v>
      </c>
      <c r="S1237" s="37" cm="1">
        <f t="array" aca="1" ref="S12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37" s="346" t="s">
        <v>2112</v>
      </c>
      <c r="U1237" s="347">
        <f ca="1">S1237*Fuel_Specs!$B$28</f>
        <v>0</v>
      </c>
      <c r="V1237" s="347">
        <v>0</v>
      </c>
      <c r="W1237" s="347">
        <v>0</v>
      </c>
      <c r="X1237" s="14" t="s">
        <v>5</v>
      </c>
      <c r="Y1237" s="346" t="s">
        <v>891</v>
      </c>
      <c r="Z1237" s="14" t="str">
        <f>IF(ISBLANK(LCI_Table[[#This Row],[Notes for user]])," ",LCI_Table[[#This Row],[Notes for user]])</f>
        <v xml:space="preserve"> </v>
      </c>
      <c r="AA1237" s="14"/>
      <c r="AB1237" s="14"/>
      <c r="AC1237" s="346">
        <f ca="1">LCI_Table[[#This Row],[Default Calculated Value]]-LCI_Table[[#This Row],[Calculated Value]]</f>
        <v>0</v>
      </c>
    </row>
    <row r="1238" spans="1:29" x14ac:dyDescent="0.3">
      <c r="A12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CamelinaHEFAICAOJRC(blank)_Camelina_Extraction_DieselDiesel</v>
      </c>
      <c r="B1238" s="14" t="s">
        <v>127</v>
      </c>
      <c r="C1238" s="14" t="s">
        <v>30</v>
      </c>
      <c r="D1238" s="14" t="s">
        <v>194</v>
      </c>
      <c r="E1238" s="14" t="s">
        <v>355</v>
      </c>
      <c r="F1238" s="48" t="s">
        <v>31</v>
      </c>
      <c r="G1238" s="14" t="b">
        <f>OR(LCI_Table[[#This Row],[Feedstock]]="All",LCI_Table[[#This Row],[Feedstock]]=SelectedFeedstock)</f>
        <v>0</v>
      </c>
      <c r="H1238" s="14" t="b">
        <f>OR(LCI_Table[[#This Row],[Conversion]]="All",LCI_Table[[#This Row],[Conversion]]=SelectedConversion)</f>
        <v>1</v>
      </c>
      <c r="I1238" s="14" t="b">
        <f>OR(LCI_Table[[#This Row],[Data Set]]="all",LCI_Table[[#This Row],[Data Set]]=SelectedDataSet)</f>
        <v>0</v>
      </c>
      <c r="J1238" s="14" t="b">
        <f>OR(LCI_Table[[#This Row],[Technology]]="All",LCI_Table[[#This Row],[Technology]]=SelectedTechnology)</f>
        <v>1</v>
      </c>
      <c r="K1238" s="14" t="b">
        <f>OR(LCI_Table[[#This Row],[Data Source]]="All",LCI_Table[[#This Row],[Data Source]]=SelectedDataSource)</f>
        <v>0</v>
      </c>
      <c r="L1238" s="14" t="b">
        <f>TRUE</f>
        <v>1</v>
      </c>
      <c r="M1238" s="14" t="b">
        <f>(LCI_Table[[#This Row],[Dev Notes]]="Do not display")</f>
        <v>0</v>
      </c>
      <c r="N1238" s="14" t="b">
        <f>AND(LCI_Table[[#This Row],[Show Feedstock]:[Conditional]],NOT(LCI_Table[[#This Row],[Hide Row]]))</f>
        <v>0</v>
      </c>
      <c r="O1238" s="14" t="b">
        <f>LCI_Table[[#This Row],[GREET1 Name Range]]=""</f>
        <v>0</v>
      </c>
      <c r="P1238" s="14" t="s">
        <v>15</v>
      </c>
      <c r="Q1238" s="14" t="s">
        <v>452</v>
      </c>
      <c r="R1238" s="14" t="s">
        <v>106</v>
      </c>
      <c r="S1238" s="37" cm="1">
        <f t="array" aca="1" ref="S12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38" s="346" t="s">
        <v>2112</v>
      </c>
      <c r="U1238" s="347">
        <f ca="1">S1238*Fuel_Specs!$B$19</f>
        <v>0</v>
      </c>
      <c r="V1238" s="347">
        <v>0</v>
      </c>
      <c r="W1238" s="347">
        <v>0</v>
      </c>
      <c r="X1238" s="14" t="s">
        <v>5</v>
      </c>
      <c r="Y1238" s="346" t="s">
        <v>891</v>
      </c>
      <c r="Z1238" s="14" t="str">
        <f>IF(ISBLANK(LCI_Table[[#This Row],[Notes for user]])," ",LCI_Table[[#This Row],[Notes for user]])</f>
        <v xml:space="preserve"> </v>
      </c>
      <c r="AA1238" s="14"/>
      <c r="AB1238" s="14"/>
      <c r="AC1238" s="346">
        <f ca="1">LCI_Table[[#This Row],[Default Calculated Value]]-LCI_Table[[#This Row],[Calculated Value]]</f>
        <v>0</v>
      </c>
    </row>
    <row r="1239" spans="1:29" x14ac:dyDescent="0.3">
      <c r="A12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CamelinaHEFAICAOJRC(blank)_Camelina_Extraction_GasolineGasoline</v>
      </c>
      <c r="B1239" s="14" t="s">
        <v>127</v>
      </c>
      <c r="C1239" s="14" t="s">
        <v>30</v>
      </c>
      <c r="D1239" s="14" t="s">
        <v>194</v>
      </c>
      <c r="E1239" s="14" t="s">
        <v>355</v>
      </c>
      <c r="F1239" s="48" t="s">
        <v>31</v>
      </c>
      <c r="G1239" s="14" t="b">
        <f>OR(LCI_Table[[#This Row],[Feedstock]]="All",LCI_Table[[#This Row],[Feedstock]]=SelectedFeedstock)</f>
        <v>0</v>
      </c>
      <c r="H1239" s="14" t="b">
        <f>OR(LCI_Table[[#This Row],[Conversion]]="All",LCI_Table[[#This Row],[Conversion]]=SelectedConversion)</f>
        <v>1</v>
      </c>
      <c r="I1239" s="14" t="b">
        <f>OR(LCI_Table[[#This Row],[Data Set]]="all",LCI_Table[[#This Row],[Data Set]]=SelectedDataSet)</f>
        <v>0</v>
      </c>
      <c r="J1239" s="14" t="b">
        <f>OR(LCI_Table[[#This Row],[Technology]]="All",LCI_Table[[#This Row],[Technology]]=SelectedTechnology)</f>
        <v>1</v>
      </c>
      <c r="K1239" s="14" t="b">
        <f>OR(LCI_Table[[#This Row],[Data Source]]="All",LCI_Table[[#This Row],[Data Source]]=SelectedDataSource)</f>
        <v>0</v>
      </c>
      <c r="L1239" s="14" t="b">
        <f>TRUE</f>
        <v>1</v>
      </c>
      <c r="M1239" s="14" t="b">
        <f>(LCI_Table[[#This Row],[Dev Notes]]="Do not display")</f>
        <v>0</v>
      </c>
      <c r="N1239" s="14" t="b">
        <f>AND(LCI_Table[[#This Row],[Show Feedstock]:[Conditional]],NOT(LCI_Table[[#This Row],[Hide Row]]))</f>
        <v>0</v>
      </c>
      <c r="O1239" s="14" t="b">
        <f>LCI_Table[[#This Row],[GREET1 Name Range]]=""</f>
        <v>0</v>
      </c>
      <c r="P1239" s="14" t="s">
        <v>15</v>
      </c>
      <c r="Q1239" s="14" t="s">
        <v>455</v>
      </c>
      <c r="R1239" s="14" t="s">
        <v>107</v>
      </c>
      <c r="S1239" s="37" cm="1">
        <f t="array" aca="1" ref="S12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39" s="346" t="s">
        <v>2112</v>
      </c>
      <c r="U1239" s="347">
        <f ca="1">S1239*Fuel_Specs!$B$15</f>
        <v>0</v>
      </c>
      <c r="V1239" s="347">
        <v>0</v>
      </c>
      <c r="W1239" s="347">
        <v>0</v>
      </c>
      <c r="X1239" s="14" t="s">
        <v>5</v>
      </c>
      <c r="Y1239" s="346" t="s">
        <v>891</v>
      </c>
      <c r="Z1239" s="14" t="str">
        <f>IF(ISBLANK(LCI_Table[[#This Row],[Notes for user]])," ",LCI_Table[[#This Row],[Notes for user]])</f>
        <v xml:space="preserve"> </v>
      </c>
      <c r="AA1239" s="14"/>
      <c r="AB1239" s="14"/>
      <c r="AC1239" s="346">
        <f ca="1">LCI_Table[[#This Row],[Default Calculated Value]]-LCI_Table[[#This Row],[Calculated Value]]</f>
        <v>0</v>
      </c>
    </row>
    <row r="1240" spans="1:29" x14ac:dyDescent="0.3">
      <c r="A12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CamelinaHEFAICAOJRC(blank)_Camelina_Extraction_Natural_gasNatural gas</v>
      </c>
      <c r="B1240" s="14" t="s">
        <v>127</v>
      </c>
      <c r="C1240" s="14" t="s">
        <v>30</v>
      </c>
      <c r="D1240" s="14" t="s">
        <v>194</v>
      </c>
      <c r="E1240" s="14" t="s">
        <v>355</v>
      </c>
      <c r="F1240" s="48" t="s">
        <v>31</v>
      </c>
      <c r="G1240" s="14" t="b">
        <f>OR(LCI_Table[[#This Row],[Feedstock]]="All",LCI_Table[[#This Row],[Feedstock]]=SelectedFeedstock)</f>
        <v>0</v>
      </c>
      <c r="H1240" s="14" t="b">
        <f>OR(LCI_Table[[#This Row],[Conversion]]="All",LCI_Table[[#This Row],[Conversion]]=SelectedConversion)</f>
        <v>1</v>
      </c>
      <c r="I1240" s="14" t="b">
        <f>OR(LCI_Table[[#This Row],[Data Set]]="all",LCI_Table[[#This Row],[Data Set]]=SelectedDataSet)</f>
        <v>0</v>
      </c>
      <c r="J1240" s="14" t="b">
        <f>OR(LCI_Table[[#This Row],[Technology]]="All",LCI_Table[[#This Row],[Technology]]=SelectedTechnology)</f>
        <v>1</v>
      </c>
      <c r="K1240" s="14" t="b">
        <f>OR(LCI_Table[[#This Row],[Data Source]]="All",LCI_Table[[#This Row],[Data Source]]=SelectedDataSource)</f>
        <v>0</v>
      </c>
      <c r="L1240" s="14" t="b">
        <f>TRUE</f>
        <v>1</v>
      </c>
      <c r="M1240" s="14" t="b">
        <f>(LCI_Table[[#This Row],[Dev Notes]]="Do not display")</f>
        <v>0</v>
      </c>
      <c r="N1240" s="14" t="b">
        <f>AND(LCI_Table[[#This Row],[Show Feedstock]:[Conditional]],NOT(LCI_Table[[#This Row],[Hide Row]]))</f>
        <v>0</v>
      </c>
      <c r="O1240" s="14" t="b">
        <f>LCI_Table[[#This Row],[GREET1 Name Range]]=""</f>
        <v>0</v>
      </c>
      <c r="P1240" s="14" t="s">
        <v>15</v>
      </c>
      <c r="Q1240" s="14" t="s">
        <v>459</v>
      </c>
      <c r="R1240" s="14" t="s">
        <v>108</v>
      </c>
      <c r="S1240" s="37" cm="1">
        <f t="array" aca="1" ref="S12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1.0068158697863683</v>
      </c>
      <c r="T1240" s="346" t="s">
        <v>2113</v>
      </c>
      <c r="U1240" s="347">
        <f ca="1">S1240*Fuel_Specs!$B$79</f>
        <v>989.7</v>
      </c>
      <c r="V1240" s="347">
        <v>1.0068158697863683</v>
      </c>
      <c r="W1240" s="347">
        <v>989.7</v>
      </c>
      <c r="X1240" s="14" t="s">
        <v>351</v>
      </c>
      <c r="Y1240" s="346" t="s">
        <v>891</v>
      </c>
      <c r="Z1240" s="14" t="str">
        <f>IF(ISBLANK(LCI_Table[[#This Row],[Notes for user]])," ",LCI_Table[[#This Row],[Notes for user]])</f>
        <v xml:space="preserve"> </v>
      </c>
      <c r="AA1240" s="14"/>
      <c r="AB1240" s="14"/>
      <c r="AC1240" s="346">
        <f ca="1">LCI_Table[[#This Row],[Default Calculated Value]]-LCI_Table[[#This Row],[Calculated Value]]</f>
        <v>0</v>
      </c>
    </row>
    <row r="1241" spans="1:29" x14ac:dyDescent="0.3">
      <c r="A12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CamelinaHEFAICAOJRC(blank)_Camelina_Extraction_CoalCoal</v>
      </c>
      <c r="B1241" s="14" t="s">
        <v>127</v>
      </c>
      <c r="C1241" s="14" t="s">
        <v>30</v>
      </c>
      <c r="D1241" s="14" t="s">
        <v>194</v>
      </c>
      <c r="E1241" s="14" t="s">
        <v>355</v>
      </c>
      <c r="F1241" s="48" t="s">
        <v>31</v>
      </c>
      <c r="G1241" s="14" t="b">
        <f>OR(LCI_Table[[#This Row],[Feedstock]]="All",LCI_Table[[#This Row],[Feedstock]]=SelectedFeedstock)</f>
        <v>0</v>
      </c>
      <c r="H1241" s="14" t="b">
        <f>OR(LCI_Table[[#This Row],[Conversion]]="All",LCI_Table[[#This Row],[Conversion]]=SelectedConversion)</f>
        <v>1</v>
      </c>
      <c r="I1241" s="14" t="b">
        <f>OR(LCI_Table[[#This Row],[Data Set]]="all",LCI_Table[[#This Row],[Data Set]]=SelectedDataSet)</f>
        <v>0</v>
      </c>
      <c r="J1241" s="14" t="b">
        <f>OR(LCI_Table[[#This Row],[Technology]]="All",LCI_Table[[#This Row],[Technology]]=SelectedTechnology)</f>
        <v>1</v>
      </c>
      <c r="K1241" s="14" t="b">
        <f>OR(LCI_Table[[#This Row],[Data Source]]="All",LCI_Table[[#This Row],[Data Source]]=SelectedDataSource)</f>
        <v>0</v>
      </c>
      <c r="L1241" s="14" t="b">
        <f>TRUE</f>
        <v>1</v>
      </c>
      <c r="M1241" s="14" t="b">
        <f>(LCI_Table[[#This Row],[Dev Notes]]="Do not display")</f>
        <v>0</v>
      </c>
      <c r="N1241" s="14" t="b">
        <f>AND(LCI_Table[[#This Row],[Show Feedstock]:[Conditional]],NOT(LCI_Table[[#This Row],[Hide Row]]))</f>
        <v>0</v>
      </c>
      <c r="O1241" s="14" t="b">
        <f>LCI_Table[[#This Row],[GREET1 Name Range]]=""</f>
        <v>0</v>
      </c>
      <c r="P1241" s="14" t="s">
        <v>15</v>
      </c>
      <c r="Q1241" s="14" t="s">
        <v>451</v>
      </c>
      <c r="R1241" s="14" t="s">
        <v>9</v>
      </c>
      <c r="S1241" s="37" cm="1">
        <f t="array" aca="1" ref="S12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41" s="346" t="s">
        <v>2114</v>
      </c>
      <c r="U1241" s="347">
        <f ca="1">S1241</f>
        <v>0</v>
      </c>
      <c r="V1241" s="347">
        <v>0</v>
      </c>
      <c r="W1241" s="347">
        <v>0</v>
      </c>
      <c r="X1241" s="14" t="s">
        <v>117</v>
      </c>
      <c r="Y1241" s="346" t="s">
        <v>891</v>
      </c>
      <c r="Z1241" s="14" t="str">
        <f>IF(ISBLANK(LCI_Table[[#This Row],[Notes for user]])," ",LCI_Table[[#This Row],[Notes for user]])</f>
        <v xml:space="preserve"> </v>
      </c>
      <c r="AA1241" s="14"/>
      <c r="AB1241" s="14"/>
      <c r="AC1241" s="346">
        <f ca="1">LCI_Table[[#This Row],[Default Calculated Value]]-LCI_Table[[#This Row],[Calculated Value]]</f>
        <v>0</v>
      </c>
    </row>
    <row r="1242" spans="1:29" x14ac:dyDescent="0.3">
      <c r="A12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CamelinaHEFAICAOJRC(blank)_Camelina_Extraction_LPGLPG</v>
      </c>
      <c r="B1242" s="14" t="s">
        <v>127</v>
      </c>
      <c r="C1242" s="14" t="s">
        <v>30</v>
      </c>
      <c r="D1242" s="14" t="s">
        <v>194</v>
      </c>
      <c r="E1242" s="14" t="s">
        <v>355</v>
      </c>
      <c r="F1242" s="48" t="s">
        <v>31</v>
      </c>
      <c r="G1242" s="14" t="b">
        <f>OR(LCI_Table[[#This Row],[Feedstock]]="All",LCI_Table[[#This Row],[Feedstock]]=SelectedFeedstock)</f>
        <v>0</v>
      </c>
      <c r="H1242" s="14" t="b">
        <f>OR(LCI_Table[[#This Row],[Conversion]]="All",LCI_Table[[#This Row],[Conversion]]=SelectedConversion)</f>
        <v>1</v>
      </c>
      <c r="I1242" s="14" t="b">
        <f>OR(LCI_Table[[#This Row],[Data Set]]="all",LCI_Table[[#This Row],[Data Set]]=SelectedDataSet)</f>
        <v>0</v>
      </c>
      <c r="J1242" s="14" t="b">
        <f>OR(LCI_Table[[#This Row],[Technology]]="All",LCI_Table[[#This Row],[Technology]]=SelectedTechnology)</f>
        <v>1</v>
      </c>
      <c r="K1242" s="14" t="b">
        <f>OR(LCI_Table[[#This Row],[Data Source]]="All",LCI_Table[[#This Row],[Data Source]]=SelectedDataSource)</f>
        <v>0</v>
      </c>
      <c r="L1242" s="14" t="b">
        <f>TRUE</f>
        <v>1</v>
      </c>
      <c r="M1242" s="14" t="b">
        <f>(LCI_Table[[#This Row],[Dev Notes]]="Do not display")</f>
        <v>0</v>
      </c>
      <c r="N1242" s="14" t="b">
        <f>AND(LCI_Table[[#This Row],[Show Feedstock]:[Conditional]],NOT(LCI_Table[[#This Row],[Hide Row]]))</f>
        <v>0</v>
      </c>
      <c r="O1242" s="14" t="b">
        <f>LCI_Table[[#This Row],[GREET1 Name Range]]=""</f>
        <v>0</v>
      </c>
      <c r="P1242" s="14" t="s">
        <v>15</v>
      </c>
      <c r="Q1242" s="14" t="s">
        <v>457</v>
      </c>
      <c r="R1242" s="14" t="s">
        <v>109</v>
      </c>
      <c r="S1242" s="37" cm="1">
        <f t="array" aca="1" ref="S12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42" s="346" t="s">
        <v>2112</v>
      </c>
      <c r="U1242" s="347">
        <f ca="1">S1242*Fuel_Specs!$B$35</f>
        <v>0</v>
      </c>
      <c r="V1242" s="347">
        <v>0</v>
      </c>
      <c r="W1242" s="347">
        <v>0</v>
      </c>
      <c r="X1242" s="14" t="s">
        <v>5</v>
      </c>
      <c r="Y1242" s="346" t="s">
        <v>891</v>
      </c>
      <c r="Z1242" s="14" t="str">
        <f>IF(ISBLANK(LCI_Table[[#This Row],[Notes for user]])," ",LCI_Table[[#This Row],[Notes for user]])</f>
        <v xml:space="preserve"> </v>
      </c>
      <c r="AA1242" s="14"/>
      <c r="AB1242" s="14"/>
      <c r="AC1242" s="346">
        <f ca="1">LCI_Table[[#This Row],[Default Calculated Value]]-LCI_Table[[#This Row],[Calculated Value]]</f>
        <v>0</v>
      </c>
    </row>
    <row r="1243" spans="1:29" x14ac:dyDescent="0.3">
      <c r="A12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CamelinaHEFAICAOJRC(blank)_Camelina_Extraction_ElectricityElectricity</v>
      </c>
      <c r="B1243" s="14" t="s">
        <v>127</v>
      </c>
      <c r="C1243" s="14" t="s">
        <v>30</v>
      </c>
      <c r="D1243" s="14" t="s">
        <v>194</v>
      </c>
      <c r="E1243" s="14" t="s">
        <v>355</v>
      </c>
      <c r="F1243" s="48" t="s">
        <v>31</v>
      </c>
      <c r="G1243" s="14" t="b">
        <f>OR(LCI_Table[[#This Row],[Feedstock]]="All",LCI_Table[[#This Row],[Feedstock]]=SelectedFeedstock)</f>
        <v>0</v>
      </c>
      <c r="H1243" s="14" t="b">
        <f>OR(LCI_Table[[#This Row],[Conversion]]="All",LCI_Table[[#This Row],[Conversion]]=SelectedConversion)</f>
        <v>1</v>
      </c>
      <c r="I1243" s="14" t="b">
        <f>OR(LCI_Table[[#This Row],[Data Set]]="all",LCI_Table[[#This Row],[Data Set]]=SelectedDataSet)</f>
        <v>0</v>
      </c>
      <c r="J1243" s="14" t="b">
        <f>OR(LCI_Table[[#This Row],[Technology]]="All",LCI_Table[[#This Row],[Technology]]=SelectedTechnology)</f>
        <v>1</v>
      </c>
      <c r="K1243" s="14" t="b">
        <f>OR(LCI_Table[[#This Row],[Data Source]]="All",LCI_Table[[#This Row],[Data Source]]=SelectedDataSource)</f>
        <v>0</v>
      </c>
      <c r="L1243" s="14" t="b">
        <f>TRUE</f>
        <v>1</v>
      </c>
      <c r="M1243" s="14" t="b">
        <f>(LCI_Table[[#This Row],[Dev Notes]]="Do not display")</f>
        <v>0</v>
      </c>
      <c r="N1243" s="14" t="b">
        <f>AND(LCI_Table[[#This Row],[Show Feedstock]:[Conditional]],NOT(LCI_Table[[#This Row],[Hide Row]]))</f>
        <v>0</v>
      </c>
      <c r="O1243" s="14" t="b">
        <f>LCI_Table[[#This Row],[GREET1 Name Range]]=""</f>
        <v>0</v>
      </c>
      <c r="P1243" s="14" t="s">
        <v>15</v>
      </c>
      <c r="Q1243" s="14" t="s">
        <v>453</v>
      </c>
      <c r="R1243" s="14" t="s">
        <v>110</v>
      </c>
      <c r="S1243" s="37" cm="1">
        <f t="array" aca="1" ref="S12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6.0314026091666667E-2</v>
      </c>
      <c r="T1243" s="346" t="s">
        <v>2115</v>
      </c>
      <c r="U1243" s="347">
        <f ca="1">S1243/BTU2kWh</f>
        <v>205.8</v>
      </c>
      <c r="V1243" s="347">
        <v>6.0314026091666667E-2</v>
      </c>
      <c r="W1243" s="347">
        <v>205.8</v>
      </c>
      <c r="X1243" s="14" t="s">
        <v>51</v>
      </c>
      <c r="Y1243" s="346" t="s">
        <v>891</v>
      </c>
      <c r="Z1243" s="14" t="str">
        <f>IF(ISBLANK(LCI_Table[[#This Row],[Notes for user]])," ",LCI_Table[[#This Row],[Notes for user]])</f>
        <v xml:space="preserve"> </v>
      </c>
      <c r="AA1243" s="14"/>
      <c r="AB1243" s="14"/>
      <c r="AC1243" s="346">
        <f ca="1">LCI_Table[[#This Row],[Default Calculated Value]]-LCI_Table[[#This Row],[Calculated Value]]</f>
        <v>0</v>
      </c>
    </row>
    <row r="1244" spans="1:29" x14ac:dyDescent="0.3">
      <c r="A12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CamelinaHEFAICAOJRC(blank)_Camelina_Extraction_N_hexaneN-hexane</v>
      </c>
      <c r="B1244" s="14" t="s">
        <v>127</v>
      </c>
      <c r="C1244" s="14" t="s">
        <v>30</v>
      </c>
      <c r="D1244" s="14" t="s">
        <v>194</v>
      </c>
      <c r="E1244" s="14" t="s">
        <v>355</v>
      </c>
      <c r="F1244" s="48" t="s">
        <v>31</v>
      </c>
      <c r="G1244" s="14" t="b">
        <f>OR(LCI_Table[[#This Row],[Feedstock]]="All",LCI_Table[[#This Row],[Feedstock]]=SelectedFeedstock)</f>
        <v>0</v>
      </c>
      <c r="H1244" s="14" t="b">
        <f>OR(LCI_Table[[#This Row],[Conversion]]="All",LCI_Table[[#This Row],[Conversion]]=SelectedConversion)</f>
        <v>1</v>
      </c>
      <c r="I1244" s="14" t="b">
        <f>OR(LCI_Table[[#This Row],[Data Set]]="all",LCI_Table[[#This Row],[Data Set]]=SelectedDataSet)</f>
        <v>0</v>
      </c>
      <c r="J1244" s="14" t="b">
        <f>OR(LCI_Table[[#This Row],[Technology]]="All",LCI_Table[[#This Row],[Technology]]=SelectedTechnology)</f>
        <v>1</v>
      </c>
      <c r="K1244" s="14" t="b">
        <f>OR(LCI_Table[[#This Row],[Data Source]]="All",LCI_Table[[#This Row],[Data Source]]=SelectedDataSource)</f>
        <v>0</v>
      </c>
      <c r="L1244" s="14" t="b">
        <f>TRUE</f>
        <v>1</v>
      </c>
      <c r="M1244" s="14" t="b">
        <f>(LCI_Table[[#This Row],[Dev Notes]]="Do not display")</f>
        <v>0</v>
      </c>
      <c r="N1244" s="14" t="b">
        <f>AND(LCI_Table[[#This Row],[Show Feedstock]:[Conditional]],NOT(LCI_Table[[#This Row],[Hide Row]]))</f>
        <v>0</v>
      </c>
      <c r="O1244" s="14" t="b">
        <f>LCI_Table[[#This Row],[GREET1 Name Range]]=""</f>
        <v>0</v>
      </c>
      <c r="P1244" s="14" t="s">
        <v>15</v>
      </c>
      <c r="Q1244" s="14" t="s">
        <v>458</v>
      </c>
      <c r="R1244" s="14" t="s">
        <v>116</v>
      </c>
      <c r="S1244" s="37" cm="1">
        <f t="array" aca="1" ref="S12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3.2723011125823777E-7</v>
      </c>
      <c r="T1244" s="346" t="s">
        <v>2111</v>
      </c>
      <c r="U1244" s="347">
        <f ca="1">S1244*Fuel_Specs!$B$58*ton2lb</f>
        <v>68.799999999999983</v>
      </c>
      <c r="V1244" s="347">
        <v>3.2723011125823777E-7</v>
      </c>
      <c r="W1244" s="347">
        <v>68.799999999999983</v>
      </c>
      <c r="X1244" s="14" t="s">
        <v>12</v>
      </c>
      <c r="Y1244" s="346" t="s">
        <v>891</v>
      </c>
      <c r="Z1244" s="14" t="str">
        <f>IF(ISBLANK(LCI_Table[[#This Row],[Notes for user]])," ",LCI_Table[[#This Row],[Notes for user]])</f>
        <v xml:space="preserve"> </v>
      </c>
      <c r="AA1244" s="14"/>
      <c r="AB1244" s="14"/>
      <c r="AC1244" s="346">
        <f ca="1">LCI_Table[[#This Row],[Default Calculated Value]]-LCI_Table[[#This Row],[Calculated Value]]</f>
        <v>0</v>
      </c>
    </row>
    <row r="1245" spans="1:29" x14ac:dyDescent="0.3">
      <c r="A12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CamelinaHEFAICAOJRC(blank)_Camelina_Extraction_Forest_residueForest residue</v>
      </c>
      <c r="B1245" s="14" t="s">
        <v>127</v>
      </c>
      <c r="C1245" s="14" t="s">
        <v>30</v>
      </c>
      <c r="D1245" s="14" t="s">
        <v>194</v>
      </c>
      <c r="E1245" s="14" t="s">
        <v>355</v>
      </c>
      <c r="F1245" s="48" t="s">
        <v>31</v>
      </c>
      <c r="G1245" s="14" t="b">
        <f>OR(LCI_Table[[#This Row],[Feedstock]]="All",LCI_Table[[#This Row],[Feedstock]]=SelectedFeedstock)</f>
        <v>0</v>
      </c>
      <c r="H1245" s="14" t="b">
        <f>OR(LCI_Table[[#This Row],[Conversion]]="All",LCI_Table[[#This Row],[Conversion]]=SelectedConversion)</f>
        <v>1</v>
      </c>
      <c r="I1245" s="14" t="b">
        <f>OR(LCI_Table[[#This Row],[Data Set]]="all",LCI_Table[[#This Row],[Data Set]]=SelectedDataSet)</f>
        <v>0</v>
      </c>
      <c r="J1245" s="14" t="b">
        <f>OR(LCI_Table[[#This Row],[Technology]]="All",LCI_Table[[#This Row],[Technology]]=SelectedTechnology)</f>
        <v>1</v>
      </c>
      <c r="K1245" s="14" t="b">
        <f>OR(LCI_Table[[#This Row],[Data Source]]="All",LCI_Table[[#This Row],[Data Source]]=SelectedDataSource)</f>
        <v>0</v>
      </c>
      <c r="L1245" s="14" t="b">
        <f>TRUE</f>
        <v>1</v>
      </c>
      <c r="M1245" s="14" t="b">
        <f>(LCI_Table[[#This Row],[Dev Notes]]="Do not display")</f>
        <v>0</v>
      </c>
      <c r="N1245" s="14" t="b">
        <f>AND(LCI_Table[[#This Row],[Show Feedstock]:[Conditional]],NOT(LCI_Table[[#This Row],[Hide Row]]))</f>
        <v>0</v>
      </c>
      <c r="O1245" s="14" t="b">
        <f>LCI_Table[[#This Row],[GREET1 Name Range]]=""</f>
        <v>0</v>
      </c>
      <c r="P1245" s="14" t="s">
        <v>15</v>
      </c>
      <c r="Q1245" s="14" t="s">
        <v>454</v>
      </c>
      <c r="R1245" s="14" t="s">
        <v>316</v>
      </c>
      <c r="S1245" s="37" cm="1">
        <f t="array" aca="1" ref="S12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45" s="346" t="s">
        <v>2111</v>
      </c>
      <c r="U1245" s="347">
        <f ca="1">S1245*Fuel_Specs!$B$100*ton2lb</f>
        <v>0</v>
      </c>
      <c r="V1245" s="347">
        <v>0</v>
      </c>
      <c r="W1245" s="347">
        <v>0</v>
      </c>
      <c r="X1245" s="14" t="s">
        <v>12</v>
      </c>
      <c r="Y1245" s="346" t="s">
        <v>891</v>
      </c>
      <c r="Z1245" s="14" t="str">
        <f>IF(ISBLANK(LCI_Table[[#This Row],[Notes for user]])," ",LCI_Table[[#This Row],[Notes for user]])</f>
        <v xml:space="preserve"> </v>
      </c>
      <c r="AA1245" s="14"/>
      <c r="AB1245" s="14"/>
      <c r="AC1245" s="346">
        <f ca="1">LCI_Table[[#This Row],[Default Calculated Value]]-LCI_Table[[#This Row],[Calculated Value]]</f>
        <v>0</v>
      </c>
    </row>
    <row r="1246" spans="1:29" x14ac:dyDescent="0.3">
      <c r="A12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CamelinaHEFAICAOJRC(blank)_Camelina_Extraction_Landfill_gasLandfill gas</v>
      </c>
      <c r="B1246" s="14" t="s">
        <v>127</v>
      </c>
      <c r="C1246" s="14" t="s">
        <v>30</v>
      </c>
      <c r="D1246" s="14" t="s">
        <v>194</v>
      </c>
      <c r="E1246" s="14" t="s">
        <v>355</v>
      </c>
      <c r="F1246" s="48" t="s">
        <v>31</v>
      </c>
      <c r="G1246" s="14" t="b">
        <f>OR(LCI_Table[[#This Row],[Feedstock]]="All",LCI_Table[[#This Row],[Feedstock]]=SelectedFeedstock)</f>
        <v>0</v>
      </c>
      <c r="H1246" s="14" t="b">
        <f>OR(LCI_Table[[#This Row],[Conversion]]="All",LCI_Table[[#This Row],[Conversion]]=SelectedConversion)</f>
        <v>1</v>
      </c>
      <c r="I1246" s="14" t="b">
        <f>OR(LCI_Table[[#This Row],[Data Set]]="all",LCI_Table[[#This Row],[Data Set]]=SelectedDataSet)</f>
        <v>0</v>
      </c>
      <c r="J1246" s="14" t="b">
        <f>OR(LCI_Table[[#This Row],[Technology]]="All",LCI_Table[[#This Row],[Technology]]=SelectedTechnology)</f>
        <v>1</v>
      </c>
      <c r="K1246" s="14" t="b">
        <f>OR(LCI_Table[[#This Row],[Data Source]]="All",LCI_Table[[#This Row],[Data Source]]=SelectedDataSource)</f>
        <v>0</v>
      </c>
      <c r="L1246" s="14" t="b">
        <f>TRUE</f>
        <v>1</v>
      </c>
      <c r="M1246" s="14" t="b">
        <f>(LCI_Table[[#This Row],[Dev Notes]]="Do not display")</f>
        <v>0</v>
      </c>
      <c r="N1246" s="14" t="b">
        <f>AND(LCI_Table[[#This Row],[Show Feedstock]:[Conditional]],NOT(LCI_Table[[#This Row],[Hide Row]]))</f>
        <v>0</v>
      </c>
      <c r="O1246" s="14" t="b">
        <f>LCI_Table[[#This Row],[GREET1 Name Range]]=""</f>
        <v>0</v>
      </c>
      <c r="P1246" s="14" t="s">
        <v>15</v>
      </c>
      <c r="Q1246" s="14" t="s">
        <v>456</v>
      </c>
      <c r="R1246" s="14" t="s">
        <v>130</v>
      </c>
      <c r="S1246" s="37" cm="1">
        <f t="array" aca="1" ref="S12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46" s="346" t="s">
        <v>2113</v>
      </c>
      <c r="U1246" s="347">
        <f ca="1">S1246*Fuel_Specs!$B$79</f>
        <v>0</v>
      </c>
      <c r="V1246" s="347">
        <v>0</v>
      </c>
      <c r="W1246" s="347">
        <v>0</v>
      </c>
      <c r="X1246" s="14" t="s">
        <v>351</v>
      </c>
      <c r="Y1246" s="346" t="s">
        <v>891</v>
      </c>
      <c r="Z1246" s="14" t="str">
        <f>IF(ISBLANK(LCI_Table[[#This Row],[Notes for user]])," ",LCI_Table[[#This Row],[Notes for user]])</f>
        <v xml:space="preserve"> </v>
      </c>
      <c r="AA1246" s="14"/>
      <c r="AB1246" s="14"/>
      <c r="AC1246" s="346">
        <f ca="1">LCI_Table[[#This Row],[Default Calculated Value]]-LCI_Table[[#This Row],[Calculated Value]]</f>
        <v>0</v>
      </c>
    </row>
    <row r="1247" spans="1:29" x14ac:dyDescent="0.3">
      <c r="A12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CamelinaHEFAICAOJRC(blank)_Camelina_Oil_Extraction_Energy_AllocationAllocation factor</v>
      </c>
      <c r="B1247" s="14" t="s">
        <v>127</v>
      </c>
      <c r="C1247" s="14" t="s">
        <v>30</v>
      </c>
      <c r="D1247" s="14" t="s">
        <v>194</v>
      </c>
      <c r="E1247" s="14" t="s">
        <v>355</v>
      </c>
      <c r="F1247" s="48" t="s">
        <v>31</v>
      </c>
      <c r="G1247" s="14" t="b">
        <f>OR(LCI_Table[[#This Row],[Feedstock]]="All",LCI_Table[[#This Row],[Feedstock]]=SelectedFeedstock)</f>
        <v>0</v>
      </c>
      <c r="H1247" s="14" t="b">
        <f>OR(LCI_Table[[#This Row],[Conversion]]="All",LCI_Table[[#This Row],[Conversion]]=SelectedConversion)</f>
        <v>1</v>
      </c>
      <c r="I1247" s="14" t="b">
        <f>OR(LCI_Table[[#This Row],[Data Set]]="all",LCI_Table[[#This Row],[Data Set]]=SelectedDataSet)</f>
        <v>0</v>
      </c>
      <c r="J1247" s="14" t="b">
        <f>OR(LCI_Table[[#This Row],[Technology]]="All",LCI_Table[[#This Row],[Technology]]=SelectedTechnology)</f>
        <v>1</v>
      </c>
      <c r="K1247" s="14" t="b">
        <f>OR(LCI_Table[[#This Row],[Data Source]]="All",LCI_Table[[#This Row],[Data Source]]=SelectedDataSource)</f>
        <v>0</v>
      </c>
      <c r="L1247" s="14" t="b">
        <f>TRUE</f>
        <v>1</v>
      </c>
      <c r="M1247" s="14" t="b">
        <f>(LCI_Table[[#This Row],[Dev Notes]]="Do not display")</f>
        <v>0</v>
      </c>
      <c r="N1247" s="14" t="b">
        <f>AND(LCI_Table[[#This Row],[Show Feedstock]:[Conditional]],NOT(LCI_Table[[#This Row],[Hide Row]]))</f>
        <v>0</v>
      </c>
      <c r="O1247" s="14" t="b">
        <f>LCI_Table[[#This Row],[GREET1 Name Range]]=""</f>
        <v>0</v>
      </c>
      <c r="P1247" s="14" t="s">
        <v>15</v>
      </c>
      <c r="Q1247" s="14" t="s">
        <v>1109</v>
      </c>
      <c r="R1247" s="14" t="s">
        <v>1344</v>
      </c>
      <c r="S1247" s="37" cm="1">
        <f t="array" aca="1" ref="S12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70.380961058019949</v>
      </c>
      <c r="T1247" s="346" t="s">
        <v>1345</v>
      </c>
      <c r="U1247" s="347">
        <f ca="1">LCI_Table[[#This Row],[Dashboard Value]]/100</f>
        <v>0.70380961058019953</v>
      </c>
      <c r="V1247" s="347">
        <v>70.380961058019949</v>
      </c>
      <c r="W1247" s="347">
        <v>0.70380961058019953</v>
      </c>
      <c r="X1247" s="14" t="s">
        <v>1345</v>
      </c>
      <c r="Y1247" s="346" t="s">
        <v>891</v>
      </c>
      <c r="Z1247" s="14" t="str">
        <f>IF(ISBLANK(LCI_Table[[#This Row],[Notes for user]])," ",LCI_Table[[#This Row],[Notes for user]])</f>
        <v>Allocation to camelina oil (energy allocation)</v>
      </c>
      <c r="AA1247" s="14" t="s">
        <v>1356</v>
      </c>
      <c r="AB1247" s="14"/>
      <c r="AC1247" s="346">
        <f ca="1">LCI_Table[[#This Row],[Default Calculated Value]]-LCI_Table[[#This Row],[Calculated Value]]</f>
        <v>0</v>
      </c>
    </row>
    <row r="1248" spans="1:29" x14ac:dyDescent="0.3">
      <c r="A12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CamelinaHEFAICAOJRC(blank)_HEFA_feed_usageCamelina oil</v>
      </c>
      <c r="B1248" s="14" t="s">
        <v>127</v>
      </c>
      <c r="C1248" s="14" t="s">
        <v>30</v>
      </c>
      <c r="D1248" s="14" t="s">
        <v>194</v>
      </c>
      <c r="E1248" s="14" t="s">
        <v>355</v>
      </c>
      <c r="F1248" s="48" t="s">
        <v>31</v>
      </c>
      <c r="G1248" s="14" t="b">
        <f>OR(LCI_Table[[#This Row],[Feedstock]]="All",LCI_Table[[#This Row],[Feedstock]]=SelectedFeedstock)</f>
        <v>0</v>
      </c>
      <c r="H1248" s="14" t="b">
        <f>OR(LCI_Table[[#This Row],[Conversion]]="All",LCI_Table[[#This Row],[Conversion]]=SelectedConversion)</f>
        <v>1</v>
      </c>
      <c r="I1248" s="14" t="b">
        <f>OR(LCI_Table[[#This Row],[Data Set]]="all",LCI_Table[[#This Row],[Data Set]]=SelectedDataSet)</f>
        <v>0</v>
      </c>
      <c r="J1248" s="14" t="b">
        <f>OR(LCI_Table[[#This Row],[Technology]]="All",LCI_Table[[#This Row],[Technology]]=SelectedTechnology)</f>
        <v>1</v>
      </c>
      <c r="K1248" s="14" t="b">
        <f>OR(LCI_Table[[#This Row],[Data Source]]="All",LCI_Table[[#This Row],[Data Source]]=SelectedDataSource)</f>
        <v>0</v>
      </c>
      <c r="L1248" s="14" t="b">
        <f>TRUE</f>
        <v>1</v>
      </c>
      <c r="M1248" s="14" t="b">
        <f>(LCI_Table[[#This Row],[Dev Notes]]="Do not display")</f>
        <v>0</v>
      </c>
      <c r="N1248" s="14" t="b">
        <f>AND(LCI_Table[[#This Row],[Show Feedstock]:[Conditional]],NOT(LCI_Table[[#This Row],[Hide Row]]))</f>
        <v>0</v>
      </c>
      <c r="O1248" s="14" t="b">
        <f>LCI_Table[[#This Row],[GREET1 Name Range]]=""</f>
        <v>0</v>
      </c>
      <c r="P1248" s="14" t="s">
        <v>1448</v>
      </c>
      <c r="Q1248" s="14" t="s">
        <v>933</v>
      </c>
      <c r="R1248" s="14" t="s">
        <v>380</v>
      </c>
      <c r="S1248" s="37" cm="1">
        <f t="array" aca="1" ref="S12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64.651733024069841</v>
      </c>
      <c r="T1248" s="346" t="s">
        <v>2119</v>
      </c>
      <c r="U1248" s="347">
        <f ca="1">S1248*lb2g/Fuel_Specs!$E$48*Fuel_Specs!$B$48*BTU2mmBTU</f>
        <v>1.2257701777479215</v>
      </c>
      <c r="V1248" s="347">
        <v>64.651733024069841</v>
      </c>
      <c r="W1248" s="347">
        <v>1.2257701777479215</v>
      </c>
      <c r="X1248" s="14" t="s">
        <v>12</v>
      </c>
      <c r="Y1248" s="346" t="s">
        <v>416</v>
      </c>
      <c r="Z1248" s="14" t="str">
        <f>IF(ISBLANK(LCI_Table[[#This Row],[Notes for user]])," ",LCI_Table[[#This Row],[Notes for user]])</f>
        <v xml:space="preserve"> </v>
      </c>
      <c r="AA1248" s="358"/>
      <c r="AB1248" s="14"/>
      <c r="AC1248" s="346">
        <f ca="1">LCI_Table[[#This Row],[Default Calculated Value]]-LCI_Table[[#This Row],[Calculated Value]]</f>
        <v>0</v>
      </c>
    </row>
    <row r="1249" spans="1:29" x14ac:dyDescent="0.3">
      <c r="A12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CamelinaHEFAICAOJRC(blank)_Camelina_HEFA_Natural_gasNatural gas</v>
      </c>
      <c r="B1249" s="14" t="s">
        <v>127</v>
      </c>
      <c r="C1249" s="14" t="s">
        <v>30</v>
      </c>
      <c r="D1249" s="14" t="s">
        <v>194</v>
      </c>
      <c r="E1249" s="14" t="s">
        <v>355</v>
      </c>
      <c r="F1249" s="48" t="s">
        <v>31</v>
      </c>
      <c r="G1249" s="14" t="b">
        <f>OR(LCI_Table[[#This Row],[Feedstock]]="All",LCI_Table[[#This Row],[Feedstock]]=SelectedFeedstock)</f>
        <v>0</v>
      </c>
      <c r="H1249" s="14" t="b">
        <f>OR(LCI_Table[[#This Row],[Conversion]]="All",LCI_Table[[#This Row],[Conversion]]=SelectedConversion)</f>
        <v>1</v>
      </c>
      <c r="I1249" s="14" t="b">
        <f>OR(LCI_Table[[#This Row],[Data Set]]="all",LCI_Table[[#This Row],[Data Set]]=SelectedDataSet)</f>
        <v>0</v>
      </c>
      <c r="J1249" s="14" t="b">
        <f>OR(LCI_Table[[#This Row],[Technology]]="All",LCI_Table[[#This Row],[Technology]]=SelectedTechnology)</f>
        <v>1</v>
      </c>
      <c r="K1249" s="14" t="b">
        <f>OR(LCI_Table[[#This Row],[Data Source]]="All",LCI_Table[[#This Row],[Data Source]]=SelectedDataSource)</f>
        <v>0</v>
      </c>
      <c r="L1249" s="14" t="b">
        <f>TRUE</f>
        <v>1</v>
      </c>
      <c r="M1249" s="14" t="b">
        <f>(LCI_Table[[#This Row],[Dev Notes]]="Do not display")</f>
        <v>0</v>
      </c>
      <c r="N1249" s="14" t="b">
        <f>AND(LCI_Table[[#This Row],[Show Feedstock]:[Conditional]],NOT(LCI_Table[[#This Row],[Hide Row]]))</f>
        <v>0</v>
      </c>
      <c r="O1249" s="14" t="b">
        <f>LCI_Table[[#This Row],[GREET1 Name Range]]=""</f>
        <v>0</v>
      </c>
      <c r="P1249" s="14" t="s">
        <v>1448</v>
      </c>
      <c r="Q1249" s="14" t="s">
        <v>476</v>
      </c>
      <c r="R1249" s="14" t="s">
        <v>108</v>
      </c>
      <c r="S1249" s="37" cm="1">
        <f t="array" aca="1" ref="S12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196.8635506284258</v>
      </c>
      <c r="T1249" s="346" t="s">
        <v>2120</v>
      </c>
      <c r="U1249" s="347">
        <f ca="1">S1249*lb2g/Fuel_Specs!$E$48*Fuel_Specs!$B$48*Fuel_Specs!$B$79*BTU2mmBTU</f>
        <v>3669</v>
      </c>
      <c r="V1249" s="347">
        <v>196.8635506284258</v>
      </c>
      <c r="W1249" s="347">
        <v>3669</v>
      </c>
      <c r="X1249" s="14" t="s">
        <v>351</v>
      </c>
      <c r="Y1249" s="346" t="s">
        <v>416</v>
      </c>
      <c r="Z1249" s="14" t="str">
        <f>IF(ISBLANK(LCI_Table[[#This Row],[Notes for user]])," ",LCI_Table[[#This Row],[Notes for user]])</f>
        <v xml:space="preserve"> </v>
      </c>
      <c r="AA1249" s="14"/>
      <c r="AB1249" s="14"/>
      <c r="AC1249" s="346">
        <f ca="1">LCI_Table[[#This Row],[Default Calculated Value]]-LCI_Table[[#This Row],[Calculated Value]]</f>
        <v>0</v>
      </c>
    </row>
    <row r="1250" spans="1:29" x14ac:dyDescent="0.3">
      <c r="A12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CamelinaHEFAICAOJRC(blank)_Camelina_HEFA_ElectricityGrid Electricity</v>
      </c>
      <c r="B1250" s="14" t="s">
        <v>127</v>
      </c>
      <c r="C1250" s="14" t="s">
        <v>30</v>
      </c>
      <c r="D1250" s="14" t="s">
        <v>194</v>
      </c>
      <c r="E1250" s="14" t="s">
        <v>355</v>
      </c>
      <c r="F1250" s="48" t="s">
        <v>31</v>
      </c>
      <c r="G1250" s="14" t="b">
        <f>OR(LCI_Table[[#This Row],[Feedstock]]="All",LCI_Table[[#This Row],[Feedstock]]=SelectedFeedstock)</f>
        <v>0</v>
      </c>
      <c r="H1250" s="14" t="b">
        <f>OR(LCI_Table[[#This Row],[Conversion]]="All",LCI_Table[[#This Row],[Conversion]]=SelectedConversion)</f>
        <v>1</v>
      </c>
      <c r="I1250" s="14" t="b">
        <f>OR(LCI_Table[[#This Row],[Data Set]]="all",LCI_Table[[#This Row],[Data Set]]=SelectedDataSet)</f>
        <v>0</v>
      </c>
      <c r="J1250" s="14" t="b">
        <f>OR(LCI_Table[[#This Row],[Technology]]="All",LCI_Table[[#This Row],[Technology]]=SelectedTechnology)</f>
        <v>1</v>
      </c>
      <c r="K1250" s="14" t="b">
        <f>OR(LCI_Table[[#This Row],[Data Source]]="All",LCI_Table[[#This Row],[Data Source]]=SelectedDataSource)</f>
        <v>0</v>
      </c>
      <c r="L1250" s="14" t="b">
        <f>TRUE</f>
        <v>1</v>
      </c>
      <c r="M1250" s="14" t="b">
        <f>(LCI_Table[[#This Row],[Dev Notes]]="Do not display")</f>
        <v>0</v>
      </c>
      <c r="N1250" s="14" t="b">
        <f>AND(LCI_Table[[#This Row],[Show Feedstock]:[Conditional]],NOT(LCI_Table[[#This Row],[Hide Row]]))</f>
        <v>0</v>
      </c>
      <c r="O1250" s="14" t="b">
        <f>LCI_Table[[#This Row],[GREET1 Name Range]]=""</f>
        <v>0</v>
      </c>
      <c r="P1250" s="14" t="s">
        <v>1448</v>
      </c>
      <c r="Q1250" s="14" t="s">
        <v>474</v>
      </c>
      <c r="R1250" s="14" t="s">
        <v>1684</v>
      </c>
      <c r="S1250" s="37" cm="1">
        <f t="array" aca="1" ref="S12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2.2568200147824293</v>
      </c>
      <c r="T1250" s="346" t="s">
        <v>2121</v>
      </c>
      <c r="U1250" s="347">
        <f ca="1">S1250*lb2g/Fuel_Specs!$E$48*Fuel_Specs!$B$48/BTU2kWh*BTU2mmBTU</f>
        <v>146.00000000000006</v>
      </c>
      <c r="V1250" s="347">
        <v>2.2568200147824293</v>
      </c>
      <c r="W1250" s="347">
        <v>146.00000000000006</v>
      </c>
      <c r="X1250" s="14" t="s">
        <v>51</v>
      </c>
      <c r="Y1250" s="346" t="s">
        <v>416</v>
      </c>
      <c r="Z1250" s="14" t="str">
        <f>IF(ISBLANK(LCI_Table[[#This Row],[Notes for user]])," ",LCI_Table[[#This Row],[Notes for user]])</f>
        <v xml:space="preserve"> </v>
      </c>
      <c r="AA1250" s="14"/>
      <c r="AB1250" s="14"/>
      <c r="AC1250" s="346">
        <f ca="1">LCI_Table[[#This Row],[Default Calculated Value]]-LCI_Table[[#This Row],[Calculated Value]]</f>
        <v>0</v>
      </c>
    </row>
    <row r="1251" spans="1:29" x14ac:dyDescent="0.3">
      <c r="A12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CamelinaHEFAICAOJRC(blank)_Camelina_HEFA_HydrogenHydrogen</v>
      </c>
      <c r="B1251" s="14" t="s">
        <v>127</v>
      </c>
      <c r="C1251" s="14" t="s">
        <v>30</v>
      </c>
      <c r="D1251" s="14" t="s">
        <v>194</v>
      </c>
      <c r="E1251" s="14" t="s">
        <v>355</v>
      </c>
      <c r="F1251" s="48" t="s">
        <v>31</v>
      </c>
      <c r="G1251" s="14" t="b">
        <f>OR(LCI_Table[[#This Row],[Feedstock]]="All",LCI_Table[[#This Row],[Feedstock]]=SelectedFeedstock)</f>
        <v>0</v>
      </c>
      <c r="H1251" s="14" t="b">
        <f>OR(LCI_Table[[#This Row],[Conversion]]="All",LCI_Table[[#This Row],[Conversion]]=SelectedConversion)</f>
        <v>1</v>
      </c>
      <c r="I1251" s="14" t="b">
        <f>OR(LCI_Table[[#This Row],[Data Set]]="all",LCI_Table[[#This Row],[Data Set]]=SelectedDataSet)</f>
        <v>0</v>
      </c>
      <c r="J1251" s="14" t="b">
        <f>OR(LCI_Table[[#This Row],[Technology]]="All",LCI_Table[[#This Row],[Technology]]=SelectedTechnology)</f>
        <v>1</v>
      </c>
      <c r="K1251" s="14" t="b">
        <f>OR(LCI_Table[[#This Row],[Data Source]]="All",LCI_Table[[#This Row],[Data Source]]=SelectedDataSource)</f>
        <v>0</v>
      </c>
      <c r="L1251" s="14" t="b">
        <f>TRUE</f>
        <v>1</v>
      </c>
      <c r="M1251" s="14" t="b">
        <f>(LCI_Table[[#This Row],[Dev Notes]]="Do not display")</f>
        <v>0</v>
      </c>
      <c r="N1251" s="14" t="b">
        <f>AND(LCI_Table[[#This Row],[Show Feedstock]:[Conditional]],NOT(LCI_Table[[#This Row],[Hide Row]]))</f>
        <v>0</v>
      </c>
      <c r="O1251" s="14" t="b">
        <f>LCI_Table[[#This Row],[GREET1 Name Range]]=""</f>
        <v>0</v>
      </c>
      <c r="P1251" s="14" t="s">
        <v>1448</v>
      </c>
      <c r="Q1251" s="14" t="s">
        <v>475</v>
      </c>
      <c r="R1251" s="14" t="s">
        <v>73</v>
      </c>
      <c r="S1251" s="37" cm="1">
        <f t="array" aca="1" ref="S12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57.727140368024244</v>
      </c>
      <c r="T1251" s="346" t="s">
        <v>2120</v>
      </c>
      <c r="U1251" s="347">
        <f ca="1">S1251*lb2g/Fuel_Specs!$E$48*Fuel_Specs!$B$48*Fuel_Specs!$B$81*BTU2mmBTU</f>
        <v>317.40000000000003</v>
      </c>
      <c r="V1251" s="347">
        <v>57.727140368024244</v>
      </c>
      <c r="W1251" s="347">
        <v>317.40000000000003</v>
      </c>
      <c r="X1251" s="14" t="s">
        <v>351</v>
      </c>
      <c r="Y1251" s="346" t="s">
        <v>416</v>
      </c>
      <c r="Z1251" s="14" t="str">
        <f>IF(ISBLANK(LCI_Table[[#This Row],[Notes for user]])," ",LCI_Table[[#This Row],[Notes for user]])</f>
        <v xml:space="preserve"> </v>
      </c>
      <c r="AA1251" s="14"/>
      <c r="AB1251" s="14"/>
      <c r="AC1251" s="346">
        <f ca="1">LCI_Table[[#This Row],[Default Calculated Value]]-LCI_Table[[#This Row],[Calculated Value]]</f>
        <v>0</v>
      </c>
    </row>
    <row r="1252" spans="1:29" x14ac:dyDescent="0.3">
      <c r="A12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CamelinaHEFAICAOJRC(blank)_Camelina_Oil_HEFA_Energy_AllocationAllocation factor</v>
      </c>
      <c r="B1252" s="14" t="s">
        <v>127</v>
      </c>
      <c r="C1252" s="14" t="s">
        <v>30</v>
      </c>
      <c r="D1252" s="14" t="s">
        <v>194</v>
      </c>
      <c r="E1252" s="14" t="s">
        <v>355</v>
      </c>
      <c r="F1252" s="48" t="s">
        <v>31</v>
      </c>
      <c r="G1252" s="14" t="b">
        <f>OR(LCI_Table[[#This Row],[Feedstock]]="All",LCI_Table[[#This Row],[Feedstock]]=SelectedFeedstock)</f>
        <v>0</v>
      </c>
      <c r="H1252" s="14" t="b">
        <f>OR(LCI_Table[[#This Row],[Conversion]]="All",LCI_Table[[#This Row],[Conversion]]=SelectedConversion)</f>
        <v>1</v>
      </c>
      <c r="I1252" s="14" t="b">
        <f>OR(LCI_Table[[#This Row],[Data Set]]="all",LCI_Table[[#This Row],[Data Set]]=SelectedDataSet)</f>
        <v>0</v>
      </c>
      <c r="J1252" s="14" t="b">
        <f>OR(LCI_Table[[#This Row],[Technology]]="All",LCI_Table[[#This Row],[Technology]]=SelectedTechnology)</f>
        <v>1</v>
      </c>
      <c r="K1252" s="14" t="b">
        <f>OR(LCI_Table[[#This Row],[Data Source]]="All",LCI_Table[[#This Row],[Data Source]]=SelectedDataSource)</f>
        <v>0</v>
      </c>
      <c r="L1252" s="14" t="b">
        <f>TRUE</f>
        <v>1</v>
      </c>
      <c r="M1252" s="14" t="b">
        <f>(LCI_Table[[#This Row],[Dev Notes]]="Do not display")</f>
        <v>0</v>
      </c>
      <c r="N1252" s="14" t="b">
        <f>AND(LCI_Table[[#This Row],[Show Feedstock]:[Conditional]],NOT(LCI_Table[[#This Row],[Hide Row]]))</f>
        <v>0</v>
      </c>
      <c r="O1252" s="14" t="b">
        <f>LCI_Table[[#This Row],[GREET1 Name Range]]=""</f>
        <v>0</v>
      </c>
      <c r="P1252" s="14" t="s">
        <v>1448</v>
      </c>
      <c r="Q1252" s="14" t="s">
        <v>1119</v>
      </c>
      <c r="R1252" s="14" t="s">
        <v>1344</v>
      </c>
      <c r="S1252" s="37" cm="1">
        <f t="array" aca="1" ref="S12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99.009879652760063</v>
      </c>
      <c r="T1252" s="346" t="s">
        <v>1345</v>
      </c>
      <c r="U1252" s="347">
        <f ca="1">LCI_Table[[#This Row],[Dashboard Value]]/100</f>
        <v>0.99009879652760058</v>
      </c>
      <c r="V1252" s="351">
        <v>99.009879652760063</v>
      </c>
      <c r="W1252" s="351">
        <v>0.99009879652760058</v>
      </c>
      <c r="X1252" s="14" t="s">
        <v>1345</v>
      </c>
      <c r="Y1252" s="346" t="s">
        <v>416</v>
      </c>
      <c r="Z1252" s="14" t="str">
        <f>IF(ISBLANK(LCI_Table[[#This Row],[Notes for user]])," ",LCI_Table[[#This Row],[Notes for user]])</f>
        <v>Allocation to main distillate fuels (energy allocation)</v>
      </c>
      <c r="AA1252" s="14" t="s">
        <v>1353</v>
      </c>
      <c r="AB1252" s="14"/>
      <c r="AC1252" s="346">
        <f ca="1">LCI_Table[[#This Row],[Default Calculated Value]]-LCI_Table[[#This Row],[Calculated Value]]</f>
        <v>0</v>
      </c>
    </row>
    <row r="1253" spans="1:29" x14ac:dyDescent="0.3">
      <c r="A12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dash_PalmHEFAICAOANLClosed pond _Yield_Farming</v>
      </c>
      <c r="B1253" s="48" t="s">
        <v>122</v>
      </c>
      <c r="C1253" s="48" t="s">
        <v>30</v>
      </c>
      <c r="D1253" s="48" t="s">
        <v>194</v>
      </c>
      <c r="E1253" s="48" t="s">
        <v>367</v>
      </c>
      <c r="F1253" s="48" t="s">
        <v>1357</v>
      </c>
      <c r="G1253" s="14" t="b">
        <f>OR(LCI_Table[[#This Row],[Feedstock]]="All",LCI_Table[[#This Row],[Feedstock]]=SelectedFeedstock)</f>
        <v>0</v>
      </c>
      <c r="H1253" s="14" t="b">
        <f>OR(LCI_Table[[#This Row],[Conversion]]="All",LCI_Table[[#This Row],[Conversion]]=SelectedConversion)</f>
        <v>1</v>
      </c>
      <c r="I1253" s="14" t="b">
        <f>OR(LCI_Table[[#This Row],[Data Set]]="all",LCI_Table[[#This Row],[Data Set]]=SelectedDataSet)</f>
        <v>0</v>
      </c>
      <c r="J1253" s="14" t="b">
        <f>OR(LCI_Table[[#This Row],[Technology]]="All",LCI_Table[[#This Row],[Technology]]=SelectedTechnology)</f>
        <v>0</v>
      </c>
      <c r="K1253" s="14" t="b">
        <f>OR(LCI_Table[[#This Row],[Data Source]]="All",LCI_Table[[#This Row],[Data Source]]=SelectedDataSource)</f>
        <v>0</v>
      </c>
      <c r="L1253" s="14" t="b">
        <f>TRUE</f>
        <v>1</v>
      </c>
      <c r="M1253" s="14" t="b">
        <f>(LCI_Table[[#This Row],[Dev Notes]]="Do not display")</f>
        <v>0</v>
      </c>
      <c r="N1253" s="14" t="b">
        <f>AND(LCI_Table[[#This Row],[Show Feedstock]:[Conditional]],NOT(LCI_Table[[#This Row],[Hide Row]]))</f>
        <v>0</v>
      </c>
      <c r="O1253" s="14" t="b">
        <f>LCI_Table[[#This Row],[GREET1 Name Range]]=""</f>
        <v>1</v>
      </c>
      <c r="P1253" s="48" t="s">
        <v>14</v>
      </c>
      <c r="Q1253" s="14" t="s">
        <v>361</v>
      </c>
      <c r="R1253" s="48" t="s">
        <v>200</v>
      </c>
      <c r="S1253" s="37" cm="1">
        <f t="array" aca="1" ref="S12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6.909937964111923</v>
      </c>
      <c r="T1253" s="346" t="s">
        <v>2116</v>
      </c>
      <c r="U1253" s="344"/>
      <c r="V1253" s="344">
        <v>6.909937964111923</v>
      </c>
      <c r="W1253" s="344"/>
      <c r="X1253" s="48" t="s">
        <v>55</v>
      </c>
      <c r="Y1253" s="346" t="s">
        <v>413</v>
      </c>
      <c r="Z1253" s="14" t="str">
        <f>IF(ISBLANK(LCI_Table[[#This Row],[Notes for user]])," ",LCI_Table[[#This Row],[Notes for user]])</f>
        <v>Statista (2023) data from 2022</v>
      </c>
      <c r="AA1253" s="48" t="s">
        <v>1149</v>
      </c>
      <c r="AB1253" s="345"/>
      <c r="AC1253" s="346">
        <f>LCI_Table[[#This Row],[Default Calculated Value]]-LCI_Table[[#This Row],[Calculated Value]]</f>
        <v>0</v>
      </c>
    </row>
    <row r="1254" spans="1:29" x14ac:dyDescent="0.3">
      <c r="A12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_Palm_Farming_Nitrogen_fertilizerNitrogen fertilizer</v>
      </c>
      <c r="B1254" s="348" t="s">
        <v>122</v>
      </c>
      <c r="C1254" s="348" t="s">
        <v>30</v>
      </c>
      <c r="D1254" s="14" t="s">
        <v>194</v>
      </c>
      <c r="E1254" s="48" t="s">
        <v>367</v>
      </c>
      <c r="F1254" s="348" t="s">
        <v>1357</v>
      </c>
      <c r="G1254" s="14" t="b">
        <f>OR(LCI_Table[[#This Row],[Feedstock]]="All",LCI_Table[[#This Row],[Feedstock]]=SelectedFeedstock)</f>
        <v>0</v>
      </c>
      <c r="H1254" s="14" t="b">
        <f>OR(LCI_Table[[#This Row],[Conversion]]="All",LCI_Table[[#This Row],[Conversion]]=SelectedConversion)</f>
        <v>1</v>
      </c>
      <c r="I1254" s="14" t="b">
        <f>OR(LCI_Table[[#This Row],[Data Set]]="all",LCI_Table[[#This Row],[Data Set]]=SelectedDataSet)</f>
        <v>0</v>
      </c>
      <c r="J1254" s="14" t="b">
        <f>OR(LCI_Table[[#This Row],[Technology]]="All",LCI_Table[[#This Row],[Technology]]=SelectedTechnology)</f>
        <v>0</v>
      </c>
      <c r="K1254" s="14" t="b">
        <f>OR(LCI_Table[[#This Row],[Data Source]]="All",LCI_Table[[#This Row],[Data Source]]=SelectedDataSource)</f>
        <v>0</v>
      </c>
      <c r="L1254" s="14" t="b">
        <f>TRUE</f>
        <v>1</v>
      </c>
      <c r="M1254" s="14" t="b">
        <f>(LCI_Table[[#This Row],[Dev Notes]]="Do not display")</f>
        <v>0</v>
      </c>
      <c r="N1254" s="14" t="b">
        <f>AND(LCI_Table[[#This Row],[Show Feedstock]:[Conditional]],NOT(LCI_Table[[#This Row],[Hide Row]]))</f>
        <v>0</v>
      </c>
      <c r="O1254" s="14" t="b">
        <f>LCI_Table[[#This Row],[GREET1 Name Range]]=""</f>
        <v>0</v>
      </c>
      <c r="P1254" s="348" t="s">
        <v>14</v>
      </c>
      <c r="Q1254" s="14" t="s">
        <v>759</v>
      </c>
      <c r="R1254" s="348" t="s">
        <v>111</v>
      </c>
      <c r="S1254" s="37" cm="1">
        <f t="array" aca="1" ref="S12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145.04174806417777</v>
      </c>
      <c r="T1254" s="346" t="s">
        <v>1485</v>
      </c>
      <c r="U1254" s="347">
        <f ca="1">S1254/g2lb/S1253</f>
        <v>9521.0449927430855</v>
      </c>
      <c r="V1254" s="347">
        <v>145.04174806417777</v>
      </c>
      <c r="W1254" s="347">
        <v>9521.0449927430855</v>
      </c>
      <c r="X1254" s="14" t="s">
        <v>12</v>
      </c>
      <c r="Y1254" s="346" t="s">
        <v>413</v>
      </c>
      <c r="Z1254" s="14" t="str">
        <f>IF(ISBLANK(LCI_Table[[#This Row],[Notes for user]])," ",LCI_Table[[#This Row],[Notes for user]])</f>
        <v xml:space="preserve"> </v>
      </c>
      <c r="AA1254" s="14"/>
      <c r="AB1254" s="348"/>
      <c r="AC1254" s="346">
        <f ca="1">LCI_Table[[#This Row],[Default Calculated Value]]-LCI_Table[[#This Row],[Calculated Value]]</f>
        <v>0</v>
      </c>
    </row>
    <row r="1255" spans="1:29" x14ac:dyDescent="0.3">
      <c r="A12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_Palm_Farming_P2O5P2O5</v>
      </c>
      <c r="B1255" s="348" t="s">
        <v>122</v>
      </c>
      <c r="C1255" s="348" t="s">
        <v>30</v>
      </c>
      <c r="D1255" s="14" t="s">
        <v>194</v>
      </c>
      <c r="E1255" s="48" t="s">
        <v>367</v>
      </c>
      <c r="F1255" s="348" t="s">
        <v>1357</v>
      </c>
      <c r="G1255" s="14" t="b">
        <f>OR(LCI_Table[[#This Row],[Feedstock]]="All",LCI_Table[[#This Row],[Feedstock]]=SelectedFeedstock)</f>
        <v>0</v>
      </c>
      <c r="H1255" s="14" t="b">
        <f>OR(LCI_Table[[#This Row],[Conversion]]="All",LCI_Table[[#This Row],[Conversion]]=SelectedConversion)</f>
        <v>1</v>
      </c>
      <c r="I1255" s="14" t="b">
        <f>OR(LCI_Table[[#This Row],[Data Set]]="all",LCI_Table[[#This Row],[Data Set]]=SelectedDataSet)</f>
        <v>0</v>
      </c>
      <c r="J1255" s="14" t="b">
        <f>OR(LCI_Table[[#This Row],[Technology]]="All",LCI_Table[[#This Row],[Technology]]=SelectedTechnology)</f>
        <v>0</v>
      </c>
      <c r="K1255" s="14" t="b">
        <f>OR(LCI_Table[[#This Row],[Data Source]]="All",LCI_Table[[#This Row],[Data Source]]=SelectedDataSource)</f>
        <v>0</v>
      </c>
      <c r="L1255" s="14" t="b">
        <f>TRUE</f>
        <v>1</v>
      </c>
      <c r="M1255" s="14" t="b">
        <f>(LCI_Table[[#This Row],[Dev Notes]]="Do not display")</f>
        <v>0</v>
      </c>
      <c r="N1255" s="14" t="b">
        <f>AND(LCI_Table[[#This Row],[Show Feedstock]:[Conditional]],NOT(LCI_Table[[#This Row],[Hide Row]]))</f>
        <v>0</v>
      </c>
      <c r="O1255" s="14" t="b">
        <f>LCI_Table[[#This Row],[GREET1 Name Range]]=""</f>
        <v>0</v>
      </c>
      <c r="P1255" s="348" t="s">
        <v>14</v>
      </c>
      <c r="Q1255" s="14" t="s">
        <v>760</v>
      </c>
      <c r="R1255" s="348" t="s">
        <v>112</v>
      </c>
      <c r="S1255" s="37" cm="1">
        <f t="array" aca="1" ref="S12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55" s="346" t="s">
        <v>1485</v>
      </c>
      <c r="U1255" s="347">
        <f ca="1">S1255/g2lb/S1253</f>
        <v>0</v>
      </c>
      <c r="V1255" s="347">
        <v>0</v>
      </c>
      <c r="W1255" s="347">
        <v>0</v>
      </c>
      <c r="X1255" s="14" t="s">
        <v>12</v>
      </c>
      <c r="Y1255" s="346" t="s">
        <v>413</v>
      </c>
      <c r="Z1255" s="14" t="str">
        <f>IF(ISBLANK(LCI_Table[[#This Row],[Notes for user]])," ",LCI_Table[[#This Row],[Notes for user]])</f>
        <v xml:space="preserve"> </v>
      </c>
      <c r="AA1255" s="14"/>
      <c r="AB1255" s="348"/>
      <c r="AC1255" s="346">
        <f ca="1">LCI_Table[[#This Row],[Default Calculated Value]]-LCI_Table[[#This Row],[Calculated Value]]</f>
        <v>0</v>
      </c>
    </row>
    <row r="1256" spans="1:29" x14ac:dyDescent="0.3">
      <c r="A12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_Palm_Farming_K2OK2O</v>
      </c>
      <c r="B1256" s="348" t="s">
        <v>122</v>
      </c>
      <c r="C1256" s="348" t="s">
        <v>30</v>
      </c>
      <c r="D1256" s="14" t="s">
        <v>194</v>
      </c>
      <c r="E1256" s="48" t="s">
        <v>367</v>
      </c>
      <c r="F1256" s="348" t="s">
        <v>1357</v>
      </c>
      <c r="G1256" s="14" t="b">
        <f>OR(LCI_Table[[#This Row],[Feedstock]]="All",LCI_Table[[#This Row],[Feedstock]]=SelectedFeedstock)</f>
        <v>0</v>
      </c>
      <c r="H1256" s="14" t="b">
        <f>OR(LCI_Table[[#This Row],[Conversion]]="All",LCI_Table[[#This Row],[Conversion]]=SelectedConversion)</f>
        <v>1</v>
      </c>
      <c r="I1256" s="14" t="b">
        <f>OR(LCI_Table[[#This Row],[Data Set]]="all",LCI_Table[[#This Row],[Data Set]]=SelectedDataSet)</f>
        <v>0</v>
      </c>
      <c r="J1256" s="14" t="b">
        <f>OR(LCI_Table[[#This Row],[Technology]]="All",LCI_Table[[#This Row],[Technology]]=SelectedTechnology)</f>
        <v>0</v>
      </c>
      <c r="K1256" s="14" t="b">
        <f>OR(LCI_Table[[#This Row],[Data Source]]="All",LCI_Table[[#This Row],[Data Source]]=SelectedDataSource)</f>
        <v>0</v>
      </c>
      <c r="L1256" s="14" t="b">
        <f>TRUE</f>
        <v>1</v>
      </c>
      <c r="M1256" s="14" t="b">
        <f>(LCI_Table[[#This Row],[Dev Notes]]="Do not display")</f>
        <v>0</v>
      </c>
      <c r="N1256" s="14" t="b">
        <f>AND(LCI_Table[[#This Row],[Show Feedstock]:[Conditional]],NOT(LCI_Table[[#This Row],[Hide Row]]))</f>
        <v>0</v>
      </c>
      <c r="O1256" s="14" t="b">
        <f>LCI_Table[[#This Row],[GREET1 Name Range]]=""</f>
        <v>0</v>
      </c>
      <c r="P1256" s="348" t="s">
        <v>14</v>
      </c>
      <c r="Q1256" s="14" t="s">
        <v>756</v>
      </c>
      <c r="R1256" s="348" t="s">
        <v>113</v>
      </c>
      <c r="S1256" s="37" cm="1">
        <f t="array" aca="1" ref="S12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56" s="346" t="s">
        <v>1485</v>
      </c>
      <c r="U1256" s="347">
        <f ca="1">S1256/g2lb/S1253</f>
        <v>0</v>
      </c>
      <c r="V1256" s="347">
        <v>0</v>
      </c>
      <c r="W1256" s="347">
        <v>0</v>
      </c>
      <c r="X1256" s="14" t="s">
        <v>12</v>
      </c>
      <c r="Y1256" s="346" t="s">
        <v>413</v>
      </c>
      <c r="Z1256" s="14" t="str">
        <f>IF(ISBLANK(LCI_Table[[#This Row],[Notes for user]])," ",LCI_Table[[#This Row],[Notes for user]])</f>
        <v xml:space="preserve"> </v>
      </c>
      <c r="AA1256" s="14"/>
      <c r="AB1256" s="348"/>
      <c r="AC1256" s="346">
        <f ca="1">LCI_Table[[#This Row],[Default Calculated Value]]-LCI_Table[[#This Row],[Calculated Value]]</f>
        <v>0</v>
      </c>
    </row>
    <row r="1257" spans="1:29" x14ac:dyDescent="0.3">
      <c r="A12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_Palm_Farming_CaCO3CaCO3</v>
      </c>
      <c r="B1257" s="348" t="s">
        <v>122</v>
      </c>
      <c r="C1257" s="348" t="s">
        <v>30</v>
      </c>
      <c r="D1257" s="14" t="s">
        <v>194</v>
      </c>
      <c r="E1257" s="48" t="s">
        <v>367</v>
      </c>
      <c r="F1257" s="348" t="s">
        <v>1357</v>
      </c>
      <c r="G1257" s="14" t="b">
        <f>OR(LCI_Table[[#This Row],[Feedstock]]="All",LCI_Table[[#This Row],[Feedstock]]=SelectedFeedstock)</f>
        <v>0</v>
      </c>
      <c r="H1257" s="14" t="b">
        <f>OR(LCI_Table[[#This Row],[Conversion]]="All",LCI_Table[[#This Row],[Conversion]]=SelectedConversion)</f>
        <v>1</v>
      </c>
      <c r="I1257" s="14" t="b">
        <f>OR(LCI_Table[[#This Row],[Data Set]]="all",LCI_Table[[#This Row],[Data Set]]=SelectedDataSet)</f>
        <v>0</v>
      </c>
      <c r="J1257" s="14" t="b">
        <f>OR(LCI_Table[[#This Row],[Technology]]="All",LCI_Table[[#This Row],[Technology]]=SelectedTechnology)</f>
        <v>0</v>
      </c>
      <c r="K1257" s="14" t="b">
        <f>OR(LCI_Table[[#This Row],[Data Source]]="All",LCI_Table[[#This Row],[Data Source]]=SelectedDataSource)</f>
        <v>0</v>
      </c>
      <c r="L1257" s="14" t="b">
        <f>TRUE</f>
        <v>1</v>
      </c>
      <c r="M1257" s="14" t="b">
        <f>(LCI_Table[[#This Row],[Dev Notes]]="Do not display")</f>
        <v>0</v>
      </c>
      <c r="N1257" s="14" t="b">
        <f>AND(LCI_Table[[#This Row],[Show Feedstock]:[Conditional]],NOT(LCI_Table[[#This Row],[Hide Row]]))</f>
        <v>0</v>
      </c>
      <c r="O1257" s="14" t="b">
        <f>LCI_Table[[#This Row],[GREET1 Name Range]]=""</f>
        <v>0</v>
      </c>
      <c r="P1257" s="348" t="s">
        <v>14</v>
      </c>
      <c r="Q1257" s="14" t="s">
        <v>749</v>
      </c>
      <c r="R1257" s="348" t="s">
        <v>141</v>
      </c>
      <c r="S1257" s="37" cm="1">
        <f t="array" aca="1" ref="S12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57" s="346" t="s">
        <v>1485</v>
      </c>
      <c r="U1257" s="347">
        <f ca="1">S1257/g2lb/S1253</f>
        <v>0</v>
      </c>
      <c r="V1257" s="347">
        <v>0</v>
      </c>
      <c r="W1257" s="347">
        <v>0</v>
      </c>
      <c r="X1257" s="14" t="s">
        <v>12</v>
      </c>
      <c r="Y1257" s="346" t="s">
        <v>413</v>
      </c>
      <c r="Z1257" s="14" t="str">
        <f>IF(ISBLANK(LCI_Table[[#This Row],[Notes for user]])," ",LCI_Table[[#This Row],[Notes for user]])</f>
        <v xml:space="preserve"> </v>
      </c>
      <c r="AA1257" s="14"/>
      <c r="AB1257" s="348"/>
      <c r="AC1257" s="346">
        <f ca="1">LCI_Table[[#This Row],[Default Calculated Value]]-LCI_Table[[#This Row],[Calculated Value]]</f>
        <v>0</v>
      </c>
    </row>
    <row r="1258" spans="1:29" x14ac:dyDescent="0.3">
      <c r="A12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_Palm_Farming_HerbicidesHerbicides</v>
      </c>
      <c r="B1258" s="348" t="s">
        <v>122</v>
      </c>
      <c r="C1258" s="348" t="s">
        <v>30</v>
      </c>
      <c r="D1258" s="14" t="s">
        <v>194</v>
      </c>
      <c r="E1258" s="48" t="s">
        <v>367</v>
      </c>
      <c r="F1258" s="348" t="s">
        <v>1357</v>
      </c>
      <c r="G1258" s="14" t="b">
        <f>OR(LCI_Table[[#This Row],[Feedstock]]="All",LCI_Table[[#This Row],[Feedstock]]=SelectedFeedstock)</f>
        <v>0</v>
      </c>
      <c r="H1258" s="14" t="b">
        <f>OR(LCI_Table[[#This Row],[Conversion]]="All",LCI_Table[[#This Row],[Conversion]]=SelectedConversion)</f>
        <v>1</v>
      </c>
      <c r="I1258" s="14" t="b">
        <f>OR(LCI_Table[[#This Row],[Data Set]]="all",LCI_Table[[#This Row],[Data Set]]=SelectedDataSet)</f>
        <v>0</v>
      </c>
      <c r="J1258" s="14" t="b">
        <f>OR(LCI_Table[[#This Row],[Technology]]="All",LCI_Table[[#This Row],[Technology]]=SelectedTechnology)</f>
        <v>0</v>
      </c>
      <c r="K1258" s="14" t="b">
        <f>OR(LCI_Table[[#This Row],[Data Source]]="All",LCI_Table[[#This Row],[Data Source]]=SelectedDataSource)</f>
        <v>0</v>
      </c>
      <c r="L1258" s="14" t="b">
        <f>TRUE</f>
        <v>1</v>
      </c>
      <c r="M1258" s="14" t="b">
        <f>(LCI_Table[[#This Row],[Dev Notes]]="Do not display")</f>
        <v>0</v>
      </c>
      <c r="N1258" s="14" t="b">
        <f>AND(LCI_Table[[#This Row],[Show Feedstock]:[Conditional]],NOT(LCI_Table[[#This Row],[Hide Row]]))</f>
        <v>0</v>
      </c>
      <c r="O1258" s="14" t="b">
        <f>LCI_Table[[#This Row],[GREET1 Name Range]]=""</f>
        <v>0</v>
      </c>
      <c r="P1258" s="348" t="s">
        <v>14</v>
      </c>
      <c r="Q1258" s="14" t="s">
        <v>754</v>
      </c>
      <c r="R1258" s="348" t="s">
        <v>356</v>
      </c>
      <c r="S1258" s="37" cm="1">
        <f t="array" aca="1" ref="S12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58" s="346" t="s">
        <v>1485</v>
      </c>
      <c r="U1258" s="347">
        <f ca="1">S1258/g2lb/S1253</f>
        <v>0</v>
      </c>
      <c r="V1258" s="347">
        <v>0</v>
      </c>
      <c r="W1258" s="347">
        <v>0</v>
      </c>
      <c r="X1258" s="14" t="s">
        <v>12</v>
      </c>
      <c r="Y1258" s="346" t="s">
        <v>413</v>
      </c>
      <c r="Z1258" s="14" t="str">
        <f>IF(ISBLANK(LCI_Table[[#This Row],[Notes for user]])," ",LCI_Table[[#This Row],[Notes for user]])</f>
        <v xml:space="preserve"> </v>
      </c>
      <c r="AA1258" s="14"/>
      <c r="AB1258" s="348"/>
      <c r="AC1258" s="346">
        <f ca="1">LCI_Table[[#This Row],[Default Calculated Value]]-LCI_Table[[#This Row],[Calculated Value]]</f>
        <v>0</v>
      </c>
    </row>
    <row r="1259" spans="1:29" x14ac:dyDescent="0.3">
      <c r="A12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_Palm_Farming_InsecticideInsecticide</v>
      </c>
      <c r="B1259" s="348" t="s">
        <v>122</v>
      </c>
      <c r="C1259" s="348" t="s">
        <v>30</v>
      </c>
      <c r="D1259" s="14" t="s">
        <v>194</v>
      </c>
      <c r="E1259" s="48" t="s">
        <v>367</v>
      </c>
      <c r="F1259" s="348" t="s">
        <v>1357</v>
      </c>
      <c r="G1259" s="14" t="b">
        <f>OR(LCI_Table[[#This Row],[Feedstock]]="All",LCI_Table[[#This Row],[Feedstock]]=SelectedFeedstock)</f>
        <v>0</v>
      </c>
      <c r="H1259" s="14" t="b">
        <f>OR(LCI_Table[[#This Row],[Conversion]]="All",LCI_Table[[#This Row],[Conversion]]=SelectedConversion)</f>
        <v>1</v>
      </c>
      <c r="I1259" s="14" t="b">
        <f>OR(LCI_Table[[#This Row],[Data Set]]="all",LCI_Table[[#This Row],[Data Set]]=SelectedDataSet)</f>
        <v>0</v>
      </c>
      <c r="J1259" s="14" t="b">
        <f>OR(LCI_Table[[#This Row],[Technology]]="All",LCI_Table[[#This Row],[Technology]]=SelectedTechnology)</f>
        <v>0</v>
      </c>
      <c r="K1259" s="14" t="b">
        <f>OR(LCI_Table[[#This Row],[Data Source]]="All",LCI_Table[[#This Row],[Data Source]]=SelectedDataSource)</f>
        <v>0</v>
      </c>
      <c r="L1259" s="14" t="b">
        <f>TRUE</f>
        <v>1</v>
      </c>
      <c r="M1259" s="14" t="b">
        <f>(LCI_Table[[#This Row],[Dev Notes]]="Do not display")</f>
        <v>0</v>
      </c>
      <c r="N1259" s="14" t="b">
        <f>AND(LCI_Table[[#This Row],[Show Feedstock]:[Conditional]],NOT(LCI_Table[[#This Row],[Hide Row]]))</f>
        <v>0</v>
      </c>
      <c r="O1259" s="14" t="b">
        <f>LCI_Table[[#This Row],[GREET1 Name Range]]=""</f>
        <v>0</v>
      </c>
      <c r="P1259" s="348" t="s">
        <v>14</v>
      </c>
      <c r="Q1259" s="14" t="s">
        <v>755</v>
      </c>
      <c r="R1259" s="348" t="s">
        <v>114</v>
      </c>
      <c r="S1259" s="37" cm="1">
        <f t="array" aca="1" ref="S12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59" s="346" t="s">
        <v>1485</v>
      </c>
      <c r="U1259" s="347">
        <f ca="1">S1259/g2lb/S1253</f>
        <v>0</v>
      </c>
      <c r="V1259" s="347">
        <v>0</v>
      </c>
      <c r="W1259" s="347">
        <v>0</v>
      </c>
      <c r="X1259" s="14" t="s">
        <v>12</v>
      </c>
      <c r="Y1259" s="346" t="s">
        <v>413</v>
      </c>
      <c r="Z1259" s="14" t="str">
        <f>IF(ISBLANK(LCI_Table[[#This Row],[Notes for user]])," ",LCI_Table[[#This Row],[Notes for user]])</f>
        <v xml:space="preserve"> </v>
      </c>
      <c r="AA1259" s="14"/>
      <c r="AB1259" s="348"/>
      <c r="AC1259" s="346">
        <f ca="1">LCI_Table[[#This Row],[Default Calculated Value]]-LCI_Table[[#This Row],[Calculated Value]]</f>
        <v>0</v>
      </c>
    </row>
    <row r="1260" spans="1:29" x14ac:dyDescent="0.3">
      <c r="A12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_Palm_Farming_Residual_oilResidual oil</v>
      </c>
      <c r="B1260" s="348" t="s">
        <v>122</v>
      </c>
      <c r="C1260" s="348" t="s">
        <v>30</v>
      </c>
      <c r="D1260" s="14" t="s">
        <v>194</v>
      </c>
      <c r="E1260" s="48" t="s">
        <v>367</v>
      </c>
      <c r="F1260" s="348" t="s">
        <v>1357</v>
      </c>
      <c r="G1260" s="14" t="b">
        <f>OR(LCI_Table[[#This Row],[Feedstock]]="All",LCI_Table[[#This Row],[Feedstock]]=SelectedFeedstock)</f>
        <v>0</v>
      </c>
      <c r="H1260" s="14" t="b">
        <f>OR(LCI_Table[[#This Row],[Conversion]]="All",LCI_Table[[#This Row],[Conversion]]=SelectedConversion)</f>
        <v>1</v>
      </c>
      <c r="I1260" s="14" t="b">
        <f>OR(LCI_Table[[#This Row],[Data Set]]="all",LCI_Table[[#This Row],[Data Set]]=SelectedDataSet)</f>
        <v>0</v>
      </c>
      <c r="J1260" s="14" t="b">
        <f>OR(LCI_Table[[#This Row],[Technology]]="All",LCI_Table[[#This Row],[Technology]]=SelectedTechnology)</f>
        <v>0</v>
      </c>
      <c r="K1260" s="14" t="b">
        <f>OR(LCI_Table[[#This Row],[Data Source]]="All",LCI_Table[[#This Row],[Data Source]]=SelectedDataSource)</f>
        <v>0</v>
      </c>
      <c r="L1260" s="14" t="b">
        <f>TRUE</f>
        <v>1</v>
      </c>
      <c r="M1260" s="14" t="b">
        <f>(LCI_Table[[#This Row],[Dev Notes]]="Do not display")</f>
        <v>0</v>
      </c>
      <c r="N1260" s="14" t="b">
        <f>AND(LCI_Table[[#This Row],[Show Feedstock]:[Conditional]],NOT(LCI_Table[[#This Row],[Hide Row]]))</f>
        <v>0</v>
      </c>
      <c r="O1260" s="14" t="b">
        <f>LCI_Table[[#This Row],[GREET1 Name Range]]=""</f>
        <v>0</v>
      </c>
      <c r="P1260" s="348" t="s">
        <v>14</v>
      </c>
      <c r="Q1260" s="14" t="s">
        <v>761</v>
      </c>
      <c r="R1260" s="14" t="s">
        <v>115</v>
      </c>
      <c r="S1260" s="37" cm="1">
        <f t="array" aca="1" ref="S12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60" s="346" t="s">
        <v>1484</v>
      </c>
      <c r="U1260" s="347">
        <f ca="1">S1260*Fuel_Specs!$B$28/S1253</f>
        <v>0</v>
      </c>
      <c r="V1260" s="347">
        <v>0</v>
      </c>
      <c r="W1260" s="347">
        <v>0</v>
      </c>
      <c r="X1260" s="14" t="s">
        <v>5</v>
      </c>
      <c r="Y1260" s="346" t="s">
        <v>413</v>
      </c>
      <c r="Z1260" s="14" t="str">
        <f>IF(ISBLANK(LCI_Table[[#This Row],[Notes for user]])," ",LCI_Table[[#This Row],[Notes for user]])</f>
        <v xml:space="preserve"> </v>
      </c>
      <c r="AA1260" s="14"/>
      <c r="AB1260" s="348"/>
      <c r="AC1260" s="346">
        <f ca="1">LCI_Table[[#This Row],[Default Calculated Value]]-LCI_Table[[#This Row],[Calculated Value]]</f>
        <v>0</v>
      </c>
    </row>
    <row r="1261" spans="1:29" x14ac:dyDescent="0.3">
      <c r="A12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_Palm_Farming_DieselDiesel</v>
      </c>
      <c r="B1261" s="348" t="s">
        <v>122</v>
      </c>
      <c r="C1261" s="348" t="s">
        <v>30</v>
      </c>
      <c r="D1261" s="14" t="s">
        <v>194</v>
      </c>
      <c r="E1261" s="48" t="s">
        <v>367</v>
      </c>
      <c r="F1261" s="348" t="s">
        <v>1357</v>
      </c>
      <c r="G1261" s="14" t="b">
        <f>OR(LCI_Table[[#This Row],[Feedstock]]="All",LCI_Table[[#This Row],[Feedstock]]=SelectedFeedstock)</f>
        <v>0</v>
      </c>
      <c r="H1261" s="14" t="b">
        <f>OR(LCI_Table[[#This Row],[Conversion]]="All",LCI_Table[[#This Row],[Conversion]]=SelectedConversion)</f>
        <v>1</v>
      </c>
      <c r="I1261" s="14" t="b">
        <f>OR(LCI_Table[[#This Row],[Data Set]]="all",LCI_Table[[#This Row],[Data Set]]=SelectedDataSet)</f>
        <v>0</v>
      </c>
      <c r="J1261" s="14" t="b">
        <f>OR(LCI_Table[[#This Row],[Technology]]="All",LCI_Table[[#This Row],[Technology]]=SelectedTechnology)</f>
        <v>0</v>
      </c>
      <c r="K1261" s="14" t="b">
        <f>OR(LCI_Table[[#This Row],[Data Source]]="All",LCI_Table[[#This Row],[Data Source]]=SelectedDataSource)</f>
        <v>0</v>
      </c>
      <c r="L1261" s="14" t="b">
        <f>TRUE</f>
        <v>1</v>
      </c>
      <c r="M1261" s="14" t="b">
        <f>(LCI_Table[[#This Row],[Dev Notes]]="Do not display")</f>
        <v>0</v>
      </c>
      <c r="N1261" s="14" t="b">
        <f>AND(LCI_Table[[#This Row],[Show Feedstock]:[Conditional]],NOT(LCI_Table[[#This Row],[Hide Row]]))</f>
        <v>0</v>
      </c>
      <c r="O1261" s="14" t="b">
        <f>LCI_Table[[#This Row],[GREET1 Name Range]]=""</f>
        <v>0</v>
      </c>
      <c r="P1261" s="348" t="s">
        <v>14</v>
      </c>
      <c r="Q1261" s="14" t="s">
        <v>751</v>
      </c>
      <c r="R1261" s="14" t="s">
        <v>106</v>
      </c>
      <c r="S1261" s="37" cm="1">
        <f t="array" aca="1" ref="S12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11.172759531156784</v>
      </c>
      <c r="T1261" s="346" t="s">
        <v>1484</v>
      </c>
      <c r="U1261" s="347">
        <f ca="1">S1261*Fuel_Specs!$B$19/S1253</f>
        <v>207692.30769230728</v>
      </c>
      <c r="V1261" s="347">
        <v>11.172759531156784</v>
      </c>
      <c r="W1261" s="347">
        <v>207692.30769230728</v>
      </c>
      <c r="X1261" s="14" t="s">
        <v>5</v>
      </c>
      <c r="Y1261" s="346" t="s">
        <v>413</v>
      </c>
      <c r="Z1261" s="14" t="str">
        <f>IF(ISBLANK(LCI_Table[[#This Row],[Notes for user]])," ",LCI_Table[[#This Row],[Notes for user]])</f>
        <v xml:space="preserve"> </v>
      </c>
      <c r="AA1261" s="14"/>
      <c r="AB1261" s="348"/>
      <c r="AC1261" s="346">
        <f ca="1">LCI_Table[[#This Row],[Default Calculated Value]]-LCI_Table[[#This Row],[Calculated Value]]</f>
        <v>0</v>
      </c>
    </row>
    <row r="1262" spans="1:29" x14ac:dyDescent="0.3">
      <c r="A12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_Palm_Farming_GasolineGasoline</v>
      </c>
      <c r="B1262" s="348" t="s">
        <v>122</v>
      </c>
      <c r="C1262" s="348" t="s">
        <v>30</v>
      </c>
      <c r="D1262" s="14" t="s">
        <v>194</v>
      </c>
      <c r="E1262" s="48" t="s">
        <v>367</v>
      </c>
      <c r="F1262" s="348" t="s">
        <v>1357</v>
      </c>
      <c r="G1262" s="14" t="b">
        <f>OR(LCI_Table[[#This Row],[Feedstock]]="All",LCI_Table[[#This Row],[Feedstock]]=SelectedFeedstock)</f>
        <v>0</v>
      </c>
      <c r="H1262" s="14" t="b">
        <f>OR(LCI_Table[[#This Row],[Conversion]]="All",LCI_Table[[#This Row],[Conversion]]=SelectedConversion)</f>
        <v>1</v>
      </c>
      <c r="I1262" s="14" t="b">
        <f>OR(LCI_Table[[#This Row],[Data Set]]="all",LCI_Table[[#This Row],[Data Set]]=SelectedDataSet)</f>
        <v>0</v>
      </c>
      <c r="J1262" s="14" t="b">
        <f>OR(LCI_Table[[#This Row],[Technology]]="All",LCI_Table[[#This Row],[Technology]]=SelectedTechnology)</f>
        <v>0</v>
      </c>
      <c r="K1262" s="14" t="b">
        <f>OR(LCI_Table[[#This Row],[Data Source]]="All",LCI_Table[[#This Row],[Data Source]]=SelectedDataSource)</f>
        <v>0</v>
      </c>
      <c r="L1262" s="14" t="b">
        <f>TRUE</f>
        <v>1</v>
      </c>
      <c r="M1262" s="14" t="b">
        <f>(LCI_Table[[#This Row],[Dev Notes]]="Do not display")</f>
        <v>0</v>
      </c>
      <c r="N1262" s="14" t="b">
        <f>AND(LCI_Table[[#This Row],[Show Feedstock]:[Conditional]],NOT(LCI_Table[[#This Row],[Hide Row]]))</f>
        <v>0</v>
      </c>
      <c r="O1262" s="14" t="b">
        <f>LCI_Table[[#This Row],[GREET1 Name Range]]=""</f>
        <v>0</v>
      </c>
      <c r="P1262" s="348" t="s">
        <v>14</v>
      </c>
      <c r="Q1262" s="14" t="s">
        <v>753</v>
      </c>
      <c r="R1262" s="14" t="s">
        <v>107</v>
      </c>
      <c r="S1262" s="37" cm="1">
        <f t="array" aca="1" ref="S12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62" s="346" t="s">
        <v>1484</v>
      </c>
      <c r="U1262" s="347">
        <f ca="1">S1262*Fuel_Specs!$B$15/S1253</f>
        <v>0</v>
      </c>
      <c r="V1262" s="347">
        <v>0</v>
      </c>
      <c r="W1262" s="347">
        <v>0</v>
      </c>
      <c r="X1262" s="14" t="s">
        <v>5</v>
      </c>
      <c r="Y1262" s="346" t="s">
        <v>413</v>
      </c>
      <c r="Z1262" s="14" t="str">
        <f>IF(ISBLANK(LCI_Table[[#This Row],[Notes for user]])," ",LCI_Table[[#This Row],[Notes for user]])</f>
        <v xml:space="preserve"> </v>
      </c>
      <c r="AA1262" s="14"/>
      <c r="AB1262" s="348"/>
      <c r="AC1262" s="346">
        <f ca="1">LCI_Table[[#This Row],[Default Calculated Value]]-LCI_Table[[#This Row],[Calculated Value]]</f>
        <v>0</v>
      </c>
    </row>
    <row r="1263" spans="1:29" x14ac:dyDescent="0.3">
      <c r="A12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_Palm_Farming_Natural_gasNatural gas</v>
      </c>
      <c r="B1263" s="348" t="s">
        <v>122</v>
      </c>
      <c r="C1263" s="348" t="s">
        <v>30</v>
      </c>
      <c r="D1263" s="14" t="s">
        <v>194</v>
      </c>
      <c r="E1263" s="48" t="s">
        <v>367</v>
      </c>
      <c r="F1263" s="348" t="s">
        <v>1357</v>
      </c>
      <c r="G1263" s="14" t="b">
        <f>OR(LCI_Table[[#This Row],[Feedstock]]="All",LCI_Table[[#This Row],[Feedstock]]=SelectedFeedstock)</f>
        <v>0</v>
      </c>
      <c r="H1263" s="14" t="b">
        <f>OR(LCI_Table[[#This Row],[Conversion]]="All",LCI_Table[[#This Row],[Conversion]]=SelectedConversion)</f>
        <v>1</v>
      </c>
      <c r="I1263" s="14" t="b">
        <f>OR(LCI_Table[[#This Row],[Data Set]]="all",LCI_Table[[#This Row],[Data Set]]=SelectedDataSet)</f>
        <v>0</v>
      </c>
      <c r="J1263" s="14" t="b">
        <f>OR(LCI_Table[[#This Row],[Technology]]="All",LCI_Table[[#This Row],[Technology]]=SelectedTechnology)</f>
        <v>0</v>
      </c>
      <c r="K1263" s="14" t="b">
        <f>OR(LCI_Table[[#This Row],[Data Source]]="All",LCI_Table[[#This Row],[Data Source]]=SelectedDataSource)</f>
        <v>0</v>
      </c>
      <c r="L1263" s="14" t="b">
        <f>TRUE</f>
        <v>1</v>
      </c>
      <c r="M1263" s="14" t="b">
        <f>(LCI_Table[[#This Row],[Dev Notes]]="Do not display")</f>
        <v>0</v>
      </c>
      <c r="N1263" s="14" t="b">
        <f>AND(LCI_Table[[#This Row],[Show Feedstock]:[Conditional]],NOT(LCI_Table[[#This Row],[Hide Row]]))</f>
        <v>0</v>
      </c>
      <c r="O1263" s="14" t="b">
        <f>LCI_Table[[#This Row],[GREET1 Name Range]]=""</f>
        <v>0</v>
      </c>
      <c r="P1263" s="348" t="s">
        <v>14</v>
      </c>
      <c r="Q1263" s="14" t="s">
        <v>758</v>
      </c>
      <c r="R1263" s="14" t="s">
        <v>108</v>
      </c>
      <c r="S1263" s="37" cm="1">
        <f t="array" aca="1" ref="S12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63" s="346" t="s">
        <v>2109</v>
      </c>
      <c r="U1263" s="347">
        <f ca="1">S1263*Fuel_Specs!$B$79/S1253</f>
        <v>0</v>
      </c>
      <c r="V1263" s="347">
        <v>0</v>
      </c>
      <c r="W1263" s="347">
        <v>0</v>
      </c>
      <c r="X1263" s="14" t="s">
        <v>351</v>
      </c>
      <c r="Y1263" s="346" t="s">
        <v>413</v>
      </c>
      <c r="Z1263" s="14" t="str">
        <f>IF(ISBLANK(LCI_Table[[#This Row],[Notes for user]])," ",LCI_Table[[#This Row],[Notes for user]])</f>
        <v xml:space="preserve"> </v>
      </c>
      <c r="AA1263" s="14"/>
      <c r="AB1263" s="348"/>
      <c r="AC1263" s="346">
        <f ca="1">LCI_Table[[#This Row],[Default Calculated Value]]-LCI_Table[[#This Row],[Calculated Value]]</f>
        <v>0</v>
      </c>
    </row>
    <row r="1264" spans="1:29" x14ac:dyDescent="0.3">
      <c r="A12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_Palm_Farming_CoalCoal</v>
      </c>
      <c r="B1264" s="348" t="s">
        <v>122</v>
      </c>
      <c r="C1264" s="348" t="s">
        <v>30</v>
      </c>
      <c r="D1264" s="14" t="s">
        <v>194</v>
      </c>
      <c r="E1264" s="48" t="s">
        <v>367</v>
      </c>
      <c r="F1264" s="348" t="s">
        <v>1357</v>
      </c>
      <c r="G1264" s="14" t="b">
        <f>OR(LCI_Table[[#This Row],[Feedstock]]="All",LCI_Table[[#This Row],[Feedstock]]=SelectedFeedstock)</f>
        <v>0</v>
      </c>
      <c r="H1264" s="14" t="b">
        <f>OR(LCI_Table[[#This Row],[Conversion]]="All",LCI_Table[[#This Row],[Conversion]]=SelectedConversion)</f>
        <v>1</v>
      </c>
      <c r="I1264" s="14" t="b">
        <f>OR(LCI_Table[[#This Row],[Data Set]]="all",LCI_Table[[#This Row],[Data Set]]=SelectedDataSet)</f>
        <v>0</v>
      </c>
      <c r="J1264" s="14" t="b">
        <f>OR(LCI_Table[[#This Row],[Technology]]="All",LCI_Table[[#This Row],[Technology]]=SelectedTechnology)</f>
        <v>0</v>
      </c>
      <c r="K1264" s="14" t="b">
        <f>OR(LCI_Table[[#This Row],[Data Source]]="All",LCI_Table[[#This Row],[Data Source]]=SelectedDataSource)</f>
        <v>0</v>
      </c>
      <c r="L1264" s="14" t="b">
        <f>TRUE</f>
        <v>1</v>
      </c>
      <c r="M1264" s="14" t="b">
        <f>(LCI_Table[[#This Row],[Dev Notes]]="Do not display")</f>
        <v>0</v>
      </c>
      <c r="N1264" s="14" t="b">
        <f>AND(LCI_Table[[#This Row],[Show Feedstock]:[Conditional]],NOT(LCI_Table[[#This Row],[Hide Row]]))</f>
        <v>0</v>
      </c>
      <c r="O1264" s="14" t="b">
        <f>LCI_Table[[#This Row],[GREET1 Name Range]]=""</f>
        <v>0</v>
      </c>
      <c r="P1264" s="348" t="s">
        <v>14</v>
      </c>
      <c r="Q1264" s="14" t="s">
        <v>750</v>
      </c>
      <c r="R1264" s="14" t="s">
        <v>9</v>
      </c>
      <c r="S1264" s="37" cm="1">
        <f t="array" aca="1" ref="S12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64" s="346" t="s">
        <v>2110</v>
      </c>
      <c r="U1264" s="347">
        <f ca="1">S1264/S1253</f>
        <v>0</v>
      </c>
      <c r="V1264" s="347">
        <v>0</v>
      </c>
      <c r="W1264" s="347">
        <v>0</v>
      </c>
      <c r="X1264" s="14" t="s">
        <v>117</v>
      </c>
      <c r="Y1264" s="346" t="s">
        <v>413</v>
      </c>
      <c r="Z1264" s="14" t="str">
        <f>IF(ISBLANK(LCI_Table[[#This Row],[Notes for user]])," ",LCI_Table[[#This Row],[Notes for user]])</f>
        <v xml:space="preserve"> </v>
      </c>
      <c r="AA1264" s="14"/>
      <c r="AB1264" s="348"/>
      <c r="AC1264" s="346">
        <f ca="1">LCI_Table[[#This Row],[Default Calculated Value]]-LCI_Table[[#This Row],[Calculated Value]]</f>
        <v>0</v>
      </c>
    </row>
    <row r="1265" spans="1:29" x14ac:dyDescent="0.3">
      <c r="A12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_Palm_Farming_LPGLPG</v>
      </c>
      <c r="B1265" s="348" t="s">
        <v>122</v>
      </c>
      <c r="C1265" s="348" t="s">
        <v>30</v>
      </c>
      <c r="D1265" s="14" t="s">
        <v>194</v>
      </c>
      <c r="E1265" s="48" t="s">
        <v>367</v>
      </c>
      <c r="F1265" s="348" t="s">
        <v>1357</v>
      </c>
      <c r="G1265" s="14" t="b">
        <f>OR(LCI_Table[[#This Row],[Feedstock]]="All",LCI_Table[[#This Row],[Feedstock]]=SelectedFeedstock)</f>
        <v>0</v>
      </c>
      <c r="H1265" s="14" t="b">
        <f>OR(LCI_Table[[#This Row],[Conversion]]="All",LCI_Table[[#This Row],[Conversion]]=SelectedConversion)</f>
        <v>1</v>
      </c>
      <c r="I1265" s="14" t="b">
        <f>OR(LCI_Table[[#This Row],[Data Set]]="all",LCI_Table[[#This Row],[Data Set]]=SelectedDataSet)</f>
        <v>0</v>
      </c>
      <c r="J1265" s="14" t="b">
        <f>OR(LCI_Table[[#This Row],[Technology]]="All",LCI_Table[[#This Row],[Technology]]=SelectedTechnology)</f>
        <v>0</v>
      </c>
      <c r="K1265" s="14" t="b">
        <f>OR(LCI_Table[[#This Row],[Data Source]]="All",LCI_Table[[#This Row],[Data Source]]=SelectedDataSource)</f>
        <v>0</v>
      </c>
      <c r="L1265" s="14" t="b">
        <f>TRUE</f>
        <v>1</v>
      </c>
      <c r="M1265" s="14" t="b">
        <f>(LCI_Table[[#This Row],[Dev Notes]]="Do not display")</f>
        <v>0</v>
      </c>
      <c r="N1265" s="14" t="b">
        <f>AND(LCI_Table[[#This Row],[Show Feedstock]:[Conditional]],NOT(LCI_Table[[#This Row],[Hide Row]]))</f>
        <v>0</v>
      </c>
      <c r="O1265" s="14" t="b">
        <f>LCI_Table[[#This Row],[GREET1 Name Range]]=""</f>
        <v>0</v>
      </c>
      <c r="P1265" s="348" t="s">
        <v>14</v>
      </c>
      <c r="Q1265" s="14" t="s">
        <v>757</v>
      </c>
      <c r="R1265" s="14" t="s">
        <v>109</v>
      </c>
      <c r="S1265" s="37" cm="1">
        <f t="array" aca="1" ref="S12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65" s="346" t="s">
        <v>1484</v>
      </c>
      <c r="U1265" s="347">
        <f ca="1">S1265*Fuel_Specs!$B$35/S1253</f>
        <v>0</v>
      </c>
      <c r="V1265" s="347">
        <v>0</v>
      </c>
      <c r="W1265" s="347">
        <v>0</v>
      </c>
      <c r="X1265" s="14" t="s">
        <v>5</v>
      </c>
      <c r="Y1265" s="346" t="s">
        <v>413</v>
      </c>
      <c r="Z1265" s="14" t="str">
        <f>IF(ISBLANK(LCI_Table[[#This Row],[Notes for user]])," ",LCI_Table[[#This Row],[Notes for user]])</f>
        <v xml:space="preserve"> </v>
      </c>
      <c r="AA1265" s="14"/>
      <c r="AB1265" s="348"/>
      <c r="AC1265" s="346">
        <f ca="1">LCI_Table[[#This Row],[Default Calculated Value]]-LCI_Table[[#This Row],[Calculated Value]]</f>
        <v>0</v>
      </c>
    </row>
    <row r="1266" spans="1:29" x14ac:dyDescent="0.3">
      <c r="A12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_Palm_Farming_ElectricityElectricity</v>
      </c>
      <c r="B1266" s="348" t="s">
        <v>122</v>
      </c>
      <c r="C1266" s="348" t="s">
        <v>30</v>
      </c>
      <c r="D1266" s="14" t="s">
        <v>194</v>
      </c>
      <c r="E1266" s="48" t="s">
        <v>367</v>
      </c>
      <c r="F1266" s="348" t="s">
        <v>1357</v>
      </c>
      <c r="G1266" s="14" t="b">
        <f>OR(LCI_Table[[#This Row],[Feedstock]]="All",LCI_Table[[#This Row],[Feedstock]]=SelectedFeedstock)</f>
        <v>0</v>
      </c>
      <c r="H1266" s="14" t="b">
        <f>OR(LCI_Table[[#This Row],[Conversion]]="All",LCI_Table[[#This Row],[Conversion]]=SelectedConversion)</f>
        <v>1</v>
      </c>
      <c r="I1266" s="14" t="b">
        <f>OR(LCI_Table[[#This Row],[Data Set]]="all",LCI_Table[[#This Row],[Data Set]]=SelectedDataSet)</f>
        <v>0</v>
      </c>
      <c r="J1266" s="14" t="b">
        <f>OR(LCI_Table[[#This Row],[Technology]]="All",LCI_Table[[#This Row],[Technology]]=SelectedTechnology)</f>
        <v>0</v>
      </c>
      <c r="K1266" s="14" t="b">
        <f>OR(LCI_Table[[#This Row],[Data Source]]="All",LCI_Table[[#This Row],[Data Source]]=SelectedDataSource)</f>
        <v>0</v>
      </c>
      <c r="L1266" s="14" t="b">
        <f>TRUE</f>
        <v>1</v>
      </c>
      <c r="M1266" s="14" t="b">
        <f>(LCI_Table[[#This Row],[Dev Notes]]="Do not display")</f>
        <v>0</v>
      </c>
      <c r="N1266" s="14" t="b">
        <f>AND(LCI_Table[[#This Row],[Show Feedstock]:[Conditional]],NOT(LCI_Table[[#This Row],[Hide Row]]))</f>
        <v>0</v>
      </c>
      <c r="O1266" s="14" t="b">
        <f>LCI_Table[[#This Row],[GREET1 Name Range]]=""</f>
        <v>0</v>
      </c>
      <c r="P1266" s="348" t="s">
        <v>14</v>
      </c>
      <c r="Q1266" s="14" t="s">
        <v>752</v>
      </c>
      <c r="R1266" s="14" t="s">
        <v>110</v>
      </c>
      <c r="S1266" s="37" cm="1">
        <f t="array" aca="1" ref="S12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66" s="346" t="s">
        <v>1561</v>
      </c>
      <c r="U1266" s="347">
        <f ca="1">S1266/BTU2kWh/S1253</f>
        <v>0</v>
      </c>
      <c r="V1266" s="347">
        <v>0</v>
      </c>
      <c r="W1266" s="347">
        <v>0</v>
      </c>
      <c r="X1266" s="14" t="s">
        <v>51</v>
      </c>
      <c r="Y1266" s="346" t="s">
        <v>413</v>
      </c>
      <c r="Z1266" s="14" t="str">
        <f>IF(ISBLANK(LCI_Table[[#This Row],[Notes for user]])," ",LCI_Table[[#This Row],[Notes for user]])</f>
        <v xml:space="preserve"> </v>
      </c>
      <c r="AA1266" s="14"/>
      <c r="AB1266" s="348"/>
      <c r="AC1266" s="346">
        <f ca="1">LCI_Table[[#This Row],[Default Calculated Value]]-LCI_Table[[#This Row],[Calculated Value]]</f>
        <v>0</v>
      </c>
    </row>
    <row r="1267" spans="1:29" x14ac:dyDescent="0.3">
      <c r="A12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dash_PalmHEFAICAOANLClosed pond _Palm FFB_Extraction</v>
      </c>
      <c r="B1267" s="348" t="s">
        <v>122</v>
      </c>
      <c r="C1267" s="348" t="s">
        <v>30</v>
      </c>
      <c r="D1267" s="14" t="s">
        <v>194</v>
      </c>
      <c r="E1267" s="48" t="s">
        <v>367</v>
      </c>
      <c r="F1267" s="348" t="s">
        <v>1357</v>
      </c>
      <c r="G1267" s="14" t="b">
        <f>OR(LCI_Table[[#This Row],[Feedstock]]="All",LCI_Table[[#This Row],[Feedstock]]=SelectedFeedstock)</f>
        <v>0</v>
      </c>
      <c r="H1267" s="14" t="b">
        <f>OR(LCI_Table[[#This Row],[Conversion]]="All",LCI_Table[[#This Row],[Conversion]]=SelectedConversion)</f>
        <v>1</v>
      </c>
      <c r="I1267" s="14" t="b">
        <f>OR(LCI_Table[[#This Row],[Data Set]]="all",LCI_Table[[#This Row],[Data Set]]=SelectedDataSet)</f>
        <v>0</v>
      </c>
      <c r="J1267" s="14" t="b">
        <f>OR(LCI_Table[[#This Row],[Technology]]="All",LCI_Table[[#This Row],[Technology]]=SelectedTechnology)</f>
        <v>0</v>
      </c>
      <c r="K1267" s="14" t="b">
        <f>OR(LCI_Table[[#This Row],[Data Source]]="All",LCI_Table[[#This Row],[Data Source]]=SelectedDataSource)</f>
        <v>0</v>
      </c>
      <c r="L1267" s="14" t="b">
        <f>TRUE</f>
        <v>1</v>
      </c>
      <c r="M1267" s="14" t="b">
        <f>(LCI_Table[[#This Row],[Dev Notes]]="Do not display")</f>
        <v>1</v>
      </c>
      <c r="N1267" s="14" t="b">
        <f>AND(LCI_Table[[#This Row],[Show Feedstock]:[Conditional]],NOT(LCI_Table[[#This Row],[Hide Row]]))</f>
        <v>0</v>
      </c>
      <c r="O1267" s="14" t="b">
        <f>LCI_Table[[#This Row],[GREET1 Name Range]]=""</f>
        <v>1</v>
      </c>
      <c r="P1267" s="348" t="s">
        <v>15</v>
      </c>
      <c r="Q1267" s="14" t="s">
        <v>361</v>
      </c>
      <c r="R1267" s="348" t="s">
        <v>358</v>
      </c>
      <c r="S1267" s="37" cm="1">
        <f t="array" aca="1" ref="S12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3.2425436790399464</v>
      </c>
      <c r="T1267" s="346" t="s">
        <v>2111</v>
      </c>
      <c r="U1267" s="347">
        <f ca="1">S1267/MT2lb</f>
        <v>1.4707930722042486E-3</v>
      </c>
      <c r="V1267" s="347">
        <v>3.2425436790399464</v>
      </c>
      <c r="W1267" s="347">
        <v>1.4707930722042486E-3</v>
      </c>
      <c r="X1267" s="14" t="s">
        <v>12</v>
      </c>
      <c r="Y1267" s="346" t="s">
        <v>891</v>
      </c>
      <c r="Z1267" s="14" t="str">
        <f>IF(ISBLANK(LCI_Table[[#This Row],[Notes for user]])," ",LCI_Table[[#This Row],[Notes for user]])</f>
        <v xml:space="preserve"> </v>
      </c>
      <c r="AA1267" s="348"/>
      <c r="AB1267" s="348" t="s">
        <v>1138</v>
      </c>
      <c r="AC1267" s="346">
        <f ca="1">LCI_Table[[#This Row],[Default Calculated Value]]-LCI_Table[[#This Row],[Calculated Value]]</f>
        <v>0</v>
      </c>
    </row>
    <row r="1268" spans="1:29" x14ac:dyDescent="0.3">
      <c r="A12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_Palm_Extraction_Residual_oilResidual oil</v>
      </c>
      <c r="B1268" s="348" t="s">
        <v>122</v>
      </c>
      <c r="C1268" s="348" t="s">
        <v>30</v>
      </c>
      <c r="D1268" s="14" t="s">
        <v>194</v>
      </c>
      <c r="E1268" s="48" t="s">
        <v>367</v>
      </c>
      <c r="F1268" s="348" t="s">
        <v>1357</v>
      </c>
      <c r="G1268" s="14" t="b">
        <f>OR(LCI_Table[[#This Row],[Feedstock]]="All",LCI_Table[[#This Row],[Feedstock]]=SelectedFeedstock)</f>
        <v>0</v>
      </c>
      <c r="H1268" s="14" t="b">
        <f>OR(LCI_Table[[#This Row],[Conversion]]="All",LCI_Table[[#This Row],[Conversion]]=SelectedConversion)</f>
        <v>1</v>
      </c>
      <c r="I1268" s="14" t="b">
        <f>OR(LCI_Table[[#This Row],[Data Set]]="all",LCI_Table[[#This Row],[Data Set]]=SelectedDataSet)</f>
        <v>0</v>
      </c>
      <c r="J1268" s="14" t="b">
        <f>OR(LCI_Table[[#This Row],[Technology]]="All",LCI_Table[[#This Row],[Technology]]=SelectedTechnology)</f>
        <v>0</v>
      </c>
      <c r="K1268" s="14" t="b">
        <f>OR(LCI_Table[[#This Row],[Data Source]]="All",LCI_Table[[#This Row],[Data Source]]=SelectedDataSource)</f>
        <v>0</v>
      </c>
      <c r="L1268" s="14" t="b">
        <f>TRUE</f>
        <v>1</v>
      </c>
      <c r="M1268" s="14" t="b">
        <f>(LCI_Table[[#This Row],[Dev Notes]]="Do not display")</f>
        <v>0</v>
      </c>
      <c r="N1268" s="14" t="b">
        <f>AND(LCI_Table[[#This Row],[Show Feedstock]:[Conditional]],NOT(LCI_Table[[#This Row],[Hide Row]]))</f>
        <v>0</v>
      </c>
      <c r="O1268" s="14" t="b">
        <f>LCI_Table[[#This Row],[GREET1 Name Range]]=""</f>
        <v>0</v>
      </c>
      <c r="P1268" s="348" t="s">
        <v>15</v>
      </c>
      <c r="Q1268" s="14" t="s">
        <v>748</v>
      </c>
      <c r="R1268" s="14" t="s">
        <v>115</v>
      </c>
      <c r="S1268" s="37" cm="1">
        <f t="array" aca="1" ref="S12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68" s="346" t="s">
        <v>2112</v>
      </c>
      <c r="U1268" s="347">
        <f ca="1">S1268*Fuel_Specs!$B$28</f>
        <v>0</v>
      </c>
      <c r="V1268" s="347">
        <v>0</v>
      </c>
      <c r="W1268" s="347">
        <v>0</v>
      </c>
      <c r="X1268" s="14" t="s">
        <v>5</v>
      </c>
      <c r="Y1268" s="346" t="s">
        <v>891</v>
      </c>
      <c r="Z1268" s="14" t="str">
        <f>IF(ISBLANK(LCI_Table[[#This Row],[Notes for user]])," ",LCI_Table[[#This Row],[Notes for user]])</f>
        <v xml:space="preserve"> </v>
      </c>
      <c r="AA1268" s="14"/>
      <c r="AB1268" s="348"/>
      <c r="AC1268" s="346">
        <f ca="1">LCI_Table[[#This Row],[Default Calculated Value]]-LCI_Table[[#This Row],[Calculated Value]]</f>
        <v>0</v>
      </c>
    </row>
    <row r="1269" spans="1:29" x14ac:dyDescent="0.3">
      <c r="A12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_Palm_Extraction_DieselDiesel</v>
      </c>
      <c r="B1269" s="348" t="s">
        <v>122</v>
      </c>
      <c r="C1269" s="348" t="s">
        <v>30</v>
      </c>
      <c r="D1269" s="14" t="s">
        <v>194</v>
      </c>
      <c r="E1269" s="48" t="s">
        <v>367</v>
      </c>
      <c r="F1269" s="348" t="s">
        <v>1357</v>
      </c>
      <c r="G1269" s="14" t="b">
        <f>OR(LCI_Table[[#This Row],[Feedstock]]="All",LCI_Table[[#This Row],[Feedstock]]=SelectedFeedstock)</f>
        <v>0</v>
      </c>
      <c r="H1269" s="14" t="b">
        <f>OR(LCI_Table[[#This Row],[Conversion]]="All",LCI_Table[[#This Row],[Conversion]]=SelectedConversion)</f>
        <v>1</v>
      </c>
      <c r="I1269" s="14" t="b">
        <f>OR(LCI_Table[[#This Row],[Data Set]]="all",LCI_Table[[#This Row],[Data Set]]=SelectedDataSet)</f>
        <v>0</v>
      </c>
      <c r="J1269" s="14" t="b">
        <f>OR(LCI_Table[[#This Row],[Technology]]="All",LCI_Table[[#This Row],[Technology]]=SelectedTechnology)</f>
        <v>0</v>
      </c>
      <c r="K1269" s="14" t="b">
        <f>OR(LCI_Table[[#This Row],[Data Source]]="All",LCI_Table[[#This Row],[Data Source]]=SelectedDataSource)</f>
        <v>0</v>
      </c>
      <c r="L1269" s="14" t="b">
        <f>TRUE</f>
        <v>1</v>
      </c>
      <c r="M1269" s="14" t="b">
        <f>(LCI_Table[[#This Row],[Dev Notes]]="Do not display")</f>
        <v>0</v>
      </c>
      <c r="N1269" s="14" t="b">
        <f>AND(LCI_Table[[#This Row],[Show Feedstock]:[Conditional]],NOT(LCI_Table[[#This Row],[Hide Row]]))</f>
        <v>0</v>
      </c>
      <c r="O1269" s="14" t="b">
        <f>LCI_Table[[#This Row],[GREET1 Name Range]]=""</f>
        <v>0</v>
      </c>
      <c r="P1269" s="348" t="s">
        <v>15</v>
      </c>
      <c r="Q1269" s="14" t="s">
        <v>740</v>
      </c>
      <c r="R1269" s="14" t="s">
        <v>106</v>
      </c>
      <c r="S1269" s="37" cm="1">
        <f t="array" aca="1" ref="S12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3.1491765822153571E-3</v>
      </c>
      <c r="T1269" s="346" t="s">
        <v>2112</v>
      </c>
      <c r="U1269" s="347">
        <f ca="1">S1269*Fuel_Specs!$B$19</f>
        <v>404.51173198556262</v>
      </c>
      <c r="V1269" s="347">
        <v>3.1491765822153571E-3</v>
      </c>
      <c r="W1269" s="347">
        <v>404.51173198556262</v>
      </c>
      <c r="X1269" s="14" t="s">
        <v>5</v>
      </c>
      <c r="Y1269" s="346" t="s">
        <v>891</v>
      </c>
      <c r="Z1269" s="14" t="str">
        <f>IF(ISBLANK(LCI_Table[[#This Row],[Notes for user]])," ",LCI_Table[[#This Row],[Notes for user]])</f>
        <v xml:space="preserve"> </v>
      </c>
      <c r="AA1269" s="14"/>
      <c r="AB1269" s="348"/>
      <c r="AC1269" s="346">
        <f ca="1">LCI_Table[[#This Row],[Default Calculated Value]]-LCI_Table[[#This Row],[Calculated Value]]</f>
        <v>0</v>
      </c>
    </row>
    <row r="1270" spans="1:29" x14ac:dyDescent="0.3">
      <c r="A12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_Palm_Extraction_GasolineGasoline</v>
      </c>
      <c r="B1270" s="348" t="s">
        <v>122</v>
      </c>
      <c r="C1270" s="348" t="s">
        <v>30</v>
      </c>
      <c r="D1270" s="14" t="s">
        <v>194</v>
      </c>
      <c r="E1270" s="48" t="s">
        <v>367</v>
      </c>
      <c r="F1270" s="348" t="s">
        <v>1357</v>
      </c>
      <c r="G1270" s="14" t="b">
        <f>OR(LCI_Table[[#This Row],[Feedstock]]="All",LCI_Table[[#This Row],[Feedstock]]=SelectedFeedstock)</f>
        <v>0</v>
      </c>
      <c r="H1270" s="14" t="b">
        <f>OR(LCI_Table[[#This Row],[Conversion]]="All",LCI_Table[[#This Row],[Conversion]]=SelectedConversion)</f>
        <v>1</v>
      </c>
      <c r="I1270" s="14" t="b">
        <f>OR(LCI_Table[[#This Row],[Data Set]]="all",LCI_Table[[#This Row],[Data Set]]=SelectedDataSet)</f>
        <v>0</v>
      </c>
      <c r="J1270" s="14" t="b">
        <f>OR(LCI_Table[[#This Row],[Technology]]="All",LCI_Table[[#This Row],[Technology]]=SelectedTechnology)</f>
        <v>0</v>
      </c>
      <c r="K1270" s="14" t="b">
        <f>OR(LCI_Table[[#This Row],[Data Source]]="All",LCI_Table[[#This Row],[Data Source]]=SelectedDataSource)</f>
        <v>0</v>
      </c>
      <c r="L1270" s="14" t="b">
        <f>TRUE</f>
        <v>1</v>
      </c>
      <c r="M1270" s="14" t="b">
        <f>(LCI_Table[[#This Row],[Dev Notes]]="Do not display")</f>
        <v>0</v>
      </c>
      <c r="N1270" s="14" t="b">
        <f>AND(LCI_Table[[#This Row],[Show Feedstock]:[Conditional]],NOT(LCI_Table[[#This Row],[Hide Row]]))</f>
        <v>0</v>
      </c>
      <c r="O1270" s="14" t="b">
        <f>LCI_Table[[#This Row],[GREET1 Name Range]]=""</f>
        <v>0</v>
      </c>
      <c r="P1270" s="348" t="s">
        <v>15</v>
      </c>
      <c r="Q1270" s="14" t="s">
        <v>743</v>
      </c>
      <c r="R1270" s="14" t="s">
        <v>107</v>
      </c>
      <c r="S1270" s="37" cm="1">
        <f t="array" aca="1" ref="S12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70" s="346" t="s">
        <v>2112</v>
      </c>
      <c r="U1270" s="347">
        <f ca="1">S1270*Fuel_Specs!$B$15</f>
        <v>0</v>
      </c>
      <c r="V1270" s="347">
        <v>0</v>
      </c>
      <c r="W1270" s="347">
        <v>0</v>
      </c>
      <c r="X1270" s="14" t="s">
        <v>5</v>
      </c>
      <c r="Y1270" s="346" t="s">
        <v>891</v>
      </c>
      <c r="Z1270" s="14" t="str">
        <f>IF(ISBLANK(LCI_Table[[#This Row],[Notes for user]])," ",LCI_Table[[#This Row],[Notes for user]])</f>
        <v xml:space="preserve"> </v>
      </c>
      <c r="AA1270" s="14"/>
      <c r="AB1270" s="348"/>
      <c r="AC1270" s="346">
        <f ca="1">LCI_Table[[#This Row],[Default Calculated Value]]-LCI_Table[[#This Row],[Calculated Value]]</f>
        <v>0</v>
      </c>
    </row>
    <row r="1271" spans="1:29" x14ac:dyDescent="0.3">
      <c r="A12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_Palm_Extraction_Natural_gasNatural gas</v>
      </c>
      <c r="B1271" s="348" t="s">
        <v>122</v>
      </c>
      <c r="C1271" s="348" t="s">
        <v>30</v>
      </c>
      <c r="D1271" s="14" t="s">
        <v>194</v>
      </c>
      <c r="E1271" s="48" t="s">
        <v>367</v>
      </c>
      <c r="F1271" s="348" t="s">
        <v>1357</v>
      </c>
      <c r="G1271" s="14" t="b">
        <f>OR(LCI_Table[[#This Row],[Feedstock]]="All",LCI_Table[[#This Row],[Feedstock]]=SelectedFeedstock)</f>
        <v>0</v>
      </c>
      <c r="H1271" s="14" t="b">
        <f>OR(LCI_Table[[#This Row],[Conversion]]="All",LCI_Table[[#This Row],[Conversion]]=SelectedConversion)</f>
        <v>1</v>
      </c>
      <c r="I1271" s="14" t="b">
        <f>OR(LCI_Table[[#This Row],[Data Set]]="all",LCI_Table[[#This Row],[Data Set]]=SelectedDataSet)</f>
        <v>0</v>
      </c>
      <c r="J1271" s="14" t="b">
        <f>OR(LCI_Table[[#This Row],[Technology]]="All",LCI_Table[[#This Row],[Technology]]=SelectedTechnology)</f>
        <v>0</v>
      </c>
      <c r="K1271" s="14" t="b">
        <f>OR(LCI_Table[[#This Row],[Data Source]]="All",LCI_Table[[#This Row],[Data Source]]=SelectedDataSource)</f>
        <v>0</v>
      </c>
      <c r="L1271" s="14" t="b">
        <f>TRUE</f>
        <v>1</v>
      </c>
      <c r="M1271" s="14" t="b">
        <f>(LCI_Table[[#This Row],[Dev Notes]]="Do not display")</f>
        <v>0</v>
      </c>
      <c r="N1271" s="14" t="b">
        <f>AND(LCI_Table[[#This Row],[Show Feedstock]:[Conditional]],NOT(LCI_Table[[#This Row],[Hide Row]]))</f>
        <v>0</v>
      </c>
      <c r="O1271" s="14" t="b">
        <f>LCI_Table[[#This Row],[GREET1 Name Range]]=""</f>
        <v>0</v>
      </c>
      <c r="P1271" s="348" t="s">
        <v>15</v>
      </c>
      <c r="Q1271" s="14" t="s">
        <v>747</v>
      </c>
      <c r="R1271" s="14" t="s">
        <v>108</v>
      </c>
      <c r="S1271" s="37" cm="1">
        <f t="array" aca="1" ref="S12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71" s="346" t="s">
        <v>2113</v>
      </c>
      <c r="U1271" s="347">
        <f ca="1">S1271*Fuel_Specs!$B$79</f>
        <v>0</v>
      </c>
      <c r="V1271" s="347">
        <v>0</v>
      </c>
      <c r="W1271" s="347">
        <v>0</v>
      </c>
      <c r="X1271" s="14" t="s">
        <v>351</v>
      </c>
      <c r="Y1271" s="346" t="s">
        <v>891</v>
      </c>
      <c r="Z1271" s="14" t="str">
        <f>IF(ISBLANK(LCI_Table[[#This Row],[Notes for user]])," ",LCI_Table[[#This Row],[Notes for user]])</f>
        <v xml:space="preserve"> </v>
      </c>
      <c r="AA1271" s="14"/>
      <c r="AB1271" s="348"/>
      <c r="AC1271" s="346">
        <f ca="1">LCI_Table[[#This Row],[Default Calculated Value]]-LCI_Table[[#This Row],[Calculated Value]]</f>
        <v>0</v>
      </c>
    </row>
    <row r="1272" spans="1:29" x14ac:dyDescent="0.3">
      <c r="A12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_Palm_Extraction_CoalCoal</v>
      </c>
      <c r="B1272" s="348" t="s">
        <v>122</v>
      </c>
      <c r="C1272" s="348" t="s">
        <v>30</v>
      </c>
      <c r="D1272" s="14" t="s">
        <v>194</v>
      </c>
      <c r="E1272" s="48" t="s">
        <v>367</v>
      </c>
      <c r="F1272" s="348" t="s">
        <v>1357</v>
      </c>
      <c r="G1272" s="14" t="b">
        <f>OR(LCI_Table[[#This Row],[Feedstock]]="All",LCI_Table[[#This Row],[Feedstock]]=SelectedFeedstock)</f>
        <v>0</v>
      </c>
      <c r="H1272" s="14" t="b">
        <f>OR(LCI_Table[[#This Row],[Conversion]]="All",LCI_Table[[#This Row],[Conversion]]=SelectedConversion)</f>
        <v>1</v>
      </c>
      <c r="I1272" s="14" t="b">
        <f>OR(LCI_Table[[#This Row],[Data Set]]="all",LCI_Table[[#This Row],[Data Set]]=SelectedDataSet)</f>
        <v>0</v>
      </c>
      <c r="J1272" s="14" t="b">
        <f>OR(LCI_Table[[#This Row],[Technology]]="All",LCI_Table[[#This Row],[Technology]]=SelectedTechnology)</f>
        <v>0</v>
      </c>
      <c r="K1272" s="14" t="b">
        <f>OR(LCI_Table[[#This Row],[Data Source]]="All",LCI_Table[[#This Row],[Data Source]]=SelectedDataSource)</f>
        <v>0</v>
      </c>
      <c r="L1272" s="14" t="b">
        <f>TRUE</f>
        <v>1</v>
      </c>
      <c r="M1272" s="14" t="b">
        <f>(LCI_Table[[#This Row],[Dev Notes]]="Do not display")</f>
        <v>0</v>
      </c>
      <c r="N1272" s="14" t="b">
        <f>AND(LCI_Table[[#This Row],[Show Feedstock]:[Conditional]],NOT(LCI_Table[[#This Row],[Hide Row]]))</f>
        <v>0</v>
      </c>
      <c r="O1272" s="14" t="b">
        <f>LCI_Table[[#This Row],[GREET1 Name Range]]=""</f>
        <v>0</v>
      </c>
      <c r="P1272" s="348" t="s">
        <v>15</v>
      </c>
      <c r="Q1272" s="14" t="s">
        <v>739</v>
      </c>
      <c r="R1272" s="14" t="s">
        <v>9</v>
      </c>
      <c r="S1272" s="37" cm="1">
        <f t="array" aca="1" ref="S12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72" s="346" t="s">
        <v>2114</v>
      </c>
      <c r="U1272" s="347">
        <f ca="1">S1272</f>
        <v>0</v>
      </c>
      <c r="V1272" s="347">
        <v>0</v>
      </c>
      <c r="W1272" s="347">
        <v>0</v>
      </c>
      <c r="X1272" s="14" t="s">
        <v>117</v>
      </c>
      <c r="Y1272" s="346" t="s">
        <v>891</v>
      </c>
      <c r="Z1272" s="14" t="str">
        <f>IF(ISBLANK(LCI_Table[[#This Row],[Notes for user]])," ",LCI_Table[[#This Row],[Notes for user]])</f>
        <v xml:space="preserve"> </v>
      </c>
      <c r="AA1272" s="14"/>
      <c r="AB1272" s="348"/>
      <c r="AC1272" s="346">
        <f ca="1">LCI_Table[[#This Row],[Default Calculated Value]]-LCI_Table[[#This Row],[Calculated Value]]</f>
        <v>0</v>
      </c>
    </row>
    <row r="1273" spans="1:29" x14ac:dyDescent="0.3">
      <c r="A12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_Palm_Extraction_LPGLPG</v>
      </c>
      <c r="B1273" s="348" t="s">
        <v>122</v>
      </c>
      <c r="C1273" s="348" t="s">
        <v>30</v>
      </c>
      <c r="D1273" s="14" t="s">
        <v>194</v>
      </c>
      <c r="E1273" s="48" t="s">
        <v>367</v>
      </c>
      <c r="F1273" s="348" t="s">
        <v>1357</v>
      </c>
      <c r="G1273" s="14" t="b">
        <f>OR(LCI_Table[[#This Row],[Feedstock]]="All",LCI_Table[[#This Row],[Feedstock]]=SelectedFeedstock)</f>
        <v>0</v>
      </c>
      <c r="H1273" s="14" t="b">
        <f>OR(LCI_Table[[#This Row],[Conversion]]="All",LCI_Table[[#This Row],[Conversion]]=SelectedConversion)</f>
        <v>1</v>
      </c>
      <c r="I1273" s="14" t="b">
        <f>OR(LCI_Table[[#This Row],[Data Set]]="all",LCI_Table[[#This Row],[Data Set]]=SelectedDataSet)</f>
        <v>0</v>
      </c>
      <c r="J1273" s="14" t="b">
        <f>OR(LCI_Table[[#This Row],[Technology]]="All",LCI_Table[[#This Row],[Technology]]=SelectedTechnology)</f>
        <v>0</v>
      </c>
      <c r="K1273" s="14" t="b">
        <f>OR(LCI_Table[[#This Row],[Data Source]]="All",LCI_Table[[#This Row],[Data Source]]=SelectedDataSource)</f>
        <v>0</v>
      </c>
      <c r="L1273" s="14" t="b">
        <f>TRUE</f>
        <v>1</v>
      </c>
      <c r="M1273" s="14" t="b">
        <f>(LCI_Table[[#This Row],[Dev Notes]]="Do not display")</f>
        <v>0</v>
      </c>
      <c r="N1273" s="14" t="b">
        <f>AND(LCI_Table[[#This Row],[Show Feedstock]:[Conditional]],NOT(LCI_Table[[#This Row],[Hide Row]]))</f>
        <v>0</v>
      </c>
      <c r="O1273" s="14" t="b">
        <f>LCI_Table[[#This Row],[GREET1 Name Range]]=""</f>
        <v>0</v>
      </c>
      <c r="P1273" s="348" t="s">
        <v>15</v>
      </c>
      <c r="Q1273" s="14" t="s">
        <v>745</v>
      </c>
      <c r="R1273" s="14" t="s">
        <v>109</v>
      </c>
      <c r="S1273" s="37" cm="1">
        <f t="array" aca="1" ref="S12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73" s="346" t="s">
        <v>2112</v>
      </c>
      <c r="U1273" s="347">
        <f ca="1">S1273*Fuel_Specs!$B$35</f>
        <v>0</v>
      </c>
      <c r="V1273" s="347">
        <v>0</v>
      </c>
      <c r="W1273" s="347">
        <v>0</v>
      </c>
      <c r="X1273" s="14" t="s">
        <v>5</v>
      </c>
      <c r="Y1273" s="346" t="s">
        <v>891</v>
      </c>
      <c r="Z1273" s="14" t="str">
        <f>IF(ISBLANK(LCI_Table[[#This Row],[Notes for user]])," ",LCI_Table[[#This Row],[Notes for user]])</f>
        <v xml:space="preserve"> </v>
      </c>
      <c r="AA1273" s="14"/>
      <c r="AB1273" s="348"/>
      <c r="AC1273" s="346">
        <f ca="1">LCI_Table[[#This Row],[Default Calculated Value]]-LCI_Table[[#This Row],[Calculated Value]]</f>
        <v>0</v>
      </c>
    </row>
    <row r="1274" spans="1:29" x14ac:dyDescent="0.3">
      <c r="A12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_Palm_Extraction_ElectricityElectricity</v>
      </c>
      <c r="B1274" s="348" t="s">
        <v>122</v>
      </c>
      <c r="C1274" s="348" t="s">
        <v>30</v>
      </c>
      <c r="D1274" s="14" t="s">
        <v>194</v>
      </c>
      <c r="E1274" s="48" t="s">
        <v>367</v>
      </c>
      <c r="F1274" s="348" t="s">
        <v>1357</v>
      </c>
      <c r="G1274" s="14" t="b">
        <f>OR(LCI_Table[[#This Row],[Feedstock]]="All",LCI_Table[[#This Row],[Feedstock]]=SelectedFeedstock)</f>
        <v>0</v>
      </c>
      <c r="H1274" s="14" t="b">
        <f>OR(LCI_Table[[#This Row],[Conversion]]="All",LCI_Table[[#This Row],[Conversion]]=SelectedConversion)</f>
        <v>1</v>
      </c>
      <c r="I1274" s="14" t="b">
        <f>OR(LCI_Table[[#This Row],[Data Set]]="all",LCI_Table[[#This Row],[Data Set]]=SelectedDataSet)</f>
        <v>0</v>
      </c>
      <c r="J1274" s="14" t="b">
        <f>OR(LCI_Table[[#This Row],[Technology]]="All",LCI_Table[[#This Row],[Technology]]=SelectedTechnology)</f>
        <v>0</v>
      </c>
      <c r="K1274" s="14" t="b">
        <f>OR(LCI_Table[[#This Row],[Data Source]]="All",LCI_Table[[#This Row],[Data Source]]=SelectedDataSource)</f>
        <v>0</v>
      </c>
      <c r="L1274" s="14" t="b">
        <f>TRUE</f>
        <v>1</v>
      </c>
      <c r="M1274" s="14" t="b">
        <f>(LCI_Table[[#This Row],[Dev Notes]]="Do not display")</f>
        <v>0</v>
      </c>
      <c r="N1274" s="14" t="b">
        <f>AND(LCI_Table[[#This Row],[Show Feedstock]:[Conditional]],NOT(LCI_Table[[#This Row],[Hide Row]]))</f>
        <v>0</v>
      </c>
      <c r="O1274" s="14" t="b">
        <f>LCI_Table[[#This Row],[GREET1 Name Range]]=""</f>
        <v>0</v>
      </c>
      <c r="P1274" s="348" t="s">
        <v>15</v>
      </c>
      <c r="Q1274" s="14" t="s">
        <v>741</v>
      </c>
      <c r="R1274" s="14" t="s">
        <v>110</v>
      </c>
      <c r="S1274" s="37" cm="1">
        <f t="array" aca="1" ref="S12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1.5201738687500001E-2</v>
      </c>
      <c r="T1274" s="346" t="s">
        <v>2115</v>
      </c>
      <c r="U1274" s="347">
        <f ca="1">S1274/BTU2kWh</f>
        <v>51.870485600359451</v>
      </c>
      <c r="V1274" s="347">
        <v>1.5201738687500001E-2</v>
      </c>
      <c r="W1274" s="347">
        <v>51.870485600359451</v>
      </c>
      <c r="X1274" s="14" t="s">
        <v>51</v>
      </c>
      <c r="Y1274" s="346" t="s">
        <v>891</v>
      </c>
      <c r="Z1274" s="14" t="str">
        <f>IF(ISBLANK(LCI_Table[[#This Row],[Notes for user]])," ",LCI_Table[[#This Row],[Notes for user]])</f>
        <v xml:space="preserve"> </v>
      </c>
      <c r="AA1274" s="14"/>
      <c r="AB1274" s="348"/>
      <c r="AC1274" s="346">
        <f ca="1">LCI_Table[[#This Row],[Default Calculated Value]]-LCI_Table[[#This Row],[Calculated Value]]</f>
        <v>0</v>
      </c>
    </row>
    <row r="1275" spans="1:29" x14ac:dyDescent="0.3">
      <c r="A12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_Palm_Extraction_N_hexaneN-hexane</v>
      </c>
      <c r="B1275" s="348" t="s">
        <v>122</v>
      </c>
      <c r="C1275" s="348" t="s">
        <v>30</v>
      </c>
      <c r="D1275" s="14" t="s">
        <v>194</v>
      </c>
      <c r="E1275" s="48" t="s">
        <v>367</v>
      </c>
      <c r="F1275" s="348" t="s">
        <v>1357</v>
      </c>
      <c r="G1275" s="14" t="b">
        <f>OR(LCI_Table[[#This Row],[Feedstock]]="All",LCI_Table[[#This Row],[Feedstock]]=SelectedFeedstock)</f>
        <v>0</v>
      </c>
      <c r="H1275" s="14" t="b">
        <f>OR(LCI_Table[[#This Row],[Conversion]]="All",LCI_Table[[#This Row],[Conversion]]=SelectedConversion)</f>
        <v>1</v>
      </c>
      <c r="I1275" s="14" t="b">
        <f>OR(LCI_Table[[#This Row],[Data Set]]="all",LCI_Table[[#This Row],[Data Set]]=SelectedDataSet)</f>
        <v>0</v>
      </c>
      <c r="J1275" s="14" t="b">
        <f>OR(LCI_Table[[#This Row],[Technology]]="All",LCI_Table[[#This Row],[Technology]]=SelectedTechnology)</f>
        <v>0</v>
      </c>
      <c r="K1275" s="14" t="b">
        <f>OR(LCI_Table[[#This Row],[Data Source]]="All",LCI_Table[[#This Row],[Data Source]]=SelectedDataSource)</f>
        <v>0</v>
      </c>
      <c r="L1275" s="14" t="b">
        <f>TRUE</f>
        <v>1</v>
      </c>
      <c r="M1275" s="14" t="b">
        <f>(LCI_Table[[#This Row],[Dev Notes]]="Do not display")</f>
        <v>0</v>
      </c>
      <c r="N1275" s="14" t="b">
        <f>AND(LCI_Table[[#This Row],[Show Feedstock]:[Conditional]],NOT(LCI_Table[[#This Row],[Hide Row]]))</f>
        <v>0</v>
      </c>
      <c r="O1275" s="14" t="b">
        <f>LCI_Table[[#This Row],[GREET1 Name Range]]=""</f>
        <v>0</v>
      </c>
      <c r="P1275" s="348" t="s">
        <v>15</v>
      </c>
      <c r="Q1275" s="14" t="s">
        <v>746</v>
      </c>
      <c r="R1275" s="14" t="s">
        <v>116</v>
      </c>
      <c r="S1275" s="37" cm="1">
        <f t="array" aca="1" ref="S12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75" s="346" t="s">
        <v>2111</v>
      </c>
      <c r="U1275" s="347">
        <f ca="1">S1275*Fuel_Specs!$B$58*ton2lb</f>
        <v>0</v>
      </c>
      <c r="V1275" s="347">
        <v>0</v>
      </c>
      <c r="W1275" s="347">
        <v>0</v>
      </c>
      <c r="X1275" s="14" t="s">
        <v>12</v>
      </c>
      <c r="Y1275" s="346" t="s">
        <v>891</v>
      </c>
      <c r="Z1275" s="14" t="str">
        <f>IF(ISBLANK(LCI_Table[[#This Row],[Notes for user]])," ",LCI_Table[[#This Row],[Notes for user]])</f>
        <v xml:space="preserve"> </v>
      </c>
      <c r="AA1275" s="14"/>
      <c r="AB1275" s="348"/>
      <c r="AC1275" s="346">
        <f ca="1">LCI_Table[[#This Row],[Default Calculated Value]]-LCI_Table[[#This Row],[Calculated Value]]</f>
        <v>0</v>
      </c>
    </row>
    <row r="1276" spans="1:29" x14ac:dyDescent="0.3">
      <c r="A12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_Palm_Extraction_Forest_residueForest residue</v>
      </c>
      <c r="B1276" s="348" t="s">
        <v>122</v>
      </c>
      <c r="C1276" s="348" t="s">
        <v>30</v>
      </c>
      <c r="D1276" s="14" t="s">
        <v>194</v>
      </c>
      <c r="E1276" s="48" t="s">
        <v>367</v>
      </c>
      <c r="F1276" s="348" t="s">
        <v>1357</v>
      </c>
      <c r="G1276" s="14" t="b">
        <f>OR(LCI_Table[[#This Row],[Feedstock]]="All",LCI_Table[[#This Row],[Feedstock]]=SelectedFeedstock)</f>
        <v>0</v>
      </c>
      <c r="H1276" s="14" t="b">
        <f>OR(LCI_Table[[#This Row],[Conversion]]="All",LCI_Table[[#This Row],[Conversion]]=SelectedConversion)</f>
        <v>1</v>
      </c>
      <c r="I1276" s="14" t="b">
        <f>OR(LCI_Table[[#This Row],[Data Set]]="all",LCI_Table[[#This Row],[Data Set]]=SelectedDataSet)</f>
        <v>0</v>
      </c>
      <c r="J1276" s="14" t="b">
        <f>OR(LCI_Table[[#This Row],[Technology]]="All",LCI_Table[[#This Row],[Technology]]=SelectedTechnology)</f>
        <v>0</v>
      </c>
      <c r="K1276" s="14" t="b">
        <f>OR(LCI_Table[[#This Row],[Data Source]]="All",LCI_Table[[#This Row],[Data Source]]=SelectedDataSource)</f>
        <v>0</v>
      </c>
      <c r="L1276" s="14" t="b">
        <f>TRUE</f>
        <v>1</v>
      </c>
      <c r="M1276" s="14" t="b">
        <f>(LCI_Table[[#This Row],[Dev Notes]]="Do not display")</f>
        <v>0</v>
      </c>
      <c r="N1276" s="14" t="b">
        <f>AND(LCI_Table[[#This Row],[Show Feedstock]:[Conditional]],NOT(LCI_Table[[#This Row],[Hide Row]]))</f>
        <v>0</v>
      </c>
      <c r="O1276" s="14" t="b">
        <f>LCI_Table[[#This Row],[GREET1 Name Range]]=""</f>
        <v>0</v>
      </c>
      <c r="P1276" s="348" t="s">
        <v>15</v>
      </c>
      <c r="Q1276" s="14" t="s">
        <v>742</v>
      </c>
      <c r="R1276" s="14" t="s">
        <v>316</v>
      </c>
      <c r="S1276" s="37" cm="1">
        <f t="array" aca="1" ref="S12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76" s="346" t="s">
        <v>2111</v>
      </c>
      <c r="U1276" s="347">
        <f ca="1">S1276*Fuel_Specs!$B$100*ton2lb</f>
        <v>0</v>
      </c>
      <c r="V1276" s="347">
        <v>0</v>
      </c>
      <c r="W1276" s="347">
        <v>0</v>
      </c>
      <c r="X1276" s="14" t="s">
        <v>12</v>
      </c>
      <c r="Y1276" s="346" t="s">
        <v>891</v>
      </c>
      <c r="Z1276" s="14" t="str">
        <f>IF(ISBLANK(LCI_Table[[#This Row],[Notes for user]])," ",LCI_Table[[#This Row],[Notes for user]])</f>
        <v xml:space="preserve"> </v>
      </c>
      <c r="AA1276" s="14"/>
      <c r="AB1276" s="348"/>
      <c r="AC1276" s="346">
        <f ca="1">LCI_Table[[#This Row],[Default Calculated Value]]-LCI_Table[[#This Row],[Calculated Value]]</f>
        <v>0</v>
      </c>
    </row>
    <row r="1277" spans="1:29" x14ac:dyDescent="0.3">
      <c r="A12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_Palm_Extraction_Landfill_gasLandfill gas</v>
      </c>
      <c r="B1277" s="348" t="s">
        <v>122</v>
      </c>
      <c r="C1277" s="348" t="s">
        <v>30</v>
      </c>
      <c r="D1277" s="14" t="s">
        <v>194</v>
      </c>
      <c r="E1277" s="48" t="s">
        <v>367</v>
      </c>
      <c r="F1277" s="348" t="s">
        <v>1357</v>
      </c>
      <c r="G1277" s="14" t="b">
        <f>OR(LCI_Table[[#This Row],[Feedstock]]="All",LCI_Table[[#This Row],[Feedstock]]=SelectedFeedstock)</f>
        <v>0</v>
      </c>
      <c r="H1277" s="14" t="b">
        <f>OR(LCI_Table[[#This Row],[Conversion]]="All",LCI_Table[[#This Row],[Conversion]]=SelectedConversion)</f>
        <v>1</v>
      </c>
      <c r="I1277" s="14" t="b">
        <f>OR(LCI_Table[[#This Row],[Data Set]]="all",LCI_Table[[#This Row],[Data Set]]=SelectedDataSet)</f>
        <v>0</v>
      </c>
      <c r="J1277" s="14" t="b">
        <f>OR(LCI_Table[[#This Row],[Technology]]="All",LCI_Table[[#This Row],[Technology]]=SelectedTechnology)</f>
        <v>0</v>
      </c>
      <c r="K1277" s="14" t="b">
        <f>OR(LCI_Table[[#This Row],[Data Source]]="All",LCI_Table[[#This Row],[Data Source]]=SelectedDataSource)</f>
        <v>0</v>
      </c>
      <c r="L1277" s="14" t="b">
        <f>TRUE</f>
        <v>1</v>
      </c>
      <c r="M1277" s="14" t="b">
        <f>(LCI_Table[[#This Row],[Dev Notes]]="Do not display")</f>
        <v>0</v>
      </c>
      <c r="N1277" s="14" t="b">
        <f>AND(LCI_Table[[#This Row],[Show Feedstock]:[Conditional]],NOT(LCI_Table[[#This Row],[Hide Row]]))</f>
        <v>0</v>
      </c>
      <c r="O1277" s="14" t="b">
        <f>LCI_Table[[#This Row],[GREET1 Name Range]]=""</f>
        <v>0</v>
      </c>
      <c r="P1277" s="348" t="s">
        <v>15</v>
      </c>
      <c r="Q1277" s="14" t="s">
        <v>744</v>
      </c>
      <c r="R1277" s="14" t="s">
        <v>130</v>
      </c>
      <c r="S1277" s="37" cm="1">
        <f t="array" aca="1" ref="S12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77" s="346" t="s">
        <v>2113</v>
      </c>
      <c r="U1277" s="347">
        <f ca="1">S1277*Fuel_Specs!$B$79</f>
        <v>0</v>
      </c>
      <c r="V1277" s="347">
        <v>0</v>
      </c>
      <c r="W1277" s="347">
        <v>0</v>
      </c>
      <c r="X1277" s="14" t="s">
        <v>351</v>
      </c>
      <c r="Y1277" s="346" t="s">
        <v>891</v>
      </c>
      <c r="Z1277" s="14" t="str">
        <f>IF(ISBLANK(LCI_Table[[#This Row],[Notes for user]])," ",LCI_Table[[#This Row],[Notes for user]])</f>
        <v xml:space="preserve"> </v>
      </c>
      <c r="AA1277" s="14"/>
      <c r="AB1277" s="348"/>
      <c r="AC1277" s="346">
        <f ca="1">LCI_Table[[#This Row],[Default Calculated Value]]-LCI_Table[[#This Row],[Calculated Value]]</f>
        <v>0</v>
      </c>
    </row>
    <row r="1278" spans="1:29" x14ac:dyDescent="0.3">
      <c r="A12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_Palm_CH4_SelectorOpen/closed CH4 selector</v>
      </c>
      <c r="B1278" s="14" t="s">
        <v>122</v>
      </c>
      <c r="C1278" s="14" t="s">
        <v>30</v>
      </c>
      <c r="D1278" s="14" t="s">
        <v>194</v>
      </c>
      <c r="E1278" s="48" t="s">
        <v>367</v>
      </c>
      <c r="F1278" s="14" t="s">
        <v>1357</v>
      </c>
      <c r="G1278" s="14" t="b">
        <f>OR(LCI_Table[[#This Row],[Feedstock]]="All",LCI_Table[[#This Row],[Feedstock]]=SelectedFeedstock)</f>
        <v>0</v>
      </c>
      <c r="H1278" s="14" t="b">
        <f>OR(LCI_Table[[#This Row],[Conversion]]="All",LCI_Table[[#This Row],[Conversion]]=SelectedConversion)</f>
        <v>1</v>
      </c>
      <c r="I1278" s="14" t="b">
        <f>OR(LCI_Table[[#This Row],[Data Set]]="all",LCI_Table[[#This Row],[Data Set]]=SelectedDataSet)</f>
        <v>0</v>
      </c>
      <c r="J1278" s="14" t="b">
        <f>OR(LCI_Table[[#This Row],[Technology]]="All",LCI_Table[[#This Row],[Technology]]=SelectedTechnology)</f>
        <v>0</v>
      </c>
      <c r="K1278" s="14" t="b">
        <f>OR(LCI_Table[[#This Row],[Data Source]]="All",LCI_Table[[#This Row],[Data Source]]=SelectedDataSource)</f>
        <v>0</v>
      </c>
      <c r="L1278" s="14" t="b">
        <f>TRUE</f>
        <v>1</v>
      </c>
      <c r="M1278" s="14" t="b">
        <f>(LCI_Table[[#This Row],[Dev Notes]]="Do not display")</f>
        <v>1</v>
      </c>
      <c r="N1278" s="14" t="b">
        <f>AND(LCI_Table[[#This Row],[Show Feedstock]:[Conditional]],NOT(LCI_Table[[#This Row],[Hide Row]]))</f>
        <v>0</v>
      </c>
      <c r="O1278" s="14" t="b">
        <f>LCI_Table[[#This Row],[GREET1 Name Range]]=""</f>
        <v>0</v>
      </c>
      <c r="P1278" s="14" t="s">
        <v>15</v>
      </c>
      <c r="Q1278" s="14" t="s">
        <v>737</v>
      </c>
      <c r="R1278" s="14" t="s">
        <v>1127</v>
      </c>
      <c r="S1278" s="37" cm="1">
        <f t="array" aca="1" ref="S12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v>
      </c>
      <c r="T1278" s="346" t="s">
        <v>2117</v>
      </c>
      <c r="U1278" s="352">
        <v>2</v>
      </c>
      <c r="V1278" s="352">
        <v>2</v>
      </c>
      <c r="W1278" s="352">
        <v>2</v>
      </c>
      <c r="X1278" s="14"/>
      <c r="Y1278" s="346" t="s">
        <v>891</v>
      </c>
      <c r="Z1278" s="14" t="str">
        <f>IF(ISBLANK(LCI_Table[[#This Row],[Notes for user]])," ",LCI_Table[[#This Row],[Notes for user]])</f>
        <v xml:space="preserve"> </v>
      </c>
      <c r="AA1278" s="14"/>
      <c r="AB1278" s="348" t="s">
        <v>1138</v>
      </c>
      <c r="AC1278" s="346">
        <f>LCI_Table[[#This Row],[Default Calculated Value]]-LCI_Table[[#This Row],[Calculated Value]]</f>
        <v>0</v>
      </c>
    </row>
    <row r="1279" spans="1:29" x14ac:dyDescent="0.3">
      <c r="A12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_Palm_Extraction_CH4_POMECH4 (POME emissions)</v>
      </c>
      <c r="B1279" s="14" t="s">
        <v>122</v>
      </c>
      <c r="C1279" s="14" t="s">
        <v>30</v>
      </c>
      <c r="D1279" s="14" t="s">
        <v>194</v>
      </c>
      <c r="E1279" s="48" t="s">
        <v>367</v>
      </c>
      <c r="F1279" s="14" t="s">
        <v>1357</v>
      </c>
      <c r="G1279" s="14" t="b">
        <f>OR(LCI_Table[[#This Row],[Feedstock]]="All",LCI_Table[[#This Row],[Feedstock]]=SelectedFeedstock)</f>
        <v>0</v>
      </c>
      <c r="H1279" s="14" t="b">
        <f>OR(LCI_Table[[#This Row],[Conversion]]="All",LCI_Table[[#This Row],[Conversion]]=SelectedConversion)</f>
        <v>1</v>
      </c>
      <c r="I1279" s="14" t="b">
        <f>OR(LCI_Table[[#This Row],[Data Set]]="all",LCI_Table[[#This Row],[Data Set]]=SelectedDataSet)</f>
        <v>0</v>
      </c>
      <c r="J1279" s="14" t="b">
        <f>OR(LCI_Table[[#This Row],[Technology]]="All",LCI_Table[[#This Row],[Technology]]=SelectedTechnology)</f>
        <v>0</v>
      </c>
      <c r="K1279" s="14" t="b">
        <f>OR(LCI_Table[[#This Row],[Data Source]]="All",LCI_Table[[#This Row],[Data Source]]=SelectedDataSource)</f>
        <v>0</v>
      </c>
      <c r="L1279" s="14" t="b">
        <f>TRUE</f>
        <v>1</v>
      </c>
      <c r="M1279" s="14" t="b">
        <f>(LCI_Table[[#This Row],[Dev Notes]]="Do not display")</f>
        <v>1</v>
      </c>
      <c r="N1279" s="14" t="b">
        <f>AND(LCI_Table[[#This Row],[Show Feedstock]:[Conditional]],NOT(LCI_Table[[#This Row],[Hide Row]]))</f>
        <v>0</v>
      </c>
      <c r="O1279" s="14" t="b">
        <f>LCI_Table[[#This Row],[GREET1 Name Range]]=""</f>
        <v>0</v>
      </c>
      <c r="P1279" s="14" t="s">
        <v>15</v>
      </c>
      <c r="Q1279" s="14" t="s">
        <v>738</v>
      </c>
      <c r="R1279" s="14" t="s">
        <v>440</v>
      </c>
      <c r="S1279" s="37" cm="1">
        <f t="array" aca="1" ref="S12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2.1227969001895435</v>
      </c>
      <c r="T1279" s="346" t="s">
        <v>2118</v>
      </c>
      <c r="U1279" s="347">
        <f ca="1">S1279</f>
        <v>2.1227969001895435</v>
      </c>
      <c r="V1279" s="347">
        <v>2.1227969001895435</v>
      </c>
      <c r="W1279" s="347">
        <v>2.1227969001895435</v>
      </c>
      <c r="X1279" s="14" t="s">
        <v>6</v>
      </c>
      <c r="Y1279" s="346" t="s">
        <v>891</v>
      </c>
      <c r="Z1279" s="14" t="str">
        <f>IF(ISBLANK(LCI_Table[[#This Row],[Notes for user]])," ",LCI_Table[[#This Row],[Notes for user]])</f>
        <v xml:space="preserve"> </v>
      </c>
      <c r="AA1279" s="14"/>
      <c r="AB1279" s="14" t="s">
        <v>1138</v>
      </c>
      <c r="AC1279" s="346">
        <f ca="1">LCI_Table[[#This Row],[Default Calculated Value]]-LCI_Table[[#This Row],[Calculated Value]]</f>
        <v>0</v>
      </c>
    </row>
    <row r="1280" spans="1:29" x14ac:dyDescent="0.3">
      <c r="A12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_Palm_Oil_Extraction_Energy_AllocationAllocation factor</v>
      </c>
      <c r="B1280" s="14" t="s">
        <v>122</v>
      </c>
      <c r="C1280" s="14" t="s">
        <v>30</v>
      </c>
      <c r="D1280" s="14" t="s">
        <v>194</v>
      </c>
      <c r="E1280" s="48" t="s">
        <v>367</v>
      </c>
      <c r="F1280" s="14" t="s">
        <v>1358</v>
      </c>
      <c r="G1280" s="14" t="b">
        <f>OR(LCI_Table[[#This Row],[Feedstock]]="All",LCI_Table[[#This Row],[Feedstock]]=SelectedFeedstock)</f>
        <v>0</v>
      </c>
      <c r="H1280" s="14" t="b">
        <f>OR(LCI_Table[[#This Row],[Conversion]]="All",LCI_Table[[#This Row],[Conversion]]=SelectedConversion)</f>
        <v>1</v>
      </c>
      <c r="I1280" s="14" t="b">
        <f>OR(LCI_Table[[#This Row],[Data Set]]="all",LCI_Table[[#This Row],[Data Set]]=SelectedDataSet)</f>
        <v>0</v>
      </c>
      <c r="J1280" s="14" t="b">
        <f>OR(LCI_Table[[#This Row],[Technology]]="All",LCI_Table[[#This Row],[Technology]]=SelectedTechnology)</f>
        <v>0</v>
      </c>
      <c r="K1280" s="14" t="b">
        <f>OR(LCI_Table[[#This Row],[Data Source]]="All",LCI_Table[[#This Row],[Data Source]]=SelectedDataSource)</f>
        <v>0</v>
      </c>
      <c r="L1280" s="14" t="b">
        <f>TRUE</f>
        <v>1</v>
      </c>
      <c r="M1280" s="14" t="b">
        <f>(LCI_Table[[#This Row],[Dev Notes]]="Do not display")</f>
        <v>0</v>
      </c>
      <c r="N1280" s="14" t="b">
        <f>AND(LCI_Table[[#This Row],[Show Feedstock]:[Conditional]],NOT(LCI_Table[[#This Row],[Hide Row]]))</f>
        <v>0</v>
      </c>
      <c r="O1280" s="14" t="b">
        <f>LCI_Table[[#This Row],[GREET1 Name Range]]=""</f>
        <v>0</v>
      </c>
      <c r="P1280" s="14" t="s">
        <v>15</v>
      </c>
      <c r="Q1280" s="14" t="s">
        <v>1106</v>
      </c>
      <c r="R1280" s="14" t="s">
        <v>1344</v>
      </c>
      <c r="S1280" s="37" cm="1">
        <f t="array" aca="1" ref="S12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98.100178806700498</v>
      </c>
      <c r="T1280" s="346" t="s">
        <v>1345</v>
      </c>
      <c r="U1280" s="347">
        <f ca="1">LCI_Table[[#This Row],[Dashboard Value]]/100</f>
        <v>0.981001788067005</v>
      </c>
      <c r="V1280" s="347">
        <v>98.100178806700498</v>
      </c>
      <c r="W1280" s="347">
        <v>0.981001788067005</v>
      </c>
      <c r="X1280" s="14" t="s">
        <v>1345</v>
      </c>
      <c r="Y1280" s="346" t="s">
        <v>891</v>
      </c>
      <c r="Z1280" s="14" t="str">
        <f>IF(ISBLANK(LCI_Table[[#This Row],[Notes for user]])," ",LCI_Table[[#This Row],[Notes for user]])</f>
        <v>Allocation to palm oil (energy allocation)</v>
      </c>
      <c r="AA1280" s="14" t="s">
        <v>1355</v>
      </c>
      <c r="AB1280" s="14"/>
      <c r="AC1280" s="346">
        <f ca="1">LCI_Table[[#This Row],[Default Calculated Value]]-LCI_Table[[#This Row],[Calculated Value]]</f>
        <v>0</v>
      </c>
    </row>
    <row r="1281" spans="1:29" x14ac:dyDescent="0.3">
      <c r="A12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_HEFA_feed_usagePalm oil</v>
      </c>
      <c r="B1281" s="14" t="s">
        <v>122</v>
      </c>
      <c r="C1281" s="14" t="s">
        <v>30</v>
      </c>
      <c r="D1281" s="14" t="s">
        <v>194</v>
      </c>
      <c r="E1281" s="48" t="s">
        <v>367</v>
      </c>
      <c r="F1281" s="14" t="s">
        <v>1357</v>
      </c>
      <c r="G1281" s="14" t="b">
        <f>OR(LCI_Table[[#This Row],[Feedstock]]="All",LCI_Table[[#This Row],[Feedstock]]=SelectedFeedstock)</f>
        <v>0</v>
      </c>
      <c r="H1281" s="14" t="b">
        <f>OR(LCI_Table[[#This Row],[Conversion]]="All",LCI_Table[[#This Row],[Conversion]]=SelectedConversion)</f>
        <v>1</v>
      </c>
      <c r="I1281" s="14" t="b">
        <f>OR(LCI_Table[[#This Row],[Data Set]]="all",LCI_Table[[#This Row],[Data Set]]=SelectedDataSet)</f>
        <v>0</v>
      </c>
      <c r="J1281" s="14" t="b">
        <f>OR(LCI_Table[[#This Row],[Technology]]="All",LCI_Table[[#This Row],[Technology]]=SelectedTechnology)</f>
        <v>0</v>
      </c>
      <c r="K1281" s="14" t="b">
        <f>OR(LCI_Table[[#This Row],[Data Source]]="All",LCI_Table[[#This Row],[Data Source]]=SelectedDataSource)</f>
        <v>0</v>
      </c>
      <c r="L1281" s="14" t="b">
        <f>TRUE</f>
        <v>1</v>
      </c>
      <c r="M1281" s="14" t="b">
        <f>(LCI_Table[[#This Row],[Dev Notes]]="Do not display")</f>
        <v>0</v>
      </c>
      <c r="N1281" s="14" t="b">
        <f>AND(LCI_Table[[#This Row],[Show Feedstock]:[Conditional]],NOT(LCI_Table[[#This Row],[Hide Row]]))</f>
        <v>0</v>
      </c>
      <c r="O1281" s="14" t="b">
        <f>LCI_Table[[#This Row],[GREET1 Name Range]]=""</f>
        <v>0</v>
      </c>
      <c r="P1281" s="14" t="s">
        <v>1448</v>
      </c>
      <c r="Q1281" s="14" t="s">
        <v>933</v>
      </c>
      <c r="R1281" s="14" t="s">
        <v>360</v>
      </c>
      <c r="S1281" s="37" cm="1">
        <f t="array" aca="1" ref="S12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62.29565970924795</v>
      </c>
      <c r="T1281" s="346" t="s">
        <v>2119</v>
      </c>
      <c r="U1281" s="347">
        <f ca="1">S1281*lb2g/Fuel_Specs!$E$48*Fuel_Specs!$B$48*BTU2mmBTU/Allocations!$O$121</f>
        <v>1.2700000000000002</v>
      </c>
      <c r="V1281" s="347">
        <v>62.29565970924795</v>
      </c>
      <c r="W1281" s="347">
        <v>1.2700000000000002</v>
      </c>
      <c r="X1281" s="14" t="s">
        <v>12</v>
      </c>
      <c r="Y1281" s="346" t="s">
        <v>416</v>
      </c>
      <c r="Z1281" s="14" t="str">
        <f>IF(ISBLANK(LCI_Table[[#This Row],[Notes for user]])," ",LCI_Table[[#This Row],[Notes for user]])</f>
        <v xml:space="preserve"> </v>
      </c>
      <c r="AA1281" s="358"/>
      <c r="AB1281" s="14"/>
      <c r="AC1281" s="346">
        <f ca="1">LCI_Table[[#This Row],[Default Calculated Value]]-LCI_Table[[#This Row],[Calculated Value]]</f>
        <v>0</v>
      </c>
    </row>
    <row r="1282" spans="1:29" x14ac:dyDescent="0.3">
      <c r="A12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_Palm_HEFA_Natural_gasNatural gas</v>
      </c>
      <c r="B1282" s="14" t="s">
        <v>122</v>
      </c>
      <c r="C1282" s="14" t="s">
        <v>30</v>
      </c>
      <c r="D1282" s="14" t="s">
        <v>194</v>
      </c>
      <c r="E1282" s="48" t="s">
        <v>367</v>
      </c>
      <c r="F1282" s="14" t="s">
        <v>1357</v>
      </c>
      <c r="G1282" s="14" t="b">
        <f>OR(LCI_Table[[#This Row],[Feedstock]]="All",LCI_Table[[#This Row],[Feedstock]]=SelectedFeedstock)</f>
        <v>0</v>
      </c>
      <c r="H1282" s="14" t="b">
        <f>OR(LCI_Table[[#This Row],[Conversion]]="All",LCI_Table[[#This Row],[Conversion]]=SelectedConversion)</f>
        <v>1</v>
      </c>
      <c r="I1282" s="14" t="b">
        <f>OR(LCI_Table[[#This Row],[Data Set]]="all",LCI_Table[[#This Row],[Data Set]]=SelectedDataSet)</f>
        <v>0</v>
      </c>
      <c r="J1282" s="14" t="b">
        <f>OR(LCI_Table[[#This Row],[Technology]]="All",LCI_Table[[#This Row],[Technology]]=SelectedTechnology)</f>
        <v>0</v>
      </c>
      <c r="K1282" s="14" t="b">
        <f>OR(LCI_Table[[#This Row],[Data Source]]="All",LCI_Table[[#This Row],[Data Source]]=SelectedDataSource)</f>
        <v>0</v>
      </c>
      <c r="L1282" s="14" t="b">
        <f>TRUE</f>
        <v>1</v>
      </c>
      <c r="M1282" s="14" t="b">
        <f>(LCI_Table[[#This Row],[Dev Notes]]="Do not display")</f>
        <v>0</v>
      </c>
      <c r="N1282" s="14" t="b">
        <f>AND(LCI_Table[[#This Row],[Show Feedstock]:[Conditional]],NOT(LCI_Table[[#This Row],[Hide Row]]))</f>
        <v>0</v>
      </c>
      <c r="O1282" s="14" t="b">
        <f>LCI_Table[[#This Row],[GREET1 Name Range]]=""</f>
        <v>0</v>
      </c>
      <c r="P1282" s="14" t="s">
        <v>1448</v>
      </c>
      <c r="Q1282" s="14" t="s">
        <v>764</v>
      </c>
      <c r="R1282" s="14" t="s">
        <v>108</v>
      </c>
      <c r="S1282" s="37" cm="1">
        <f t="array" aca="1" ref="S12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77.226342104357315</v>
      </c>
      <c r="T1282" s="346" t="s">
        <v>2120</v>
      </c>
      <c r="U1282" s="347">
        <f ca="1">S1282*lb2g/Fuel_Specs!$E$48*Fuel_Specs!$B$48*Fuel_Specs!$B$79*BTU2mmBTU/Allocations!$O$121</f>
        <v>1547.6220686396937</v>
      </c>
      <c r="V1282" s="347">
        <v>77.226342104357315</v>
      </c>
      <c r="W1282" s="347">
        <v>1547.6220686396937</v>
      </c>
      <c r="X1282" s="14" t="s">
        <v>351</v>
      </c>
      <c r="Y1282" s="346" t="s">
        <v>416</v>
      </c>
      <c r="Z1282" s="14" t="str">
        <f>IF(ISBLANK(LCI_Table[[#This Row],[Notes for user]])," ",LCI_Table[[#This Row],[Notes for user]])</f>
        <v xml:space="preserve"> </v>
      </c>
      <c r="AA1282" s="14"/>
      <c r="AB1282" s="14"/>
      <c r="AC1282" s="346">
        <f ca="1">LCI_Table[[#This Row],[Default Calculated Value]]-LCI_Table[[#This Row],[Calculated Value]]</f>
        <v>0</v>
      </c>
    </row>
    <row r="1283" spans="1:29" x14ac:dyDescent="0.3">
      <c r="A12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_Palm_HEFA_ElectricityGrid Electricity</v>
      </c>
      <c r="B1283" s="14" t="s">
        <v>122</v>
      </c>
      <c r="C1283" s="14" t="s">
        <v>30</v>
      </c>
      <c r="D1283" s="14" t="s">
        <v>194</v>
      </c>
      <c r="E1283" s="48" t="s">
        <v>367</v>
      </c>
      <c r="F1283" s="14" t="s">
        <v>1357</v>
      </c>
      <c r="G1283" s="14" t="b">
        <f>OR(LCI_Table[[#This Row],[Feedstock]]="All",LCI_Table[[#This Row],[Feedstock]]=SelectedFeedstock)</f>
        <v>0</v>
      </c>
      <c r="H1283" s="14" t="b">
        <f>OR(LCI_Table[[#This Row],[Conversion]]="All",LCI_Table[[#This Row],[Conversion]]=SelectedConversion)</f>
        <v>1</v>
      </c>
      <c r="I1283" s="14" t="b">
        <f>OR(LCI_Table[[#This Row],[Data Set]]="all",LCI_Table[[#This Row],[Data Set]]=SelectedDataSet)</f>
        <v>0</v>
      </c>
      <c r="J1283" s="14" t="b">
        <f>OR(LCI_Table[[#This Row],[Technology]]="All",LCI_Table[[#This Row],[Technology]]=SelectedTechnology)</f>
        <v>0</v>
      </c>
      <c r="K1283" s="14" t="b">
        <f>OR(LCI_Table[[#This Row],[Data Source]]="All",LCI_Table[[#This Row],[Data Source]]=SelectedDataSource)</f>
        <v>0</v>
      </c>
      <c r="L1283" s="14" t="b">
        <f>TRUE</f>
        <v>1</v>
      </c>
      <c r="M1283" s="14" t="b">
        <f>(LCI_Table[[#This Row],[Dev Notes]]="Do not display")</f>
        <v>0</v>
      </c>
      <c r="N1283" s="14" t="b">
        <f>AND(LCI_Table[[#This Row],[Show Feedstock]:[Conditional]],NOT(LCI_Table[[#This Row],[Hide Row]]))</f>
        <v>0</v>
      </c>
      <c r="O1283" s="14" t="b">
        <f>LCI_Table[[#This Row],[GREET1 Name Range]]=""</f>
        <v>0</v>
      </c>
      <c r="P1283" s="14" t="s">
        <v>1448</v>
      </c>
      <c r="Q1283" s="14" t="s">
        <v>762</v>
      </c>
      <c r="R1283" s="14" t="s">
        <v>1684</v>
      </c>
      <c r="S1283" s="37" cm="1">
        <f t="array" aca="1" ref="S12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1.2602380672481814</v>
      </c>
      <c r="T1283" s="346" t="s">
        <v>2121</v>
      </c>
      <c r="U1283" s="347">
        <f ca="1">S1283*lb2g/Fuel_Specs!$E$48*Fuel_Specs!$B$48/BTU2kWh*BTU2mmBTU/Allocations!$O$121</f>
        <v>87.66486663318527</v>
      </c>
      <c r="V1283" s="347">
        <v>1.2602380672481814</v>
      </c>
      <c r="W1283" s="347">
        <v>87.66486663318527</v>
      </c>
      <c r="X1283" s="14" t="s">
        <v>51</v>
      </c>
      <c r="Y1283" s="346" t="s">
        <v>416</v>
      </c>
      <c r="Z1283" s="14" t="str">
        <f>IF(ISBLANK(LCI_Table[[#This Row],[Notes for user]])," ",LCI_Table[[#This Row],[Notes for user]])</f>
        <v xml:space="preserve"> </v>
      </c>
      <c r="AA1283" s="14"/>
      <c r="AB1283" s="14"/>
      <c r="AC1283" s="346">
        <f ca="1">LCI_Table[[#This Row],[Default Calculated Value]]-LCI_Table[[#This Row],[Calculated Value]]</f>
        <v>0</v>
      </c>
    </row>
    <row r="1284" spans="1:29" x14ac:dyDescent="0.3">
      <c r="A12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PalmHEFAICAOANLClosed pond _Palm_HEFA_HydrogenHydrogen</v>
      </c>
      <c r="B1284" s="14" t="s">
        <v>122</v>
      </c>
      <c r="C1284" s="14" t="s">
        <v>30</v>
      </c>
      <c r="D1284" s="14" t="s">
        <v>194</v>
      </c>
      <c r="E1284" s="48" t="s">
        <v>367</v>
      </c>
      <c r="F1284" s="14" t="s">
        <v>1357</v>
      </c>
      <c r="G1284" s="14" t="b">
        <f>OR(LCI_Table[[#This Row],[Feedstock]]="All",LCI_Table[[#This Row],[Feedstock]]=SelectedFeedstock)</f>
        <v>0</v>
      </c>
      <c r="H1284" s="14" t="b">
        <f>OR(LCI_Table[[#This Row],[Conversion]]="All",LCI_Table[[#This Row],[Conversion]]=SelectedConversion)</f>
        <v>1</v>
      </c>
      <c r="I1284" s="14" t="b">
        <f>OR(LCI_Table[[#This Row],[Data Set]]="all",LCI_Table[[#This Row],[Data Set]]=SelectedDataSet)</f>
        <v>0</v>
      </c>
      <c r="J1284" s="14" t="b">
        <f>OR(LCI_Table[[#This Row],[Technology]]="All",LCI_Table[[#This Row],[Technology]]=SelectedTechnology)</f>
        <v>0</v>
      </c>
      <c r="K1284" s="14" t="b">
        <f>OR(LCI_Table[[#This Row],[Data Source]]="All",LCI_Table[[#This Row],[Data Source]]=SelectedDataSource)</f>
        <v>0</v>
      </c>
      <c r="L1284" s="14" t="b">
        <f>TRUE</f>
        <v>1</v>
      </c>
      <c r="M1284" s="14" t="b">
        <f>(LCI_Table[[#This Row],[Dev Notes]]="Do not display")</f>
        <v>0</v>
      </c>
      <c r="N1284" s="14" t="b">
        <f>AND(LCI_Table[[#This Row],[Show Feedstock]:[Conditional]],NOT(LCI_Table[[#This Row],[Hide Row]]))</f>
        <v>0</v>
      </c>
      <c r="O1284" s="14" t="b">
        <f>LCI_Table[[#This Row],[GREET1 Name Range]]=""</f>
        <v>0</v>
      </c>
      <c r="P1284" s="14" t="s">
        <v>1448</v>
      </c>
      <c r="Q1284" s="14" t="s">
        <v>763</v>
      </c>
      <c r="R1284" s="14" t="s">
        <v>73</v>
      </c>
      <c r="S1284" s="37" cm="1">
        <f t="array" aca="1" ref="S12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293.70783230876987</v>
      </c>
      <c r="T1284" s="346" t="s">
        <v>2120</v>
      </c>
      <c r="U1284" s="347">
        <f ca="1">S1284*lb2g/Fuel_Specs!$E$48*Fuel_Specs!$B$48*Fuel_Specs!$B$81*BTU2mmBTU/Allocations!$O$121</f>
        <v>1736.4387044650152</v>
      </c>
      <c r="V1284" s="347">
        <v>293.70783230876987</v>
      </c>
      <c r="W1284" s="347">
        <v>1736.4387044650152</v>
      </c>
      <c r="X1284" s="14" t="s">
        <v>351</v>
      </c>
      <c r="Y1284" s="346" t="s">
        <v>416</v>
      </c>
      <c r="Z1284" s="14" t="str">
        <f>IF(ISBLANK(LCI_Table[[#This Row],[Notes for user]])," ",LCI_Table[[#This Row],[Notes for user]])</f>
        <v xml:space="preserve"> </v>
      </c>
      <c r="AA1284" s="14"/>
      <c r="AB1284" s="14"/>
      <c r="AC1284" s="346">
        <f ca="1">LCI_Table[[#This Row],[Default Calculated Value]]-LCI_Table[[#This Row],[Calculated Value]]</f>
        <v>0</v>
      </c>
    </row>
    <row r="1285" spans="1:29" x14ac:dyDescent="0.3">
      <c r="A12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_Palm_Oil_HEFA_Energy_AllocationAllocation factor</v>
      </c>
      <c r="B1285" s="14" t="s">
        <v>122</v>
      </c>
      <c r="C1285" s="14" t="s">
        <v>30</v>
      </c>
      <c r="D1285" s="14" t="s">
        <v>194</v>
      </c>
      <c r="E1285" s="48" t="s">
        <v>367</v>
      </c>
      <c r="F1285" s="14" t="s">
        <v>1358</v>
      </c>
      <c r="G1285" s="14" t="b">
        <f>OR(LCI_Table[[#This Row],[Feedstock]]="All",LCI_Table[[#This Row],[Feedstock]]=SelectedFeedstock)</f>
        <v>0</v>
      </c>
      <c r="H1285" s="14" t="b">
        <f>OR(LCI_Table[[#This Row],[Conversion]]="All",LCI_Table[[#This Row],[Conversion]]=SelectedConversion)</f>
        <v>1</v>
      </c>
      <c r="I1285" s="14" t="b">
        <f>OR(LCI_Table[[#This Row],[Data Set]]="all",LCI_Table[[#This Row],[Data Set]]=SelectedDataSet)</f>
        <v>0</v>
      </c>
      <c r="J1285" s="14" t="b">
        <f>OR(LCI_Table[[#This Row],[Technology]]="All",LCI_Table[[#This Row],[Technology]]=SelectedTechnology)</f>
        <v>0</v>
      </c>
      <c r="K1285" s="14" t="b">
        <f>OR(LCI_Table[[#This Row],[Data Source]]="All",LCI_Table[[#This Row],[Data Source]]=SelectedDataSource)</f>
        <v>0</v>
      </c>
      <c r="L1285" s="14" t="b">
        <f>TRUE</f>
        <v>1</v>
      </c>
      <c r="M1285" s="14" t="b">
        <f>(LCI_Table[[#This Row],[Dev Notes]]="Do not display")</f>
        <v>0</v>
      </c>
      <c r="N1285" s="14" t="b">
        <f>AND(LCI_Table[[#This Row],[Show Feedstock]:[Conditional]],NOT(LCI_Table[[#This Row],[Hide Row]]))</f>
        <v>0</v>
      </c>
      <c r="O1285" s="14" t="b">
        <f>LCI_Table[[#This Row],[GREET1 Name Range]]=""</f>
        <v>0</v>
      </c>
      <c r="P1285" s="14" t="s">
        <v>1448</v>
      </c>
      <c r="Q1285" s="14" t="s">
        <v>1116</v>
      </c>
      <c r="R1285" s="14" t="s">
        <v>1344</v>
      </c>
      <c r="S1285" s="37" cm="1">
        <f t="array" aca="1" ref="S12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89.702188733405094</v>
      </c>
      <c r="T1285" s="346" t="s">
        <v>1345</v>
      </c>
      <c r="U1285" s="347">
        <f ca="1">LCI_Table[[#This Row],[Dashboard Value]]/100</f>
        <v>0.89702188733405097</v>
      </c>
      <c r="V1285" s="351">
        <v>89.702188733405094</v>
      </c>
      <c r="W1285" s="351">
        <v>0.89702188733405097</v>
      </c>
      <c r="X1285" s="14" t="s">
        <v>1345</v>
      </c>
      <c r="Y1285" s="346" t="s">
        <v>416</v>
      </c>
      <c r="Z1285" s="14" t="str">
        <f>IF(ISBLANK(LCI_Table[[#This Row],[Notes for user]])," ",LCI_Table[[#This Row],[Notes for user]])</f>
        <v>Allocation to main distillate fuels (energy allocation)</v>
      </c>
      <c r="AA1285" s="14" t="s">
        <v>1353</v>
      </c>
      <c r="AB1285" s="14"/>
      <c r="AC1285" s="346">
        <f ca="1">LCI_Table[[#This Row],[Default Calculated Value]]-LCI_Table[[#This Row],[Calculated Value]]</f>
        <v>0</v>
      </c>
    </row>
    <row r="1286" spans="1:29" x14ac:dyDescent="0.3">
      <c r="A12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dash_PalmHEFAICAOANLOpen pond _Yield_Farming</v>
      </c>
      <c r="B1286" s="48" t="s">
        <v>122</v>
      </c>
      <c r="C1286" s="48" t="s">
        <v>30</v>
      </c>
      <c r="D1286" s="48" t="s">
        <v>194</v>
      </c>
      <c r="E1286" s="48" t="s">
        <v>367</v>
      </c>
      <c r="F1286" s="48" t="s">
        <v>1358</v>
      </c>
      <c r="G1286" s="14" t="b">
        <f>OR(LCI_Table[[#This Row],[Feedstock]]="All",LCI_Table[[#This Row],[Feedstock]]=SelectedFeedstock)</f>
        <v>0</v>
      </c>
      <c r="H1286" s="14" t="b">
        <f>OR(LCI_Table[[#This Row],[Conversion]]="All",LCI_Table[[#This Row],[Conversion]]=SelectedConversion)</f>
        <v>1</v>
      </c>
      <c r="I1286" s="14" t="b">
        <f>OR(LCI_Table[[#This Row],[Data Set]]="all",LCI_Table[[#This Row],[Data Set]]=SelectedDataSet)</f>
        <v>0</v>
      </c>
      <c r="J1286" s="14" t="b">
        <f>OR(LCI_Table[[#This Row],[Technology]]="All",LCI_Table[[#This Row],[Technology]]=SelectedTechnology)</f>
        <v>0</v>
      </c>
      <c r="K1286" s="14" t="b">
        <f>OR(LCI_Table[[#This Row],[Data Source]]="All",LCI_Table[[#This Row],[Data Source]]=SelectedDataSource)</f>
        <v>0</v>
      </c>
      <c r="L1286" s="14" t="b">
        <f>TRUE</f>
        <v>1</v>
      </c>
      <c r="M1286" s="14" t="b">
        <f>(LCI_Table[[#This Row],[Dev Notes]]="Do not display")</f>
        <v>0</v>
      </c>
      <c r="N1286" s="14" t="b">
        <f>AND(LCI_Table[[#This Row],[Show Feedstock]:[Conditional]],NOT(LCI_Table[[#This Row],[Hide Row]]))</f>
        <v>0</v>
      </c>
      <c r="O1286" s="14" t="b">
        <f>LCI_Table[[#This Row],[GREET1 Name Range]]=""</f>
        <v>1</v>
      </c>
      <c r="P1286" s="48" t="s">
        <v>14</v>
      </c>
      <c r="Q1286" s="14" t="s">
        <v>361</v>
      </c>
      <c r="R1286" s="48" t="s">
        <v>200</v>
      </c>
      <c r="S1286" s="37" cm="1">
        <f t="array" aca="1" ref="S12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6.909937964111923</v>
      </c>
      <c r="T1286" s="346" t="s">
        <v>2116</v>
      </c>
      <c r="U1286" s="344"/>
      <c r="V1286" s="344">
        <v>6.909937964111923</v>
      </c>
      <c r="W1286" s="344"/>
      <c r="X1286" s="48" t="s">
        <v>55</v>
      </c>
      <c r="Y1286" s="346" t="s">
        <v>413</v>
      </c>
      <c r="Z1286" s="14" t="str">
        <f>IF(ISBLANK(LCI_Table[[#This Row],[Notes for user]])," ",LCI_Table[[#This Row],[Notes for user]])</f>
        <v>Statista (2023) data from 2022</v>
      </c>
      <c r="AA1286" s="48" t="s">
        <v>1149</v>
      </c>
      <c r="AB1286" s="345"/>
      <c r="AC1286" s="346">
        <f>LCI_Table[[#This Row],[Default Calculated Value]]-LCI_Table[[#This Row],[Calculated Value]]</f>
        <v>0</v>
      </c>
    </row>
    <row r="1287" spans="1:29" x14ac:dyDescent="0.3">
      <c r="A12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_Palm_Farming_Nitrogen_fertilizerNitrogen fertilizer</v>
      </c>
      <c r="B1287" s="14" t="s">
        <v>122</v>
      </c>
      <c r="C1287" s="14" t="s">
        <v>30</v>
      </c>
      <c r="D1287" s="14" t="s">
        <v>194</v>
      </c>
      <c r="E1287" s="48" t="s">
        <v>367</v>
      </c>
      <c r="F1287" s="14" t="s">
        <v>1358</v>
      </c>
      <c r="G1287" s="14" t="b">
        <f>OR(LCI_Table[[#This Row],[Feedstock]]="All",LCI_Table[[#This Row],[Feedstock]]=SelectedFeedstock)</f>
        <v>0</v>
      </c>
      <c r="H1287" s="14" t="b">
        <f>OR(LCI_Table[[#This Row],[Conversion]]="All",LCI_Table[[#This Row],[Conversion]]=SelectedConversion)</f>
        <v>1</v>
      </c>
      <c r="I1287" s="14" t="b">
        <f>OR(LCI_Table[[#This Row],[Data Set]]="all",LCI_Table[[#This Row],[Data Set]]=SelectedDataSet)</f>
        <v>0</v>
      </c>
      <c r="J1287" s="14" t="b">
        <f>OR(LCI_Table[[#This Row],[Technology]]="All",LCI_Table[[#This Row],[Technology]]=SelectedTechnology)</f>
        <v>0</v>
      </c>
      <c r="K1287" s="14" t="b">
        <f>OR(LCI_Table[[#This Row],[Data Source]]="All",LCI_Table[[#This Row],[Data Source]]=SelectedDataSource)</f>
        <v>0</v>
      </c>
      <c r="L1287" s="14" t="b">
        <f>TRUE</f>
        <v>1</v>
      </c>
      <c r="M1287" s="14" t="b">
        <f>(LCI_Table[[#This Row],[Dev Notes]]="Do not display")</f>
        <v>0</v>
      </c>
      <c r="N1287" s="14" t="b">
        <f>AND(LCI_Table[[#This Row],[Show Feedstock]:[Conditional]],NOT(LCI_Table[[#This Row],[Hide Row]]))</f>
        <v>0</v>
      </c>
      <c r="O1287" s="14" t="b">
        <f>LCI_Table[[#This Row],[GREET1 Name Range]]=""</f>
        <v>0</v>
      </c>
      <c r="P1287" s="348" t="s">
        <v>14</v>
      </c>
      <c r="Q1287" s="14" t="s">
        <v>759</v>
      </c>
      <c r="R1287" s="14" t="s">
        <v>111</v>
      </c>
      <c r="S1287" s="37" cm="1">
        <f t="array" aca="1" ref="S12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145.04174806417777</v>
      </c>
      <c r="T1287" s="346" t="s">
        <v>1485</v>
      </c>
      <c r="U1287" s="347">
        <f ca="1">S1287/g2lb/S1286</f>
        <v>9521.0449927430855</v>
      </c>
      <c r="V1287" s="347">
        <v>145.04174806417777</v>
      </c>
      <c r="W1287" s="347">
        <v>9521.0449927430855</v>
      </c>
      <c r="X1287" s="14" t="s">
        <v>12</v>
      </c>
      <c r="Y1287" s="346" t="s">
        <v>413</v>
      </c>
      <c r="Z1287" s="14" t="str">
        <f>IF(ISBLANK(LCI_Table[[#This Row],[Notes for user]])," ",LCI_Table[[#This Row],[Notes for user]])</f>
        <v xml:space="preserve"> </v>
      </c>
      <c r="AA1287" s="14"/>
      <c r="AB1287" s="14"/>
      <c r="AC1287" s="346">
        <f ca="1">LCI_Table[[#This Row],[Default Calculated Value]]-LCI_Table[[#This Row],[Calculated Value]]</f>
        <v>0</v>
      </c>
    </row>
    <row r="1288" spans="1:29" x14ac:dyDescent="0.3">
      <c r="A12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_Palm_Farming_P2O5P2O5</v>
      </c>
      <c r="B1288" s="14" t="s">
        <v>122</v>
      </c>
      <c r="C1288" s="14" t="s">
        <v>30</v>
      </c>
      <c r="D1288" s="14" t="s">
        <v>194</v>
      </c>
      <c r="E1288" s="48" t="s">
        <v>367</v>
      </c>
      <c r="F1288" s="14" t="s">
        <v>1358</v>
      </c>
      <c r="G1288" s="14" t="b">
        <f>OR(LCI_Table[[#This Row],[Feedstock]]="All",LCI_Table[[#This Row],[Feedstock]]=SelectedFeedstock)</f>
        <v>0</v>
      </c>
      <c r="H1288" s="14" t="b">
        <f>OR(LCI_Table[[#This Row],[Conversion]]="All",LCI_Table[[#This Row],[Conversion]]=SelectedConversion)</f>
        <v>1</v>
      </c>
      <c r="I1288" s="14" t="b">
        <f>OR(LCI_Table[[#This Row],[Data Set]]="all",LCI_Table[[#This Row],[Data Set]]=SelectedDataSet)</f>
        <v>0</v>
      </c>
      <c r="J1288" s="14" t="b">
        <f>OR(LCI_Table[[#This Row],[Technology]]="All",LCI_Table[[#This Row],[Technology]]=SelectedTechnology)</f>
        <v>0</v>
      </c>
      <c r="K1288" s="14" t="b">
        <f>OR(LCI_Table[[#This Row],[Data Source]]="All",LCI_Table[[#This Row],[Data Source]]=SelectedDataSource)</f>
        <v>0</v>
      </c>
      <c r="L1288" s="14" t="b">
        <f>TRUE</f>
        <v>1</v>
      </c>
      <c r="M1288" s="14" t="b">
        <f>(LCI_Table[[#This Row],[Dev Notes]]="Do not display")</f>
        <v>0</v>
      </c>
      <c r="N1288" s="14" t="b">
        <f>AND(LCI_Table[[#This Row],[Show Feedstock]:[Conditional]],NOT(LCI_Table[[#This Row],[Hide Row]]))</f>
        <v>0</v>
      </c>
      <c r="O1288" s="14" t="b">
        <f>LCI_Table[[#This Row],[GREET1 Name Range]]=""</f>
        <v>0</v>
      </c>
      <c r="P1288" s="348" t="s">
        <v>14</v>
      </c>
      <c r="Q1288" s="14" t="s">
        <v>760</v>
      </c>
      <c r="R1288" s="14" t="s">
        <v>112</v>
      </c>
      <c r="S1288" s="37" cm="1">
        <f t="array" aca="1" ref="S12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88" s="346" t="s">
        <v>1485</v>
      </c>
      <c r="U1288" s="347">
        <f ca="1">S1288/g2lb/S1286</f>
        <v>0</v>
      </c>
      <c r="V1288" s="347">
        <v>0</v>
      </c>
      <c r="W1288" s="347">
        <v>0</v>
      </c>
      <c r="X1288" s="14" t="s">
        <v>12</v>
      </c>
      <c r="Y1288" s="346" t="s">
        <v>413</v>
      </c>
      <c r="Z1288" s="14" t="str">
        <f>IF(ISBLANK(LCI_Table[[#This Row],[Notes for user]])," ",LCI_Table[[#This Row],[Notes for user]])</f>
        <v xml:space="preserve"> </v>
      </c>
      <c r="AA1288" s="14"/>
      <c r="AB1288" s="14"/>
      <c r="AC1288" s="346">
        <f ca="1">LCI_Table[[#This Row],[Default Calculated Value]]-LCI_Table[[#This Row],[Calculated Value]]</f>
        <v>0</v>
      </c>
    </row>
    <row r="1289" spans="1:29" x14ac:dyDescent="0.3">
      <c r="A12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_Palm_Farming_K2OK2O</v>
      </c>
      <c r="B1289" s="14" t="s">
        <v>122</v>
      </c>
      <c r="C1289" s="14" t="s">
        <v>30</v>
      </c>
      <c r="D1289" s="14" t="s">
        <v>194</v>
      </c>
      <c r="E1289" s="48" t="s">
        <v>367</v>
      </c>
      <c r="F1289" s="14" t="s">
        <v>1358</v>
      </c>
      <c r="G1289" s="14" t="b">
        <f>OR(LCI_Table[[#This Row],[Feedstock]]="All",LCI_Table[[#This Row],[Feedstock]]=SelectedFeedstock)</f>
        <v>0</v>
      </c>
      <c r="H1289" s="14" t="b">
        <f>OR(LCI_Table[[#This Row],[Conversion]]="All",LCI_Table[[#This Row],[Conversion]]=SelectedConversion)</f>
        <v>1</v>
      </c>
      <c r="I1289" s="14" t="b">
        <f>OR(LCI_Table[[#This Row],[Data Set]]="all",LCI_Table[[#This Row],[Data Set]]=SelectedDataSet)</f>
        <v>0</v>
      </c>
      <c r="J1289" s="14" t="b">
        <f>OR(LCI_Table[[#This Row],[Technology]]="All",LCI_Table[[#This Row],[Technology]]=SelectedTechnology)</f>
        <v>0</v>
      </c>
      <c r="K1289" s="14" t="b">
        <f>OR(LCI_Table[[#This Row],[Data Source]]="All",LCI_Table[[#This Row],[Data Source]]=SelectedDataSource)</f>
        <v>0</v>
      </c>
      <c r="L1289" s="14" t="b">
        <f>TRUE</f>
        <v>1</v>
      </c>
      <c r="M1289" s="14" t="b">
        <f>(LCI_Table[[#This Row],[Dev Notes]]="Do not display")</f>
        <v>0</v>
      </c>
      <c r="N1289" s="14" t="b">
        <f>AND(LCI_Table[[#This Row],[Show Feedstock]:[Conditional]],NOT(LCI_Table[[#This Row],[Hide Row]]))</f>
        <v>0</v>
      </c>
      <c r="O1289" s="14" t="b">
        <f>LCI_Table[[#This Row],[GREET1 Name Range]]=""</f>
        <v>0</v>
      </c>
      <c r="P1289" s="348" t="s">
        <v>14</v>
      </c>
      <c r="Q1289" s="14" t="s">
        <v>756</v>
      </c>
      <c r="R1289" s="14" t="s">
        <v>113</v>
      </c>
      <c r="S1289" s="37" cm="1">
        <f t="array" aca="1" ref="S12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89" s="346" t="s">
        <v>1485</v>
      </c>
      <c r="U1289" s="347">
        <f ca="1">S1289/g2lb/S1286</f>
        <v>0</v>
      </c>
      <c r="V1289" s="347">
        <v>0</v>
      </c>
      <c r="W1289" s="347">
        <v>0</v>
      </c>
      <c r="X1289" s="14" t="s">
        <v>12</v>
      </c>
      <c r="Y1289" s="346" t="s">
        <v>413</v>
      </c>
      <c r="Z1289" s="14" t="str">
        <f>IF(ISBLANK(LCI_Table[[#This Row],[Notes for user]])," ",LCI_Table[[#This Row],[Notes for user]])</f>
        <v xml:space="preserve"> </v>
      </c>
      <c r="AA1289" s="14"/>
      <c r="AB1289" s="14"/>
      <c r="AC1289" s="346">
        <f ca="1">LCI_Table[[#This Row],[Default Calculated Value]]-LCI_Table[[#This Row],[Calculated Value]]</f>
        <v>0</v>
      </c>
    </row>
    <row r="1290" spans="1:29" x14ac:dyDescent="0.3">
      <c r="A12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_Palm_Farming_CaCO3CaCO3</v>
      </c>
      <c r="B1290" s="14" t="s">
        <v>122</v>
      </c>
      <c r="C1290" s="14" t="s">
        <v>30</v>
      </c>
      <c r="D1290" s="14" t="s">
        <v>194</v>
      </c>
      <c r="E1290" s="48" t="s">
        <v>367</v>
      </c>
      <c r="F1290" s="14" t="s">
        <v>1358</v>
      </c>
      <c r="G1290" s="14" t="b">
        <f>OR(LCI_Table[[#This Row],[Feedstock]]="All",LCI_Table[[#This Row],[Feedstock]]=SelectedFeedstock)</f>
        <v>0</v>
      </c>
      <c r="H1290" s="14" t="b">
        <f>OR(LCI_Table[[#This Row],[Conversion]]="All",LCI_Table[[#This Row],[Conversion]]=SelectedConversion)</f>
        <v>1</v>
      </c>
      <c r="I1290" s="14" t="b">
        <f>OR(LCI_Table[[#This Row],[Data Set]]="all",LCI_Table[[#This Row],[Data Set]]=SelectedDataSet)</f>
        <v>0</v>
      </c>
      <c r="J1290" s="14" t="b">
        <f>OR(LCI_Table[[#This Row],[Technology]]="All",LCI_Table[[#This Row],[Technology]]=SelectedTechnology)</f>
        <v>0</v>
      </c>
      <c r="K1290" s="14" t="b">
        <f>OR(LCI_Table[[#This Row],[Data Source]]="All",LCI_Table[[#This Row],[Data Source]]=SelectedDataSource)</f>
        <v>0</v>
      </c>
      <c r="L1290" s="14" t="b">
        <f>TRUE</f>
        <v>1</v>
      </c>
      <c r="M1290" s="14" t="b">
        <f>(LCI_Table[[#This Row],[Dev Notes]]="Do not display")</f>
        <v>0</v>
      </c>
      <c r="N1290" s="14" t="b">
        <f>AND(LCI_Table[[#This Row],[Show Feedstock]:[Conditional]],NOT(LCI_Table[[#This Row],[Hide Row]]))</f>
        <v>0</v>
      </c>
      <c r="O1290" s="14" t="b">
        <f>LCI_Table[[#This Row],[GREET1 Name Range]]=""</f>
        <v>0</v>
      </c>
      <c r="P1290" s="348" t="s">
        <v>14</v>
      </c>
      <c r="Q1290" s="14" t="s">
        <v>749</v>
      </c>
      <c r="R1290" s="14" t="s">
        <v>141</v>
      </c>
      <c r="S1290" s="37" cm="1">
        <f t="array" aca="1" ref="S12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90" s="346" t="s">
        <v>1485</v>
      </c>
      <c r="U1290" s="347">
        <f ca="1">S1290/g2lb/S1286</f>
        <v>0</v>
      </c>
      <c r="V1290" s="347">
        <v>0</v>
      </c>
      <c r="W1290" s="347">
        <v>0</v>
      </c>
      <c r="X1290" s="14" t="s">
        <v>12</v>
      </c>
      <c r="Y1290" s="346" t="s">
        <v>413</v>
      </c>
      <c r="Z1290" s="14" t="str">
        <f>IF(ISBLANK(LCI_Table[[#This Row],[Notes for user]])," ",LCI_Table[[#This Row],[Notes for user]])</f>
        <v xml:space="preserve"> </v>
      </c>
      <c r="AA1290" s="14"/>
      <c r="AB1290" s="14"/>
      <c r="AC1290" s="346">
        <f ca="1">LCI_Table[[#This Row],[Default Calculated Value]]-LCI_Table[[#This Row],[Calculated Value]]</f>
        <v>0</v>
      </c>
    </row>
    <row r="1291" spans="1:29" x14ac:dyDescent="0.3">
      <c r="A12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_Palm_Farming_HerbicidesHerbicides</v>
      </c>
      <c r="B1291" s="14" t="s">
        <v>122</v>
      </c>
      <c r="C1291" s="14" t="s">
        <v>30</v>
      </c>
      <c r="D1291" s="14" t="s">
        <v>194</v>
      </c>
      <c r="E1291" s="48" t="s">
        <v>367</v>
      </c>
      <c r="F1291" s="14" t="s">
        <v>1358</v>
      </c>
      <c r="G1291" s="14" t="b">
        <f>OR(LCI_Table[[#This Row],[Feedstock]]="All",LCI_Table[[#This Row],[Feedstock]]=SelectedFeedstock)</f>
        <v>0</v>
      </c>
      <c r="H1291" s="14" t="b">
        <f>OR(LCI_Table[[#This Row],[Conversion]]="All",LCI_Table[[#This Row],[Conversion]]=SelectedConversion)</f>
        <v>1</v>
      </c>
      <c r="I1291" s="14" t="b">
        <f>OR(LCI_Table[[#This Row],[Data Set]]="all",LCI_Table[[#This Row],[Data Set]]=SelectedDataSet)</f>
        <v>0</v>
      </c>
      <c r="J1291" s="14" t="b">
        <f>OR(LCI_Table[[#This Row],[Technology]]="All",LCI_Table[[#This Row],[Technology]]=SelectedTechnology)</f>
        <v>0</v>
      </c>
      <c r="K1291" s="14" t="b">
        <f>OR(LCI_Table[[#This Row],[Data Source]]="All",LCI_Table[[#This Row],[Data Source]]=SelectedDataSource)</f>
        <v>0</v>
      </c>
      <c r="L1291" s="14" t="b">
        <f>TRUE</f>
        <v>1</v>
      </c>
      <c r="M1291" s="14" t="b">
        <f>(LCI_Table[[#This Row],[Dev Notes]]="Do not display")</f>
        <v>0</v>
      </c>
      <c r="N1291" s="14" t="b">
        <f>AND(LCI_Table[[#This Row],[Show Feedstock]:[Conditional]],NOT(LCI_Table[[#This Row],[Hide Row]]))</f>
        <v>0</v>
      </c>
      <c r="O1291" s="14" t="b">
        <f>LCI_Table[[#This Row],[GREET1 Name Range]]=""</f>
        <v>0</v>
      </c>
      <c r="P1291" s="348" t="s">
        <v>14</v>
      </c>
      <c r="Q1291" s="14" t="s">
        <v>754</v>
      </c>
      <c r="R1291" s="14" t="s">
        <v>356</v>
      </c>
      <c r="S1291" s="37" cm="1">
        <f t="array" aca="1" ref="S12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91" s="346" t="s">
        <v>1485</v>
      </c>
      <c r="U1291" s="347">
        <f ca="1">S1291/g2lb/S1286</f>
        <v>0</v>
      </c>
      <c r="V1291" s="347">
        <v>0</v>
      </c>
      <c r="W1291" s="347">
        <v>0</v>
      </c>
      <c r="X1291" s="14" t="s">
        <v>12</v>
      </c>
      <c r="Y1291" s="346" t="s">
        <v>413</v>
      </c>
      <c r="Z1291" s="14" t="str">
        <f>IF(ISBLANK(LCI_Table[[#This Row],[Notes for user]])," ",LCI_Table[[#This Row],[Notes for user]])</f>
        <v xml:space="preserve"> </v>
      </c>
      <c r="AA1291" s="14"/>
      <c r="AB1291" s="14"/>
      <c r="AC1291" s="346">
        <f ca="1">LCI_Table[[#This Row],[Default Calculated Value]]-LCI_Table[[#This Row],[Calculated Value]]</f>
        <v>0</v>
      </c>
    </row>
    <row r="1292" spans="1:29" x14ac:dyDescent="0.3">
      <c r="A12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_Palm_Farming_InsecticideInsecticide</v>
      </c>
      <c r="B1292" s="14" t="s">
        <v>122</v>
      </c>
      <c r="C1292" s="14" t="s">
        <v>30</v>
      </c>
      <c r="D1292" s="14" t="s">
        <v>194</v>
      </c>
      <c r="E1292" s="48" t="s">
        <v>367</v>
      </c>
      <c r="F1292" s="14" t="s">
        <v>1358</v>
      </c>
      <c r="G1292" s="14" t="b">
        <f>OR(LCI_Table[[#This Row],[Feedstock]]="All",LCI_Table[[#This Row],[Feedstock]]=SelectedFeedstock)</f>
        <v>0</v>
      </c>
      <c r="H1292" s="14" t="b">
        <f>OR(LCI_Table[[#This Row],[Conversion]]="All",LCI_Table[[#This Row],[Conversion]]=SelectedConversion)</f>
        <v>1</v>
      </c>
      <c r="I1292" s="14" t="b">
        <f>OR(LCI_Table[[#This Row],[Data Set]]="all",LCI_Table[[#This Row],[Data Set]]=SelectedDataSet)</f>
        <v>0</v>
      </c>
      <c r="J1292" s="14" t="b">
        <f>OR(LCI_Table[[#This Row],[Technology]]="All",LCI_Table[[#This Row],[Technology]]=SelectedTechnology)</f>
        <v>0</v>
      </c>
      <c r="K1292" s="14" t="b">
        <f>OR(LCI_Table[[#This Row],[Data Source]]="All",LCI_Table[[#This Row],[Data Source]]=SelectedDataSource)</f>
        <v>0</v>
      </c>
      <c r="L1292" s="14" t="b">
        <f>TRUE</f>
        <v>1</v>
      </c>
      <c r="M1292" s="14" t="b">
        <f>(LCI_Table[[#This Row],[Dev Notes]]="Do not display")</f>
        <v>0</v>
      </c>
      <c r="N1292" s="14" t="b">
        <f>AND(LCI_Table[[#This Row],[Show Feedstock]:[Conditional]],NOT(LCI_Table[[#This Row],[Hide Row]]))</f>
        <v>0</v>
      </c>
      <c r="O1292" s="14" t="b">
        <f>LCI_Table[[#This Row],[GREET1 Name Range]]=""</f>
        <v>0</v>
      </c>
      <c r="P1292" s="348" t="s">
        <v>14</v>
      </c>
      <c r="Q1292" s="14" t="s">
        <v>755</v>
      </c>
      <c r="R1292" s="14" t="s">
        <v>114</v>
      </c>
      <c r="S1292" s="37" cm="1">
        <f t="array" aca="1" ref="S12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92" s="346" t="s">
        <v>1485</v>
      </c>
      <c r="U1292" s="347">
        <f ca="1">S1292/g2lb/S1286</f>
        <v>0</v>
      </c>
      <c r="V1292" s="347">
        <v>0</v>
      </c>
      <c r="W1292" s="347">
        <v>0</v>
      </c>
      <c r="X1292" s="14" t="s">
        <v>12</v>
      </c>
      <c r="Y1292" s="346" t="s">
        <v>413</v>
      </c>
      <c r="Z1292" s="14" t="str">
        <f>IF(ISBLANK(LCI_Table[[#This Row],[Notes for user]])," ",LCI_Table[[#This Row],[Notes for user]])</f>
        <v xml:space="preserve"> </v>
      </c>
      <c r="AA1292" s="14"/>
      <c r="AB1292" s="14"/>
      <c r="AC1292" s="346">
        <f ca="1">LCI_Table[[#This Row],[Default Calculated Value]]-LCI_Table[[#This Row],[Calculated Value]]</f>
        <v>0</v>
      </c>
    </row>
    <row r="1293" spans="1:29" x14ac:dyDescent="0.3">
      <c r="A12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_Palm_Farming_Residual_oilResidual oil</v>
      </c>
      <c r="B1293" s="14" t="s">
        <v>122</v>
      </c>
      <c r="C1293" s="14" t="s">
        <v>30</v>
      </c>
      <c r="D1293" s="14" t="s">
        <v>194</v>
      </c>
      <c r="E1293" s="48" t="s">
        <v>367</v>
      </c>
      <c r="F1293" s="14" t="s">
        <v>1358</v>
      </c>
      <c r="G1293" s="14" t="b">
        <f>OR(LCI_Table[[#This Row],[Feedstock]]="All",LCI_Table[[#This Row],[Feedstock]]=SelectedFeedstock)</f>
        <v>0</v>
      </c>
      <c r="H1293" s="14" t="b">
        <f>OR(LCI_Table[[#This Row],[Conversion]]="All",LCI_Table[[#This Row],[Conversion]]=SelectedConversion)</f>
        <v>1</v>
      </c>
      <c r="I1293" s="14" t="b">
        <f>OR(LCI_Table[[#This Row],[Data Set]]="all",LCI_Table[[#This Row],[Data Set]]=SelectedDataSet)</f>
        <v>0</v>
      </c>
      <c r="J1293" s="14" t="b">
        <f>OR(LCI_Table[[#This Row],[Technology]]="All",LCI_Table[[#This Row],[Technology]]=SelectedTechnology)</f>
        <v>0</v>
      </c>
      <c r="K1293" s="14" t="b">
        <f>OR(LCI_Table[[#This Row],[Data Source]]="All",LCI_Table[[#This Row],[Data Source]]=SelectedDataSource)</f>
        <v>0</v>
      </c>
      <c r="L1293" s="14" t="b">
        <f>TRUE</f>
        <v>1</v>
      </c>
      <c r="M1293" s="14" t="b">
        <f>(LCI_Table[[#This Row],[Dev Notes]]="Do not display")</f>
        <v>0</v>
      </c>
      <c r="N1293" s="14" t="b">
        <f>AND(LCI_Table[[#This Row],[Show Feedstock]:[Conditional]],NOT(LCI_Table[[#This Row],[Hide Row]]))</f>
        <v>0</v>
      </c>
      <c r="O1293" s="14" t="b">
        <f>LCI_Table[[#This Row],[GREET1 Name Range]]=""</f>
        <v>0</v>
      </c>
      <c r="P1293" s="348" t="s">
        <v>14</v>
      </c>
      <c r="Q1293" s="14" t="s">
        <v>761</v>
      </c>
      <c r="R1293" s="14" t="s">
        <v>115</v>
      </c>
      <c r="S1293" s="37" cm="1">
        <f t="array" aca="1" ref="S12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93" s="346" t="s">
        <v>1484</v>
      </c>
      <c r="U1293" s="347">
        <f ca="1">S1293*Fuel_Specs!$B$28/S1286</f>
        <v>0</v>
      </c>
      <c r="V1293" s="347">
        <v>0</v>
      </c>
      <c r="W1293" s="347">
        <v>0</v>
      </c>
      <c r="X1293" s="14" t="s">
        <v>5</v>
      </c>
      <c r="Y1293" s="346" t="s">
        <v>413</v>
      </c>
      <c r="Z1293" s="14" t="str">
        <f>IF(ISBLANK(LCI_Table[[#This Row],[Notes for user]])," ",LCI_Table[[#This Row],[Notes for user]])</f>
        <v xml:space="preserve"> </v>
      </c>
      <c r="AA1293" s="14"/>
      <c r="AB1293" s="14"/>
      <c r="AC1293" s="346">
        <f ca="1">LCI_Table[[#This Row],[Default Calculated Value]]-LCI_Table[[#This Row],[Calculated Value]]</f>
        <v>0</v>
      </c>
    </row>
    <row r="1294" spans="1:29" x14ac:dyDescent="0.3">
      <c r="A12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_Palm_Farming_DieselDiesel</v>
      </c>
      <c r="B1294" s="14" t="s">
        <v>122</v>
      </c>
      <c r="C1294" s="14" t="s">
        <v>30</v>
      </c>
      <c r="D1294" s="14" t="s">
        <v>194</v>
      </c>
      <c r="E1294" s="48" t="s">
        <v>367</v>
      </c>
      <c r="F1294" s="14" t="s">
        <v>1358</v>
      </c>
      <c r="G1294" s="14" t="b">
        <f>OR(LCI_Table[[#This Row],[Feedstock]]="All",LCI_Table[[#This Row],[Feedstock]]=SelectedFeedstock)</f>
        <v>0</v>
      </c>
      <c r="H1294" s="14" t="b">
        <f>OR(LCI_Table[[#This Row],[Conversion]]="All",LCI_Table[[#This Row],[Conversion]]=SelectedConversion)</f>
        <v>1</v>
      </c>
      <c r="I1294" s="14" t="b">
        <f>OR(LCI_Table[[#This Row],[Data Set]]="all",LCI_Table[[#This Row],[Data Set]]=SelectedDataSet)</f>
        <v>0</v>
      </c>
      <c r="J1294" s="14" t="b">
        <f>OR(LCI_Table[[#This Row],[Technology]]="All",LCI_Table[[#This Row],[Technology]]=SelectedTechnology)</f>
        <v>0</v>
      </c>
      <c r="K1294" s="14" t="b">
        <f>OR(LCI_Table[[#This Row],[Data Source]]="All",LCI_Table[[#This Row],[Data Source]]=SelectedDataSource)</f>
        <v>0</v>
      </c>
      <c r="L1294" s="14" t="b">
        <f>TRUE</f>
        <v>1</v>
      </c>
      <c r="M1294" s="14" t="b">
        <f>(LCI_Table[[#This Row],[Dev Notes]]="Do not display")</f>
        <v>0</v>
      </c>
      <c r="N1294" s="14" t="b">
        <f>AND(LCI_Table[[#This Row],[Show Feedstock]:[Conditional]],NOT(LCI_Table[[#This Row],[Hide Row]]))</f>
        <v>0</v>
      </c>
      <c r="O1294" s="14" t="b">
        <f>LCI_Table[[#This Row],[GREET1 Name Range]]=""</f>
        <v>0</v>
      </c>
      <c r="P1294" s="348" t="s">
        <v>14</v>
      </c>
      <c r="Q1294" s="14" t="s">
        <v>751</v>
      </c>
      <c r="R1294" s="14" t="s">
        <v>106</v>
      </c>
      <c r="S1294" s="37" cm="1">
        <f t="array" aca="1" ref="S12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11.172759531156784</v>
      </c>
      <c r="T1294" s="346" t="s">
        <v>1484</v>
      </c>
      <c r="U1294" s="347">
        <f ca="1">S1294*Fuel_Specs!$B$19/S1286</f>
        <v>207692.30769230728</v>
      </c>
      <c r="V1294" s="347">
        <v>11.172759531156784</v>
      </c>
      <c r="W1294" s="347">
        <v>207692.30769230728</v>
      </c>
      <c r="X1294" s="14" t="s">
        <v>5</v>
      </c>
      <c r="Y1294" s="346" t="s">
        <v>413</v>
      </c>
      <c r="Z1294" s="14" t="str">
        <f>IF(ISBLANK(LCI_Table[[#This Row],[Notes for user]])," ",LCI_Table[[#This Row],[Notes for user]])</f>
        <v xml:space="preserve"> </v>
      </c>
      <c r="AA1294" s="14"/>
      <c r="AB1294" s="14"/>
      <c r="AC1294" s="346">
        <f ca="1">LCI_Table[[#This Row],[Default Calculated Value]]-LCI_Table[[#This Row],[Calculated Value]]</f>
        <v>0</v>
      </c>
    </row>
    <row r="1295" spans="1:29" x14ac:dyDescent="0.3">
      <c r="A12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_Palm_Farming_GasolineGasoline</v>
      </c>
      <c r="B1295" s="14" t="s">
        <v>122</v>
      </c>
      <c r="C1295" s="14" t="s">
        <v>30</v>
      </c>
      <c r="D1295" s="14" t="s">
        <v>194</v>
      </c>
      <c r="E1295" s="48" t="s">
        <v>367</v>
      </c>
      <c r="F1295" s="14" t="s">
        <v>1358</v>
      </c>
      <c r="G1295" s="14" t="b">
        <f>OR(LCI_Table[[#This Row],[Feedstock]]="All",LCI_Table[[#This Row],[Feedstock]]=SelectedFeedstock)</f>
        <v>0</v>
      </c>
      <c r="H1295" s="14" t="b">
        <f>OR(LCI_Table[[#This Row],[Conversion]]="All",LCI_Table[[#This Row],[Conversion]]=SelectedConversion)</f>
        <v>1</v>
      </c>
      <c r="I1295" s="14" t="b">
        <f>OR(LCI_Table[[#This Row],[Data Set]]="all",LCI_Table[[#This Row],[Data Set]]=SelectedDataSet)</f>
        <v>0</v>
      </c>
      <c r="J1295" s="14" t="b">
        <f>OR(LCI_Table[[#This Row],[Technology]]="All",LCI_Table[[#This Row],[Technology]]=SelectedTechnology)</f>
        <v>0</v>
      </c>
      <c r="K1295" s="14" t="b">
        <f>OR(LCI_Table[[#This Row],[Data Source]]="All",LCI_Table[[#This Row],[Data Source]]=SelectedDataSource)</f>
        <v>0</v>
      </c>
      <c r="L1295" s="14" t="b">
        <f>TRUE</f>
        <v>1</v>
      </c>
      <c r="M1295" s="14" t="b">
        <f>(LCI_Table[[#This Row],[Dev Notes]]="Do not display")</f>
        <v>0</v>
      </c>
      <c r="N1295" s="14" t="b">
        <f>AND(LCI_Table[[#This Row],[Show Feedstock]:[Conditional]],NOT(LCI_Table[[#This Row],[Hide Row]]))</f>
        <v>0</v>
      </c>
      <c r="O1295" s="14" t="b">
        <f>LCI_Table[[#This Row],[GREET1 Name Range]]=""</f>
        <v>0</v>
      </c>
      <c r="P1295" s="348" t="s">
        <v>14</v>
      </c>
      <c r="Q1295" s="14" t="s">
        <v>753</v>
      </c>
      <c r="R1295" s="14" t="s">
        <v>107</v>
      </c>
      <c r="S1295" s="37" cm="1">
        <f t="array" aca="1" ref="S12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95" s="346" t="s">
        <v>1484</v>
      </c>
      <c r="U1295" s="347">
        <f ca="1">S1295*Fuel_Specs!$B$15/S1286</f>
        <v>0</v>
      </c>
      <c r="V1295" s="347">
        <v>0</v>
      </c>
      <c r="W1295" s="347">
        <v>0</v>
      </c>
      <c r="X1295" s="14" t="s">
        <v>5</v>
      </c>
      <c r="Y1295" s="346" t="s">
        <v>413</v>
      </c>
      <c r="Z1295" s="14" t="str">
        <f>IF(ISBLANK(LCI_Table[[#This Row],[Notes for user]])," ",LCI_Table[[#This Row],[Notes for user]])</f>
        <v xml:space="preserve"> </v>
      </c>
      <c r="AA1295" s="14"/>
      <c r="AB1295" s="14"/>
      <c r="AC1295" s="346">
        <f ca="1">LCI_Table[[#This Row],[Default Calculated Value]]-LCI_Table[[#This Row],[Calculated Value]]</f>
        <v>0</v>
      </c>
    </row>
    <row r="1296" spans="1:29" x14ac:dyDescent="0.3">
      <c r="A12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_Palm_Farming_Natural_gasNatural gas</v>
      </c>
      <c r="B1296" s="14" t="s">
        <v>122</v>
      </c>
      <c r="C1296" s="14" t="s">
        <v>30</v>
      </c>
      <c r="D1296" s="14" t="s">
        <v>194</v>
      </c>
      <c r="E1296" s="48" t="s">
        <v>367</v>
      </c>
      <c r="F1296" s="14" t="s">
        <v>1358</v>
      </c>
      <c r="G1296" s="14" t="b">
        <f>OR(LCI_Table[[#This Row],[Feedstock]]="All",LCI_Table[[#This Row],[Feedstock]]=SelectedFeedstock)</f>
        <v>0</v>
      </c>
      <c r="H1296" s="14" t="b">
        <f>OR(LCI_Table[[#This Row],[Conversion]]="All",LCI_Table[[#This Row],[Conversion]]=SelectedConversion)</f>
        <v>1</v>
      </c>
      <c r="I1296" s="14" t="b">
        <f>OR(LCI_Table[[#This Row],[Data Set]]="all",LCI_Table[[#This Row],[Data Set]]=SelectedDataSet)</f>
        <v>0</v>
      </c>
      <c r="J1296" s="14" t="b">
        <f>OR(LCI_Table[[#This Row],[Technology]]="All",LCI_Table[[#This Row],[Technology]]=SelectedTechnology)</f>
        <v>0</v>
      </c>
      <c r="K1296" s="14" t="b">
        <f>OR(LCI_Table[[#This Row],[Data Source]]="All",LCI_Table[[#This Row],[Data Source]]=SelectedDataSource)</f>
        <v>0</v>
      </c>
      <c r="L1296" s="14" t="b">
        <f>TRUE</f>
        <v>1</v>
      </c>
      <c r="M1296" s="14" t="b">
        <f>(LCI_Table[[#This Row],[Dev Notes]]="Do not display")</f>
        <v>0</v>
      </c>
      <c r="N1296" s="14" t="b">
        <f>AND(LCI_Table[[#This Row],[Show Feedstock]:[Conditional]],NOT(LCI_Table[[#This Row],[Hide Row]]))</f>
        <v>0</v>
      </c>
      <c r="O1296" s="14" t="b">
        <f>LCI_Table[[#This Row],[GREET1 Name Range]]=""</f>
        <v>0</v>
      </c>
      <c r="P1296" s="348" t="s">
        <v>14</v>
      </c>
      <c r="Q1296" s="14" t="s">
        <v>758</v>
      </c>
      <c r="R1296" s="14" t="s">
        <v>108</v>
      </c>
      <c r="S1296" s="37" cm="1">
        <f t="array" aca="1" ref="S12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96" s="346" t="s">
        <v>2109</v>
      </c>
      <c r="U1296" s="347">
        <f ca="1">S1296*Fuel_Specs!$B$79/S1286</f>
        <v>0</v>
      </c>
      <c r="V1296" s="347">
        <v>0</v>
      </c>
      <c r="W1296" s="347">
        <v>0</v>
      </c>
      <c r="X1296" s="14" t="s">
        <v>351</v>
      </c>
      <c r="Y1296" s="346" t="s">
        <v>413</v>
      </c>
      <c r="Z1296" s="14" t="str">
        <f>IF(ISBLANK(LCI_Table[[#This Row],[Notes for user]])," ",LCI_Table[[#This Row],[Notes for user]])</f>
        <v xml:space="preserve"> </v>
      </c>
      <c r="AA1296" s="14"/>
      <c r="AB1296" s="14"/>
      <c r="AC1296" s="346">
        <f ca="1">LCI_Table[[#This Row],[Default Calculated Value]]-LCI_Table[[#This Row],[Calculated Value]]</f>
        <v>0</v>
      </c>
    </row>
    <row r="1297" spans="1:29" x14ac:dyDescent="0.3">
      <c r="A12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_Palm_Farming_CoalCoal</v>
      </c>
      <c r="B1297" s="14" t="s">
        <v>122</v>
      </c>
      <c r="C1297" s="14" t="s">
        <v>30</v>
      </c>
      <c r="D1297" s="14" t="s">
        <v>194</v>
      </c>
      <c r="E1297" s="48" t="s">
        <v>367</v>
      </c>
      <c r="F1297" s="14" t="s">
        <v>1358</v>
      </c>
      <c r="G1297" s="14" t="b">
        <f>OR(LCI_Table[[#This Row],[Feedstock]]="All",LCI_Table[[#This Row],[Feedstock]]=SelectedFeedstock)</f>
        <v>0</v>
      </c>
      <c r="H1297" s="14" t="b">
        <f>OR(LCI_Table[[#This Row],[Conversion]]="All",LCI_Table[[#This Row],[Conversion]]=SelectedConversion)</f>
        <v>1</v>
      </c>
      <c r="I1297" s="14" t="b">
        <f>OR(LCI_Table[[#This Row],[Data Set]]="all",LCI_Table[[#This Row],[Data Set]]=SelectedDataSet)</f>
        <v>0</v>
      </c>
      <c r="J1297" s="14" t="b">
        <f>OR(LCI_Table[[#This Row],[Technology]]="All",LCI_Table[[#This Row],[Technology]]=SelectedTechnology)</f>
        <v>0</v>
      </c>
      <c r="K1297" s="14" t="b">
        <f>OR(LCI_Table[[#This Row],[Data Source]]="All",LCI_Table[[#This Row],[Data Source]]=SelectedDataSource)</f>
        <v>0</v>
      </c>
      <c r="L1297" s="14" t="b">
        <f>TRUE</f>
        <v>1</v>
      </c>
      <c r="M1297" s="14" t="b">
        <f>(LCI_Table[[#This Row],[Dev Notes]]="Do not display")</f>
        <v>0</v>
      </c>
      <c r="N1297" s="14" t="b">
        <f>AND(LCI_Table[[#This Row],[Show Feedstock]:[Conditional]],NOT(LCI_Table[[#This Row],[Hide Row]]))</f>
        <v>0</v>
      </c>
      <c r="O1297" s="14" t="b">
        <f>LCI_Table[[#This Row],[GREET1 Name Range]]=""</f>
        <v>0</v>
      </c>
      <c r="P1297" s="348" t="s">
        <v>14</v>
      </c>
      <c r="Q1297" s="14" t="s">
        <v>750</v>
      </c>
      <c r="R1297" s="14" t="s">
        <v>9</v>
      </c>
      <c r="S1297" s="37" cm="1">
        <f t="array" aca="1" ref="S12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97" s="346" t="s">
        <v>2110</v>
      </c>
      <c r="U1297" s="347">
        <f ca="1">S1297/S1286</f>
        <v>0</v>
      </c>
      <c r="V1297" s="347">
        <v>0</v>
      </c>
      <c r="W1297" s="347">
        <v>0</v>
      </c>
      <c r="X1297" s="14" t="s">
        <v>117</v>
      </c>
      <c r="Y1297" s="346" t="s">
        <v>413</v>
      </c>
      <c r="Z1297" s="14" t="str">
        <f>IF(ISBLANK(LCI_Table[[#This Row],[Notes for user]])," ",LCI_Table[[#This Row],[Notes for user]])</f>
        <v xml:space="preserve"> </v>
      </c>
      <c r="AA1297" s="14"/>
      <c r="AB1297" s="14"/>
      <c r="AC1297" s="346">
        <f ca="1">LCI_Table[[#This Row],[Default Calculated Value]]-LCI_Table[[#This Row],[Calculated Value]]</f>
        <v>0</v>
      </c>
    </row>
    <row r="1298" spans="1:29" x14ac:dyDescent="0.3">
      <c r="A12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_Palm_Farming_LPGLPG</v>
      </c>
      <c r="B1298" s="14" t="s">
        <v>122</v>
      </c>
      <c r="C1298" s="14" t="s">
        <v>30</v>
      </c>
      <c r="D1298" s="14" t="s">
        <v>194</v>
      </c>
      <c r="E1298" s="48" t="s">
        <v>367</v>
      </c>
      <c r="F1298" s="14" t="s">
        <v>1358</v>
      </c>
      <c r="G1298" s="14" t="b">
        <f>OR(LCI_Table[[#This Row],[Feedstock]]="All",LCI_Table[[#This Row],[Feedstock]]=SelectedFeedstock)</f>
        <v>0</v>
      </c>
      <c r="H1298" s="14" t="b">
        <f>OR(LCI_Table[[#This Row],[Conversion]]="All",LCI_Table[[#This Row],[Conversion]]=SelectedConversion)</f>
        <v>1</v>
      </c>
      <c r="I1298" s="14" t="b">
        <f>OR(LCI_Table[[#This Row],[Data Set]]="all",LCI_Table[[#This Row],[Data Set]]=SelectedDataSet)</f>
        <v>0</v>
      </c>
      <c r="J1298" s="14" t="b">
        <f>OR(LCI_Table[[#This Row],[Technology]]="All",LCI_Table[[#This Row],[Technology]]=SelectedTechnology)</f>
        <v>0</v>
      </c>
      <c r="K1298" s="14" t="b">
        <f>OR(LCI_Table[[#This Row],[Data Source]]="All",LCI_Table[[#This Row],[Data Source]]=SelectedDataSource)</f>
        <v>0</v>
      </c>
      <c r="L1298" s="14" t="b">
        <f>TRUE</f>
        <v>1</v>
      </c>
      <c r="M1298" s="14" t="b">
        <f>(LCI_Table[[#This Row],[Dev Notes]]="Do not display")</f>
        <v>0</v>
      </c>
      <c r="N1298" s="14" t="b">
        <f>AND(LCI_Table[[#This Row],[Show Feedstock]:[Conditional]],NOT(LCI_Table[[#This Row],[Hide Row]]))</f>
        <v>0</v>
      </c>
      <c r="O1298" s="14" t="b">
        <f>LCI_Table[[#This Row],[GREET1 Name Range]]=""</f>
        <v>0</v>
      </c>
      <c r="P1298" s="348" t="s">
        <v>14</v>
      </c>
      <c r="Q1298" s="14" t="s">
        <v>757</v>
      </c>
      <c r="R1298" s="14" t="s">
        <v>109</v>
      </c>
      <c r="S1298" s="37" cm="1">
        <f t="array" aca="1" ref="S12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98" s="346" t="s">
        <v>1484</v>
      </c>
      <c r="U1298" s="347">
        <f ca="1">S1298*Fuel_Specs!$B$35/S1286</f>
        <v>0</v>
      </c>
      <c r="V1298" s="347">
        <v>0</v>
      </c>
      <c r="W1298" s="347">
        <v>0</v>
      </c>
      <c r="X1298" s="14" t="s">
        <v>5</v>
      </c>
      <c r="Y1298" s="346" t="s">
        <v>413</v>
      </c>
      <c r="Z1298" s="14" t="str">
        <f>IF(ISBLANK(LCI_Table[[#This Row],[Notes for user]])," ",LCI_Table[[#This Row],[Notes for user]])</f>
        <v xml:space="preserve"> </v>
      </c>
      <c r="AA1298" s="14"/>
      <c r="AB1298" s="14"/>
      <c r="AC1298" s="346">
        <f ca="1">LCI_Table[[#This Row],[Default Calculated Value]]-LCI_Table[[#This Row],[Calculated Value]]</f>
        <v>0</v>
      </c>
    </row>
    <row r="1299" spans="1:29" x14ac:dyDescent="0.3">
      <c r="A12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_Palm_Farming_ElectricityElectricity</v>
      </c>
      <c r="B1299" s="14" t="s">
        <v>122</v>
      </c>
      <c r="C1299" s="14" t="s">
        <v>30</v>
      </c>
      <c r="D1299" s="14" t="s">
        <v>194</v>
      </c>
      <c r="E1299" s="48" t="s">
        <v>367</v>
      </c>
      <c r="F1299" s="14" t="s">
        <v>1358</v>
      </c>
      <c r="G1299" s="14" t="b">
        <f>OR(LCI_Table[[#This Row],[Feedstock]]="All",LCI_Table[[#This Row],[Feedstock]]=SelectedFeedstock)</f>
        <v>0</v>
      </c>
      <c r="H1299" s="14" t="b">
        <f>OR(LCI_Table[[#This Row],[Conversion]]="All",LCI_Table[[#This Row],[Conversion]]=SelectedConversion)</f>
        <v>1</v>
      </c>
      <c r="I1299" s="14" t="b">
        <f>OR(LCI_Table[[#This Row],[Data Set]]="all",LCI_Table[[#This Row],[Data Set]]=SelectedDataSet)</f>
        <v>0</v>
      </c>
      <c r="J1299" s="14" t="b">
        <f>OR(LCI_Table[[#This Row],[Technology]]="All",LCI_Table[[#This Row],[Technology]]=SelectedTechnology)</f>
        <v>0</v>
      </c>
      <c r="K1299" s="14" t="b">
        <f>OR(LCI_Table[[#This Row],[Data Source]]="All",LCI_Table[[#This Row],[Data Source]]=SelectedDataSource)</f>
        <v>0</v>
      </c>
      <c r="L1299" s="14" t="b">
        <f>TRUE</f>
        <v>1</v>
      </c>
      <c r="M1299" s="14" t="b">
        <f>(LCI_Table[[#This Row],[Dev Notes]]="Do not display")</f>
        <v>0</v>
      </c>
      <c r="N1299" s="14" t="b">
        <f>AND(LCI_Table[[#This Row],[Show Feedstock]:[Conditional]],NOT(LCI_Table[[#This Row],[Hide Row]]))</f>
        <v>0</v>
      </c>
      <c r="O1299" s="14" t="b">
        <f>LCI_Table[[#This Row],[GREET1 Name Range]]=""</f>
        <v>0</v>
      </c>
      <c r="P1299" s="348" t="s">
        <v>14</v>
      </c>
      <c r="Q1299" s="14" t="s">
        <v>752</v>
      </c>
      <c r="R1299" s="14" t="s">
        <v>110</v>
      </c>
      <c r="S1299" s="37" cm="1">
        <f t="array" aca="1" ref="S12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299" s="346" t="s">
        <v>1561</v>
      </c>
      <c r="U1299" s="347">
        <f ca="1">S1299/BTU2kWh/S1286</f>
        <v>0</v>
      </c>
      <c r="V1299" s="347">
        <v>0</v>
      </c>
      <c r="W1299" s="347">
        <v>0</v>
      </c>
      <c r="X1299" s="14" t="s">
        <v>51</v>
      </c>
      <c r="Y1299" s="346" t="s">
        <v>413</v>
      </c>
      <c r="Z1299" s="14" t="str">
        <f>IF(ISBLANK(LCI_Table[[#This Row],[Notes for user]])," ",LCI_Table[[#This Row],[Notes for user]])</f>
        <v xml:space="preserve"> </v>
      </c>
      <c r="AA1299" s="14"/>
      <c r="AB1299" s="14"/>
      <c r="AC1299" s="346">
        <f ca="1">LCI_Table[[#This Row],[Default Calculated Value]]-LCI_Table[[#This Row],[Calculated Value]]</f>
        <v>0</v>
      </c>
    </row>
    <row r="1300" spans="1:29" x14ac:dyDescent="0.3">
      <c r="A13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dash_PalmHEFAICAOANLOpen pond _Palm FFB_Extraction</v>
      </c>
      <c r="B1300" s="14" t="s">
        <v>122</v>
      </c>
      <c r="C1300" s="14" t="s">
        <v>30</v>
      </c>
      <c r="D1300" s="14" t="s">
        <v>194</v>
      </c>
      <c r="E1300" s="48" t="s">
        <v>367</v>
      </c>
      <c r="F1300" s="14" t="s">
        <v>1358</v>
      </c>
      <c r="G1300" s="14" t="b">
        <f>OR(LCI_Table[[#This Row],[Feedstock]]="All",LCI_Table[[#This Row],[Feedstock]]=SelectedFeedstock)</f>
        <v>0</v>
      </c>
      <c r="H1300" s="14" t="b">
        <f>OR(LCI_Table[[#This Row],[Conversion]]="All",LCI_Table[[#This Row],[Conversion]]=SelectedConversion)</f>
        <v>1</v>
      </c>
      <c r="I1300" s="14" t="b">
        <f>OR(LCI_Table[[#This Row],[Data Set]]="all",LCI_Table[[#This Row],[Data Set]]=SelectedDataSet)</f>
        <v>0</v>
      </c>
      <c r="J1300" s="14" t="b">
        <f>OR(LCI_Table[[#This Row],[Technology]]="All",LCI_Table[[#This Row],[Technology]]=SelectedTechnology)</f>
        <v>0</v>
      </c>
      <c r="K1300" s="14" t="b">
        <f>OR(LCI_Table[[#This Row],[Data Source]]="All",LCI_Table[[#This Row],[Data Source]]=SelectedDataSource)</f>
        <v>0</v>
      </c>
      <c r="L1300" s="14" t="b">
        <f>TRUE</f>
        <v>1</v>
      </c>
      <c r="M1300" s="14" t="b">
        <f>(LCI_Table[[#This Row],[Dev Notes]]="Do not display")</f>
        <v>1</v>
      </c>
      <c r="N1300" s="14" t="b">
        <f>AND(LCI_Table[[#This Row],[Show Feedstock]:[Conditional]],NOT(LCI_Table[[#This Row],[Hide Row]]))</f>
        <v>0</v>
      </c>
      <c r="O1300" s="14" t="b">
        <f>LCI_Table[[#This Row],[GREET1 Name Range]]=""</f>
        <v>1</v>
      </c>
      <c r="P1300" s="348" t="s">
        <v>15</v>
      </c>
      <c r="Q1300" s="14" t="s">
        <v>361</v>
      </c>
      <c r="R1300" s="14" t="s">
        <v>358</v>
      </c>
      <c r="S1300" s="37" cm="1">
        <f t="array" aca="1" ref="S13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3.2425436790399464</v>
      </c>
      <c r="T1300" s="346" t="s">
        <v>2111</v>
      </c>
      <c r="U1300" s="347">
        <f ca="1">S1300/MT2lb</f>
        <v>1.4707930722042486E-3</v>
      </c>
      <c r="V1300" s="347">
        <v>3.2425436790399464</v>
      </c>
      <c r="W1300" s="347">
        <v>1.4707930722042486E-3</v>
      </c>
      <c r="X1300" s="14" t="s">
        <v>12</v>
      </c>
      <c r="Y1300" s="346" t="s">
        <v>891</v>
      </c>
      <c r="Z1300" s="14" t="str">
        <f>IF(ISBLANK(LCI_Table[[#This Row],[Notes for user]])," ",LCI_Table[[#This Row],[Notes for user]])</f>
        <v xml:space="preserve"> </v>
      </c>
      <c r="AA1300" s="348"/>
      <c r="AB1300" s="348" t="s">
        <v>1138</v>
      </c>
      <c r="AC1300" s="346">
        <f ca="1">LCI_Table[[#This Row],[Default Calculated Value]]-LCI_Table[[#This Row],[Calculated Value]]</f>
        <v>0</v>
      </c>
    </row>
    <row r="1301" spans="1:29" x14ac:dyDescent="0.3">
      <c r="A13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_Palm_Extraction_Residual_oilResidual oil</v>
      </c>
      <c r="B1301" s="14" t="s">
        <v>122</v>
      </c>
      <c r="C1301" s="14" t="s">
        <v>30</v>
      </c>
      <c r="D1301" s="14" t="s">
        <v>194</v>
      </c>
      <c r="E1301" s="48" t="s">
        <v>367</v>
      </c>
      <c r="F1301" s="14" t="s">
        <v>1358</v>
      </c>
      <c r="G1301" s="14" t="b">
        <f>OR(LCI_Table[[#This Row],[Feedstock]]="All",LCI_Table[[#This Row],[Feedstock]]=SelectedFeedstock)</f>
        <v>0</v>
      </c>
      <c r="H1301" s="14" t="b">
        <f>OR(LCI_Table[[#This Row],[Conversion]]="All",LCI_Table[[#This Row],[Conversion]]=SelectedConversion)</f>
        <v>1</v>
      </c>
      <c r="I1301" s="14" t="b">
        <f>OR(LCI_Table[[#This Row],[Data Set]]="all",LCI_Table[[#This Row],[Data Set]]=SelectedDataSet)</f>
        <v>0</v>
      </c>
      <c r="J1301" s="14" t="b">
        <f>OR(LCI_Table[[#This Row],[Technology]]="All",LCI_Table[[#This Row],[Technology]]=SelectedTechnology)</f>
        <v>0</v>
      </c>
      <c r="K1301" s="14" t="b">
        <f>OR(LCI_Table[[#This Row],[Data Source]]="All",LCI_Table[[#This Row],[Data Source]]=SelectedDataSource)</f>
        <v>0</v>
      </c>
      <c r="L1301" s="14" t="b">
        <f>TRUE</f>
        <v>1</v>
      </c>
      <c r="M1301" s="14" t="b">
        <f>(LCI_Table[[#This Row],[Dev Notes]]="Do not display")</f>
        <v>0</v>
      </c>
      <c r="N1301" s="14" t="b">
        <f>AND(LCI_Table[[#This Row],[Show Feedstock]:[Conditional]],NOT(LCI_Table[[#This Row],[Hide Row]]))</f>
        <v>0</v>
      </c>
      <c r="O1301" s="14" t="b">
        <f>LCI_Table[[#This Row],[GREET1 Name Range]]=""</f>
        <v>0</v>
      </c>
      <c r="P1301" s="348" t="s">
        <v>15</v>
      </c>
      <c r="Q1301" s="14" t="s">
        <v>748</v>
      </c>
      <c r="R1301" s="14" t="s">
        <v>115</v>
      </c>
      <c r="S1301" s="37" cm="1">
        <f t="array" aca="1" ref="S13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01" s="346" t="s">
        <v>2112</v>
      </c>
      <c r="U1301" s="347">
        <f ca="1">S1301*Fuel_Specs!$B$28</f>
        <v>0</v>
      </c>
      <c r="V1301" s="347">
        <v>0</v>
      </c>
      <c r="W1301" s="347">
        <v>0</v>
      </c>
      <c r="X1301" s="14" t="s">
        <v>5</v>
      </c>
      <c r="Y1301" s="346" t="s">
        <v>891</v>
      </c>
      <c r="Z1301" s="14" t="str">
        <f>IF(ISBLANK(LCI_Table[[#This Row],[Notes for user]])," ",LCI_Table[[#This Row],[Notes for user]])</f>
        <v xml:space="preserve"> </v>
      </c>
      <c r="AA1301" s="14"/>
      <c r="AB1301" s="14"/>
      <c r="AC1301" s="346">
        <f ca="1">LCI_Table[[#This Row],[Default Calculated Value]]-LCI_Table[[#This Row],[Calculated Value]]</f>
        <v>0</v>
      </c>
    </row>
    <row r="1302" spans="1:29" x14ac:dyDescent="0.3">
      <c r="A13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_Palm_Extraction_DieselDiesel</v>
      </c>
      <c r="B1302" s="14" t="s">
        <v>122</v>
      </c>
      <c r="C1302" s="14" t="s">
        <v>30</v>
      </c>
      <c r="D1302" s="14" t="s">
        <v>194</v>
      </c>
      <c r="E1302" s="48" t="s">
        <v>367</v>
      </c>
      <c r="F1302" s="14" t="s">
        <v>1358</v>
      </c>
      <c r="G1302" s="14" t="b">
        <f>OR(LCI_Table[[#This Row],[Feedstock]]="All",LCI_Table[[#This Row],[Feedstock]]=SelectedFeedstock)</f>
        <v>0</v>
      </c>
      <c r="H1302" s="14" t="b">
        <f>OR(LCI_Table[[#This Row],[Conversion]]="All",LCI_Table[[#This Row],[Conversion]]=SelectedConversion)</f>
        <v>1</v>
      </c>
      <c r="I1302" s="14" t="b">
        <f>OR(LCI_Table[[#This Row],[Data Set]]="all",LCI_Table[[#This Row],[Data Set]]=SelectedDataSet)</f>
        <v>0</v>
      </c>
      <c r="J1302" s="14" t="b">
        <f>OR(LCI_Table[[#This Row],[Technology]]="All",LCI_Table[[#This Row],[Technology]]=SelectedTechnology)</f>
        <v>0</v>
      </c>
      <c r="K1302" s="14" t="b">
        <f>OR(LCI_Table[[#This Row],[Data Source]]="All",LCI_Table[[#This Row],[Data Source]]=SelectedDataSource)</f>
        <v>0</v>
      </c>
      <c r="L1302" s="14" t="b">
        <f>TRUE</f>
        <v>1</v>
      </c>
      <c r="M1302" s="14" t="b">
        <f>(LCI_Table[[#This Row],[Dev Notes]]="Do not display")</f>
        <v>0</v>
      </c>
      <c r="N1302" s="14" t="b">
        <f>AND(LCI_Table[[#This Row],[Show Feedstock]:[Conditional]],NOT(LCI_Table[[#This Row],[Hide Row]]))</f>
        <v>0</v>
      </c>
      <c r="O1302" s="14" t="b">
        <f>LCI_Table[[#This Row],[GREET1 Name Range]]=""</f>
        <v>0</v>
      </c>
      <c r="P1302" s="348" t="s">
        <v>15</v>
      </c>
      <c r="Q1302" s="14" t="s">
        <v>740</v>
      </c>
      <c r="R1302" s="14" t="s">
        <v>106</v>
      </c>
      <c r="S1302" s="37" cm="1">
        <f t="array" aca="1" ref="S13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3.1491765822153571E-3</v>
      </c>
      <c r="T1302" s="346" t="s">
        <v>2112</v>
      </c>
      <c r="U1302" s="347">
        <f ca="1">S1302*Fuel_Specs!$B$19</f>
        <v>404.51173198556262</v>
      </c>
      <c r="V1302" s="347">
        <v>3.1491765822153571E-3</v>
      </c>
      <c r="W1302" s="347">
        <v>404.51173198556262</v>
      </c>
      <c r="X1302" s="14" t="s">
        <v>5</v>
      </c>
      <c r="Y1302" s="346" t="s">
        <v>891</v>
      </c>
      <c r="Z1302" s="14" t="str">
        <f>IF(ISBLANK(LCI_Table[[#This Row],[Notes for user]])," ",LCI_Table[[#This Row],[Notes for user]])</f>
        <v xml:space="preserve"> </v>
      </c>
      <c r="AA1302" s="14"/>
      <c r="AB1302" s="14"/>
      <c r="AC1302" s="346">
        <f ca="1">LCI_Table[[#This Row],[Default Calculated Value]]-LCI_Table[[#This Row],[Calculated Value]]</f>
        <v>0</v>
      </c>
    </row>
    <row r="1303" spans="1:29" x14ac:dyDescent="0.3">
      <c r="A13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_Palm_Extraction_GasolineGasoline</v>
      </c>
      <c r="B1303" s="14" t="s">
        <v>122</v>
      </c>
      <c r="C1303" s="14" t="s">
        <v>30</v>
      </c>
      <c r="D1303" s="14" t="s">
        <v>194</v>
      </c>
      <c r="E1303" s="48" t="s">
        <v>367</v>
      </c>
      <c r="F1303" s="14" t="s">
        <v>1358</v>
      </c>
      <c r="G1303" s="14" t="b">
        <f>OR(LCI_Table[[#This Row],[Feedstock]]="All",LCI_Table[[#This Row],[Feedstock]]=SelectedFeedstock)</f>
        <v>0</v>
      </c>
      <c r="H1303" s="14" t="b">
        <f>OR(LCI_Table[[#This Row],[Conversion]]="All",LCI_Table[[#This Row],[Conversion]]=SelectedConversion)</f>
        <v>1</v>
      </c>
      <c r="I1303" s="14" t="b">
        <f>OR(LCI_Table[[#This Row],[Data Set]]="all",LCI_Table[[#This Row],[Data Set]]=SelectedDataSet)</f>
        <v>0</v>
      </c>
      <c r="J1303" s="14" t="b">
        <f>OR(LCI_Table[[#This Row],[Technology]]="All",LCI_Table[[#This Row],[Technology]]=SelectedTechnology)</f>
        <v>0</v>
      </c>
      <c r="K1303" s="14" t="b">
        <f>OR(LCI_Table[[#This Row],[Data Source]]="All",LCI_Table[[#This Row],[Data Source]]=SelectedDataSource)</f>
        <v>0</v>
      </c>
      <c r="L1303" s="14" t="b">
        <f>TRUE</f>
        <v>1</v>
      </c>
      <c r="M1303" s="14" t="b">
        <f>(LCI_Table[[#This Row],[Dev Notes]]="Do not display")</f>
        <v>0</v>
      </c>
      <c r="N1303" s="14" t="b">
        <f>AND(LCI_Table[[#This Row],[Show Feedstock]:[Conditional]],NOT(LCI_Table[[#This Row],[Hide Row]]))</f>
        <v>0</v>
      </c>
      <c r="O1303" s="14" t="b">
        <f>LCI_Table[[#This Row],[GREET1 Name Range]]=""</f>
        <v>0</v>
      </c>
      <c r="P1303" s="348" t="s">
        <v>15</v>
      </c>
      <c r="Q1303" s="14" t="s">
        <v>743</v>
      </c>
      <c r="R1303" s="14" t="s">
        <v>107</v>
      </c>
      <c r="S1303" s="37" cm="1">
        <f t="array" aca="1" ref="S13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03" s="346" t="s">
        <v>2112</v>
      </c>
      <c r="U1303" s="347">
        <f ca="1">S1303*Fuel_Specs!$B$15</f>
        <v>0</v>
      </c>
      <c r="V1303" s="347">
        <v>0</v>
      </c>
      <c r="W1303" s="347">
        <v>0</v>
      </c>
      <c r="X1303" s="14" t="s">
        <v>5</v>
      </c>
      <c r="Y1303" s="346" t="s">
        <v>891</v>
      </c>
      <c r="Z1303" s="14" t="str">
        <f>IF(ISBLANK(LCI_Table[[#This Row],[Notes for user]])," ",LCI_Table[[#This Row],[Notes for user]])</f>
        <v xml:space="preserve"> </v>
      </c>
      <c r="AA1303" s="14"/>
      <c r="AB1303" s="14"/>
      <c r="AC1303" s="346">
        <f ca="1">LCI_Table[[#This Row],[Default Calculated Value]]-LCI_Table[[#This Row],[Calculated Value]]</f>
        <v>0</v>
      </c>
    </row>
    <row r="1304" spans="1:29" x14ac:dyDescent="0.3">
      <c r="A13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_Palm_Extraction_Natural_gasNatural gas</v>
      </c>
      <c r="B1304" s="14" t="s">
        <v>122</v>
      </c>
      <c r="C1304" s="14" t="s">
        <v>30</v>
      </c>
      <c r="D1304" s="14" t="s">
        <v>194</v>
      </c>
      <c r="E1304" s="48" t="s">
        <v>367</v>
      </c>
      <c r="F1304" s="14" t="s">
        <v>1358</v>
      </c>
      <c r="G1304" s="14" t="b">
        <f>OR(LCI_Table[[#This Row],[Feedstock]]="All",LCI_Table[[#This Row],[Feedstock]]=SelectedFeedstock)</f>
        <v>0</v>
      </c>
      <c r="H1304" s="14" t="b">
        <f>OR(LCI_Table[[#This Row],[Conversion]]="All",LCI_Table[[#This Row],[Conversion]]=SelectedConversion)</f>
        <v>1</v>
      </c>
      <c r="I1304" s="14" t="b">
        <f>OR(LCI_Table[[#This Row],[Data Set]]="all",LCI_Table[[#This Row],[Data Set]]=SelectedDataSet)</f>
        <v>0</v>
      </c>
      <c r="J1304" s="14" t="b">
        <f>OR(LCI_Table[[#This Row],[Technology]]="All",LCI_Table[[#This Row],[Technology]]=SelectedTechnology)</f>
        <v>0</v>
      </c>
      <c r="K1304" s="14" t="b">
        <f>OR(LCI_Table[[#This Row],[Data Source]]="All",LCI_Table[[#This Row],[Data Source]]=SelectedDataSource)</f>
        <v>0</v>
      </c>
      <c r="L1304" s="14" t="b">
        <f>TRUE</f>
        <v>1</v>
      </c>
      <c r="M1304" s="14" t="b">
        <f>(LCI_Table[[#This Row],[Dev Notes]]="Do not display")</f>
        <v>0</v>
      </c>
      <c r="N1304" s="14" t="b">
        <f>AND(LCI_Table[[#This Row],[Show Feedstock]:[Conditional]],NOT(LCI_Table[[#This Row],[Hide Row]]))</f>
        <v>0</v>
      </c>
      <c r="O1304" s="14" t="b">
        <f>LCI_Table[[#This Row],[GREET1 Name Range]]=""</f>
        <v>0</v>
      </c>
      <c r="P1304" s="348" t="s">
        <v>15</v>
      </c>
      <c r="Q1304" s="14" t="s">
        <v>747</v>
      </c>
      <c r="R1304" s="14" t="s">
        <v>108</v>
      </c>
      <c r="S1304" s="37" cm="1">
        <f t="array" aca="1" ref="S13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04" s="346" t="s">
        <v>2113</v>
      </c>
      <c r="U1304" s="347">
        <f ca="1">S1304*Fuel_Specs!$B$79</f>
        <v>0</v>
      </c>
      <c r="V1304" s="347">
        <v>0</v>
      </c>
      <c r="W1304" s="347">
        <v>0</v>
      </c>
      <c r="X1304" s="14" t="s">
        <v>351</v>
      </c>
      <c r="Y1304" s="346" t="s">
        <v>891</v>
      </c>
      <c r="Z1304" s="14" t="str">
        <f>IF(ISBLANK(LCI_Table[[#This Row],[Notes for user]])," ",LCI_Table[[#This Row],[Notes for user]])</f>
        <v xml:space="preserve"> </v>
      </c>
      <c r="AA1304" s="14"/>
      <c r="AB1304" s="14"/>
      <c r="AC1304" s="346">
        <f ca="1">LCI_Table[[#This Row],[Default Calculated Value]]-LCI_Table[[#This Row],[Calculated Value]]</f>
        <v>0</v>
      </c>
    </row>
    <row r="1305" spans="1:29" x14ac:dyDescent="0.3">
      <c r="A13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_Palm_Extraction_CoalCoal</v>
      </c>
      <c r="B1305" s="14" t="s">
        <v>122</v>
      </c>
      <c r="C1305" s="14" t="s">
        <v>30</v>
      </c>
      <c r="D1305" s="14" t="s">
        <v>194</v>
      </c>
      <c r="E1305" s="48" t="s">
        <v>367</v>
      </c>
      <c r="F1305" s="14" t="s">
        <v>1358</v>
      </c>
      <c r="G1305" s="14" t="b">
        <f>OR(LCI_Table[[#This Row],[Feedstock]]="All",LCI_Table[[#This Row],[Feedstock]]=SelectedFeedstock)</f>
        <v>0</v>
      </c>
      <c r="H1305" s="14" t="b">
        <f>OR(LCI_Table[[#This Row],[Conversion]]="All",LCI_Table[[#This Row],[Conversion]]=SelectedConversion)</f>
        <v>1</v>
      </c>
      <c r="I1305" s="14" t="b">
        <f>OR(LCI_Table[[#This Row],[Data Set]]="all",LCI_Table[[#This Row],[Data Set]]=SelectedDataSet)</f>
        <v>0</v>
      </c>
      <c r="J1305" s="14" t="b">
        <f>OR(LCI_Table[[#This Row],[Technology]]="All",LCI_Table[[#This Row],[Technology]]=SelectedTechnology)</f>
        <v>0</v>
      </c>
      <c r="K1305" s="14" t="b">
        <f>OR(LCI_Table[[#This Row],[Data Source]]="All",LCI_Table[[#This Row],[Data Source]]=SelectedDataSource)</f>
        <v>0</v>
      </c>
      <c r="L1305" s="14" t="b">
        <f>TRUE</f>
        <v>1</v>
      </c>
      <c r="M1305" s="14" t="b">
        <f>(LCI_Table[[#This Row],[Dev Notes]]="Do not display")</f>
        <v>0</v>
      </c>
      <c r="N1305" s="14" t="b">
        <f>AND(LCI_Table[[#This Row],[Show Feedstock]:[Conditional]],NOT(LCI_Table[[#This Row],[Hide Row]]))</f>
        <v>0</v>
      </c>
      <c r="O1305" s="14" t="b">
        <f>LCI_Table[[#This Row],[GREET1 Name Range]]=""</f>
        <v>0</v>
      </c>
      <c r="P1305" s="348" t="s">
        <v>15</v>
      </c>
      <c r="Q1305" s="14" t="s">
        <v>739</v>
      </c>
      <c r="R1305" s="14" t="s">
        <v>9</v>
      </c>
      <c r="S1305" s="37" cm="1">
        <f t="array" aca="1" ref="S13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05" s="346" t="s">
        <v>2114</v>
      </c>
      <c r="U1305" s="347">
        <f ca="1">S1305</f>
        <v>0</v>
      </c>
      <c r="V1305" s="347">
        <v>0</v>
      </c>
      <c r="W1305" s="347">
        <v>0</v>
      </c>
      <c r="X1305" s="14" t="s">
        <v>117</v>
      </c>
      <c r="Y1305" s="346" t="s">
        <v>891</v>
      </c>
      <c r="Z1305" s="14" t="str">
        <f>IF(ISBLANK(LCI_Table[[#This Row],[Notes for user]])," ",LCI_Table[[#This Row],[Notes for user]])</f>
        <v xml:space="preserve"> </v>
      </c>
      <c r="AA1305" s="14"/>
      <c r="AB1305" s="14"/>
      <c r="AC1305" s="346">
        <f ca="1">LCI_Table[[#This Row],[Default Calculated Value]]-LCI_Table[[#This Row],[Calculated Value]]</f>
        <v>0</v>
      </c>
    </row>
    <row r="1306" spans="1:29" x14ac:dyDescent="0.3">
      <c r="A13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_Palm_Extraction_LPGLPG</v>
      </c>
      <c r="B1306" s="14" t="s">
        <v>122</v>
      </c>
      <c r="C1306" s="14" t="s">
        <v>30</v>
      </c>
      <c r="D1306" s="14" t="s">
        <v>194</v>
      </c>
      <c r="E1306" s="48" t="s">
        <v>367</v>
      </c>
      <c r="F1306" s="14" t="s">
        <v>1358</v>
      </c>
      <c r="G1306" s="14" t="b">
        <f>OR(LCI_Table[[#This Row],[Feedstock]]="All",LCI_Table[[#This Row],[Feedstock]]=SelectedFeedstock)</f>
        <v>0</v>
      </c>
      <c r="H1306" s="14" t="b">
        <f>OR(LCI_Table[[#This Row],[Conversion]]="All",LCI_Table[[#This Row],[Conversion]]=SelectedConversion)</f>
        <v>1</v>
      </c>
      <c r="I1306" s="14" t="b">
        <f>OR(LCI_Table[[#This Row],[Data Set]]="all",LCI_Table[[#This Row],[Data Set]]=SelectedDataSet)</f>
        <v>0</v>
      </c>
      <c r="J1306" s="14" t="b">
        <f>OR(LCI_Table[[#This Row],[Technology]]="All",LCI_Table[[#This Row],[Technology]]=SelectedTechnology)</f>
        <v>0</v>
      </c>
      <c r="K1306" s="14" t="b">
        <f>OR(LCI_Table[[#This Row],[Data Source]]="All",LCI_Table[[#This Row],[Data Source]]=SelectedDataSource)</f>
        <v>0</v>
      </c>
      <c r="L1306" s="14" t="b">
        <f>TRUE</f>
        <v>1</v>
      </c>
      <c r="M1306" s="14" t="b">
        <f>(LCI_Table[[#This Row],[Dev Notes]]="Do not display")</f>
        <v>0</v>
      </c>
      <c r="N1306" s="14" t="b">
        <f>AND(LCI_Table[[#This Row],[Show Feedstock]:[Conditional]],NOT(LCI_Table[[#This Row],[Hide Row]]))</f>
        <v>0</v>
      </c>
      <c r="O1306" s="14" t="b">
        <f>LCI_Table[[#This Row],[GREET1 Name Range]]=""</f>
        <v>0</v>
      </c>
      <c r="P1306" s="348" t="s">
        <v>15</v>
      </c>
      <c r="Q1306" s="14" t="s">
        <v>745</v>
      </c>
      <c r="R1306" s="14" t="s">
        <v>109</v>
      </c>
      <c r="S1306" s="37" cm="1">
        <f t="array" aca="1" ref="S13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06" s="346" t="s">
        <v>2112</v>
      </c>
      <c r="U1306" s="347">
        <f ca="1">S1306*Fuel_Specs!$B$35</f>
        <v>0</v>
      </c>
      <c r="V1306" s="347">
        <v>0</v>
      </c>
      <c r="W1306" s="347">
        <v>0</v>
      </c>
      <c r="X1306" s="14" t="s">
        <v>5</v>
      </c>
      <c r="Y1306" s="346" t="s">
        <v>891</v>
      </c>
      <c r="Z1306" s="14" t="str">
        <f>IF(ISBLANK(LCI_Table[[#This Row],[Notes for user]])," ",LCI_Table[[#This Row],[Notes for user]])</f>
        <v xml:space="preserve"> </v>
      </c>
      <c r="AA1306" s="14"/>
      <c r="AB1306" s="14"/>
      <c r="AC1306" s="346">
        <f ca="1">LCI_Table[[#This Row],[Default Calculated Value]]-LCI_Table[[#This Row],[Calculated Value]]</f>
        <v>0</v>
      </c>
    </row>
    <row r="1307" spans="1:29" x14ac:dyDescent="0.3">
      <c r="A13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_Palm_Extraction_ElectricityElectricity</v>
      </c>
      <c r="B1307" s="14" t="s">
        <v>122</v>
      </c>
      <c r="C1307" s="14" t="s">
        <v>30</v>
      </c>
      <c r="D1307" s="14" t="s">
        <v>194</v>
      </c>
      <c r="E1307" s="48" t="s">
        <v>367</v>
      </c>
      <c r="F1307" s="14" t="s">
        <v>1358</v>
      </c>
      <c r="G1307" s="14" t="b">
        <f>OR(LCI_Table[[#This Row],[Feedstock]]="All",LCI_Table[[#This Row],[Feedstock]]=SelectedFeedstock)</f>
        <v>0</v>
      </c>
      <c r="H1307" s="14" t="b">
        <f>OR(LCI_Table[[#This Row],[Conversion]]="All",LCI_Table[[#This Row],[Conversion]]=SelectedConversion)</f>
        <v>1</v>
      </c>
      <c r="I1307" s="14" t="b">
        <f>OR(LCI_Table[[#This Row],[Data Set]]="all",LCI_Table[[#This Row],[Data Set]]=SelectedDataSet)</f>
        <v>0</v>
      </c>
      <c r="J1307" s="14" t="b">
        <f>OR(LCI_Table[[#This Row],[Technology]]="All",LCI_Table[[#This Row],[Technology]]=SelectedTechnology)</f>
        <v>0</v>
      </c>
      <c r="K1307" s="14" t="b">
        <f>OR(LCI_Table[[#This Row],[Data Source]]="All",LCI_Table[[#This Row],[Data Source]]=SelectedDataSource)</f>
        <v>0</v>
      </c>
      <c r="L1307" s="14" t="b">
        <f>TRUE</f>
        <v>1</v>
      </c>
      <c r="M1307" s="14" t="b">
        <f>(LCI_Table[[#This Row],[Dev Notes]]="Do not display")</f>
        <v>0</v>
      </c>
      <c r="N1307" s="14" t="b">
        <f>AND(LCI_Table[[#This Row],[Show Feedstock]:[Conditional]],NOT(LCI_Table[[#This Row],[Hide Row]]))</f>
        <v>0</v>
      </c>
      <c r="O1307" s="14" t="b">
        <f>LCI_Table[[#This Row],[GREET1 Name Range]]=""</f>
        <v>0</v>
      </c>
      <c r="P1307" s="348" t="s">
        <v>15</v>
      </c>
      <c r="Q1307" s="14" t="s">
        <v>741</v>
      </c>
      <c r="R1307" s="14" t="s">
        <v>110</v>
      </c>
      <c r="S1307" s="37" cm="1">
        <f t="array" aca="1" ref="S13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1.5201738687500001E-2</v>
      </c>
      <c r="T1307" s="346" t="s">
        <v>2115</v>
      </c>
      <c r="U1307" s="347">
        <f ca="1">S1307/BTU2kWh</f>
        <v>51.870485600359451</v>
      </c>
      <c r="V1307" s="347">
        <v>1.5201738687500001E-2</v>
      </c>
      <c r="W1307" s="347">
        <v>51.870485600359451</v>
      </c>
      <c r="X1307" s="14" t="s">
        <v>51</v>
      </c>
      <c r="Y1307" s="346" t="s">
        <v>891</v>
      </c>
      <c r="Z1307" s="14" t="str">
        <f>IF(ISBLANK(LCI_Table[[#This Row],[Notes for user]])," ",LCI_Table[[#This Row],[Notes for user]])</f>
        <v xml:space="preserve"> </v>
      </c>
      <c r="AA1307" s="14"/>
      <c r="AB1307" s="14"/>
      <c r="AC1307" s="346">
        <f ca="1">LCI_Table[[#This Row],[Default Calculated Value]]-LCI_Table[[#This Row],[Calculated Value]]</f>
        <v>0</v>
      </c>
    </row>
    <row r="1308" spans="1:29" x14ac:dyDescent="0.3">
      <c r="A13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_Palm_Extraction_N_hexaneN-hexane</v>
      </c>
      <c r="B1308" s="14" t="s">
        <v>122</v>
      </c>
      <c r="C1308" s="14" t="s">
        <v>30</v>
      </c>
      <c r="D1308" s="14" t="s">
        <v>194</v>
      </c>
      <c r="E1308" s="48" t="s">
        <v>367</v>
      </c>
      <c r="F1308" s="14" t="s">
        <v>1358</v>
      </c>
      <c r="G1308" s="14" t="b">
        <f>OR(LCI_Table[[#This Row],[Feedstock]]="All",LCI_Table[[#This Row],[Feedstock]]=SelectedFeedstock)</f>
        <v>0</v>
      </c>
      <c r="H1308" s="14" t="b">
        <f>OR(LCI_Table[[#This Row],[Conversion]]="All",LCI_Table[[#This Row],[Conversion]]=SelectedConversion)</f>
        <v>1</v>
      </c>
      <c r="I1308" s="14" t="b">
        <f>OR(LCI_Table[[#This Row],[Data Set]]="all",LCI_Table[[#This Row],[Data Set]]=SelectedDataSet)</f>
        <v>0</v>
      </c>
      <c r="J1308" s="14" t="b">
        <f>OR(LCI_Table[[#This Row],[Technology]]="All",LCI_Table[[#This Row],[Technology]]=SelectedTechnology)</f>
        <v>0</v>
      </c>
      <c r="K1308" s="14" t="b">
        <f>OR(LCI_Table[[#This Row],[Data Source]]="All",LCI_Table[[#This Row],[Data Source]]=SelectedDataSource)</f>
        <v>0</v>
      </c>
      <c r="L1308" s="14" t="b">
        <f>TRUE</f>
        <v>1</v>
      </c>
      <c r="M1308" s="14" t="b">
        <f>(LCI_Table[[#This Row],[Dev Notes]]="Do not display")</f>
        <v>0</v>
      </c>
      <c r="N1308" s="14" t="b">
        <f>AND(LCI_Table[[#This Row],[Show Feedstock]:[Conditional]],NOT(LCI_Table[[#This Row],[Hide Row]]))</f>
        <v>0</v>
      </c>
      <c r="O1308" s="14" t="b">
        <f>LCI_Table[[#This Row],[GREET1 Name Range]]=""</f>
        <v>0</v>
      </c>
      <c r="P1308" s="348" t="s">
        <v>15</v>
      </c>
      <c r="Q1308" s="14" t="s">
        <v>746</v>
      </c>
      <c r="R1308" s="14" t="s">
        <v>116</v>
      </c>
      <c r="S1308" s="37" cm="1">
        <f t="array" aca="1" ref="S13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08" s="346" t="s">
        <v>2111</v>
      </c>
      <c r="U1308" s="347">
        <f ca="1">S1308*Fuel_Specs!$B$58*ton2lb</f>
        <v>0</v>
      </c>
      <c r="V1308" s="347">
        <v>0</v>
      </c>
      <c r="W1308" s="347">
        <v>0</v>
      </c>
      <c r="X1308" s="14" t="s">
        <v>12</v>
      </c>
      <c r="Y1308" s="346" t="s">
        <v>891</v>
      </c>
      <c r="Z1308" s="14" t="str">
        <f>IF(ISBLANK(LCI_Table[[#This Row],[Notes for user]])," ",LCI_Table[[#This Row],[Notes for user]])</f>
        <v xml:space="preserve"> </v>
      </c>
      <c r="AA1308" s="14"/>
      <c r="AB1308" s="14"/>
      <c r="AC1308" s="346">
        <f ca="1">LCI_Table[[#This Row],[Default Calculated Value]]-LCI_Table[[#This Row],[Calculated Value]]</f>
        <v>0</v>
      </c>
    </row>
    <row r="1309" spans="1:29" x14ac:dyDescent="0.3">
      <c r="A13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_Palm_Extraction_Forest_residueForest residue</v>
      </c>
      <c r="B1309" s="14" t="s">
        <v>122</v>
      </c>
      <c r="C1309" s="14" t="s">
        <v>30</v>
      </c>
      <c r="D1309" s="14" t="s">
        <v>194</v>
      </c>
      <c r="E1309" s="48" t="s">
        <v>367</v>
      </c>
      <c r="F1309" s="14" t="s">
        <v>1358</v>
      </c>
      <c r="G1309" s="14" t="b">
        <f>OR(LCI_Table[[#This Row],[Feedstock]]="All",LCI_Table[[#This Row],[Feedstock]]=SelectedFeedstock)</f>
        <v>0</v>
      </c>
      <c r="H1309" s="14" t="b">
        <f>OR(LCI_Table[[#This Row],[Conversion]]="All",LCI_Table[[#This Row],[Conversion]]=SelectedConversion)</f>
        <v>1</v>
      </c>
      <c r="I1309" s="14" t="b">
        <f>OR(LCI_Table[[#This Row],[Data Set]]="all",LCI_Table[[#This Row],[Data Set]]=SelectedDataSet)</f>
        <v>0</v>
      </c>
      <c r="J1309" s="14" t="b">
        <f>OR(LCI_Table[[#This Row],[Technology]]="All",LCI_Table[[#This Row],[Technology]]=SelectedTechnology)</f>
        <v>0</v>
      </c>
      <c r="K1309" s="14" t="b">
        <f>OR(LCI_Table[[#This Row],[Data Source]]="All",LCI_Table[[#This Row],[Data Source]]=SelectedDataSource)</f>
        <v>0</v>
      </c>
      <c r="L1309" s="14" t="b">
        <f>TRUE</f>
        <v>1</v>
      </c>
      <c r="M1309" s="14" t="b">
        <f>(LCI_Table[[#This Row],[Dev Notes]]="Do not display")</f>
        <v>0</v>
      </c>
      <c r="N1309" s="14" t="b">
        <f>AND(LCI_Table[[#This Row],[Show Feedstock]:[Conditional]],NOT(LCI_Table[[#This Row],[Hide Row]]))</f>
        <v>0</v>
      </c>
      <c r="O1309" s="14" t="b">
        <f>LCI_Table[[#This Row],[GREET1 Name Range]]=""</f>
        <v>0</v>
      </c>
      <c r="P1309" s="348" t="s">
        <v>15</v>
      </c>
      <c r="Q1309" s="14" t="s">
        <v>742</v>
      </c>
      <c r="R1309" s="14" t="s">
        <v>316</v>
      </c>
      <c r="S1309" s="37" cm="1">
        <f t="array" aca="1" ref="S13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09" s="346" t="s">
        <v>2111</v>
      </c>
      <c r="U1309" s="347">
        <f ca="1">S1309*Fuel_Specs!$B$100*ton2lb</f>
        <v>0</v>
      </c>
      <c r="V1309" s="347">
        <v>0</v>
      </c>
      <c r="W1309" s="347">
        <v>0</v>
      </c>
      <c r="X1309" s="14" t="s">
        <v>12</v>
      </c>
      <c r="Y1309" s="346" t="s">
        <v>891</v>
      </c>
      <c r="Z1309" s="14" t="str">
        <f>IF(ISBLANK(LCI_Table[[#This Row],[Notes for user]])," ",LCI_Table[[#This Row],[Notes for user]])</f>
        <v xml:space="preserve"> </v>
      </c>
      <c r="AA1309" s="14"/>
      <c r="AB1309" s="14"/>
      <c r="AC1309" s="346">
        <f ca="1">LCI_Table[[#This Row],[Default Calculated Value]]-LCI_Table[[#This Row],[Calculated Value]]</f>
        <v>0</v>
      </c>
    </row>
    <row r="1310" spans="1:29" x14ac:dyDescent="0.3">
      <c r="A13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_Palm_Extraction_Landfill_gasLandfill gas</v>
      </c>
      <c r="B1310" s="14" t="s">
        <v>122</v>
      </c>
      <c r="C1310" s="14" t="s">
        <v>30</v>
      </c>
      <c r="D1310" s="14" t="s">
        <v>194</v>
      </c>
      <c r="E1310" s="48" t="s">
        <v>367</v>
      </c>
      <c r="F1310" s="14" t="s">
        <v>1358</v>
      </c>
      <c r="G1310" s="14" t="b">
        <f>OR(LCI_Table[[#This Row],[Feedstock]]="All",LCI_Table[[#This Row],[Feedstock]]=SelectedFeedstock)</f>
        <v>0</v>
      </c>
      <c r="H1310" s="14" t="b">
        <f>OR(LCI_Table[[#This Row],[Conversion]]="All",LCI_Table[[#This Row],[Conversion]]=SelectedConversion)</f>
        <v>1</v>
      </c>
      <c r="I1310" s="14" t="b">
        <f>OR(LCI_Table[[#This Row],[Data Set]]="all",LCI_Table[[#This Row],[Data Set]]=SelectedDataSet)</f>
        <v>0</v>
      </c>
      <c r="J1310" s="14" t="b">
        <f>OR(LCI_Table[[#This Row],[Technology]]="All",LCI_Table[[#This Row],[Technology]]=SelectedTechnology)</f>
        <v>0</v>
      </c>
      <c r="K1310" s="14" t="b">
        <f>OR(LCI_Table[[#This Row],[Data Source]]="All",LCI_Table[[#This Row],[Data Source]]=SelectedDataSource)</f>
        <v>0</v>
      </c>
      <c r="L1310" s="14" t="b">
        <f>TRUE</f>
        <v>1</v>
      </c>
      <c r="M1310" s="14" t="b">
        <f>(LCI_Table[[#This Row],[Dev Notes]]="Do not display")</f>
        <v>0</v>
      </c>
      <c r="N1310" s="14" t="b">
        <f>AND(LCI_Table[[#This Row],[Show Feedstock]:[Conditional]],NOT(LCI_Table[[#This Row],[Hide Row]]))</f>
        <v>0</v>
      </c>
      <c r="O1310" s="14" t="b">
        <f>LCI_Table[[#This Row],[GREET1 Name Range]]=""</f>
        <v>0</v>
      </c>
      <c r="P1310" s="348" t="s">
        <v>15</v>
      </c>
      <c r="Q1310" s="14" t="s">
        <v>744</v>
      </c>
      <c r="R1310" s="14" t="s">
        <v>130</v>
      </c>
      <c r="S1310" s="37" cm="1">
        <f t="array" aca="1" ref="S13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10" s="346" t="s">
        <v>2113</v>
      </c>
      <c r="U1310" s="347">
        <f ca="1">S1310*Fuel_Specs!$B$79</f>
        <v>0</v>
      </c>
      <c r="V1310" s="347">
        <v>0</v>
      </c>
      <c r="W1310" s="347">
        <v>0</v>
      </c>
      <c r="X1310" s="14" t="s">
        <v>351</v>
      </c>
      <c r="Y1310" s="346" t="s">
        <v>891</v>
      </c>
      <c r="Z1310" s="14" t="str">
        <f>IF(ISBLANK(LCI_Table[[#This Row],[Notes for user]])," ",LCI_Table[[#This Row],[Notes for user]])</f>
        <v xml:space="preserve"> </v>
      </c>
      <c r="AA1310" s="14"/>
      <c r="AB1310" s="14"/>
      <c r="AC1310" s="346">
        <f ca="1">LCI_Table[[#This Row],[Default Calculated Value]]-LCI_Table[[#This Row],[Calculated Value]]</f>
        <v>0</v>
      </c>
    </row>
    <row r="1311" spans="1:29" x14ac:dyDescent="0.3">
      <c r="A13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_Palm_Oil_Extraction_Energy_AllocationAllocation factor</v>
      </c>
      <c r="B1311" s="14" t="s">
        <v>122</v>
      </c>
      <c r="C1311" s="14" t="s">
        <v>30</v>
      </c>
      <c r="D1311" s="14" t="s">
        <v>194</v>
      </c>
      <c r="E1311" s="48" t="s">
        <v>367</v>
      </c>
      <c r="F1311" s="14" t="s">
        <v>1358</v>
      </c>
      <c r="G1311" s="14" t="b">
        <f>OR(LCI_Table[[#This Row],[Feedstock]]="All",LCI_Table[[#This Row],[Feedstock]]=SelectedFeedstock)</f>
        <v>0</v>
      </c>
      <c r="H1311" s="14" t="b">
        <f>OR(LCI_Table[[#This Row],[Conversion]]="All",LCI_Table[[#This Row],[Conversion]]=SelectedConversion)</f>
        <v>1</v>
      </c>
      <c r="I1311" s="14" t="b">
        <f>OR(LCI_Table[[#This Row],[Data Set]]="all",LCI_Table[[#This Row],[Data Set]]=SelectedDataSet)</f>
        <v>0</v>
      </c>
      <c r="J1311" s="14" t="b">
        <f>OR(LCI_Table[[#This Row],[Technology]]="All",LCI_Table[[#This Row],[Technology]]=SelectedTechnology)</f>
        <v>0</v>
      </c>
      <c r="K1311" s="14" t="b">
        <f>OR(LCI_Table[[#This Row],[Data Source]]="All",LCI_Table[[#This Row],[Data Source]]=SelectedDataSource)</f>
        <v>0</v>
      </c>
      <c r="L1311" s="14" t="b">
        <f>TRUE</f>
        <v>1</v>
      </c>
      <c r="M1311" s="14" t="b">
        <f>(LCI_Table[[#This Row],[Dev Notes]]="Do not display")</f>
        <v>0</v>
      </c>
      <c r="N1311" s="14" t="b">
        <f>AND(LCI_Table[[#This Row],[Show Feedstock]:[Conditional]],NOT(LCI_Table[[#This Row],[Hide Row]]))</f>
        <v>0</v>
      </c>
      <c r="O1311" s="14" t="b">
        <f>LCI_Table[[#This Row],[GREET1 Name Range]]=""</f>
        <v>0</v>
      </c>
      <c r="P1311" s="14" t="s">
        <v>15</v>
      </c>
      <c r="Q1311" s="14" t="s">
        <v>1106</v>
      </c>
      <c r="R1311" s="14" t="s">
        <v>1344</v>
      </c>
      <c r="S1311" s="37" cm="1">
        <f t="array" aca="1" ref="S13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98.100178806700498</v>
      </c>
      <c r="T1311" s="346" t="s">
        <v>1345</v>
      </c>
      <c r="U1311" s="347">
        <f ca="1">LCI_Table[[#This Row],[Dashboard Value]]/100</f>
        <v>0.981001788067005</v>
      </c>
      <c r="V1311" s="347">
        <v>98.100178806700498</v>
      </c>
      <c r="W1311" s="347">
        <v>0.981001788067005</v>
      </c>
      <c r="X1311" s="14" t="s">
        <v>1345</v>
      </c>
      <c r="Y1311" s="346" t="s">
        <v>891</v>
      </c>
      <c r="Z1311" s="14" t="str">
        <f>IF(ISBLANK(LCI_Table[[#This Row],[Notes for user]])," ",LCI_Table[[#This Row],[Notes for user]])</f>
        <v>Allocation to palm oil (energy allocation)</v>
      </c>
      <c r="AA1311" s="14" t="s">
        <v>1355</v>
      </c>
      <c r="AB1311" s="14"/>
      <c r="AC1311" s="346">
        <f ca="1">LCI_Table[[#This Row],[Default Calculated Value]]-LCI_Table[[#This Row],[Calculated Value]]</f>
        <v>0</v>
      </c>
    </row>
    <row r="1312" spans="1:29" x14ac:dyDescent="0.3">
      <c r="A13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dash_PalmHEFAICAOANLOpen pond _Open/closed CH4 selector_Extraction</v>
      </c>
      <c r="B1312" s="14" t="s">
        <v>122</v>
      </c>
      <c r="C1312" s="14" t="s">
        <v>30</v>
      </c>
      <c r="D1312" s="14" t="s">
        <v>194</v>
      </c>
      <c r="E1312" s="48" t="s">
        <v>367</v>
      </c>
      <c r="F1312" s="14" t="s">
        <v>1358</v>
      </c>
      <c r="G1312" s="14" t="b">
        <f>OR(LCI_Table[[#This Row],[Feedstock]]="All",LCI_Table[[#This Row],[Feedstock]]=SelectedFeedstock)</f>
        <v>0</v>
      </c>
      <c r="H1312" s="14" t="b">
        <f>OR(LCI_Table[[#This Row],[Conversion]]="All",LCI_Table[[#This Row],[Conversion]]=SelectedConversion)</f>
        <v>1</v>
      </c>
      <c r="I1312" s="14" t="b">
        <f>OR(LCI_Table[[#This Row],[Data Set]]="all",LCI_Table[[#This Row],[Data Set]]=SelectedDataSet)</f>
        <v>0</v>
      </c>
      <c r="J1312" s="14" t="b">
        <f>OR(LCI_Table[[#This Row],[Technology]]="All",LCI_Table[[#This Row],[Technology]]=SelectedTechnology)</f>
        <v>0</v>
      </c>
      <c r="K1312" s="14" t="b">
        <f>OR(LCI_Table[[#This Row],[Data Source]]="All",LCI_Table[[#This Row],[Data Source]]=SelectedDataSource)</f>
        <v>0</v>
      </c>
      <c r="L1312" s="14" t="b">
        <f>TRUE</f>
        <v>1</v>
      </c>
      <c r="M1312" s="14" t="b">
        <f>(LCI_Table[[#This Row],[Dev Notes]]="Do not display")</f>
        <v>1</v>
      </c>
      <c r="N1312" s="14" t="b">
        <f>AND(LCI_Table[[#This Row],[Show Feedstock]:[Conditional]],NOT(LCI_Table[[#This Row],[Hide Row]]))</f>
        <v>0</v>
      </c>
      <c r="O1312" s="14" t="b">
        <f>LCI_Table[[#This Row],[GREET1 Name Range]]=""</f>
        <v>1</v>
      </c>
      <c r="P1312" s="14" t="s">
        <v>15</v>
      </c>
      <c r="Q1312" s="14" t="s">
        <v>361</v>
      </c>
      <c r="R1312" s="14" t="s">
        <v>1127</v>
      </c>
      <c r="S1312" s="37" cm="1">
        <f t="array" aca="1" ref="S13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v>
      </c>
      <c r="T1312" s="346" t="s">
        <v>2117</v>
      </c>
      <c r="U1312" s="352">
        <v>1</v>
      </c>
      <c r="V1312" s="352">
        <v>1</v>
      </c>
      <c r="W1312" s="352">
        <v>1</v>
      </c>
      <c r="X1312" s="14"/>
      <c r="Y1312" s="346" t="s">
        <v>891</v>
      </c>
      <c r="Z1312" s="14" t="str">
        <f>IF(ISBLANK(LCI_Table[[#This Row],[Notes for user]])," ",LCI_Table[[#This Row],[Notes for user]])</f>
        <v xml:space="preserve"> </v>
      </c>
      <c r="AA1312" s="14"/>
      <c r="AB1312" s="348" t="s">
        <v>1138</v>
      </c>
      <c r="AC1312" s="346">
        <f>LCI_Table[[#This Row],[Default Calculated Value]]-LCI_Table[[#This Row],[Calculated Value]]</f>
        <v>0</v>
      </c>
    </row>
    <row r="1313" spans="1:29" x14ac:dyDescent="0.3">
      <c r="A13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_Palm_Extraction_CH4_POMECH4 (POME emissions)</v>
      </c>
      <c r="B1313" s="14" t="s">
        <v>122</v>
      </c>
      <c r="C1313" s="14" t="s">
        <v>30</v>
      </c>
      <c r="D1313" s="14" t="s">
        <v>194</v>
      </c>
      <c r="E1313" s="48" t="s">
        <v>367</v>
      </c>
      <c r="F1313" s="14" t="s">
        <v>1358</v>
      </c>
      <c r="G1313" s="14" t="b">
        <f>OR(LCI_Table[[#This Row],[Feedstock]]="All",LCI_Table[[#This Row],[Feedstock]]=SelectedFeedstock)</f>
        <v>0</v>
      </c>
      <c r="H1313" s="14" t="b">
        <f>OR(LCI_Table[[#This Row],[Conversion]]="All",LCI_Table[[#This Row],[Conversion]]=SelectedConversion)</f>
        <v>1</v>
      </c>
      <c r="I1313" s="14" t="b">
        <f>OR(LCI_Table[[#This Row],[Data Set]]="all",LCI_Table[[#This Row],[Data Set]]=SelectedDataSet)</f>
        <v>0</v>
      </c>
      <c r="J1313" s="14" t="b">
        <f>OR(LCI_Table[[#This Row],[Technology]]="All",LCI_Table[[#This Row],[Technology]]=SelectedTechnology)</f>
        <v>0</v>
      </c>
      <c r="K1313" s="14" t="b">
        <f>OR(LCI_Table[[#This Row],[Data Source]]="All",LCI_Table[[#This Row],[Data Source]]=SelectedDataSource)</f>
        <v>0</v>
      </c>
      <c r="L1313" s="14" t="b">
        <f>TRUE</f>
        <v>1</v>
      </c>
      <c r="M1313" s="14" t="b">
        <f>(LCI_Table[[#This Row],[Dev Notes]]="Do not display")</f>
        <v>1</v>
      </c>
      <c r="N1313" s="14" t="b">
        <f>AND(LCI_Table[[#This Row],[Show Feedstock]:[Conditional]],NOT(LCI_Table[[#This Row],[Hide Row]]))</f>
        <v>0</v>
      </c>
      <c r="O1313" s="14" t="b">
        <f>LCI_Table[[#This Row],[GREET1 Name Range]]=""</f>
        <v>0</v>
      </c>
      <c r="P1313" s="14" t="s">
        <v>15</v>
      </c>
      <c r="Q1313" s="14" t="s">
        <v>738</v>
      </c>
      <c r="R1313" s="14" t="s">
        <v>440</v>
      </c>
      <c r="S1313" s="37" cm="1">
        <f t="array" aca="1" ref="S13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14.151979334596957</v>
      </c>
      <c r="T1313" s="346" t="s">
        <v>2118</v>
      </c>
      <c r="U1313" s="347">
        <f ca="1">S1313</f>
        <v>14.151979334596957</v>
      </c>
      <c r="V1313" s="347">
        <v>14.151979334596957</v>
      </c>
      <c r="W1313" s="347">
        <v>14.151979334596957</v>
      </c>
      <c r="X1313" s="14" t="s">
        <v>6</v>
      </c>
      <c r="Y1313" s="346" t="s">
        <v>891</v>
      </c>
      <c r="Z1313" s="14" t="str">
        <f>IF(ISBLANK(LCI_Table[[#This Row],[Notes for user]])," ",LCI_Table[[#This Row],[Notes for user]])</f>
        <v xml:space="preserve"> </v>
      </c>
      <c r="AA1313" s="14"/>
      <c r="AB1313" s="14" t="s">
        <v>1138</v>
      </c>
      <c r="AC1313" s="346">
        <f ca="1">LCI_Table[[#This Row],[Default Calculated Value]]-LCI_Table[[#This Row],[Calculated Value]]</f>
        <v>0</v>
      </c>
    </row>
    <row r="1314" spans="1:29" x14ac:dyDescent="0.3">
      <c r="A13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_HEFA_feed_usagePalm oil</v>
      </c>
      <c r="B1314" s="14" t="s">
        <v>122</v>
      </c>
      <c r="C1314" s="14" t="s">
        <v>30</v>
      </c>
      <c r="D1314" s="14" t="s">
        <v>194</v>
      </c>
      <c r="E1314" s="48" t="s">
        <v>367</v>
      </c>
      <c r="F1314" s="14" t="s">
        <v>1358</v>
      </c>
      <c r="G1314" s="14" t="b">
        <f>OR(LCI_Table[[#This Row],[Feedstock]]="All",LCI_Table[[#This Row],[Feedstock]]=SelectedFeedstock)</f>
        <v>0</v>
      </c>
      <c r="H1314" s="14" t="b">
        <f>OR(LCI_Table[[#This Row],[Conversion]]="All",LCI_Table[[#This Row],[Conversion]]=SelectedConversion)</f>
        <v>1</v>
      </c>
      <c r="I1314" s="14" t="b">
        <f>OR(LCI_Table[[#This Row],[Data Set]]="all",LCI_Table[[#This Row],[Data Set]]=SelectedDataSet)</f>
        <v>0</v>
      </c>
      <c r="J1314" s="14" t="b">
        <f>OR(LCI_Table[[#This Row],[Technology]]="All",LCI_Table[[#This Row],[Technology]]=SelectedTechnology)</f>
        <v>0</v>
      </c>
      <c r="K1314" s="14" t="b">
        <f>OR(LCI_Table[[#This Row],[Data Source]]="All",LCI_Table[[#This Row],[Data Source]]=SelectedDataSource)</f>
        <v>0</v>
      </c>
      <c r="L1314" s="14" t="b">
        <f>TRUE</f>
        <v>1</v>
      </c>
      <c r="M1314" s="14" t="b">
        <f>(LCI_Table[[#This Row],[Dev Notes]]="Do not display")</f>
        <v>0</v>
      </c>
      <c r="N1314" s="14" t="b">
        <f>AND(LCI_Table[[#This Row],[Show Feedstock]:[Conditional]],NOT(LCI_Table[[#This Row],[Hide Row]]))</f>
        <v>0</v>
      </c>
      <c r="O1314" s="14" t="b">
        <f>LCI_Table[[#This Row],[GREET1 Name Range]]=""</f>
        <v>0</v>
      </c>
      <c r="P1314" s="14" t="s">
        <v>1448</v>
      </c>
      <c r="Q1314" s="14" t="s">
        <v>933</v>
      </c>
      <c r="R1314" s="14" t="s">
        <v>360</v>
      </c>
      <c r="S1314" s="37" cm="1">
        <f t="array" aca="1" ref="S13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62.29565970924795</v>
      </c>
      <c r="T1314" s="346" t="s">
        <v>2119</v>
      </c>
      <c r="U1314" s="347">
        <f ca="1">S1314*lb2g/Fuel_Specs!$E$48*Fuel_Specs!$B$48*BTU2mmBTU/Allocations!$O$124</f>
        <v>1.2700000000000002</v>
      </c>
      <c r="V1314" s="347">
        <v>62.29565970924795</v>
      </c>
      <c r="W1314" s="347">
        <v>1.2700000000000002</v>
      </c>
      <c r="X1314" s="14" t="s">
        <v>12</v>
      </c>
      <c r="Y1314" s="346" t="s">
        <v>416</v>
      </c>
      <c r="Z1314" s="14" t="str">
        <f>IF(ISBLANK(LCI_Table[[#This Row],[Notes for user]])," ",LCI_Table[[#This Row],[Notes for user]])</f>
        <v xml:space="preserve"> </v>
      </c>
      <c r="AA1314" s="358"/>
      <c r="AB1314" s="14"/>
      <c r="AC1314" s="346">
        <f ca="1">LCI_Table[[#This Row],[Default Calculated Value]]-LCI_Table[[#This Row],[Calculated Value]]</f>
        <v>0</v>
      </c>
    </row>
    <row r="1315" spans="1:29" x14ac:dyDescent="0.3">
      <c r="A13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_Palm_HEFA_Natural_gasNatural gas</v>
      </c>
      <c r="B1315" s="14" t="s">
        <v>122</v>
      </c>
      <c r="C1315" s="14" t="s">
        <v>30</v>
      </c>
      <c r="D1315" s="14" t="s">
        <v>194</v>
      </c>
      <c r="E1315" s="48" t="s">
        <v>367</v>
      </c>
      <c r="F1315" s="14" t="s">
        <v>1358</v>
      </c>
      <c r="G1315" s="14" t="b">
        <f>OR(LCI_Table[[#This Row],[Feedstock]]="All",LCI_Table[[#This Row],[Feedstock]]=SelectedFeedstock)</f>
        <v>0</v>
      </c>
      <c r="H1315" s="14" t="b">
        <f>OR(LCI_Table[[#This Row],[Conversion]]="All",LCI_Table[[#This Row],[Conversion]]=SelectedConversion)</f>
        <v>1</v>
      </c>
      <c r="I1315" s="14" t="b">
        <f>OR(LCI_Table[[#This Row],[Data Set]]="all",LCI_Table[[#This Row],[Data Set]]=SelectedDataSet)</f>
        <v>0</v>
      </c>
      <c r="J1315" s="14" t="b">
        <f>OR(LCI_Table[[#This Row],[Technology]]="All",LCI_Table[[#This Row],[Technology]]=SelectedTechnology)</f>
        <v>0</v>
      </c>
      <c r="K1315" s="14" t="b">
        <f>OR(LCI_Table[[#This Row],[Data Source]]="All",LCI_Table[[#This Row],[Data Source]]=SelectedDataSource)</f>
        <v>0</v>
      </c>
      <c r="L1315" s="14" t="b">
        <f>TRUE</f>
        <v>1</v>
      </c>
      <c r="M1315" s="14" t="b">
        <f>(LCI_Table[[#This Row],[Dev Notes]]="Do not display")</f>
        <v>0</v>
      </c>
      <c r="N1315" s="14" t="b">
        <f>AND(LCI_Table[[#This Row],[Show Feedstock]:[Conditional]],NOT(LCI_Table[[#This Row],[Hide Row]]))</f>
        <v>0</v>
      </c>
      <c r="O1315" s="14" t="b">
        <f>LCI_Table[[#This Row],[GREET1 Name Range]]=""</f>
        <v>0</v>
      </c>
      <c r="P1315" s="14" t="s">
        <v>1448</v>
      </c>
      <c r="Q1315" s="14" t="s">
        <v>764</v>
      </c>
      <c r="R1315" s="14" t="s">
        <v>108</v>
      </c>
      <c r="S1315" s="37" cm="1">
        <f t="array" aca="1" ref="S13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77.226342104357315</v>
      </c>
      <c r="T1315" s="346" t="s">
        <v>2120</v>
      </c>
      <c r="U1315" s="347">
        <f ca="1">S1315*lb2g/Fuel_Specs!$E$48*Fuel_Specs!$B$48*Fuel_Specs!$B$79*BTU2mmBTU/Allocations!$O$124</f>
        <v>1547.6220686396937</v>
      </c>
      <c r="V1315" s="347">
        <v>77.226342104357315</v>
      </c>
      <c r="W1315" s="347">
        <v>1547.6220686396937</v>
      </c>
      <c r="X1315" s="14" t="s">
        <v>351</v>
      </c>
      <c r="Y1315" s="346" t="s">
        <v>416</v>
      </c>
      <c r="Z1315" s="14" t="str">
        <f>IF(ISBLANK(LCI_Table[[#This Row],[Notes for user]])," ",LCI_Table[[#This Row],[Notes for user]])</f>
        <v xml:space="preserve"> </v>
      </c>
      <c r="AA1315" s="14"/>
      <c r="AB1315" s="14"/>
      <c r="AC1315" s="346">
        <f ca="1">LCI_Table[[#This Row],[Default Calculated Value]]-LCI_Table[[#This Row],[Calculated Value]]</f>
        <v>0</v>
      </c>
    </row>
    <row r="1316" spans="1:29" x14ac:dyDescent="0.3">
      <c r="A13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_Palm_HEFA_ElectricityGrid Electricity</v>
      </c>
      <c r="B1316" s="14" t="s">
        <v>122</v>
      </c>
      <c r="C1316" s="14" t="s">
        <v>30</v>
      </c>
      <c r="D1316" s="14" t="s">
        <v>194</v>
      </c>
      <c r="E1316" s="48" t="s">
        <v>367</v>
      </c>
      <c r="F1316" s="14" t="s">
        <v>1358</v>
      </c>
      <c r="G1316" s="14" t="b">
        <f>OR(LCI_Table[[#This Row],[Feedstock]]="All",LCI_Table[[#This Row],[Feedstock]]=SelectedFeedstock)</f>
        <v>0</v>
      </c>
      <c r="H1316" s="14" t="b">
        <f>OR(LCI_Table[[#This Row],[Conversion]]="All",LCI_Table[[#This Row],[Conversion]]=SelectedConversion)</f>
        <v>1</v>
      </c>
      <c r="I1316" s="14" t="b">
        <f>OR(LCI_Table[[#This Row],[Data Set]]="all",LCI_Table[[#This Row],[Data Set]]=SelectedDataSet)</f>
        <v>0</v>
      </c>
      <c r="J1316" s="14" t="b">
        <f>OR(LCI_Table[[#This Row],[Technology]]="All",LCI_Table[[#This Row],[Technology]]=SelectedTechnology)</f>
        <v>0</v>
      </c>
      <c r="K1316" s="14" t="b">
        <f>OR(LCI_Table[[#This Row],[Data Source]]="All",LCI_Table[[#This Row],[Data Source]]=SelectedDataSource)</f>
        <v>0</v>
      </c>
      <c r="L1316" s="14" t="b">
        <f>TRUE</f>
        <v>1</v>
      </c>
      <c r="M1316" s="14" t="b">
        <f>(LCI_Table[[#This Row],[Dev Notes]]="Do not display")</f>
        <v>0</v>
      </c>
      <c r="N1316" s="14" t="b">
        <f>AND(LCI_Table[[#This Row],[Show Feedstock]:[Conditional]],NOT(LCI_Table[[#This Row],[Hide Row]]))</f>
        <v>0</v>
      </c>
      <c r="O1316" s="14" t="b">
        <f>LCI_Table[[#This Row],[GREET1 Name Range]]=""</f>
        <v>0</v>
      </c>
      <c r="P1316" s="14" t="s">
        <v>1448</v>
      </c>
      <c r="Q1316" s="14" t="s">
        <v>762</v>
      </c>
      <c r="R1316" s="14" t="s">
        <v>1684</v>
      </c>
      <c r="S1316" s="37" cm="1">
        <f t="array" aca="1" ref="S13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1.2602380672481814</v>
      </c>
      <c r="T1316" s="346" t="s">
        <v>2121</v>
      </c>
      <c r="U1316" s="347">
        <f ca="1">S1316*lb2g/Fuel_Specs!$E$48*Fuel_Specs!$B$48/BTU2kWh*BTU2mmBTU/Allocations!$O$124</f>
        <v>87.66486663318527</v>
      </c>
      <c r="V1316" s="347">
        <v>1.2602380672481814</v>
      </c>
      <c r="W1316" s="347">
        <v>87.66486663318527</v>
      </c>
      <c r="X1316" s="14" t="s">
        <v>51</v>
      </c>
      <c r="Y1316" s="346" t="s">
        <v>416</v>
      </c>
      <c r="Z1316" s="14" t="str">
        <f>IF(ISBLANK(LCI_Table[[#This Row],[Notes for user]])," ",LCI_Table[[#This Row],[Notes for user]])</f>
        <v xml:space="preserve"> </v>
      </c>
      <c r="AA1316" s="14"/>
      <c r="AB1316" s="14"/>
      <c r="AC1316" s="346">
        <f ca="1">LCI_Table[[#This Row],[Default Calculated Value]]-LCI_Table[[#This Row],[Calculated Value]]</f>
        <v>0</v>
      </c>
    </row>
    <row r="1317" spans="1:29" x14ac:dyDescent="0.3">
      <c r="A13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_Palm_HEFA_HydrogenHydrogen</v>
      </c>
      <c r="B1317" s="14" t="s">
        <v>122</v>
      </c>
      <c r="C1317" s="14" t="s">
        <v>30</v>
      </c>
      <c r="D1317" s="14" t="s">
        <v>194</v>
      </c>
      <c r="E1317" s="48" t="s">
        <v>367</v>
      </c>
      <c r="F1317" s="14" t="s">
        <v>1358</v>
      </c>
      <c r="G1317" s="14" t="b">
        <f>OR(LCI_Table[[#This Row],[Feedstock]]="All",LCI_Table[[#This Row],[Feedstock]]=SelectedFeedstock)</f>
        <v>0</v>
      </c>
      <c r="H1317" s="14" t="b">
        <f>OR(LCI_Table[[#This Row],[Conversion]]="All",LCI_Table[[#This Row],[Conversion]]=SelectedConversion)</f>
        <v>1</v>
      </c>
      <c r="I1317" s="14" t="b">
        <f>OR(LCI_Table[[#This Row],[Data Set]]="all",LCI_Table[[#This Row],[Data Set]]=SelectedDataSet)</f>
        <v>0</v>
      </c>
      <c r="J1317" s="14" t="b">
        <f>OR(LCI_Table[[#This Row],[Technology]]="All",LCI_Table[[#This Row],[Technology]]=SelectedTechnology)</f>
        <v>0</v>
      </c>
      <c r="K1317" s="14" t="b">
        <f>OR(LCI_Table[[#This Row],[Data Source]]="All",LCI_Table[[#This Row],[Data Source]]=SelectedDataSource)</f>
        <v>0</v>
      </c>
      <c r="L1317" s="14" t="b">
        <f>TRUE</f>
        <v>1</v>
      </c>
      <c r="M1317" s="14" t="b">
        <f>(LCI_Table[[#This Row],[Dev Notes]]="Do not display")</f>
        <v>0</v>
      </c>
      <c r="N1317" s="14" t="b">
        <f>AND(LCI_Table[[#This Row],[Show Feedstock]:[Conditional]],NOT(LCI_Table[[#This Row],[Hide Row]]))</f>
        <v>0</v>
      </c>
      <c r="O1317" s="14" t="b">
        <f>LCI_Table[[#This Row],[GREET1 Name Range]]=""</f>
        <v>0</v>
      </c>
      <c r="P1317" s="14" t="s">
        <v>1448</v>
      </c>
      <c r="Q1317" s="14" t="s">
        <v>763</v>
      </c>
      <c r="R1317" s="14" t="s">
        <v>73</v>
      </c>
      <c r="S1317" s="37" cm="1">
        <f t="array" aca="1" ref="S13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293.70783230876987</v>
      </c>
      <c r="T1317" s="346" t="s">
        <v>2120</v>
      </c>
      <c r="U1317" s="347">
        <f ca="1">S1317*lb2g/Fuel_Specs!$E$48*Fuel_Specs!$B$48*Fuel_Specs!$B$81*BTU2mmBTU/Allocations!$O$124</f>
        <v>1736.4387044650152</v>
      </c>
      <c r="V1317" s="347">
        <v>293.70783230876987</v>
      </c>
      <c r="W1317" s="347">
        <v>1736.4387044650152</v>
      </c>
      <c r="X1317" s="14" t="s">
        <v>351</v>
      </c>
      <c r="Y1317" s="346" t="s">
        <v>416</v>
      </c>
      <c r="Z1317" s="14" t="str">
        <f>IF(ISBLANK(LCI_Table[[#This Row],[Notes for user]])," ",LCI_Table[[#This Row],[Notes for user]])</f>
        <v xml:space="preserve"> </v>
      </c>
      <c r="AA1317" s="14"/>
      <c r="AB1317" s="14"/>
      <c r="AC1317" s="346">
        <f ca="1">LCI_Table[[#This Row],[Default Calculated Value]]-LCI_Table[[#This Row],[Calculated Value]]</f>
        <v>0</v>
      </c>
    </row>
    <row r="1318" spans="1:29" x14ac:dyDescent="0.3">
      <c r="A13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PalmHEFAICAOANLOpen pond _Palm_Oil_HEFA_Energy_AllocationAllocation factor</v>
      </c>
      <c r="B1318" s="14" t="s">
        <v>122</v>
      </c>
      <c r="C1318" s="14" t="s">
        <v>30</v>
      </c>
      <c r="D1318" s="14" t="s">
        <v>194</v>
      </c>
      <c r="E1318" s="48" t="s">
        <v>367</v>
      </c>
      <c r="F1318" s="14" t="s">
        <v>1358</v>
      </c>
      <c r="G1318" s="14" t="b">
        <f>OR(LCI_Table[[#This Row],[Feedstock]]="All",LCI_Table[[#This Row],[Feedstock]]=SelectedFeedstock)</f>
        <v>0</v>
      </c>
      <c r="H1318" s="14" t="b">
        <f>OR(LCI_Table[[#This Row],[Conversion]]="All",LCI_Table[[#This Row],[Conversion]]=SelectedConversion)</f>
        <v>1</v>
      </c>
      <c r="I1318" s="14" t="b">
        <f>OR(LCI_Table[[#This Row],[Data Set]]="all",LCI_Table[[#This Row],[Data Set]]=SelectedDataSet)</f>
        <v>0</v>
      </c>
      <c r="J1318" s="14" t="b">
        <f>OR(LCI_Table[[#This Row],[Technology]]="All",LCI_Table[[#This Row],[Technology]]=SelectedTechnology)</f>
        <v>0</v>
      </c>
      <c r="K1318" s="14" t="b">
        <f>OR(LCI_Table[[#This Row],[Data Source]]="All",LCI_Table[[#This Row],[Data Source]]=SelectedDataSource)</f>
        <v>0</v>
      </c>
      <c r="L1318" s="14" t="b">
        <f>TRUE</f>
        <v>1</v>
      </c>
      <c r="M1318" s="14" t="b">
        <f>(LCI_Table[[#This Row],[Dev Notes]]="Do not display")</f>
        <v>0</v>
      </c>
      <c r="N1318" s="14" t="b">
        <f>AND(LCI_Table[[#This Row],[Show Feedstock]:[Conditional]],NOT(LCI_Table[[#This Row],[Hide Row]]))</f>
        <v>0</v>
      </c>
      <c r="O1318" s="14" t="b">
        <f>LCI_Table[[#This Row],[GREET1 Name Range]]=""</f>
        <v>0</v>
      </c>
      <c r="P1318" s="14" t="s">
        <v>1448</v>
      </c>
      <c r="Q1318" s="14" t="s">
        <v>1116</v>
      </c>
      <c r="R1318" s="14" t="s">
        <v>1344</v>
      </c>
      <c r="S1318" s="37" cm="1">
        <f t="array" aca="1" ref="S13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89.702188733405094</v>
      </c>
      <c r="T1318" s="346" t="s">
        <v>1345</v>
      </c>
      <c r="U1318" s="347">
        <f ca="1">LCI_Table[[#This Row],[Dashboard Value]]/100</f>
        <v>0.89702188733405097</v>
      </c>
      <c r="V1318" s="351">
        <v>89.702188733405094</v>
      </c>
      <c r="W1318" s="351">
        <v>0.89702188733405097</v>
      </c>
      <c r="X1318" s="14" t="s">
        <v>1345</v>
      </c>
      <c r="Y1318" s="346" t="s">
        <v>416</v>
      </c>
      <c r="Z1318" s="14" t="str">
        <f>IF(ISBLANK(LCI_Table[[#This Row],[Notes for user]])," ",LCI_Table[[#This Row],[Notes for user]])</f>
        <v>Allocation to main distillate fuels (energy allocation)</v>
      </c>
      <c r="AA1318" s="14" t="s">
        <v>1353</v>
      </c>
      <c r="AB1318" s="14"/>
      <c r="AC1318" s="346">
        <f ca="1">LCI_Table[[#This Row],[Default Calculated Value]]-LCI_Table[[#This Row],[Calculated Value]]</f>
        <v>0</v>
      </c>
    </row>
    <row r="1319" spans="1:29" x14ac:dyDescent="0.3">
      <c r="A13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dash_CarinataHEFAICAOUS/Canada (GREET)(blank)_Yield_Farming</v>
      </c>
      <c r="B1319" s="48" t="s">
        <v>128</v>
      </c>
      <c r="C1319" s="48" t="s">
        <v>30</v>
      </c>
      <c r="D1319" s="48" t="s">
        <v>194</v>
      </c>
      <c r="E1319" s="14" t="s">
        <v>1360</v>
      </c>
      <c r="F1319" s="48" t="s">
        <v>31</v>
      </c>
      <c r="G1319" s="14" t="b">
        <f>OR(LCI_Table[[#This Row],[Feedstock]]="All",LCI_Table[[#This Row],[Feedstock]]=SelectedFeedstock)</f>
        <v>0</v>
      </c>
      <c r="H1319" s="14" t="b">
        <f>OR(LCI_Table[[#This Row],[Conversion]]="All",LCI_Table[[#This Row],[Conversion]]=SelectedConversion)</f>
        <v>1</v>
      </c>
      <c r="I1319" s="14" t="b">
        <f>OR(LCI_Table[[#This Row],[Data Set]]="all",LCI_Table[[#This Row],[Data Set]]=SelectedDataSet)</f>
        <v>0</v>
      </c>
      <c r="J1319" s="14" t="b">
        <f>OR(LCI_Table[[#This Row],[Technology]]="All",LCI_Table[[#This Row],[Technology]]=SelectedTechnology)</f>
        <v>1</v>
      </c>
      <c r="K1319" s="14" t="b">
        <f>OR(LCI_Table[[#This Row],[Data Source]]="All",LCI_Table[[#This Row],[Data Source]]=SelectedDataSource)</f>
        <v>0</v>
      </c>
      <c r="L1319" s="14" t="b">
        <f>TRUE</f>
        <v>1</v>
      </c>
      <c r="M1319" s="14" t="b">
        <f>(LCI_Table[[#This Row],[Dev Notes]]="Do not display")</f>
        <v>0</v>
      </c>
      <c r="N1319" s="14" t="b">
        <f>AND(LCI_Table[[#This Row],[Show Feedstock]:[Conditional]],NOT(LCI_Table[[#This Row],[Hide Row]]))</f>
        <v>0</v>
      </c>
      <c r="O1319" s="14" t="b">
        <f>LCI_Table[[#This Row],[GREET1 Name Range]]=""</f>
        <v>1</v>
      </c>
      <c r="P1319" s="48" t="s">
        <v>14</v>
      </c>
      <c r="Q1319" s="14" t="s">
        <v>361</v>
      </c>
      <c r="R1319" s="48" t="s">
        <v>200</v>
      </c>
      <c r="S1319" s="37" cm="1">
        <f t="array" aca="1" ref="S13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1.2503909692321316</v>
      </c>
      <c r="T1319" s="346" t="s">
        <v>2116</v>
      </c>
      <c r="U1319" s="344"/>
      <c r="V1319" s="344">
        <v>1.2503909692321316</v>
      </c>
      <c r="W1319" s="344"/>
      <c r="X1319" s="48" t="s">
        <v>55</v>
      </c>
      <c r="Y1319" s="346" t="s">
        <v>413</v>
      </c>
      <c r="Z1319" s="14" t="str">
        <f>IF(ISBLANK(LCI_Table[[#This Row],[Notes for user]])," ",LCI_Table[[#This Row],[Notes for user]])</f>
        <v>Alam &amp; Dwivedi (2019)</v>
      </c>
      <c r="AA1319" s="48" t="s">
        <v>917</v>
      </c>
      <c r="AB1319" s="345"/>
      <c r="AC1319" s="346">
        <f>LCI_Table[[#This Row],[Default Calculated Value]]-LCI_Table[[#This Row],[Calculated Value]]</f>
        <v>0</v>
      </c>
    </row>
    <row r="1320" spans="1:29" x14ac:dyDescent="0.3">
      <c r="A13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(GREET)(blank)_Carinata_Farming_Nitrogen_fertilizerNitrogen fertilizer</v>
      </c>
      <c r="B1320" s="14" t="s">
        <v>128</v>
      </c>
      <c r="C1320" s="14" t="s">
        <v>30</v>
      </c>
      <c r="D1320" s="14" t="s">
        <v>194</v>
      </c>
      <c r="E1320" s="14" t="s">
        <v>1360</v>
      </c>
      <c r="F1320" s="48" t="s">
        <v>31</v>
      </c>
      <c r="G1320" s="14" t="b">
        <f>OR(LCI_Table[[#This Row],[Feedstock]]="All",LCI_Table[[#This Row],[Feedstock]]=SelectedFeedstock)</f>
        <v>0</v>
      </c>
      <c r="H1320" s="14" t="b">
        <f>OR(LCI_Table[[#This Row],[Conversion]]="All",LCI_Table[[#This Row],[Conversion]]=SelectedConversion)</f>
        <v>1</v>
      </c>
      <c r="I1320" s="14" t="b">
        <f>OR(LCI_Table[[#This Row],[Data Set]]="all",LCI_Table[[#This Row],[Data Set]]=SelectedDataSet)</f>
        <v>0</v>
      </c>
      <c r="J1320" s="14" t="b">
        <f>OR(LCI_Table[[#This Row],[Technology]]="All",LCI_Table[[#This Row],[Technology]]=SelectedTechnology)</f>
        <v>1</v>
      </c>
      <c r="K1320" s="14" t="b">
        <f>OR(LCI_Table[[#This Row],[Data Source]]="All",LCI_Table[[#This Row],[Data Source]]=SelectedDataSource)</f>
        <v>0</v>
      </c>
      <c r="L1320" s="14" t="b">
        <f>TRUE</f>
        <v>1</v>
      </c>
      <c r="M1320" s="14" t="b">
        <f>(LCI_Table[[#This Row],[Dev Notes]]="Do not display")</f>
        <v>0</v>
      </c>
      <c r="N1320" s="14" t="b">
        <f>AND(LCI_Table[[#This Row],[Show Feedstock]:[Conditional]],NOT(LCI_Table[[#This Row],[Hide Row]]))</f>
        <v>0</v>
      </c>
      <c r="O1320" s="14" t="b">
        <f>LCI_Table[[#This Row],[GREET1 Name Range]]=""</f>
        <v>0</v>
      </c>
      <c r="P1320" s="14" t="s">
        <v>14</v>
      </c>
      <c r="Q1320" s="14" t="s">
        <v>525</v>
      </c>
      <c r="R1320" s="14" t="s">
        <v>111</v>
      </c>
      <c r="S1320" s="37" cm="1">
        <f t="array" aca="1" ref="S13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65.229248170918495</v>
      </c>
      <c r="T1320" s="346" t="s">
        <v>1485</v>
      </c>
      <c r="U1320" s="347">
        <f ca="1">S1320/g2lb/S1319*kg2ton</f>
        <v>26.083540978777204</v>
      </c>
      <c r="V1320" s="347">
        <v>65.229248170918495</v>
      </c>
      <c r="W1320" s="347">
        <v>26.083540978777204</v>
      </c>
      <c r="X1320" s="14" t="s">
        <v>12</v>
      </c>
      <c r="Y1320" s="346" t="s">
        <v>413</v>
      </c>
      <c r="Z1320" s="14" t="str">
        <f>IF(ISBLANK(LCI_Table[[#This Row],[Notes for user]])," ",LCI_Table[[#This Row],[Notes for user]])</f>
        <v xml:space="preserve"> </v>
      </c>
      <c r="AA1320" s="14"/>
      <c r="AB1320" s="14"/>
      <c r="AC1320" s="346">
        <f ca="1">LCI_Table[[#This Row],[Default Calculated Value]]-LCI_Table[[#This Row],[Calculated Value]]</f>
        <v>0</v>
      </c>
    </row>
    <row r="1321" spans="1:29" x14ac:dyDescent="0.3">
      <c r="A13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(GREET)(blank)_Carinata_Farming_P2O5P2O5</v>
      </c>
      <c r="B1321" s="14" t="s">
        <v>128</v>
      </c>
      <c r="C1321" s="14" t="s">
        <v>30</v>
      </c>
      <c r="D1321" s="14" t="s">
        <v>194</v>
      </c>
      <c r="E1321" s="14" t="s">
        <v>1360</v>
      </c>
      <c r="F1321" s="48" t="s">
        <v>31</v>
      </c>
      <c r="G1321" s="14" t="b">
        <f>OR(LCI_Table[[#This Row],[Feedstock]]="All",LCI_Table[[#This Row],[Feedstock]]=SelectedFeedstock)</f>
        <v>0</v>
      </c>
      <c r="H1321" s="14" t="b">
        <f>OR(LCI_Table[[#This Row],[Conversion]]="All",LCI_Table[[#This Row],[Conversion]]=SelectedConversion)</f>
        <v>1</v>
      </c>
      <c r="I1321" s="14" t="b">
        <f>OR(LCI_Table[[#This Row],[Data Set]]="all",LCI_Table[[#This Row],[Data Set]]=SelectedDataSet)</f>
        <v>0</v>
      </c>
      <c r="J1321" s="14" t="b">
        <f>OR(LCI_Table[[#This Row],[Technology]]="All",LCI_Table[[#This Row],[Technology]]=SelectedTechnology)</f>
        <v>1</v>
      </c>
      <c r="K1321" s="14" t="b">
        <f>OR(LCI_Table[[#This Row],[Data Source]]="All",LCI_Table[[#This Row],[Data Source]]=SelectedDataSource)</f>
        <v>0</v>
      </c>
      <c r="L1321" s="14" t="b">
        <f>TRUE</f>
        <v>1</v>
      </c>
      <c r="M1321" s="14" t="b">
        <f>(LCI_Table[[#This Row],[Dev Notes]]="Do not display")</f>
        <v>0</v>
      </c>
      <c r="N1321" s="14" t="b">
        <f>AND(LCI_Table[[#This Row],[Show Feedstock]:[Conditional]],NOT(LCI_Table[[#This Row],[Hide Row]]))</f>
        <v>0</v>
      </c>
      <c r="O1321" s="14" t="b">
        <f>LCI_Table[[#This Row],[GREET1 Name Range]]=""</f>
        <v>0</v>
      </c>
      <c r="P1321" s="14" t="s">
        <v>14</v>
      </c>
      <c r="Q1321" s="14" t="s">
        <v>526</v>
      </c>
      <c r="R1321" s="14" t="s">
        <v>112</v>
      </c>
      <c r="S1321" s="37" cm="1">
        <f t="array" aca="1" ref="S13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8.9530340626750888</v>
      </c>
      <c r="T1321" s="346" t="s">
        <v>1485</v>
      </c>
      <c r="U1321" s="347">
        <f ca="1">S1321/g2lb/S1319*kg2ton</f>
        <v>3.5800938598321657</v>
      </c>
      <c r="V1321" s="347">
        <v>8.9530340626750888</v>
      </c>
      <c r="W1321" s="347">
        <v>3.5800938598321657</v>
      </c>
      <c r="X1321" s="14" t="s">
        <v>12</v>
      </c>
      <c r="Y1321" s="346" t="s">
        <v>413</v>
      </c>
      <c r="Z1321" s="14" t="str">
        <f>IF(ISBLANK(LCI_Table[[#This Row],[Notes for user]])," ",LCI_Table[[#This Row],[Notes for user]])</f>
        <v xml:space="preserve"> </v>
      </c>
      <c r="AA1321" s="14"/>
      <c r="AB1321" s="14"/>
      <c r="AC1321" s="346">
        <f ca="1">LCI_Table[[#This Row],[Default Calculated Value]]-LCI_Table[[#This Row],[Calculated Value]]</f>
        <v>0</v>
      </c>
    </row>
    <row r="1322" spans="1:29" x14ac:dyDescent="0.3">
      <c r="A13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(GREET)(blank)_Carinata_Farming_K2OK2O</v>
      </c>
      <c r="B1322" s="14" t="s">
        <v>128</v>
      </c>
      <c r="C1322" s="14" t="s">
        <v>30</v>
      </c>
      <c r="D1322" s="14" t="s">
        <v>194</v>
      </c>
      <c r="E1322" s="14" t="s">
        <v>1360</v>
      </c>
      <c r="F1322" s="48" t="s">
        <v>31</v>
      </c>
      <c r="G1322" s="14" t="b">
        <f>OR(LCI_Table[[#This Row],[Feedstock]]="All",LCI_Table[[#This Row],[Feedstock]]=SelectedFeedstock)</f>
        <v>0</v>
      </c>
      <c r="H1322" s="14" t="b">
        <f>OR(LCI_Table[[#This Row],[Conversion]]="All",LCI_Table[[#This Row],[Conversion]]=SelectedConversion)</f>
        <v>1</v>
      </c>
      <c r="I1322" s="14" t="b">
        <f>OR(LCI_Table[[#This Row],[Data Set]]="all",LCI_Table[[#This Row],[Data Set]]=SelectedDataSet)</f>
        <v>0</v>
      </c>
      <c r="J1322" s="14" t="b">
        <f>OR(LCI_Table[[#This Row],[Technology]]="All",LCI_Table[[#This Row],[Technology]]=SelectedTechnology)</f>
        <v>1</v>
      </c>
      <c r="K1322" s="14" t="b">
        <f>OR(LCI_Table[[#This Row],[Data Source]]="All",LCI_Table[[#This Row],[Data Source]]=SelectedDataSource)</f>
        <v>0</v>
      </c>
      <c r="L1322" s="14" t="b">
        <f>TRUE</f>
        <v>1</v>
      </c>
      <c r="M1322" s="14" t="b">
        <f>(LCI_Table[[#This Row],[Dev Notes]]="Do not display")</f>
        <v>0</v>
      </c>
      <c r="N1322" s="14" t="b">
        <f>AND(LCI_Table[[#This Row],[Show Feedstock]:[Conditional]],NOT(LCI_Table[[#This Row],[Hide Row]]))</f>
        <v>0</v>
      </c>
      <c r="O1322" s="14" t="b">
        <f>LCI_Table[[#This Row],[GREET1 Name Range]]=""</f>
        <v>0</v>
      </c>
      <c r="P1322" s="14" t="s">
        <v>14</v>
      </c>
      <c r="Q1322" s="14" t="s">
        <v>522</v>
      </c>
      <c r="R1322" s="14" t="s">
        <v>113</v>
      </c>
      <c r="S1322" s="37" cm="1">
        <f t="array" aca="1" ref="S13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1.279004866096441</v>
      </c>
      <c r="T1322" s="346" t="s">
        <v>1485</v>
      </c>
      <c r="U1322" s="347">
        <f ca="1">S1322/g2lb/S1319*kg2ton</f>
        <v>0.51144197997602359</v>
      </c>
      <c r="V1322" s="347">
        <v>1.279004866096441</v>
      </c>
      <c r="W1322" s="347">
        <v>0.51144197997602359</v>
      </c>
      <c r="X1322" s="14" t="s">
        <v>12</v>
      </c>
      <c r="Y1322" s="346" t="s">
        <v>413</v>
      </c>
      <c r="Z1322" s="14" t="str">
        <f>IF(ISBLANK(LCI_Table[[#This Row],[Notes for user]])," ",LCI_Table[[#This Row],[Notes for user]])</f>
        <v xml:space="preserve"> </v>
      </c>
      <c r="AA1322" s="14"/>
      <c r="AB1322" s="14"/>
      <c r="AC1322" s="346">
        <f ca="1">LCI_Table[[#This Row],[Default Calculated Value]]-LCI_Table[[#This Row],[Calculated Value]]</f>
        <v>0</v>
      </c>
    </row>
    <row r="1323" spans="1:29" x14ac:dyDescent="0.3">
      <c r="A13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(GREET)(blank)_Carinata_Farming_CaCO3CaCO3</v>
      </c>
      <c r="B1323" s="14" t="s">
        <v>128</v>
      </c>
      <c r="C1323" s="14" t="s">
        <v>30</v>
      </c>
      <c r="D1323" s="14" t="s">
        <v>194</v>
      </c>
      <c r="E1323" s="14" t="s">
        <v>1360</v>
      </c>
      <c r="F1323" s="48" t="s">
        <v>31</v>
      </c>
      <c r="G1323" s="14" t="b">
        <f>OR(LCI_Table[[#This Row],[Feedstock]]="All",LCI_Table[[#This Row],[Feedstock]]=SelectedFeedstock)</f>
        <v>0</v>
      </c>
      <c r="H1323" s="14" t="b">
        <f>OR(LCI_Table[[#This Row],[Conversion]]="All",LCI_Table[[#This Row],[Conversion]]=SelectedConversion)</f>
        <v>1</v>
      </c>
      <c r="I1323" s="14" t="b">
        <f>OR(LCI_Table[[#This Row],[Data Set]]="all",LCI_Table[[#This Row],[Data Set]]=SelectedDataSet)</f>
        <v>0</v>
      </c>
      <c r="J1323" s="14" t="b">
        <f>OR(LCI_Table[[#This Row],[Technology]]="All",LCI_Table[[#This Row],[Technology]]=SelectedTechnology)</f>
        <v>1</v>
      </c>
      <c r="K1323" s="14" t="b">
        <f>OR(LCI_Table[[#This Row],[Data Source]]="All",LCI_Table[[#This Row],[Data Source]]=SelectedDataSource)</f>
        <v>0</v>
      </c>
      <c r="L1323" s="14" t="b">
        <f>TRUE</f>
        <v>1</v>
      </c>
      <c r="M1323" s="14" t="b">
        <f>(LCI_Table[[#This Row],[Dev Notes]]="Do not display")</f>
        <v>0</v>
      </c>
      <c r="N1323" s="14" t="b">
        <f>AND(LCI_Table[[#This Row],[Show Feedstock]:[Conditional]],NOT(LCI_Table[[#This Row],[Hide Row]]))</f>
        <v>0</v>
      </c>
      <c r="O1323" s="14" t="b">
        <f>LCI_Table[[#This Row],[GREET1 Name Range]]=""</f>
        <v>0</v>
      </c>
      <c r="P1323" s="14" t="s">
        <v>14</v>
      </c>
      <c r="Q1323" s="14" t="s">
        <v>515</v>
      </c>
      <c r="R1323" s="14" t="s">
        <v>141</v>
      </c>
      <c r="S1323" s="37" cm="1">
        <f t="array" aca="1" ref="S13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23" s="346" t="s">
        <v>1485</v>
      </c>
      <c r="U1323" s="347">
        <f ca="1">S1323/g2lb/S1319*kg2ton</f>
        <v>0</v>
      </c>
      <c r="V1323" s="347">
        <v>0</v>
      </c>
      <c r="W1323" s="347">
        <v>0</v>
      </c>
      <c r="X1323" s="14" t="s">
        <v>12</v>
      </c>
      <c r="Y1323" s="346" t="s">
        <v>413</v>
      </c>
      <c r="Z1323" s="14" t="str">
        <f>IF(ISBLANK(LCI_Table[[#This Row],[Notes for user]])," ",LCI_Table[[#This Row],[Notes for user]])</f>
        <v xml:space="preserve"> </v>
      </c>
      <c r="AA1323" s="14"/>
      <c r="AB1323" s="14"/>
      <c r="AC1323" s="346">
        <f ca="1">LCI_Table[[#This Row],[Default Calculated Value]]-LCI_Table[[#This Row],[Calculated Value]]</f>
        <v>0</v>
      </c>
    </row>
    <row r="1324" spans="1:29" x14ac:dyDescent="0.3">
      <c r="A13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(GREET)(blank)_Carinata_Farming_HerbicidesHerbicide</v>
      </c>
      <c r="B1324" s="14" t="s">
        <v>128</v>
      </c>
      <c r="C1324" s="14" t="s">
        <v>30</v>
      </c>
      <c r="D1324" s="14" t="s">
        <v>194</v>
      </c>
      <c r="E1324" s="14" t="s">
        <v>1360</v>
      </c>
      <c r="F1324" s="48" t="s">
        <v>31</v>
      </c>
      <c r="G1324" s="14" t="b">
        <f>OR(LCI_Table[[#This Row],[Feedstock]]="All",LCI_Table[[#This Row],[Feedstock]]=SelectedFeedstock)</f>
        <v>0</v>
      </c>
      <c r="H1324" s="14" t="b">
        <f>OR(LCI_Table[[#This Row],[Conversion]]="All",LCI_Table[[#This Row],[Conversion]]=SelectedConversion)</f>
        <v>1</v>
      </c>
      <c r="I1324" s="14" t="b">
        <f>OR(LCI_Table[[#This Row],[Data Set]]="all",LCI_Table[[#This Row],[Data Set]]=SelectedDataSet)</f>
        <v>0</v>
      </c>
      <c r="J1324" s="14" t="b">
        <f>OR(LCI_Table[[#This Row],[Technology]]="All",LCI_Table[[#This Row],[Technology]]=SelectedTechnology)</f>
        <v>1</v>
      </c>
      <c r="K1324" s="14" t="b">
        <f>OR(LCI_Table[[#This Row],[Data Source]]="All",LCI_Table[[#This Row],[Data Source]]=SelectedDataSource)</f>
        <v>0</v>
      </c>
      <c r="L1324" s="14" t="b">
        <f>TRUE</f>
        <v>1</v>
      </c>
      <c r="M1324" s="14" t="b">
        <f>(LCI_Table[[#This Row],[Dev Notes]]="Do not display")</f>
        <v>0</v>
      </c>
      <c r="N1324" s="14" t="b">
        <f>AND(LCI_Table[[#This Row],[Show Feedstock]:[Conditional]],NOT(LCI_Table[[#This Row],[Hide Row]]))</f>
        <v>0</v>
      </c>
      <c r="O1324" s="14" t="b">
        <f>LCI_Table[[#This Row],[GREET1 Name Range]]=""</f>
        <v>0</v>
      </c>
      <c r="P1324" s="14" t="s">
        <v>14</v>
      </c>
      <c r="Q1324" s="14" t="s">
        <v>520</v>
      </c>
      <c r="R1324" s="14" t="s">
        <v>401</v>
      </c>
      <c r="S1324" s="37" cm="1">
        <f t="array" aca="1" ref="S13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24" s="346" t="s">
        <v>1485</v>
      </c>
      <c r="U1324" s="347">
        <f ca="1">S1324/g2lb/S1319*kg2ton</f>
        <v>0</v>
      </c>
      <c r="V1324" s="347">
        <v>0</v>
      </c>
      <c r="W1324" s="347">
        <v>0</v>
      </c>
      <c r="X1324" s="14" t="s">
        <v>12</v>
      </c>
      <c r="Y1324" s="346" t="s">
        <v>413</v>
      </c>
      <c r="Z1324" s="14" t="str">
        <f>IF(ISBLANK(LCI_Table[[#This Row],[Notes for user]])," ",LCI_Table[[#This Row],[Notes for user]])</f>
        <v xml:space="preserve"> </v>
      </c>
      <c r="AA1324" s="14"/>
      <c r="AB1324" s="14"/>
      <c r="AC1324" s="346">
        <f ca="1">LCI_Table[[#This Row],[Default Calculated Value]]-LCI_Table[[#This Row],[Calculated Value]]</f>
        <v>0</v>
      </c>
    </row>
    <row r="1325" spans="1:29" x14ac:dyDescent="0.3">
      <c r="A13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(GREET)(blank)_Carinata_Farming_InsecticideInsecticide</v>
      </c>
      <c r="B1325" s="14" t="s">
        <v>128</v>
      </c>
      <c r="C1325" s="14" t="s">
        <v>30</v>
      </c>
      <c r="D1325" s="14" t="s">
        <v>194</v>
      </c>
      <c r="E1325" s="14" t="s">
        <v>1360</v>
      </c>
      <c r="F1325" s="48" t="s">
        <v>31</v>
      </c>
      <c r="G1325" s="14" t="b">
        <f>OR(LCI_Table[[#This Row],[Feedstock]]="All",LCI_Table[[#This Row],[Feedstock]]=SelectedFeedstock)</f>
        <v>0</v>
      </c>
      <c r="H1325" s="14" t="b">
        <f>OR(LCI_Table[[#This Row],[Conversion]]="All",LCI_Table[[#This Row],[Conversion]]=SelectedConversion)</f>
        <v>1</v>
      </c>
      <c r="I1325" s="14" t="b">
        <f>OR(LCI_Table[[#This Row],[Data Set]]="all",LCI_Table[[#This Row],[Data Set]]=SelectedDataSet)</f>
        <v>0</v>
      </c>
      <c r="J1325" s="14" t="b">
        <f>OR(LCI_Table[[#This Row],[Technology]]="All",LCI_Table[[#This Row],[Technology]]=SelectedTechnology)</f>
        <v>1</v>
      </c>
      <c r="K1325" s="14" t="b">
        <f>OR(LCI_Table[[#This Row],[Data Source]]="All",LCI_Table[[#This Row],[Data Source]]=SelectedDataSource)</f>
        <v>0</v>
      </c>
      <c r="L1325" s="14" t="b">
        <f>TRUE</f>
        <v>1</v>
      </c>
      <c r="M1325" s="14" t="b">
        <f>(LCI_Table[[#This Row],[Dev Notes]]="Do not display")</f>
        <v>0</v>
      </c>
      <c r="N1325" s="14" t="b">
        <f>AND(LCI_Table[[#This Row],[Show Feedstock]:[Conditional]],NOT(LCI_Table[[#This Row],[Hide Row]]))</f>
        <v>0</v>
      </c>
      <c r="O1325" s="14" t="b">
        <f>LCI_Table[[#This Row],[GREET1 Name Range]]=""</f>
        <v>0</v>
      </c>
      <c r="P1325" s="14" t="s">
        <v>14</v>
      </c>
      <c r="Q1325" s="14" t="s">
        <v>521</v>
      </c>
      <c r="R1325" s="14" t="s">
        <v>114</v>
      </c>
      <c r="S1325" s="37" cm="1">
        <f t="array" aca="1" ref="S13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0.56267593615445921</v>
      </c>
      <c r="T1325" s="346" t="s">
        <v>1485</v>
      </c>
      <c r="U1325" s="347">
        <f ca="1">S1325/g2lb/S1319*kg2ton</f>
        <v>0.22500000000000001</v>
      </c>
      <c r="V1325" s="347">
        <v>0.56267593615445921</v>
      </c>
      <c r="W1325" s="347">
        <v>0.22500000000000001</v>
      </c>
      <c r="X1325" s="14" t="s">
        <v>12</v>
      </c>
      <c r="Y1325" s="346" t="s">
        <v>413</v>
      </c>
      <c r="Z1325" s="14" t="str">
        <f>IF(ISBLANK(LCI_Table[[#This Row],[Notes for user]])," ",LCI_Table[[#This Row],[Notes for user]])</f>
        <v xml:space="preserve"> </v>
      </c>
      <c r="AA1325" s="14"/>
      <c r="AB1325" s="14"/>
      <c r="AC1325" s="346">
        <f ca="1">LCI_Table[[#This Row],[Default Calculated Value]]-LCI_Table[[#This Row],[Calculated Value]]</f>
        <v>0</v>
      </c>
    </row>
    <row r="1326" spans="1:29" x14ac:dyDescent="0.3">
      <c r="A13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(GREET)(blank)_Carinata_Farming_Residual_oilResidual oil</v>
      </c>
      <c r="B1326" s="14" t="s">
        <v>128</v>
      </c>
      <c r="C1326" s="14" t="s">
        <v>30</v>
      </c>
      <c r="D1326" s="14" t="s">
        <v>194</v>
      </c>
      <c r="E1326" s="14" t="s">
        <v>1360</v>
      </c>
      <c r="F1326" s="48" t="s">
        <v>31</v>
      </c>
      <c r="G1326" s="14" t="b">
        <f>OR(LCI_Table[[#This Row],[Feedstock]]="All",LCI_Table[[#This Row],[Feedstock]]=SelectedFeedstock)</f>
        <v>0</v>
      </c>
      <c r="H1326" s="14" t="b">
        <f>OR(LCI_Table[[#This Row],[Conversion]]="All",LCI_Table[[#This Row],[Conversion]]=SelectedConversion)</f>
        <v>1</v>
      </c>
      <c r="I1326" s="14" t="b">
        <f>OR(LCI_Table[[#This Row],[Data Set]]="all",LCI_Table[[#This Row],[Data Set]]=SelectedDataSet)</f>
        <v>0</v>
      </c>
      <c r="J1326" s="14" t="b">
        <f>OR(LCI_Table[[#This Row],[Technology]]="All",LCI_Table[[#This Row],[Technology]]=SelectedTechnology)</f>
        <v>1</v>
      </c>
      <c r="K1326" s="14" t="b">
        <f>OR(LCI_Table[[#This Row],[Data Source]]="All",LCI_Table[[#This Row],[Data Source]]=SelectedDataSource)</f>
        <v>0</v>
      </c>
      <c r="L1326" s="14" t="b">
        <f>TRUE</f>
        <v>1</v>
      </c>
      <c r="M1326" s="14" t="b">
        <f>(LCI_Table[[#This Row],[Dev Notes]]="Do not display")</f>
        <v>0</v>
      </c>
      <c r="N1326" s="14" t="b">
        <f>AND(LCI_Table[[#This Row],[Show Feedstock]:[Conditional]],NOT(LCI_Table[[#This Row],[Hide Row]]))</f>
        <v>0</v>
      </c>
      <c r="O1326" s="14" t="b">
        <f>LCI_Table[[#This Row],[GREET1 Name Range]]=""</f>
        <v>0</v>
      </c>
      <c r="P1326" s="14" t="s">
        <v>14</v>
      </c>
      <c r="Q1326" s="14" t="s">
        <v>527</v>
      </c>
      <c r="R1326" s="14" t="s">
        <v>115</v>
      </c>
      <c r="S1326" s="37" cm="1">
        <f t="array" aca="1" ref="S13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26" s="346" t="s">
        <v>1484</v>
      </c>
      <c r="U1326" s="347">
        <f ca="1">S1326*Fuel_Specs!$B$28/S1319*kg2ton</f>
        <v>0</v>
      </c>
      <c r="V1326" s="347">
        <v>0</v>
      </c>
      <c r="W1326" s="347">
        <v>0</v>
      </c>
      <c r="X1326" s="14" t="s">
        <v>5</v>
      </c>
      <c r="Y1326" s="346" t="s">
        <v>413</v>
      </c>
      <c r="Z1326" s="14" t="str">
        <f>IF(ISBLANK(LCI_Table[[#This Row],[Notes for user]])," ",LCI_Table[[#This Row],[Notes for user]])</f>
        <v xml:space="preserve"> </v>
      </c>
      <c r="AA1326" s="14"/>
      <c r="AB1326" s="14"/>
      <c r="AC1326" s="346">
        <f ca="1">LCI_Table[[#This Row],[Default Calculated Value]]-LCI_Table[[#This Row],[Calculated Value]]</f>
        <v>0</v>
      </c>
    </row>
    <row r="1327" spans="1:29" x14ac:dyDescent="0.3">
      <c r="A13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(GREET)(blank)_Carinata_Farming_DieselDiesel</v>
      </c>
      <c r="B1327" s="14" t="s">
        <v>128</v>
      </c>
      <c r="C1327" s="14" t="s">
        <v>30</v>
      </c>
      <c r="D1327" s="14" t="s">
        <v>194</v>
      </c>
      <c r="E1327" s="14" t="s">
        <v>1360</v>
      </c>
      <c r="F1327" s="48" t="s">
        <v>31</v>
      </c>
      <c r="G1327" s="14" t="b">
        <f>OR(LCI_Table[[#This Row],[Feedstock]]="All",LCI_Table[[#This Row],[Feedstock]]=SelectedFeedstock)</f>
        <v>0</v>
      </c>
      <c r="H1327" s="14" t="b">
        <f>OR(LCI_Table[[#This Row],[Conversion]]="All",LCI_Table[[#This Row],[Conversion]]=SelectedConversion)</f>
        <v>1</v>
      </c>
      <c r="I1327" s="14" t="b">
        <f>OR(LCI_Table[[#This Row],[Data Set]]="all",LCI_Table[[#This Row],[Data Set]]=SelectedDataSet)</f>
        <v>0</v>
      </c>
      <c r="J1327" s="14" t="b">
        <f>OR(LCI_Table[[#This Row],[Technology]]="All",LCI_Table[[#This Row],[Technology]]=SelectedTechnology)</f>
        <v>1</v>
      </c>
      <c r="K1327" s="14" t="b">
        <f>OR(LCI_Table[[#This Row],[Data Source]]="All",LCI_Table[[#This Row],[Data Source]]=SelectedDataSource)</f>
        <v>0</v>
      </c>
      <c r="L1327" s="14" t="b">
        <f>TRUE</f>
        <v>1</v>
      </c>
      <c r="M1327" s="14" t="b">
        <f>(LCI_Table[[#This Row],[Dev Notes]]="Do not display")</f>
        <v>0</v>
      </c>
      <c r="N1327" s="14" t="b">
        <f>AND(LCI_Table[[#This Row],[Show Feedstock]:[Conditional]],NOT(LCI_Table[[#This Row],[Hide Row]]))</f>
        <v>0</v>
      </c>
      <c r="O1327" s="14" t="b">
        <f>LCI_Table[[#This Row],[GREET1 Name Range]]=""</f>
        <v>0</v>
      </c>
      <c r="P1327" s="14" t="s">
        <v>14</v>
      </c>
      <c r="Q1327" s="14" t="s">
        <v>517</v>
      </c>
      <c r="R1327" s="14" t="s">
        <v>106</v>
      </c>
      <c r="S1327" s="37" cm="1">
        <f t="array" aca="1" ref="S13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14.471613838927407</v>
      </c>
      <c r="T1327" s="346" t="s">
        <v>1484</v>
      </c>
      <c r="U1327" s="347">
        <f ca="1">S1327*Fuel_Specs!$B$19/S1319*kg2ton</f>
        <v>1638.7379425025892</v>
      </c>
      <c r="V1327" s="347">
        <v>14.471613838927407</v>
      </c>
      <c r="W1327" s="347">
        <v>1638.7379425025892</v>
      </c>
      <c r="X1327" s="14" t="s">
        <v>5</v>
      </c>
      <c r="Y1327" s="346" t="s">
        <v>413</v>
      </c>
      <c r="Z1327" s="14" t="str">
        <f>IF(ISBLANK(LCI_Table[[#This Row],[Notes for user]])," ",LCI_Table[[#This Row],[Notes for user]])</f>
        <v xml:space="preserve"> </v>
      </c>
      <c r="AA1327" s="14"/>
      <c r="AB1327" s="14"/>
      <c r="AC1327" s="346">
        <f ca="1">LCI_Table[[#This Row],[Default Calculated Value]]-LCI_Table[[#This Row],[Calculated Value]]</f>
        <v>0</v>
      </c>
    </row>
    <row r="1328" spans="1:29" x14ac:dyDescent="0.3">
      <c r="A13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(GREET)(blank)_Carinata_Farming_GasolineGasoline</v>
      </c>
      <c r="B1328" s="14" t="s">
        <v>128</v>
      </c>
      <c r="C1328" s="14" t="s">
        <v>30</v>
      </c>
      <c r="D1328" s="14" t="s">
        <v>194</v>
      </c>
      <c r="E1328" s="14" t="s">
        <v>1360</v>
      </c>
      <c r="F1328" s="48" t="s">
        <v>31</v>
      </c>
      <c r="G1328" s="14" t="b">
        <f>OR(LCI_Table[[#This Row],[Feedstock]]="All",LCI_Table[[#This Row],[Feedstock]]=SelectedFeedstock)</f>
        <v>0</v>
      </c>
      <c r="H1328" s="14" t="b">
        <f>OR(LCI_Table[[#This Row],[Conversion]]="All",LCI_Table[[#This Row],[Conversion]]=SelectedConversion)</f>
        <v>1</v>
      </c>
      <c r="I1328" s="14" t="b">
        <f>OR(LCI_Table[[#This Row],[Data Set]]="all",LCI_Table[[#This Row],[Data Set]]=SelectedDataSet)</f>
        <v>0</v>
      </c>
      <c r="J1328" s="14" t="b">
        <f>OR(LCI_Table[[#This Row],[Technology]]="All",LCI_Table[[#This Row],[Technology]]=SelectedTechnology)</f>
        <v>1</v>
      </c>
      <c r="K1328" s="14" t="b">
        <f>OR(LCI_Table[[#This Row],[Data Source]]="All",LCI_Table[[#This Row],[Data Source]]=SelectedDataSource)</f>
        <v>0</v>
      </c>
      <c r="L1328" s="14" t="b">
        <f>TRUE</f>
        <v>1</v>
      </c>
      <c r="M1328" s="14" t="b">
        <f>(LCI_Table[[#This Row],[Dev Notes]]="Do not display")</f>
        <v>0</v>
      </c>
      <c r="N1328" s="14" t="b">
        <f>AND(LCI_Table[[#This Row],[Show Feedstock]:[Conditional]],NOT(LCI_Table[[#This Row],[Hide Row]]))</f>
        <v>0</v>
      </c>
      <c r="O1328" s="14" t="b">
        <f>LCI_Table[[#This Row],[GREET1 Name Range]]=""</f>
        <v>0</v>
      </c>
      <c r="P1328" s="14" t="s">
        <v>14</v>
      </c>
      <c r="Q1328" s="14" t="s">
        <v>519</v>
      </c>
      <c r="R1328" s="14" t="s">
        <v>107</v>
      </c>
      <c r="S1328" s="37" cm="1">
        <f t="array" aca="1" ref="S13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28" s="346" t="s">
        <v>1484</v>
      </c>
      <c r="U1328" s="347">
        <f ca="1">S1328*Fuel_Specs!$B$15/S1319*kg2ton</f>
        <v>0</v>
      </c>
      <c r="V1328" s="347">
        <v>0</v>
      </c>
      <c r="W1328" s="347">
        <v>0</v>
      </c>
      <c r="X1328" s="14" t="s">
        <v>5</v>
      </c>
      <c r="Y1328" s="346" t="s">
        <v>413</v>
      </c>
      <c r="Z1328" s="14" t="str">
        <f>IF(ISBLANK(LCI_Table[[#This Row],[Notes for user]])," ",LCI_Table[[#This Row],[Notes for user]])</f>
        <v xml:space="preserve"> </v>
      </c>
      <c r="AA1328" s="14"/>
      <c r="AB1328" s="14"/>
      <c r="AC1328" s="346">
        <f ca="1">LCI_Table[[#This Row],[Default Calculated Value]]-LCI_Table[[#This Row],[Calculated Value]]</f>
        <v>0</v>
      </c>
    </row>
    <row r="1329" spans="1:29" x14ac:dyDescent="0.3">
      <c r="A13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(GREET)(blank)_Carinata_Farming_Natural_gasNatural gas</v>
      </c>
      <c r="B1329" s="14" t="s">
        <v>128</v>
      </c>
      <c r="C1329" s="14" t="s">
        <v>30</v>
      </c>
      <c r="D1329" s="14" t="s">
        <v>194</v>
      </c>
      <c r="E1329" s="14" t="s">
        <v>1360</v>
      </c>
      <c r="F1329" s="48" t="s">
        <v>31</v>
      </c>
      <c r="G1329" s="14" t="b">
        <f>OR(LCI_Table[[#This Row],[Feedstock]]="All",LCI_Table[[#This Row],[Feedstock]]=SelectedFeedstock)</f>
        <v>0</v>
      </c>
      <c r="H1329" s="14" t="b">
        <f>OR(LCI_Table[[#This Row],[Conversion]]="All",LCI_Table[[#This Row],[Conversion]]=SelectedConversion)</f>
        <v>1</v>
      </c>
      <c r="I1329" s="14" t="b">
        <f>OR(LCI_Table[[#This Row],[Data Set]]="all",LCI_Table[[#This Row],[Data Set]]=SelectedDataSet)</f>
        <v>0</v>
      </c>
      <c r="J1329" s="14" t="b">
        <f>OR(LCI_Table[[#This Row],[Technology]]="All",LCI_Table[[#This Row],[Technology]]=SelectedTechnology)</f>
        <v>1</v>
      </c>
      <c r="K1329" s="14" t="b">
        <f>OR(LCI_Table[[#This Row],[Data Source]]="All",LCI_Table[[#This Row],[Data Source]]=SelectedDataSource)</f>
        <v>0</v>
      </c>
      <c r="L1329" s="14" t="b">
        <f>TRUE</f>
        <v>1</v>
      </c>
      <c r="M1329" s="14" t="b">
        <f>(LCI_Table[[#This Row],[Dev Notes]]="Do not display")</f>
        <v>0</v>
      </c>
      <c r="N1329" s="14" t="b">
        <f>AND(LCI_Table[[#This Row],[Show Feedstock]:[Conditional]],NOT(LCI_Table[[#This Row],[Hide Row]]))</f>
        <v>0</v>
      </c>
      <c r="O1329" s="14" t="b">
        <f>LCI_Table[[#This Row],[GREET1 Name Range]]=""</f>
        <v>0</v>
      </c>
      <c r="P1329" s="14" t="s">
        <v>14</v>
      </c>
      <c r="Q1329" s="14" t="s">
        <v>524</v>
      </c>
      <c r="R1329" s="14" t="s">
        <v>108</v>
      </c>
      <c r="S1329" s="37" cm="1">
        <f t="array" aca="1" ref="S13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29" s="346" t="s">
        <v>2109</v>
      </c>
      <c r="U1329" s="347">
        <f ca="1">S1329*Fuel_Specs!$B$79/S1319*kg2ton</f>
        <v>0</v>
      </c>
      <c r="V1329" s="347">
        <v>0</v>
      </c>
      <c r="W1329" s="347">
        <v>0</v>
      </c>
      <c r="X1329" s="14" t="s">
        <v>351</v>
      </c>
      <c r="Y1329" s="346" t="s">
        <v>413</v>
      </c>
      <c r="Z1329" s="14" t="str">
        <f>IF(ISBLANK(LCI_Table[[#This Row],[Notes for user]])," ",LCI_Table[[#This Row],[Notes for user]])</f>
        <v xml:space="preserve"> </v>
      </c>
      <c r="AA1329" s="14"/>
      <c r="AB1329" s="14"/>
      <c r="AC1329" s="346">
        <f ca="1">LCI_Table[[#This Row],[Default Calculated Value]]-LCI_Table[[#This Row],[Calculated Value]]</f>
        <v>0</v>
      </c>
    </row>
    <row r="1330" spans="1:29" x14ac:dyDescent="0.3">
      <c r="A13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(GREET)(blank)_Carinata_Farming_CoalCoal</v>
      </c>
      <c r="B1330" s="14" t="s">
        <v>128</v>
      </c>
      <c r="C1330" s="14" t="s">
        <v>30</v>
      </c>
      <c r="D1330" s="14" t="s">
        <v>194</v>
      </c>
      <c r="E1330" s="14" t="s">
        <v>1360</v>
      </c>
      <c r="F1330" s="48" t="s">
        <v>31</v>
      </c>
      <c r="G1330" s="14" t="b">
        <f>OR(LCI_Table[[#This Row],[Feedstock]]="All",LCI_Table[[#This Row],[Feedstock]]=SelectedFeedstock)</f>
        <v>0</v>
      </c>
      <c r="H1330" s="14" t="b">
        <f>OR(LCI_Table[[#This Row],[Conversion]]="All",LCI_Table[[#This Row],[Conversion]]=SelectedConversion)</f>
        <v>1</v>
      </c>
      <c r="I1330" s="14" t="b">
        <f>OR(LCI_Table[[#This Row],[Data Set]]="all",LCI_Table[[#This Row],[Data Set]]=SelectedDataSet)</f>
        <v>0</v>
      </c>
      <c r="J1330" s="14" t="b">
        <f>OR(LCI_Table[[#This Row],[Technology]]="All",LCI_Table[[#This Row],[Technology]]=SelectedTechnology)</f>
        <v>1</v>
      </c>
      <c r="K1330" s="14" t="b">
        <f>OR(LCI_Table[[#This Row],[Data Source]]="All",LCI_Table[[#This Row],[Data Source]]=SelectedDataSource)</f>
        <v>0</v>
      </c>
      <c r="L1330" s="14" t="b">
        <f>TRUE</f>
        <v>1</v>
      </c>
      <c r="M1330" s="14" t="b">
        <f>(LCI_Table[[#This Row],[Dev Notes]]="Do not display")</f>
        <v>0</v>
      </c>
      <c r="N1330" s="14" t="b">
        <f>AND(LCI_Table[[#This Row],[Show Feedstock]:[Conditional]],NOT(LCI_Table[[#This Row],[Hide Row]]))</f>
        <v>0</v>
      </c>
      <c r="O1330" s="14" t="b">
        <f>LCI_Table[[#This Row],[GREET1 Name Range]]=""</f>
        <v>0</v>
      </c>
      <c r="P1330" s="14" t="s">
        <v>14</v>
      </c>
      <c r="Q1330" s="14" t="s">
        <v>516</v>
      </c>
      <c r="R1330" s="14" t="s">
        <v>9</v>
      </c>
      <c r="S1330" s="37" cm="1">
        <f t="array" aca="1" ref="S13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30" s="346" t="s">
        <v>2110</v>
      </c>
      <c r="U1330" s="347">
        <f ca="1">S1330/S1319*kg2ton</f>
        <v>0</v>
      </c>
      <c r="V1330" s="347">
        <v>0</v>
      </c>
      <c r="W1330" s="347">
        <v>0</v>
      </c>
      <c r="X1330" s="14" t="s">
        <v>117</v>
      </c>
      <c r="Y1330" s="346" t="s">
        <v>413</v>
      </c>
      <c r="Z1330" s="14" t="str">
        <f>IF(ISBLANK(LCI_Table[[#This Row],[Notes for user]])," ",LCI_Table[[#This Row],[Notes for user]])</f>
        <v xml:space="preserve"> </v>
      </c>
      <c r="AA1330" s="14"/>
      <c r="AB1330" s="14"/>
      <c r="AC1330" s="346">
        <f ca="1">LCI_Table[[#This Row],[Default Calculated Value]]-LCI_Table[[#This Row],[Calculated Value]]</f>
        <v>0</v>
      </c>
    </row>
    <row r="1331" spans="1:29" x14ac:dyDescent="0.3">
      <c r="A13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(GREET)(blank)_Carinata_Farming_LPGLPG</v>
      </c>
      <c r="B1331" s="14" t="s">
        <v>128</v>
      </c>
      <c r="C1331" s="14" t="s">
        <v>30</v>
      </c>
      <c r="D1331" s="14" t="s">
        <v>194</v>
      </c>
      <c r="E1331" s="14" t="s">
        <v>1360</v>
      </c>
      <c r="F1331" s="48" t="s">
        <v>31</v>
      </c>
      <c r="G1331" s="14" t="b">
        <f>OR(LCI_Table[[#This Row],[Feedstock]]="All",LCI_Table[[#This Row],[Feedstock]]=SelectedFeedstock)</f>
        <v>0</v>
      </c>
      <c r="H1331" s="14" t="b">
        <f>OR(LCI_Table[[#This Row],[Conversion]]="All",LCI_Table[[#This Row],[Conversion]]=SelectedConversion)</f>
        <v>1</v>
      </c>
      <c r="I1331" s="14" t="b">
        <f>OR(LCI_Table[[#This Row],[Data Set]]="all",LCI_Table[[#This Row],[Data Set]]=SelectedDataSet)</f>
        <v>0</v>
      </c>
      <c r="J1331" s="14" t="b">
        <f>OR(LCI_Table[[#This Row],[Technology]]="All",LCI_Table[[#This Row],[Technology]]=SelectedTechnology)</f>
        <v>1</v>
      </c>
      <c r="K1331" s="14" t="b">
        <f>OR(LCI_Table[[#This Row],[Data Source]]="All",LCI_Table[[#This Row],[Data Source]]=SelectedDataSource)</f>
        <v>0</v>
      </c>
      <c r="L1331" s="14" t="b">
        <f>TRUE</f>
        <v>1</v>
      </c>
      <c r="M1331" s="14" t="b">
        <f>(LCI_Table[[#This Row],[Dev Notes]]="Do not display")</f>
        <v>0</v>
      </c>
      <c r="N1331" s="14" t="b">
        <f>AND(LCI_Table[[#This Row],[Show Feedstock]:[Conditional]],NOT(LCI_Table[[#This Row],[Hide Row]]))</f>
        <v>0</v>
      </c>
      <c r="O1331" s="14" t="b">
        <f>LCI_Table[[#This Row],[GREET1 Name Range]]=""</f>
        <v>0</v>
      </c>
      <c r="P1331" s="14" t="s">
        <v>14</v>
      </c>
      <c r="Q1331" s="14" t="s">
        <v>523</v>
      </c>
      <c r="R1331" s="14" t="s">
        <v>109</v>
      </c>
      <c r="S1331" s="37" cm="1">
        <f t="array" aca="1" ref="S13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31" s="346" t="s">
        <v>1484</v>
      </c>
      <c r="U1331" s="347">
        <f ca="1">S1331*Fuel_Specs!$B$35/S1319*kg2ton</f>
        <v>0</v>
      </c>
      <c r="V1331" s="347">
        <v>0</v>
      </c>
      <c r="W1331" s="347">
        <v>0</v>
      </c>
      <c r="X1331" s="14" t="s">
        <v>5</v>
      </c>
      <c r="Y1331" s="346" t="s">
        <v>413</v>
      </c>
      <c r="Z1331" s="14" t="str">
        <f>IF(ISBLANK(LCI_Table[[#This Row],[Notes for user]])," ",LCI_Table[[#This Row],[Notes for user]])</f>
        <v xml:space="preserve"> </v>
      </c>
      <c r="AA1331" s="14"/>
      <c r="AB1331" s="14"/>
      <c r="AC1331" s="346">
        <f ca="1">LCI_Table[[#This Row],[Default Calculated Value]]-LCI_Table[[#This Row],[Calculated Value]]</f>
        <v>0</v>
      </c>
    </row>
    <row r="1332" spans="1:29" x14ac:dyDescent="0.3">
      <c r="A13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(GREET)(blank)_Carinata_Farming_ElectricityElectricity</v>
      </c>
      <c r="B1332" s="14" t="s">
        <v>128</v>
      </c>
      <c r="C1332" s="14" t="s">
        <v>30</v>
      </c>
      <c r="D1332" s="14" t="s">
        <v>194</v>
      </c>
      <c r="E1332" s="14" t="s">
        <v>1360</v>
      </c>
      <c r="F1332" s="48" t="s">
        <v>31</v>
      </c>
      <c r="G1332" s="14" t="b">
        <f>OR(LCI_Table[[#This Row],[Feedstock]]="All",LCI_Table[[#This Row],[Feedstock]]=SelectedFeedstock)</f>
        <v>0</v>
      </c>
      <c r="H1332" s="14" t="b">
        <f>OR(LCI_Table[[#This Row],[Conversion]]="All",LCI_Table[[#This Row],[Conversion]]=SelectedConversion)</f>
        <v>1</v>
      </c>
      <c r="I1332" s="14" t="b">
        <f>OR(LCI_Table[[#This Row],[Data Set]]="all",LCI_Table[[#This Row],[Data Set]]=SelectedDataSet)</f>
        <v>0</v>
      </c>
      <c r="J1332" s="14" t="b">
        <f>OR(LCI_Table[[#This Row],[Technology]]="All",LCI_Table[[#This Row],[Technology]]=SelectedTechnology)</f>
        <v>1</v>
      </c>
      <c r="K1332" s="14" t="b">
        <f>OR(LCI_Table[[#This Row],[Data Source]]="All",LCI_Table[[#This Row],[Data Source]]=SelectedDataSource)</f>
        <v>0</v>
      </c>
      <c r="L1332" s="14" t="b">
        <f>TRUE</f>
        <v>1</v>
      </c>
      <c r="M1332" s="14" t="b">
        <f>(LCI_Table[[#This Row],[Dev Notes]]="Do not display")</f>
        <v>0</v>
      </c>
      <c r="N1332" s="14" t="b">
        <f>AND(LCI_Table[[#This Row],[Show Feedstock]:[Conditional]],NOT(LCI_Table[[#This Row],[Hide Row]]))</f>
        <v>0</v>
      </c>
      <c r="O1332" s="14" t="b">
        <f>LCI_Table[[#This Row],[GREET1 Name Range]]=""</f>
        <v>0</v>
      </c>
      <c r="P1332" s="14" t="s">
        <v>14</v>
      </c>
      <c r="Q1332" s="14" t="s">
        <v>518</v>
      </c>
      <c r="R1332" s="14" t="s">
        <v>110</v>
      </c>
      <c r="S1332" s="37" cm="1">
        <f t="array" aca="1" ref="S13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32" s="346" t="s">
        <v>1561</v>
      </c>
      <c r="U1332" s="347">
        <f ca="1">S1332/BTU2kWh/S1319*kg2ton</f>
        <v>0</v>
      </c>
      <c r="V1332" s="347">
        <v>0</v>
      </c>
      <c r="W1332" s="347">
        <v>0</v>
      </c>
      <c r="X1332" s="14" t="s">
        <v>51</v>
      </c>
      <c r="Y1332" s="346" t="s">
        <v>413</v>
      </c>
      <c r="Z1332" s="14" t="str">
        <f>IF(ISBLANK(LCI_Table[[#This Row],[Notes for user]])," ",LCI_Table[[#This Row],[Notes for user]])</f>
        <v xml:space="preserve"> </v>
      </c>
      <c r="AA1332" s="14"/>
      <c r="AB1332" s="14"/>
      <c r="AC1332" s="346">
        <f ca="1">LCI_Table[[#This Row],[Default Calculated Value]]-LCI_Table[[#This Row],[Calculated Value]]</f>
        <v>0</v>
      </c>
    </row>
    <row r="1333" spans="1:29" x14ac:dyDescent="0.3">
      <c r="A13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dash_CarinataHEFAICAOUS/Canada (GREET)(blank)_Carinata_Extraction</v>
      </c>
      <c r="B1333" s="14" t="s">
        <v>128</v>
      </c>
      <c r="C1333" s="14" t="s">
        <v>30</v>
      </c>
      <c r="D1333" s="14" t="s">
        <v>194</v>
      </c>
      <c r="E1333" s="14" t="s">
        <v>1360</v>
      </c>
      <c r="F1333" s="48" t="s">
        <v>31</v>
      </c>
      <c r="G1333" s="14" t="b">
        <f>OR(LCI_Table[[#This Row],[Feedstock]]="All",LCI_Table[[#This Row],[Feedstock]]=SelectedFeedstock)</f>
        <v>0</v>
      </c>
      <c r="H1333" s="14" t="b">
        <f>OR(LCI_Table[[#This Row],[Conversion]]="All",LCI_Table[[#This Row],[Conversion]]=SelectedConversion)</f>
        <v>1</v>
      </c>
      <c r="I1333" s="14" t="b">
        <f>OR(LCI_Table[[#This Row],[Data Set]]="all",LCI_Table[[#This Row],[Data Set]]=SelectedDataSet)</f>
        <v>0</v>
      </c>
      <c r="J1333" s="14" t="b">
        <f>OR(LCI_Table[[#This Row],[Technology]]="All",LCI_Table[[#This Row],[Technology]]=SelectedTechnology)</f>
        <v>1</v>
      </c>
      <c r="K1333" s="14" t="b">
        <f>OR(LCI_Table[[#This Row],[Data Source]]="All",LCI_Table[[#This Row],[Data Source]]=SelectedDataSource)</f>
        <v>0</v>
      </c>
      <c r="L1333" s="14" t="b">
        <f>TRUE</f>
        <v>1</v>
      </c>
      <c r="M1333" s="14" t="b">
        <f>(LCI_Table[[#This Row],[Dev Notes]]="Do not display")</f>
        <v>1</v>
      </c>
      <c r="N1333" s="14" t="b">
        <f>AND(LCI_Table[[#This Row],[Show Feedstock]:[Conditional]],NOT(LCI_Table[[#This Row],[Hide Row]]))</f>
        <v>0</v>
      </c>
      <c r="O1333" s="14" t="b">
        <f>LCI_Table[[#This Row],[GREET1 Name Range]]=""</f>
        <v>1</v>
      </c>
      <c r="P1333" s="14" t="s">
        <v>15</v>
      </c>
      <c r="Q1333" s="14" t="s">
        <v>361</v>
      </c>
      <c r="R1333" s="14" t="s">
        <v>128</v>
      </c>
      <c r="S1333" s="37" cm="1">
        <f t="array" aca="1" ref="S13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2.3119918699187045</v>
      </c>
      <c r="T1333" s="346" t="s">
        <v>2111</v>
      </c>
      <c r="U1333" s="347">
        <f ca="1">S1333/MT2lb</f>
        <v>1.0487018716971569E-3</v>
      </c>
      <c r="V1333" s="347">
        <v>2.3119918699187045</v>
      </c>
      <c r="W1333" s="347">
        <v>1.0487018716971569E-3</v>
      </c>
      <c r="X1333" s="14" t="s">
        <v>12</v>
      </c>
      <c r="Y1333" s="346" t="s">
        <v>891</v>
      </c>
      <c r="Z1333" s="14" t="str">
        <f>IF(ISBLANK(LCI_Table[[#This Row],[Notes for user]])," ",LCI_Table[[#This Row],[Notes for user]])</f>
        <v xml:space="preserve"> </v>
      </c>
      <c r="AA1333" s="348"/>
      <c r="AB1333" s="348" t="s">
        <v>1138</v>
      </c>
      <c r="AC1333" s="346">
        <f ca="1">LCI_Table[[#This Row],[Default Calculated Value]]-LCI_Table[[#This Row],[Calculated Value]]</f>
        <v>0</v>
      </c>
    </row>
    <row r="1334" spans="1:29" x14ac:dyDescent="0.3">
      <c r="A13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(GREET)(blank)_Carinata_Extraction_Residual_oilResidual oil</v>
      </c>
      <c r="B1334" s="14" t="s">
        <v>128</v>
      </c>
      <c r="C1334" s="14" t="s">
        <v>30</v>
      </c>
      <c r="D1334" s="14" t="s">
        <v>194</v>
      </c>
      <c r="E1334" s="14" t="s">
        <v>1360</v>
      </c>
      <c r="F1334" s="48" t="s">
        <v>31</v>
      </c>
      <c r="G1334" s="14" t="b">
        <f>OR(LCI_Table[[#This Row],[Feedstock]]="All",LCI_Table[[#This Row],[Feedstock]]=SelectedFeedstock)</f>
        <v>0</v>
      </c>
      <c r="H1334" s="14" t="b">
        <f>OR(LCI_Table[[#This Row],[Conversion]]="All",LCI_Table[[#This Row],[Conversion]]=SelectedConversion)</f>
        <v>1</v>
      </c>
      <c r="I1334" s="14" t="b">
        <f>OR(LCI_Table[[#This Row],[Data Set]]="all",LCI_Table[[#This Row],[Data Set]]=SelectedDataSet)</f>
        <v>0</v>
      </c>
      <c r="J1334" s="14" t="b">
        <f>OR(LCI_Table[[#This Row],[Technology]]="All",LCI_Table[[#This Row],[Technology]]=SelectedTechnology)</f>
        <v>1</v>
      </c>
      <c r="K1334" s="14" t="b">
        <f>OR(LCI_Table[[#This Row],[Data Source]]="All",LCI_Table[[#This Row],[Data Source]]=SelectedDataSource)</f>
        <v>0</v>
      </c>
      <c r="L1334" s="14" t="b">
        <f>TRUE</f>
        <v>1</v>
      </c>
      <c r="M1334" s="14" t="b">
        <f>(LCI_Table[[#This Row],[Dev Notes]]="Do not display")</f>
        <v>0</v>
      </c>
      <c r="N1334" s="14" t="b">
        <f>AND(LCI_Table[[#This Row],[Show Feedstock]:[Conditional]],NOT(LCI_Table[[#This Row],[Hide Row]]))</f>
        <v>0</v>
      </c>
      <c r="O1334" s="14" t="b">
        <f>LCI_Table[[#This Row],[GREET1 Name Range]]=""</f>
        <v>0</v>
      </c>
      <c r="P1334" s="14" t="s">
        <v>15</v>
      </c>
      <c r="Q1334" s="14" t="s">
        <v>514</v>
      </c>
      <c r="R1334" s="14" t="s">
        <v>115</v>
      </c>
      <c r="S1334" s="37" cm="1">
        <f t="array" aca="1" ref="S13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34" s="346" t="s">
        <v>2112</v>
      </c>
      <c r="U1334" s="347">
        <f ca="1">S1334*Fuel_Specs!$B$28</f>
        <v>0</v>
      </c>
      <c r="V1334" s="347">
        <v>0</v>
      </c>
      <c r="W1334" s="347">
        <v>0</v>
      </c>
      <c r="X1334" s="14" t="s">
        <v>5</v>
      </c>
      <c r="Y1334" s="346" t="s">
        <v>891</v>
      </c>
      <c r="Z1334" s="14" t="str">
        <f>IF(ISBLANK(LCI_Table[[#This Row],[Notes for user]])," ",LCI_Table[[#This Row],[Notes for user]])</f>
        <v xml:space="preserve"> </v>
      </c>
      <c r="AA1334" s="14"/>
      <c r="AB1334" s="14"/>
      <c r="AC1334" s="346">
        <f ca="1">LCI_Table[[#This Row],[Default Calculated Value]]-LCI_Table[[#This Row],[Calculated Value]]</f>
        <v>0</v>
      </c>
    </row>
    <row r="1335" spans="1:29" x14ac:dyDescent="0.3">
      <c r="A13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(GREET)(blank)_Carinata_Extraction_DieselDiesel</v>
      </c>
      <c r="B1335" s="14" t="s">
        <v>128</v>
      </c>
      <c r="C1335" s="14" t="s">
        <v>30</v>
      </c>
      <c r="D1335" s="14" t="s">
        <v>194</v>
      </c>
      <c r="E1335" s="14" t="s">
        <v>1360</v>
      </c>
      <c r="F1335" s="48" t="s">
        <v>31</v>
      </c>
      <c r="G1335" s="14" t="b">
        <f>OR(LCI_Table[[#This Row],[Feedstock]]="All",LCI_Table[[#This Row],[Feedstock]]=SelectedFeedstock)</f>
        <v>0</v>
      </c>
      <c r="H1335" s="14" t="b">
        <f>OR(LCI_Table[[#This Row],[Conversion]]="All",LCI_Table[[#This Row],[Conversion]]=SelectedConversion)</f>
        <v>1</v>
      </c>
      <c r="I1335" s="14" t="b">
        <f>OR(LCI_Table[[#This Row],[Data Set]]="all",LCI_Table[[#This Row],[Data Set]]=SelectedDataSet)</f>
        <v>0</v>
      </c>
      <c r="J1335" s="14" t="b">
        <f>OR(LCI_Table[[#This Row],[Technology]]="All",LCI_Table[[#This Row],[Technology]]=SelectedTechnology)</f>
        <v>1</v>
      </c>
      <c r="K1335" s="14" t="b">
        <f>OR(LCI_Table[[#This Row],[Data Source]]="All",LCI_Table[[#This Row],[Data Source]]=SelectedDataSource)</f>
        <v>0</v>
      </c>
      <c r="L1335" s="14" t="b">
        <f>TRUE</f>
        <v>1</v>
      </c>
      <c r="M1335" s="14" t="b">
        <f>(LCI_Table[[#This Row],[Dev Notes]]="Do not display")</f>
        <v>0</v>
      </c>
      <c r="N1335" s="14" t="b">
        <f>AND(LCI_Table[[#This Row],[Show Feedstock]:[Conditional]],NOT(LCI_Table[[#This Row],[Hide Row]]))</f>
        <v>0</v>
      </c>
      <c r="O1335" s="14" t="b">
        <f>LCI_Table[[#This Row],[GREET1 Name Range]]=""</f>
        <v>0</v>
      </c>
      <c r="P1335" s="14" t="s">
        <v>15</v>
      </c>
      <c r="Q1335" s="14" t="s">
        <v>506</v>
      </c>
      <c r="R1335" s="14" t="s">
        <v>106</v>
      </c>
      <c r="S1335" s="37" cm="1">
        <f t="array" aca="1" ref="S13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35" s="346" t="s">
        <v>2112</v>
      </c>
      <c r="U1335" s="347">
        <f ca="1">S1335*Fuel_Specs!$B$19</f>
        <v>0</v>
      </c>
      <c r="V1335" s="347">
        <v>0</v>
      </c>
      <c r="W1335" s="347">
        <v>0</v>
      </c>
      <c r="X1335" s="14" t="s">
        <v>5</v>
      </c>
      <c r="Y1335" s="346" t="s">
        <v>891</v>
      </c>
      <c r="Z1335" s="14" t="str">
        <f>IF(ISBLANK(LCI_Table[[#This Row],[Notes for user]])," ",LCI_Table[[#This Row],[Notes for user]])</f>
        <v xml:space="preserve"> </v>
      </c>
      <c r="AA1335" s="14"/>
      <c r="AB1335" s="14"/>
      <c r="AC1335" s="346">
        <f ca="1">LCI_Table[[#This Row],[Default Calculated Value]]-LCI_Table[[#This Row],[Calculated Value]]</f>
        <v>0</v>
      </c>
    </row>
    <row r="1336" spans="1:29" x14ac:dyDescent="0.3">
      <c r="A13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(GREET)(blank)_Carinata_Extraction_GasolineGasoline</v>
      </c>
      <c r="B1336" s="14" t="s">
        <v>128</v>
      </c>
      <c r="C1336" s="14" t="s">
        <v>30</v>
      </c>
      <c r="D1336" s="14" t="s">
        <v>194</v>
      </c>
      <c r="E1336" s="14" t="s">
        <v>1360</v>
      </c>
      <c r="F1336" s="48" t="s">
        <v>31</v>
      </c>
      <c r="G1336" s="14" t="b">
        <f>OR(LCI_Table[[#This Row],[Feedstock]]="All",LCI_Table[[#This Row],[Feedstock]]=SelectedFeedstock)</f>
        <v>0</v>
      </c>
      <c r="H1336" s="14" t="b">
        <f>OR(LCI_Table[[#This Row],[Conversion]]="All",LCI_Table[[#This Row],[Conversion]]=SelectedConversion)</f>
        <v>1</v>
      </c>
      <c r="I1336" s="14" t="b">
        <f>OR(LCI_Table[[#This Row],[Data Set]]="all",LCI_Table[[#This Row],[Data Set]]=SelectedDataSet)</f>
        <v>0</v>
      </c>
      <c r="J1336" s="14" t="b">
        <f>OR(LCI_Table[[#This Row],[Technology]]="All",LCI_Table[[#This Row],[Technology]]=SelectedTechnology)</f>
        <v>1</v>
      </c>
      <c r="K1336" s="14" t="b">
        <f>OR(LCI_Table[[#This Row],[Data Source]]="All",LCI_Table[[#This Row],[Data Source]]=SelectedDataSource)</f>
        <v>0</v>
      </c>
      <c r="L1336" s="14" t="b">
        <f>TRUE</f>
        <v>1</v>
      </c>
      <c r="M1336" s="14" t="b">
        <f>(LCI_Table[[#This Row],[Dev Notes]]="Do not display")</f>
        <v>0</v>
      </c>
      <c r="N1336" s="14" t="b">
        <f>AND(LCI_Table[[#This Row],[Show Feedstock]:[Conditional]],NOT(LCI_Table[[#This Row],[Hide Row]]))</f>
        <v>0</v>
      </c>
      <c r="O1336" s="14" t="b">
        <f>LCI_Table[[#This Row],[GREET1 Name Range]]=""</f>
        <v>0</v>
      </c>
      <c r="P1336" s="14" t="s">
        <v>15</v>
      </c>
      <c r="Q1336" s="14" t="s">
        <v>509</v>
      </c>
      <c r="R1336" s="14" t="s">
        <v>107</v>
      </c>
      <c r="S1336" s="37" cm="1">
        <f t="array" aca="1" ref="S13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36" s="346" t="s">
        <v>2112</v>
      </c>
      <c r="U1336" s="347">
        <f ca="1">S1336*Fuel_Specs!$B$15</f>
        <v>0</v>
      </c>
      <c r="V1336" s="347">
        <v>0</v>
      </c>
      <c r="W1336" s="347">
        <v>0</v>
      </c>
      <c r="X1336" s="14" t="s">
        <v>5</v>
      </c>
      <c r="Y1336" s="346" t="s">
        <v>891</v>
      </c>
      <c r="Z1336" s="14" t="str">
        <f>IF(ISBLANK(LCI_Table[[#This Row],[Notes for user]])," ",LCI_Table[[#This Row],[Notes for user]])</f>
        <v xml:space="preserve"> </v>
      </c>
      <c r="AA1336" s="14"/>
      <c r="AB1336" s="14"/>
      <c r="AC1336" s="346">
        <f ca="1">LCI_Table[[#This Row],[Default Calculated Value]]-LCI_Table[[#This Row],[Calculated Value]]</f>
        <v>0</v>
      </c>
    </row>
    <row r="1337" spans="1:29" x14ac:dyDescent="0.3">
      <c r="A13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(GREET)(blank)_Carinata_Extraction_Natural_gasNatural gas</v>
      </c>
      <c r="B1337" s="14" t="s">
        <v>128</v>
      </c>
      <c r="C1337" s="14" t="s">
        <v>30</v>
      </c>
      <c r="D1337" s="14" t="s">
        <v>194</v>
      </c>
      <c r="E1337" s="14" t="s">
        <v>1360</v>
      </c>
      <c r="F1337" s="48" t="s">
        <v>31</v>
      </c>
      <c r="G1337" s="14" t="b">
        <f>OR(LCI_Table[[#This Row],[Feedstock]]="All",LCI_Table[[#This Row],[Feedstock]]=SelectedFeedstock)</f>
        <v>0</v>
      </c>
      <c r="H1337" s="14" t="b">
        <f>OR(LCI_Table[[#This Row],[Conversion]]="All",LCI_Table[[#This Row],[Conversion]]=SelectedConversion)</f>
        <v>1</v>
      </c>
      <c r="I1337" s="14" t="b">
        <f>OR(LCI_Table[[#This Row],[Data Set]]="all",LCI_Table[[#This Row],[Data Set]]=SelectedDataSet)</f>
        <v>0</v>
      </c>
      <c r="J1337" s="14" t="b">
        <f>OR(LCI_Table[[#This Row],[Technology]]="All",LCI_Table[[#This Row],[Technology]]=SelectedTechnology)</f>
        <v>1</v>
      </c>
      <c r="K1337" s="14" t="b">
        <f>OR(LCI_Table[[#This Row],[Data Source]]="All",LCI_Table[[#This Row],[Data Source]]=SelectedDataSource)</f>
        <v>0</v>
      </c>
      <c r="L1337" s="14" t="b">
        <f>TRUE</f>
        <v>1</v>
      </c>
      <c r="M1337" s="14" t="b">
        <f>(LCI_Table[[#This Row],[Dev Notes]]="Do not display")</f>
        <v>0</v>
      </c>
      <c r="N1337" s="14" t="b">
        <f>AND(LCI_Table[[#This Row],[Show Feedstock]:[Conditional]],NOT(LCI_Table[[#This Row],[Hide Row]]))</f>
        <v>0</v>
      </c>
      <c r="O1337" s="14" t="b">
        <f>LCI_Table[[#This Row],[GREET1 Name Range]]=""</f>
        <v>0</v>
      </c>
      <c r="P1337" s="14" t="s">
        <v>15</v>
      </c>
      <c r="Q1337" s="14" t="s">
        <v>513</v>
      </c>
      <c r="R1337" s="14" t="s">
        <v>108</v>
      </c>
      <c r="S1337" s="37" cm="1">
        <f t="array" aca="1" ref="S13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1.0165942281783171</v>
      </c>
      <c r="T1337" s="346" t="s">
        <v>2113</v>
      </c>
      <c r="U1337" s="347">
        <f ca="1">S1337*Fuel_Specs!$B$79</f>
        <v>999.31212629928575</v>
      </c>
      <c r="V1337" s="347">
        <v>1.0165942281783171</v>
      </c>
      <c r="W1337" s="347">
        <v>999.31212629928575</v>
      </c>
      <c r="X1337" s="14" t="s">
        <v>351</v>
      </c>
      <c r="Y1337" s="346" t="s">
        <v>891</v>
      </c>
      <c r="Z1337" s="14" t="str">
        <f>IF(ISBLANK(LCI_Table[[#This Row],[Notes for user]])," ",LCI_Table[[#This Row],[Notes for user]])</f>
        <v xml:space="preserve"> </v>
      </c>
      <c r="AA1337" s="14"/>
      <c r="AB1337" s="14"/>
      <c r="AC1337" s="346">
        <f ca="1">LCI_Table[[#This Row],[Default Calculated Value]]-LCI_Table[[#This Row],[Calculated Value]]</f>
        <v>0</v>
      </c>
    </row>
    <row r="1338" spans="1:29" x14ac:dyDescent="0.3">
      <c r="A13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(GREET)(blank)_Carinata_Extraction_CoalCoal</v>
      </c>
      <c r="B1338" s="14" t="s">
        <v>128</v>
      </c>
      <c r="C1338" s="14" t="s">
        <v>30</v>
      </c>
      <c r="D1338" s="14" t="s">
        <v>194</v>
      </c>
      <c r="E1338" s="14" t="s">
        <v>1360</v>
      </c>
      <c r="F1338" s="48" t="s">
        <v>31</v>
      </c>
      <c r="G1338" s="14" t="b">
        <f>OR(LCI_Table[[#This Row],[Feedstock]]="All",LCI_Table[[#This Row],[Feedstock]]=SelectedFeedstock)</f>
        <v>0</v>
      </c>
      <c r="H1338" s="14" t="b">
        <f>OR(LCI_Table[[#This Row],[Conversion]]="All",LCI_Table[[#This Row],[Conversion]]=SelectedConversion)</f>
        <v>1</v>
      </c>
      <c r="I1338" s="14" t="b">
        <f>OR(LCI_Table[[#This Row],[Data Set]]="all",LCI_Table[[#This Row],[Data Set]]=SelectedDataSet)</f>
        <v>0</v>
      </c>
      <c r="J1338" s="14" t="b">
        <f>OR(LCI_Table[[#This Row],[Technology]]="All",LCI_Table[[#This Row],[Technology]]=SelectedTechnology)</f>
        <v>1</v>
      </c>
      <c r="K1338" s="14" t="b">
        <f>OR(LCI_Table[[#This Row],[Data Source]]="All",LCI_Table[[#This Row],[Data Source]]=SelectedDataSource)</f>
        <v>0</v>
      </c>
      <c r="L1338" s="14" t="b">
        <f>TRUE</f>
        <v>1</v>
      </c>
      <c r="M1338" s="14" t="b">
        <f>(LCI_Table[[#This Row],[Dev Notes]]="Do not display")</f>
        <v>0</v>
      </c>
      <c r="N1338" s="14" t="b">
        <f>AND(LCI_Table[[#This Row],[Show Feedstock]:[Conditional]],NOT(LCI_Table[[#This Row],[Hide Row]]))</f>
        <v>0</v>
      </c>
      <c r="O1338" s="14" t="b">
        <f>LCI_Table[[#This Row],[GREET1 Name Range]]=""</f>
        <v>0</v>
      </c>
      <c r="P1338" s="14" t="s">
        <v>15</v>
      </c>
      <c r="Q1338" s="14" t="s">
        <v>505</v>
      </c>
      <c r="R1338" s="14" t="s">
        <v>9</v>
      </c>
      <c r="S1338" s="37" cm="1">
        <f t="array" aca="1" ref="S13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38" s="346" t="s">
        <v>2114</v>
      </c>
      <c r="U1338" s="347">
        <f ca="1">S1338</f>
        <v>0</v>
      </c>
      <c r="V1338" s="347">
        <v>0</v>
      </c>
      <c r="W1338" s="347">
        <v>0</v>
      </c>
      <c r="X1338" s="14" t="s">
        <v>117</v>
      </c>
      <c r="Y1338" s="346" t="s">
        <v>891</v>
      </c>
      <c r="Z1338" s="14" t="str">
        <f>IF(ISBLANK(LCI_Table[[#This Row],[Notes for user]])," ",LCI_Table[[#This Row],[Notes for user]])</f>
        <v xml:space="preserve"> </v>
      </c>
      <c r="AA1338" s="14"/>
      <c r="AB1338" s="14"/>
      <c r="AC1338" s="346">
        <f ca="1">LCI_Table[[#This Row],[Default Calculated Value]]-LCI_Table[[#This Row],[Calculated Value]]</f>
        <v>0</v>
      </c>
    </row>
    <row r="1339" spans="1:29" x14ac:dyDescent="0.3">
      <c r="A13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(GREET)(blank)_Carinata_Extraction_LPGLPG</v>
      </c>
      <c r="B1339" s="14" t="s">
        <v>128</v>
      </c>
      <c r="C1339" s="14" t="s">
        <v>30</v>
      </c>
      <c r="D1339" s="14" t="s">
        <v>194</v>
      </c>
      <c r="E1339" s="14" t="s">
        <v>1360</v>
      </c>
      <c r="F1339" s="48" t="s">
        <v>31</v>
      </c>
      <c r="G1339" s="14" t="b">
        <f>OR(LCI_Table[[#This Row],[Feedstock]]="All",LCI_Table[[#This Row],[Feedstock]]=SelectedFeedstock)</f>
        <v>0</v>
      </c>
      <c r="H1339" s="14" t="b">
        <f>OR(LCI_Table[[#This Row],[Conversion]]="All",LCI_Table[[#This Row],[Conversion]]=SelectedConversion)</f>
        <v>1</v>
      </c>
      <c r="I1339" s="14" t="b">
        <f>OR(LCI_Table[[#This Row],[Data Set]]="all",LCI_Table[[#This Row],[Data Set]]=SelectedDataSet)</f>
        <v>0</v>
      </c>
      <c r="J1339" s="14" t="b">
        <f>OR(LCI_Table[[#This Row],[Technology]]="All",LCI_Table[[#This Row],[Technology]]=SelectedTechnology)</f>
        <v>1</v>
      </c>
      <c r="K1339" s="14" t="b">
        <f>OR(LCI_Table[[#This Row],[Data Source]]="All",LCI_Table[[#This Row],[Data Source]]=SelectedDataSource)</f>
        <v>0</v>
      </c>
      <c r="L1339" s="14" t="b">
        <f>TRUE</f>
        <v>1</v>
      </c>
      <c r="M1339" s="14" t="b">
        <f>(LCI_Table[[#This Row],[Dev Notes]]="Do not display")</f>
        <v>0</v>
      </c>
      <c r="N1339" s="14" t="b">
        <f>AND(LCI_Table[[#This Row],[Show Feedstock]:[Conditional]],NOT(LCI_Table[[#This Row],[Hide Row]]))</f>
        <v>0</v>
      </c>
      <c r="O1339" s="14" t="b">
        <f>LCI_Table[[#This Row],[GREET1 Name Range]]=""</f>
        <v>0</v>
      </c>
      <c r="P1339" s="14" t="s">
        <v>15</v>
      </c>
      <c r="Q1339" s="14" t="s">
        <v>511</v>
      </c>
      <c r="R1339" s="14" t="s">
        <v>109</v>
      </c>
      <c r="S1339" s="37" cm="1">
        <f t="array" aca="1" ref="S13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39" s="346" t="s">
        <v>2112</v>
      </c>
      <c r="U1339" s="347">
        <f ca="1">S1339*Fuel_Specs!$B$35</f>
        <v>0</v>
      </c>
      <c r="V1339" s="347">
        <v>0</v>
      </c>
      <c r="W1339" s="347">
        <v>0</v>
      </c>
      <c r="X1339" s="14" t="s">
        <v>5</v>
      </c>
      <c r="Y1339" s="346" t="s">
        <v>891</v>
      </c>
      <c r="Z1339" s="14" t="str">
        <f>IF(ISBLANK(LCI_Table[[#This Row],[Notes for user]])," ",LCI_Table[[#This Row],[Notes for user]])</f>
        <v xml:space="preserve"> </v>
      </c>
      <c r="AA1339" s="14"/>
      <c r="AB1339" s="14"/>
      <c r="AC1339" s="346">
        <f ca="1">LCI_Table[[#This Row],[Default Calculated Value]]-LCI_Table[[#This Row],[Calculated Value]]</f>
        <v>0</v>
      </c>
    </row>
    <row r="1340" spans="1:29" x14ac:dyDescent="0.3">
      <c r="A13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(GREET)(blank)_Carinata_Extraction_ElectricityElectricity</v>
      </c>
      <c r="B1340" s="14" t="s">
        <v>128</v>
      </c>
      <c r="C1340" s="14" t="s">
        <v>30</v>
      </c>
      <c r="D1340" s="14" t="s">
        <v>194</v>
      </c>
      <c r="E1340" s="14" t="s">
        <v>1360</v>
      </c>
      <c r="F1340" s="48" t="s">
        <v>31</v>
      </c>
      <c r="G1340" s="14" t="b">
        <f>OR(LCI_Table[[#This Row],[Feedstock]]="All",LCI_Table[[#This Row],[Feedstock]]=SelectedFeedstock)</f>
        <v>0</v>
      </c>
      <c r="H1340" s="14" t="b">
        <f>OR(LCI_Table[[#This Row],[Conversion]]="All",LCI_Table[[#This Row],[Conversion]]=SelectedConversion)</f>
        <v>1</v>
      </c>
      <c r="I1340" s="14" t="b">
        <f>OR(LCI_Table[[#This Row],[Data Set]]="all",LCI_Table[[#This Row],[Data Set]]=SelectedDataSet)</f>
        <v>0</v>
      </c>
      <c r="J1340" s="14" t="b">
        <f>OR(LCI_Table[[#This Row],[Technology]]="All",LCI_Table[[#This Row],[Technology]]=SelectedTechnology)</f>
        <v>1</v>
      </c>
      <c r="K1340" s="14" t="b">
        <f>OR(LCI_Table[[#This Row],[Data Source]]="All",LCI_Table[[#This Row],[Data Source]]=SelectedDataSource)</f>
        <v>0</v>
      </c>
      <c r="L1340" s="14" t="b">
        <f>TRUE</f>
        <v>1</v>
      </c>
      <c r="M1340" s="14" t="b">
        <f>(LCI_Table[[#This Row],[Dev Notes]]="Do not display")</f>
        <v>0</v>
      </c>
      <c r="N1340" s="14" t="b">
        <f>AND(LCI_Table[[#This Row],[Show Feedstock]:[Conditional]],NOT(LCI_Table[[#This Row],[Hide Row]]))</f>
        <v>0</v>
      </c>
      <c r="O1340" s="14" t="b">
        <f>LCI_Table[[#This Row],[GREET1 Name Range]]=""</f>
        <v>0</v>
      </c>
      <c r="P1340" s="14" t="s">
        <v>15</v>
      </c>
      <c r="Q1340" s="14" t="s">
        <v>507</v>
      </c>
      <c r="R1340" s="14" t="s">
        <v>110</v>
      </c>
      <c r="S1340" s="37" cm="1">
        <f t="array" aca="1" ref="S13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5.5973298457999997E-2</v>
      </c>
      <c r="T1340" s="346" t="s">
        <v>2115</v>
      </c>
      <c r="U1340" s="347">
        <f ca="1">S1340/BTU2kWh</f>
        <v>190.98882248631671</v>
      </c>
      <c r="V1340" s="347">
        <v>5.5973298457999997E-2</v>
      </c>
      <c r="W1340" s="347">
        <v>190.98882248631671</v>
      </c>
      <c r="X1340" s="14" t="s">
        <v>51</v>
      </c>
      <c r="Y1340" s="346" t="s">
        <v>891</v>
      </c>
      <c r="Z1340" s="14" t="str">
        <f>IF(ISBLANK(LCI_Table[[#This Row],[Notes for user]])," ",LCI_Table[[#This Row],[Notes for user]])</f>
        <v xml:space="preserve"> </v>
      </c>
      <c r="AA1340" s="14"/>
      <c r="AB1340" s="14"/>
      <c r="AC1340" s="346">
        <f ca="1">LCI_Table[[#This Row],[Default Calculated Value]]-LCI_Table[[#This Row],[Calculated Value]]</f>
        <v>0</v>
      </c>
    </row>
    <row r="1341" spans="1:29" x14ac:dyDescent="0.3">
      <c r="A13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(GREET)(blank)_Carinata_Extraction_N_hexaneN-hexane</v>
      </c>
      <c r="B1341" s="14" t="s">
        <v>128</v>
      </c>
      <c r="C1341" s="14" t="s">
        <v>30</v>
      </c>
      <c r="D1341" s="14" t="s">
        <v>194</v>
      </c>
      <c r="E1341" s="14" t="s">
        <v>1360</v>
      </c>
      <c r="F1341" s="48" t="s">
        <v>31</v>
      </c>
      <c r="G1341" s="14" t="b">
        <f>OR(LCI_Table[[#This Row],[Feedstock]]="All",LCI_Table[[#This Row],[Feedstock]]=SelectedFeedstock)</f>
        <v>0</v>
      </c>
      <c r="H1341" s="14" t="b">
        <f>OR(LCI_Table[[#This Row],[Conversion]]="All",LCI_Table[[#This Row],[Conversion]]=SelectedConversion)</f>
        <v>1</v>
      </c>
      <c r="I1341" s="14" t="b">
        <f>OR(LCI_Table[[#This Row],[Data Set]]="all",LCI_Table[[#This Row],[Data Set]]=SelectedDataSet)</f>
        <v>0</v>
      </c>
      <c r="J1341" s="14" t="b">
        <f>OR(LCI_Table[[#This Row],[Technology]]="All",LCI_Table[[#This Row],[Technology]]=SelectedTechnology)</f>
        <v>1</v>
      </c>
      <c r="K1341" s="14" t="b">
        <f>OR(LCI_Table[[#This Row],[Data Source]]="All",LCI_Table[[#This Row],[Data Source]]=SelectedDataSource)</f>
        <v>0</v>
      </c>
      <c r="L1341" s="14" t="b">
        <f>TRUE</f>
        <v>1</v>
      </c>
      <c r="M1341" s="14" t="b">
        <f>(LCI_Table[[#This Row],[Dev Notes]]="Do not display")</f>
        <v>0</v>
      </c>
      <c r="N1341" s="14" t="b">
        <f>AND(LCI_Table[[#This Row],[Show Feedstock]:[Conditional]],NOT(LCI_Table[[#This Row],[Hide Row]]))</f>
        <v>0</v>
      </c>
      <c r="O1341" s="14" t="b">
        <f>LCI_Table[[#This Row],[GREET1 Name Range]]=""</f>
        <v>0</v>
      </c>
      <c r="P1341" s="14" t="s">
        <v>15</v>
      </c>
      <c r="Q1341" s="14" t="s">
        <v>512</v>
      </c>
      <c r="R1341" s="14" t="s">
        <v>116</v>
      </c>
      <c r="S1341" s="37" cm="1">
        <f t="array" aca="1" ref="S13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1.8894138027246228E-7</v>
      </c>
      <c r="T1341" s="346" t="s">
        <v>2111</v>
      </c>
      <c r="U1341" s="347">
        <f ca="1">S1341*Fuel_Specs!$B$58*ton2lb</f>
        <v>39.724849625733093</v>
      </c>
      <c r="V1341" s="347">
        <v>1.8894138027246228E-7</v>
      </c>
      <c r="W1341" s="347">
        <v>39.724849625733093</v>
      </c>
      <c r="X1341" s="14" t="s">
        <v>12</v>
      </c>
      <c r="Y1341" s="346" t="s">
        <v>891</v>
      </c>
      <c r="Z1341" s="14" t="str">
        <f>IF(ISBLANK(LCI_Table[[#This Row],[Notes for user]])," ",LCI_Table[[#This Row],[Notes for user]])</f>
        <v xml:space="preserve"> </v>
      </c>
      <c r="AA1341" s="14"/>
      <c r="AB1341" s="14"/>
      <c r="AC1341" s="346">
        <f ca="1">LCI_Table[[#This Row],[Default Calculated Value]]-LCI_Table[[#This Row],[Calculated Value]]</f>
        <v>0</v>
      </c>
    </row>
    <row r="1342" spans="1:29" x14ac:dyDescent="0.3">
      <c r="A13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(GREET)(blank)_Carinata_Extraction_Forest_residueForest residue</v>
      </c>
      <c r="B1342" s="14" t="s">
        <v>128</v>
      </c>
      <c r="C1342" s="14" t="s">
        <v>30</v>
      </c>
      <c r="D1342" s="14" t="s">
        <v>194</v>
      </c>
      <c r="E1342" s="14" t="s">
        <v>1360</v>
      </c>
      <c r="F1342" s="48" t="s">
        <v>31</v>
      </c>
      <c r="G1342" s="14" t="b">
        <f>OR(LCI_Table[[#This Row],[Feedstock]]="All",LCI_Table[[#This Row],[Feedstock]]=SelectedFeedstock)</f>
        <v>0</v>
      </c>
      <c r="H1342" s="14" t="b">
        <f>OR(LCI_Table[[#This Row],[Conversion]]="All",LCI_Table[[#This Row],[Conversion]]=SelectedConversion)</f>
        <v>1</v>
      </c>
      <c r="I1342" s="14" t="b">
        <f>OR(LCI_Table[[#This Row],[Data Set]]="all",LCI_Table[[#This Row],[Data Set]]=SelectedDataSet)</f>
        <v>0</v>
      </c>
      <c r="J1342" s="14" t="b">
        <f>OR(LCI_Table[[#This Row],[Technology]]="All",LCI_Table[[#This Row],[Technology]]=SelectedTechnology)</f>
        <v>1</v>
      </c>
      <c r="K1342" s="14" t="b">
        <f>OR(LCI_Table[[#This Row],[Data Source]]="All",LCI_Table[[#This Row],[Data Source]]=SelectedDataSource)</f>
        <v>0</v>
      </c>
      <c r="L1342" s="14" t="b">
        <f>TRUE</f>
        <v>1</v>
      </c>
      <c r="M1342" s="14" t="b">
        <f>(LCI_Table[[#This Row],[Dev Notes]]="Do not display")</f>
        <v>0</v>
      </c>
      <c r="N1342" s="14" t="b">
        <f>AND(LCI_Table[[#This Row],[Show Feedstock]:[Conditional]],NOT(LCI_Table[[#This Row],[Hide Row]]))</f>
        <v>0</v>
      </c>
      <c r="O1342" s="14" t="b">
        <f>LCI_Table[[#This Row],[GREET1 Name Range]]=""</f>
        <v>0</v>
      </c>
      <c r="P1342" s="14" t="s">
        <v>15</v>
      </c>
      <c r="Q1342" s="14" t="s">
        <v>508</v>
      </c>
      <c r="R1342" s="14" t="s">
        <v>316</v>
      </c>
      <c r="S1342" s="37" cm="1">
        <f t="array" aca="1" ref="S13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42" s="346" t="s">
        <v>2111</v>
      </c>
      <c r="U1342" s="347">
        <f ca="1">S1342*Fuel_Specs!$B$100*ton2lb</f>
        <v>0</v>
      </c>
      <c r="V1342" s="347">
        <v>0</v>
      </c>
      <c r="W1342" s="347">
        <v>0</v>
      </c>
      <c r="X1342" s="14" t="s">
        <v>12</v>
      </c>
      <c r="Y1342" s="346" t="s">
        <v>891</v>
      </c>
      <c r="Z1342" s="14" t="str">
        <f>IF(ISBLANK(LCI_Table[[#This Row],[Notes for user]])," ",LCI_Table[[#This Row],[Notes for user]])</f>
        <v xml:space="preserve"> </v>
      </c>
      <c r="AA1342" s="14"/>
      <c r="AB1342" s="14"/>
      <c r="AC1342" s="346">
        <f ca="1">LCI_Table[[#This Row],[Default Calculated Value]]-LCI_Table[[#This Row],[Calculated Value]]</f>
        <v>0</v>
      </c>
    </row>
    <row r="1343" spans="1:29" x14ac:dyDescent="0.3">
      <c r="A13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(GREET)(blank)_Carinata_Extraction_Landfill_gasLandfill gas</v>
      </c>
      <c r="B1343" s="14" t="s">
        <v>128</v>
      </c>
      <c r="C1343" s="14" t="s">
        <v>30</v>
      </c>
      <c r="D1343" s="14" t="s">
        <v>194</v>
      </c>
      <c r="E1343" s="14" t="s">
        <v>1360</v>
      </c>
      <c r="F1343" s="48" t="s">
        <v>31</v>
      </c>
      <c r="G1343" s="14" t="b">
        <f>OR(LCI_Table[[#This Row],[Feedstock]]="All",LCI_Table[[#This Row],[Feedstock]]=SelectedFeedstock)</f>
        <v>0</v>
      </c>
      <c r="H1343" s="14" t="b">
        <f>OR(LCI_Table[[#This Row],[Conversion]]="All",LCI_Table[[#This Row],[Conversion]]=SelectedConversion)</f>
        <v>1</v>
      </c>
      <c r="I1343" s="14" t="b">
        <f>OR(LCI_Table[[#This Row],[Data Set]]="all",LCI_Table[[#This Row],[Data Set]]=SelectedDataSet)</f>
        <v>0</v>
      </c>
      <c r="J1343" s="14" t="b">
        <f>OR(LCI_Table[[#This Row],[Technology]]="All",LCI_Table[[#This Row],[Technology]]=SelectedTechnology)</f>
        <v>1</v>
      </c>
      <c r="K1343" s="14" t="b">
        <f>OR(LCI_Table[[#This Row],[Data Source]]="All",LCI_Table[[#This Row],[Data Source]]=SelectedDataSource)</f>
        <v>0</v>
      </c>
      <c r="L1343" s="14" t="b">
        <f>TRUE</f>
        <v>1</v>
      </c>
      <c r="M1343" s="14" t="b">
        <f>(LCI_Table[[#This Row],[Dev Notes]]="Do not display")</f>
        <v>0</v>
      </c>
      <c r="N1343" s="14" t="b">
        <f>AND(LCI_Table[[#This Row],[Show Feedstock]:[Conditional]],NOT(LCI_Table[[#This Row],[Hide Row]]))</f>
        <v>0</v>
      </c>
      <c r="O1343" s="14" t="b">
        <f>LCI_Table[[#This Row],[GREET1 Name Range]]=""</f>
        <v>0</v>
      </c>
      <c r="P1343" s="14" t="s">
        <v>15</v>
      </c>
      <c r="Q1343" s="14" t="s">
        <v>510</v>
      </c>
      <c r="R1343" s="14" t="s">
        <v>130</v>
      </c>
      <c r="S1343" s="37" cm="1">
        <f t="array" aca="1" ref="S13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43" s="346" t="s">
        <v>2113</v>
      </c>
      <c r="U1343" s="347">
        <f ca="1">S1343*Fuel_Specs!$B$79</f>
        <v>0</v>
      </c>
      <c r="V1343" s="347">
        <v>0</v>
      </c>
      <c r="W1343" s="347">
        <v>0</v>
      </c>
      <c r="X1343" s="14" t="s">
        <v>351</v>
      </c>
      <c r="Y1343" s="346" t="s">
        <v>891</v>
      </c>
      <c r="Z1343" s="14" t="str">
        <f>IF(ISBLANK(LCI_Table[[#This Row],[Notes for user]])," ",LCI_Table[[#This Row],[Notes for user]])</f>
        <v xml:space="preserve"> </v>
      </c>
      <c r="AA1343" s="14"/>
      <c r="AB1343" s="14"/>
      <c r="AC1343" s="346">
        <f ca="1">LCI_Table[[#This Row],[Default Calculated Value]]-LCI_Table[[#This Row],[Calculated Value]]</f>
        <v>0</v>
      </c>
    </row>
    <row r="1344" spans="1:29" x14ac:dyDescent="0.3">
      <c r="A13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(GREET)(blank)_Carinata_Oil_extraction_Energy_AllocationAllocation factor</v>
      </c>
      <c r="B1344" s="14" t="s">
        <v>128</v>
      </c>
      <c r="C1344" s="14" t="s">
        <v>30</v>
      </c>
      <c r="D1344" s="14" t="s">
        <v>194</v>
      </c>
      <c r="E1344" s="14" t="s">
        <v>1360</v>
      </c>
      <c r="F1344" s="48" t="s">
        <v>31</v>
      </c>
      <c r="G1344" s="14" t="b">
        <f>OR(LCI_Table[[#This Row],[Feedstock]]="All",LCI_Table[[#This Row],[Feedstock]]=SelectedFeedstock)</f>
        <v>0</v>
      </c>
      <c r="H1344" s="14" t="b">
        <f>OR(LCI_Table[[#This Row],[Conversion]]="All",LCI_Table[[#This Row],[Conversion]]=SelectedConversion)</f>
        <v>1</v>
      </c>
      <c r="I1344" s="14" t="b">
        <f>OR(LCI_Table[[#This Row],[Data Set]]="all",LCI_Table[[#This Row],[Data Set]]=SelectedDataSet)</f>
        <v>0</v>
      </c>
      <c r="J1344" s="14" t="b">
        <f>OR(LCI_Table[[#This Row],[Technology]]="All",LCI_Table[[#This Row],[Technology]]=SelectedTechnology)</f>
        <v>1</v>
      </c>
      <c r="K1344" s="14" t="b">
        <f>OR(LCI_Table[[#This Row],[Data Source]]="All",LCI_Table[[#This Row],[Data Source]]=SelectedDataSource)</f>
        <v>0</v>
      </c>
      <c r="L1344" s="14" t="b">
        <f>TRUE</f>
        <v>1</v>
      </c>
      <c r="M1344" s="14" t="b">
        <f>(LCI_Table[[#This Row],[Dev Notes]]="Do not display")</f>
        <v>0</v>
      </c>
      <c r="N1344" s="14" t="b">
        <f>AND(LCI_Table[[#This Row],[Show Feedstock]:[Conditional]],NOT(LCI_Table[[#This Row],[Hide Row]]))</f>
        <v>0</v>
      </c>
      <c r="O1344" s="14" t="b">
        <f>LCI_Table[[#This Row],[GREET1 Name Range]]=""</f>
        <v>0</v>
      </c>
      <c r="P1344" s="14" t="s">
        <v>15</v>
      </c>
      <c r="Q1344" s="14" t="s">
        <v>1361</v>
      </c>
      <c r="R1344" s="14" t="s">
        <v>1344</v>
      </c>
      <c r="S1344" s="37" cm="1">
        <f t="array" aca="1" ref="S13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62.447018471484199</v>
      </c>
      <c r="T1344" s="346" t="s">
        <v>1345</v>
      </c>
      <c r="U1344" s="347">
        <f ca="1">LCI_Table[[#This Row],[Dashboard Value]]/100</f>
        <v>0.62447018471484195</v>
      </c>
      <c r="V1344" s="347">
        <v>62.447018471484199</v>
      </c>
      <c r="W1344" s="347">
        <v>0.62447018471484195</v>
      </c>
      <c r="X1344" s="14" t="s">
        <v>1345</v>
      </c>
      <c r="Y1344" s="346" t="s">
        <v>891</v>
      </c>
      <c r="Z1344" s="14" t="str">
        <f>IF(ISBLANK(LCI_Table[[#This Row],[Notes for user]])," ",LCI_Table[[#This Row],[Notes for user]])</f>
        <v>Allocation to carinata oil (energy allocation)</v>
      </c>
      <c r="AA1344" s="14" t="s">
        <v>1362</v>
      </c>
      <c r="AB1344" s="14"/>
      <c r="AC1344" s="346">
        <f ca="1">LCI_Table[[#This Row],[Default Calculated Value]]-LCI_Table[[#This Row],[Calculated Value]]</f>
        <v>0</v>
      </c>
    </row>
    <row r="1345" spans="1:29" x14ac:dyDescent="0.3">
      <c r="A13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(GREET)(blank)_HEFA_feed_usageCarinata oil</v>
      </c>
      <c r="B1345" s="14" t="s">
        <v>128</v>
      </c>
      <c r="C1345" s="14" t="s">
        <v>30</v>
      </c>
      <c r="D1345" s="14" t="s">
        <v>194</v>
      </c>
      <c r="E1345" s="14" t="s">
        <v>1360</v>
      </c>
      <c r="F1345" s="48" t="s">
        <v>31</v>
      </c>
      <c r="G1345" s="14" t="b">
        <f>OR(LCI_Table[[#This Row],[Feedstock]]="All",LCI_Table[[#This Row],[Feedstock]]=SelectedFeedstock)</f>
        <v>0</v>
      </c>
      <c r="H1345" s="14" t="b">
        <f>OR(LCI_Table[[#This Row],[Conversion]]="All",LCI_Table[[#This Row],[Conversion]]=SelectedConversion)</f>
        <v>1</v>
      </c>
      <c r="I1345" s="14" t="b">
        <f>OR(LCI_Table[[#This Row],[Data Set]]="all",LCI_Table[[#This Row],[Data Set]]=SelectedDataSet)</f>
        <v>0</v>
      </c>
      <c r="J1345" s="14" t="b">
        <f>OR(LCI_Table[[#This Row],[Technology]]="All",LCI_Table[[#This Row],[Technology]]=SelectedTechnology)</f>
        <v>1</v>
      </c>
      <c r="K1345" s="14" t="b">
        <f>OR(LCI_Table[[#This Row],[Data Source]]="All",LCI_Table[[#This Row],[Data Source]]=SelectedDataSource)</f>
        <v>0</v>
      </c>
      <c r="L1345" s="14" t="b">
        <f>TRUE</f>
        <v>1</v>
      </c>
      <c r="M1345" s="14" t="b">
        <f>(LCI_Table[[#This Row],[Dev Notes]]="Do not display")</f>
        <v>0</v>
      </c>
      <c r="N1345" s="14" t="b">
        <f>AND(LCI_Table[[#This Row],[Show Feedstock]:[Conditional]],NOT(LCI_Table[[#This Row],[Hide Row]]))</f>
        <v>0</v>
      </c>
      <c r="O1345" s="14" t="b">
        <f>LCI_Table[[#This Row],[GREET1 Name Range]]=""</f>
        <v>0</v>
      </c>
      <c r="P1345" s="14" t="s">
        <v>1448</v>
      </c>
      <c r="Q1345" s="14" t="s">
        <v>933</v>
      </c>
      <c r="R1345" s="14" t="s">
        <v>381</v>
      </c>
      <c r="S1345" s="37" cm="1">
        <f t="array" aca="1" ref="S13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66.858287441247398</v>
      </c>
      <c r="T1345" s="346" t="s">
        <v>2119</v>
      </c>
      <c r="U1345" s="347">
        <f ca="1">S1345*lb2g/Fuel_Specs!$E$48*Fuel_Specs!$B$48*BTU2mmBTU</f>
        <v>1.26760553889976</v>
      </c>
      <c r="V1345" s="347">
        <v>66.858287441247398</v>
      </c>
      <c r="W1345" s="347">
        <v>1.26760553889976</v>
      </c>
      <c r="X1345" s="14" t="s">
        <v>12</v>
      </c>
      <c r="Y1345" s="346" t="s">
        <v>416</v>
      </c>
      <c r="Z1345" s="14" t="str">
        <f>IF(ISBLANK(LCI_Table[[#This Row],[Notes for user]])," ",LCI_Table[[#This Row],[Notes for user]])</f>
        <v xml:space="preserve"> </v>
      </c>
      <c r="AA1345" s="358"/>
      <c r="AB1345" s="14"/>
      <c r="AC1345" s="346">
        <f ca="1">LCI_Table[[#This Row],[Default Calculated Value]]-LCI_Table[[#This Row],[Calculated Value]]</f>
        <v>0</v>
      </c>
    </row>
    <row r="1346" spans="1:29" x14ac:dyDescent="0.3">
      <c r="A13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(GREET)(blank)_Carinata_HEFA_Natural_gasNatural gas</v>
      </c>
      <c r="B1346" s="14" t="s">
        <v>128</v>
      </c>
      <c r="C1346" s="14" t="s">
        <v>30</v>
      </c>
      <c r="D1346" s="14" t="s">
        <v>194</v>
      </c>
      <c r="E1346" s="14" t="s">
        <v>1360</v>
      </c>
      <c r="F1346" s="48" t="s">
        <v>31</v>
      </c>
      <c r="G1346" s="14" t="b">
        <f>OR(LCI_Table[[#This Row],[Feedstock]]="All",LCI_Table[[#This Row],[Feedstock]]=SelectedFeedstock)</f>
        <v>0</v>
      </c>
      <c r="H1346" s="14" t="b">
        <f>OR(LCI_Table[[#This Row],[Conversion]]="All",LCI_Table[[#This Row],[Conversion]]=SelectedConversion)</f>
        <v>1</v>
      </c>
      <c r="I1346" s="14" t="b">
        <f>OR(LCI_Table[[#This Row],[Data Set]]="all",LCI_Table[[#This Row],[Data Set]]=SelectedDataSet)</f>
        <v>0</v>
      </c>
      <c r="J1346" s="14" t="b">
        <f>OR(LCI_Table[[#This Row],[Technology]]="All",LCI_Table[[#This Row],[Technology]]=SelectedTechnology)</f>
        <v>1</v>
      </c>
      <c r="K1346" s="14" t="b">
        <f>OR(LCI_Table[[#This Row],[Data Source]]="All",LCI_Table[[#This Row],[Data Source]]=SelectedDataSource)</f>
        <v>0</v>
      </c>
      <c r="L1346" s="14" t="b">
        <f>TRUE</f>
        <v>1</v>
      </c>
      <c r="M1346" s="14" t="b">
        <f>(LCI_Table[[#This Row],[Dev Notes]]="Do not display")</f>
        <v>0</v>
      </c>
      <c r="N1346" s="14" t="b">
        <f>AND(LCI_Table[[#This Row],[Show Feedstock]:[Conditional]],NOT(LCI_Table[[#This Row],[Hide Row]]))</f>
        <v>0</v>
      </c>
      <c r="O1346" s="14" t="b">
        <f>LCI_Table[[#This Row],[GREET1 Name Range]]=""</f>
        <v>0</v>
      </c>
      <c r="P1346" s="14" t="s">
        <v>1448</v>
      </c>
      <c r="Q1346" s="14" t="s">
        <v>530</v>
      </c>
      <c r="R1346" s="14" t="s">
        <v>108</v>
      </c>
      <c r="S1346" s="37" cm="1">
        <f t="array" aca="1" ref="S13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18.942776460541271</v>
      </c>
      <c r="T1346" s="346" t="s">
        <v>2120</v>
      </c>
      <c r="U1346" s="347">
        <f ca="1">S1346*lb2g/Fuel_Specs!$E$48*Fuel_Specs!$B$48*Fuel_Specs!$B$79*BTU2mmBTU</f>
        <v>353.04172159785497</v>
      </c>
      <c r="V1346" s="347">
        <v>18.942776460541271</v>
      </c>
      <c r="W1346" s="347">
        <v>353.04172159785497</v>
      </c>
      <c r="X1346" s="14" t="s">
        <v>351</v>
      </c>
      <c r="Y1346" s="346" t="s">
        <v>416</v>
      </c>
      <c r="Z1346" s="14" t="str">
        <f>IF(ISBLANK(LCI_Table[[#This Row],[Notes for user]])," ",LCI_Table[[#This Row],[Notes for user]])</f>
        <v xml:space="preserve"> </v>
      </c>
      <c r="AA1346" s="14"/>
      <c r="AB1346" s="14"/>
      <c r="AC1346" s="346">
        <f ca="1">LCI_Table[[#This Row],[Default Calculated Value]]-LCI_Table[[#This Row],[Calculated Value]]</f>
        <v>0</v>
      </c>
    </row>
    <row r="1347" spans="1:29" x14ac:dyDescent="0.3">
      <c r="A13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(GREET)(blank)_Carinata_HEFA_ElectricityGrid Electricity</v>
      </c>
      <c r="B1347" s="14" t="s">
        <v>128</v>
      </c>
      <c r="C1347" s="14" t="s">
        <v>30</v>
      </c>
      <c r="D1347" s="14" t="s">
        <v>194</v>
      </c>
      <c r="E1347" s="14" t="s">
        <v>1360</v>
      </c>
      <c r="F1347" s="48" t="s">
        <v>31</v>
      </c>
      <c r="G1347" s="14" t="b">
        <f>OR(LCI_Table[[#This Row],[Feedstock]]="All",LCI_Table[[#This Row],[Feedstock]]=SelectedFeedstock)</f>
        <v>0</v>
      </c>
      <c r="H1347" s="14" t="b">
        <f>OR(LCI_Table[[#This Row],[Conversion]]="All",LCI_Table[[#This Row],[Conversion]]=SelectedConversion)</f>
        <v>1</v>
      </c>
      <c r="I1347" s="14" t="b">
        <f>OR(LCI_Table[[#This Row],[Data Set]]="all",LCI_Table[[#This Row],[Data Set]]=SelectedDataSet)</f>
        <v>0</v>
      </c>
      <c r="J1347" s="14" t="b">
        <f>OR(LCI_Table[[#This Row],[Technology]]="All",LCI_Table[[#This Row],[Technology]]=SelectedTechnology)</f>
        <v>1</v>
      </c>
      <c r="K1347" s="14" t="b">
        <f>OR(LCI_Table[[#This Row],[Data Source]]="All",LCI_Table[[#This Row],[Data Source]]=SelectedDataSource)</f>
        <v>0</v>
      </c>
      <c r="L1347" s="14" t="b">
        <f>TRUE</f>
        <v>1</v>
      </c>
      <c r="M1347" s="14" t="b">
        <f>(LCI_Table[[#This Row],[Dev Notes]]="Do not display")</f>
        <v>0</v>
      </c>
      <c r="N1347" s="14" t="b">
        <f>AND(LCI_Table[[#This Row],[Show Feedstock]:[Conditional]],NOT(LCI_Table[[#This Row],[Hide Row]]))</f>
        <v>0</v>
      </c>
      <c r="O1347" s="14" t="b">
        <f>LCI_Table[[#This Row],[GREET1 Name Range]]=""</f>
        <v>0</v>
      </c>
      <c r="P1347" s="14" t="s">
        <v>1448</v>
      </c>
      <c r="Q1347" s="14" t="s">
        <v>528</v>
      </c>
      <c r="R1347" s="14" t="s">
        <v>1684</v>
      </c>
      <c r="S1347" s="37" cm="1">
        <f t="array" aca="1" ref="S13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2.8700844879870777</v>
      </c>
      <c r="T1347" s="346" t="s">
        <v>2121</v>
      </c>
      <c r="U1347" s="347">
        <f ca="1">S1347*lb2g/Fuel_Specs!$E$48*Fuel_Specs!$B$48/BTU2kWh*BTU2mmBTU</f>
        <v>185.673794321835</v>
      </c>
      <c r="V1347" s="347">
        <v>2.8700844879870777</v>
      </c>
      <c r="W1347" s="347">
        <v>185.673794321835</v>
      </c>
      <c r="X1347" s="14" t="s">
        <v>51</v>
      </c>
      <c r="Y1347" s="346" t="s">
        <v>416</v>
      </c>
      <c r="Z1347" s="14" t="str">
        <f>IF(ISBLANK(LCI_Table[[#This Row],[Notes for user]])," ",LCI_Table[[#This Row],[Notes for user]])</f>
        <v xml:space="preserve"> </v>
      </c>
      <c r="AA1347" s="14"/>
      <c r="AB1347" s="14"/>
      <c r="AC1347" s="346">
        <f ca="1">LCI_Table[[#This Row],[Default Calculated Value]]-LCI_Table[[#This Row],[Calculated Value]]</f>
        <v>0</v>
      </c>
    </row>
    <row r="1348" spans="1:29" x14ac:dyDescent="0.3">
      <c r="A13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(GREET)(blank)_Carinata_HEFA_HydrogenHydrogen</v>
      </c>
      <c r="B1348" s="14" t="s">
        <v>128</v>
      </c>
      <c r="C1348" s="14" t="s">
        <v>30</v>
      </c>
      <c r="D1348" s="14" t="s">
        <v>194</v>
      </c>
      <c r="E1348" s="14" t="s">
        <v>1360</v>
      </c>
      <c r="F1348" s="48" t="s">
        <v>31</v>
      </c>
      <c r="G1348" s="14" t="b">
        <f>OR(LCI_Table[[#This Row],[Feedstock]]="All",LCI_Table[[#This Row],[Feedstock]]=SelectedFeedstock)</f>
        <v>0</v>
      </c>
      <c r="H1348" s="14" t="b">
        <f>OR(LCI_Table[[#This Row],[Conversion]]="All",LCI_Table[[#This Row],[Conversion]]=SelectedConversion)</f>
        <v>1</v>
      </c>
      <c r="I1348" s="14" t="b">
        <f>OR(LCI_Table[[#This Row],[Data Set]]="all",LCI_Table[[#This Row],[Data Set]]=SelectedDataSet)</f>
        <v>0</v>
      </c>
      <c r="J1348" s="14" t="b">
        <f>OR(LCI_Table[[#This Row],[Technology]]="All",LCI_Table[[#This Row],[Technology]]=SelectedTechnology)</f>
        <v>1</v>
      </c>
      <c r="K1348" s="14" t="b">
        <f>OR(LCI_Table[[#This Row],[Data Source]]="All",LCI_Table[[#This Row],[Data Source]]=SelectedDataSource)</f>
        <v>0</v>
      </c>
      <c r="L1348" s="14" t="b">
        <f>TRUE</f>
        <v>1</v>
      </c>
      <c r="M1348" s="14" t="b">
        <f>(LCI_Table[[#This Row],[Dev Notes]]="Do not display")</f>
        <v>0</v>
      </c>
      <c r="N1348" s="14" t="b">
        <f>AND(LCI_Table[[#This Row],[Show Feedstock]:[Conditional]],NOT(LCI_Table[[#This Row],[Hide Row]]))</f>
        <v>0</v>
      </c>
      <c r="O1348" s="14" t="b">
        <f>LCI_Table[[#This Row],[GREET1 Name Range]]=""</f>
        <v>0</v>
      </c>
      <c r="P1348" s="14" t="s">
        <v>1448</v>
      </c>
      <c r="Q1348" s="14" t="s">
        <v>529</v>
      </c>
      <c r="R1348" s="14" t="s">
        <v>73</v>
      </c>
      <c r="S1348" s="37" cm="1">
        <f t="array" aca="1" ref="S13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377.6468687868562</v>
      </c>
      <c r="T1348" s="346" t="s">
        <v>2120</v>
      </c>
      <c r="U1348" s="347">
        <f ca="1">S1348*lb2g/Fuel_Specs!$E$48*Fuel_Specs!$B$48*Fuel_Specs!$B$81*BTU2mmBTU</f>
        <v>2076.4083477681302</v>
      </c>
      <c r="V1348" s="347">
        <v>377.6468687868562</v>
      </c>
      <c r="W1348" s="347">
        <v>2076.4083477681302</v>
      </c>
      <c r="X1348" s="14" t="s">
        <v>351</v>
      </c>
      <c r="Y1348" s="346" t="s">
        <v>416</v>
      </c>
      <c r="Z1348" s="14" t="str">
        <f>IF(ISBLANK(LCI_Table[[#This Row],[Notes for user]])," ",LCI_Table[[#This Row],[Notes for user]])</f>
        <v xml:space="preserve"> </v>
      </c>
      <c r="AA1348" s="14"/>
      <c r="AB1348" s="14"/>
      <c r="AC1348" s="346">
        <f ca="1">LCI_Table[[#This Row],[Default Calculated Value]]-LCI_Table[[#This Row],[Calculated Value]]</f>
        <v>0</v>
      </c>
    </row>
    <row r="1349" spans="1:29" x14ac:dyDescent="0.3">
      <c r="A13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CarinataHEFAICAOUS/Canada (GREET)(blank)_Carinata_Oil_HEFA_Energy_AllocationAllocation factor</v>
      </c>
      <c r="B1349" s="14" t="s">
        <v>128</v>
      </c>
      <c r="C1349" s="14" t="s">
        <v>30</v>
      </c>
      <c r="D1349" s="14" t="s">
        <v>194</v>
      </c>
      <c r="E1349" s="14" t="s">
        <v>1360</v>
      </c>
      <c r="F1349" s="48" t="s">
        <v>31</v>
      </c>
      <c r="G1349" s="14" t="b">
        <f>OR(LCI_Table[[#This Row],[Feedstock]]="All",LCI_Table[[#This Row],[Feedstock]]=SelectedFeedstock)</f>
        <v>0</v>
      </c>
      <c r="H1349" s="14" t="b">
        <f>OR(LCI_Table[[#This Row],[Conversion]]="All",LCI_Table[[#This Row],[Conversion]]=SelectedConversion)</f>
        <v>1</v>
      </c>
      <c r="I1349" s="14" t="b">
        <f>OR(LCI_Table[[#This Row],[Data Set]]="all",LCI_Table[[#This Row],[Data Set]]=SelectedDataSet)</f>
        <v>0</v>
      </c>
      <c r="J1349" s="14" t="b">
        <f>OR(LCI_Table[[#This Row],[Technology]]="All",LCI_Table[[#This Row],[Technology]]=SelectedTechnology)</f>
        <v>1</v>
      </c>
      <c r="K1349" s="14" t="b">
        <f>OR(LCI_Table[[#This Row],[Data Source]]="All",LCI_Table[[#This Row],[Data Source]]=SelectedDataSource)</f>
        <v>0</v>
      </c>
      <c r="L1349" s="14" t="b">
        <f>TRUE</f>
        <v>1</v>
      </c>
      <c r="M1349" s="14" t="b">
        <f>(LCI_Table[[#This Row],[Dev Notes]]="Do not display")</f>
        <v>0</v>
      </c>
      <c r="N1349" s="14" t="b">
        <f>AND(LCI_Table[[#This Row],[Show Feedstock]:[Conditional]],NOT(LCI_Table[[#This Row],[Hide Row]]))</f>
        <v>0</v>
      </c>
      <c r="O1349" s="14" t="b">
        <f>LCI_Table[[#This Row],[GREET1 Name Range]]=""</f>
        <v>0</v>
      </c>
      <c r="P1349" s="14" t="s">
        <v>1448</v>
      </c>
      <c r="Q1349" s="14" t="s">
        <v>1120</v>
      </c>
      <c r="R1349" s="14" t="s">
        <v>1344</v>
      </c>
      <c r="S1349" s="37" cm="1">
        <f t="array" aca="1" ref="S13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91.171197532976606</v>
      </c>
      <c r="T1349" s="346" t="s">
        <v>1345</v>
      </c>
      <c r="U1349" s="347">
        <f ca="1">LCI_Table[[#This Row],[Dashboard Value]]/100</f>
        <v>0.91171197532976611</v>
      </c>
      <c r="V1349" s="351">
        <v>91.171197532976606</v>
      </c>
      <c r="W1349" s="351">
        <v>0.91171197532976611</v>
      </c>
      <c r="X1349" s="14" t="s">
        <v>1345</v>
      </c>
      <c r="Y1349" s="346" t="s">
        <v>416</v>
      </c>
      <c r="Z1349" s="14" t="str">
        <f>IF(ISBLANK(LCI_Table[[#This Row],[Notes for user]])," ",LCI_Table[[#This Row],[Notes for user]])</f>
        <v>Allocation to main distillate fuels (energy allocation)</v>
      </c>
      <c r="AA1349" s="14" t="s">
        <v>1353</v>
      </c>
      <c r="AB1349" s="14"/>
      <c r="AC1349" s="346">
        <f ca="1">LCI_Table[[#This Row],[Default Calculated Value]]-LCI_Table[[#This Row],[Calculated Value]]</f>
        <v>0</v>
      </c>
    </row>
    <row r="1350" spans="1:29" x14ac:dyDescent="0.3">
      <c r="A13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oilHEFAICAOANL (GREET)(blank)_CornOil_HEFA_Corn_oilDistillers Corn Oil</v>
      </c>
      <c r="B1350" s="14" t="s">
        <v>374</v>
      </c>
      <c r="C1350" s="14" t="s">
        <v>30</v>
      </c>
      <c r="D1350" s="14" t="s">
        <v>194</v>
      </c>
      <c r="E1350" s="14" t="s">
        <v>1343</v>
      </c>
      <c r="F1350" s="48" t="s">
        <v>31</v>
      </c>
      <c r="G1350" s="14" t="b">
        <f>OR(LCI_Table[[#This Row],[Feedstock]]="All",LCI_Table[[#This Row],[Feedstock]]=SelectedFeedstock)</f>
        <v>0</v>
      </c>
      <c r="H1350" s="14" t="b">
        <f>OR(LCI_Table[[#This Row],[Conversion]]="All",LCI_Table[[#This Row],[Conversion]]=SelectedConversion)</f>
        <v>1</v>
      </c>
      <c r="I1350" s="14" t="b">
        <f>OR(LCI_Table[[#This Row],[Data Set]]="all",LCI_Table[[#This Row],[Data Set]]=SelectedDataSet)</f>
        <v>0</v>
      </c>
      <c r="J1350" s="14" t="b">
        <f>OR(LCI_Table[[#This Row],[Technology]]="All",LCI_Table[[#This Row],[Technology]]=SelectedTechnology)</f>
        <v>1</v>
      </c>
      <c r="K1350" s="14" t="b">
        <f>OR(LCI_Table[[#This Row],[Data Source]]="All",LCI_Table[[#This Row],[Data Source]]=SelectedDataSource)</f>
        <v>0</v>
      </c>
      <c r="L1350" s="14" t="b">
        <f>TRUE</f>
        <v>1</v>
      </c>
      <c r="M1350" s="14" t="b">
        <f>(LCI_Table[[#This Row],[Dev Notes]]="Do not display")</f>
        <v>0</v>
      </c>
      <c r="N1350" s="14" t="b">
        <f>AND(LCI_Table[[#This Row],[Show Feedstock]:[Conditional]],NOT(LCI_Table[[#This Row],[Hide Row]]))</f>
        <v>0</v>
      </c>
      <c r="O1350" s="14" t="b">
        <f>LCI_Table[[#This Row],[GREET1 Name Range]]=""</f>
        <v>0</v>
      </c>
      <c r="P1350" s="14" t="s">
        <v>1448</v>
      </c>
      <c r="Q1350" s="14" t="s">
        <v>600</v>
      </c>
      <c r="R1350" s="14" t="s">
        <v>1911</v>
      </c>
      <c r="S1350" s="37" cm="1">
        <f t="array" aca="1" ref="S13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62.29565970924795</v>
      </c>
      <c r="T1350" s="346" t="s">
        <v>2119</v>
      </c>
      <c r="U1350" s="347">
        <f ca="1">S1350*lb2g/Fuel_Specs!$E$48*Fuel_Specs!$B$48*BTU2mmBTU/Allocations!$O$128</f>
        <v>1.2700000000000002</v>
      </c>
      <c r="V1350" s="347">
        <v>62.29565970924795</v>
      </c>
      <c r="W1350" s="347">
        <v>1.2700000000000002</v>
      </c>
      <c r="X1350" s="14" t="s">
        <v>12</v>
      </c>
      <c r="Y1350" s="346" t="s">
        <v>416</v>
      </c>
      <c r="Z1350" s="14" t="str">
        <f>IF(ISBLANK(LCI_Table[[#This Row],[Notes for user]])," ",LCI_Table[[#This Row],[Notes for user]])</f>
        <v xml:space="preserve"> </v>
      </c>
      <c r="AA1350" s="14"/>
      <c r="AB1350" s="14"/>
      <c r="AC1350" s="346">
        <f ca="1">LCI_Table[[#This Row],[Default Calculated Value]]-LCI_Table[[#This Row],[Calculated Value]]</f>
        <v>0</v>
      </c>
    </row>
    <row r="1351" spans="1:29" x14ac:dyDescent="0.3">
      <c r="A13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oilHEFAICAOANL (GREET)(blank)_CornOil_HEFA_Natural_gasNatural gas</v>
      </c>
      <c r="B1351" s="14" t="s">
        <v>374</v>
      </c>
      <c r="C1351" s="14" t="s">
        <v>30</v>
      </c>
      <c r="D1351" s="14" t="s">
        <v>194</v>
      </c>
      <c r="E1351" s="14" t="s">
        <v>1343</v>
      </c>
      <c r="F1351" s="48" t="s">
        <v>31</v>
      </c>
      <c r="G1351" s="14" t="b">
        <f>OR(LCI_Table[[#This Row],[Feedstock]]="All",LCI_Table[[#This Row],[Feedstock]]=SelectedFeedstock)</f>
        <v>0</v>
      </c>
      <c r="H1351" s="14" t="b">
        <f>OR(LCI_Table[[#This Row],[Conversion]]="All",LCI_Table[[#This Row],[Conversion]]=SelectedConversion)</f>
        <v>1</v>
      </c>
      <c r="I1351" s="14" t="b">
        <f>OR(LCI_Table[[#This Row],[Data Set]]="all",LCI_Table[[#This Row],[Data Set]]=SelectedDataSet)</f>
        <v>0</v>
      </c>
      <c r="J1351" s="14" t="b">
        <f>OR(LCI_Table[[#This Row],[Technology]]="All",LCI_Table[[#This Row],[Technology]]=SelectedTechnology)</f>
        <v>1</v>
      </c>
      <c r="K1351" s="14" t="b">
        <f>OR(LCI_Table[[#This Row],[Data Source]]="All",LCI_Table[[#This Row],[Data Source]]=SelectedDataSource)</f>
        <v>0</v>
      </c>
      <c r="L1351" s="14" t="b">
        <f>TRUE</f>
        <v>1</v>
      </c>
      <c r="M1351" s="14" t="b">
        <f>(LCI_Table[[#This Row],[Dev Notes]]="Do not display")</f>
        <v>0</v>
      </c>
      <c r="N1351" s="14" t="b">
        <f>AND(LCI_Table[[#This Row],[Show Feedstock]:[Conditional]],NOT(LCI_Table[[#This Row],[Hide Row]]))</f>
        <v>0</v>
      </c>
      <c r="O1351" s="14" t="b">
        <f>LCI_Table[[#This Row],[GREET1 Name Range]]=""</f>
        <v>0</v>
      </c>
      <c r="P1351" s="14" t="s">
        <v>1448</v>
      </c>
      <c r="Q1351" s="14" t="s">
        <v>603</v>
      </c>
      <c r="R1351" s="14" t="s">
        <v>108</v>
      </c>
      <c r="S1351" s="37" cm="1">
        <f t="array" aca="1" ref="S13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77.226342104357315</v>
      </c>
      <c r="T1351" s="346" t="s">
        <v>2120</v>
      </c>
      <c r="U1351" s="347">
        <f ca="1">S1351*lb2g/Fuel_Specs!$E$48*Fuel_Specs!$B$48*Fuel_Specs!$B$79*BTU2mmBTU/Allocations!$O$128</f>
        <v>1547.6220686396937</v>
      </c>
      <c r="V1351" s="347">
        <v>77.226342104357315</v>
      </c>
      <c r="W1351" s="347">
        <v>1547.6220686396937</v>
      </c>
      <c r="X1351" s="14" t="s">
        <v>351</v>
      </c>
      <c r="Y1351" s="346" t="s">
        <v>416</v>
      </c>
      <c r="Z1351" s="14" t="str">
        <f>IF(ISBLANK(LCI_Table[[#This Row],[Notes for user]])," ",LCI_Table[[#This Row],[Notes for user]])</f>
        <v xml:space="preserve"> </v>
      </c>
      <c r="AA1351" s="14"/>
      <c r="AB1351" s="14"/>
      <c r="AC1351" s="346">
        <f ca="1">LCI_Table[[#This Row],[Default Calculated Value]]-LCI_Table[[#This Row],[Calculated Value]]</f>
        <v>0</v>
      </c>
    </row>
    <row r="1352" spans="1:29" x14ac:dyDescent="0.3">
      <c r="A13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oilHEFAICAOANL (GREET)(blank)_CornOil_HEFA_ElectricityGrid Electricity</v>
      </c>
      <c r="B1352" s="14" t="s">
        <v>374</v>
      </c>
      <c r="C1352" s="14" t="s">
        <v>30</v>
      </c>
      <c r="D1352" s="14" t="s">
        <v>194</v>
      </c>
      <c r="E1352" s="14" t="s">
        <v>1343</v>
      </c>
      <c r="F1352" s="48" t="s">
        <v>31</v>
      </c>
      <c r="G1352" s="14" t="b">
        <f>OR(LCI_Table[[#This Row],[Feedstock]]="All",LCI_Table[[#This Row],[Feedstock]]=SelectedFeedstock)</f>
        <v>0</v>
      </c>
      <c r="H1352" s="14" t="b">
        <f>OR(LCI_Table[[#This Row],[Conversion]]="All",LCI_Table[[#This Row],[Conversion]]=SelectedConversion)</f>
        <v>1</v>
      </c>
      <c r="I1352" s="14" t="b">
        <f>OR(LCI_Table[[#This Row],[Data Set]]="all",LCI_Table[[#This Row],[Data Set]]=SelectedDataSet)</f>
        <v>0</v>
      </c>
      <c r="J1352" s="14" t="b">
        <f>OR(LCI_Table[[#This Row],[Technology]]="All",LCI_Table[[#This Row],[Technology]]=SelectedTechnology)</f>
        <v>1</v>
      </c>
      <c r="K1352" s="14" t="b">
        <f>OR(LCI_Table[[#This Row],[Data Source]]="All",LCI_Table[[#This Row],[Data Source]]=SelectedDataSource)</f>
        <v>0</v>
      </c>
      <c r="L1352" s="14" t="b">
        <f>TRUE</f>
        <v>1</v>
      </c>
      <c r="M1352" s="14" t="b">
        <f>(LCI_Table[[#This Row],[Dev Notes]]="Do not display")</f>
        <v>0</v>
      </c>
      <c r="N1352" s="14" t="b">
        <f>AND(LCI_Table[[#This Row],[Show Feedstock]:[Conditional]],NOT(LCI_Table[[#This Row],[Hide Row]]))</f>
        <v>0</v>
      </c>
      <c r="O1352" s="14" t="b">
        <f>LCI_Table[[#This Row],[GREET1 Name Range]]=""</f>
        <v>0</v>
      </c>
      <c r="P1352" s="14" t="s">
        <v>1448</v>
      </c>
      <c r="Q1352" s="14" t="s">
        <v>601</v>
      </c>
      <c r="R1352" s="14" t="s">
        <v>1684</v>
      </c>
      <c r="S1352" s="37" cm="1">
        <f t="array" aca="1" ref="S13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1.2602380672481814</v>
      </c>
      <c r="T1352" s="346" t="s">
        <v>2121</v>
      </c>
      <c r="U1352" s="347">
        <f ca="1">S1352*lb2g/Fuel_Specs!$E$48*Fuel_Specs!$B$48/BTU2kWh*BTU2mmBTU/Allocations!$O$128</f>
        <v>87.66486663318527</v>
      </c>
      <c r="V1352" s="347">
        <v>1.2602380672481814</v>
      </c>
      <c r="W1352" s="347">
        <v>87.66486663318527</v>
      </c>
      <c r="X1352" s="14" t="s">
        <v>51</v>
      </c>
      <c r="Y1352" s="346" t="s">
        <v>416</v>
      </c>
      <c r="Z1352" s="14" t="str">
        <f>IF(ISBLANK(LCI_Table[[#This Row],[Notes for user]])," ",LCI_Table[[#This Row],[Notes for user]])</f>
        <v xml:space="preserve"> </v>
      </c>
      <c r="AA1352" s="14"/>
      <c r="AB1352" s="14"/>
      <c r="AC1352" s="346">
        <f ca="1">LCI_Table[[#This Row],[Default Calculated Value]]-LCI_Table[[#This Row],[Calculated Value]]</f>
        <v>0</v>
      </c>
    </row>
    <row r="1353" spans="1:29" x14ac:dyDescent="0.3">
      <c r="A13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oilHEFAICAOANL (GREET)(blank)_CornOil_HEFA_HydrogenHydrogen</v>
      </c>
      <c r="B1353" s="14" t="s">
        <v>374</v>
      </c>
      <c r="C1353" s="14" t="s">
        <v>30</v>
      </c>
      <c r="D1353" s="14" t="s">
        <v>194</v>
      </c>
      <c r="E1353" s="14" t="s">
        <v>1343</v>
      </c>
      <c r="F1353" s="48" t="s">
        <v>31</v>
      </c>
      <c r="G1353" s="14" t="b">
        <f>OR(LCI_Table[[#This Row],[Feedstock]]="All",LCI_Table[[#This Row],[Feedstock]]=SelectedFeedstock)</f>
        <v>0</v>
      </c>
      <c r="H1353" s="14" t="b">
        <f>OR(LCI_Table[[#This Row],[Conversion]]="All",LCI_Table[[#This Row],[Conversion]]=SelectedConversion)</f>
        <v>1</v>
      </c>
      <c r="I1353" s="14" t="b">
        <f>OR(LCI_Table[[#This Row],[Data Set]]="all",LCI_Table[[#This Row],[Data Set]]=SelectedDataSet)</f>
        <v>0</v>
      </c>
      <c r="J1353" s="14" t="b">
        <f>OR(LCI_Table[[#This Row],[Technology]]="All",LCI_Table[[#This Row],[Technology]]=SelectedTechnology)</f>
        <v>1</v>
      </c>
      <c r="K1353" s="14" t="b">
        <f>OR(LCI_Table[[#This Row],[Data Source]]="All",LCI_Table[[#This Row],[Data Source]]=SelectedDataSource)</f>
        <v>0</v>
      </c>
      <c r="L1353" s="14" t="b">
        <f>TRUE</f>
        <v>1</v>
      </c>
      <c r="M1353" s="14" t="b">
        <f>(LCI_Table[[#This Row],[Dev Notes]]="Do not display")</f>
        <v>0</v>
      </c>
      <c r="N1353" s="14" t="b">
        <f>AND(LCI_Table[[#This Row],[Show Feedstock]:[Conditional]],NOT(LCI_Table[[#This Row],[Hide Row]]))</f>
        <v>0</v>
      </c>
      <c r="O1353" s="14" t="b">
        <f>LCI_Table[[#This Row],[GREET1 Name Range]]=""</f>
        <v>0</v>
      </c>
      <c r="P1353" s="14" t="s">
        <v>1448</v>
      </c>
      <c r="Q1353" s="14" t="s">
        <v>602</v>
      </c>
      <c r="R1353" s="14" t="s">
        <v>73</v>
      </c>
      <c r="S1353" s="37" cm="1">
        <f t="array" aca="1" ref="S13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293.70783230876987</v>
      </c>
      <c r="T1353" s="346" t="s">
        <v>2120</v>
      </c>
      <c r="U1353" s="347">
        <f ca="1">S1353*lb2g/Fuel_Specs!$E$48*Fuel_Specs!$B$48*Fuel_Specs!$B$81*BTU2mmBTU/Allocations!$O$128</f>
        <v>1736.4387044650152</v>
      </c>
      <c r="V1353" s="347">
        <v>293.70783230876987</v>
      </c>
      <c r="W1353" s="347">
        <v>1736.4387044650152</v>
      </c>
      <c r="X1353" s="14" t="s">
        <v>351</v>
      </c>
      <c r="Y1353" s="346" t="s">
        <v>416</v>
      </c>
      <c r="Z1353" s="14" t="str">
        <f>IF(ISBLANK(LCI_Table[[#This Row],[Notes for user]])," ",LCI_Table[[#This Row],[Notes for user]])</f>
        <v xml:space="preserve"> </v>
      </c>
      <c r="AA1353" s="14"/>
      <c r="AB1353" s="348"/>
      <c r="AC1353" s="346">
        <f ca="1">LCI_Table[[#This Row],[Default Calculated Value]]-LCI_Table[[#This Row],[Calculated Value]]</f>
        <v>0</v>
      </c>
    </row>
    <row r="1354" spans="1:29" x14ac:dyDescent="0.3">
      <c r="A13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dash_SwitchgrassFTICAOMIT (GREET)(blank)_Yield_Farming</v>
      </c>
      <c r="B1354" s="48" t="s">
        <v>133</v>
      </c>
      <c r="C1354" s="48" t="s">
        <v>129</v>
      </c>
      <c r="D1354" s="48" t="s">
        <v>194</v>
      </c>
      <c r="E1354" s="48" t="s">
        <v>1335</v>
      </c>
      <c r="F1354" s="48" t="s">
        <v>31</v>
      </c>
      <c r="G1354" s="14" t="b">
        <f>OR(LCI_Table[[#This Row],[Feedstock]]="All",LCI_Table[[#This Row],[Feedstock]]=SelectedFeedstock)</f>
        <v>0</v>
      </c>
      <c r="H1354" s="14" t="b">
        <f>OR(LCI_Table[[#This Row],[Conversion]]="All",LCI_Table[[#This Row],[Conversion]]=SelectedConversion)</f>
        <v>0</v>
      </c>
      <c r="I1354" s="14" t="b">
        <f>OR(LCI_Table[[#This Row],[Data Set]]="all",LCI_Table[[#This Row],[Data Set]]=SelectedDataSet)</f>
        <v>0</v>
      </c>
      <c r="J1354" s="14" t="b">
        <f>OR(LCI_Table[[#This Row],[Technology]]="All",LCI_Table[[#This Row],[Technology]]=SelectedTechnology)</f>
        <v>1</v>
      </c>
      <c r="K1354" s="14" t="b">
        <f>OR(LCI_Table[[#This Row],[Data Source]]="All",LCI_Table[[#This Row],[Data Source]]=SelectedDataSource)</f>
        <v>0</v>
      </c>
      <c r="L1354" s="14" t="b">
        <f>TRUE</f>
        <v>1</v>
      </c>
      <c r="M1354" s="14" t="b">
        <f>(LCI_Table[[#This Row],[Dev Notes]]="Do not display")</f>
        <v>0</v>
      </c>
      <c r="N1354" s="14" t="b">
        <f>AND(LCI_Table[[#This Row],[Show Feedstock]:[Conditional]],NOT(LCI_Table[[#This Row],[Hide Row]]))</f>
        <v>0</v>
      </c>
      <c r="O1354" s="14" t="b">
        <f>LCI_Table[[#This Row],[GREET1 Name Range]]=""</f>
        <v>1</v>
      </c>
      <c r="P1354" s="48" t="s">
        <v>14</v>
      </c>
      <c r="Q1354" s="14" t="s">
        <v>361</v>
      </c>
      <c r="R1354" s="48" t="s">
        <v>200</v>
      </c>
      <c r="S1354" s="37" cm="1">
        <f t="array" aca="1" ref="S13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5.7991732429603093</v>
      </c>
      <c r="T1354" s="346" t="s">
        <v>2116</v>
      </c>
      <c r="U1354" s="344"/>
      <c r="V1354" s="344">
        <v>5.7991732429603093</v>
      </c>
      <c r="W1354" s="344"/>
      <c r="X1354" s="48" t="s">
        <v>55</v>
      </c>
      <c r="Y1354" s="346" t="s">
        <v>413</v>
      </c>
      <c r="Z1354" s="14" t="str">
        <f>IF(ISBLANK(LCI_Table[[#This Row],[Notes for user]])," ",LCI_Table[[#This Row],[Notes for user]])</f>
        <v xml:space="preserve"> </v>
      </c>
      <c r="AA1354" s="48"/>
      <c r="AB1354" s="345"/>
      <c r="AC1354" s="346">
        <f>LCI_Table[[#This Row],[Default Calculated Value]]-LCI_Table[[#This Row],[Calculated Value]]</f>
        <v>0</v>
      </c>
    </row>
    <row r="1355" spans="1:29" x14ac:dyDescent="0.3">
      <c r="A13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SwitchgrassFTICAOMIT (GREET)(blank)_Switchgrass_Farming_Nitrogen_fertilizerNitrogen fertilizer</v>
      </c>
      <c r="B1355" s="14" t="s">
        <v>133</v>
      </c>
      <c r="C1355" s="14" t="s">
        <v>129</v>
      </c>
      <c r="D1355" s="14" t="s">
        <v>194</v>
      </c>
      <c r="E1355" s="48" t="s">
        <v>1335</v>
      </c>
      <c r="F1355" s="48" t="s">
        <v>31</v>
      </c>
      <c r="G1355" s="14" t="b">
        <f>OR(LCI_Table[[#This Row],[Feedstock]]="All",LCI_Table[[#This Row],[Feedstock]]=SelectedFeedstock)</f>
        <v>0</v>
      </c>
      <c r="H1355" s="14" t="b">
        <f>OR(LCI_Table[[#This Row],[Conversion]]="All",LCI_Table[[#This Row],[Conversion]]=SelectedConversion)</f>
        <v>0</v>
      </c>
      <c r="I1355" s="14" t="b">
        <f>OR(LCI_Table[[#This Row],[Data Set]]="all",LCI_Table[[#This Row],[Data Set]]=SelectedDataSet)</f>
        <v>0</v>
      </c>
      <c r="J1355" s="14" t="b">
        <f>OR(LCI_Table[[#This Row],[Technology]]="All",LCI_Table[[#This Row],[Technology]]=SelectedTechnology)</f>
        <v>1</v>
      </c>
      <c r="K1355" s="14" t="b">
        <f>OR(LCI_Table[[#This Row],[Data Source]]="All",LCI_Table[[#This Row],[Data Source]]=SelectedDataSource)</f>
        <v>0</v>
      </c>
      <c r="L1355" s="14" t="b">
        <f>TRUE</f>
        <v>1</v>
      </c>
      <c r="M1355" s="14" t="b">
        <f>(LCI_Table[[#This Row],[Dev Notes]]="Do not display")</f>
        <v>0</v>
      </c>
      <c r="N1355" s="14" t="b">
        <f>AND(LCI_Table[[#This Row],[Show Feedstock]:[Conditional]],NOT(LCI_Table[[#This Row],[Hide Row]]))</f>
        <v>0</v>
      </c>
      <c r="O1355" s="14" t="b">
        <f>LCI_Table[[#This Row],[GREET1 Name Range]]=""</f>
        <v>0</v>
      </c>
      <c r="P1355" s="14" t="s">
        <v>14</v>
      </c>
      <c r="Q1355" s="14" t="s">
        <v>818</v>
      </c>
      <c r="R1355" s="14" t="s">
        <v>111</v>
      </c>
      <c r="S1355" s="37" cm="1">
        <f t="array" aca="1" ref="S13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62.35688668966305</v>
      </c>
      <c r="T1355" s="346" t="s">
        <v>1485</v>
      </c>
      <c r="U1355" s="347">
        <f ca="1">S1355/S1354*lb2g</f>
        <v>4877.3517938476434</v>
      </c>
      <c r="V1355" s="347">
        <v>62.35688668966305</v>
      </c>
      <c r="W1355" s="347">
        <v>4877.3517938476434</v>
      </c>
      <c r="X1355" s="14" t="s">
        <v>12</v>
      </c>
      <c r="Y1355" s="346" t="s">
        <v>413</v>
      </c>
      <c r="Z1355" s="14" t="str">
        <f>IF(ISBLANK(LCI_Table[[#This Row],[Notes for user]])," ",LCI_Table[[#This Row],[Notes for user]])</f>
        <v xml:space="preserve"> </v>
      </c>
      <c r="AA1355" s="14"/>
      <c r="AB1355" s="14"/>
      <c r="AC1355" s="346">
        <f ca="1">LCI_Table[[#This Row],[Default Calculated Value]]-LCI_Table[[#This Row],[Calculated Value]]</f>
        <v>0</v>
      </c>
    </row>
    <row r="1356" spans="1:29" x14ac:dyDescent="0.3">
      <c r="A13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SwitchgrassFTICAOMIT (GREET)(blank)_Switchgrass_Farming_P2O5P2O5</v>
      </c>
      <c r="B1356" s="14" t="s">
        <v>133</v>
      </c>
      <c r="C1356" s="14" t="s">
        <v>129</v>
      </c>
      <c r="D1356" s="14" t="s">
        <v>194</v>
      </c>
      <c r="E1356" s="48" t="s">
        <v>1335</v>
      </c>
      <c r="F1356" s="48" t="s">
        <v>31</v>
      </c>
      <c r="G1356" s="14" t="b">
        <f>OR(LCI_Table[[#This Row],[Feedstock]]="All",LCI_Table[[#This Row],[Feedstock]]=SelectedFeedstock)</f>
        <v>0</v>
      </c>
      <c r="H1356" s="14" t="b">
        <f>OR(LCI_Table[[#This Row],[Conversion]]="All",LCI_Table[[#This Row],[Conversion]]=SelectedConversion)</f>
        <v>0</v>
      </c>
      <c r="I1356" s="14" t="b">
        <f>OR(LCI_Table[[#This Row],[Data Set]]="all",LCI_Table[[#This Row],[Data Set]]=SelectedDataSet)</f>
        <v>0</v>
      </c>
      <c r="J1356" s="14" t="b">
        <f>OR(LCI_Table[[#This Row],[Technology]]="All",LCI_Table[[#This Row],[Technology]]=SelectedTechnology)</f>
        <v>1</v>
      </c>
      <c r="K1356" s="14" t="b">
        <f>OR(LCI_Table[[#This Row],[Data Source]]="All",LCI_Table[[#This Row],[Data Source]]=SelectedDataSource)</f>
        <v>0</v>
      </c>
      <c r="L1356" s="14" t="b">
        <f>TRUE</f>
        <v>1</v>
      </c>
      <c r="M1356" s="14" t="b">
        <f>(LCI_Table[[#This Row],[Dev Notes]]="Do not display")</f>
        <v>0</v>
      </c>
      <c r="N1356" s="14" t="b">
        <f>AND(LCI_Table[[#This Row],[Show Feedstock]:[Conditional]],NOT(LCI_Table[[#This Row],[Hide Row]]))</f>
        <v>0</v>
      </c>
      <c r="O1356" s="14" t="b">
        <f>LCI_Table[[#This Row],[GREET1 Name Range]]=""</f>
        <v>0</v>
      </c>
      <c r="P1356" s="14" t="s">
        <v>14</v>
      </c>
      <c r="Q1356" s="14" t="s">
        <v>819</v>
      </c>
      <c r="R1356" s="14" t="s">
        <v>112</v>
      </c>
      <c r="S1356" s="37" cm="1">
        <f t="array" aca="1" ref="S13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29.505257586358645</v>
      </c>
      <c r="T1356" s="346" t="s">
        <v>1485</v>
      </c>
      <c r="U1356" s="347">
        <f ca="1">S1356/S1354*lb2g</f>
        <v>2307.8047775694804</v>
      </c>
      <c r="V1356" s="347">
        <v>29.505257586358645</v>
      </c>
      <c r="W1356" s="347">
        <v>2307.8047775694804</v>
      </c>
      <c r="X1356" s="14" t="s">
        <v>12</v>
      </c>
      <c r="Y1356" s="346" t="s">
        <v>413</v>
      </c>
      <c r="Z1356" s="14" t="str">
        <f>IF(ISBLANK(LCI_Table[[#This Row],[Notes for user]])," ",LCI_Table[[#This Row],[Notes for user]])</f>
        <v xml:space="preserve"> </v>
      </c>
      <c r="AA1356" s="14"/>
      <c r="AB1356" s="14"/>
      <c r="AC1356" s="346">
        <f ca="1">LCI_Table[[#This Row],[Default Calculated Value]]-LCI_Table[[#This Row],[Calculated Value]]</f>
        <v>0</v>
      </c>
    </row>
    <row r="1357" spans="1:29" x14ac:dyDescent="0.3">
      <c r="A13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SwitchgrassFTICAOMIT (GREET)(blank)_Switchgrass_Farming_K2OK2O</v>
      </c>
      <c r="B1357" s="14" t="s">
        <v>133</v>
      </c>
      <c r="C1357" s="14" t="s">
        <v>129</v>
      </c>
      <c r="D1357" s="14" t="s">
        <v>194</v>
      </c>
      <c r="E1357" s="48" t="s">
        <v>1335</v>
      </c>
      <c r="F1357" s="48" t="s">
        <v>31</v>
      </c>
      <c r="G1357" s="14" t="b">
        <f>OR(LCI_Table[[#This Row],[Feedstock]]="All",LCI_Table[[#This Row],[Feedstock]]=SelectedFeedstock)</f>
        <v>0</v>
      </c>
      <c r="H1357" s="14" t="b">
        <f>OR(LCI_Table[[#This Row],[Conversion]]="All",LCI_Table[[#This Row],[Conversion]]=SelectedConversion)</f>
        <v>0</v>
      </c>
      <c r="I1357" s="14" t="b">
        <f>OR(LCI_Table[[#This Row],[Data Set]]="all",LCI_Table[[#This Row],[Data Set]]=SelectedDataSet)</f>
        <v>0</v>
      </c>
      <c r="J1357" s="14" t="b">
        <f>OR(LCI_Table[[#This Row],[Technology]]="All",LCI_Table[[#This Row],[Technology]]=SelectedTechnology)</f>
        <v>1</v>
      </c>
      <c r="K1357" s="14" t="b">
        <f>OR(LCI_Table[[#This Row],[Data Source]]="All",LCI_Table[[#This Row],[Data Source]]=SelectedDataSource)</f>
        <v>0</v>
      </c>
      <c r="L1357" s="14" t="b">
        <f>TRUE</f>
        <v>1</v>
      </c>
      <c r="M1357" s="14" t="b">
        <f>(LCI_Table[[#This Row],[Dev Notes]]="Do not display")</f>
        <v>0</v>
      </c>
      <c r="N1357" s="14" t="b">
        <f>AND(LCI_Table[[#This Row],[Show Feedstock]:[Conditional]],NOT(LCI_Table[[#This Row],[Hide Row]]))</f>
        <v>0</v>
      </c>
      <c r="O1357" s="14" t="b">
        <f>LCI_Table[[#This Row],[GREET1 Name Range]]=""</f>
        <v>0</v>
      </c>
      <c r="P1357" s="14" t="s">
        <v>14</v>
      </c>
      <c r="Q1357" s="14" t="s">
        <v>815</v>
      </c>
      <c r="R1357" s="14" t="s">
        <v>113</v>
      </c>
      <c r="S1357" s="37" cm="1">
        <f t="array" aca="1" ref="S13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40.917369960226104</v>
      </c>
      <c r="T1357" s="346" t="s">
        <v>1485</v>
      </c>
      <c r="U1357" s="347">
        <f ca="1">S1357/S1354*lb2g</f>
        <v>3200.4228942385457</v>
      </c>
      <c r="V1357" s="347">
        <v>40.917369960226104</v>
      </c>
      <c r="W1357" s="347">
        <v>3200.4228942385457</v>
      </c>
      <c r="X1357" s="14" t="s">
        <v>12</v>
      </c>
      <c r="Y1357" s="346" t="s">
        <v>413</v>
      </c>
      <c r="Z1357" s="14" t="str">
        <f>IF(ISBLANK(LCI_Table[[#This Row],[Notes for user]])," ",LCI_Table[[#This Row],[Notes for user]])</f>
        <v xml:space="preserve"> </v>
      </c>
      <c r="AA1357" s="14"/>
      <c r="AB1357" s="14"/>
      <c r="AC1357" s="346">
        <f ca="1">LCI_Table[[#This Row],[Default Calculated Value]]-LCI_Table[[#This Row],[Calculated Value]]</f>
        <v>0</v>
      </c>
    </row>
    <row r="1358" spans="1:29" x14ac:dyDescent="0.3">
      <c r="A13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SwitchgrassFTICAOMIT (GREET)(blank)_Switchgrass_Farming_CaCO3CaCO3</v>
      </c>
      <c r="B1358" s="14" t="s">
        <v>133</v>
      </c>
      <c r="C1358" s="14" t="s">
        <v>129</v>
      </c>
      <c r="D1358" s="14" t="s">
        <v>194</v>
      </c>
      <c r="E1358" s="48" t="s">
        <v>1335</v>
      </c>
      <c r="F1358" s="48" t="s">
        <v>31</v>
      </c>
      <c r="G1358" s="14" t="b">
        <f>OR(LCI_Table[[#This Row],[Feedstock]]="All",LCI_Table[[#This Row],[Feedstock]]=SelectedFeedstock)</f>
        <v>0</v>
      </c>
      <c r="H1358" s="14" t="b">
        <f>OR(LCI_Table[[#This Row],[Conversion]]="All",LCI_Table[[#This Row],[Conversion]]=SelectedConversion)</f>
        <v>0</v>
      </c>
      <c r="I1358" s="14" t="b">
        <f>OR(LCI_Table[[#This Row],[Data Set]]="all",LCI_Table[[#This Row],[Data Set]]=SelectedDataSet)</f>
        <v>0</v>
      </c>
      <c r="J1358" s="14" t="b">
        <f>OR(LCI_Table[[#This Row],[Technology]]="All",LCI_Table[[#This Row],[Technology]]=SelectedTechnology)</f>
        <v>1</v>
      </c>
      <c r="K1358" s="14" t="b">
        <f>OR(LCI_Table[[#This Row],[Data Source]]="All",LCI_Table[[#This Row],[Data Source]]=SelectedDataSource)</f>
        <v>0</v>
      </c>
      <c r="L1358" s="14" t="b">
        <f>TRUE</f>
        <v>1</v>
      </c>
      <c r="M1358" s="14" t="b">
        <f>(LCI_Table[[#This Row],[Dev Notes]]="Do not display")</f>
        <v>0</v>
      </c>
      <c r="N1358" s="14" t="b">
        <f>AND(LCI_Table[[#This Row],[Show Feedstock]:[Conditional]],NOT(LCI_Table[[#This Row],[Hide Row]]))</f>
        <v>0</v>
      </c>
      <c r="O1358" s="14" t="b">
        <f>LCI_Table[[#This Row],[GREET1 Name Range]]=""</f>
        <v>0</v>
      </c>
      <c r="P1358" s="14" t="s">
        <v>14</v>
      </c>
      <c r="Q1358" s="14" t="s">
        <v>807</v>
      </c>
      <c r="R1358" s="14" t="s">
        <v>141</v>
      </c>
      <c r="S1358" s="37" cm="1">
        <f t="array" aca="1" ref="S13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74.752896026644493</v>
      </c>
      <c r="T1358" s="346" t="s">
        <v>1485</v>
      </c>
      <c r="U1358" s="347">
        <f ca="1">S1358/S1354*lb2g</f>
        <v>5846.9271140071241</v>
      </c>
      <c r="V1358" s="347">
        <v>74.752896026644493</v>
      </c>
      <c r="W1358" s="347">
        <v>5846.9271140071241</v>
      </c>
      <c r="X1358" s="14" t="s">
        <v>12</v>
      </c>
      <c r="Y1358" s="346" t="s">
        <v>413</v>
      </c>
      <c r="Z1358" s="14" t="str">
        <f>IF(ISBLANK(LCI_Table[[#This Row],[Notes for user]])," ",LCI_Table[[#This Row],[Notes for user]])</f>
        <v xml:space="preserve"> </v>
      </c>
      <c r="AA1358" s="14"/>
      <c r="AB1358" s="348"/>
      <c r="AC1358" s="346">
        <f ca="1">LCI_Table[[#This Row],[Default Calculated Value]]-LCI_Table[[#This Row],[Calculated Value]]</f>
        <v>0</v>
      </c>
    </row>
    <row r="1359" spans="1:29" x14ac:dyDescent="0.3">
      <c r="A13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SwitchgrassFTICAOMIT (GREET)(blank)_Switchgrass_Farming_HerbicidesHerbicides</v>
      </c>
      <c r="B1359" s="14" t="s">
        <v>133</v>
      </c>
      <c r="C1359" s="14" t="s">
        <v>129</v>
      </c>
      <c r="D1359" s="14" t="s">
        <v>194</v>
      </c>
      <c r="E1359" s="48" t="s">
        <v>1335</v>
      </c>
      <c r="F1359" s="48" t="s">
        <v>31</v>
      </c>
      <c r="G1359" s="14" t="b">
        <f>OR(LCI_Table[[#This Row],[Feedstock]]="All",LCI_Table[[#This Row],[Feedstock]]=SelectedFeedstock)</f>
        <v>0</v>
      </c>
      <c r="H1359" s="14" t="b">
        <f>OR(LCI_Table[[#This Row],[Conversion]]="All",LCI_Table[[#This Row],[Conversion]]=SelectedConversion)</f>
        <v>0</v>
      </c>
      <c r="I1359" s="14" t="b">
        <f>OR(LCI_Table[[#This Row],[Data Set]]="all",LCI_Table[[#This Row],[Data Set]]=SelectedDataSet)</f>
        <v>0</v>
      </c>
      <c r="J1359" s="14" t="b">
        <f>OR(LCI_Table[[#This Row],[Technology]]="All",LCI_Table[[#This Row],[Technology]]=SelectedTechnology)</f>
        <v>1</v>
      </c>
      <c r="K1359" s="14" t="b">
        <f>OR(LCI_Table[[#This Row],[Data Source]]="All",LCI_Table[[#This Row],[Data Source]]=SelectedDataSource)</f>
        <v>0</v>
      </c>
      <c r="L1359" s="14" t="b">
        <f>TRUE</f>
        <v>1</v>
      </c>
      <c r="M1359" s="14" t="b">
        <f>(LCI_Table[[#This Row],[Dev Notes]]="Do not display")</f>
        <v>0</v>
      </c>
      <c r="N1359" s="14" t="b">
        <f>AND(LCI_Table[[#This Row],[Show Feedstock]:[Conditional]],NOT(LCI_Table[[#This Row],[Hide Row]]))</f>
        <v>0</v>
      </c>
      <c r="O1359" s="14" t="b">
        <f>LCI_Table[[#This Row],[GREET1 Name Range]]=""</f>
        <v>0</v>
      </c>
      <c r="P1359" s="14" t="s">
        <v>14</v>
      </c>
      <c r="Q1359" s="14" t="s">
        <v>813</v>
      </c>
      <c r="R1359" s="14" t="s">
        <v>356</v>
      </c>
      <c r="S1359" s="37" cm="1">
        <f t="array" aca="1" ref="S13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0.67890043308141834</v>
      </c>
      <c r="T1359" s="346" t="s">
        <v>1485</v>
      </c>
      <c r="U1359" s="347">
        <f ca="1">S1359/S1354*lb2g</f>
        <v>53.101372132526684</v>
      </c>
      <c r="V1359" s="347">
        <v>0.67890043308141834</v>
      </c>
      <c r="W1359" s="347">
        <v>53.101372132526684</v>
      </c>
      <c r="X1359" s="14" t="s">
        <v>12</v>
      </c>
      <c r="Y1359" s="346" t="s">
        <v>413</v>
      </c>
      <c r="Z1359" s="14" t="str">
        <f>IF(ISBLANK(LCI_Table[[#This Row],[Notes for user]])," ",LCI_Table[[#This Row],[Notes for user]])</f>
        <v xml:space="preserve"> </v>
      </c>
      <c r="AA1359" s="14"/>
      <c r="AB1359" s="14"/>
      <c r="AC1359" s="346">
        <f ca="1">LCI_Table[[#This Row],[Default Calculated Value]]-LCI_Table[[#This Row],[Calculated Value]]</f>
        <v>0</v>
      </c>
    </row>
    <row r="1360" spans="1:29" x14ac:dyDescent="0.3">
      <c r="A13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SwitchgrassFTICAOMIT (GREET)(blank)_Switchgrass_Farming_InsecticideInsecticide</v>
      </c>
      <c r="B1360" s="14" t="s">
        <v>133</v>
      </c>
      <c r="C1360" s="14" t="s">
        <v>129</v>
      </c>
      <c r="D1360" s="14" t="s">
        <v>194</v>
      </c>
      <c r="E1360" s="48" t="s">
        <v>1335</v>
      </c>
      <c r="F1360" s="48" t="s">
        <v>31</v>
      </c>
      <c r="G1360" s="14" t="b">
        <f>OR(LCI_Table[[#This Row],[Feedstock]]="All",LCI_Table[[#This Row],[Feedstock]]=SelectedFeedstock)</f>
        <v>0</v>
      </c>
      <c r="H1360" s="14" t="b">
        <f>OR(LCI_Table[[#This Row],[Conversion]]="All",LCI_Table[[#This Row],[Conversion]]=SelectedConversion)</f>
        <v>0</v>
      </c>
      <c r="I1360" s="14" t="b">
        <f>OR(LCI_Table[[#This Row],[Data Set]]="all",LCI_Table[[#This Row],[Data Set]]=SelectedDataSet)</f>
        <v>0</v>
      </c>
      <c r="J1360" s="14" t="b">
        <f>OR(LCI_Table[[#This Row],[Technology]]="All",LCI_Table[[#This Row],[Technology]]=SelectedTechnology)</f>
        <v>1</v>
      </c>
      <c r="K1360" s="14" t="b">
        <f>OR(LCI_Table[[#This Row],[Data Source]]="All",LCI_Table[[#This Row],[Data Source]]=SelectedDataSource)</f>
        <v>0</v>
      </c>
      <c r="L1360" s="14" t="b">
        <f>TRUE</f>
        <v>1</v>
      </c>
      <c r="M1360" s="14" t="b">
        <f>(LCI_Table[[#This Row],[Dev Notes]]="Do not display")</f>
        <v>0</v>
      </c>
      <c r="N1360" s="14" t="b">
        <f>AND(LCI_Table[[#This Row],[Show Feedstock]:[Conditional]],NOT(LCI_Table[[#This Row],[Hide Row]]))</f>
        <v>0</v>
      </c>
      <c r="O1360" s="14" t="b">
        <f>LCI_Table[[#This Row],[GREET1 Name Range]]=""</f>
        <v>0</v>
      </c>
      <c r="P1360" s="14" t="s">
        <v>14</v>
      </c>
      <c r="Q1360" s="14" t="s">
        <v>814</v>
      </c>
      <c r="R1360" s="14" t="s">
        <v>114</v>
      </c>
      <c r="S1360" s="37" cm="1">
        <f t="array" aca="1" ref="S13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60" s="346" t="s">
        <v>1485</v>
      </c>
      <c r="U1360" s="347">
        <f ca="1">S1360/S1354*lb2g</f>
        <v>0</v>
      </c>
      <c r="V1360" s="347">
        <v>0</v>
      </c>
      <c r="W1360" s="347">
        <v>0</v>
      </c>
      <c r="X1360" s="14" t="s">
        <v>12</v>
      </c>
      <c r="Y1360" s="346" t="s">
        <v>413</v>
      </c>
      <c r="Z1360" s="14" t="str">
        <f>IF(ISBLANK(LCI_Table[[#This Row],[Notes for user]])," ",LCI_Table[[#This Row],[Notes for user]])</f>
        <v xml:space="preserve"> </v>
      </c>
      <c r="AA1360" s="14"/>
      <c r="AB1360" s="14"/>
      <c r="AC1360" s="346">
        <f ca="1">LCI_Table[[#This Row],[Default Calculated Value]]-LCI_Table[[#This Row],[Calculated Value]]</f>
        <v>0</v>
      </c>
    </row>
    <row r="1361" spans="1:29" x14ac:dyDescent="0.3">
      <c r="A13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SwitchgrassFTICAOMIT (GREET)(blank)_Switchgrass_Farming_HDPEHDPE</v>
      </c>
      <c r="B1361" s="14" t="s">
        <v>133</v>
      </c>
      <c r="C1361" s="14" t="s">
        <v>129</v>
      </c>
      <c r="D1361" s="14" t="s">
        <v>194</v>
      </c>
      <c r="E1361" s="48" t="s">
        <v>1335</v>
      </c>
      <c r="F1361" s="48" t="s">
        <v>31</v>
      </c>
      <c r="G1361" s="14" t="b">
        <f>OR(LCI_Table[[#This Row],[Feedstock]]="All",LCI_Table[[#This Row],[Feedstock]]=SelectedFeedstock)</f>
        <v>0</v>
      </c>
      <c r="H1361" s="14" t="b">
        <f>OR(LCI_Table[[#This Row],[Conversion]]="All",LCI_Table[[#This Row],[Conversion]]=SelectedConversion)</f>
        <v>0</v>
      </c>
      <c r="I1361" s="14" t="b">
        <f>OR(LCI_Table[[#This Row],[Data Set]]="all",LCI_Table[[#This Row],[Data Set]]=SelectedDataSet)</f>
        <v>0</v>
      </c>
      <c r="J1361" s="14" t="b">
        <f>OR(LCI_Table[[#This Row],[Technology]]="All",LCI_Table[[#This Row],[Technology]]=SelectedTechnology)</f>
        <v>1</v>
      </c>
      <c r="K1361" s="14" t="b">
        <f>OR(LCI_Table[[#This Row],[Data Source]]="All",LCI_Table[[#This Row],[Data Source]]=SelectedDataSource)</f>
        <v>0</v>
      </c>
      <c r="L1361" s="14" t="b">
        <f>TRUE</f>
        <v>1</v>
      </c>
      <c r="M1361" s="14" t="b">
        <f>(LCI_Table[[#This Row],[Dev Notes]]="Do not display")</f>
        <v>0</v>
      </c>
      <c r="N1361" s="14" t="b">
        <f>AND(LCI_Table[[#This Row],[Show Feedstock]:[Conditional]],NOT(LCI_Table[[#This Row],[Hide Row]]))</f>
        <v>0</v>
      </c>
      <c r="O1361" s="14" t="b">
        <f>LCI_Table[[#This Row],[GREET1 Name Range]]=""</f>
        <v>0</v>
      </c>
      <c r="P1361" s="14" t="s">
        <v>14</v>
      </c>
      <c r="Q1361" s="14" t="s">
        <v>812</v>
      </c>
      <c r="R1361" s="14" t="s">
        <v>357</v>
      </c>
      <c r="S1361" s="37" cm="1">
        <f t="array" aca="1" ref="S13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61" s="346" t="s">
        <v>1485</v>
      </c>
      <c r="U1361" s="347">
        <f ca="1">S1361/S1354*lb2g</f>
        <v>0</v>
      </c>
      <c r="V1361" s="347">
        <v>0</v>
      </c>
      <c r="W1361" s="347">
        <v>0</v>
      </c>
      <c r="X1361" s="14" t="s">
        <v>12</v>
      </c>
      <c r="Y1361" s="346" t="s">
        <v>413</v>
      </c>
      <c r="Z1361" s="14" t="str">
        <f>IF(ISBLANK(LCI_Table[[#This Row],[Notes for user]])," ",LCI_Table[[#This Row],[Notes for user]])</f>
        <v xml:space="preserve"> </v>
      </c>
      <c r="AA1361" s="14"/>
      <c r="AB1361" s="14"/>
      <c r="AC1361" s="346">
        <f ca="1">LCI_Table[[#This Row],[Default Calculated Value]]-LCI_Table[[#This Row],[Calculated Value]]</f>
        <v>0</v>
      </c>
    </row>
    <row r="1362" spans="1:29" x14ac:dyDescent="0.3">
      <c r="A13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SwitchgrassFTICAOMIT (GREET)(blank)_Switchgrass_Farming_Residual_oilResidual oil</v>
      </c>
      <c r="B1362" s="14" t="s">
        <v>133</v>
      </c>
      <c r="C1362" s="14" t="s">
        <v>129</v>
      </c>
      <c r="D1362" s="14" t="s">
        <v>194</v>
      </c>
      <c r="E1362" s="48" t="s">
        <v>1335</v>
      </c>
      <c r="F1362" s="48" t="s">
        <v>31</v>
      </c>
      <c r="G1362" s="14" t="b">
        <f>OR(LCI_Table[[#This Row],[Feedstock]]="All",LCI_Table[[#This Row],[Feedstock]]=SelectedFeedstock)</f>
        <v>0</v>
      </c>
      <c r="H1362" s="14" t="b">
        <f>OR(LCI_Table[[#This Row],[Conversion]]="All",LCI_Table[[#This Row],[Conversion]]=SelectedConversion)</f>
        <v>0</v>
      </c>
      <c r="I1362" s="14" t="b">
        <f>OR(LCI_Table[[#This Row],[Data Set]]="all",LCI_Table[[#This Row],[Data Set]]=SelectedDataSet)</f>
        <v>0</v>
      </c>
      <c r="J1362" s="14" t="b">
        <f>OR(LCI_Table[[#This Row],[Technology]]="All",LCI_Table[[#This Row],[Technology]]=SelectedTechnology)</f>
        <v>1</v>
      </c>
      <c r="K1362" s="14" t="b">
        <f>OR(LCI_Table[[#This Row],[Data Source]]="All",LCI_Table[[#This Row],[Data Source]]=SelectedDataSource)</f>
        <v>0</v>
      </c>
      <c r="L1362" s="14" t="b">
        <f>TRUE</f>
        <v>1</v>
      </c>
      <c r="M1362" s="14" t="b">
        <f>(LCI_Table[[#This Row],[Dev Notes]]="Do not display")</f>
        <v>0</v>
      </c>
      <c r="N1362" s="14" t="b">
        <f>AND(LCI_Table[[#This Row],[Show Feedstock]:[Conditional]],NOT(LCI_Table[[#This Row],[Hide Row]]))</f>
        <v>0</v>
      </c>
      <c r="O1362" s="14" t="b">
        <f>LCI_Table[[#This Row],[GREET1 Name Range]]=""</f>
        <v>0</v>
      </c>
      <c r="P1362" s="14" t="s">
        <v>14</v>
      </c>
      <c r="Q1362" s="14" t="s">
        <v>820</v>
      </c>
      <c r="R1362" s="14" t="s">
        <v>115</v>
      </c>
      <c r="S1362" s="37" cm="1">
        <f t="array" aca="1" ref="S13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62" s="346" t="s">
        <v>1484</v>
      </c>
      <c r="U1362" s="347">
        <f ca="1">S1362*Fuel_Specs!$B$28/S1354</f>
        <v>0</v>
      </c>
      <c r="V1362" s="347">
        <v>0</v>
      </c>
      <c r="W1362" s="347">
        <v>0</v>
      </c>
      <c r="X1362" s="14" t="s">
        <v>5</v>
      </c>
      <c r="Y1362" s="346" t="s">
        <v>413</v>
      </c>
      <c r="Z1362" s="14" t="str">
        <f>IF(ISBLANK(LCI_Table[[#This Row],[Notes for user]])," ",LCI_Table[[#This Row],[Notes for user]])</f>
        <v xml:space="preserve"> </v>
      </c>
      <c r="AA1362" s="14"/>
      <c r="AB1362" s="14"/>
      <c r="AC1362" s="346">
        <f ca="1">LCI_Table[[#This Row],[Default Calculated Value]]-LCI_Table[[#This Row],[Calculated Value]]</f>
        <v>0</v>
      </c>
    </row>
    <row r="1363" spans="1:29" x14ac:dyDescent="0.3">
      <c r="A13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SwitchgrassFTICAOMIT (GREET)(blank)_Switchgrass_Farming_DieselDiesel</v>
      </c>
      <c r="B1363" s="14" t="s">
        <v>133</v>
      </c>
      <c r="C1363" s="14" t="s">
        <v>129</v>
      </c>
      <c r="D1363" s="14" t="s">
        <v>194</v>
      </c>
      <c r="E1363" s="48" t="s">
        <v>1335</v>
      </c>
      <c r="F1363" s="48" t="s">
        <v>31</v>
      </c>
      <c r="G1363" s="14" t="b">
        <f>OR(LCI_Table[[#This Row],[Feedstock]]="All",LCI_Table[[#This Row],[Feedstock]]=SelectedFeedstock)</f>
        <v>0</v>
      </c>
      <c r="H1363" s="14" t="b">
        <f>OR(LCI_Table[[#This Row],[Conversion]]="All",LCI_Table[[#This Row],[Conversion]]=SelectedConversion)</f>
        <v>0</v>
      </c>
      <c r="I1363" s="14" t="b">
        <f>OR(LCI_Table[[#This Row],[Data Set]]="all",LCI_Table[[#This Row],[Data Set]]=SelectedDataSet)</f>
        <v>0</v>
      </c>
      <c r="J1363" s="14" t="b">
        <f>OR(LCI_Table[[#This Row],[Technology]]="All",LCI_Table[[#This Row],[Technology]]=SelectedTechnology)</f>
        <v>1</v>
      </c>
      <c r="K1363" s="14" t="b">
        <f>OR(LCI_Table[[#This Row],[Data Source]]="All",LCI_Table[[#This Row],[Data Source]]=SelectedDataSource)</f>
        <v>0</v>
      </c>
      <c r="L1363" s="14" t="b">
        <f>TRUE</f>
        <v>1</v>
      </c>
      <c r="M1363" s="14" t="b">
        <f>(LCI_Table[[#This Row],[Dev Notes]]="Do not display")</f>
        <v>0</v>
      </c>
      <c r="N1363" s="14" t="b">
        <f>AND(LCI_Table[[#This Row],[Show Feedstock]:[Conditional]],NOT(LCI_Table[[#This Row],[Hide Row]]))</f>
        <v>0</v>
      </c>
      <c r="O1363" s="14" t="b">
        <f>LCI_Table[[#This Row],[GREET1 Name Range]]=""</f>
        <v>0</v>
      </c>
      <c r="P1363" s="14" t="s">
        <v>14</v>
      </c>
      <c r="Q1363" s="14" t="s">
        <v>809</v>
      </c>
      <c r="R1363" s="14" t="s">
        <v>106</v>
      </c>
      <c r="S1363" s="37" cm="1">
        <f t="array" aca="1" ref="S13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3.04638678911361</v>
      </c>
      <c r="T1363" s="346" t="s">
        <v>1484</v>
      </c>
      <c r="U1363" s="347">
        <f ca="1">S1363*Fuel_Specs!$B$19/S1354</f>
        <v>67476.580999999875</v>
      </c>
      <c r="V1363" s="347">
        <v>3.04638678911361</v>
      </c>
      <c r="W1363" s="347">
        <v>67476.580999999875</v>
      </c>
      <c r="X1363" s="14" t="s">
        <v>5</v>
      </c>
      <c r="Y1363" s="346" t="s">
        <v>413</v>
      </c>
      <c r="Z1363" s="14" t="str">
        <f>IF(ISBLANK(LCI_Table[[#This Row],[Notes for user]])," ",LCI_Table[[#This Row],[Notes for user]])</f>
        <v xml:space="preserve"> </v>
      </c>
      <c r="AA1363" s="14"/>
      <c r="AB1363" s="14"/>
      <c r="AC1363" s="346">
        <f ca="1">LCI_Table[[#This Row],[Default Calculated Value]]-LCI_Table[[#This Row],[Calculated Value]]</f>
        <v>0</v>
      </c>
    </row>
    <row r="1364" spans="1:29" x14ac:dyDescent="0.3">
      <c r="A13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SwitchgrassFTICAOMIT (GREET)(blank)_Switchgrass_Farming_GasolineGasoline</v>
      </c>
      <c r="B1364" s="14" t="s">
        <v>133</v>
      </c>
      <c r="C1364" s="14" t="s">
        <v>129</v>
      </c>
      <c r="D1364" s="14" t="s">
        <v>194</v>
      </c>
      <c r="E1364" s="48" t="s">
        <v>1335</v>
      </c>
      <c r="F1364" s="48" t="s">
        <v>31</v>
      </c>
      <c r="G1364" s="14" t="b">
        <f>OR(LCI_Table[[#This Row],[Feedstock]]="All",LCI_Table[[#This Row],[Feedstock]]=SelectedFeedstock)</f>
        <v>0</v>
      </c>
      <c r="H1364" s="14" t="b">
        <f>OR(LCI_Table[[#This Row],[Conversion]]="All",LCI_Table[[#This Row],[Conversion]]=SelectedConversion)</f>
        <v>0</v>
      </c>
      <c r="I1364" s="14" t="b">
        <f>OR(LCI_Table[[#This Row],[Data Set]]="all",LCI_Table[[#This Row],[Data Set]]=SelectedDataSet)</f>
        <v>0</v>
      </c>
      <c r="J1364" s="14" t="b">
        <f>OR(LCI_Table[[#This Row],[Technology]]="All",LCI_Table[[#This Row],[Technology]]=SelectedTechnology)</f>
        <v>1</v>
      </c>
      <c r="K1364" s="14" t="b">
        <f>OR(LCI_Table[[#This Row],[Data Source]]="All",LCI_Table[[#This Row],[Data Source]]=SelectedDataSource)</f>
        <v>0</v>
      </c>
      <c r="L1364" s="14" t="b">
        <f>TRUE</f>
        <v>1</v>
      </c>
      <c r="M1364" s="14" t="b">
        <f>(LCI_Table[[#This Row],[Dev Notes]]="Do not display")</f>
        <v>0</v>
      </c>
      <c r="N1364" s="14" t="b">
        <f>AND(LCI_Table[[#This Row],[Show Feedstock]:[Conditional]],NOT(LCI_Table[[#This Row],[Hide Row]]))</f>
        <v>0</v>
      </c>
      <c r="O1364" s="14" t="b">
        <f>LCI_Table[[#This Row],[GREET1 Name Range]]=""</f>
        <v>0</v>
      </c>
      <c r="P1364" s="14" t="s">
        <v>14</v>
      </c>
      <c r="Q1364" s="14" t="s">
        <v>811</v>
      </c>
      <c r="R1364" s="14" t="s">
        <v>107</v>
      </c>
      <c r="S1364" s="37" cm="1">
        <f t="array" aca="1" ref="S13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64" s="346" t="s">
        <v>1484</v>
      </c>
      <c r="U1364" s="347">
        <f ca="1">S1364*Fuel_Specs!$B$15/S1354</f>
        <v>0</v>
      </c>
      <c r="V1364" s="347">
        <v>0</v>
      </c>
      <c r="W1364" s="347">
        <v>0</v>
      </c>
      <c r="X1364" s="14" t="s">
        <v>5</v>
      </c>
      <c r="Y1364" s="346" t="s">
        <v>413</v>
      </c>
      <c r="Z1364" s="14" t="str">
        <f>IF(ISBLANK(LCI_Table[[#This Row],[Notes for user]])," ",LCI_Table[[#This Row],[Notes for user]])</f>
        <v xml:space="preserve"> </v>
      </c>
      <c r="AA1364" s="14"/>
      <c r="AB1364" s="14"/>
      <c r="AC1364" s="346">
        <f ca="1">LCI_Table[[#This Row],[Default Calculated Value]]-LCI_Table[[#This Row],[Calculated Value]]</f>
        <v>0</v>
      </c>
    </row>
    <row r="1365" spans="1:29" x14ac:dyDescent="0.3">
      <c r="A13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SwitchgrassFTICAOMIT (GREET)(blank)_Switchgrass_Farming_Natural_gasNatural gas</v>
      </c>
      <c r="B1365" s="14" t="s">
        <v>133</v>
      </c>
      <c r="C1365" s="14" t="s">
        <v>129</v>
      </c>
      <c r="D1365" s="14" t="s">
        <v>194</v>
      </c>
      <c r="E1365" s="48" t="s">
        <v>1335</v>
      </c>
      <c r="F1365" s="48" t="s">
        <v>31</v>
      </c>
      <c r="G1365" s="14" t="b">
        <f>OR(LCI_Table[[#This Row],[Feedstock]]="All",LCI_Table[[#This Row],[Feedstock]]=SelectedFeedstock)</f>
        <v>0</v>
      </c>
      <c r="H1365" s="14" t="b">
        <f>OR(LCI_Table[[#This Row],[Conversion]]="All",LCI_Table[[#This Row],[Conversion]]=SelectedConversion)</f>
        <v>0</v>
      </c>
      <c r="I1365" s="14" t="b">
        <f>OR(LCI_Table[[#This Row],[Data Set]]="all",LCI_Table[[#This Row],[Data Set]]=SelectedDataSet)</f>
        <v>0</v>
      </c>
      <c r="J1365" s="14" t="b">
        <f>OR(LCI_Table[[#This Row],[Technology]]="All",LCI_Table[[#This Row],[Technology]]=SelectedTechnology)</f>
        <v>1</v>
      </c>
      <c r="K1365" s="14" t="b">
        <f>OR(LCI_Table[[#This Row],[Data Source]]="All",LCI_Table[[#This Row],[Data Source]]=SelectedDataSource)</f>
        <v>0</v>
      </c>
      <c r="L1365" s="14" t="b">
        <f>TRUE</f>
        <v>1</v>
      </c>
      <c r="M1365" s="14" t="b">
        <f>(LCI_Table[[#This Row],[Dev Notes]]="Do not display")</f>
        <v>0</v>
      </c>
      <c r="N1365" s="14" t="b">
        <f>AND(LCI_Table[[#This Row],[Show Feedstock]:[Conditional]],NOT(LCI_Table[[#This Row],[Hide Row]]))</f>
        <v>0</v>
      </c>
      <c r="O1365" s="14" t="b">
        <f>LCI_Table[[#This Row],[GREET1 Name Range]]=""</f>
        <v>0</v>
      </c>
      <c r="P1365" s="14" t="s">
        <v>14</v>
      </c>
      <c r="Q1365" s="14" t="s">
        <v>817</v>
      </c>
      <c r="R1365" s="14" t="s">
        <v>108</v>
      </c>
      <c r="S1365" s="37" cm="1">
        <f t="array" aca="1" ref="S13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65" s="346" t="s">
        <v>2109</v>
      </c>
      <c r="U1365" s="347">
        <f ca="1">S1365*Fuel_Specs!$B$79/S1354</f>
        <v>0</v>
      </c>
      <c r="V1365" s="347">
        <v>0</v>
      </c>
      <c r="W1365" s="347">
        <v>0</v>
      </c>
      <c r="X1365" s="14" t="s">
        <v>351</v>
      </c>
      <c r="Y1365" s="346" t="s">
        <v>413</v>
      </c>
      <c r="Z1365" s="14" t="str">
        <f>IF(ISBLANK(LCI_Table[[#This Row],[Notes for user]])," ",LCI_Table[[#This Row],[Notes for user]])</f>
        <v xml:space="preserve"> </v>
      </c>
      <c r="AA1365" s="14"/>
      <c r="AB1365" s="14"/>
      <c r="AC1365" s="346">
        <f ca="1">LCI_Table[[#This Row],[Default Calculated Value]]-LCI_Table[[#This Row],[Calculated Value]]</f>
        <v>0</v>
      </c>
    </row>
    <row r="1366" spans="1:29" x14ac:dyDescent="0.3">
      <c r="A13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SwitchgrassFTICAOMIT (GREET)(blank)_Switchgrass_Farming_CoalCoal</v>
      </c>
      <c r="B1366" s="14" t="s">
        <v>133</v>
      </c>
      <c r="C1366" s="14" t="s">
        <v>129</v>
      </c>
      <c r="D1366" s="14" t="s">
        <v>194</v>
      </c>
      <c r="E1366" s="48" t="s">
        <v>1335</v>
      </c>
      <c r="F1366" s="48" t="s">
        <v>31</v>
      </c>
      <c r="G1366" s="14" t="b">
        <f>OR(LCI_Table[[#This Row],[Feedstock]]="All",LCI_Table[[#This Row],[Feedstock]]=SelectedFeedstock)</f>
        <v>0</v>
      </c>
      <c r="H1366" s="14" t="b">
        <f>OR(LCI_Table[[#This Row],[Conversion]]="All",LCI_Table[[#This Row],[Conversion]]=SelectedConversion)</f>
        <v>0</v>
      </c>
      <c r="I1366" s="14" t="b">
        <f>OR(LCI_Table[[#This Row],[Data Set]]="all",LCI_Table[[#This Row],[Data Set]]=SelectedDataSet)</f>
        <v>0</v>
      </c>
      <c r="J1366" s="14" t="b">
        <f>OR(LCI_Table[[#This Row],[Technology]]="All",LCI_Table[[#This Row],[Technology]]=SelectedTechnology)</f>
        <v>1</v>
      </c>
      <c r="K1366" s="14" t="b">
        <f>OR(LCI_Table[[#This Row],[Data Source]]="All",LCI_Table[[#This Row],[Data Source]]=SelectedDataSource)</f>
        <v>0</v>
      </c>
      <c r="L1366" s="14" t="b">
        <f>TRUE</f>
        <v>1</v>
      </c>
      <c r="M1366" s="14" t="b">
        <f>(LCI_Table[[#This Row],[Dev Notes]]="Do not display")</f>
        <v>0</v>
      </c>
      <c r="N1366" s="14" t="b">
        <f>AND(LCI_Table[[#This Row],[Show Feedstock]:[Conditional]],NOT(LCI_Table[[#This Row],[Hide Row]]))</f>
        <v>0</v>
      </c>
      <c r="O1366" s="14" t="b">
        <f>LCI_Table[[#This Row],[GREET1 Name Range]]=""</f>
        <v>0</v>
      </c>
      <c r="P1366" s="14" t="s">
        <v>14</v>
      </c>
      <c r="Q1366" s="14" t="s">
        <v>808</v>
      </c>
      <c r="R1366" s="14" t="s">
        <v>9</v>
      </c>
      <c r="S1366" s="37" cm="1">
        <f t="array" aca="1" ref="S13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66" s="346" t="s">
        <v>2110</v>
      </c>
      <c r="U1366" s="347">
        <f ca="1">S1366/S1354</f>
        <v>0</v>
      </c>
      <c r="V1366" s="347">
        <v>0</v>
      </c>
      <c r="W1366" s="347">
        <v>0</v>
      </c>
      <c r="X1366" s="14" t="s">
        <v>117</v>
      </c>
      <c r="Y1366" s="346" t="s">
        <v>413</v>
      </c>
      <c r="Z1366" s="14" t="str">
        <f>IF(ISBLANK(LCI_Table[[#This Row],[Notes for user]])," ",LCI_Table[[#This Row],[Notes for user]])</f>
        <v xml:space="preserve"> </v>
      </c>
      <c r="AA1366" s="14"/>
      <c r="AB1366" s="14"/>
      <c r="AC1366" s="346">
        <f ca="1">LCI_Table[[#This Row],[Default Calculated Value]]-LCI_Table[[#This Row],[Calculated Value]]</f>
        <v>0</v>
      </c>
    </row>
    <row r="1367" spans="1:29" x14ac:dyDescent="0.3">
      <c r="A13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SwitchgrassFTICAOMIT (GREET)(blank)_Switchgrass_Farming_LPGLPG</v>
      </c>
      <c r="B1367" s="14" t="s">
        <v>133</v>
      </c>
      <c r="C1367" s="14" t="s">
        <v>129</v>
      </c>
      <c r="D1367" s="14" t="s">
        <v>194</v>
      </c>
      <c r="E1367" s="48" t="s">
        <v>1335</v>
      </c>
      <c r="F1367" s="48" t="s">
        <v>31</v>
      </c>
      <c r="G1367" s="14" t="b">
        <f>OR(LCI_Table[[#This Row],[Feedstock]]="All",LCI_Table[[#This Row],[Feedstock]]=SelectedFeedstock)</f>
        <v>0</v>
      </c>
      <c r="H1367" s="14" t="b">
        <f>OR(LCI_Table[[#This Row],[Conversion]]="All",LCI_Table[[#This Row],[Conversion]]=SelectedConversion)</f>
        <v>0</v>
      </c>
      <c r="I1367" s="14" t="b">
        <f>OR(LCI_Table[[#This Row],[Data Set]]="all",LCI_Table[[#This Row],[Data Set]]=SelectedDataSet)</f>
        <v>0</v>
      </c>
      <c r="J1367" s="14" t="b">
        <f>OR(LCI_Table[[#This Row],[Technology]]="All",LCI_Table[[#This Row],[Technology]]=SelectedTechnology)</f>
        <v>1</v>
      </c>
      <c r="K1367" s="14" t="b">
        <f>OR(LCI_Table[[#This Row],[Data Source]]="All",LCI_Table[[#This Row],[Data Source]]=SelectedDataSource)</f>
        <v>0</v>
      </c>
      <c r="L1367" s="14" t="b">
        <f>TRUE</f>
        <v>1</v>
      </c>
      <c r="M1367" s="14" t="b">
        <f>(LCI_Table[[#This Row],[Dev Notes]]="Do not display")</f>
        <v>0</v>
      </c>
      <c r="N1367" s="14" t="b">
        <f>AND(LCI_Table[[#This Row],[Show Feedstock]:[Conditional]],NOT(LCI_Table[[#This Row],[Hide Row]]))</f>
        <v>0</v>
      </c>
      <c r="O1367" s="14" t="b">
        <f>LCI_Table[[#This Row],[GREET1 Name Range]]=""</f>
        <v>0</v>
      </c>
      <c r="P1367" s="14" t="s">
        <v>14</v>
      </c>
      <c r="Q1367" s="14" t="s">
        <v>816</v>
      </c>
      <c r="R1367" s="14" t="s">
        <v>109</v>
      </c>
      <c r="S1367" s="37" cm="1">
        <f t="array" aca="1" ref="S13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67" s="346" t="s">
        <v>1484</v>
      </c>
      <c r="U1367" s="347">
        <f ca="1">S1367*Fuel_Specs!$B$35/S1354</f>
        <v>0</v>
      </c>
      <c r="V1367" s="347">
        <v>0</v>
      </c>
      <c r="W1367" s="347">
        <v>0</v>
      </c>
      <c r="X1367" s="14" t="s">
        <v>5</v>
      </c>
      <c r="Y1367" s="346" t="s">
        <v>413</v>
      </c>
      <c r="Z1367" s="14" t="str">
        <f>IF(ISBLANK(LCI_Table[[#This Row],[Notes for user]])," ",LCI_Table[[#This Row],[Notes for user]])</f>
        <v xml:space="preserve"> </v>
      </c>
      <c r="AA1367" s="14"/>
      <c r="AB1367" s="14"/>
      <c r="AC1367" s="346">
        <f ca="1">LCI_Table[[#This Row],[Default Calculated Value]]-LCI_Table[[#This Row],[Calculated Value]]</f>
        <v>0</v>
      </c>
    </row>
    <row r="1368" spans="1:29" x14ac:dyDescent="0.3">
      <c r="A13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SwitchgrassFTICAOMIT (GREET)(blank)_Switchgrass_Farming_ElectricityElectricity</v>
      </c>
      <c r="B1368" s="14" t="s">
        <v>133</v>
      </c>
      <c r="C1368" s="14" t="s">
        <v>129</v>
      </c>
      <c r="D1368" s="14" t="s">
        <v>194</v>
      </c>
      <c r="E1368" s="48" t="s">
        <v>1335</v>
      </c>
      <c r="F1368" s="48" t="s">
        <v>31</v>
      </c>
      <c r="G1368" s="14" t="b">
        <f>OR(LCI_Table[[#This Row],[Feedstock]]="All",LCI_Table[[#This Row],[Feedstock]]=SelectedFeedstock)</f>
        <v>0</v>
      </c>
      <c r="H1368" s="14" t="b">
        <f>OR(LCI_Table[[#This Row],[Conversion]]="All",LCI_Table[[#This Row],[Conversion]]=SelectedConversion)</f>
        <v>0</v>
      </c>
      <c r="I1368" s="14" t="b">
        <f>OR(LCI_Table[[#This Row],[Data Set]]="all",LCI_Table[[#This Row],[Data Set]]=SelectedDataSet)</f>
        <v>0</v>
      </c>
      <c r="J1368" s="14" t="b">
        <f>OR(LCI_Table[[#This Row],[Technology]]="All",LCI_Table[[#This Row],[Technology]]=SelectedTechnology)</f>
        <v>1</v>
      </c>
      <c r="K1368" s="14" t="b">
        <f>OR(LCI_Table[[#This Row],[Data Source]]="All",LCI_Table[[#This Row],[Data Source]]=SelectedDataSource)</f>
        <v>0</v>
      </c>
      <c r="L1368" s="14" t="b">
        <f>TRUE</f>
        <v>1</v>
      </c>
      <c r="M1368" s="14" t="b">
        <f>(LCI_Table[[#This Row],[Dev Notes]]="Do not display")</f>
        <v>0</v>
      </c>
      <c r="N1368" s="14" t="b">
        <f>AND(LCI_Table[[#This Row],[Show Feedstock]:[Conditional]],NOT(LCI_Table[[#This Row],[Hide Row]]))</f>
        <v>0</v>
      </c>
      <c r="O1368" s="14" t="b">
        <f>LCI_Table[[#This Row],[GREET1 Name Range]]=""</f>
        <v>0</v>
      </c>
      <c r="P1368" s="14" t="s">
        <v>14</v>
      </c>
      <c r="Q1368" s="14" t="s">
        <v>810</v>
      </c>
      <c r="R1368" s="348" t="s">
        <v>110</v>
      </c>
      <c r="S1368" s="37" cm="1">
        <f t="array" aca="1" ref="S13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8.2570439740645494</v>
      </c>
      <c r="T1368" s="346" t="s">
        <v>1561</v>
      </c>
      <c r="U1368" s="347">
        <f ca="1">S1368/BTU2kWh/S1354</f>
        <v>4858.3138319999889</v>
      </c>
      <c r="V1368" s="347">
        <v>8.2570439740645494</v>
      </c>
      <c r="W1368" s="347">
        <v>4858.3138319999889</v>
      </c>
      <c r="X1368" s="14" t="s">
        <v>51</v>
      </c>
      <c r="Y1368" s="346" t="s">
        <v>413</v>
      </c>
      <c r="Z1368" s="14" t="str">
        <f>IF(ISBLANK(LCI_Table[[#This Row],[Notes for user]])," ",LCI_Table[[#This Row],[Notes for user]])</f>
        <v xml:space="preserve"> </v>
      </c>
      <c r="AA1368" s="14"/>
      <c r="AB1368" s="348"/>
      <c r="AC1368" s="346">
        <f ca="1">LCI_Table[[#This Row],[Default Calculated Value]]-LCI_Table[[#This Row],[Calculated Value]]</f>
        <v>0</v>
      </c>
    </row>
    <row r="1369" spans="1:29" x14ac:dyDescent="0.3">
      <c r="A13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SwitchgrassFTICAOMIT (GREET)(blank)_Switchgrass_FT_efficiencySwitchgrass</v>
      </c>
      <c r="B1369" s="14" t="s">
        <v>133</v>
      </c>
      <c r="C1369" s="14" t="s">
        <v>129</v>
      </c>
      <c r="D1369" s="14" t="s">
        <v>194</v>
      </c>
      <c r="E1369" s="48" t="s">
        <v>1335</v>
      </c>
      <c r="F1369" s="48" t="s">
        <v>31</v>
      </c>
      <c r="G1369" s="14" t="b">
        <f>OR(LCI_Table[[#This Row],[Feedstock]]="All",LCI_Table[[#This Row],[Feedstock]]=SelectedFeedstock)</f>
        <v>0</v>
      </c>
      <c r="H1369" s="14" t="b">
        <f>OR(LCI_Table[[#This Row],[Conversion]]="All",LCI_Table[[#This Row],[Conversion]]=SelectedConversion)</f>
        <v>0</v>
      </c>
      <c r="I1369" s="14" t="b">
        <f>OR(LCI_Table[[#This Row],[Data Set]]="all",LCI_Table[[#This Row],[Data Set]]=SelectedDataSet)</f>
        <v>0</v>
      </c>
      <c r="J1369" s="14" t="b">
        <f>OR(LCI_Table[[#This Row],[Technology]]="All",LCI_Table[[#This Row],[Technology]]=SelectedTechnology)</f>
        <v>1</v>
      </c>
      <c r="K1369" s="14" t="b">
        <f>OR(LCI_Table[[#This Row],[Data Source]]="All",LCI_Table[[#This Row],[Data Source]]=SelectedDataSource)</f>
        <v>0</v>
      </c>
      <c r="L1369" s="14" t="b">
        <f>TRUE</f>
        <v>1</v>
      </c>
      <c r="M1369" s="14" t="b">
        <f>(LCI_Table[[#This Row],[Dev Notes]]="Do not display")</f>
        <v>0</v>
      </c>
      <c r="N1369" s="14" t="b">
        <f>AND(LCI_Table[[#This Row],[Show Feedstock]:[Conditional]],NOT(LCI_Table[[#This Row],[Hide Row]]))</f>
        <v>0</v>
      </c>
      <c r="O1369" s="14" t="b">
        <f>LCI_Table[[#This Row],[GREET1 Name Range]]=""</f>
        <v>0</v>
      </c>
      <c r="P1369" s="14" t="s">
        <v>1448</v>
      </c>
      <c r="Q1369" s="14" t="s">
        <v>936</v>
      </c>
      <c r="R1369" s="14" t="s">
        <v>133</v>
      </c>
      <c r="S1369" s="37" cm="1">
        <f t="array" aca="1" ref="S13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0.13843704575344362</v>
      </c>
      <c r="T1369" s="346" t="s">
        <v>2125</v>
      </c>
      <c r="U1369" s="347">
        <f ca="1">1/(S1369*Fuel_Specs!$B$97*BTU2mmBTU)</f>
        <v>0.5</v>
      </c>
      <c r="V1369" s="347">
        <v>0.13843704575344362</v>
      </c>
      <c r="W1369" s="347">
        <v>0.5</v>
      </c>
      <c r="X1369" s="37" t="s">
        <v>55</v>
      </c>
      <c r="Y1369" s="346" t="s">
        <v>416</v>
      </c>
      <c r="Z1369" s="14" t="str">
        <f>IF(ISBLANK(LCI_Table[[#This Row],[Notes for user]])," ",LCI_Table[[#This Row],[Notes for user]])</f>
        <v xml:space="preserve"> </v>
      </c>
      <c r="AA1369" s="14"/>
      <c r="AB1369" s="14"/>
      <c r="AC1369" s="346">
        <f ca="1">LCI_Table[[#This Row],[Default Calculated Value]]-LCI_Table[[#This Row],[Calculated Value]]</f>
        <v>0</v>
      </c>
    </row>
    <row r="1370" spans="1:29" x14ac:dyDescent="0.3">
      <c r="A13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dash_SwitchgrassFTICAOJRC (GREET)(blank)_Yield_Farming</v>
      </c>
      <c r="B1370" s="48" t="s">
        <v>133</v>
      </c>
      <c r="C1370" s="48" t="s">
        <v>129</v>
      </c>
      <c r="D1370" s="48" t="s">
        <v>194</v>
      </c>
      <c r="E1370" s="48" t="s">
        <v>1338</v>
      </c>
      <c r="F1370" s="48" t="s">
        <v>31</v>
      </c>
      <c r="G1370" s="14" t="b">
        <f>OR(LCI_Table[[#This Row],[Feedstock]]="All",LCI_Table[[#This Row],[Feedstock]]=SelectedFeedstock)</f>
        <v>0</v>
      </c>
      <c r="H1370" s="14" t="b">
        <f>OR(LCI_Table[[#This Row],[Conversion]]="All",LCI_Table[[#This Row],[Conversion]]=SelectedConversion)</f>
        <v>0</v>
      </c>
      <c r="I1370" s="14" t="b">
        <f>OR(LCI_Table[[#This Row],[Data Set]]="all",LCI_Table[[#This Row],[Data Set]]=SelectedDataSet)</f>
        <v>0</v>
      </c>
      <c r="J1370" s="14" t="b">
        <f>OR(LCI_Table[[#This Row],[Technology]]="All",LCI_Table[[#This Row],[Technology]]=SelectedTechnology)</f>
        <v>1</v>
      </c>
      <c r="K1370" s="14" t="b">
        <f>OR(LCI_Table[[#This Row],[Data Source]]="All",LCI_Table[[#This Row],[Data Source]]=SelectedDataSource)</f>
        <v>0</v>
      </c>
      <c r="L1370" s="14" t="b">
        <f>TRUE</f>
        <v>1</v>
      </c>
      <c r="M1370" s="14" t="b">
        <f>(LCI_Table[[#This Row],[Dev Notes]]="Do not display")</f>
        <v>0</v>
      </c>
      <c r="N1370" s="14" t="b">
        <f>AND(LCI_Table[[#This Row],[Show Feedstock]:[Conditional]],NOT(LCI_Table[[#This Row],[Hide Row]]))</f>
        <v>0</v>
      </c>
      <c r="O1370" s="14" t="b">
        <f>LCI_Table[[#This Row],[GREET1 Name Range]]=""</f>
        <v>1</v>
      </c>
      <c r="P1370" s="48" t="s">
        <v>14</v>
      </c>
      <c r="Q1370" s="14" t="s">
        <v>361</v>
      </c>
      <c r="R1370" s="48" t="s">
        <v>200</v>
      </c>
      <c r="S1370" s="37" cm="1">
        <f t="array" aca="1" ref="S13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5.3530829935018236</v>
      </c>
      <c r="T1370" s="346" t="s">
        <v>2116</v>
      </c>
      <c r="U1370" s="344"/>
      <c r="V1370" s="344">
        <v>5.3530829935018236</v>
      </c>
      <c r="W1370" s="344"/>
      <c r="X1370" s="48" t="s">
        <v>55</v>
      </c>
      <c r="Y1370" s="346" t="s">
        <v>413</v>
      </c>
      <c r="Z1370" s="14" t="str">
        <f>IF(ISBLANK(LCI_Table[[#This Row],[Notes for user]])," ",LCI_Table[[#This Row],[Notes for user]])</f>
        <v xml:space="preserve"> </v>
      </c>
      <c r="AA1370" s="48"/>
      <c r="AB1370" s="345"/>
      <c r="AC1370" s="346">
        <f>LCI_Table[[#This Row],[Default Calculated Value]]-LCI_Table[[#This Row],[Calculated Value]]</f>
        <v>0</v>
      </c>
    </row>
    <row r="1371" spans="1:29" x14ac:dyDescent="0.3">
      <c r="A13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(GREET)(blank)_Switchgrass_Farming_Nitrogen_fertilizerNitrogen fertilizer</v>
      </c>
      <c r="B1371" s="14" t="s">
        <v>133</v>
      </c>
      <c r="C1371" s="14" t="s">
        <v>129</v>
      </c>
      <c r="D1371" s="14" t="s">
        <v>194</v>
      </c>
      <c r="E1371" s="48" t="s">
        <v>1338</v>
      </c>
      <c r="F1371" s="48" t="s">
        <v>31</v>
      </c>
      <c r="G1371" s="14" t="b">
        <f>OR(LCI_Table[[#This Row],[Feedstock]]="All",LCI_Table[[#This Row],[Feedstock]]=SelectedFeedstock)</f>
        <v>0</v>
      </c>
      <c r="H1371" s="14" t="b">
        <f>OR(LCI_Table[[#This Row],[Conversion]]="All",LCI_Table[[#This Row],[Conversion]]=SelectedConversion)</f>
        <v>0</v>
      </c>
      <c r="I1371" s="14" t="b">
        <f>OR(LCI_Table[[#This Row],[Data Set]]="all",LCI_Table[[#This Row],[Data Set]]=SelectedDataSet)</f>
        <v>0</v>
      </c>
      <c r="J1371" s="14" t="b">
        <f>OR(LCI_Table[[#This Row],[Technology]]="All",LCI_Table[[#This Row],[Technology]]=SelectedTechnology)</f>
        <v>1</v>
      </c>
      <c r="K1371" s="14" t="b">
        <f>OR(LCI_Table[[#This Row],[Data Source]]="All",LCI_Table[[#This Row],[Data Source]]=SelectedDataSource)</f>
        <v>0</v>
      </c>
      <c r="L1371" s="14" t="b">
        <f>TRUE</f>
        <v>1</v>
      </c>
      <c r="M1371" s="14" t="b">
        <f>(LCI_Table[[#This Row],[Dev Notes]]="Do not display")</f>
        <v>0</v>
      </c>
      <c r="N1371" s="14" t="b">
        <f>AND(LCI_Table[[#This Row],[Show Feedstock]:[Conditional]],NOT(LCI_Table[[#This Row],[Hide Row]]))</f>
        <v>0</v>
      </c>
      <c r="O1371" s="14" t="b">
        <f>LCI_Table[[#This Row],[GREET1 Name Range]]=""</f>
        <v>0</v>
      </c>
      <c r="P1371" s="14" t="s">
        <v>14</v>
      </c>
      <c r="Q1371" s="14" t="s">
        <v>818</v>
      </c>
      <c r="R1371" s="14" t="s">
        <v>111</v>
      </c>
      <c r="S1371" s="37" cm="1">
        <f t="array" aca="1" ref="S13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62.095438277017102</v>
      </c>
      <c r="T1371" s="346" t="s">
        <v>1485</v>
      </c>
      <c r="U1371" s="347">
        <f ca="1">S1371/S1370*lb2g</f>
        <v>5261.6439999999993</v>
      </c>
      <c r="V1371" s="347">
        <v>62.095438277017102</v>
      </c>
      <c r="W1371" s="347">
        <v>5261.6439999999993</v>
      </c>
      <c r="X1371" s="14" t="s">
        <v>12</v>
      </c>
      <c r="Y1371" s="346" t="s">
        <v>413</v>
      </c>
      <c r="Z1371" s="14" t="str">
        <f>IF(ISBLANK(LCI_Table[[#This Row],[Notes for user]])," ",LCI_Table[[#This Row],[Notes for user]])</f>
        <v xml:space="preserve"> </v>
      </c>
      <c r="AA1371" s="14"/>
      <c r="AB1371" s="348"/>
      <c r="AC1371" s="346">
        <f ca="1">LCI_Table[[#This Row],[Default Calculated Value]]-LCI_Table[[#This Row],[Calculated Value]]</f>
        <v>0</v>
      </c>
    </row>
    <row r="1372" spans="1:29" x14ac:dyDescent="0.3">
      <c r="A13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(GREET)(blank)_Switchgrass_Farming_P2O5P2O5</v>
      </c>
      <c r="B1372" s="14" t="s">
        <v>133</v>
      </c>
      <c r="C1372" s="14" t="s">
        <v>129</v>
      </c>
      <c r="D1372" s="14" t="s">
        <v>194</v>
      </c>
      <c r="E1372" s="48" t="s">
        <v>1338</v>
      </c>
      <c r="F1372" s="48" t="s">
        <v>31</v>
      </c>
      <c r="G1372" s="14" t="b">
        <f>OR(LCI_Table[[#This Row],[Feedstock]]="All",LCI_Table[[#This Row],[Feedstock]]=SelectedFeedstock)</f>
        <v>0</v>
      </c>
      <c r="H1372" s="14" t="b">
        <f>OR(LCI_Table[[#This Row],[Conversion]]="All",LCI_Table[[#This Row],[Conversion]]=SelectedConversion)</f>
        <v>0</v>
      </c>
      <c r="I1372" s="14" t="b">
        <f>OR(LCI_Table[[#This Row],[Data Set]]="all",LCI_Table[[#This Row],[Data Set]]=SelectedDataSet)</f>
        <v>0</v>
      </c>
      <c r="J1372" s="14" t="b">
        <f>OR(LCI_Table[[#This Row],[Technology]]="All",LCI_Table[[#This Row],[Technology]]=SelectedTechnology)</f>
        <v>1</v>
      </c>
      <c r="K1372" s="14" t="b">
        <f>OR(LCI_Table[[#This Row],[Data Source]]="All",LCI_Table[[#This Row],[Data Source]]=SelectedDataSource)</f>
        <v>0</v>
      </c>
      <c r="L1372" s="14" t="b">
        <f>TRUE</f>
        <v>1</v>
      </c>
      <c r="M1372" s="14" t="b">
        <f>(LCI_Table[[#This Row],[Dev Notes]]="Do not display")</f>
        <v>0</v>
      </c>
      <c r="N1372" s="14" t="b">
        <f>AND(LCI_Table[[#This Row],[Show Feedstock]:[Conditional]],NOT(LCI_Table[[#This Row],[Hide Row]]))</f>
        <v>0</v>
      </c>
      <c r="O1372" s="14" t="b">
        <f>LCI_Table[[#This Row],[GREET1 Name Range]]=""</f>
        <v>0</v>
      </c>
      <c r="P1372" s="14" t="s">
        <v>14</v>
      </c>
      <c r="Q1372" s="14" t="s">
        <v>819</v>
      </c>
      <c r="R1372" s="14" t="s">
        <v>112</v>
      </c>
      <c r="S1372" s="37" cm="1">
        <f t="array" aca="1" ref="S13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9.6354990429854155</v>
      </c>
      <c r="T1372" s="346" t="s">
        <v>1485</v>
      </c>
      <c r="U1372" s="347">
        <f ca="1">S1372/S1370*lb2g</f>
        <v>816.4620000000001</v>
      </c>
      <c r="V1372" s="347">
        <v>9.6354990429854155</v>
      </c>
      <c r="W1372" s="347">
        <v>816.4620000000001</v>
      </c>
      <c r="X1372" s="14" t="s">
        <v>12</v>
      </c>
      <c r="Y1372" s="346" t="s">
        <v>413</v>
      </c>
      <c r="Z1372" s="14" t="str">
        <f>IF(ISBLANK(LCI_Table[[#This Row],[Notes for user]])," ",LCI_Table[[#This Row],[Notes for user]])</f>
        <v xml:space="preserve"> </v>
      </c>
      <c r="AA1372" s="14"/>
      <c r="AB1372" s="14"/>
      <c r="AC1372" s="346">
        <f ca="1">LCI_Table[[#This Row],[Default Calculated Value]]-LCI_Table[[#This Row],[Calculated Value]]</f>
        <v>0</v>
      </c>
    </row>
    <row r="1373" spans="1:29" x14ac:dyDescent="0.3">
      <c r="A13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(GREET)(blank)_Switchgrass_Farming_K2OK2O</v>
      </c>
      <c r="B1373" s="14" t="s">
        <v>133</v>
      </c>
      <c r="C1373" s="14" t="s">
        <v>129</v>
      </c>
      <c r="D1373" s="14" t="s">
        <v>194</v>
      </c>
      <c r="E1373" s="48" t="s">
        <v>1338</v>
      </c>
      <c r="F1373" s="48" t="s">
        <v>31</v>
      </c>
      <c r="G1373" s="14" t="b">
        <f>OR(LCI_Table[[#This Row],[Feedstock]]="All",LCI_Table[[#This Row],[Feedstock]]=SelectedFeedstock)</f>
        <v>0</v>
      </c>
      <c r="H1373" s="14" t="b">
        <f>OR(LCI_Table[[#This Row],[Conversion]]="All",LCI_Table[[#This Row],[Conversion]]=SelectedConversion)</f>
        <v>0</v>
      </c>
      <c r="I1373" s="14" t="b">
        <f>OR(LCI_Table[[#This Row],[Data Set]]="all",LCI_Table[[#This Row],[Data Set]]=SelectedDataSet)</f>
        <v>0</v>
      </c>
      <c r="J1373" s="14" t="b">
        <f>OR(LCI_Table[[#This Row],[Technology]]="All",LCI_Table[[#This Row],[Technology]]=SelectedTechnology)</f>
        <v>1</v>
      </c>
      <c r="K1373" s="14" t="b">
        <f>OR(LCI_Table[[#This Row],[Data Source]]="All",LCI_Table[[#This Row],[Data Source]]=SelectedDataSource)</f>
        <v>0</v>
      </c>
      <c r="L1373" s="14" t="b">
        <f>TRUE</f>
        <v>1</v>
      </c>
      <c r="M1373" s="14" t="b">
        <f>(LCI_Table[[#This Row],[Dev Notes]]="Do not display")</f>
        <v>0</v>
      </c>
      <c r="N1373" s="14" t="b">
        <f>AND(LCI_Table[[#This Row],[Show Feedstock]:[Conditional]],NOT(LCI_Table[[#This Row],[Hide Row]]))</f>
        <v>0</v>
      </c>
      <c r="O1373" s="14" t="b">
        <f>LCI_Table[[#This Row],[GREET1 Name Range]]=""</f>
        <v>0</v>
      </c>
      <c r="P1373" s="14" t="s">
        <v>14</v>
      </c>
      <c r="Q1373" s="14" t="s">
        <v>815</v>
      </c>
      <c r="R1373" s="14" t="s">
        <v>113</v>
      </c>
      <c r="S1373" s="37" cm="1">
        <f t="array" aca="1" ref="S13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43.89505119582244</v>
      </c>
      <c r="T1373" s="346" t="s">
        <v>1485</v>
      </c>
      <c r="U1373" s="347">
        <f ca="1">S1373/S1370*lb2g</f>
        <v>3719.4380000000001</v>
      </c>
      <c r="V1373" s="347">
        <v>43.89505119582244</v>
      </c>
      <c r="W1373" s="347">
        <v>3719.4380000000001</v>
      </c>
      <c r="X1373" s="14" t="s">
        <v>12</v>
      </c>
      <c r="Y1373" s="346" t="s">
        <v>413</v>
      </c>
      <c r="Z1373" s="14" t="str">
        <f>IF(ISBLANK(LCI_Table[[#This Row],[Notes for user]])," ",LCI_Table[[#This Row],[Notes for user]])</f>
        <v xml:space="preserve"> </v>
      </c>
      <c r="AA1373" s="14"/>
      <c r="AB1373" s="14"/>
      <c r="AC1373" s="346">
        <f ca="1">LCI_Table[[#This Row],[Default Calculated Value]]-LCI_Table[[#This Row],[Calculated Value]]</f>
        <v>0</v>
      </c>
    </row>
    <row r="1374" spans="1:29" x14ac:dyDescent="0.3">
      <c r="A13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(GREET)(blank)_Switchgrass_Farming_CaCO3CaCO3</v>
      </c>
      <c r="B1374" s="14" t="s">
        <v>133</v>
      </c>
      <c r="C1374" s="14" t="s">
        <v>129</v>
      </c>
      <c r="D1374" s="14" t="s">
        <v>194</v>
      </c>
      <c r="E1374" s="48" t="s">
        <v>1338</v>
      </c>
      <c r="F1374" s="48" t="s">
        <v>31</v>
      </c>
      <c r="G1374" s="14" t="b">
        <f>OR(LCI_Table[[#This Row],[Feedstock]]="All",LCI_Table[[#This Row],[Feedstock]]=SelectedFeedstock)</f>
        <v>0</v>
      </c>
      <c r="H1374" s="14" t="b">
        <f>OR(LCI_Table[[#This Row],[Conversion]]="All",LCI_Table[[#This Row],[Conversion]]=SelectedConversion)</f>
        <v>0</v>
      </c>
      <c r="I1374" s="14" t="b">
        <f>OR(LCI_Table[[#This Row],[Data Set]]="all",LCI_Table[[#This Row],[Data Set]]=SelectedDataSet)</f>
        <v>0</v>
      </c>
      <c r="J1374" s="14" t="b">
        <f>OR(LCI_Table[[#This Row],[Technology]]="All",LCI_Table[[#This Row],[Technology]]=SelectedTechnology)</f>
        <v>1</v>
      </c>
      <c r="K1374" s="14" t="b">
        <f>OR(LCI_Table[[#This Row],[Data Source]]="All",LCI_Table[[#This Row],[Data Source]]=SelectedDataSource)</f>
        <v>0</v>
      </c>
      <c r="L1374" s="14" t="b">
        <f>TRUE</f>
        <v>1</v>
      </c>
      <c r="M1374" s="14" t="b">
        <f>(LCI_Table[[#This Row],[Dev Notes]]="Do not display")</f>
        <v>0</v>
      </c>
      <c r="N1374" s="14" t="b">
        <f>AND(LCI_Table[[#This Row],[Show Feedstock]:[Conditional]],NOT(LCI_Table[[#This Row],[Hide Row]]))</f>
        <v>0</v>
      </c>
      <c r="O1374" s="14" t="b">
        <f>LCI_Table[[#This Row],[GREET1 Name Range]]=""</f>
        <v>0</v>
      </c>
      <c r="P1374" s="14" t="s">
        <v>14</v>
      </c>
      <c r="Q1374" s="14" t="s">
        <v>807</v>
      </c>
      <c r="R1374" s="14" t="s">
        <v>141</v>
      </c>
      <c r="S1374" s="37" cm="1">
        <f t="array" aca="1" ref="S13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74" s="346" t="s">
        <v>1485</v>
      </c>
      <c r="U1374" s="347">
        <f ca="1">S1374/S1370*lb2g</f>
        <v>0</v>
      </c>
      <c r="V1374" s="347">
        <v>0</v>
      </c>
      <c r="W1374" s="347">
        <v>0</v>
      </c>
      <c r="X1374" s="14" t="s">
        <v>12</v>
      </c>
      <c r="Y1374" s="346" t="s">
        <v>413</v>
      </c>
      <c r="Z1374" s="14" t="str">
        <f>IF(ISBLANK(LCI_Table[[#This Row],[Notes for user]])," ",LCI_Table[[#This Row],[Notes for user]])</f>
        <v xml:space="preserve"> </v>
      </c>
      <c r="AA1374" s="14"/>
      <c r="AB1374" s="14"/>
      <c r="AC1374" s="346">
        <f ca="1">LCI_Table[[#This Row],[Default Calculated Value]]-LCI_Table[[#This Row],[Calculated Value]]</f>
        <v>0</v>
      </c>
    </row>
    <row r="1375" spans="1:29" x14ac:dyDescent="0.3">
      <c r="A13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(GREET)(blank)_Switchgrass_Farming_HerbicidesHerbicides</v>
      </c>
      <c r="B1375" s="14" t="s">
        <v>133</v>
      </c>
      <c r="C1375" s="14" t="s">
        <v>129</v>
      </c>
      <c r="D1375" s="14" t="s">
        <v>194</v>
      </c>
      <c r="E1375" s="48" t="s">
        <v>1338</v>
      </c>
      <c r="F1375" s="48" t="s">
        <v>31</v>
      </c>
      <c r="G1375" s="14" t="b">
        <f>OR(LCI_Table[[#This Row],[Feedstock]]="All",LCI_Table[[#This Row],[Feedstock]]=SelectedFeedstock)</f>
        <v>0</v>
      </c>
      <c r="H1375" s="14" t="b">
        <f>OR(LCI_Table[[#This Row],[Conversion]]="All",LCI_Table[[#This Row],[Conversion]]=SelectedConversion)</f>
        <v>0</v>
      </c>
      <c r="I1375" s="14" t="b">
        <f>OR(LCI_Table[[#This Row],[Data Set]]="all",LCI_Table[[#This Row],[Data Set]]=SelectedDataSet)</f>
        <v>0</v>
      </c>
      <c r="J1375" s="14" t="b">
        <f>OR(LCI_Table[[#This Row],[Technology]]="All",LCI_Table[[#This Row],[Technology]]=SelectedTechnology)</f>
        <v>1</v>
      </c>
      <c r="K1375" s="14" t="b">
        <f>OR(LCI_Table[[#This Row],[Data Source]]="All",LCI_Table[[#This Row],[Data Source]]=SelectedDataSource)</f>
        <v>0</v>
      </c>
      <c r="L1375" s="14" t="b">
        <f>TRUE</f>
        <v>1</v>
      </c>
      <c r="M1375" s="14" t="b">
        <f>(LCI_Table[[#This Row],[Dev Notes]]="Do not display")</f>
        <v>0</v>
      </c>
      <c r="N1375" s="14" t="b">
        <f>AND(LCI_Table[[#This Row],[Show Feedstock]:[Conditional]],NOT(LCI_Table[[#This Row],[Hide Row]]))</f>
        <v>0</v>
      </c>
      <c r="O1375" s="14" t="b">
        <f>LCI_Table[[#This Row],[GREET1 Name Range]]=""</f>
        <v>0</v>
      </c>
      <c r="P1375" s="14" t="s">
        <v>14</v>
      </c>
      <c r="Q1375" s="14" t="s">
        <v>813</v>
      </c>
      <c r="R1375" s="14" t="s">
        <v>356</v>
      </c>
      <c r="S1375" s="37" cm="1">
        <f t="array" aca="1" ref="S13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0.2973919457711548</v>
      </c>
      <c r="T1375" s="346" t="s">
        <v>1485</v>
      </c>
      <c r="U1375" s="347">
        <f ca="1">S1375/S1370*lb2g</f>
        <v>25.199444444444449</v>
      </c>
      <c r="V1375" s="347">
        <v>0.2973919457711548</v>
      </c>
      <c r="W1375" s="347">
        <v>25.199444444444449</v>
      </c>
      <c r="X1375" s="14" t="s">
        <v>12</v>
      </c>
      <c r="Y1375" s="346" t="s">
        <v>413</v>
      </c>
      <c r="Z1375" s="14" t="str">
        <f>IF(ISBLANK(LCI_Table[[#This Row],[Notes for user]])," ",LCI_Table[[#This Row],[Notes for user]])</f>
        <v xml:space="preserve"> </v>
      </c>
      <c r="AA1375" s="14"/>
      <c r="AB1375" s="14"/>
      <c r="AC1375" s="346">
        <f ca="1">LCI_Table[[#This Row],[Default Calculated Value]]-LCI_Table[[#This Row],[Calculated Value]]</f>
        <v>0</v>
      </c>
    </row>
    <row r="1376" spans="1:29" x14ac:dyDescent="0.3">
      <c r="A13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(GREET)(blank)_Switchgrass_Farming_InsecticideInsecticide</v>
      </c>
      <c r="B1376" s="14" t="s">
        <v>133</v>
      </c>
      <c r="C1376" s="14" t="s">
        <v>129</v>
      </c>
      <c r="D1376" s="14" t="s">
        <v>194</v>
      </c>
      <c r="E1376" s="48" t="s">
        <v>1338</v>
      </c>
      <c r="F1376" s="48" t="s">
        <v>31</v>
      </c>
      <c r="G1376" s="14" t="b">
        <f>OR(LCI_Table[[#This Row],[Feedstock]]="All",LCI_Table[[#This Row],[Feedstock]]=SelectedFeedstock)</f>
        <v>0</v>
      </c>
      <c r="H1376" s="14" t="b">
        <f>OR(LCI_Table[[#This Row],[Conversion]]="All",LCI_Table[[#This Row],[Conversion]]=SelectedConversion)</f>
        <v>0</v>
      </c>
      <c r="I1376" s="14" t="b">
        <f>OR(LCI_Table[[#This Row],[Data Set]]="all",LCI_Table[[#This Row],[Data Set]]=SelectedDataSet)</f>
        <v>0</v>
      </c>
      <c r="J1376" s="14" t="b">
        <f>OR(LCI_Table[[#This Row],[Technology]]="All",LCI_Table[[#This Row],[Technology]]=SelectedTechnology)</f>
        <v>1</v>
      </c>
      <c r="K1376" s="14" t="b">
        <f>OR(LCI_Table[[#This Row],[Data Source]]="All",LCI_Table[[#This Row],[Data Source]]=SelectedDataSource)</f>
        <v>0</v>
      </c>
      <c r="L1376" s="14" t="b">
        <f>TRUE</f>
        <v>1</v>
      </c>
      <c r="M1376" s="14" t="b">
        <f>(LCI_Table[[#This Row],[Dev Notes]]="Do not display")</f>
        <v>0</v>
      </c>
      <c r="N1376" s="14" t="b">
        <f>AND(LCI_Table[[#This Row],[Show Feedstock]:[Conditional]],NOT(LCI_Table[[#This Row],[Hide Row]]))</f>
        <v>0</v>
      </c>
      <c r="O1376" s="14" t="b">
        <f>LCI_Table[[#This Row],[GREET1 Name Range]]=""</f>
        <v>0</v>
      </c>
      <c r="P1376" s="14" t="s">
        <v>14</v>
      </c>
      <c r="Q1376" s="14" t="s">
        <v>814</v>
      </c>
      <c r="R1376" s="14" t="s">
        <v>114</v>
      </c>
      <c r="S1376" s="37" cm="1">
        <f t="array" aca="1" ref="S13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76" s="346" t="s">
        <v>1485</v>
      </c>
      <c r="U1376" s="347">
        <f ca="1">S1376/S1370*lb2g</f>
        <v>0</v>
      </c>
      <c r="V1376" s="347">
        <v>0</v>
      </c>
      <c r="W1376" s="347">
        <v>0</v>
      </c>
      <c r="X1376" s="14" t="s">
        <v>12</v>
      </c>
      <c r="Y1376" s="346" t="s">
        <v>413</v>
      </c>
      <c r="Z1376" s="14" t="str">
        <f>IF(ISBLANK(LCI_Table[[#This Row],[Notes for user]])," ",LCI_Table[[#This Row],[Notes for user]])</f>
        <v xml:space="preserve"> </v>
      </c>
      <c r="AA1376" s="14"/>
      <c r="AB1376" s="14"/>
      <c r="AC1376" s="346">
        <f ca="1">LCI_Table[[#This Row],[Default Calculated Value]]-LCI_Table[[#This Row],[Calculated Value]]</f>
        <v>0</v>
      </c>
    </row>
    <row r="1377" spans="1:29" x14ac:dyDescent="0.3">
      <c r="A13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(GREET)(blank)_Switchgrass_Farming_HDPEHDPE</v>
      </c>
      <c r="B1377" s="14" t="s">
        <v>133</v>
      </c>
      <c r="C1377" s="14" t="s">
        <v>129</v>
      </c>
      <c r="D1377" s="14" t="s">
        <v>194</v>
      </c>
      <c r="E1377" s="48" t="s">
        <v>1338</v>
      </c>
      <c r="F1377" s="48" t="s">
        <v>31</v>
      </c>
      <c r="G1377" s="14" t="b">
        <f>OR(LCI_Table[[#This Row],[Feedstock]]="All",LCI_Table[[#This Row],[Feedstock]]=SelectedFeedstock)</f>
        <v>0</v>
      </c>
      <c r="H1377" s="14" t="b">
        <f>OR(LCI_Table[[#This Row],[Conversion]]="All",LCI_Table[[#This Row],[Conversion]]=SelectedConversion)</f>
        <v>0</v>
      </c>
      <c r="I1377" s="14" t="b">
        <f>OR(LCI_Table[[#This Row],[Data Set]]="all",LCI_Table[[#This Row],[Data Set]]=SelectedDataSet)</f>
        <v>0</v>
      </c>
      <c r="J1377" s="14" t="b">
        <f>OR(LCI_Table[[#This Row],[Technology]]="All",LCI_Table[[#This Row],[Technology]]=SelectedTechnology)</f>
        <v>1</v>
      </c>
      <c r="K1377" s="14" t="b">
        <f>OR(LCI_Table[[#This Row],[Data Source]]="All",LCI_Table[[#This Row],[Data Source]]=SelectedDataSource)</f>
        <v>0</v>
      </c>
      <c r="L1377" s="14" t="b">
        <f>TRUE</f>
        <v>1</v>
      </c>
      <c r="M1377" s="14" t="b">
        <f>(LCI_Table[[#This Row],[Dev Notes]]="Do not display")</f>
        <v>0</v>
      </c>
      <c r="N1377" s="14" t="b">
        <f>AND(LCI_Table[[#This Row],[Show Feedstock]:[Conditional]],NOT(LCI_Table[[#This Row],[Hide Row]]))</f>
        <v>0</v>
      </c>
      <c r="O1377" s="14" t="b">
        <f>LCI_Table[[#This Row],[GREET1 Name Range]]=""</f>
        <v>0</v>
      </c>
      <c r="P1377" s="14" t="s">
        <v>14</v>
      </c>
      <c r="Q1377" s="14" t="s">
        <v>812</v>
      </c>
      <c r="R1377" s="14" t="s">
        <v>357</v>
      </c>
      <c r="S1377" s="37" cm="1">
        <f t="array" aca="1" ref="S13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77" s="346" t="s">
        <v>1485</v>
      </c>
      <c r="U1377" s="347">
        <f ca="1">S1377/S1370*lb2g</f>
        <v>0</v>
      </c>
      <c r="V1377" s="347">
        <v>0</v>
      </c>
      <c r="W1377" s="347">
        <v>0</v>
      </c>
      <c r="X1377" s="14" t="s">
        <v>12</v>
      </c>
      <c r="Y1377" s="346" t="s">
        <v>413</v>
      </c>
      <c r="Z1377" s="14" t="str">
        <f>IF(ISBLANK(LCI_Table[[#This Row],[Notes for user]])," ",LCI_Table[[#This Row],[Notes for user]])</f>
        <v xml:space="preserve"> </v>
      </c>
      <c r="AA1377" s="14"/>
      <c r="AB1377" s="14"/>
      <c r="AC1377" s="346">
        <f ca="1">LCI_Table[[#This Row],[Default Calculated Value]]-LCI_Table[[#This Row],[Calculated Value]]</f>
        <v>0</v>
      </c>
    </row>
    <row r="1378" spans="1:29" x14ac:dyDescent="0.3">
      <c r="A13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(GREET)(blank)_Switchgrass_Farming_Residual_oilResidual oil</v>
      </c>
      <c r="B1378" s="14" t="s">
        <v>133</v>
      </c>
      <c r="C1378" s="14" t="s">
        <v>129</v>
      </c>
      <c r="D1378" s="14" t="s">
        <v>194</v>
      </c>
      <c r="E1378" s="48" t="s">
        <v>1338</v>
      </c>
      <c r="F1378" s="48" t="s">
        <v>31</v>
      </c>
      <c r="G1378" s="14" t="b">
        <f>OR(LCI_Table[[#This Row],[Feedstock]]="All",LCI_Table[[#This Row],[Feedstock]]=SelectedFeedstock)</f>
        <v>0</v>
      </c>
      <c r="H1378" s="14" t="b">
        <f>OR(LCI_Table[[#This Row],[Conversion]]="All",LCI_Table[[#This Row],[Conversion]]=SelectedConversion)</f>
        <v>0</v>
      </c>
      <c r="I1378" s="14" t="b">
        <f>OR(LCI_Table[[#This Row],[Data Set]]="all",LCI_Table[[#This Row],[Data Set]]=SelectedDataSet)</f>
        <v>0</v>
      </c>
      <c r="J1378" s="14" t="b">
        <f>OR(LCI_Table[[#This Row],[Technology]]="All",LCI_Table[[#This Row],[Technology]]=SelectedTechnology)</f>
        <v>1</v>
      </c>
      <c r="K1378" s="14" t="b">
        <f>OR(LCI_Table[[#This Row],[Data Source]]="All",LCI_Table[[#This Row],[Data Source]]=SelectedDataSource)</f>
        <v>0</v>
      </c>
      <c r="L1378" s="14" t="b">
        <f>TRUE</f>
        <v>1</v>
      </c>
      <c r="M1378" s="14" t="b">
        <f>(LCI_Table[[#This Row],[Dev Notes]]="Do not display")</f>
        <v>0</v>
      </c>
      <c r="N1378" s="14" t="b">
        <f>AND(LCI_Table[[#This Row],[Show Feedstock]:[Conditional]],NOT(LCI_Table[[#This Row],[Hide Row]]))</f>
        <v>0</v>
      </c>
      <c r="O1378" s="14" t="b">
        <f>LCI_Table[[#This Row],[GREET1 Name Range]]=""</f>
        <v>0</v>
      </c>
      <c r="P1378" s="14" t="s">
        <v>14</v>
      </c>
      <c r="Q1378" s="14" t="s">
        <v>820</v>
      </c>
      <c r="R1378" s="14" t="s">
        <v>115</v>
      </c>
      <c r="S1378" s="37" cm="1">
        <f t="array" aca="1" ref="S13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78" s="346" t="s">
        <v>1484</v>
      </c>
      <c r="U1378" s="347">
        <f ca="1">S1378*Fuel_Specs!$B$28/S1370</f>
        <v>0</v>
      </c>
      <c r="V1378" s="347">
        <v>0</v>
      </c>
      <c r="W1378" s="347">
        <v>0</v>
      </c>
      <c r="X1378" s="14" t="s">
        <v>5</v>
      </c>
      <c r="Y1378" s="346" t="s">
        <v>413</v>
      </c>
      <c r="Z1378" s="14" t="str">
        <f>IF(ISBLANK(LCI_Table[[#This Row],[Notes for user]])," ",LCI_Table[[#This Row],[Notes for user]])</f>
        <v xml:space="preserve"> </v>
      </c>
      <c r="AA1378" s="14"/>
      <c r="AB1378" s="14"/>
      <c r="AC1378" s="346">
        <f ca="1">LCI_Table[[#This Row],[Default Calculated Value]]-LCI_Table[[#This Row],[Calculated Value]]</f>
        <v>0</v>
      </c>
    </row>
    <row r="1379" spans="1:29" x14ac:dyDescent="0.3">
      <c r="A13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(GREET)(blank)_Switchgrass_Farming_DieselDiesel</v>
      </c>
      <c r="B1379" s="14" t="s">
        <v>133</v>
      </c>
      <c r="C1379" s="14" t="s">
        <v>129</v>
      </c>
      <c r="D1379" s="14" t="s">
        <v>194</v>
      </c>
      <c r="E1379" s="48" t="s">
        <v>1338</v>
      </c>
      <c r="F1379" s="48" t="s">
        <v>31</v>
      </c>
      <c r="G1379" s="14" t="b">
        <f>OR(LCI_Table[[#This Row],[Feedstock]]="All",LCI_Table[[#This Row],[Feedstock]]=SelectedFeedstock)</f>
        <v>0</v>
      </c>
      <c r="H1379" s="14" t="b">
        <f>OR(LCI_Table[[#This Row],[Conversion]]="All",LCI_Table[[#This Row],[Conversion]]=SelectedConversion)</f>
        <v>0</v>
      </c>
      <c r="I1379" s="14" t="b">
        <f>OR(LCI_Table[[#This Row],[Data Set]]="all",LCI_Table[[#This Row],[Data Set]]=SelectedDataSet)</f>
        <v>0</v>
      </c>
      <c r="J1379" s="14" t="b">
        <f>OR(LCI_Table[[#This Row],[Technology]]="All",LCI_Table[[#This Row],[Technology]]=SelectedTechnology)</f>
        <v>1</v>
      </c>
      <c r="K1379" s="14" t="b">
        <f>OR(LCI_Table[[#This Row],[Data Source]]="All",LCI_Table[[#This Row],[Data Source]]=SelectedDataSource)</f>
        <v>0</v>
      </c>
      <c r="L1379" s="14" t="b">
        <f>TRUE</f>
        <v>1</v>
      </c>
      <c r="M1379" s="14" t="b">
        <f>(LCI_Table[[#This Row],[Dev Notes]]="Do not display")</f>
        <v>0</v>
      </c>
      <c r="N1379" s="14" t="b">
        <f>AND(LCI_Table[[#This Row],[Show Feedstock]:[Conditional]],NOT(LCI_Table[[#This Row],[Hide Row]]))</f>
        <v>0</v>
      </c>
      <c r="O1379" s="14" t="b">
        <f>LCI_Table[[#This Row],[GREET1 Name Range]]=""</f>
        <v>0</v>
      </c>
      <c r="P1379" s="14" t="s">
        <v>14</v>
      </c>
      <c r="Q1379" s="14" t="s">
        <v>809</v>
      </c>
      <c r="R1379" s="14" t="s">
        <v>106</v>
      </c>
      <c r="S1379" s="37" cm="1">
        <f t="array" aca="1" ref="S13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2.6095817813682958</v>
      </c>
      <c r="T1379" s="346" t="s">
        <v>1484</v>
      </c>
      <c r="U1379" s="347">
        <f ca="1">S1379*Fuel_Specs!$B$19/S1370</f>
        <v>62618.266935831583</v>
      </c>
      <c r="V1379" s="347">
        <v>2.6095817813682958</v>
      </c>
      <c r="W1379" s="347">
        <v>62618.266935831583</v>
      </c>
      <c r="X1379" s="14" t="s">
        <v>5</v>
      </c>
      <c r="Y1379" s="346" t="s">
        <v>413</v>
      </c>
      <c r="Z1379" s="14" t="str">
        <f>IF(ISBLANK(LCI_Table[[#This Row],[Notes for user]])," ",LCI_Table[[#This Row],[Notes for user]])</f>
        <v xml:space="preserve"> </v>
      </c>
      <c r="AA1379" s="14"/>
      <c r="AB1379" s="14"/>
      <c r="AC1379" s="346">
        <f ca="1">LCI_Table[[#This Row],[Default Calculated Value]]-LCI_Table[[#This Row],[Calculated Value]]</f>
        <v>0</v>
      </c>
    </row>
    <row r="1380" spans="1:29" x14ac:dyDescent="0.3">
      <c r="A13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(GREET)(blank)_Switchgrass_Farming_GasolineGasoline</v>
      </c>
      <c r="B1380" s="14" t="s">
        <v>133</v>
      </c>
      <c r="C1380" s="14" t="s">
        <v>129</v>
      </c>
      <c r="D1380" s="14" t="s">
        <v>194</v>
      </c>
      <c r="E1380" s="48" t="s">
        <v>1338</v>
      </c>
      <c r="F1380" s="48" t="s">
        <v>31</v>
      </c>
      <c r="G1380" s="14" t="b">
        <f>OR(LCI_Table[[#This Row],[Feedstock]]="All",LCI_Table[[#This Row],[Feedstock]]=SelectedFeedstock)</f>
        <v>0</v>
      </c>
      <c r="H1380" s="14" t="b">
        <f>OR(LCI_Table[[#This Row],[Conversion]]="All",LCI_Table[[#This Row],[Conversion]]=SelectedConversion)</f>
        <v>0</v>
      </c>
      <c r="I1380" s="14" t="b">
        <f>OR(LCI_Table[[#This Row],[Data Set]]="all",LCI_Table[[#This Row],[Data Set]]=SelectedDataSet)</f>
        <v>0</v>
      </c>
      <c r="J1380" s="14" t="b">
        <f>OR(LCI_Table[[#This Row],[Technology]]="All",LCI_Table[[#This Row],[Technology]]=SelectedTechnology)</f>
        <v>1</v>
      </c>
      <c r="K1380" s="14" t="b">
        <f>OR(LCI_Table[[#This Row],[Data Source]]="All",LCI_Table[[#This Row],[Data Source]]=SelectedDataSource)</f>
        <v>0</v>
      </c>
      <c r="L1380" s="14" t="b">
        <f>TRUE</f>
        <v>1</v>
      </c>
      <c r="M1380" s="14" t="b">
        <f>(LCI_Table[[#This Row],[Dev Notes]]="Do not display")</f>
        <v>0</v>
      </c>
      <c r="N1380" s="14" t="b">
        <f>AND(LCI_Table[[#This Row],[Show Feedstock]:[Conditional]],NOT(LCI_Table[[#This Row],[Hide Row]]))</f>
        <v>0</v>
      </c>
      <c r="O1380" s="14" t="b">
        <f>LCI_Table[[#This Row],[GREET1 Name Range]]=""</f>
        <v>0</v>
      </c>
      <c r="P1380" s="14" t="s">
        <v>14</v>
      </c>
      <c r="Q1380" s="14" t="s">
        <v>811</v>
      </c>
      <c r="R1380" s="14" t="s">
        <v>107</v>
      </c>
      <c r="S1380" s="37" cm="1">
        <f t="array" aca="1" ref="S13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80" s="346" t="s">
        <v>1484</v>
      </c>
      <c r="U1380" s="347">
        <f ca="1">S1380*Fuel_Specs!$B$15/S1370</f>
        <v>0</v>
      </c>
      <c r="V1380" s="347">
        <v>0</v>
      </c>
      <c r="W1380" s="347">
        <v>0</v>
      </c>
      <c r="X1380" s="14" t="s">
        <v>5</v>
      </c>
      <c r="Y1380" s="346" t="s">
        <v>413</v>
      </c>
      <c r="Z1380" s="14" t="str">
        <f>IF(ISBLANK(LCI_Table[[#This Row],[Notes for user]])," ",LCI_Table[[#This Row],[Notes for user]])</f>
        <v xml:space="preserve"> </v>
      </c>
      <c r="AA1380" s="14"/>
      <c r="AB1380" s="14"/>
      <c r="AC1380" s="346">
        <f ca="1">LCI_Table[[#This Row],[Default Calculated Value]]-LCI_Table[[#This Row],[Calculated Value]]</f>
        <v>0</v>
      </c>
    </row>
    <row r="1381" spans="1:29" x14ac:dyDescent="0.3">
      <c r="A13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(GREET)(blank)_Switchgrass_Farming_Natural_gasNatural gas</v>
      </c>
      <c r="B1381" s="14" t="s">
        <v>133</v>
      </c>
      <c r="C1381" s="14" t="s">
        <v>129</v>
      </c>
      <c r="D1381" s="14" t="s">
        <v>194</v>
      </c>
      <c r="E1381" s="48" t="s">
        <v>1338</v>
      </c>
      <c r="F1381" s="48" t="s">
        <v>31</v>
      </c>
      <c r="G1381" s="14" t="b">
        <f>OR(LCI_Table[[#This Row],[Feedstock]]="All",LCI_Table[[#This Row],[Feedstock]]=SelectedFeedstock)</f>
        <v>0</v>
      </c>
      <c r="H1381" s="14" t="b">
        <f>OR(LCI_Table[[#This Row],[Conversion]]="All",LCI_Table[[#This Row],[Conversion]]=SelectedConversion)</f>
        <v>0</v>
      </c>
      <c r="I1381" s="14" t="b">
        <f>OR(LCI_Table[[#This Row],[Data Set]]="all",LCI_Table[[#This Row],[Data Set]]=SelectedDataSet)</f>
        <v>0</v>
      </c>
      <c r="J1381" s="14" t="b">
        <f>OR(LCI_Table[[#This Row],[Technology]]="All",LCI_Table[[#This Row],[Technology]]=SelectedTechnology)</f>
        <v>1</v>
      </c>
      <c r="K1381" s="14" t="b">
        <f>OR(LCI_Table[[#This Row],[Data Source]]="All",LCI_Table[[#This Row],[Data Source]]=SelectedDataSource)</f>
        <v>0</v>
      </c>
      <c r="L1381" s="14" t="b">
        <f>TRUE</f>
        <v>1</v>
      </c>
      <c r="M1381" s="14" t="b">
        <f>(LCI_Table[[#This Row],[Dev Notes]]="Do not display")</f>
        <v>0</v>
      </c>
      <c r="N1381" s="14" t="b">
        <f>AND(LCI_Table[[#This Row],[Show Feedstock]:[Conditional]],NOT(LCI_Table[[#This Row],[Hide Row]]))</f>
        <v>0</v>
      </c>
      <c r="O1381" s="14" t="b">
        <f>LCI_Table[[#This Row],[GREET1 Name Range]]=""</f>
        <v>0</v>
      </c>
      <c r="P1381" s="14" t="s">
        <v>14</v>
      </c>
      <c r="Q1381" s="14" t="s">
        <v>817</v>
      </c>
      <c r="R1381" s="14" t="s">
        <v>108</v>
      </c>
      <c r="S1381" s="37" cm="1">
        <f t="array" aca="1" ref="S13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81" s="346" t="s">
        <v>2109</v>
      </c>
      <c r="U1381" s="347">
        <f ca="1">S1381*Fuel_Specs!$B$79/S1370</f>
        <v>0</v>
      </c>
      <c r="V1381" s="347">
        <v>0</v>
      </c>
      <c r="W1381" s="347">
        <v>0</v>
      </c>
      <c r="X1381" s="14" t="s">
        <v>351</v>
      </c>
      <c r="Y1381" s="346" t="s">
        <v>413</v>
      </c>
      <c r="Z1381" s="14" t="str">
        <f>IF(ISBLANK(LCI_Table[[#This Row],[Notes for user]])," ",LCI_Table[[#This Row],[Notes for user]])</f>
        <v xml:space="preserve"> </v>
      </c>
      <c r="AA1381" s="14"/>
      <c r="AB1381" s="14"/>
      <c r="AC1381" s="346">
        <f ca="1">LCI_Table[[#This Row],[Default Calculated Value]]-LCI_Table[[#This Row],[Calculated Value]]</f>
        <v>0</v>
      </c>
    </row>
    <row r="1382" spans="1:29" x14ac:dyDescent="0.3">
      <c r="A13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(GREET)(blank)_Switchgrass_Farming_CoalCoal</v>
      </c>
      <c r="B1382" s="14" t="s">
        <v>133</v>
      </c>
      <c r="C1382" s="14" t="s">
        <v>129</v>
      </c>
      <c r="D1382" s="14" t="s">
        <v>194</v>
      </c>
      <c r="E1382" s="48" t="s">
        <v>1338</v>
      </c>
      <c r="F1382" s="48" t="s">
        <v>31</v>
      </c>
      <c r="G1382" s="14" t="b">
        <f>OR(LCI_Table[[#This Row],[Feedstock]]="All",LCI_Table[[#This Row],[Feedstock]]=SelectedFeedstock)</f>
        <v>0</v>
      </c>
      <c r="H1382" s="14" t="b">
        <f>OR(LCI_Table[[#This Row],[Conversion]]="All",LCI_Table[[#This Row],[Conversion]]=SelectedConversion)</f>
        <v>0</v>
      </c>
      <c r="I1382" s="14" t="b">
        <f>OR(LCI_Table[[#This Row],[Data Set]]="all",LCI_Table[[#This Row],[Data Set]]=SelectedDataSet)</f>
        <v>0</v>
      </c>
      <c r="J1382" s="14" t="b">
        <f>OR(LCI_Table[[#This Row],[Technology]]="All",LCI_Table[[#This Row],[Technology]]=SelectedTechnology)</f>
        <v>1</v>
      </c>
      <c r="K1382" s="14" t="b">
        <f>OR(LCI_Table[[#This Row],[Data Source]]="All",LCI_Table[[#This Row],[Data Source]]=SelectedDataSource)</f>
        <v>0</v>
      </c>
      <c r="L1382" s="14" t="b">
        <f>TRUE</f>
        <v>1</v>
      </c>
      <c r="M1382" s="14" t="b">
        <f>(LCI_Table[[#This Row],[Dev Notes]]="Do not display")</f>
        <v>0</v>
      </c>
      <c r="N1382" s="14" t="b">
        <f>AND(LCI_Table[[#This Row],[Show Feedstock]:[Conditional]],NOT(LCI_Table[[#This Row],[Hide Row]]))</f>
        <v>0</v>
      </c>
      <c r="O1382" s="14" t="b">
        <f>LCI_Table[[#This Row],[GREET1 Name Range]]=""</f>
        <v>0</v>
      </c>
      <c r="P1382" s="14" t="s">
        <v>14</v>
      </c>
      <c r="Q1382" s="14" t="s">
        <v>808</v>
      </c>
      <c r="R1382" s="14" t="s">
        <v>9</v>
      </c>
      <c r="S1382" s="37" cm="1">
        <f t="array" aca="1" ref="S13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82" s="346" t="s">
        <v>2110</v>
      </c>
      <c r="U1382" s="347">
        <f ca="1">S1382/S1370</f>
        <v>0</v>
      </c>
      <c r="V1382" s="347">
        <v>0</v>
      </c>
      <c r="W1382" s="347">
        <v>0</v>
      </c>
      <c r="X1382" s="14" t="s">
        <v>117</v>
      </c>
      <c r="Y1382" s="346" t="s">
        <v>413</v>
      </c>
      <c r="Z1382" s="14" t="str">
        <f>IF(ISBLANK(LCI_Table[[#This Row],[Notes for user]])," ",LCI_Table[[#This Row],[Notes for user]])</f>
        <v xml:space="preserve"> </v>
      </c>
      <c r="AA1382" s="14"/>
      <c r="AB1382" s="14"/>
      <c r="AC1382" s="346">
        <f ca="1">LCI_Table[[#This Row],[Default Calculated Value]]-LCI_Table[[#This Row],[Calculated Value]]</f>
        <v>0</v>
      </c>
    </row>
    <row r="1383" spans="1:29" x14ac:dyDescent="0.3">
      <c r="A13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(GREET)(blank)_Switchgrass_Farming_LPGLPG</v>
      </c>
      <c r="B1383" s="14" t="s">
        <v>133</v>
      </c>
      <c r="C1383" s="14" t="s">
        <v>129</v>
      </c>
      <c r="D1383" s="14" t="s">
        <v>194</v>
      </c>
      <c r="E1383" s="48" t="s">
        <v>1338</v>
      </c>
      <c r="F1383" s="48" t="s">
        <v>31</v>
      </c>
      <c r="G1383" s="14" t="b">
        <f>OR(LCI_Table[[#This Row],[Feedstock]]="All",LCI_Table[[#This Row],[Feedstock]]=SelectedFeedstock)</f>
        <v>0</v>
      </c>
      <c r="H1383" s="14" t="b">
        <f>OR(LCI_Table[[#This Row],[Conversion]]="All",LCI_Table[[#This Row],[Conversion]]=SelectedConversion)</f>
        <v>0</v>
      </c>
      <c r="I1383" s="14" t="b">
        <f>OR(LCI_Table[[#This Row],[Data Set]]="all",LCI_Table[[#This Row],[Data Set]]=SelectedDataSet)</f>
        <v>0</v>
      </c>
      <c r="J1383" s="14" t="b">
        <f>OR(LCI_Table[[#This Row],[Technology]]="All",LCI_Table[[#This Row],[Technology]]=SelectedTechnology)</f>
        <v>1</v>
      </c>
      <c r="K1383" s="14" t="b">
        <f>OR(LCI_Table[[#This Row],[Data Source]]="All",LCI_Table[[#This Row],[Data Source]]=SelectedDataSource)</f>
        <v>0</v>
      </c>
      <c r="L1383" s="14" t="b">
        <f>TRUE</f>
        <v>1</v>
      </c>
      <c r="M1383" s="14" t="b">
        <f>(LCI_Table[[#This Row],[Dev Notes]]="Do not display")</f>
        <v>0</v>
      </c>
      <c r="N1383" s="14" t="b">
        <f>AND(LCI_Table[[#This Row],[Show Feedstock]:[Conditional]],NOT(LCI_Table[[#This Row],[Hide Row]]))</f>
        <v>0</v>
      </c>
      <c r="O1383" s="14" t="b">
        <f>LCI_Table[[#This Row],[GREET1 Name Range]]=""</f>
        <v>0</v>
      </c>
      <c r="P1383" s="14" t="s">
        <v>14</v>
      </c>
      <c r="Q1383" s="14" t="s">
        <v>816</v>
      </c>
      <c r="R1383" s="14" t="s">
        <v>109</v>
      </c>
      <c r="S1383" s="37" cm="1">
        <f t="array" aca="1" ref="S13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83" s="346" t="s">
        <v>1484</v>
      </c>
      <c r="U1383" s="347">
        <f ca="1">S1383*Fuel_Specs!$B$35/S1370</f>
        <v>0</v>
      </c>
      <c r="V1383" s="347">
        <v>0</v>
      </c>
      <c r="W1383" s="347">
        <v>0</v>
      </c>
      <c r="X1383" s="14" t="s">
        <v>5</v>
      </c>
      <c r="Y1383" s="346" t="s">
        <v>413</v>
      </c>
      <c r="Z1383" s="14" t="str">
        <f>IF(ISBLANK(LCI_Table[[#This Row],[Notes for user]])," ",LCI_Table[[#This Row],[Notes for user]])</f>
        <v xml:space="preserve"> </v>
      </c>
      <c r="AA1383" s="14"/>
      <c r="AB1383" s="14"/>
      <c r="AC1383" s="346">
        <f ca="1">LCI_Table[[#This Row],[Default Calculated Value]]-LCI_Table[[#This Row],[Calculated Value]]</f>
        <v>0</v>
      </c>
    </row>
    <row r="1384" spans="1:29" x14ac:dyDescent="0.3">
      <c r="A13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(GREET)(blank)_Switchgrass_Farming_ElectricityElectricity</v>
      </c>
      <c r="B1384" s="14" t="s">
        <v>133</v>
      </c>
      <c r="C1384" s="14" t="s">
        <v>129</v>
      </c>
      <c r="D1384" s="14" t="s">
        <v>194</v>
      </c>
      <c r="E1384" s="48" t="s">
        <v>1338</v>
      </c>
      <c r="F1384" s="48" t="s">
        <v>31</v>
      </c>
      <c r="G1384" s="14" t="b">
        <f>OR(LCI_Table[[#This Row],[Feedstock]]="All",LCI_Table[[#This Row],[Feedstock]]=SelectedFeedstock)</f>
        <v>0</v>
      </c>
      <c r="H1384" s="14" t="b">
        <f>OR(LCI_Table[[#This Row],[Conversion]]="All",LCI_Table[[#This Row],[Conversion]]=SelectedConversion)</f>
        <v>0</v>
      </c>
      <c r="I1384" s="14" t="b">
        <f>OR(LCI_Table[[#This Row],[Data Set]]="all",LCI_Table[[#This Row],[Data Set]]=SelectedDataSet)</f>
        <v>0</v>
      </c>
      <c r="J1384" s="14" t="b">
        <f>OR(LCI_Table[[#This Row],[Technology]]="All",LCI_Table[[#This Row],[Technology]]=SelectedTechnology)</f>
        <v>1</v>
      </c>
      <c r="K1384" s="14" t="b">
        <f>OR(LCI_Table[[#This Row],[Data Source]]="All",LCI_Table[[#This Row],[Data Source]]=SelectedDataSource)</f>
        <v>0</v>
      </c>
      <c r="L1384" s="14" t="b">
        <f>TRUE</f>
        <v>1</v>
      </c>
      <c r="M1384" s="14" t="b">
        <f>(LCI_Table[[#This Row],[Dev Notes]]="Do not display")</f>
        <v>0</v>
      </c>
      <c r="N1384" s="14" t="b">
        <f>AND(LCI_Table[[#This Row],[Show Feedstock]:[Conditional]],NOT(LCI_Table[[#This Row],[Hide Row]]))</f>
        <v>0</v>
      </c>
      <c r="O1384" s="14" t="b">
        <f>LCI_Table[[#This Row],[GREET1 Name Range]]=""</f>
        <v>0</v>
      </c>
      <c r="P1384" s="14" t="s">
        <v>14</v>
      </c>
      <c r="Q1384" s="14" t="s">
        <v>810</v>
      </c>
      <c r="R1384" s="348" t="s">
        <v>110</v>
      </c>
      <c r="S1384" s="37" cm="1">
        <f t="array" aca="1" ref="S13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7.6218867170308631</v>
      </c>
      <c r="T1384" s="346" t="s">
        <v>1561</v>
      </c>
      <c r="U1384" s="347">
        <f ca="1">S1384/BTU2kWh/S1370</f>
        <v>4858.3138139869334</v>
      </c>
      <c r="V1384" s="347">
        <v>7.6218867170308631</v>
      </c>
      <c r="W1384" s="347">
        <v>4858.3138139869334</v>
      </c>
      <c r="X1384" s="14" t="s">
        <v>51</v>
      </c>
      <c r="Y1384" s="346" t="s">
        <v>413</v>
      </c>
      <c r="Z1384" s="14" t="str">
        <f>IF(ISBLANK(LCI_Table[[#This Row],[Notes for user]])," ",LCI_Table[[#This Row],[Notes for user]])</f>
        <v xml:space="preserve"> </v>
      </c>
      <c r="AA1384" s="14"/>
      <c r="AB1384" s="14"/>
      <c r="AC1384" s="346">
        <f ca="1">LCI_Table[[#This Row],[Default Calculated Value]]-LCI_Table[[#This Row],[Calculated Value]]</f>
        <v>0</v>
      </c>
    </row>
    <row r="1385" spans="1:29" x14ac:dyDescent="0.3">
      <c r="A13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(GREET)(blank)_Switchgrass_FT_efficiencySwitchgrass</v>
      </c>
      <c r="B1385" s="14" t="s">
        <v>133</v>
      </c>
      <c r="C1385" s="14" t="s">
        <v>129</v>
      </c>
      <c r="D1385" s="14" t="s">
        <v>194</v>
      </c>
      <c r="E1385" s="48" t="s">
        <v>1338</v>
      </c>
      <c r="F1385" s="48" t="s">
        <v>31</v>
      </c>
      <c r="G1385" s="14" t="b">
        <f>OR(LCI_Table[[#This Row],[Feedstock]]="All",LCI_Table[[#This Row],[Feedstock]]=SelectedFeedstock)</f>
        <v>0</v>
      </c>
      <c r="H1385" s="14" t="b">
        <f>OR(LCI_Table[[#This Row],[Conversion]]="All",LCI_Table[[#This Row],[Conversion]]=SelectedConversion)</f>
        <v>0</v>
      </c>
      <c r="I1385" s="14" t="b">
        <f>OR(LCI_Table[[#This Row],[Data Set]]="all",LCI_Table[[#This Row],[Data Set]]=SelectedDataSet)</f>
        <v>0</v>
      </c>
      <c r="J1385" s="14" t="b">
        <f>OR(LCI_Table[[#This Row],[Technology]]="All",LCI_Table[[#This Row],[Technology]]=SelectedTechnology)</f>
        <v>1</v>
      </c>
      <c r="K1385" s="14" t="b">
        <f>OR(LCI_Table[[#This Row],[Data Source]]="All",LCI_Table[[#This Row],[Data Source]]=SelectedDataSource)</f>
        <v>0</v>
      </c>
      <c r="L1385" s="14" t="b">
        <f>TRUE</f>
        <v>1</v>
      </c>
      <c r="M1385" s="14" t="b">
        <f>(LCI_Table[[#This Row],[Dev Notes]]="Do not display")</f>
        <v>0</v>
      </c>
      <c r="N1385" s="14" t="b">
        <f>AND(LCI_Table[[#This Row],[Show Feedstock]:[Conditional]],NOT(LCI_Table[[#This Row],[Hide Row]]))</f>
        <v>0</v>
      </c>
      <c r="O1385" s="14" t="b">
        <f>LCI_Table[[#This Row],[GREET1 Name Range]]=""</f>
        <v>0</v>
      </c>
      <c r="P1385" s="14" t="s">
        <v>1448</v>
      </c>
      <c r="Q1385" s="14" t="s">
        <v>936</v>
      </c>
      <c r="R1385" s="14" t="s">
        <v>133</v>
      </c>
      <c r="S1385" s="37" cm="1">
        <f t="array" aca="1" ref="S13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0.13843704575344362</v>
      </c>
      <c r="T1385" s="346" t="s">
        <v>2125</v>
      </c>
      <c r="U1385" s="347">
        <f ca="1">1/(S1385*Fuel_Specs!$B$97*BTU2mmBTU)</f>
        <v>0.5</v>
      </c>
      <c r="V1385" s="347">
        <v>0.13843704575344362</v>
      </c>
      <c r="W1385" s="347">
        <v>0.5</v>
      </c>
      <c r="X1385" s="37" t="s">
        <v>55</v>
      </c>
      <c r="Y1385" s="346" t="s">
        <v>416</v>
      </c>
      <c r="Z1385" s="14" t="str">
        <f>IF(ISBLANK(LCI_Table[[#This Row],[Notes for user]])," ",LCI_Table[[#This Row],[Notes for user]])</f>
        <v xml:space="preserve"> </v>
      </c>
      <c r="AA1385" s="14"/>
      <c r="AB1385" s="14"/>
      <c r="AC1385" s="346">
        <f ca="1">LCI_Table[[#This Row],[Default Calculated Value]]-LCI_Table[[#This Row],[Calculated Value]]</f>
        <v>0</v>
      </c>
    </row>
    <row r="1386" spans="1:29" x14ac:dyDescent="0.3">
      <c r="A13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dash_SwitchgrassFTICAOJRC (E3)(blank)_Yield_Farming</v>
      </c>
      <c r="B1386" s="48" t="s">
        <v>133</v>
      </c>
      <c r="C1386" s="48" t="s">
        <v>129</v>
      </c>
      <c r="D1386" s="48" t="s">
        <v>194</v>
      </c>
      <c r="E1386" s="48" t="s">
        <v>1336</v>
      </c>
      <c r="F1386" s="48" t="s">
        <v>31</v>
      </c>
      <c r="G1386" s="14" t="b">
        <f>OR(LCI_Table[[#This Row],[Feedstock]]="All",LCI_Table[[#This Row],[Feedstock]]=SelectedFeedstock)</f>
        <v>0</v>
      </c>
      <c r="H1386" s="14" t="b">
        <f>OR(LCI_Table[[#This Row],[Conversion]]="All",LCI_Table[[#This Row],[Conversion]]=SelectedConversion)</f>
        <v>0</v>
      </c>
      <c r="I1386" s="14" t="b">
        <f>OR(LCI_Table[[#This Row],[Data Set]]="all",LCI_Table[[#This Row],[Data Set]]=SelectedDataSet)</f>
        <v>0</v>
      </c>
      <c r="J1386" s="14" t="b">
        <f>OR(LCI_Table[[#This Row],[Technology]]="All",LCI_Table[[#This Row],[Technology]]=SelectedTechnology)</f>
        <v>1</v>
      </c>
      <c r="K1386" s="14" t="b">
        <f>OR(LCI_Table[[#This Row],[Data Source]]="All",LCI_Table[[#This Row],[Data Source]]=SelectedDataSource)</f>
        <v>0</v>
      </c>
      <c r="L1386" s="14" t="b">
        <f>TRUE</f>
        <v>1</v>
      </c>
      <c r="M1386" s="14" t="b">
        <f>(LCI_Table[[#This Row],[Dev Notes]]="Do not display")</f>
        <v>0</v>
      </c>
      <c r="N1386" s="14" t="b">
        <f>AND(LCI_Table[[#This Row],[Show Feedstock]:[Conditional]],NOT(LCI_Table[[#This Row],[Hide Row]]))</f>
        <v>0</v>
      </c>
      <c r="O1386" s="14" t="b">
        <f>LCI_Table[[#This Row],[GREET1 Name Range]]=""</f>
        <v>1</v>
      </c>
      <c r="P1386" s="48" t="s">
        <v>14</v>
      </c>
      <c r="Q1386" s="14" t="s">
        <v>361</v>
      </c>
      <c r="R1386" s="48" t="s">
        <v>200</v>
      </c>
      <c r="S1386" s="37" cm="1">
        <f t="array" aca="1" ref="S13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5.4802187145974912</v>
      </c>
      <c r="T1386" s="346" t="s">
        <v>2116</v>
      </c>
      <c r="U1386" s="344"/>
      <c r="V1386" s="344">
        <v>5.4802187145974912</v>
      </c>
      <c r="W1386" s="344"/>
      <c r="X1386" s="48" t="s">
        <v>55</v>
      </c>
      <c r="Y1386" s="346" t="s">
        <v>413</v>
      </c>
      <c r="Z1386" s="14" t="str">
        <f>IF(ISBLANK(LCI_Table[[#This Row],[Notes for user]])," ",LCI_Table[[#This Row],[Notes for user]])</f>
        <v xml:space="preserve"> </v>
      </c>
      <c r="AA1386" s="48"/>
      <c r="AB1386" s="345"/>
      <c r="AC1386" s="346">
        <f>LCI_Table[[#This Row],[Default Calculated Value]]-LCI_Table[[#This Row],[Calculated Value]]</f>
        <v>0</v>
      </c>
    </row>
    <row r="1387" spans="1:29" x14ac:dyDescent="0.3">
      <c r="A13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(E3)(blank)_Switchgrass_Farming_Nitrogen_fertilizerNitrogen fertilizer</v>
      </c>
      <c r="B1387" s="14" t="s">
        <v>133</v>
      </c>
      <c r="C1387" s="14" t="s">
        <v>129</v>
      </c>
      <c r="D1387" s="14" t="s">
        <v>194</v>
      </c>
      <c r="E1387" s="48" t="s">
        <v>1336</v>
      </c>
      <c r="F1387" s="48" t="s">
        <v>31</v>
      </c>
      <c r="G1387" s="14" t="b">
        <f>OR(LCI_Table[[#This Row],[Feedstock]]="All",LCI_Table[[#This Row],[Feedstock]]=SelectedFeedstock)</f>
        <v>0</v>
      </c>
      <c r="H1387" s="14" t="b">
        <f>OR(LCI_Table[[#This Row],[Conversion]]="All",LCI_Table[[#This Row],[Conversion]]=SelectedConversion)</f>
        <v>0</v>
      </c>
      <c r="I1387" s="14" t="b">
        <f>OR(LCI_Table[[#This Row],[Data Set]]="all",LCI_Table[[#This Row],[Data Set]]=SelectedDataSet)</f>
        <v>0</v>
      </c>
      <c r="J1387" s="14" t="b">
        <f>OR(LCI_Table[[#This Row],[Technology]]="All",LCI_Table[[#This Row],[Technology]]=SelectedTechnology)</f>
        <v>1</v>
      </c>
      <c r="K1387" s="14" t="b">
        <f>OR(LCI_Table[[#This Row],[Data Source]]="All",LCI_Table[[#This Row],[Data Source]]=SelectedDataSource)</f>
        <v>0</v>
      </c>
      <c r="L1387" s="14" t="b">
        <f>TRUE</f>
        <v>1</v>
      </c>
      <c r="M1387" s="14" t="b">
        <f>(LCI_Table[[#This Row],[Dev Notes]]="Do not display")</f>
        <v>0</v>
      </c>
      <c r="N1387" s="14" t="b">
        <f>AND(LCI_Table[[#This Row],[Show Feedstock]:[Conditional]],NOT(LCI_Table[[#This Row],[Hide Row]]))</f>
        <v>0</v>
      </c>
      <c r="O1387" s="14" t="b">
        <f>LCI_Table[[#This Row],[GREET1 Name Range]]=""</f>
        <v>0</v>
      </c>
      <c r="P1387" s="14" t="s">
        <v>14</v>
      </c>
      <c r="Q1387" s="14" t="s">
        <v>818</v>
      </c>
      <c r="R1387" s="14" t="s">
        <v>111</v>
      </c>
      <c r="S1387" s="37" cm="1">
        <f t="array" aca="1" ref="S13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55.89823088889441</v>
      </c>
      <c r="T1387" s="346" t="s">
        <v>1485</v>
      </c>
      <c r="U1387" s="347">
        <f ca="1">S1387/S1386*lb2g</f>
        <v>4626.6421739999996</v>
      </c>
      <c r="V1387" s="347">
        <v>55.89823088889441</v>
      </c>
      <c r="W1387" s="347">
        <v>4626.6421739999996</v>
      </c>
      <c r="X1387" s="14" t="s">
        <v>12</v>
      </c>
      <c r="Y1387" s="346" t="s">
        <v>413</v>
      </c>
      <c r="Z1387" s="14" t="str">
        <f>IF(ISBLANK(LCI_Table[[#This Row],[Notes for user]])," ",LCI_Table[[#This Row],[Notes for user]])</f>
        <v xml:space="preserve"> </v>
      </c>
      <c r="AA1387" s="14"/>
      <c r="AB1387" s="14"/>
      <c r="AC1387" s="346">
        <f ca="1">LCI_Table[[#This Row],[Default Calculated Value]]-LCI_Table[[#This Row],[Calculated Value]]</f>
        <v>0</v>
      </c>
    </row>
    <row r="1388" spans="1:29" x14ac:dyDescent="0.3">
      <c r="A13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(E3)(blank)_Switchgrass_Farming_P2O5P2O5</v>
      </c>
      <c r="B1388" s="348" t="s">
        <v>133</v>
      </c>
      <c r="C1388" s="348" t="s">
        <v>129</v>
      </c>
      <c r="D1388" s="14" t="s">
        <v>194</v>
      </c>
      <c r="E1388" s="48" t="s">
        <v>1336</v>
      </c>
      <c r="F1388" s="48" t="s">
        <v>31</v>
      </c>
      <c r="G1388" s="14" t="b">
        <f>OR(LCI_Table[[#This Row],[Feedstock]]="All",LCI_Table[[#This Row],[Feedstock]]=SelectedFeedstock)</f>
        <v>0</v>
      </c>
      <c r="H1388" s="14" t="b">
        <f>OR(LCI_Table[[#This Row],[Conversion]]="All",LCI_Table[[#This Row],[Conversion]]=SelectedConversion)</f>
        <v>0</v>
      </c>
      <c r="I1388" s="14" t="b">
        <f>OR(LCI_Table[[#This Row],[Data Set]]="all",LCI_Table[[#This Row],[Data Set]]=SelectedDataSet)</f>
        <v>0</v>
      </c>
      <c r="J1388" s="14" t="b">
        <f>OR(LCI_Table[[#This Row],[Technology]]="All",LCI_Table[[#This Row],[Technology]]=SelectedTechnology)</f>
        <v>1</v>
      </c>
      <c r="K1388" s="14" t="b">
        <f>OR(LCI_Table[[#This Row],[Data Source]]="All",LCI_Table[[#This Row],[Data Source]]=SelectedDataSource)</f>
        <v>0</v>
      </c>
      <c r="L1388" s="14" t="b">
        <f>TRUE</f>
        <v>1</v>
      </c>
      <c r="M1388" s="14" t="b">
        <f>(LCI_Table[[#This Row],[Dev Notes]]="Do not display")</f>
        <v>0</v>
      </c>
      <c r="N1388" s="14" t="b">
        <f>AND(LCI_Table[[#This Row],[Show Feedstock]:[Conditional]],NOT(LCI_Table[[#This Row],[Hide Row]]))</f>
        <v>0</v>
      </c>
      <c r="O1388" s="14" t="b">
        <f>LCI_Table[[#This Row],[GREET1 Name Range]]=""</f>
        <v>0</v>
      </c>
      <c r="P1388" s="14" t="s">
        <v>14</v>
      </c>
      <c r="Q1388" s="14" t="s">
        <v>819</v>
      </c>
      <c r="R1388" s="14" t="s">
        <v>112</v>
      </c>
      <c r="S1388" s="37" cm="1">
        <f t="array" aca="1" ref="S13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3.2881312287584947</v>
      </c>
      <c r="T1388" s="346" t="s">
        <v>1485</v>
      </c>
      <c r="U1388" s="347">
        <f ca="1">S1388/S1386*lb2g</f>
        <v>272.15542199999999</v>
      </c>
      <c r="V1388" s="347">
        <v>3.2881312287584947</v>
      </c>
      <c r="W1388" s="347">
        <v>272.15542199999999</v>
      </c>
      <c r="X1388" s="14" t="s">
        <v>12</v>
      </c>
      <c r="Y1388" s="346" t="s">
        <v>413</v>
      </c>
      <c r="Z1388" s="14" t="str">
        <f>IF(ISBLANK(LCI_Table[[#This Row],[Notes for user]])," ",LCI_Table[[#This Row],[Notes for user]])</f>
        <v xml:space="preserve"> </v>
      </c>
      <c r="AA1388" s="14"/>
      <c r="AB1388" s="348"/>
      <c r="AC1388" s="346">
        <f ca="1">LCI_Table[[#This Row],[Default Calculated Value]]-LCI_Table[[#This Row],[Calculated Value]]</f>
        <v>0</v>
      </c>
    </row>
    <row r="1389" spans="1:29" x14ac:dyDescent="0.3">
      <c r="A13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(E3)(blank)_Switchgrass_Farming_K2OK2O</v>
      </c>
      <c r="B1389" s="14" t="s">
        <v>133</v>
      </c>
      <c r="C1389" s="14" t="s">
        <v>129</v>
      </c>
      <c r="D1389" s="14" t="s">
        <v>194</v>
      </c>
      <c r="E1389" s="48" t="s">
        <v>1336</v>
      </c>
      <c r="F1389" s="48" t="s">
        <v>31</v>
      </c>
      <c r="G1389" s="14" t="b">
        <f>OR(LCI_Table[[#This Row],[Feedstock]]="All",LCI_Table[[#This Row],[Feedstock]]=SelectedFeedstock)</f>
        <v>0</v>
      </c>
      <c r="H1389" s="14" t="b">
        <f>OR(LCI_Table[[#This Row],[Conversion]]="All",LCI_Table[[#This Row],[Conversion]]=SelectedConversion)</f>
        <v>0</v>
      </c>
      <c r="I1389" s="14" t="b">
        <f>OR(LCI_Table[[#This Row],[Data Set]]="all",LCI_Table[[#This Row],[Data Set]]=SelectedDataSet)</f>
        <v>0</v>
      </c>
      <c r="J1389" s="14" t="b">
        <f>OR(LCI_Table[[#This Row],[Technology]]="All",LCI_Table[[#This Row],[Technology]]=SelectedTechnology)</f>
        <v>1</v>
      </c>
      <c r="K1389" s="14" t="b">
        <f>OR(LCI_Table[[#This Row],[Data Source]]="All",LCI_Table[[#This Row],[Data Source]]=SelectedDataSource)</f>
        <v>0</v>
      </c>
      <c r="L1389" s="14" t="b">
        <f>TRUE</f>
        <v>1</v>
      </c>
      <c r="M1389" s="14" t="b">
        <f>(LCI_Table[[#This Row],[Dev Notes]]="Do not display")</f>
        <v>0</v>
      </c>
      <c r="N1389" s="14" t="b">
        <f>AND(LCI_Table[[#This Row],[Show Feedstock]:[Conditional]],NOT(LCI_Table[[#This Row],[Hide Row]]))</f>
        <v>0</v>
      </c>
      <c r="O1389" s="14" t="b">
        <f>LCI_Table[[#This Row],[GREET1 Name Range]]=""</f>
        <v>0</v>
      </c>
      <c r="P1389" s="14" t="s">
        <v>14</v>
      </c>
      <c r="Q1389" s="14" t="s">
        <v>815</v>
      </c>
      <c r="R1389" s="14" t="s">
        <v>113</v>
      </c>
      <c r="S1389" s="37" cm="1">
        <f t="array" aca="1" ref="S13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89" s="346" t="s">
        <v>1485</v>
      </c>
      <c r="U1389" s="347">
        <f ca="1">S1389/S1386*lb2g</f>
        <v>0</v>
      </c>
      <c r="V1389" s="347">
        <v>0</v>
      </c>
      <c r="W1389" s="347">
        <v>0</v>
      </c>
      <c r="X1389" s="14" t="s">
        <v>12</v>
      </c>
      <c r="Y1389" s="346" t="s">
        <v>413</v>
      </c>
      <c r="Z1389" s="14" t="str">
        <f>IF(ISBLANK(LCI_Table[[#This Row],[Notes for user]])," ",LCI_Table[[#This Row],[Notes for user]])</f>
        <v xml:space="preserve"> </v>
      </c>
      <c r="AA1389" s="14"/>
      <c r="AB1389" s="14"/>
      <c r="AC1389" s="346">
        <f ca="1">LCI_Table[[#This Row],[Default Calculated Value]]-LCI_Table[[#This Row],[Calculated Value]]</f>
        <v>0</v>
      </c>
    </row>
    <row r="1390" spans="1:29" x14ac:dyDescent="0.3">
      <c r="A13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(E3)(blank)_Switchgrass_Farming_CaCO3CaCO3</v>
      </c>
      <c r="B1390" s="14" t="s">
        <v>133</v>
      </c>
      <c r="C1390" s="14" t="s">
        <v>129</v>
      </c>
      <c r="D1390" s="14" t="s">
        <v>194</v>
      </c>
      <c r="E1390" s="48" t="s">
        <v>1336</v>
      </c>
      <c r="F1390" s="48" t="s">
        <v>31</v>
      </c>
      <c r="G1390" s="14" t="b">
        <f>OR(LCI_Table[[#This Row],[Feedstock]]="All",LCI_Table[[#This Row],[Feedstock]]=SelectedFeedstock)</f>
        <v>0</v>
      </c>
      <c r="H1390" s="14" t="b">
        <f>OR(LCI_Table[[#This Row],[Conversion]]="All",LCI_Table[[#This Row],[Conversion]]=SelectedConversion)</f>
        <v>0</v>
      </c>
      <c r="I1390" s="14" t="b">
        <f>OR(LCI_Table[[#This Row],[Data Set]]="all",LCI_Table[[#This Row],[Data Set]]=SelectedDataSet)</f>
        <v>0</v>
      </c>
      <c r="J1390" s="14" t="b">
        <f>OR(LCI_Table[[#This Row],[Technology]]="All",LCI_Table[[#This Row],[Technology]]=SelectedTechnology)</f>
        <v>1</v>
      </c>
      <c r="K1390" s="14" t="b">
        <f>OR(LCI_Table[[#This Row],[Data Source]]="All",LCI_Table[[#This Row],[Data Source]]=SelectedDataSource)</f>
        <v>0</v>
      </c>
      <c r="L1390" s="14" t="b">
        <f>TRUE</f>
        <v>1</v>
      </c>
      <c r="M1390" s="14" t="b">
        <f>(LCI_Table[[#This Row],[Dev Notes]]="Do not display")</f>
        <v>0</v>
      </c>
      <c r="N1390" s="14" t="b">
        <f>AND(LCI_Table[[#This Row],[Show Feedstock]:[Conditional]],NOT(LCI_Table[[#This Row],[Hide Row]]))</f>
        <v>0</v>
      </c>
      <c r="O1390" s="14" t="b">
        <f>LCI_Table[[#This Row],[GREET1 Name Range]]=""</f>
        <v>0</v>
      </c>
      <c r="P1390" s="14" t="s">
        <v>14</v>
      </c>
      <c r="Q1390" s="14" t="s">
        <v>807</v>
      </c>
      <c r="R1390" s="14" t="s">
        <v>141</v>
      </c>
      <c r="S1390" s="37" cm="1">
        <f t="array" aca="1" ref="S13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90" s="346" t="s">
        <v>1485</v>
      </c>
      <c r="U1390" s="347">
        <f ca="1">S1390/S1386*lb2g</f>
        <v>0</v>
      </c>
      <c r="V1390" s="347">
        <v>0</v>
      </c>
      <c r="W1390" s="347">
        <v>0</v>
      </c>
      <c r="X1390" s="14" t="s">
        <v>12</v>
      </c>
      <c r="Y1390" s="346" t="s">
        <v>413</v>
      </c>
      <c r="Z1390" s="14" t="str">
        <f>IF(ISBLANK(LCI_Table[[#This Row],[Notes for user]])," ",LCI_Table[[#This Row],[Notes for user]])</f>
        <v xml:space="preserve"> </v>
      </c>
      <c r="AA1390" s="14"/>
      <c r="AB1390" s="14"/>
      <c r="AC1390" s="346">
        <f ca="1">LCI_Table[[#This Row],[Default Calculated Value]]-LCI_Table[[#This Row],[Calculated Value]]</f>
        <v>0</v>
      </c>
    </row>
    <row r="1391" spans="1:29" x14ac:dyDescent="0.3">
      <c r="A13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(E3)(blank)_Switchgrass_Farming_HerbicidesHerbicides</v>
      </c>
      <c r="B1391" s="14" t="s">
        <v>133</v>
      </c>
      <c r="C1391" s="14" t="s">
        <v>129</v>
      </c>
      <c r="D1391" s="14" t="s">
        <v>194</v>
      </c>
      <c r="E1391" s="48" t="s">
        <v>1336</v>
      </c>
      <c r="F1391" s="48" t="s">
        <v>31</v>
      </c>
      <c r="G1391" s="14" t="b">
        <f>OR(LCI_Table[[#This Row],[Feedstock]]="All",LCI_Table[[#This Row],[Feedstock]]=SelectedFeedstock)</f>
        <v>0</v>
      </c>
      <c r="H1391" s="14" t="b">
        <f>OR(LCI_Table[[#This Row],[Conversion]]="All",LCI_Table[[#This Row],[Conversion]]=SelectedConversion)</f>
        <v>0</v>
      </c>
      <c r="I1391" s="14" t="b">
        <f>OR(LCI_Table[[#This Row],[Data Set]]="all",LCI_Table[[#This Row],[Data Set]]=SelectedDataSet)</f>
        <v>0</v>
      </c>
      <c r="J1391" s="14" t="b">
        <f>OR(LCI_Table[[#This Row],[Technology]]="All",LCI_Table[[#This Row],[Technology]]=SelectedTechnology)</f>
        <v>1</v>
      </c>
      <c r="K1391" s="14" t="b">
        <f>OR(LCI_Table[[#This Row],[Data Source]]="All",LCI_Table[[#This Row],[Data Source]]=SelectedDataSource)</f>
        <v>0</v>
      </c>
      <c r="L1391" s="14" t="b">
        <f>TRUE</f>
        <v>1</v>
      </c>
      <c r="M1391" s="14" t="b">
        <f>(LCI_Table[[#This Row],[Dev Notes]]="Do not display")</f>
        <v>0</v>
      </c>
      <c r="N1391" s="14" t="b">
        <f>AND(LCI_Table[[#This Row],[Show Feedstock]:[Conditional]],NOT(LCI_Table[[#This Row],[Hide Row]]))</f>
        <v>0</v>
      </c>
      <c r="O1391" s="14" t="b">
        <f>LCI_Table[[#This Row],[GREET1 Name Range]]=""</f>
        <v>0</v>
      </c>
      <c r="P1391" s="14" t="s">
        <v>14</v>
      </c>
      <c r="Q1391" s="14" t="s">
        <v>813</v>
      </c>
      <c r="R1391" s="14" t="s">
        <v>356</v>
      </c>
      <c r="S1391" s="37" cm="1">
        <f t="array" aca="1" ref="S13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91" s="346" t="s">
        <v>1485</v>
      </c>
      <c r="U1391" s="347">
        <f ca="1">S1391/S1386*lb2g</f>
        <v>0</v>
      </c>
      <c r="V1391" s="347">
        <v>0</v>
      </c>
      <c r="W1391" s="347">
        <v>0</v>
      </c>
      <c r="X1391" s="14" t="s">
        <v>12</v>
      </c>
      <c r="Y1391" s="346" t="s">
        <v>413</v>
      </c>
      <c r="Z1391" s="14" t="str">
        <f>IF(ISBLANK(LCI_Table[[#This Row],[Notes for user]])," ",LCI_Table[[#This Row],[Notes for user]])</f>
        <v xml:space="preserve"> </v>
      </c>
      <c r="AA1391" s="14"/>
      <c r="AB1391" s="14"/>
      <c r="AC1391" s="346">
        <f ca="1">LCI_Table[[#This Row],[Default Calculated Value]]-LCI_Table[[#This Row],[Calculated Value]]</f>
        <v>0</v>
      </c>
    </row>
    <row r="1392" spans="1:29" x14ac:dyDescent="0.3">
      <c r="A13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(E3)(blank)_Switchgrass_Farming_InsecticideInsecticide</v>
      </c>
      <c r="B1392" s="14" t="s">
        <v>133</v>
      </c>
      <c r="C1392" s="14" t="s">
        <v>129</v>
      </c>
      <c r="D1392" s="14" t="s">
        <v>194</v>
      </c>
      <c r="E1392" s="48" t="s">
        <v>1336</v>
      </c>
      <c r="F1392" s="48" t="s">
        <v>31</v>
      </c>
      <c r="G1392" s="14" t="b">
        <f>OR(LCI_Table[[#This Row],[Feedstock]]="All",LCI_Table[[#This Row],[Feedstock]]=SelectedFeedstock)</f>
        <v>0</v>
      </c>
      <c r="H1392" s="14" t="b">
        <f>OR(LCI_Table[[#This Row],[Conversion]]="All",LCI_Table[[#This Row],[Conversion]]=SelectedConversion)</f>
        <v>0</v>
      </c>
      <c r="I1392" s="14" t="b">
        <f>OR(LCI_Table[[#This Row],[Data Set]]="all",LCI_Table[[#This Row],[Data Set]]=SelectedDataSet)</f>
        <v>0</v>
      </c>
      <c r="J1392" s="14" t="b">
        <f>OR(LCI_Table[[#This Row],[Technology]]="All",LCI_Table[[#This Row],[Technology]]=SelectedTechnology)</f>
        <v>1</v>
      </c>
      <c r="K1392" s="14" t="b">
        <f>OR(LCI_Table[[#This Row],[Data Source]]="All",LCI_Table[[#This Row],[Data Source]]=SelectedDataSource)</f>
        <v>0</v>
      </c>
      <c r="L1392" s="14" t="b">
        <f>TRUE</f>
        <v>1</v>
      </c>
      <c r="M1392" s="14" t="b">
        <f>(LCI_Table[[#This Row],[Dev Notes]]="Do not display")</f>
        <v>0</v>
      </c>
      <c r="N1392" s="14" t="b">
        <f>AND(LCI_Table[[#This Row],[Show Feedstock]:[Conditional]],NOT(LCI_Table[[#This Row],[Hide Row]]))</f>
        <v>0</v>
      </c>
      <c r="O1392" s="14" t="b">
        <f>LCI_Table[[#This Row],[GREET1 Name Range]]=""</f>
        <v>0</v>
      </c>
      <c r="P1392" s="14" t="s">
        <v>14</v>
      </c>
      <c r="Q1392" s="14" t="s">
        <v>814</v>
      </c>
      <c r="R1392" s="14" t="s">
        <v>114</v>
      </c>
      <c r="S1392" s="37" cm="1">
        <f t="array" aca="1" ref="S13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92" s="346" t="s">
        <v>1485</v>
      </c>
      <c r="U1392" s="347">
        <f ca="1">S1392/S1386*lb2g</f>
        <v>0</v>
      </c>
      <c r="V1392" s="347">
        <v>0</v>
      </c>
      <c r="W1392" s="347">
        <v>0</v>
      </c>
      <c r="X1392" s="14" t="s">
        <v>12</v>
      </c>
      <c r="Y1392" s="346" t="s">
        <v>413</v>
      </c>
      <c r="Z1392" s="14" t="str">
        <f>IF(ISBLANK(LCI_Table[[#This Row],[Notes for user]])," ",LCI_Table[[#This Row],[Notes for user]])</f>
        <v xml:space="preserve"> </v>
      </c>
      <c r="AA1392" s="14"/>
      <c r="AB1392" s="14"/>
      <c r="AC1392" s="346">
        <f ca="1">LCI_Table[[#This Row],[Default Calculated Value]]-LCI_Table[[#This Row],[Calculated Value]]</f>
        <v>0</v>
      </c>
    </row>
    <row r="1393" spans="1:29" x14ac:dyDescent="0.3">
      <c r="A13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(E3)(blank)_Switchgrass_Farming_HDPEHDPE</v>
      </c>
      <c r="B1393" s="14" t="s">
        <v>133</v>
      </c>
      <c r="C1393" s="14" t="s">
        <v>129</v>
      </c>
      <c r="D1393" s="14" t="s">
        <v>194</v>
      </c>
      <c r="E1393" s="48" t="s">
        <v>1336</v>
      </c>
      <c r="F1393" s="48" t="s">
        <v>31</v>
      </c>
      <c r="G1393" s="14" t="b">
        <f>OR(LCI_Table[[#This Row],[Feedstock]]="All",LCI_Table[[#This Row],[Feedstock]]=SelectedFeedstock)</f>
        <v>0</v>
      </c>
      <c r="H1393" s="14" t="b">
        <f>OR(LCI_Table[[#This Row],[Conversion]]="All",LCI_Table[[#This Row],[Conversion]]=SelectedConversion)</f>
        <v>0</v>
      </c>
      <c r="I1393" s="14" t="b">
        <f>OR(LCI_Table[[#This Row],[Data Set]]="all",LCI_Table[[#This Row],[Data Set]]=SelectedDataSet)</f>
        <v>0</v>
      </c>
      <c r="J1393" s="14" t="b">
        <f>OR(LCI_Table[[#This Row],[Technology]]="All",LCI_Table[[#This Row],[Technology]]=SelectedTechnology)</f>
        <v>1</v>
      </c>
      <c r="K1393" s="14" t="b">
        <f>OR(LCI_Table[[#This Row],[Data Source]]="All",LCI_Table[[#This Row],[Data Source]]=SelectedDataSource)</f>
        <v>0</v>
      </c>
      <c r="L1393" s="14" t="b">
        <f>TRUE</f>
        <v>1</v>
      </c>
      <c r="M1393" s="14" t="b">
        <f>(LCI_Table[[#This Row],[Dev Notes]]="Do not display")</f>
        <v>0</v>
      </c>
      <c r="N1393" s="14" t="b">
        <f>AND(LCI_Table[[#This Row],[Show Feedstock]:[Conditional]],NOT(LCI_Table[[#This Row],[Hide Row]]))</f>
        <v>0</v>
      </c>
      <c r="O1393" s="14" t="b">
        <f>LCI_Table[[#This Row],[GREET1 Name Range]]=""</f>
        <v>0</v>
      </c>
      <c r="P1393" s="14" t="s">
        <v>14</v>
      </c>
      <c r="Q1393" s="14" t="s">
        <v>812</v>
      </c>
      <c r="R1393" s="14" t="s">
        <v>357</v>
      </c>
      <c r="S1393" s="37" cm="1">
        <f t="array" aca="1" ref="S13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93" s="346" t="s">
        <v>1485</v>
      </c>
      <c r="U1393" s="347">
        <f ca="1">S1393/S1386*lb2g</f>
        <v>0</v>
      </c>
      <c r="V1393" s="347">
        <v>0</v>
      </c>
      <c r="W1393" s="347">
        <v>0</v>
      </c>
      <c r="X1393" s="14" t="s">
        <v>12</v>
      </c>
      <c r="Y1393" s="346" t="s">
        <v>413</v>
      </c>
      <c r="Z1393" s="14" t="str">
        <f>IF(ISBLANK(LCI_Table[[#This Row],[Notes for user]])," ",LCI_Table[[#This Row],[Notes for user]])</f>
        <v xml:space="preserve"> </v>
      </c>
      <c r="AA1393" s="14"/>
      <c r="AB1393" s="14"/>
      <c r="AC1393" s="346">
        <f ca="1">LCI_Table[[#This Row],[Default Calculated Value]]-LCI_Table[[#This Row],[Calculated Value]]</f>
        <v>0</v>
      </c>
    </row>
    <row r="1394" spans="1:29" x14ac:dyDescent="0.3">
      <c r="A13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(E3)(blank)_Switchgrass_Farming_Residual_oilResidual oil</v>
      </c>
      <c r="B1394" s="14" t="s">
        <v>133</v>
      </c>
      <c r="C1394" s="14" t="s">
        <v>129</v>
      </c>
      <c r="D1394" s="14" t="s">
        <v>194</v>
      </c>
      <c r="E1394" s="48" t="s">
        <v>1336</v>
      </c>
      <c r="F1394" s="48" t="s">
        <v>31</v>
      </c>
      <c r="G1394" s="14" t="b">
        <f>OR(LCI_Table[[#This Row],[Feedstock]]="All",LCI_Table[[#This Row],[Feedstock]]=SelectedFeedstock)</f>
        <v>0</v>
      </c>
      <c r="H1394" s="14" t="b">
        <f>OR(LCI_Table[[#This Row],[Conversion]]="All",LCI_Table[[#This Row],[Conversion]]=SelectedConversion)</f>
        <v>0</v>
      </c>
      <c r="I1394" s="14" t="b">
        <f>OR(LCI_Table[[#This Row],[Data Set]]="all",LCI_Table[[#This Row],[Data Set]]=SelectedDataSet)</f>
        <v>0</v>
      </c>
      <c r="J1394" s="14" t="b">
        <f>OR(LCI_Table[[#This Row],[Technology]]="All",LCI_Table[[#This Row],[Technology]]=SelectedTechnology)</f>
        <v>1</v>
      </c>
      <c r="K1394" s="14" t="b">
        <f>OR(LCI_Table[[#This Row],[Data Source]]="All",LCI_Table[[#This Row],[Data Source]]=SelectedDataSource)</f>
        <v>0</v>
      </c>
      <c r="L1394" s="14" t="b">
        <f>TRUE</f>
        <v>1</v>
      </c>
      <c r="M1394" s="14" t="b">
        <f>(LCI_Table[[#This Row],[Dev Notes]]="Do not display")</f>
        <v>0</v>
      </c>
      <c r="N1394" s="14" t="b">
        <f>AND(LCI_Table[[#This Row],[Show Feedstock]:[Conditional]],NOT(LCI_Table[[#This Row],[Hide Row]]))</f>
        <v>0</v>
      </c>
      <c r="O1394" s="14" t="b">
        <f>LCI_Table[[#This Row],[GREET1 Name Range]]=""</f>
        <v>0</v>
      </c>
      <c r="P1394" s="14" t="s">
        <v>14</v>
      </c>
      <c r="Q1394" s="14" t="s">
        <v>820</v>
      </c>
      <c r="R1394" s="14" t="s">
        <v>115</v>
      </c>
      <c r="S1394" s="37" cm="1">
        <f t="array" aca="1" ref="S13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94" s="346" t="s">
        <v>1484</v>
      </c>
      <c r="U1394" s="347">
        <f ca="1">S1394*Fuel_Specs!$B$28/S1386</f>
        <v>0</v>
      </c>
      <c r="V1394" s="347">
        <v>0</v>
      </c>
      <c r="W1394" s="347">
        <v>0</v>
      </c>
      <c r="X1394" s="14" t="s">
        <v>5</v>
      </c>
      <c r="Y1394" s="346" t="s">
        <v>413</v>
      </c>
      <c r="Z1394" s="14" t="str">
        <f>IF(ISBLANK(LCI_Table[[#This Row],[Notes for user]])," ",LCI_Table[[#This Row],[Notes for user]])</f>
        <v xml:space="preserve"> </v>
      </c>
      <c r="AA1394" s="14"/>
      <c r="AB1394" s="14"/>
      <c r="AC1394" s="346">
        <f ca="1">LCI_Table[[#This Row],[Default Calculated Value]]-LCI_Table[[#This Row],[Calculated Value]]</f>
        <v>0</v>
      </c>
    </row>
    <row r="1395" spans="1:29" x14ac:dyDescent="0.3">
      <c r="A13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(E3)(blank)_Switchgrass_Farming_DieselDiesel</v>
      </c>
      <c r="B1395" s="14" t="s">
        <v>133</v>
      </c>
      <c r="C1395" s="14" t="s">
        <v>129</v>
      </c>
      <c r="D1395" s="14" t="s">
        <v>194</v>
      </c>
      <c r="E1395" s="48" t="s">
        <v>1336</v>
      </c>
      <c r="F1395" s="48" t="s">
        <v>31</v>
      </c>
      <c r="G1395" s="14" t="b">
        <f>OR(LCI_Table[[#This Row],[Feedstock]]="All",LCI_Table[[#This Row],[Feedstock]]=SelectedFeedstock)</f>
        <v>0</v>
      </c>
      <c r="H1395" s="14" t="b">
        <f>OR(LCI_Table[[#This Row],[Conversion]]="All",LCI_Table[[#This Row],[Conversion]]=SelectedConversion)</f>
        <v>0</v>
      </c>
      <c r="I1395" s="14" t="b">
        <f>OR(LCI_Table[[#This Row],[Data Set]]="all",LCI_Table[[#This Row],[Data Set]]=SelectedDataSet)</f>
        <v>0</v>
      </c>
      <c r="J1395" s="14" t="b">
        <f>OR(LCI_Table[[#This Row],[Technology]]="All",LCI_Table[[#This Row],[Technology]]=SelectedTechnology)</f>
        <v>1</v>
      </c>
      <c r="K1395" s="14" t="b">
        <f>OR(LCI_Table[[#This Row],[Data Source]]="All",LCI_Table[[#This Row],[Data Source]]=SelectedDataSource)</f>
        <v>0</v>
      </c>
      <c r="L1395" s="14" t="b">
        <f>TRUE</f>
        <v>1</v>
      </c>
      <c r="M1395" s="14" t="b">
        <f>(LCI_Table[[#This Row],[Dev Notes]]="Do not display")</f>
        <v>0</v>
      </c>
      <c r="N1395" s="14" t="b">
        <f>AND(LCI_Table[[#This Row],[Show Feedstock]:[Conditional]],NOT(LCI_Table[[#This Row],[Hide Row]]))</f>
        <v>0</v>
      </c>
      <c r="O1395" s="14" t="b">
        <f>LCI_Table[[#This Row],[GREET1 Name Range]]=""</f>
        <v>0</v>
      </c>
      <c r="P1395" s="14" t="s">
        <v>14</v>
      </c>
      <c r="Q1395" s="14" t="s">
        <v>809</v>
      </c>
      <c r="R1395" s="14" t="s">
        <v>106</v>
      </c>
      <c r="S1395" s="37" cm="1">
        <f t="array" aca="1" ref="S13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0.28734092287324819</v>
      </c>
      <c r="T1395" s="346" t="s">
        <v>1484</v>
      </c>
      <c r="U1395" s="347">
        <f ca="1">S1395*Fuel_Specs!$B$19/S1386</f>
        <v>6734.9395097599863</v>
      </c>
      <c r="V1395" s="347">
        <v>0.28734092287324819</v>
      </c>
      <c r="W1395" s="347">
        <v>6734.9395097599863</v>
      </c>
      <c r="X1395" s="14" t="s">
        <v>5</v>
      </c>
      <c r="Y1395" s="346" t="s">
        <v>413</v>
      </c>
      <c r="Z1395" s="14" t="str">
        <f>IF(ISBLANK(LCI_Table[[#This Row],[Notes for user]])," ",LCI_Table[[#This Row],[Notes for user]])</f>
        <v xml:space="preserve"> </v>
      </c>
      <c r="AA1395" s="14"/>
      <c r="AB1395" s="14"/>
      <c r="AC1395" s="346">
        <f ca="1">LCI_Table[[#This Row],[Default Calculated Value]]-LCI_Table[[#This Row],[Calculated Value]]</f>
        <v>0</v>
      </c>
    </row>
    <row r="1396" spans="1:29" x14ac:dyDescent="0.3">
      <c r="A13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(E3)(blank)_Switchgrass_Farming_GasolineGasoline</v>
      </c>
      <c r="B1396" s="14" t="s">
        <v>133</v>
      </c>
      <c r="C1396" s="14" t="s">
        <v>129</v>
      </c>
      <c r="D1396" s="14" t="s">
        <v>194</v>
      </c>
      <c r="E1396" s="48" t="s">
        <v>1336</v>
      </c>
      <c r="F1396" s="48" t="s">
        <v>31</v>
      </c>
      <c r="G1396" s="14" t="b">
        <f>OR(LCI_Table[[#This Row],[Feedstock]]="All",LCI_Table[[#This Row],[Feedstock]]=SelectedFeedstock)</f>
        <v>0</v>
      </c>
      <c r="H1396" s="14" t="b">
        <f>OR(LCI_Table[[#This Row],[Conversion]]="All",LCI_Table[[#This Row],[Conversion]]=SelectedConversion)</f>
        <v>0</v>
      </c>
      <c r="I1396" s="14" t="b">
        <f>OR(LCI_Table[[#This Row],[Data Set]]="all",LCI_Table[[#This Row],[Data Set]]=SelectedDataSet)</f>
        <v>0</v>
      </c>
      <c r="J1396" s="14" t="b">
        <f>OR(LCI_Table[[#This Row],[Technology]]="All",LCI_Table[[#This Row],[Technology]]=SelectedTechnology)</f>
        <v>1</v>
      </c>
      <c r="K1396" s="14" t="b">
        <f>OR(LCI_Table[[#This Row],[Data Source]]="All",LCI_Table[[#This Row],[Data Source]]=SelectedDataSource)</f>
        <v>0</v>
      </c>
      <c r="L1396" s="14" t="b">
        <f>TRUE</f>
        <v>1</v>
      </c>
      <c r="M1396" s="14" t="b">
        <f>(LCI_Table[[#This Row],[Dev Notes]]="Do not display")</f>
        <v>0</v>
      </c>
      <c r="N1396" s="14" t="b">
        <f>AND(LCI_Table[[#This Row],[Show Feedstock]:[Conditional]],NOT(LCI_Table[[#This Row],[Hide Row]]))</f>
        <v>0</v>
      </c>
      <c r="O1396" s="14" t="b">
        <f>LCI_Table[[#This Row],[GREET1 Name Range]]=""</f>
        <v>0</v>
      </c>
      <c r="P1396" s="14" t="s">
        <v>14</v>
      </c>
      <c r="Q1396" s="14" t="s">
        <v>811</v>
      </c>
      <c r="R1396" s="14" t="s">
        <v>107</v>
      </c>
      <c r="S1396" s="37" cm="1">
        <f t="array" aca="1" ref="S13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96" s="346" t="s">
        <v>1484</v>
      </c>
      <c r="U1396" s="347">
        <f ca="1">S1396*Fuel_Specs!$B$15/S1386</f>
        <v>0</v>
      </c>
      <c r="V1396" s="347">
        <v>0</v>
      </c>
      <c r="W1396" s="347">
        <v>0</v>
      </c>
      <c r="X1396" s="14" t="s">
        <v>5</v>
      </c>
      <c r="Y1396" s="346" t="s">
        <v>413</v>
      </c>
      <c r="Z1396" s="14" t="str">
        <f>IF(ISBLANK(LCI_Table[[#This Row],[Notes for user]])," ",LCI_Table[[#This Row],[Notes for user]])</f>
        <v xml:space="preserve"> </v>
      </c>
      <c r="AA1396" s="14"/>
      <c r="AB1396" s="14"/>
      <c r="AC1396" s="346">
        <f ca="1">LCI_Table[[#This Row],[Default Calculated Value]]-LCI_Table[[#This Row],[Calculated Value]]</f>
        <v>0</v>
      </c>
    </row>
    <row r="1397" spans="1:29" x14ac:dyDescent="0.3">
      <c r="A13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(E3)(blank)_Switchgrass_Farming_Natural_gasNatural gas</v>
      </c>
      <c r="B1397" s="14" t="s">
        <v>133</v>
      </c>
      <c r="C1397" s="14" t="s">
        <v>129</v>
      </c>
      <c r="D1397" s="14" t="s">
        <v>194</v>
      </c>
      <c r="E1397" s="48" t="s">
        <v>1336</v>
      </c>
      <c r="F1397" s="48" t="s">
        <v>31</v>
      </c>
      <c r="G1397" s="14" t="b">
        <f>OR(LCI_Table[[#This Row],[Feedstock]]="All",LCI_Table[[#This Row],[Feedstock]]=SelectedFeedstock)</f>
        <v>0</v>
      </c>
      <c r="H1397" s="14" t="b">
        <f>OR(LCI_Table[[#This Row],[Conversion]]="All",LCI_Table[[#This Row],[Conversion]]=SelectedConversion)</f>
        <v>0</v>
      </c>
      <c r="I1397" s="14" t="b">
        <f>OR(LCI_Table[[#This Row],[Data Set]]="all",LCI_Table[[#This Row],[Data Set]]=SelectedDataSet)</f>
        <v>0</v>
      </c>
      <c r="J1397" s="14" t="b">
        <f>OR(LCI_Table[[#This Row],[Technology]]="All",LCI_Table[[#This Row],[Technology]]=SelectedTechnology)</f>
        <v>1</v>
      </c>
      <c r="K1397" s="14" t="b">
        <f>OR(LCI_Table[[#This Row],[Data Source]]="All",LCI_Table[[#This Row],[Data Source]]=SelectedDataSource)</f>
        <v>0</v>
      </c>
      <c r="L1397" s="14" t="b">
        <f>TRUE</f>
        <v>1</v>
      </c>
      <c r="M1397" s="14" t="b">
        <f>(LCI_Table[[#This Row],[Dev Notes]]="Do not display")</f>
        <v>0</v>
      </c>
      <c r="N1397" s="14" t="b">
        <f>AND(LCI_Table[[#This Row],[Show Feedstock]:[Conditional]],NOT(LCI_Table[[#This Row],[Hide Row]]))</f>
        <v>0</v>
      </c>
      <c r="O1397" s="14" t="b">
        <f>LCI_Table[[#This Row],[GREET1 Name Range]]=""</f>
        <v>0</v>
      </c>
      <c r="P1397" s="14" t="s">
        <v>14</v>
      </c>
      <c r="Q1397" s="14" t="s">
        <v>817</v>
      </c>
      <c r="R1397" s="14" t="s">
        <v>108</v>
      </c>
      <c r="S1397" s="37" cm="1">
        <f t="array" aca="1" ref="S13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97" s="346" t="s">
        <v>2109</v>
      </c>
      <c r="U1397" s="347">
        <f ca="1">S1397*Fuel_Specs!$B$79/S1386</f>
        <v>0</v>
      </c>
      <c r="V1397" s="347">
        <v>0</v>
      </c>
      <c r="W1397" s="347">
        <v>0</v>
      </c>
      <c r="X1397" s="14" t="s">
        <v>351</v>
      </c>
      <c r="Y1397" s="346" t="s">
        <v>413</v>
      </c>
      <c r="Z1397" s="14" t="str">
        <f>IF(ISBLANK(LCI_Table[[#This Row],[Notes for user]])," ",LCI_Table[[#This Row],[Notes for user]])</f>
        <v xml:space="preserve"> </v>
      </c>
      <c r="AA1397" s="14"/>
      <c r="AB1397" s="14"/>
      <c r="AC1397" s="346">
        <f ca="1">LCI_Table[[#This Row],[Default Calculated Value]]-LCI_Table[[#This Row],[Calculated Value]]</f>
        <v>0</v>
      </c>
    </row>
    <row r="1398" spans="1:29" x14ac:dyDescent="0.3">
      <c r="A13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(E3)(blank)_Switchgrass_Farming_CoalCoal</v>
      </c>
      <c r="B1398" s="14" t="s">
        <v>133</v>
      </c>
      <c r="C1398" s="14" t="s">
        <v>129</v>
      </c>
      <c r="D1398" s="14" t="s">
        <v>194</v>
      </c>
      <c r="E1398" s="48" t="s">
        <v>1336</v>
      </c>
      <c r="F1398" s="48" t="s">
        <v>31</v>
      </c>
      <c r="G1398" s="14" t="b">
        <f>OR(LCI_Table[[#This Row],[Feedstock]]="All",LCI_Table[[#This Row],[Feedstock]]=SelectedFeedstock)</f>
        <v>0</v>
      </c>
      <c r="H1398" s="14" t="b">
        <f>OR(LCI_Table[[#This Row],[Conversion]]="All",LCI_Table[[#This Row],[Conversion]]=SelectedConversion)</f>
        <v>0</v>
      </c>
      <c r="I1398" s="14" t="b">
        <f>OR(LCI_Table[[#This Row],[Data Set]]="all",LCI_Table[[#This Row],[Data Set]]=SelectedDataSet)</f>
        <v>0</v>
      </c>
      <c r="J1398" s="14" t="b">
        <f>OR(LCI_Table[[#This Row],[Technology]]="All",LCI_Table[[#This Row],[Technology]]=SelectedTechnology)</f>
        <v>1</v>
      </c>
      <c r="K1398" s="14" t="b">
        <f>OR(LCI_Table[[#This Row],[Data Source]]="All",LCI_Table[[#This Row],[Data Source]]=SelectedDataSource)</f>
        <v>0</v>
      </c>
      <c r="L1398" s="14" t="b">
        <f>TRUE</f>
        <v>1</v>
      </c>
      <c r="M1398" s="14" t="b">
        <f>(LCI_Table[[#This Row],[Dev Notes]]="Do not display")</f>
        <v>0</v>
      </c>
      <c r="N1398" s="14" t="b">
        <f>AND(LCI_Table[[#This Row],[Show Feedstock]:[Conditional]],NOT(LCI_Table[[#This Row],[Hide Row]]))</f>
        <v>0</v>
      </c>
      <c r="O1398" s="14" t="b">
        <f>LCI_Table[[#This Row],[GREET1 Name Range]]=""</f>
        <v>0</v>
      </c>
      <c r="P1398" s="14" t="s">
        <v>14</v>
      </c>
      <c r="Q1398" s="14" t="s">
        <v>808</v>
      </c>
      <c r="R1398" s="14" t="s">
        <v>9</v>
      </c>
      <c r="S1398" s="37" cm="1">
        <f t="array" aca="1" ref="S13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98" s="346" t="s">
        <v>2110</v>
      </c>
      <c r="U1398" s="347">
        <f ca="1">S1398/S1386</f>
        <v>0</v>
      </c>
      <c r="V1398" s="347">
        <v>0</v>
      </c>
      <c r="W1398" s="347">
        <v>0</v>
      </c>
      <c r="X1398" s="14" t="s">
        <v>117</v>
      </c>
      <c r="Y1398" s="346" t="s">
        <v>413</v>
      </c>
      <c r="Z1398" s="14" t="str">
        <f>IF(ISBLANK(LCI_Table[[#This Row],[Notes for user]])," ",LCI_Table[[#This Row],[Notes for user]])</f>
        <v xml:space="preserve"> </v>
      </c>
      <c r="AA1398" s="14"/>
      <c r="AB1398" s="14"/>
      <c r="AC1398" s="346">
        <f ca="1">LCI_Table[[#This Row],[Default Calculated Value]]-LCI_Table[[#This Row],[Calculated Value]]</f>
        <v>0</v>
      </c>
    </row>
    <row r="1399" spans="1:29" x14ac:dyDescent="0.3">
      <c r="A13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(E3)(blank)_Switchgrass_Farming_LPGLPG</v>
      </c>
      <c r="B1399" s="14" t="s">
        <v>133</v>
      </c>
      <c r="C1399" s="14" t="s">
        <v>129</v>
      </c>
      <c r="D1399" s="14" t="s">
        <v>194</v>
      </c>
      <c r="E1399" s="48" t="s">
        <v>1336</v>
      </c>
      <c r="F1399" s="48" t="s">
        <v>31</v>
      </c>
      <c r="G1399" s="14" t="b">
        <f>OR(LCI_Table[[#This Row],[Feedstock]]="All",LCI_Table[[#This Row],[Feedstock]]=SelectedFeedstock)</f>
        <v>0</v>
      </c>
      <c r="H1399" s="14" t="b">
        <f>OR(LCI_Table[[#This Row],[Conversion]]="All",LCI_Table[[#This Row],[Conversion]]=SelectedConversion)</f>
        <v>0</v>
      </c>
      <c r="I1399" s="14" t="b">
        <f>OR(LCI_Table[[#This Row],[Data Set]]="all",LCI_Table[[#This Row],[Data Set]]=SelectedDataSet)</f>
        <v>0</v>
      </c>
      <c r="J1399" s="14" t="b">
        <f>OR(LCI_Table[[#This Row],[Technology]]="All",LCI_Table[[#This Row],[Technology]]=SelectedTechnology)</f>
        <v>1</v>
      </c>
      <c r="K1399" s="14" t="b">
        <f>OR(LCI_Table[[#This Row],[Data Source]]="All",LCI_Table[[#This Row],[Data Source]]=SelectedDataSource)</f>
        <v>0</v>
      </c>
      <c r="L1399" s="14" t="b">
        <f>TRUE</f>
        <v>1</v>
      </c>
      <c r="M1399" s="14" t="b">
        <f>(LCI_Table[[#This Row],[Dev Notes]]="Do not display")</f>
        <v>0</v>
      </c>
      <c r="N1399" s="14" t="b">
        <f>AND(LCI_Table[[#This Row],[Show Feedstock]:[Conditional]],NOT(LCI_Table[[#This Row],[Hide Row]]))</f>
        <v>0</v>
      </c>
      <c r="O1399" s="14" t="b">
        <f>LCI_Table[[#This Row],[GREET1 Name Range]]=""</f>
        <v>0</v>
      </c>
      <c r="P1399" s="14" t="s">
        <v>14</v>
      </c>
      <c r="Q1399" s="14" t="s">
        <v>816</v>
      </c>
      <c r="R1399" s="14" t="s">
        <v>109</v>
      </c>
      <c r="S1399" s="37" cm="1">
        <f t="array" aca="1" ref="S13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399" s="346" t="s">
        <v>1484</v>
      </c>
      <c r="U1399" s="347">
        <f ca="1">S1399*Fuel_Specs!$B$35/S1386</f>
        <v>0</v>
      </c>
      <c r="V1399" s="347">
        <v>0</v>
      </c>
      <c r="W1399" s="347">
        <v>0</v>
      </c>
      <c r="X1399" s="14" t="s">
        <v>5</v>
      </c>
      <c r="Y1399" s="346" t="s">
        <v>413</v>
      </c>
      <c r="Z1399" s="14" t="str">
        <f>IF(ISBLANK(LCI_Table[[#This Row],[Notes for user]])," ",LCI_Table[[#This Row],[Notes for user]])</f>
        <v xml:space="preserve"> </v>
      </c>
      <c r="AA1399" s="14"/>
      <c r="AB1399" s="14"/>
      <c r="AC1399" s="346">
        <f ca="1">LCI_Table[[#This Row],[Default Calculated Value]]-LCI_Table[[#This Row],[Calculated Value]]</f>
        <v>0</v>
      </c>
    </row>
    <row r="1400" spans="1:29" x14ac:dyDescent="0.3">
      <c r="A14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(E3)(blank)_Switchgrass_Farming_ElectricityElectricity</v>
      </c>
      <c r="B1400" s="14" t="s">
        <v>133</v>
      </c>
      <c r="C1400" s="14" t="s">
        <v>129</v>
      </c>
      <c r="D1400" s="14" t="s">
        <v>194</v>
      </c>
      <c r="E1400" s="48" t="s">
        <v>1336</v>
      </c>
      <c r="F1400" s="48" t="s">
        <v>31</v>
      </c>
      <c r="G1400" s="14" t="b">
        <f>OR(LCI_Table[[#This Row],[Feedstock]]="All",LCI_Table[[#This Row],[Feedstock]]=SelectedFeedstock)</f>
        <v>0</v>
      </c>
      <c r="H1400" s="14" t="b">
        <f>OR(LCI_Table[[#This Row],[Conversion]]="All",LCI_Table[[#This Row],[Conversion]]=SelectedConversion)</f>
        <v>0</v>
      </c>
      <c r="I1400" s="14" t="b">
        <f>OR(LCI_Table[[#This Row],[Data Set]]="all",LCI_Table[[#This Row],[Data Set]]=SelectedDataSet)</f>
        <v>0</v>
      </c>
      <c r="J1400" s="14" t="b">
        <f>OR(LCI_Table[[#This Row],[Technology]]="All",LCI_Table[[#This Row],[Technology]]=SelectedTechnology)</f>
        <v>1</v>
      </c>
      <c r="K1400" s="14" t="b">
        <f>OR(LCI_Table[[#This Row],[Data Source]]="All",LCI_Table[[#This Row],[Data Source]]=SelectedDataSource)</f>
        <v>0</v>
      </c>
      <c r="L1400" s="14" t="b">
        <f>TRUE</f>
        <v>1</v>
      </c>
      <c r="M1400" s="14" t="b">
        <f>(LCI_Table[[#This Row],[Dev Notes]]="Do not display")</f>
        <v>0</v>
      </c>
      <c r="N1400" s="14" t="b">
        <f>AND(LCI_Table[[#This Row],[Show Feedstock]:[Conditional]],NOT(LCI_Table[[#This Row],[Hide Row]]))</f>
        <v>0</v>
      </c>
      <c r="O1400" s="14" t="b">
        <f>LCI_Table[[#This Row],[GREET1 Name Range]]=""</f>
        <v>0</v>
      </c>
      <c r="P1400" s="14" t="s">
        <v>14</v>
      </c>
      <c r="Q1400" s="14" t="s">
        <v>810</v>
      </c>
      <c r="R1400" s="348" t="s">
        <v>110</v>
      </c>
      <c r="S1400" s="37" cm="1">
        <f t="array" aca="1" ref="S14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0.83924557526557497</v>
      </c>
      <c r="T1400" s="346" t="s">
        <v>1561</v>
      </c>
      <c r="U1400" s="347">
        <f ca="1">S1400/BTU2kWh/S1386</f>
        <v>522.53841023999883</v>
      </c>
      <c r="V1400" s="347">
        <v>0.83924557526557497</v>
      </c>
      <c r="W1400" s="347">
        <v>522.53841023999883</v>
      </c>
      <c r="X1400" s="14" t="s">
        <v>51</v>
      </c>
      <c r="Y1400" s="346" t="s">
        <v>413</v>
      </c>
      <c r="Z1400" s="14" t="str">
        <f>IF(ISBLANK(LCI_Table[[#This Row],[Notes for user]])," ",LCI_Table[[#This Row],[Notes for user]])</f>
        <v xml:space="preserve"> </v>
      </c>
      <c r="AA1400" s="14"/>
      <c r="AB1400" s="14"/>
      <c r="AC1400" s="346">
        <f ca="1">LCI_Table[[#This Row],[Default Calculated Value]]-LCI_Table[[#This Row],[Calculated Value]]</f>
        <v>0</v>
      </c>
    </row>
    <row r="1401" spans="1:29" x14ac:dyDescent="0.3">
      <c r="A14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SwitchgrassFTICAOJRC (E3)(blank)_Switchgrass_FT_efficiencySwitchgrass</v>
      </c>
      <c r="B1401" s="14" t="s">
        <v>133</v>
      </c>
      <c r="C1401" s="14" t="s">
        <v>129</v>
      </c>
      <c r="D1401" s="14" t="s">
        <v>194</v>
      </c>
      <c r="E1401" s="48" t="s">
        <v>1336</v>
      </c>
      <c r="F1401" s="48" t="s">
        <v>31</v>
      </c>
      <c r="G1401" s="14" t="b">
        <f>OR(LCI_Table[[#This Row],[Feedstock]]="All",LCI_Table[[#This Row],[Feedstock]]=SelectedFeedstock)</f>
        <v>0</v>
      </c>
      <c r="H1401" s="14" t="b">
        <f>OR(LCI_Table[[#This Row],[Conversion]]="All",LCI_Table[[#This Row],[Conversion]]=SelectedConversion)</f>
        <v>0</v>
      </c>
      <c r="I1401" s="14" t="b">
        <f>OR(LCI_Table[[#This Row],[Data Set]]="all",LCI_Table[[#This Row],[Data Set]]=SelectedDataSet)</f>
        <v>0</v>
      </c>
      <c r="J1401" s="14" t="b">
        <f>OR(LCI_Table[[#This Row],[Technology]]="All",LCI_Table[[#This Row],[Technology]]=SelectedTechnology)</f>
        <v>1</v>
      </c>
      <c r="K1401" s="14" t="b">
        <f>OR(LCI_Table[[#This Row],[Data Source]]="All",LCI_Table[[#This Row],[Data Source]]=SelectedDataSource)</f>
        <v>0</v>
      </c>
      <c r="L1401" s="14" t="b">
        <f>TRUE</f>
        <v>1</v>
      </c>
      <c r="M1401" s="14" t="b">
        <f>(LCI_Table[[#This Row],[Dev Notes]]="Do not display")</f>
        <v>0</v>
      </c>
      <c r="N1401" s="14" t="b">
        <f>AND(LCI_Table[[#This Row],[Show Feedstock]:[Conditional]],NOT(LCI_Table[[#This Row],[Hide Row]]))</f>
        <v>0</v>
      </c>
      <c r="O1401" s="14" t="b">
        <f>LCI_Table[[#This Row],[GREET1 Name Range]]=""</f>
        <v>0</v>
      </c>
      <c r="P1401" s="14" t="s">
        <v>1448</v>
      </c>
      <c r="Q1401" s="14" t="s">
        <v>936</v>
      </c>
      <c r="R1401" s="14" t="s">
        <v>133</v>
      </c>
      <c r="S1401" s="37" cm="1">
        <f t="array" aca="1" ref="S14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0.16882566555298004</v>
      </c>
      <c r="T1401" s="346" t="s">
        <v>2125</v>
      </c>
      <c r="U1401" s="347">
        <f ca="1">1/(S1401*Fuel_Specs!$B$97*BTU2mmBTU)</f>
        <v>0.40999999999999992</v>
      </c>
      <c r="V1401" s="347">
        <v>0.16882566555298004</v>
      </c>
      <c r="W1401" s="347">
        <v>0.40999999999999992</v>
      </c>
      <c r="X1401" s="37" t="s">
        <v>55</v>
      </c>
      <c r="Y1401" s="346" t="s">
        <v>416</v>
      </c>
      <c r="Z1401" s="14" t="str">
        <f>IF(ISBLANK(LCI_Table[[#This Row],[Notes for user]])," ",LCI_Table[[#This Row],[Notes for user]])</f>
        <v xml:space="preserve"> </v>
      </c>
      <c r="AA1401" s="14"/>
      <c r="AB1401" s="14"/>
      <c r="AC1401" s="346">
        <f ca="1">LCI_Table[[#This Row],[Default Calculated Value]]-LCI_Table[[#This Row],[Calculated Value]]</f>
        <v>0</v>
      </c>
    </row>
    <row r="1402" spans="1:29" x14ac:dyDescent="0.3">
      <c r="A14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dash_MiscanthusFTICAOMIT (GREET)(blank)_Yield_Farming</v>
      </c>
      <c r="B1402" s="48" t="s">
        <v>134</v>
      </c>
      <c r="C1402" s="48" t="s">
        <v>129</v>
      </c>
      <c r="D1402" s="48" t="s">
        <v>194</v>
      </c>
      <c r="E1402" s="48" t="s">
        <v>1335</v>
      </c>
      <c r="F1402" s="48" t="s">
        <v>31</v>
      </c>
      <c r="G1402" s="14" t="b">
        <f>OR(LCI_Table[[#This Row],[Feedstock]]="All",LCI_Table[[#This Row],[Feedstock]]=SelectedFeedstock)</f>
        <v>0</v>
      </c>
      <c r="H1402" s="14" t="b">
        <f>OR(LCI_Table[[#This Row],[Conversion]]="All",LCI_Table[[#This Row],[Conversion]]=SelectedConversion)</f>
        <v>0</v>
      </c>
      <c r="I1402" s="14" t="b">
        <f>OR(LCI_Table[[#This Row],[Data Set]]="all",LCI_Table[[#This Row],[Data Set]]=SelectedDataSet)</f>
        <v>0</v>
      </c>
      <c r="J1402" s="14" t="b">
        <f>OR(LCI_Table[[#This Row],[Technology]]="All",LCI_Table[[#This Row],[Technology]]=SelectedTechnology)</f>
        <v>1</v>
      </c>
      <c r="K1402" s="14" t="b">
        <f>OR(LCI_Table[[#This Row],[Data Source]]="All",LCI_Table[[#This Row],[Data Source]]=SelectedDataSource)</f>
        <v>0</v>
      </c>
      <c r="L1402" s="14" t="b">
        <f>TRUE</f>
        <v>1</v>
      </c>
      <c r="M1402" s="14" t="b">
        <f>(LCI_Table[[#This Row],[Dev Notes]]="Do not display")</f>
        <v>0</v>
      </c>
      <c r="N1402" s="14" t="b">
        <f>AND(LCI_Table[[#This Row],[Show Feedstock]:[Conditional]],NOT(LCI_Table[[#This Row],[Hide Row]]))</f>
        <v>0</v>
      </c>
      <c r="O1402" s="14" t="b">
        <f>LCI_Table[[#This Row],[GREET1 Name Range]]=""</f>
        <v>1</v>
      </c>
      <c r="P1402" s="48" t="s">
        <v>14</v>
      </c>
      <c r="Q1402" s="14" t="s">
        <v>361</v>
      </c>
      <c r="R1402" s="48" t="s">
        <v>200</v>
      </c>
      <c r="S1402" s="37" cm="1">
        <f t="array" aca="1" ref="S14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8.0296244902527363</v>
      </c>
      <c r="T1402" s="346" t="s">
        <v>2116</v>
      </c>
      <c r="U1402" s="344"/>
      <c r="V1402" s="344">
        <v>8.0296244902527363</v>
      </c>
      <c r="W1402" s="344"/>
      <c r="X1402" s="48" t="s">
        <v>55</v>
      </c>
      <c r="Y1402" s="346" t="s">
        <v>413</v>
      </c>
      <c r="Z1402" s="14" t="str">
        <f>IF(ISBLANK(LCI_Table[[#This Row],[Notes for user]])," ",LCI_Table[[#This Row],[Notes for user]])</f>
        <v xml:space="preserve"> </v>
      </c>
      <c r="AA1402" s="48"/>
      <c r="AB1402" s="345"/>
      <c r="AC1402" s="346">
        <f>LCI_Table[[#This Row],[Default Calculated Value]]-LCI_Table[[#This Row],[Calculated Value]]</f>
        <v>0</v>
      </c>
    </row>
    <row r="1403" spans="1:29" x14ac:dyDescent="0.3">
      <c r="A14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MiscanthusFTICAOMIT (GREET)(blank)_Miscanthus_Farming_Nitrogen_fertilizerNitrogen fertilizer</v>
      </c>
      <c r="B1403" s="14" t="s">
        <v>134</v>
      </c>
      <c r="C1403" s="14" t="s">
        <v>129</v>
      </c>
      <c r="D1403" s="14" t="s">
        <v>194</v>
      </c>
      <c r="E1403" s="48" t="s">
        <v>1335</v>
      </c>
      <c r="F1403" s="48" t="s">
        <v>31</v>
      </c>
      <c r="G1403" s="14" t="b">
        <f>OR(LCI_Table[[#This Row],[Feedstock]]="All",LCI_Table[[#This Row],[Feedstock]]=SelectedFeedstock)</f>
        <v>0</v>
      </c>
      <c r="H1403" s="14" t="b">
        <f>OR(LCI_Table[[#This Row],[Conversion]]="All",LCI_Table[[#This Row],[Conversion]]=SelectedConversion)</f>
        <v>0</v>
      </c>
      <c r="I1403" s="14" t="b">
        <f>OR(LCI_Table[[#This Row],[Data Set]]="all",LCI_Table[[#This Row],[Data Set]]=SelectedDataSet)</f>
        <v>0</v>
      </c>
      <c r="J1403" s="14" t="b">
        <f>OR(LCI_Table[[#This Row],[Technology]]="All",LCI_Table[[#This Row],[Technology]]=SelectedTechnology)</f>
        <v>1</v>
      </c>
      <c r="K1403" s="14" t="b">
        <f>OR(LCI_Table[[#This Row],[Data Source]]="All",LCI_Table[[#This Row],[Data Source]]=SelectedDataSource)</f>
        <v>0</v>
      </c>
      <c r="L1403" s="14" t="b">
        <f>TRUE</f>
        <v>1</v>
      </c>
      <c r="M1403" s="14" t="b">
        <f>(LCI_Table[[#This Row],[Dev Notes]]="Do not display")</f>
        <v>0</v>
      </c>
      <c r="N1403" s="14" t="b">
        <f>AND(LCI_Table[[#This Row],[Show Feedstock]:[Conditional]],NOT(LCI_Table[[#This Row],[Hide Row]]))</f>
        <v>0</v>
      </c>
      <c r="O1403" s="14" t="b">
        <f>LCI_Table[[#This Row],[GREET1 Name Range]]=""</f>
        <v>0</v>
      </c>
      <c r="P1403" s="14" t="s">
        <v>14</v>
      </c>
      <c r="Q1403" s="14" t="s">
        <v>713</v>
      </c>
      <c r="R1403" s="14" t="s">
        <v>111</v>
      </c>
      <c r="S1403" s="37" cm="1">
        <f t="array" aca="1" ref="S14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82.146632707217961</v>
      </c>
      <c r="T1403" s="346" t="s">
        <v>1485</v>
      </c>
      <c r="U1403" s="347">
        <f ca="1">S1403/S1402*lb2g</f>
        <v>4640.4518495750608</v>
      </c>
      <c r="V1403" s="347">
        <v>82.146632707217961</v>
      </c>
      <c r="W1403" s="347">
        <v>4640.4518495750608</v>
      </c>
      <c r="X1403" s="14" t="s">
        <v>12</v>
      </c>
      <c r="Y1403" s="346" t="s">
        <v>413</v>
      </c>
      <c r="Z1403" s="14" t="str">
        <f>IF(ISBLANK(LCI_Table[[#This Row],[Notes for user]])," ",LCI_Table[[#This Row],[Notes for user]])</f>
        <v xml:space="preserve"> </v>
      </c>
      <c r="AA1403" s="14"/>
      <c r="AB1403" s="14"/>
      <c r="AC1403" s="346">
        <f ca="1">LCI_Table[[#This Row],[Default Calculated Value]]-LCI_Table[[#This Row],[Calculated Value]]</f>
        <v>0</v>
      </c>
    </row>
    <row r="1404" spans="1:29" x14ac:dyDescent="0.3">
      <c r="A14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MiscanthusFTICAOMIT (GREET)(blank)_Miscanthus_Farming_P2O5P2O5</v>
      </c>
      <c r="B1404" s="14" t="s">
        <v>134</v>
      </c>
      <c r="C1404" s="14" t="s">
        <v>129</v>
      </c>
      <c r="D1404" s="14" t="s">
        <v>194</v>
      </c>
      <c r="E1404" s="48" t="s">
        <v>1335</v>
      </c>
      <c r="F1404" s="48" t="s">
        <v>31</v>
      </c>
      <c r="G1404" s="14" t="b">
        <f>OR(LCI_Table[[#This Row],[Feedstock]]="All",LCI_Table[[#This Row],[Feedstock]]=SelectedFeedstock)</f>
        <v>0</v>
      </c>
      <c r="H1404" s="14" t="b">
        <f>OR(LCI_Table[[#This Row],[Conversion]]="All",LCI_Table[[#This Row],[Conversion]]=SelectedConversion)</f>
        <v>0</v>
      </c>
      <c r="I1404" s="14" t="b">
        <f>OR(LCI_Table[[#This Row],[Data Set]]="all",LCI_Table[[#This Row],[Data Set]]=SelectedDataSet)</f>
        <v>0</v>
      </c>
      <c r="J1404" s="14" t="b">
        <f>OR(LCI_Table[[#This Row],[Technology]]="All",LCI_Table[[#This Row],[Technology]]=SelectedTechnology)</f>
        <v>1</v>
      </c>
      <c r="K1404" s="14" t="b">
        <f>OR(LCI_Table[[#This Row],[Data Source]]="All",LCI_Table[[#This Row],[Data Source]]=SelectedDataSource)</f>
        <v>0</v>
      </c>
      <c r="L1404" s="14" t="b">
        <f>TRUE</f>
        <v>1</v>
      </c>
      <c r="M1404" s="14" t="b">
        <f>(LCI_Table[[#This Row],[Dev Notes]]="Do not display")</f>
        <v>0</v>
      </c>
      <c r="N1404" s="14" t="b">
        <f>AND(LCI_Table[[#This Row],[Show Feedstock]:[Conditional]],NOT(LCI_Table[[#This Row],[Hide Row]]))</f>
        <v>0</v>
      </c>
      <c r="O1404" s="14" t="b">
        <f>LCI_Table[[#This Row],[GREET1 Name Range]]=""</f>
        <v>0</v>
      </c>
      <c r="P1404" s="14" t="s">
        <v>14</v>
      </c>
      <c r="Q1404" s="14" t="s">
        <v>714</v>
      </c>
      <c r="R1404" s="14" t="s">
        <v>112</v>
      </c>
      <c r="S1404" s="37" cm="1">
        <f t="array" aca="1" ref="S14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18.535916146139307</v>
      </c>
      <c r="T1404" s="346" t="s">
        <v>1485</v>
      </c>
      <c r="U1404" s="347">
        <f ca="1">S1404/S1402*lb2g</f>
        <v>1047.0913235176652</v>
      </c>
      <c r="V1404" s="347">
        <v>18.535916146139307</v>
      </c>
      <c r="W1404" s="347">
        <v>1047.0913235176652</v>
      </c>
      <c r="X1404" s="14" t="s">
        <v>12</v>
      </c>
      <c r="Y1404" s="346" t="s">
        <v>413</v>
      </c>
      <c r="Z1404" s="14" t="str">
        <f>IF(ISBLANK(LCI_Table[[#This Row],[Notes for user]])," ",LCI_Table[[#This Row],[Notes for user]])</f>
        <v xml:space="preserve"> </v>
      </c>
      <c r="AA1404" s="14"/>
      <c r="AB1404" s="14"/>
      <c r="AC1404" s="346">
        <f ca="1">LCI_Table[[#This Row],[Default Calculated Value]]-LCI_Table[[#This Row],[Calculated Value]]</f>
        <v>0</v>
      </c>
    </row>
    <row r="1405" spans="1:29" x14ac:dyDescent="0.3">
      <c r="A14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MiscanthusFTICAOMIT (GREET)(blank)_Miscanthus_Farming_K2OK2O</v>
      </c>
      <c r="B1405" s="14" t="s">
        <v>134</v>
      </c>
      <c r="C1405" s="14" t="s">
        <v>129</v>
      </c>
      <c r="D1405" s="14" t="s">
        <v>194</v>
      </c>
      <c r="E1405" s="48" t="s">
        <v>1335</v>
      </c>
      <c r="F1405" s="48" t="s">
        <v>31</v>
      </c>
      <c r="G1405" s="14" t="b">
        <f>OR(LCI_Table[[#This Row],[Feedstock]]="All",LCI_Table[[#This Row],[Feedstock]]=SelectedFeedstock)</f>
        <v>0</v>
      </c>
      <c r="H1405" s="14" t="b">
        <f>OR(LCI_Table[[#This Row],[Conversion]]="All",LCI_Table[[#This Row],[Conversion]]=SelectedConversion)</f>
        <v>0</v>
      </c>
      <c r="I1405" s="14" t="b">
        <f>OR(LCI_Table[[#This Row],[Data Set]]="all",LCI_Table[[#This Row],[Data Set]]=SelectedDataSet)</f>
        <v>0</v>
      </c>
      <c r="J1405" s="14" t="b">
        <f>OR(LCI_Table[[#This Row],[Technology]]="All",LCI_Table[[#This Row],[Technology]]=SelectedTechnology)</f>
        <v>1</v>
      </c>
      <c r="K1405" s="14" t="b">
        <f>OR(LCI_Table[[#This Row],[Data Source]]="All",LCI_Table[[#This Row],[Data Source]]=SelectedDataSource)</f>
        <v>0</v>
      </c>
      <c r="L1405" s="14" t="b">
        <f>TRUE</f>
        <v>1</v>
      </c>
      <c r="M1405" s="14" t="b">
        <f>(LCI_Table[[#This Row],[Dev Notes]]="Do not display")</f>
        <v>0</v>
      </c>
      <c r="N1405" s="14" t="b">
        <f>AND(LCI_Table[[#This Row],[Show Feedstock]:[Conditional]],NOT(LCI_Table[[#This Row],[Hide Row]]))</f>
        <v>0</v>
      </c>
      <c r="O1405" s="14" t="b">
        <f>LCI_Table[[#This Row],[GREET1 Name Range]]=""</f>
        <v>0</v>
      </c>
      <c r="P1405" s="14" t="s">
        <v>14</v>
      </c>
      <c r="Q1405" s="14" t="s">
        <v>710</v>
      </c>
      <c r="R1405" s="14" t="s">
        <v>113</v>
      </c>
      <c r="S1405" s="37" cm="1">
        <f t="array" aca="1" ref="S14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50.767909690169297</v>
      </c>
      <c r="T1405" s="346" t="s">
        <v>1485</v>
      </c>
      <c r="U1405" s="347">
        <f ca="1">S1405/S1402*lb2g</f>
        <v>2867.8721532076329</v>
      </c>
      <c r="V1405" s="347">
        <v>50.767909690169297</v>
      </c>
      <c r="W1405" s="347">
        <v>2867.8721532076329</v>
      </c>
      <c r="X1405" s="14" t="s">
        <v>12</v>
      </c>
      <c r="Y1405" s="346" t="s">
        <v>413</v>
      </c>
      <c r="Z1405" s="14" t="str">
        <f>IF(ISBLANK(LCI_Table[[#This Row],[Notes for user]])," ",LCI_Table[[#This Row],[Notes for user]])</f>
        <v xml:space="preserve"> </v>
      </c>
      <c r="AA1405" s="14"/>
      <c r="AB1405" s="348"/>
      <c r="AC1405" s="346">
        <f ca="1">LCI_Table[[#This Row],[Default Calculated Value]]-LCI_Table[[#This Row],[Calculated Value]]</f>
        <v>0</v>
      </c>
    </row>
    <row r="1406" spans="1:29" x14ac:dyDescent="0.3">
      <c r="A14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MiscanthusFTICAOMIT (GREET)(blank)_Miscanthus_Farming_CaCO3CaCO3</v>
      </c>
      <c r="B1406" s="14" t="s">
        <v>134</v>
      </c>
      <c r="C1406" s="14" t="s">
        <v>129</v>
      </c>
      <c r="D1406" s="14" t="s">
        <v>194</v>
      </c>
      <c r="E1406" s="48" t="s">
        <v>1335</v>
      </c>
      <c r="F1406" s="48" t="s">
        <v>31</v>
      </c>
      <c r="G1406" s="14" t="b">
        <f>OR(LCI_Table[[#This Row],[Feedstock]]="All",LCI_Table[[#This Row],[Feedstock]]=SelectedFeedstock)</f>
        <v>0</v>
      </c>
      <c r="H1406" s="14" t="b">
        <f>OR(LCI_Table[[#This Row],[Conversion]]="All",LCI_Table[[#This Row],[Conversion]]=SelectedConversion)</f>
        <v>0</v>
      </c>
      <c r="I1406" s="14" t="b">
        <f>OR(LCI_Table[[#This Row],[Data Set]]="all",LCI_Table[[#This Row],[Data Set]]=SelectedDataSet)</f>
        <v>0</v>
      </c>
      <c r="J1406" s="14" t="b">
        <f>OR(LCI_Table[[#This Row],[Technology]]="All",LCI_Table[[#This Row],[Technology]]=SelectedTechnology)</f>
        <v>1</v>
      </c>
      <c r="K1406" s="14" t="b">
        <f>OR(LCI_Table[[#This Row],[Data Source]]="All",LCI_Table[[#This Row],[Data Source]]=SelectedDataSource)</f>
        <v>0</v>
      </c>
      <c r="L1406" s="14" t="b">
        <f>TRUE</f>
        <v>1</v>
      </c>
      <c r="M1406" s="14" t="b">
        <f>(LCI_Table[[#This Row],[Dev Notes]]="Do not display")</f>
        <v>0</v>
      </c>
      <c r="N1406" s="14" t="b">
        <f>AND(LCI_Table[[#This Row],[Show Feedstock]:[Conditional]],NOT(LCI_Table[[#This Row],[Hide Row]]))</f>
        <v>0</v>
      </c>
      <c r="O1406" s="14" t="b">
        <f>LCI_Table[[#This Row],[GREET1 Name Range]]=""</f>
        <v>0</v>
      </c>
      <c r="P1406" s="14" t="s">
        <v>14</v>
      </c>
      <c r="Q1406" s="14" t="s">
        <v>702</v>
      </c>
      <c r="R1406" s="14" t="s">
        <v>141</v>
      </c>
      <c r="S1406" s="37" cm="1">
        <f t="array" aca="1" ref="S14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91.743407771000975</v>
      </c>
      <c r="T1406" s="346" t="s">
        <v>1485</v>
      </c>
      <c r="U1406" s="347">
        <f ca="1">S1406/S1402*lb2g</f>
        <v>5182.5723373789961</v>
      </c>
      <c r="V1406" s="347">
        <v>91.743407771000975</v>
      </c>
      <c r="W1406" s="347">
        <v>5182.5723373789961</v>
      </c>
      <c r="X1406" s="14" t="s">
        <v>12</v>
      </c>
      <c r="Y1406" s="346" t="s">
        <v>413</v>
      </c>
      <c r="Z1406" s="14" t="str">
        <f>IF(ISBLANK(LCI_Table[[#This Row],[Notes for user]])," ",LCI_Table[[#This Row],[Notes for user]])</f>
        <v xml:space="preserve"> </v>
      </c>
      <c r="AA1406" s="14"/>
      <c r="AB1406" s="14"/>
      <c r="AC1406" s="346">
        <f ca="1">LCI_Table[[#This Row],[Default Calculated Value]]-LCI_Table[[#This Row],[Calculated Value]]</f>
        <v>0</v>
      </c>
    </row>
    <row r="1407" spans="1:29" x14ac:dyDescent="0.3">
      <c r="A14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MiscanthusFTICAOMIT (GREET)(blank)_Miscanthus_Farming_HerbicidesHerbicides</v>
      </c>
      <c r="B1407" s="14" t="s">
        <v>134</v>
      </c>
      <c r="C1407" s="14" t="s">
        <v>129</v>
      </c>
      <c r="D1407" s="14" t="s">
        <v>194</v>
      </c>
      <c r="E1407" s="48" t="s">
        <v>1335</v>
      </c>
      <c r="F1407" s="48" t="s">
        <v>31</v>
      </c>
      <c r="G1407" s="14" t="b">
        <f>OR(LCI_Table[[#This Row],[Feedstock]]="All",LCI_Table[[#This Row],[Feedstock]]=SelectedFeedstock)</f>
        <v>0</v>
      </c>
      <c r="H1407" s="14" t="b">
        <f>OR(LCI_Table[[#This Row],[Conversion]]="All",LCI_Table[[#This Row],[Conversion]]=SelectedConversion)</f>
        <v>0</v>
      </c>
      <c r="I1407" s="14" t="b">
        <f>OR(LCI_Table[[#This Row],[Data Set]]="all",LCI_Table[[#This Row],[Data Set]]=SelectedDataSet)</f>
        <v>0</v>
      </c>
      <c r="J1407" s="14" t="b">
        <f>OR(LCI_Table[[#This Row],[Technology]]="All",LCI_Table[[#This Row],[Technology]]=SelectedTechnology)</f>
        <v>1</v>
      </c>
      <c r="K1407" s="14" t="b">
        <f>OR(LCI_Table[[#This Row],[Data Source]]="All",LCI_Table[[#This Row],[Data Source]]=SelectedDataSource)</f>
        <v>0</v>
      </c>
      <c r="L1407" s="14" t="b">
        <f>TRUE</f>
        <v>1</v>
      </c>
      <c r="M1407" s="14" t="b">
        <f>(LCI_Table[[#This Row],[Dev Notes]]="Do not display")</f>
        <v>0</v>
      </c>
      <c r="N1407" s="14" t="b">
        <f>AND(LCI_Table[[#This Row],[Show Feedstock]:[Conditional]],NOT(LCI_Table[[#This Row],[Hide Row]]))</f>
        <v>0</v>
      </c>
      <c r="O1407" s="14" t="b">
        <f>LCI_Table[[#This Row],[GREET1 Name Range]]=""</f>
        <v>0</v>
      </c>
      <c r="P1407" s="14" t="s">
        <v>14</v>
      </c>
      <c r="Q1407" s="14" t="s">
        <v>708</v>
      </c>
      <c r="R1407" s="14" t="s">
        <v>356</v>
      </c>
      <c r="S1407" s="37" cm="1">
        <f t="array" aca="1" ref="S14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0.50839255453638221</v>
      </c>
      <c r="T1407" s="346" t="s">
        <v>1485</v>
      </c>
      <c r="U1407" s="347">
        <f ca="1">S1407/S1402*lb2g</f>
        <v>28.719024654570561</v>
      </c>
      <c r="V1407" s="347">
        <v>0.50839255453638221</v>
      </c>
      <c r="W1407" s="347">
        <v>28.719024654570561</v>
      </c>
      <c r="X1407" s="14" t="s">
        <v>12</v>
      </c>
      <c r="Y1407" s="346" t="s">
        <v>413</v>
      </c>
      <c r="Z1407" s="14" t="str">
        <f>IF(ISBLANK(LCI_Table[[#This Row],[Notes for user]])," ",LCI_Table[[#This Row],[Notes for user]])</f>
        <v xml:space="preserve"> </v>
      </c>
      <c r="AA1407" s="14"/>
      <c r="AB1407" s="14"/>
      <c r="AC1407" s="346">
        <f ca="1">LCI_Table[[#This Row],[Default Calculated Value]]-LCI_Table[[#This Row],[Calculated Value]]</f>
        <v>0</v>
      </c>
    </row>
    <row r="1408" spans="1:29" x14ac:dyDescent="0.3">
      <c r="A14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MiscanthusFTICAOMIT (GREET)(blank)_Miscanthus_Farming_InsecticideInsecticide</v>
      </c>
      <c r="B1408" s="14" t="s">
        <v>134</v>
      </c>
      <c r="C1408" s="14" t="s">
        <v>129</v>
      </c>
      <c r="D1408" s="14" t="s">
        <v>194</v>
      </c>
      <c r="E1408" s="48" t="s">
        <v>1335</v>
      </c>
      <c r="F1408" s="48" t="s">
        <v>31</v>
      </c>
      <c r="G1408" s="14" t="b">
        <f>OR(LCI_Table[[#This Row],[Feedstock]]="All",LCI_Table[[#This Row],[Feedstock]]=SelectedFeedstock)</f>
        <v>0</v>
      </c>
      <c r="H1408" s="14" t="b">
        <f>OR(LCI_Table[[#This Row],[Conversion]]="All",LCI_Table[[#This Row],[Conversion]]=SelectedConversion)</f>
        <v>0</v>
      </c>
      <c r="I1408" s="14" t="b">
        <f>OR(LCI_Table[[#This Row],[Data Set]]="all",LCI_Table[[#This Row],[Data Set]]=SelectedDataSet)</f>
        <v>0</v>
      </c>
      <c r="J1408" s="14" t="b">
        <f>OR(LCI_Table[[#This Row],[Technology]]="All",LCI_Table[[#This Row],[Technology]]=SelectedTechnology)</f>
        <v>1</v>
      </c>
      <c r="K1408" s="14" t="b">
        <f>OR(LCI_Table[[#This Row],[Data Source]]="All",LCI_Table[[#This Row],[Data Source]]=SelectedDataSource)</f>
        <v>0</v>
      </c>
      <c r="L1408" s="14" t="b">
        <f>TRUE</f>
        <v>1</v>
      </c>
      <c r="M1408" s="14" t="b">
        <f>(LCI_Table[[#This Row],[Dev Notes]]="Do not display")</f>
        <v>0</v>
      </c>
      <c r="N1408" s="14" t="b">
        <f>AND(LCI_Table[[#This Row],[Show Feedstock]:[Conditional]],NOT(LCI_Table[[#This Row],[Hide Row]]))</f>
        <v>0</v>
      </c>
      <c r="O1408" s="14" t="b">
        <f>LCI_Table[[#This Row],[GREET1 Name Range]]=""</f>
        <v>0</v>
      </c>
      <c r="P1408" s="14" t="s">
        <v>14</v>
      </c>
      <c r="Q1408" s="14" t="s">
        <v>709</v>
      </c>
      <c r="R1408" s="14" t="s">
        <v>114</v>
      </c>
      <c r="S1408" s="37" cm="1">
        <f t="array" aca="1" ref="S14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08" s="346" t="s">
        <v>1485</v>
      </c>
      <c r="U1408" s="347">
        <f ca="1">S1408/S1402*lb2g</f>
        <v>0</v>
      </c>
      <c r="V1408" s="347">
        <v>0</v>
      </c>
      <c r="W1408" s="347">
        <v>0</v>
      </c>
      <c r="X1408" s="14" t="s">
        <v>12</v>
      </c>
      <c r="Y1408" s="346" t="s">
        <v>413</v>
      </c>
      <c r="Z1408" s="14" t="str">
        <f>IF(ISBLANK(LCI_Table[[#This Row],[Notes for user]])," ",LCI_Table[[#This Row],[Notes for user]])</f>
        <v xml:space="preserve"> </v>
      </c>
      <c r="AA1408" s="14"/>
      <c r="AB1408" s="14"/>
      <c r="AC1408" s="346">
        <f ca="1">LCI_Table[[#This Row],[Default Calculated Value]]-LCI_Table[[#This Row],[Calculated Value]]</f>
        <v>0</v>
      </c>
    </row>
    <row r="1409" spans="1:29" x14ac:dyDescent="0.3">
      <c r="A14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MiscanthusFTICAOMIT (GREET)(blank)_Miscanthus_Farming_HDPEHDPE</v>
      </c>
      <c r="B1409" s="14" t="s">
        <v>134</v>
      </c>
      <c r="C1409" s="14" t="s">
        <v>129</v>
      </c>
      <c r="D1409" s="14" t="s">
        <v>194</v>
      </c>
      <c r="E1409" s="48" t="s">
        <v>1335</v>
      </c>
      <c r="F1409" s="48" t="s">
        <v>31</v>
      </c>
      <c r="G1409" s="14" t="b">
        <f>OR(LCI_Table[[#This Row],[Feedstock]]="All",LCI_Table[[#This Row],[Feedstock]]=SelectedFeedstock)</f>
        <v>0</v>
      </c>
      <c r="H1409" s="14" t="b">
        <f>OR(LCI_Table[[#This Row],[Conversion]]="All",LCI_Table[[#This Row],[Conversion]]=SelectedConversion)</f>
        <v>0</v>
      </c>
      <c r="I1409" s="14" t="b">
        <f>OR(LCI_Table[[#This Row],[Data Set]]="all",LCI_Table[[#This Row],[Data Set]]=SelectedDataSet)</f>
        <v>0</v>
      </c>
      <c r="J1409" s="14" t="b">
        <f>OR(LCI_Table[[#This Row],[Technology]]="All",LCI_Table[[#This Row],[Technology]]=SelectedTechnology)</f>
        <v>1</v>
      </c>
      <c r="K1409" s="14" t="b">
        <f>OR(LCI_Table[[#This Row],[Data Source]]="All",LCI_Table[[#This Row],[Data Source]]=SelectedDataSource)</f>
        <v>0</v>
      </c>
      <c r="L1409" s="14" t="b">
        <f>TRUE</f>
        <v>1</v>
      </c>
      <c r="M1409" s="14" t="b">
        <f>(LCI_Table[[#This Row],[Dev Notes]]="Do not display")</f>
        <v>0</v>
      </c>
      <c r="N1409" s="14" t="b">
        <f>AND(LCI_Table[[#This Row],[Show Feedstock]:[Conditional]],NOT(LCI_Table[[#This Row],[Hide Row]]))</f>
        <v>0</v>
      </c>
      <c r="O1409" s="14" t="b">
        <f>LCI_Table[[#This Row],[GREET1 Name Range]]=""</f>
        <v>0</v>
      </c>
      <c r="P1409" s="14" t="s">
        <v>14</v>
      </c>
      <c r="Q1409" s="14" t="s">
        <v>707</v>
      </c>
      <c r="R1409" s="14" t="s">
        <v>357</v>
      </c>
      <c r="S1409" s="37" cm="1">
        <f t="array" aca="1" ref="S14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09" s="346" t="s">
        <v>1485</v>
      </c>
      <c r="U1409" s="347">
        <f ca="1">S1409/S1402*lb2g</f>
        <v>0</v>
      </c>
      <c r="V1409" s="347">
        <v>0</v>
      </c>
      <c r="W1409" s="347">
        <v>0</v>
      </c>
      <c r="X1409" s="14" t="s">
        <v>12</v>
      </c>
      <c r="Y1409" s="346" t="s">
        <v>413</v>
      </c>
      <c r="Z1409" s="14" t="str">
        <f>IF(ISBLANK(LCI_Table[[#This Row],[Notes for user]])," ",LCI_Table[[#This Row],[Notes for user]])</f>
        <v xml:space="preserve"> </v>
      </c>
      <c r="AA1409" s="14"/>
      <c r="AB1409" s="14"/>
      <c r="AC1409" s="346">
        <f ca="1">LCI_Table[[#This Row],[Default Calculated Value]]-LCI_Table[[#This Row],[Calculated Value]]</f>
        <v>0</v>
      </c>
    </row>
    <row r="1410" spans="1:29" x14ac:dyDescent="0.3">
      <c r="A14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MiscanthusFTICAOMIT (GREET)(blank)_Miscanthus_Farming_Residual_oilResidual oil</v>
      </c>
      <c r="B1410" s="14" t="s">
        <v>134</v>
      </c>
      <c r="C1410" s="14" t="s">
        <v>129</v>
      </c>
      <c r="D1410" s="14" t="s">
        <v>194</v>
      </c>
      <c r="E1410" s="48" t="s">
        <v>1335</v>
      </c>
      <c r="F1410" s="48" t="s">
        <v>31</v>
      </c>
      <c r="G1410" s="14" t="b">
        <f>OR(LCI_Table[[#This Row],[Feedstock]]="All",LCI_Table[[#This Row],[Feedstock]]=SelectedFeedstock)</f>
        <v>0</v>
      </c>
      <c r="H1410" s="14" t="b">
        <f>OR(LCI_Table[[#This Row],[Conversion]]="All",LCI_Table[[#This Row],[Conversion]]=SelectedConversion)</f>
        <v>0</v>
      </c>
      <c r="I1410" s="14" t="b">
        <f>OR(LCI_Table[[#This Row],[Data Set]]="all",LCI_Table[[#This Row],[Data Set]]=SelectedDataSet)</f>
        <v>0</v>
      </c>
      <c r="J1410" s="14" t="b">
        <f>OR(LCI_Table[[#This Row],[Technology]]="All",LCI_Table[[#This Row],[Technology]]=SelectedTechnology)</f>
        <v>1</v>
      </c>
      <c r="K1410" s="14" t="b">
        <f>OR(LCI_Table[[#This Row],[Data Source]]="All",LCI_Table[[#This Row],[Data Source]]=SelectedDataSource)</f>
        <v>0</v>
      </c>
      <c r="L1410" s="14" t="b">
        <f>TRUE</f>
        <v>1</v>
      </c>
      <c r="M1410" s="14" t="b">
        <f>(LCI_Table[[#This Row],[Dev Notes]]="Do not display")</f>
        <v>0</v>
      </c>
      <c r="N1410" s="14" t="b">
        <f>AND(LCI_Table[[#This Row],[Show Feedstock]:[Conditional]],NOT(LCI_Table[[#This Row],[Hide Row]]))</f>
        <v>0</v>
      </c>
      <c r="O1410" s="14" t="b">
        <f>LCI_Table[[#This Row],[GREET1 Name Range]]=""</f>
        <v>0</v>
      </c>
      <c r="P1410" s="14" t="s">
        <v>14</v>
      </c>
      <c r="Q1410" s="14" t="s">
        <v>715</v>
      </c>
      <c r="R1410" s="14" t="s">
        <v>115</v>
      </c>
      <c r="S1410" s="37" cm="1">
        <f t="array" aca="1" ref="S14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10" s="346" t="s">
        <v>1484</v>
      </c>
      <c r="U1410" s="347">
        <f ca="1">S1410*Fuel_Specs!$B$28/S1402</f>
        <v>0</v>
      </c>
      <c r="V1410" s="347">
        <v>0</v>
      </c>
      <c r="W1410" s="347">
        <v>0</v>
      </c>
      <c r="X1410" s="14" t="s">
        <v>5</v>
      </c>
      <c r="Y1410" s="346" t="s">
        <v>413</v>
      </c>
      <c r="Z1410" s="14" t="str">
        <f>IF(ISBLANK(LCI_Table[[#This Row],[Notes for user]])," ",LCI_Table[[#This Row],[Notes for user]])</f>
        <v xml:space="preserve"> </v>
      </c>
      <c r="AA1410" s="14"/>
      <c r="AB1410" s="14"/>
      <c r="AC1410" s="346">
        <f ca="1">LCI_Table[[#This Row],[Default Calculated Value]]-LCI_Table[[#This Row],[Calculated Value]]</f>
        <v>0</v>
      </c>
    </row>
    <row r="1411" spans="1:29" x14ac:dyDescent="0.3">
      <c r="A14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MiscanthusFTICAOMIT (GREET)(blank)_Miscanthus_Farming_DieselDiesel</v>
      </c>
      <c r="B1411" s="14" t="s">
        <v>134</v>
      </c>
      <c r="C1411" s="14" t="s">
        <v>129</v>
      </c>
      <c r="D1411" s="14" t="s">
        <v>194</v>
      </c>
      <c r="E1411" s="48" t="s">
        <v>1335</v>
      </c>
      <c r="F1411" s="48" t="s">
        <v>31</v>
      </c>
      <c r="G1411" s="14" t="b">
        <f>OR(LCI_Table[[#This Row],[Feedstock]]="All",LCI_Table[[#This Row],[Feedstock]]=SelectedFeedstock)</f>
        <v>0</v>
      </c>
      <c r="H1411" s="14" t="b">
        <f>OR(LCI_Table[[#This Row],[Conversion]]="All",LCI_Table[[#This Row],[Conversion]]=SelectedConversion)</f>
        <v>0</v>
      </c>
      <c r="I1411" s="14" t="b">
        <f>OR(LCI_Table[[#This Row],[Data Set]]="all",LCI_Table[[#This Row],[Data Set]]=SelectedDataSet)</f>
        <v>0</v>
      </c>
      <c r="J1411" s="14" t="b">
        <f>OR(LCI_Table[[#This Row],[Technology]]="All",LCI_Table[[#This Row],[Technology]]=SelectedTechnology)</f>
        <v>1</v>
      </c>
      <c r="K1411" s="14" t="b">
        <f>OR(LCI_Table[[#This Row],[Data Source]]="All",LCI_Table[[#This Row],[Data Source]]=SelectedDataSource)</f>
        <v>0</v>
      </c>
      <c r="L1411" s="14" t="b">
        <f>TRUE</f>
        <v>1</v>
      </c>
      <c r="M1411" s="14" t="b">
        <f>(LCI_Table[[#This Row],[Dev Notes]]="Do not display")</f>
        <v>0</v>
      </c>
      <c r="N1411" s="14" t="b">
        <f>AND(LCI_Table[[#This Row],[Show Feedstock]:[Conditional]],NOT(LCI_Table[[#This Row],[Hide Row]]))</f>
        <v>0</v>
      </c>
      <c r="O1411" s="14" t="b">
        <f>LCI_Table[[#This Row],[GREET1 Name Range]]=""</f>
        <v>0</v>
      </c>
      <c r="P1411" s="14" t="s">
        <v>14</v>
      </c>
      <c r="Q1411" s="14" t="s">
        <v>704</v>
      </c>
      <c r="R1411" s="14" t="s">
        <v>106</v>
      </c>
      <c r="S1411" s="37" cm="1">
        <f t="array" aca="1" ref="S14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2.9959262280089103</v>
      </c>
      <c r="T1411" s="346" t="s">
        <v>1484</v>
      </c>
      <c r="U1411" s="347">
        <f ca="1">S1411*Fuel_Specs!$B$19/S1402</f>
        <v>47925.86807202387</v>
      </c>
      <c r="V1411" s="347">
        <v>2.9959262280089103</v>
      </c>
      <c r="W1411" s="347">
        <v>47925.86807202387</v>
      </c>
      <c r="X1411" s="14" t="s">
        <v>5</v>
      </c>
      <c r="Y1411" s="346" t="s">
        <v>413</v>
      </c>
      <c r="Z1411" s="14" t="str">
        <f>IF(ISBLANK(LCI_Table[[#This Row],[Notes for user]])," ",LCI_Table[[#This Row],[Notes for user]])</f>
        <v xml:space="preserve"> </v>
      </c>
      <c r="AA1411" s="14"/>
      <c r="AB1411" s="14"/>
      <c r="AC1411" s="346">
        <f ca="1">LCI_Table[[#This Row],[Default Calculated Value]]-LCI_Table[[#This Row],[Calculated Value]]</f>
        <v>0</v>
      </c>
    </row>
    <row r="1412" spans="1:29" x14ac:dyDescent="0.3">
      <c r="A14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MiscanthusFTICAOMIT (GREET)(blank)_Miscanthus_Farming_GasolineGasoline</v>
      </c>
      <c r="B1412" s="14" t="s">
        <v>134</v>
      </c>
      <c r="C1412" s="14" t="s">
        <v>129</v>
      </c>
      <c r="D1412" s="14" t="s">
        <v>194</v>
      </c>
      <c r="E1412" s="48" t="s">
        <v>1335</v>
      </c>
      <c r="F1412" s="48" t="s">
        <v>31</v>
      </c>
      <c r="G1412" s="14" t="b">
        <f>OR(LCI_Table[[#This Row],[Feedstock]]="All",LCI_Table[[#This Row],[Feedstock]]=SelectedFeedstock)</f>
        <v>0</v>
      </c>
      <c r="H1412" s="14" t="b">
        <f>OR(LCI_Table[[#This Row],[Conversion]]="All",LCI_Table[[#This Row],[Conversion]]=SelectedConversion)</f>
        <v>0</v>
      </c>
      <c r="I1412" s="14" t="b">
        <f>OR(LCI_Table[[#This Row],[Data Set]]="all",LCI_Table[[#This Row],[Data Set]]=SelectedDataSet)</f>
        <v>0</v>
      </c>
      <c r="J1412" s="14" t="b">
        <f>OR(LCI_Table[[#This Row],[Technology]]="All",LCI_Table[[#This Row],[Technology]]=SelectedTechnology)</f>
        <v>1</v>
      </c>
      <c r="K1412" s="14" t="b">
        <f>OR(LCI_Table[[#This Row],[Data Source]]="All",LCI_Table[[#This Row],[Data Source]]=SelectedDataSource)</f>
        <v>0</v>
      </c>
      <c r="L1412" s="14" t="b">
        <f>TRUE</f>
        <v>1</v>
      </c>
      <c r="M1412" s="14" t="b">
        <f>(LCI_Table[[#This Row],[Dev Notes]]="Do not display")</f>
        <v>0</v>
      </c>
      <c r="N1412" s="14" t="b">
        <f>AND(LCI_Table[[#This Row],[Show Feedstock]:[Conditional]],NOT(LCI_Table[[#This Row],[Hide Row]]))</f>
        <v>0</v>
      </c>
      <c r="O1412" s="14" t="b">
        <f>LCI_Table[[#This Row],[GREET1 Name Range]]=""</f>
        <v>0</v>
      </c>
      <c r="P1412" s="14" t="s">
        <v>14</v>
      </c>
      <c r="Q1412" s="14" t="s">
        <v>706</v>
      </c>
      <c r="R1412" s="14" t="s">
        <v>107</v>
      </c>
      <c r="S1412" s="37" cm="1">
        <f t="array" aca="1" ref="S14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12" s="346" t="s">
        <v>1484</v>
      </c>
      <c r="U1412" s="347">
        <f ca="1">S1412*Fuel_Specs!$B$15/S1402</f>
        <v>0</v>
      </c>
      <c r="V1412" s="347">
        <v>0</v>
      </c>
      <c r="W1412" s="347">
        <v>0</v>
      </c>
      <c r="X1412" s="14" t="s">
        <v>5</v>
      </c>
      <c r="Y1412" s="346" t="s">
        <v>413</v>
      </c>
      <c r="Z1412" s="14" t="str">
        <f>IF(ISBLANK(LCI_Table[[#This Row],[Notes for user]])," ",LCI_Table[[#This Row],[Notes for user]])</f>
        <v xml:space="preserve"> </v>
      </c>
      <c r="AA1412" s="14"/>
      <c r="AB1412" s="14"/>
      <c r="AC1412" s="346">
        <f ca="1">LCI_Table[[#This Row],[Default Calculated Value]]-LCI_Table[[#This Row],[Calculated Value]]</f>
        <v>0</v>
      </c>
    </row>
    <row r="1413" spans="1:29" x14ac:dyDescent="0.3">
      <c r="A14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MiscanthusFTICAOMIT (GREET)(blank)_Miscanthus_Farming_Natural_gasNatural gas</v>
      </c>
      <c r="B1413" s="14" t="s">
        <v>134</v>
      </c>
      <c r="C1413" s="14" t="s">
        <v>129</v>
      </c>
      <c r="D1413" s="14" t="s">
        <v>194</v>
      </c>
      <c r="E1413" s="48" t="s">
        <v>1335</v>
      </c>
      <c r="F1413" s="48" t="s">
        <v>31</v>
      </c>
      <c r="G1413" s="14" t="b">
        <f>OR(LCI_Table[[#This Row],[Feedstock]]="All",LCI_Table[[#This Row],[Feedstock]]=SelectedFeedstock)</f>
        <v>0</v>
      </c>
      <c r="H1413" s="14" t="b">
        <f>OR(LCI_Table[[#This Row],[Conversion]]="All",LCI_Table[[#This Row],[Conversion]]=SelectedConversion)</f>
        <v>0</v>
      </c>
      <c r="I1413" s="14" t="b">
        <f>OR(LCI_Table[[#This Row],[Data Set]]="all",LCI_Table[[#This Row],[Data Set]]=SelectedDataSet)</f>
        <v>0</v>
      </c>
      <c r="J1413" s="14" t="b">
        <f>OR(LCI_Table[[#This Row],[Technology]]="All",LCI_Table[[#This Row],[Technology]]=SelectedTechnology)</f>
        <v>1</v>
      </c>
      <c r="K1413" s="14" t="b">
        <f>OR(LCI_Table[[#This Row],[Data Source]]="All",LCI_Table[[#This Row],[Data Source]]=SelectedDataSource)</f>
        <v>0</v>
      </c>
      <c r="L1413" s="14" t="b">
        <f>TRUE</f>
        <v>1</v>
      </c>
      <c r="M1413" s="14" t="b">
        <f>(LCI_Table[[#This Row],[Dev Notes]]="Do not display")</f>
        <v>0</v>
      </c>
      <c r="N1413" s="14" t="b">
        <f>AND(LCI_Table[[#This Row],[Show Feedstock]:[Conditional]],NOT(LCI_Table[[#This Row],[Hide Row]]))</f>
        <v>0</v>
      </c>
      <c r="O1413" s="14" t="b">
        <f>LCI_Table[[#This Row],[GREET1 Name Range]]=""</f>
        <v>0</v>
      </c>
      <c r="P1413" s="14" t="s">
        <v>14</v>
      </c>
      <c r="Q1413" s="14" t="s">
        <v>712</v>
      </c>
      <c r="R1413" s="14" t="s">
        <v>108</v>
      </c>
      <c r="S1413" s="37" cm="1">
        <f t="array" aca="1" ref="S14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13" s="346" t="s">
        <v>2109</v>
      </c>
      <c r="U1413" s="347">
        <f ca="1">S1413*Fuel_Specs!$B$79/S1402</f>
        <v>0</v>
      </c>
      <c r="V1413" s="347">
        <v>0</v>
      </c>
      <c r="W1413" s="347">
        <v>0</v>
      </c>
      <c r="X1413" s="14" t="s">
        <v>351</v>
      </c>
      <c r="Y1413" s="346" t="s">
        <v>413</v>
      </c>
      <c r="Z1413" s="14" t="str">
        <f>IF(ISBLANK(LCI_Table[[#This Row],[Notes for user]])," ",LCI_Table[[#This Row],[Notes for user]])</f>
        <v xml:space="preserve"> </v>
      </c>
      <c r="AA1413" s="14"/>
      <c r="AB1413" s="14"/>
      <c r="AC1413" s="346">
        <f ca="1">LCI_Table[[#This Row],[Default Calculated Value]]-LCI_Table[[#This Row],[Calculated Value]]</f>
        <v>0</v>
      </c>
    </row>
    <row r="1414" spans="1:29" x14ac:dyDescent="0.3">
      <c r="A14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MiscanthusFTICAOMIT (GREET)(blank)_Miscanthus_Farming_CoalCoal</v>
      </c>
      <c r="B1414" s="14" t="s">
        <v>134</v>
      </c>
      <c r="C1414" s="14" t="s">
        <v>129</v>
      </c>
      <c r="D1414" s="14" t="s">
        <v>194</v>
      </c>
      <c r="E1414" s="48" t="s">
        <v>1335</v>
      </c>
      <c r="F1414" s="48" t="s">
        <v>31</v>
      </c>
      <c r="G1414" s="14" t="b">
        <f>OR(LCI_Table[[#This Row],[Feedstock]]="All",LCI_Table[[#This Row],[Feedstock]]=SelectedFeedstock)</f>
        <v>0</v>
      </c>
      <c r="H1414" s="14" t="b">
        <f>OR(LCI_Table[[#This Row],[Conversion]]="All",LCI_Table[[#This Row],[Conversion]]=SelectedConversion)</f>
        <v>0</v>
      </c>
      <c r="I1414" s="14" t="b">
        <f>OR(LCI_Table[[#This Row],[Data Set]]="all",LCI_Table[[#This Row],[Data Set]]=SelectedDataSet)</f>
        <v>0</v>
      </c>
      <c r="J1414" s="14" t="b">
        <f>OR(LCI_Table[[#This Row],[Technology]]="All",LCI_Table[[#This Row],[Technology]]=SelectedTechnology)</f>
        <v>1</v>
      </c>
      <c r="K1414" s="14" t="b">
        <f>OR(LCI_Table[[#This Row],[Data Source]]="All",LCI_Table[[#This Row],[Data Source]]=SelectedDataSource)</f>
        <v>0</v>
      </c>
      <c r="L1414" s="14" t="b">
        <f>TRUE</f>
        <v>1</v>
      </c>
      <c r="M1414" s="14" t="b">
        <f>(LCI_Table[[#This Row],[Dev Notes]]="Do not display")</f>
        <v>0</v>
      </c>
      <c r="N1414" s="14" t="b">
        <f>AND(LCI_Table[[#This Row],[Show Feedstock]:[Conditional]],NOT(LCI_Table[[#This Row],[Hide Row]]))</f>
        <v>0</v>
      </c>
      <c r="O1414" s="14" t="b">
        <f>LCI_Table[[#This Row],[GREET1 Name Range]]=""</f>
        <v>0</v>
      </c>
      <c r="P1414" s="14" t="s">
        <v>14</v>
      </c>
      <c r="Q1414" s="14" t="s">
        <v>703</v>
      </c>
      <c r="R1414" s="14" t="s">
        <v>9</v>
      </c>
      <c r="S1414" s="37" cm="1">
        <f t="array" aca="1" ref="S14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14" s="346" t="s">
        <v>2110</v>
      </c>
      <c r="U1414" s="347">
        <f ca="1">S1414/S1402</f>
        <v>0</v>
      </c>
      <c r="V1414" s="347">
        <v>0</v>
      </c>
      <c r="W1414" s="347">
        <v>0</v>
      </c>
      <c r="X1414" s="14" t="s">
        <v>117</v>
      </c>
      <c r="Y1414" s="346" t="s">
        <v>413</v>
      </c>
      <c r="Z1414" s="14" t="str">
        <f>IF(ISBLANK(LCI_Table[[#This Row],[Notes for user]])," ",LCI_Table[[#This Row],[Notes for user]])</f>
        <v xml:space="preserve"> </v>
      </c>
      <c r="AA1414" s="14"/>
      <c r="AB1414" s="14"/>
      <c r="AC1414" s="346">
        <f ca="1">LCI_Table[[#This Row],[Default Calculated Value]]-LCI_Table[[#This Row],[Calculated Value]]</f>
        <v>0</v>
      </c>
    </row>
    <row r="1415" spans="1:29" x14ac:dyDescent="0.3">
      <c r="A14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MiscanthusFTICAOMIT (GREET)(blank)_Miscanthus_Farming_LPGLPG</v>
      </c>
      <c r="B1415" s="14" t="s">
        <v>134</v>
      </c>
      <c r="C1415" s="14" t="s">
        <v>129</v>
      </c>
      <c r="D1415" s="14" t="s">
        <v>194</v>
      </c>
      <c r="E1415" s="48" t="s">
        <v>1335</v>
      </c>
      <c r="F1415" s="48" t="s">
        <v>31</v>
      </c>
      <c r="G1415" s="14" t="b">
        <f>OR(LCI_Table[[#This Row],[Feedstock]]="All",LCI_Table[[#This Row],[Feedstock]]=SelectedFeedstock)</f>
        <v>0</v>
      </c>
      <c r="H1415" s="14" t="b">
        <f>OR(LCI_Table[[#This Row],[Conversion]]="All",LCI_Table[[#This Row],[Conversion]]=SelectedConversion)</f>
        <v>0</v>
      </c>
      <c r="I1415" s="14" t="b">
        <f>OR(LCI_Table[[#This Row],[Data Set]]="all",LCI_Table[[#This Row],[Data Set]]=SelectedDataSet)</f>
        <v>0</v>
      </c>
      <c r="J1415" s="14" t="b">
        <f>OR(LCI_Table[[#This Row],[Technology]]="All",LCI_Table[[#This Row],[Technology]]=SelectedTechnology)</f>
        <v>1</v>
      </c>
      <c r="K1415" s="14" t="b">
        <f>OR(LCI_Table[[#This Row],[Data Source]]="All",LCI_Table[[#This Row],[Data Source]]=SelectedDataSource)</f>
        <v>0</v>
      </c>
      <c r="L1415" s="14" t="b">
        <f>TRUE</f>
        <v>1</v>
      </c>
      <c r="M1415" s="14" t="b">
        <f>(LCI_Table[[#This Row],[Dev Notes]]="Do not display")</f>
        <v>0</v>
      </c>
      <c r="N1415" s="14" t="b">
        <f>AND(LCI_Table[[#This Row],[Show Feedstock]:[Conditional]],NOT(LCI_Table[[#This Row],[Hide Row]]))</f>
        <v>0</v>
      </c>
      <c r="O1415" s="14" t="b">
        <f>LCI_Table[[#This Row],[GREET1 Name Range]]=""</f>
        <v>0</v>
      </c>
      <c r="P1415" s="14" t="s">
        <v>14</v>
      </c>
      <c r="Q1415" s="14" t="s">
        <v>711</v>
      </c>
      <c r="R1415" s="14" t="s">
        <v>109</v>
      </c>
      <c r="S1415" s="37" cm="1">
        <f t="array" aca="1" ref="S14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15" s="346" t="s">
        <v>1484</v>
      </c>
      <c r="U1415" s="347">
        <f ca="1">S1415*Fuel_Specs!$B$35/S1402</f>
        <v>0</v>
      </c>
      <c r="V1415" s="347">
        <v>0</v>
      </c>
      <c r="W1415" s="347">
        <v>0</v>
      </c>
      <c r="X1415" s="14" t="s">
        <v>5</v>
      </c>
      <c r="Y1415" s="346" t="s">
        <v>413</v>
      </c>
      <c r="Z1415" s="14" t="str">
        <f>IF(ISBLANK(LCI_Table[[#This Row],[Notes for user]])," ",LCI_Table[[#This Row],[Notes for user]])</f>
        <v xml:space="preserve"> </v>
      </c>
      <c r="AA1415" s="14"/>
      <c r="AB1415" s="14"/>
      <c r="AC1415" s="346">
        <f ca="1">LCI_Table[[#This Row],[Default Calculated Value]]-LCI_Table[[#This Row],[Calculated Value]]</f>
        <v>0</v>
      </c>
    </row>
    <row r="1416" spans="1:29" x14ac:dyDescent="0.3">
      <c r="A14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MiscanthusFTICAOMIT (GREET)(blank)_Miscanthus_Farming_ElectricityElectricity</v>
      </c>
      <c r="B1416" s="14" t="s">
        <v>134</v>
      </c>
      <c r="C1416" s="14" t="s">
        <v>129</v>
      </c>
      <c r="D1416" s="14" t="s">
        <v>194</v>
      </c>
      <c r="E1416" s="48" t="s">
        <v>1335</v>
      </c>
      <c r="F1416" s="48" t="s">
        <v>31</v>
      </c>
      <c r="G1416" s="14" t="b">
        <f>OR(LCI_Table[[#This Row],[Feedstock]]="All",LCI_Table[[#This Row],[Feedstock]]=SelectedFeedstock)</f>
        <v>0</v>
      </c>
      <c r="H1416" s="14" t="b">
        <f>OR(LCI_Table[[#This Row],[Conversion]]="All",LCI_Table[[#This Row],[Conversion]]=SelectedConversion)</f>
        <v>0</v>
      </c>
      <c r="I1416" s="14" t="b">
        <f>OR(LCI_Table[[#This Row],[Data Set]]="all",LCI_Table[[#This Row],[Data Set]]=SelectedDataSet)</f>
        <v>0</v>
      </c>
      <c r="J1416" s="14" t="b">
        <f>OR(LCI_Table[[#This Row],[Technology]]="All",LCI_Table[[#This Row],[Technology]]=SelectedTechnology)</f>
        <v>1</v>
      </c>
      <c r="K1416" s="14" t="b">
        <f>OR(LCI_Table[[#This Row],[Data Source]]="All",LCI_Table[[#This Row],[Data Source]]=SelectedDataSource)</f>
        <v>0</v>
      </c>
      <c r="L1416" s="14" t="b">
        <f>TRUE</f>
        <v>1</v>
      </c>
      <c r="M1416" s="14" t="b">
        <f>(LCI_Table[[#This Row],[Dev Notes]]="Do not display")</f>
        <v>0</v>
      </c>
      <c r="N1416" s="14" t="b">
        <f>AND(LCI_Table[[#This Row],[Show Feedstock]:[Conditional]],NOT(LCI_Table[[#This Row],[Hide Row]]))</f>
        <v>0</v>
      </c>
      <c r="O1416" s="14" t="b">
        <f>LCI_Table[[#This Row],[GREET1 Name Range]]=""</f>
        <v>0</v>
      </c>
      <c r="P1416" s="14" t="s">
        <v>14</v>
      </c>
      <c r="Q1416" s="14" t="s">
        <v>705</v>
      </c>
      <c r="R1416" s="348" t="s">
        <v>110</v>
      </c>
      <c r="S1416" s="37" cm="1">
        <f t="array" aca="1" ref="S14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8.7502949650776962</v>
      </c>
      <c r="T1416" s="346" t="s">
        <v>1561</v>
      </c>
      <c r="U1416" s="347">
        <f ca="1">S1416/BTU2kWh/S1402</f>
        <v>3718.3863159328857</v>
      </c>
      <c r="V1416" s="347">
        <v>8.7502949650776962</v>
      </c>
      <c r="W1416" s="347">
        <v>3718.3863159328857</v>
      </c>
      <c r="X1416" s="14" t="s">
        <v>51</v>
      </c>
      <c r="Y1416" s="346" t="s">
        <v>413</v>
      </c>
      <c r="Z1416" s="14" t="str">
        <f>IF(ISBLANK(LCI_Table[[#This Row],[Notes for user]])," ",LCI_Table[[#This Row],[Notes for user]])</f>
        <v xml:space="preserve"> </v>
      </c>
      <c r="AA1416" s="14"/>
      <c r="AB1416" s="14"/>
      <c r="AC1416" s="346">
        <f ca="1">LCI_Table[[#This Row],[Default Calculated Value]]-LCI_Table[[#This Row],[Calculated Value]]</f>
        <v>0</v>
      </c>
    </row>
    <row r="1417" spans="1:29" x14ac:dyDescent="0.3">
      <c r="A14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MiscanthusFTICAOMIT (GREET)(blank)_Miscanthus_FT_efficiencyMiscanthus</v>
      </c>
      <c r="B1417" s="14" t="s">
        <v>134</v>
      </c>
      <c r="C1417" s="14" t="s">
        <v>129</v>
      </c>
      <c r="D1417" s="14" t="s">
        <v>194</v>
      </c>
      <c r="E1417" s="48" t="s">
        <v>1335</v>
      </c>
      <c r="F1417" s="48" t="s">
        <v>31</v>
      </c>
      <c r="G1417" s="14" t="b">
        <f>OR(LCI_Table[[#This Row],[Feedstock]]="All",LCI_Table[[#This Row],[Feedstock]]=SelectedFeedstock)</f>
        <v>0</v>
      </c>
      <c r="H1417" s="14" t="b">
        <f>OR(LCI_Table[[#This Row],[Conversion]]="All",LCI_Table[[#This Row],[Conversion]]=SelectedConversion)</f>
        <v>0</v>
      </c>
      <c r="I1417" s="14" t="b">
        <f>OR(LCI_Table[[#This Row],[Data Set]]="all",LCI_Table[[#This Row],[Data Set]]=SelectedDataSet)</f>
        <v>0</v>
      </c>
      <c r="J1417" s="14" t="b">
        <f>OR(LCI_Table[[#This Row],[Technology]]="All",LCI_Table[[#This Row],[Technology]]=SelectedTechnology)</f>
        <v>1</v>
      </c>
      <c r="K1417" s="14" t="b">
        <f>OR(LCI_Table[[#This Row],[Data Source]]="All",LCI_Table[[#This Row],[Data Source]]=SelectedDataSource)</f>
        <v>0</v>
      </c>
      <c r="L1417" s="14" t="b">
        <f>TRUE</f>
        <v>1</v>
      </c>
      <c r="M1417" s="14" t="b">
        <f>(LCI_Table[[#This Row],[Dev Notes]]="Do not display")</f>
        <v>0</v>
      </c>
      <c r="N1417" s="14" t="b">
        <f>AND(LCI_Table[[#This Row],[Show Feedstock]:[Conditional]],NOT(LCI_Table[[#This Row],[Hide Row]]))</f>
        <v>0</v>
      </c>
      <c r="O1417" s="14" t="b">
        <f>LCI_Table[[#This Row],[GREET1 Name Range]]=""</f>
        <v>0</v>
      </c>
      <c r="P1417" s="14" t="s">
        <v>1448</v>
      </c>
      <c r="Q1417" s="14" t="s">
        <v>937</v>
      </c>
      <c r="R1417" s="14" t="s">
        <v>134</v>
      </c>
      <c r="S1417" s="37" cm="1">
        <f t="array" aca="1" ref="S14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0.1303611002476861</v>
      </c>
      <c r="T1417" s="346" t="s">
        <v>2125</v>
      </c>
      <c r="U1417" s="347">
        <f ca="1">1/(S1417*Fuel_Specs!$B$98*BTU2mmBTU)</f>
        <v>0.5</v>
      </c>
      <c r="V1417" s="347">
        <v>0.1303611002476861</v>
      </c>
      <c r="W1417" s="347">
        <v>0.5</v>
      </c>
      <c r="X1417" s="37" t="s">
        <v>55</v>
      </c>
      <c r="Y1417" s="346" t="s">
        <v>416</v>
      </c>
      <c r="Z1417" s="14" t="str">
        <f>IF(ISBLANK(LCI_Table[[#This Row],[Notes for user]])," ",LCI_Table[[#This Row],[Notes for user]])</f>
        <v xml:space="preserve"> </v>
      </c>
      <c r="AA1417" s="14"/>
      <c r="AB1417" s="14"/>
      <c r="AC1417" s="346">
        <f ca="1">LCI_Table[[#This Row],[Default Calculated Value]]-LCI_Table[[#This Row],[Calculated Value]]</f>
        <v>0</v>
      </c>
    </row>
    <row r="1418" spans="1:29" x14ac:dyDescent="0.3">
      <c r="A14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dash_MiscanthusFTICAOJRC (GREET)(blank)_Yield_Farming</v>
      </c>
      <c r="B1418" s="48" t="s">
        <v>134</v>
      </c>
      <c r="C1418" s="48" t="s">
        <v>129</v>
      </c>
      <c r="D1418" s="48" t="s">
        <v>194</v>
      </c>
      <c r="E1418" s="48" t="s">
        <v>1338</v>
      </c>
      <c r="F1418" s="48" t="s">
        <v>31</v>
      </c>
      <c r="G1418" s="14" t="b">
        <f>OR(LCI_Table[[#This Row],[Feedstock]]="All",LCI_Table[[#This Row],[Feedstock]]=SelectedFeedstock)</f>
        <v>0</v>
      </c>
      <c r="H1418" s="14" t="b">
        <f>OR(LCI_Table[[#This Row],[Conversion]]="All",LCI_Table[[#This Row],[Conversion]]=SelectedConversion)</f>
        <v>0</v>
      </c>
      <c r="I1418" s="14" t="b">
        <f>OR(LCI_Table[[#This Row],[Data Set]]="all",LCI_Table[[#This Row],[Data Set]]=SelectedDataSet)</f>
        <v>0</v>
      </c>
      <c r="J1418" s="14" t="b">
        <f>OR(LCI_Table[[#This Row],[Technology]]="All",LCI_Table[[#This Row],[Technology]]=SelectedTechnology)</f>
        <v>1</v>
      </c>
      <c r="K1418" s="14" t="b">
        <f>OR(LCI_Table[[#This Row],[Data Source]]="All",LCI_Table[[#This Row],[Data Source]]=SelectedDataSource)</f>
        <v>0</v>
      </c>
      <c r="L1418" s="14" t="b">
        <f>TRUE</f>
        <v>1</v>
      </c>
      <c r="M1418" s="14" t="b">
        <f>(LCI_Table[[#This Row],[Dev Notes]]="Do not display")</f>
        <v>0</v>
      </c>
      <c r="N1418" s="14" t="b">
        <f>AND(LCI_Table[[#This Row],[Show Feedstock]:[Conditional]],NOT(LCI_Table[[#This Row],[Hide Row]]))</f>
        <v>0</v>
      </c>
      <c r="O1418" s="14" t="b">
        <f>LCI_Table[[#This Row],[GREET1 Name Range]]=""</f>
        <v>1</v>
      </c>
      <c r="P1418" s="48" t="s">
        <v>14</v>
      </c>
      <c r="Q1418" s="14" t="s">
        <v>361</v>
      </c>
      <c r="R1418" s="48" t="s">
        <v>200</v>
      </c>
      <c r="S1418" s="37" cm="1">
        <f t="array" aca="1" ref="S14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9.2340681637906457</v>
      </c>
      <c r="T1418" s="346" t="s">
        <v>2116</v>
      </c>
      <c r="U1418" s="344"/>
      <c r="V1418" s="344">
        <v>9.2340681637906457</v>
      </c>
      <c r="W1418" s="344"/>
      <c r="X1418" s="48" t="s">
        <v>55</v>
      </c>
      <c r="Y1418" s="346" t="s">
        <v>413</v>
      </c>
      <c r="Z1418" s="14" t="str">
        <f>IF(ISBLANK(LCI_Table[[#This Row],[Notes for user]])," ",LCI_Table[[#This Row],[Notes for user]])</f>
        <v xml:space="preserve"> </v>
      </c>
      <c r="AA1418" s="48"/>
      <c r="AB1418" s="345"/>
      <c r="AC1418" s="346">
        <f>LCI_Table[[#This Row],[Default Calculated Value]]-LCI_Table[[#This Row],[Calculated Value]]</f>
        <v>0</v>
      </c>
    </row>
    <row r="1419" spans="1:29" x14ac:dyDescent="0.3">
      <c r="A14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MiscanthusFTICAOJRC (GREET)(blank)_Miscanthus_Farming_Nitrogen_fertilizerNitrogen fertilizer</v>
      </c>
      <c r="B1419" s="14" t="s">
        <v>134</v>
      </c>
      <c r="C1419" s="14" t="s">
        <v>129</v>
      </c>
      <c r="D1419" s="14" t="s">
        <v>194</v>
      </c>
      <c r="E1419" s="48" t="s">
        <v>1338</v>
      </c>
      <c r="F1419" s="48" t="s">
        <v>31</v>
      </c>
      <c r="G1419" s="14" t="b">
        <f>OR(LCI_Table[[#This Row],[Feedstock]]="All",LCI_Table[[#This Row],[Feedstock]]=SelectedFeedstock)</f>
        <v>0</v>
      </c>
      <c r="H1419" s="14" t="b">
        <f>OR(LCI_Table[[#This Row],[Conversion]]="All",LCI_Table[[#This Row],[Conversion]]=SelectedConversion)</f>
        <v>0</v>
      </c>
      <c r="I1419" s="14" t="b">
        <f>OR(LCI_Table[[#This Row],[Data Set]]="all",LCI_Table[[#This Row],[Data Set]]=SelectedDataSet)</f>
        <v>0</v>
      </c>
      <c r="J1419" s="14" t="b">
        <f>OR(LCI_Table[[#This Row],[Technology]]="All",LCI_Table[[#This Row],[Technology]]=SelectedTechnology)</f>
        <v>1</v>
      </c>
      <c r="K1419" s="14" t="b">
        <f>OR(LCI_Table[[#This Row],[Data Source]]="All",LCI_Table[[#This Row],[Data Source]]=SelectedDataSource)</f>
        <v>0</v>
      </c>
      <c r="L1419" s="14" t="b">
        <f>TRUE</f>
        <v>1</v>
      </c>
      <c r="M1419" s="14" t="b">
        <f>(LCI_Table[[#This Row],[Dev Notes]]="Do not display")</f>
        <v>0</v>
      </c>
      <c r="N1419" s="14" t="b">
        <f>AND(LCI_Table[[#This Row],[Show Feedstock]:[Conditional]],NOT(LCI_Table[[#This Row],[Hide Row]]))</f>
        <v>0</v>
      </c>
      <c r="O1419" s="14" t="b">
        <f>LCI_Table[[#This Row],[GREET1 Name Range]]=""</f>
        <v>0</v>
      </c>
      <c r="P1419" s="14" t="s">
        <v>14</v>
      </c>
      <c r="Q1419" s="14" t="s">
        <v>713</v>
      </c>
      <c r="R1419" s="14" t="s">
        <v>111</v>
      </c>
      <c r="S1419" s="37" cm="1">
        <f t="array" aca="1" ref="S14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55.404119497166135</v>
      </c>
      <c r="T1419" s="346" t="s">
        <v>1485</v>
      </c>
      <c r="U1419" s="347">
        <f ca="1">S1419/S1418*lb2g</f>
        <v>2721.5400000000004</v>
      </c>
      <c r="V1419" s="347">
        <v>55.404119497166135</v>
      </c>
      <c r="W1419" s="347">
        <v>2721.5400000000004</v>
      </c>
      <c r="X1419" s="14" t="s">
        <v>12</v>
      </c>
      <c r="Y1419" s="346" t="s">
        <v>413</v>
      </c>
      <c r="Z1419" s="14" t="str">
        <f>IF(ISBLANK(LCI_Table[[#This Row],[Notes for user]])," ",LCI_Table[[#This Row],[Notes for user]])</f>
        <v xml:space="preserve"> </v>
      </c>
      <c r="AA1419" s="14"/>
      <c r="AB1419" s="14"/>
      <c r="AC1419" s="346">
        <f ca="1">LCI_Table[[#This Row],[Default Calculated Value]]-LCI_Table[[#This Row],[Calculated Value]]</f>
        <v>0</v>
      </c>
    </row>
    <row r="1420" spans="1:29" x14ac:dyDescent="0.3">
      <c r="A14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MiscanthusFTICAOJRC (GREET)(blank)_Miscanthus_Farming_P2O5P2O5</v>
      </c>
      <c r="B1420" s="14" t="s">
        <v>134</v>
      </c>
      <c r="C1420" s="14" t="s">
        <v>129</v>
      </c>
      <c r="D1420" s="14" t="s">
        <v>194</v>
      </c>
      <c r="E1420" s="48" t="s">
        <v>1338</v>
      </c>
      <c r="F1420" s="48" t="s">
        <v>31</v>
      </c>
      <c r="G1420" s="14" t="b">
        <f>OR(LCI_Table[[#This Row],[Feedstock]]="All",LCI_Table[[#This Row],[Feedstock]]=SelectedFeedstock)</f>
        <v>0</v>
      </c>
      <c r="H1420" s="14" t="b">
        <f>OR(LCI_Table[[#This Row],[Conversion]]="All",LCI_Table[[#This Row],[Conversion]]=SelectedConversion)</f>
        <v>0</v>
      </c>
      <c r="I1420" s="14" t="b">
        <f>OR(LCI_Table[[#This Row],[Data Set]]="all",LCI_Table[[#This Row],[Data Set]]=SelectedDataSet)</f>
        <v>0</v>
      </c>
      <c r="J1420" s="14" t="b">
        <f>OR(LCI_Table[[#This Row],[Technology]]="All",LCI_Table[[#This Row],[Technology]]=SelectedTechnology)</f>
        <v>1</v>
      </c>
      <c r="K1420" s="14" t="b">
        <f>OR(LCI_Table[[#This Row],[Data Source]]="All",LCI_Table[[#This Row],[Data Source]]=SelectedDataSource)</f>
        <v>0</v>
      </c>
      <c r="L1420" s="14" t="b">
        <f>TRUE</f>
        <v>1</v>
      </c>
      <c r="M1420" s="14" t="b">
        <f>(LCI_Table[[#This Row],[Dev Notes]]="Do not display")</f>
        <v>0</v>
      </c>
      <c r="N1420" s="14" t="b">
        <f>AND(LCI_Table[[#This Row],[Show Feedstock]:[Conditional]],NOT(LCI_Table[[#This Row],[Hide Row]]))</f>
        <v>0</v>
      </c>
      <c r="O1420" s="14" t="b">
        <f>LCI_Table[[#This Row],[GREET1 Name Range]]=""</f>
        <v>0</v>
      </c>
      <c r="P1420" s="14" t="s">
        <v>14</v>
      </c>
      <c r="Q1420" s="14" t="s">
        <v>714</v>
      </c>
      <c r="R1420" s="14" t="s">
        <v>112</v>
      </c>
      <c r="S1420" s="37" cm="1">
        <f t="array" aca="1" ref="S14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9.2340199161943541</v>
      </c>
      <c r="T1420" s="346" t="s">
        <v>1485</v>
      </c>
      <c r="U1420" s="347">
        <f ca="1">S1420/S1418*lb2g</f>
        <v>453.58999999999992</v>
      </c>
      <c r="V1420" s="347">
        <v>9.2340199161943541</v>
      </c>
      <c r="W1420" s="347">
        <v>453.58999999999992</v>
      </c>
      <c r="X1420" s="14" t="s">
        <v>12</v>
      </c>
      <c r="Y1420" s="346" t="s">
        <v>413</v>
      </c>
      <c r="Z1420" s="14" t="str">
        <f>IF(ISBLANK(LCI_Table[[#This Row],[Notes for user]])," ",LCI_Table[[#This Row],[Notes for user]])</f>
        <v xml:space="preserve"> </v>
      </c>
      <c r="AA1420" s="14"/>
      <c r="AB1420" s="14"/>
      <c r="AC1420" s="346">
        <f ca="1">LCI_Table[[#This Row],[Default Calculated Value]]-LCI_Table[[#This Row],[Calculated Value]]</f>
        <v>0</v>
      </c>
    </row>
    <row r="1421" spans="1:29" x14ac:dyDescent="0.3">
      <c r="A14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MiscanthusFTICAOJRC (GREET)(blank)_Miscanthus_Farming_K2OK2O</v>
      </c>
      <c r="B1421" s="14" t="s">
        <v>134</v>
      </c>
      <c r="C1421" s="14" t="s">
        <v>129</v>
      </c>
      <c r="D1421" s="14" t="s">
        <v>194</v>
      </c>
      <c r="E1421" s="48" t="s">
        <v>1338</v>
      </c>
      <c r="F1421" s="48" t="s">
        <v>31</v>
      </c>
      <c r="G1421" s="14" t="b">
        <f>OR(LCI_Table[[#This Row],[Feedstock]]="All",LCI_Table[[#This Row],[Feedstock]]=SelectedFeedstock)</f>
        <v>0</v>
      </c>
      <c r="H1421" s="14" t="b">
        <f>OR(LCI_Table[[#This Row],[Conversion]]="All",LCI_Table[[#This Row],[Conversion]]=SelectedConversion)</f>
        <v>0</v>
      </c>
      <c r="I1421" s="14" t="b">
        <f>OR(LCI_Table[[#This Row],[Data Set]]="all",LCI_Table[[#This Row],[Data Set]]=SelectedDataSet)</f>
        <v>0</v>
      </c>
      <c r="J1421" s="14" t="b">
        <f>OR(LCI_Table[[#This Row],[Technology]]="All",LCI_Table[[#This Row],[Technology]]=SelectedTechnology)</f>
        <v>1</v>
      </c>
      <c r="K1421" s="14" t="b">
        <f>OR(LCI_Table[[#This Row],[Data Source]]="All",LCI_Table[[#This Row],[Data Source]]=SelectedDataSource)</f>
        <v>0</v>
      </c>
      <c r="L1421" s="14" t="b">
        <f>TRUE</f>
        <v>1</v>
      </c>
      <c r="M1421" s="14" t="b">
        <f>(LCI_Table[[#This Row],[Dev Notes]]="Do not display")</f>
        <v>0</v>
      </c>
      <c r="N1421" s="14" t="b">
        <f>AND(LCI_Table[[#This Row],[Show Feedstock]:[Conditional]],NOT(LCI_Table[[#This Row],[Hide Row]]))</f>
        <v>0</v>
      </c>
      <c r="O1421" s="14" t="b">
        <f>LCI_Table[[#This Row],[GREET1 Name Range]]=""</f>
        <v>0</v>
      </c>
      <c r="P1421" s="14" t="s">
        <v>14</v>
      </c>
      <c r="Q1421" s="14" t="s">
        <v>710</v>
      </c>
      <c r="R1421" s="14" t="s">
        <v>113</v>
      </c>
      <c r="S1421" s="37" cm="1">
        <f t="array" aca="1" ref="S14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96.033807128421302</v>
      </c>
      <c r="T1421" s="346" t="s">
        <v>1485</v>
      </c>
      <c r="U1421" s="347">
        <f ca="1">S1421/S1418*lb2g</f>
        <v>4717.3360000000002</v>
      </c>
      <c r="V1421" s="347">
        <v>96.033807128421302</v>
      </c>
      <c r="W1421" s="347">
        <v>4717.3360000000002</v>
      </c>
      <c r="X1421" s="14" t="s">
        <v>12</v>
      </c>
      <c r="Y1421" s="346" t="s">
        <v>413</v>
      </c>
      <c r="Z1421" s="14" t="str">
        <f>IF(ISBLANK(LCI_Table[[#This Row],[Notes for user]])," ",LCI_Table[[#This Row],[Notes for user]])</f>
        <v xml:space="preserve"> </v>
      </c>
      <c r="AA1421" s="14"/>
      <c r="AB1421" s="14"/>
      <c r="AC1421" s="346">
        <f ca="1">LCI_Table[[#This Row],[Default Calculated Value]]-LCI_Table[[#This Row],[Calculated Value]]</f>
        <v>0</v>
      </c>
    </row>
    <row r="1422" spans="1:29" x14ac:dyDescent="0.3">
      <c r="A14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MiscanthusFTICAOJRC (GREET)(blank)_Miscanthus_Farming_CaCO3CaCO3</v>
      </c>
      <c r="B1422" s="14" t="s">
        <v>134</v>
      </c>
      <c r="C1422" s="14" t="s">
        <v>129</v>
      </c>
      <c r="D1422" s="14" t="s">
        <v>194</v>
      </c>
      <c r="E1422" s="48" t="s">
        <v>1338</v>
      </c>
      <c r="F1422" s="48" t="s">
        <v>31</v>
      </c>
      <c r="G1422" s="14" t="b">
        <f>OR(LCI_Table[[#This Row],[Feedstock]]="All",LCI_Table[[#This Row],[Feedstock]]=SelectedFeedstock)</f>
        <v>0</v>
      </c>
      <c r="H1422" s="14" t="b">
        <f>OR(LCI_Table[[#This Row],[Conversion]]="All",LCI_Table[[#This Row],[Conversion]]=SelectedConversion)</f>
        <v>0</v>
      </c>
      <c r="I1422" s="14" t="b">
        <f>OR(LCI_Table[[#This Row],[Data Set]]="all",LCI_Table[[#This Row],[Data Set]]=SelectedDataSet)</f>
        <v>0</v>
      </c>
      <c r="J1422" s="14" t="b">
        <f>OR(LCI_Table[[#This Row],[Technology]]="All",LCI_Table[[#This Row],[Technology]]=SelectedTechnology)</f>
        <v>1</v>
      </c>
      <c r="K1422" s="14" t="b">
        <f>OR(LCI_Table[[#This Row],[Data Source]]="All",LCI_Table[[#This Row],[Data Source]]=SelectedDataSource)</f>
        <v>0</v>
      </c>
      <c r="L1422" s="14" t="b">
        <f>TRUE</f>
        <v>1</v>
      </c>
      <c r="M1422" s="14" t="b">
        <f>(LCI_Table[[#This Row],[Dev Notes]]="Do not display")</f>
        <v>0</v>
      </c>
      <c r="N1422" s="14" t="b">
        <f>AND(LCI_Table[[#This Row],[Show Feedstock]:[Conditional]],NOT(LCI_Table[[#This Row],[Hide Row]]))</f>
        <v>0</v>
      </c>
      <c r="O1422" s="14" t="b">
        <f>LCI_Table[[#This Row],[GREET1 Name Range]]=""</f>
        <v>0</v>
      </c>
      <c r="P1422" s="14" t="s">
        <v>14</v>
      </c>
      <c r="Q1422" s="14" t="s">
        <v>702</v>
      </c>
      <c r="R1422" s="14" t="s">
        <v>141</v>
      </c>
      <c r="S1422" s="37" cm="1">
        <f t="array" aca="1" ref="S14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22" s="346" t="s">
        <v>1485</v>
      </c>
      <c r="U1422" s="347">
        <f ca="1">S1422/S1418*lb2g</f>
        <v>0</v>
      </c>
      <c r="V1422" s="347">
        <v>0</v>
      </c>
      <c r="W1422" s="347">
        <v>0</v>
      </c>
      <c r="X1422" s="14" t="s">
        <v>12</v>
      </c>
      <c r="Y1422" s="346" t="s">
        <v>413</v>
      </c>
      <c r="Z1422" s="14" t="str">
        <f>IF(ISBLANK(LCI_Table[[#This Row],[Notes for user]])," ",LCI_Table[[#This Row],[Notes for user]])</f>
        <v xml:space="preserve"> </v>
      </c>
      <c r="AA1422" s="14"/>
      <c r="AB1422" s="14"/>
      <c r="AC1422" s="346">
        <f ca="1">LCI_Table[[#This Row],[Default Calculated Value]]-LCI_Table[[#This Row],[Calculated Value]]</f>
        <v>0</v>
      </c>
    </row>
    <row r="1423" spans="1:29" x14ac:dyDescent="0.3">
      <c r="A14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MiscanthusFTICAOJRC (GREET)(blank)_Miscanthus_Farming_HerbicidesHerbicides</v>
      </c>
      <c r="B1423" s="14" t="s">
        <v>134</v>
      </c>
      <c r="C1423" s="14" t="s">
        <v>129</v>
      </c>
      <c r="D1423" s="14" t="s">
        <v>194</v>
      </c>
      <c r="E1423" s="48" t="s">
        <v>1338</v>
      </c>
      <c r="F1423" s="48" t="s">
        <v>31</v>
      </c>
      <c r="G1423" s="14" t="b">
        <f>OR(LCI_Table[[#This Row],[Feedstock]]="All",LCI_Table[[#This Row],[Feedstock]]=SelectedFeedstock)</f>
        <v>0</v>
      </c>
      <c r="H1423" s="14" t="b">
        <f>OR(LCI_Table[[#This Row],[Conversion]]="All",LCI_Table[[#This Row],[Conversion]]=SelectedConversion)</f>
        <v>0</v>
      </c>
      <c r="I1423" s="14" t="b">
        <f>OR(LCI_Table[[#This Row],[Data Set]]="all",LCI_Table[[#This Row],[Data Set]]=SelectedDataSet)</f>
        <v>0</v>
      </c>
      <c r="J1423" s="14" t="b">
        <f>OR(LCI_Table[[#This Row],[Technology]]="All",LCI_Table[[#This Row],[Technology]]=SelectedTechnology)</f>
        <v>1</v>
      </c>
      <c r="K1423" s="14" t="b">
        <f>OR(LCI_Table[[#This Row],[Data Source]]="All",LCI_Table[[#This Row],[Data Source]]=SelectedDataSource)</f>
        <v>0</v>
      </c>
      <c r="L1423" s="14" t="b">
        <f>TRUE</f>
        <v>1</v>
      </c>
      <c r="M1423" s="14" t="b">
        <f>(LCI_Table[[#This Row],[Dev Notes]]="Do not display")</f>
        <v>0</v>
      </c>
      <c r="N1423" s="14" t="b">
        <f>AND(LCI_Table[[#This Row],[Show Feedstock]:[Conditional]],NOT(LCI_Table[[#This Row],[Hide Row]]))</f>
        <v>0</v>
      </c>
      <c r="O1423" s="14" t="b">
        <f>LCI_Table[[#This Row],[GREET1 Name Range]]=""</f>
        <v>0</v>
      </c>
      <c r="P1423" s="14" t="s">
        <v>14</v>
      </c>
      <c r="Q1423" s="14" t="s">
        <v>708</v>
      </c>
      <c r="R1423" s="14" t="s">
        <v>356</v>
      </c>
      <c r="S1423" s="37" cm="1">
        <f t="array" aca="1" ref="S14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1.4512726953632349</v>
      </c>
      <c r="T1423" s="346" t="s">
        <v>1485</v>
      </c>
      <c r="U1423" s="347">
        <f ca="1">S1423/S1418*lb2g</f>
        <v>71.288863123993551</v>
      </c>
      <c r="V1423" s="347">
        <v>1.4512726953632349</v>
      </c>
      <c r="W1423" s="347">
        <v>71.288863123993551</v>
      </c>
      <c r="X1423" s="14" t="s">
        <v>12</v>
      </c>
      <c r="Y1423" s="346" t="s">
        <v>413</v>
      </c>
      <c r="Z1423" s="14" t="str">
        <f>IF(ISBLANK(LCI_Table[[#This Row],[Notes for user]])," ",LCI_Table[[#This Row],[Notes for user]])</f>
        <v xml:space="preserve"> </v>
      </c>
      <c r="AA1423" s="14"/>
      <c r="AB1423" s="14"/>
      <c r="AC1423" s="346">
        <f ca="1">LCI_Table[[#This Row],[Default Calculated Value]]-LCI_Table[[#This Row],[Calculated Value]]</f>
        <v>0</v>
      </c>
    </row>
    <row r="1424" spans="1:29" x14ac:dyDescent="0.3">
      <c r="A14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MiscanthusFTICAOJRC (GREET)(blank)_Miscanthus_Farming_InsecticideInsecticide</v>
      </c>
      <c r="B1424" s="14" t="s">
        <v>134</v>
      </c>
      <c r="C1424" s="14" t="s">
        <v>129</v>
      </c>
      <c r="D1424" s="14" t="s">
        <v>194</v>
      </c>
      <c r="E1424" s="48" t="s">
        <v>1338</v>
      </c>
      <c r="F1424" s="48" t="s">
        <v>31</v>
      </c>
      <c r="G1424" s="14" t="b">
        <f>OR(LCI_Table[[#This Row],[Feedstock]]="All",LCI_Table[[#This Row],[Feedstock]]=SelectedFeedstock)</f>
        <v>0</v>
      </c>
      <c r="H1424" s="14" t="b">
        <f>OR(LCI_Table[[#This Row],[Conversion]]="All",LCI_Table[[#This Row],[Conversion]]=SelectedConversion)</f>
        <v>0</v>
      </c>
      <c r="I1424" s="14" t="b">
        <f>OR(LCI_Table[[#This Row],[Data Set]]="all",LCI_Table[[#This Row],[Data Set]]=SelectedDataSet)</f>
        <v>0</v>
      </c>
      <c r="J1424" s="14" t="b">
        <f>OR(LCI_Table[[#This Row],[Technology]]="All",LCI_Table[[#This Row],[Technology]]=SelectedTechnology)</f>
        <v>1</v>
      </c>
      <c r="K1424" s="14" t="b">
        <f>OR(LCI_Table[[#This Row],[Data Source]]="All",LCI_Table[[#This Row],[Data Source]]=SelectedDataSource)</f>
        <v>0</v>
      </c>
      <c r="L1424" s="14" t="b">
        <f>TRUE</f>
        <v>1</v>
      </c>
      <c r="M1424" s="14" t="b">
        <f>(LCI_Table[[#This Row],[Dev Notes]]="Do not display")</f>
        <v>0</v>
      </c>
      <c r="N1424" s="14" t="b">
        <f>AND(LCI_Table[[#This Row],[Show Feedstock]:[Conditional]],NOT(LCI_Table[[#This Row],[Hide Row]]))</f>
        <v>0</v>
      </c>
      <c r="O1424" s="14" t="b">
        <f>LCI_Table[[#This Row],[GREET1 Name Range]]=""</f>
        <v>0</v>
      </c>
      <c r="P1424" s="14" t="s">
        <v>14</v>
      </c>
      <c r="Q1424" s="14" t="s">
        <v>709</v>
      </c>
      <c r="R1424" s="14" t="s">
        <v>114</v>
      </c>
      <c r="S1424" s="37" cm="1">
        <f t="array" aca="1" ref="S14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24" s="346" t="s">
        <v>1485</v>
      </c>
      <c r="U1424" s="347">
        <f ca="1">S1424/S1418*lb2g</f>
        <v>0</v>
      </c>
      <c r="V1424" s="347">
        <v>0</v>
      </c>
      <c r="W1424" s="347">
        <v>0</v>
      </c>
      <c r="X1424" s="14" t="s">
        <v>12</v>
      </c>
      <c r="Y1424" s="346" t="s">
        <v>413</v>
      </c>
      <c r="Z1424" s="14" t="str">
        <f>IF(ISBLANK(LCI_Table[[#This Row],[Notes for user]])," ",LCI_Table[[#This Row],[Notes for user]])</f>
        <v xml:space="preserve"> </v>
      </c>
      <c r="AA1424" s="14"/>
      <c r="AB1424" s="14"/>
      <c r="AC1424" s="346">
        <f ca="1">LCI_Table[[#This Row],[Default Calculated Value]]-LCI_Table[[#This Row],[Calculated Value]]</f>
        <v>0</v>
      </c>
    </row>
    <row r="1425" spans="1:29" x14ac:dyDescent="0.3">
      <c r="A14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MiscanthusFTICAOJRC (GREET)(blank)_Miscanthus_Farming_HDPEHDPE</v>
      </c>
      <c r="B1425" s="14" t="s">
        <v>134</v>
      </c>
      <c r="C1425" s="14" t="s">
        <v>129</v>
      </c>
      <c r="D1425" s="14" t="s">
        <v>194</v>
      </c>
      <c r="E1425" s="48" t="s">
        <v>1338</v>
      </c>
      <c r="F1425" s="48" t="s">
        <v>31</v>
      </c>
      <c r="G1425" s="14" t="b">
        <f>OR(LCI_Table[[#This Row],[Feedstock]]="All",LCI_Table[[#This Row],[Feedstock]]=SelectedFeedstock)</f>
        <v>0</v>
      </c>
      <c r="H1425" s="14" t="b">
        <f>OR(LCI_Table[[#This Row],[Conversion]]="All",LCI_Table[[#This Row],[Conversion]]=SelectedConversion)</f>
        <v>0</v>
      </c>
      <c r="I1425" s="14" t="b">
        <f>OR(LCI_Table[[#This Row],[Data Set]]="all",LCI_Table[[#This Row],[Data Set]]=SelectedDataSet)</f>
        <v>0</v>
      </c>
      <c r="J1425" s="14" t="b">
        <f>OR(LCI_Table[[#This Row],[Technology]]="All",LCI_Table[[#This Row],[Technology]]=SelectedTechnology)</f>
        <v>1</v>
      </c>
      <c r="K1425" s="14" t="b">
        <f>OR(LCI_Table[[#This Row],[Data Source]]="All",LCI_Table[[#This Row],[Data Source]]=SelectedDataSource)</f>
        <v>0</v>
      </c>
      <c r="L1425" s="14" t="b">
        <f>TRUE</f>
        <v>1</v>
      </c>
      <c r="M1425" s="14" t="b">
        <f>(LCI_Table[[#This Row],[Dev Notes]]="Do not display")</f>
        <v>0</v>
      </c>
      <c r="N1425" s="14" t="b">
        <f>AND(LCI_Table[[#This Row],[Show Feedstock]:[Conditional]],NOT(LCI_Table[[#This Row],[Hide Row]]))</f>
        <v>0</v>
      </c>
      <c r="O1425" s="14" t="b">
        <f>LCI_Table[[#This Row],[GREET1 Name Range]]=""</f>
        <v>0</v>
      </c>
      <c r="P1425" s="14" t="s">
        <v>14</v>
      </c>
      <c r="Q1425" s="14" t="s">
        <v>707</v>
      </c>
      <c r="R1425" s="14" t="s">
        <v>357</v>
      </c>
      <c r="S1425" s="37" cm="1">
        <f t="array" aca="1" ref="S14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25" s="346" t="s">
        <v>1485</v>
      </c>
      <c r="U1425" s="347">
        <f ca="1">S1425/S1418*lb2g</f>
        <v>0</v>
      </c>
      <c r="V1425" s="347">
        <v>0</v>
      </c>
      <c r="W1425" s="347">
        <v>0</v>
      </c>
      <c r="X1425" s="14" t="s">
        <v>12</v>
      </c>
      <c r="Y1425" s="346" t="s">
        <v>413</v>
      </c>
      <c r="Z1425" s="14" t="str">
        <f>IF(ISBLANK(LCI_Table[[#This Row],[Notes for user]])," ",LCI_Table[[#This Row],[Notes for user]])</f>
        <v xml:space="preserve"> </v>
      </c>
      <c r="AA1425" s="14"/>
      <c r="AB1425" s="14"/>
      <c r="AC1425" s="346">
        <f ca="1">LCI_Table[[#This Row],[Default Calculated Value]]-LCI_Table[[#This Row],[Calculated Value]]</f>
        <v>0</v>
      </c>
    </row>
    <row r="1426" spans="1:29" x14ac:dyDescent="0.3">
      <c r="A14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MiscanthusFTICAOJRC (GREET)(blank)_Miscanthus_Farming_Residual_oilResidual oil</v>
      </c>
      <c r="B1426" s="14" t="s">
        <v>134</v>
      </c>
      <c r="C1426" s="14" t="s">
        <v>129</v>
      </c>
      <c r="D1426" s="14" t="s">
        <v>194</v>
      </c>
      <c r="E1426" s="48" t="s">
        <v>1338</v>
      </c>
      <c r="F1426" s="48" t="s">
        <v>31</v>
      </c>
      <c r="G1426" s="14" t="b">
        <f>OR(LCI_Table[[#This Row],[Feedstock]]="All",LCI_Table[[#This Row],[Feedstock]]=SelectedFeedstock)</f>
        <v>0</v>
      </c>
      <c r="H1426" s="14" t="b">
        <f>OR(LCI_Table[[#This Row],[Conversion]]="All",LCI_Table[[#This Row],[Conversion]]=SelectedConversion)</f>
        <v>0</v>
      </c>
      <c r="I1426" s="14" t="b">
        <f>OR(LCI_Table[[#This Row],[Data Set]]="all",LCI_Table[[#This Row],[Data Set]]=SelectedDataSet)</f>
        <v>0</v>
      </c>
      <c r="J1426" s="14" t="b">
        <f>OR(LCI_Table[[#This Row],[Technology]]="All",LCI_Table[[#This Row],[Technology]]=SelectedTechnology)</f>
        <v>1</v>
      </c>
      <c r="K1426" s="14" t="b">
        <f>OR(LCI_Table[[#This Row],[Data Source]]="All",LCI_Table[[#This Row],[Data Source]]=SelectedDataSource)</f>
        <v>0</v>
      </c>
      <c r="L1426" s="14" t="b">
        <f>TRUE</f>
        <v>1</v>
      </c>
      <c r="M1426" s="14" t="b">
        <f>(LCI_Table[[#This Row],[Dev Notes]]="Do not display")</f>
        <v>0</v>
      </c>
      <c r="N1426" s="14" t="b">
        <f>AND(LCI_Table[[#This Row],[Show Feedstock]:[Conditional]],NOT(LCI_Table[[#This Row],[Hide Row]]))</f>
        <v>0</v>
      </c>
      <c r="O1426" s="14" t="b">
        <f>LCI_Table[[#This Row],[GREET1 Name Range]]=""</f>
        <v>0</v>
      </c>
      <c r="P1426" s="14" t="s">
        <v>14</v>
      </c>
      <c r="Q1426" s="14" t="s">
        <v>715</v>
      </c>
      <c r="R1426" s="14" t="s">
        <v>115</v>
      </c>
      <c r="S1426" s="37" cm="1">
        <f t="array" aca="1" ref="S14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26" s="346" t="s">
        <v>1484</v>
      </c>
      <c r="U1426" s="347">
        <f ca="1">S1426*Fuel_Specs!$B$28/S1418</f>
        <v>0</v>
      </c>
      <c r="V1426" s="347">
        <v>0</v>
      </c>
      <c r="W1426" s="347">
        <v>0</v>
      </c>
      <c r="X1426" s="14" t="s">
        <v>5</v>
      </c>
      <c r="Y1426" s="346" t="s">
        <v>413</v>
      </c>
      <c r="Z1426" s="14" t="str">
        <f>IF(ISBLANK(LCI_Table[[#This Row],[Notes for user]])," ",LCI_Table[[#This Row],[Notes for user]])</f>
        <v xml:space="preserve"> </v>
      </c>
      <c r="AA1426" s="14"/>
      <c r="AB1426" s="14"/>
      <c r="AC1426" s="346">
        <f ca="1">LCI_Table[[#This Row],[Default Calculated Value]]-LCI_Table[[#This Row],[Calculated Value]]</f>
        <v>0</v>
      </c>
    </row>
    <row r="1427" spans="1:29" x14ac:dyDescent="0.3">
      <c r="A14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MiscanthusFTICAOJRC (GREET)(blank)_Miscanthus_Farming_DieselDiesel</v>
      </c>
      <c r="B1427" s="14" t="s">
        <v>134</v>
      </c>
      <c r="C1427" s="14" t="s">
        <v>129</v>
      </c>
      <c r="D1427" s="14" t="s">
        <v>194</v>
      </c>
      <c r="E1427" s="48" t="s">
        <v>1338</v>
      </c>
      <c r="F1427" s="48" t="s">
        <v>31</v>
      </c>
      <c r="G1427" s="14" t="b">
        <f>OR(LCI_Table[[#This Row],[Feedstock]]="All",LCI_Table[[#This Row],[Feedstock]]=SelectedFeedstock)</f>
        <v>0</v>
      </c>
      <c r="H1427" s="14" t="b">
        <f>OR(LCI_Table[[#This Row],[Conversion]]="All",LCI_Table[[#This Row],[Conversion]]=SelectedConversion)</f>
        <v>0</v>
      </c>
      <c r="I1427" s="14" t="b">
        <f>OR(LCI_Table[[#This Row],[Data Set]]="all",LCI_Table[[#This Row],[Data Set]]=SelectedDataSet)</f>
        <v>0</v>
      </c>
      <c r="J1427" s="14" t="b">
        <f>OR(LCI_Table[[#This Row],[Technology]]="All",LCI_Table[[#This Row],[Technology]]=SelectedTechnology)</f>
        <v>1</v>
      </c>
      <c r="K1427" s="14" t="b">
        <f>OR(LCI_Table[[#This Row],[Data Source]]="All",LCI_Table[[#This Row],[Data Source]]=SelectedDataSource)</f>
        <v>0</v>
      </c>
      <c r="L1427" s="14" t="b">
        <f>TRUE</f>
        <v>1</v>
      </c>
      <c r="M1427" s="14" t="b">
        <f>(LCI_Table[[#This Row],[Dev Notes]]="Do not display")</f>
        <v>0</v>
      </c>
      <c r="N1427" s="14" t="b">
        <f>AND(LCI_Table[[#This Row],[Show Feedstock]:[Conditional]],NOT(LCI_Table[[#This Row],[Hide Row]]))</f>
        <v>0</v>
      </c>
      <c r="O1427" s="14" t="b">
        <f>LCI_Table[[#This Row],[GREET1 Name Range]]=""</f>
        <v>0</v>
      </c>
      <c r="P1427" s="14" t="s">
        <v>14</v>
      </c>
      <c r="Q1427" s="14" t="s">
        <v>704</v>
      </c>
      <c r="R1427" s="14" t="s">
        <v>106</v>
      </c>
      <c r="S1427" s="37" cm="1">
        <f t="array" aca="1" ref="S14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3.4453151622102465</v>
      </c>
      <c r="T1427" s="346" t="s">
        <v>1484</v>
      </c>
      <c r="U1427" s="347">
        <f ca="1">S1427*Fuel_Specs!$B$19/S1418</f>
        <v>47925.86807202387</v>
      </c>
      <c r="V1427" s="347">
        <v>3.4453151622102465</v>
      </c>
      <c r="W1427" s="347">
        <v>47925.86807202387</v>
      </c>
      <c r="X1427" s="14" t="s">
        <v>5</v>
      </c>
      <c r="Y1427" s="346" t="s">
        <v>413</v>
      </c>
      <c r="Z1427" s="14" t="str">
        <f>IF(ISBLANK(LCI_Table[[#This Row],[Notes for user]])," ",LCI_Table[[#This Row],[Notes for user]])</f>
        <v xml:space="preserve"> </v>
      </c>
      <c r="AA1427" s="14"/>
      <c r="AB1427" s="14"/>
      <c r="AC1427" s="346">
        <f ca="1">LCI_Table[[#This Row],[Default Calculated Value]]-LCI_Table[[#This Row],[Calculated Value]]</f>
        <v>0</v>
      </c>
    </row>
    <row r="1428" spans="1:29" x14ac:dyDescent="0.3">
      <c r="A14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MiscanthusFTICAOJRC (GREET)(blank)_Miscanthus_Farming_GasolineGasoline</v>
      </c>
      <c r="B1428" s="14" t="s">
        <v>134</v>
      </c>
      <c r="C1428" s="14" t="s">
        <v>129</v>
      </c>
      <c r="D1428" s="14" t="s">
        <v>194</v>
      </c>
      <c r="E1428" s="48" t="s">
        <v>1338</v>
      </c>
      <c r="F1428" s="48" t="s">
        <v>31</v>
      </c>
      <c r="G1428" s="14" t="b">
        <f>OR(LCI_Table[[#This Row],[Feedstock]]="All",LCI_Table[[#This Row],[Feedstock]]=SelectedFeedstock)</f>
        <v>0</v>
      </c>
      <c r="H1428" s="14" t="b">
        <f>OR(LCI_Table[[#This Row],[Conversion]]="All",LCI_Table[[#This Row],[Conversion]]=SelectedConversion)</f>
        <v>0</v>
      </c>
      <c r="I1428" s="14" t="b">
        <f>OR(LCI_Table[[#This Row],[Data Set]]="all",LCI_Table[[#This Row],[Data Set]]=SelectedDataSet)</f>
        <v>0</v>
      </c>
      <c r="J1428" s="14" t="b">
        <f>OR(LCI_Table[[#This Row],[Technology]]="All",LCI_Table[[#This Row],[Technology]]=SelectedTechnology)</f>
        <v>1</v>
      </c>
      <c r="K1428" s="14" t="b">
        <f>OR(LCI_Table[[#This Row],[Data Source]]="All",LCI_Table[[#This Row],[Data Source]]=SelectedDataSource)</f>
        <v>0</v>
      </c>
      <c r="L1428" s="14" t="b">
        <f>TRUE</f>
        <v>1</v>
      </c>
      <c r="M1428" s="14" t="b">
        <f>(LCI_Table[[#This Row],[Dev Notes]]="Do not display")</f>
        <v>0</v>
      </c>
      <c r="N1428" s="14" t="b">
        <f>AND(LCI_Table[[#This Row],[Show Feedstock]:[Conditional]],NOT(LCI_Table[[#This Row],[Hide Row]]))</f>
        <v>0</v>
      </c>
      <c r="O1428" s="14" t="b">
        <f>LCI_Table[[#This Row],[GREET1 Name Range]]=""</f>
        <v>0</v>
      </c>
      <c r="P1428" s="14" t="s">
        <v>14</v>
      </c>
      <c r="Q1428" s="14" t="s">
        <v>706</v>
      </c>
      <c r="R1428" s="14" t="s">
        <v>107</v>
      </c>
      <c r="S1428" s="37" cm="1">
        <f t="array" aca="1" ref="S14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28" s="346" t="s">
        <v>1484</v>
      </c>
      <c r="U1428" s="347">
        <f ca="1">S1428*Fuel_Specs!$B$15/S1418</f>
        <v>0</v>
      </c>
      <c r="V1428" s="347">
        <v>0</v>
      </c>
      <c r="W1428" s="347">
        <v>0</v>
      </c>
      <c r="X1428" s="14" t="s">
        <v>5</v>
      </c>
      <c r="Y1428" s="346" t="s">
        <v>413</v>
      </c>
      <c r="Z1428" s="14" t="str">
        <f>IF(ISBLANK(LCI_Table[[#This Row],[Notes for user]])," ",LCI_Table[[#This Row],[Notes for user]])</f>
        <v xml:space="preserve"> </v>
      </c>
      <c r="AA1428" s="14"/>
      <c r="AB1428" s="14"/>
      <c r="AC1428" s="346">
        <f ca="1">LCI_Table[[#This Row],[Default Calculated Value]]-LCI_Table[[#This Row],[Calculated Value]]</f>
        <v>0</v>
      </c>
    </row>
    <row r="1429" spans="1:29" x14ac:dyDescent="0.3">
      <c r="A14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MiscanthusFTICAOJRC (GREET)(blank)_Miscanthus_Farming_Natural_gasNatural gas</v>
      </c>
      <c r="B1429" s="14" t="s">
        <v>134</v>
      </c>
      <c r="C1429" s="14" t="s">
        <v>129</v>
      </c>
      <c r="D1429" s="14" t="s">
        <v>194</v>
      </c>
      <c r="E1429" s="48" t="s">
        <v>1338</v>
      </c>
      <c r="F1429" s="48" t="s">
        <v>31</v>
      </c>
      <c r="G1429" s="14" t="b">
        <f>OR(LCI_Table[[#This Row],[Feedstock]]="All",LCI_Table[[#This Row],[Feedstock]]=SelectedFeedstock)</f>
        <v>0</v>
      </c>
      <c r="H1429" s="14" t="b">
        <f>OR(LCI_Table[[#This Row],[Conversion]]="All",LCI_Table[[#This Row],[Conversion]]=SelectedConversion)</f>
        <v>0</v>
      </c>
      <c r="I1429" s="14" t="b">
        <f>OR(LCI_Table[[#This Row],[Data Set]]="all",LCI_Table[[#This Row],[Data Set]]=SelectedDataSet)</f>
        <v>0</v>
      </c>
      <c r="J1429" s="14" t="b">
        <f>OR(LCI_Table[[#This Row],[Technology]]="All",LCI_Table[[#This Row],[Technology]]=SelectedTechnology)</f>
        <v>1</v>
      </c>
      <c r="K1429" s="14" t="b">
        <f>OR(LCI_Table[[#This Row],[Data Source]]="All",LCI_Table[[#This Row],[Data Source]]=SelectedDataSource)</f>
        <v>0</v>
      </c>
      <c r="L1429" s="14" t="b">
        <f>TRUE</f>
        <v>1</v>
      </c>
      <c r="M1429" s="14" t="b">
        <f>(LCI_Table[[#This Row],[Dev Notes]]="Do not display")</f>
        <v>0</v>
      </c>
      <c r="N1429" s="14" t="b">
        <f>AND(LCI_Table[[#This Row],[Show Feedstock]:[Conditional]],NOT(LCI_Table[[#This Row],[Hide Row]]))</f>
        <v>0</v>
      </c>
      <c r="O1429" s="14" t="b">
        <f>LCI_Table[[#This Row],[GREET1 Name Range]]=""</f>
        <v>0</v>
      </c>
      <c r="P1429" s="14" t="s">
        <v>14</v>
      </c>
      <c r="Q1429" s="14" t="s">
        <v>712</v>
      </c>
      <c r="R1429" s="14" t="s">
        <v>108</v>
      </c>
      <c r="S1429" s="37" cm="1">
        <f t="array" aca="1" ref="S14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29" s="346" t="s">
        <v>2109</v>
      </c>
      <c r="U1429" s="347">
        <f ca="1">S1429*Fuel_Specs!$B$79/S1418</f>
        <v>0</v>
      </c>
      <c r="V1429" s="347">
        <v>0</v>
      </c>
      <c r="W1429" s="347">
        <v>0</v>
      </c>
      <c r="X1429" s="14" t="s">
        <v>351</v>
      </c>
      <c r="Y1429" s="346" t="s">
        <v>413</v>
      </c>
      <c r="Z1429" s="14" t="str">
        <f>IF(ISBLANK(LCI_Table[[#This Row],[Notes for user]])," ",LCI_Table[[#This Row],[Notes for user]])</f>
        <v xml:space="preserve"> </v>
      </c>
      <c r="AA1429" s="14"/>
      <c r="AB1429" s="14"/>
      <c r="AC1429" s="346">
        <f ca="1">LCI_Table[[#This Row],[Default Calculated Value]]-LCI_Table[[#This Row],[Calculated Value]]</f>
        <v>0</v>
      </c>
    </row>
    <row r="1430" spans="1:29" x14ac:dyDescent="0.3">
      <c r="A14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MiscanthusFTICAOJRC (GREET)(blank)_Miscanthus_Farming_CoalCoal</v>
      </c>
      <c r="B1430" s="14" t="s">
        <v>134</v>
      </c>
      <c r="C1430" s="14" t="s">
        <v>129</v>
      </c>
      <c r="D1430" s="14" t="s">
        <v>194</v>
      </c>
      <c r="E1430" s="48" t="s">
        <v>1338</v>
      </c>
      <c r="F1430" s="48" t="s">
        <v>31</v>
      </c>
      <c r="G1430" s="14" t="b">
        <f>OR(LCI_Table[[#This Row],[Feedstock]]="All",LCI_Table[[#This Row],[Feedstock]]=SelectedFeedstock)</f>
        <v>0</v>
      </c>
      <c r="H1430" s="14" t="b">
        <f>OR(LCI_Table[[#This Row],[Conversion]]="All",LCI_Table[[#This Row],[Conversion]]=SelectedConversion)</f>
        <v>0</v>
      </c>
      <c r="I1430" s="14" t="b">
        <f>OR(LCI_Table[[#This Row],[Data Set]]="all",LCI_Table[[#This Row],[Data Set]]=SelectedDataSet)</f>
        <v>0</v>
      </c>
      <c r="J1430" s="14" t="b">
        <f>OR(LCI_Table[[#This Row],[Technology]]="All",LCI_Table[[#This Row],[Technology]]=SelectedTechnology)</f>
        <v>1</v>
      </c>
      <c r="K1430" s="14" t="b">
        <f>OR(LCI_Table[[#This Row],[Data Source]]="All",LCI_Table[[#This Row],[Data Source]]=SelectedDataSource)</f>
        <v>0</v>
      </c>
      <c r="L1430" s="14" t="b">
        <f>TRUE</f>
        <v>1</v>
      </c>
      <c r="M1430" s="14" t="b">
        <f>(LCI_Table[[#This Row],[Dev Notes]]="Do not display")</f>
        <v>0</v>
      </c>
      <c r="N1430" s="14" t="b">
        <f>AND(LCI_Table[[#This Row],[Show Feedstock]:[Conditional]],NOT(LCI_Table[[#This Row],[Hide Row]]))</f>
        <v>0</v>
      </c>
      <c r="O1430" s="14" t="b">
        <f>LCI_Table[[#This Row],[GREET1 Name Range]]=""</f>
        <v>0</v>
      </c>
      <c r="P1430" s="14" t="s">
        <v>14</v>
      </c>
      <c r="Q1430" s="14" t="s">
        <v>703</v>
      </c>
      <c r="R1430" s="14" t="s">
        <v>9</v>
      </c>
      <c r="S1430" s="37" cm="1">
        <f t="array" aca="1" ref="S14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30" s="346" t="s">
        <v>2110</v>
      </c>
      <c r="U1430" s="347">
        <f ca="1">S1430/S1418</f>
        <v>0</v>
      </c>
      <c r="V1430" s="347">
        <v>0</v>
      </c>
      <c r="W1430" s="347">
        <v>0</v>
      </c>
      <c r="X1430" s="14" t="s">
        <v>117</v>
      </c>
      <c r="Y1430" s="346" t="s">
        <v>413</v>
      </c>
      <c r="Z1430" s="14" t="str">
        <f>IF(ISBLANK(LCI_Table[[#This Row],[Notes for user]])," ",LCI_Table[[#This Row],[Notes for user]])</f>
        <v xml:space="preserve"> </v>
      </c>
      <c r="AA1430" s="14"/>
      <c r="AB1430" s="14"/>
      <c r="AC1430" s="346">
        <f ca="1">LCI_Table[[#This Row],[Default Calculated Value]]-LCI_Table[[#This Row],[Calculated Value]]</f>
        <v>0</v>
      </c>
    </row>
    <row r="1431" spans="1:29" x14ac:dyDescent="0.3">
      <c r="A14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MiscanthusFTICAOJRC (GREET)(blank)_Miscanthus_Farming_LPGLPG</v>
      </c>
      <c r="B1431" s="14" t="s">
        <v>134</v>
      </c>
      <c r="C1431" s="14" t="s">
        <v>129</v>
      </c>
      <c r="D1431" s="14" t="s">
        <v>194</v>
      </c>
      <c r="E1431" s="48" t="s">
        <v>1338</v>
      </c>
      <c r="F1431" s="48" t="s">
        <v>31</v>
      </c>
      <c r="G1431" s="14" t="b">
        <f>OR(LCI_Table[[#This Row],[Feedstock]]="All",LCI_Table[[#This Row],[Feedstock]]=SelectedFeedstock)</f>
        <v>0</v>
      </c>
      <c r="H1431" s="14" t="b">
        <f>OR(LCI_Table[[#This Row],[Conversion]]="All",LCI_Table[[#This Row],[Conversion]]=SelectedConversion)</f>
        <v>0</v>
      </c>
      <c r="I1431" s="14" t="b">
        <f>OR(LCI_Table[[#This Row],[Data Set]]="all",LCI_Table[[#This Row],[Data Set]]=SelectedDataSet)</f>
        <v>0</v>
      </c>
      <c r="J1431" s="14" t="b">
        <f>OR(LCI_Table[[#This Row],[Technology]]="All",LCI_Table[[#This Row],[Technology]]=SelectedTechnology)</f>
        <v>1</v>
      </c>
      <c r="K1431" s="14" t="b">
        <f>OR(LCI_Table[[#This Row],[Data Source]]="All",LCI_Table[[#This Row],[Data Source]]=SelectedDataSource)</f>
        <v>0</v>
      </c>
      <c r="L1431" s="14" t="b">
        <f>TRUE</f>
        <v>1</v>
      </c>
      <c r="M1431" s="14" t="b">
        <f>(LCI_Table[[#This Row],[Dev Notes]]="Do not display")</f>
        <v>0</v>
      </c>
      <c r="N1431" s="14" t="b">
        <f>AND(LCI_Table[[#This Row],[Show Feedstock]:[Conditional]],NOT(LCI_Table[[#This Row],[Hide Row]]))</f>
        <v>0</v>
      </c>
      <c r="O1431" s="14" t="b">
        <f>LCI_Table[[#This Row],[GREET1 Name Range]]=""</f>
        <v>0</v>
      </c>
      <c r="P1431" s="14" t="s">
        <v>14</v>
      </c>
      <c r="Q1431" s="14" t="s">
        <v>711</v>
      </c>
      <c r="R1431" s="14" t="s">
        <v>109</v>
      </c>
      <c r="S1431" s="37" cm="1">
        <f t="array" aca="1" ref="S14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31" s="346" t="s">
        <v>1484</v>
      </c>
      <c r="U1431" s="347">
        <f ca="1">S1431*Fuel_Specs!$B$35/S1418</f>
        <v>0</v>
      </c>
      <c r="V1431" s="347">
        <v>0</v>
      </c>
      <c r="W1431" s="347">
        <v>0</v>
      </c>
      <c r="X1431" s="14" t="s">
        <v>5</v>
      </c>
      <c r="Y1431" s="346" t="s">
        <v>413</v>
      </c>
      <c r="Z1431" s="14" t="str">
        <f>IF(ISBLANK(LCI_Table[[#This Row],[Notes for user]])," ",LCI_Table[[#This Row],[Notes for user]])</f>
        <v xml:space="preserve"> </v>
      </c>
      <c r="AA1431" s="14"/>
      <c r="AB1431" s="14"/>
      <c r="AC1431" s="346">
        <f ca="1">LCI_Table[[#This Row],[Default Calculated Value]]-LCI_Table[[#This Row],[Calculated Value]]</f>
        <v>0</v>
      </c>
    </row>
    <row r="1432" spans="1:29" x14ac:dyDescent="0.3">
      <c r="A14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MiscanthusFTICAOJRC (GREET)(blank)_Miscanthus_Farming_ElectricityElectricity</v>
      </c>
      <c r="B1432" s="14" t="s">
        <v>134</v>
      </c>
      <c r="C1432" s="14" t="s">
        <v>129</v>
      </c>
      <c r="D1432" s="14" t="s">
        <v>194</v>
      </c>
      <c r="E1432" s="48" t="s">
        <v>1338</v>
      </c>
      <c r="F1432" s="48" t="s">
        <v>31</v>
      </c>
      <c r="G1432" s="14" t="b">
        <f>OR(LCI_Table[[#This Row],[Feedstock]]="All",LCI_Table[[#This Row],[Feedstock]]=SelectedFeedstock)</f>
        <v>0</v>
      </c>
      <c r="H1432" s="14" t="b">
        <f>OR(LCI_Table[[#This Row],[Conversion]]="All",LCI_Table[[#This Row],[Conversion]]=SelectedConversion)</f>
        <v>0</v>
      </c>
      <c r="I1432" s="14" t="b">
        <f>OR(LCI_Table[[#This Row],[Data Set]]="all",LCI_Table[[#This Row],[Data Set]]=SelectedDataSet)</f>
        <v>0</v>
      </c>
      <c r="J1432" s="14" t="b">
        <f>OR(LCI_Table[[#This Row],[Technology]]="All",LCI_Table[[#This Row],[Technology]]=SelectedTechnology)</f>
        <v>1</v>
      </c>
      <c r="K1432" s="14" t="b">
        <f>OR(LCI_Table[[#This Row],[Data Source]]="All",LCI_Table[[#This Row],[Data Source]]=SelectedDataSource)</f>
        <v>0</v>
      </c>
      <c r="L1432" s="14" t="b">
        <f>TRUE</f>
        <v>1</v>
      </c>
      <c r="M1432" s="14" t="b">
        <f>(LCI_Table[[#This Row],[Dev Notes]]="Do not display")</f>
        <v>0</v>
      </c>
      <c r="N1432" s="14" t="b">
        <f>AND(LCI_Table[[#This Row],[Show Feedstock]:[Conditional]],NOT(LCI_Table[[#This Row],[Hide Row]]))</f>
        <v>0</v>
      </c>
      <c r="O1432" s="14" t="b">
        <f>LCI_Table[[#This Row],[GREET1 Name Range]]=""</f>
        <v>0</v>
      </c>
      <c r="P1432" s="14" t="s">
        <v>14</v>
      </c>
      <c r="Q1432" s="14" t="s">
        <v>705</v>
      </c>
      <c r="R1432" s="348" t="s">
        <v>110</v>
      </c>
      <c r="S1432" s="37" cm="1">
        <f t="array" aca="1" ref="S14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10.062839209839352</v>
      </c>
      <c r="T1432" s="346" t="s">
        <v>1561</v>
      </c>
      <c r="U1432" s="347">
        <f ca="1">S1432/BTU2kWh/S1418</f>
        <v>3718.3863159328862</v>
      </c>
      <c r="V1432" s="347">
        <v>10.062839209839352</v>
      </c>
      <c r="W1432" s="347">
        <v>3718.3863159328862</v>
      </c>
      <c r="X1432" s="14" t="s">
        <v>51</v>
      </c>
      <c r="Y1432" s="346" t="s">
        <v>413</v>
      </c>
      <c r="Z1432" s="14" t="str">
        <f>IF(ISBLANK(LCI_Table[[#This Row],[Notes for user]])," ",LCI_Table[[#This Row],[Notes for user]])</f>
        <v xml:space="preserve"> </v>
      </c>
      <c r="AA1432" s="14"/>
      <c r="AB1432" s="14"/>
      <c r="AC1432" s="346">
        <f ca="1">LCI_Table[[#This Row],[Default Calculated Value]]-LCI_Table[[#This Row],[Calculated Value]]</f>
        <v>0</v>
      </c>
    </row>
    <row r="1433" spans="1:29" x14ac:dyDescent="0.3">
      <c r="A14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MiscanthusFTICAOJRC (GREET)(blank)_Miscanthus_FT_efficiencyMiscanthus</v>
      </c>
      <c r="B1433" s="14" t="s">
        <v>134</v>
      </c>
      <c r="C1433" s="14" t="s">
        <v>129</v>
      </c>
      <c r="D1433" s="14" t="s">
        <v>194</v>
      </c>
      <c r="E1433" s="48" t="s">
        <v>1338</v>
      </c>
      <c r="F1433" s="48" t="s">
        <v>31</v>
      </c>
      <c r="G1433" s="14" t="b">
        <f>OR(LCI_Table[[#This Row],[Feedstock]]="All",LCI_Table[[#This Row],[Feedstock]]=SelectedFeedstock)</f>
        <v>0</v>
      </c>
      <c r="H1433" s="14" t="b">
        <f>OR(LCI_Table[[#This Row],[Conversion]]="All",LCI_Table[[#This Row],[Conversion]]=SelectedConversion)</f>
        <v>0</v>
      </c>
      <c r="I1433" s="14" t="b">
        <f>OR(LCI_Table[[#This Row],[Data Set]]="all",LCI_Table[[#This Row],[Data Set]]=SelectedDataSet)</f>
        <v>0</v>
      </c>
      <c r="J1433" s="14" t="b">
        <f>OR(LCI_Table[[#This Row],[Technology]]="All",LCI_Table[[#This Row],[Technology]]=SelectedTechnology)</f>
        <v>1</v>
      </c>
      <c r="K1433" s="14" t="b">
        <f>OR(LCI_Table[[#This Row],[Data Source]]="All",LCI_Table[[#This Row],[Data Source]]=SelectedDataSource)</f>
        <v>0</v>
      </c>
      <c r="L1433" s="14" t="b">
        <f>TRUE</f>
        <v>1</v>
      </c>
      <c r="M1433" s="14" t="b">
        <f>(LCI_Table[[#This Row],[Dev Notes]]="Do not display")</f>
        <v>0</v>
      </c>
      <c r="N1433" s="14" t="b">
        <f>AND(LCI_Table[[#This Row],[Show Feedstock]:[Conditional]],NOT(LCI_Table[[#This Row],[Hide Row]]))</f>
        <v>0</v>
      </c>
      <c r="O1433" s="14" t="b">
        <f>LCI_Table[[#This Row],[GREET1 Name Range]]=""</f>
        <v>0</v>
      </c>
      <c r="P1433" s="14" t="s">
        <v>1448</v>
      </c>
      <c r="Q1433" s="14" t="s">
        <v>937</v>
      </c>
      <c r="R1433" s="14" t="s">
        <v>134</v>
      </c>
      <c r="S1433" s="37" cm="1">
        <f t="array" aca="1" ref="S14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0.1303611002476861</v>
      </c>
      <c r="T1433" s="346" t="s">
        <v>2125</v>
      </c>
      <c r="U1433" s="347">
        <f ca="1">1/(S1433*Fuel_Specs!$B$98*BTU2mmBTU)</f>
        <v>0.5</v>
      </c>
      <c r="V1433" s="347">
        <v>0.1303611002476861</v>
      </c>
      <c r="W1433" s="347">
        <v>0.5</v>
      </c>
      <c r="X1433" s="37" t="s">
        <v>55</v>
      </c>
      <c r="Y1433" s="346" t="s">
        <v>416</v>
      </c>
      <c r="Z1433" s="14" t="str">
        <f>IF(ISBLANK(LCI_Table[[#This Row],[Notes for user]])," ",LCI_Table[[#This Row],[Notes for user]])</f>
        <v xml:space="preserve"> </v>
      </c>
      <c r="AA1433" s="14"/>
      <c r="AB1433" s="14"/>
      <c r="AC1433" s="346">
        <f ca="1">LCI_Table[[#This Row],[Default Calculated Value]]-LCI_Table[[#This Row],[Calculated Value]]</f>
        <v>0</v>
      </c>
    </row>
    <row r="1434" spans="1:29" x14ac:dyDescent="0.3">
      <c r="A14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dash_PoplarFTICAOMIT (GREET)(blank)_Yield_Farming</v>
      </c>
      <c r="B1434" s="48" t="s">
        <v>132</v>
      </c>
      <c r="C1434" s="48" t="s">
        <v>129</v>
      </c>
      <c r="D1434" s="48" t="s">
        <v>194</v>
      </c>
      <c r="E1434" s="48" t="s">
        <v>1335</v>
      </c>
      <c r="F1434" s="48" t="s">
        <v>31</v>
      </c>
      <c r="G1434" s="14" t="b">
        <f>OR(LCI_Table[[#This Row],[Feedstock]]="All",LCI_Table[[#This Row],[Feedstock]]=SelectedFeedstock)</f>
        <v>0</v>
      </c>
      <c r="H1434" s="14" t="b">
        <f>OR(LCI_Table[[#This Row],[Conversion]]="All",LCI_Table[[#This Row],[Conversion]]=SelectedConversion)</f>
        <v>0</v>
      </c>
      <c r="I1434" s="14" t="b">
        <f>OR(LCI_Table[[#This Row],[Data Set]]="all",LCI_Table[[#This Row],[Data Set]]=SelectedDataSet)</f>
        <v>0</v>
      </c>
      <c r="J1434" s="14" t="b">
        <f>OR(LCI_Table[[#This Row],[Technology]]="All",LCI_Table[[#This Row],[Technology]]=SelectedTechnology)</f>
        <v>1</v>
      </c>
      <c r="K1434" s="14" t="b">
        <f>OR(LCI_Table[[#This Row],[Data Source]]="All",LCI_Table[[#This Row],[Data Source]]=SelectedDataSource)</f>
        <v>0</v>
      </c>
      <c r="L1434" s="14" t="b">
        <f>TRUE</f>
        <v>1</v>
      </c>
      <c r="M1434" s="14" t="b">
        <f>(LCI_Table[[#This Row],[Dev Notes]]="Do not display")</f>
        <v>0</v>
      </c>
      <c r="N1434" s="14" t="b">
        <f>AND(LCI_Table[[#This Row],[Show Feedstock]:[Conditional]],NOT(LCI_Table[[#This Row],[Hide Row]]))</f>
        <v>0</v>
      </c>
      <c r="O1434" s="14" t="b">
        <f>LCI_Table[[#This Row],[GREET1 Name Range]]=""</f>
        <v>1</v>
      </c>
      <c r="P1434" s="48" t="s">
        <v>14</v>
      </c>
      <c r="Q1434" s="14" t="s">
        <v>361</v>
      </c>
      <c r="R1434" s="48" t="s">
        <v>200</v>
      </c>
      <c r="S1434" s="37" cm="1">
        <f t="array" aca="1" ref="S14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3.7917671203971253</v>
      </c>
      <c r="T1434" s="346" t="s">
        <v>2116</v>
      </c>
      <c r="U1434" s="344"/>
      <c r="V1434" s="344">
        <v>3.7917671203971253</v>
      </c>
      <c r="W1434" s="344"/>
      <c r="X1434" s="48" t="s">
        <v>55</v>
      </c>
      <c r="Y1434" s="346" t="s">
        <v>413</v>
      </c>
      <c r="Z1434" s="14" t="str">
        <f>IF(ISBLANK(LCI_Table[[#This Row],[Notes for user]])," ",LCI_Table[[#This Row],[Notes for user]])</f>
        <v xml:space="preserve"> </v>
      </c>
      <c r="AA1434" s="48"/>
      <c r="AB1434" s="345"/>
      <c r="AC1434" s="346">
        <f>LCI_Table[[#This Row],[Default Calculated Value]]-LCI_Table[[#This Row],[Calculated Value]]</f>
        <v>0</v>
      </c>
    </row>
    <row r="1435" spans="1:29" x14ac:dyDescent="0.3">
      <c r="A14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PoplarFTICAOMIT (GREET)(blank)_Poplar_Farming_Nitrogen_fertilizerNitrogen fertilizer</v>
      </c>
      <c r="B1435" s="14" t="s">
        <v>132</v>
      </c>
      <c r="C1435" s="14" t="s">
        <v>129</v>
      </c>
      <c r="D1435" s="14" t="s">
        <v>194</v>
      </c>
      <c r="E1435" s="48" t="s">
        <v>1335</v>
      </c>
      <c r="F1435" s="48" t="s">
        <v>31</v>
      </c>
      <c r="G1435" s="14" t="b">
        <f>OR(LCI_Table[[#This Row],[Feedstock]]="All",LCI_Table[[#This Row],[Feedstock]]=SelectedFeedstock)</f>
        <v>0</v>
      </c>
      <c r="H1435" s="14" t="b">
        <f>OR(LCI_Table[[#This Row],[Conversion]]="All",LCI_Table[[#This Row],[Conversion]]=SelectedConversion)</f>
        <v>0</v>
      </c>
      <c r="I1435" s="14" t="b">
        <f>OR(LCI_Table[[#This Row],[Data Set]]="all",LCI_Table[[#This Row],[Data Set]]=SelectedDataSet)</f>
        <v>0</v>
      </c>
      <c r="J1435" s="14" t="b">
        <f>OR(LCI_Table[[#This Row],[Technology]]="All",LCI_Table[[#This Row],[Technology]]=SelectedTechnology)</f>
        <v>1</v>
      </c>
      <c r="K1435" s="14" t="b">
        <f>OR(LCI_Table[[#This Row],[Data Source]]="All",LCI_Table[[#This Row],[Data Source]]=SelectedDataSource)</f>
        <v>0</v>
      </c>
      <c r="L1435" s="14" t="b">
        <f>TRUE</f>
        <v>1</v>
      </c>
      <c r="M1435" s="14" t="b">
        <f>(LCI_Table[[#This Row],[Dev Notes]]="Do not display")</f>
        <v>0</v>
      </c>
      <c r="N1435" s="14" t="b">
        <f>AND(LCI_Table[[#This Row],[Show Feedstock]:[Conditional]],NOT(LCI_Table[[#This Row],[Hide Row]]))</f>
        <v>0</v>
      </c>
      <c r="O1435" s="14" t="b">
        <f>LCI_Table[[#This Row],[GREET1 Name Range]]=""</f>
        <v>0</v>
      </c>
      <c r="P1435" s="14" t="s">
        <v>14</v>
      </c>
      <c r="Q1435" s="14" t="s">
        <v>776</v>
      </c>
      <c r="R1435" s="14" t="s">
        <v>111</v>
      </c>
      <c r="S1435" s="37" cm="1">
        <f t="array" aca="1" ref="S14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16.464158507211156</v>
      </c>
      <c r="T1435" s="346" t="s">
        <v>1485</v>
      </c>
      <c r="U1435" s="347">
        <f ca="1">S1435/S1434*lb2g</f>
        <v>1969.5346365468297</v>
      </c>
      <c r="V1435" s="347">
        <v>16.464158507211156</v>
      </c>
      <c r="W1435" s="347">
        <v>1969.5346365468297</v>
      </c>
      <c r="X1435" s="14" t="s">
        <v>12</v>
      </c>
      <c r="Y1435" s="346" t="s">
        <v>413</v>
      </c>
      <c r="Z1435" s="14" t="str">
        <f>IF(ISBLANK(LCI_Table[[#This Row],[Notes for user]])," ",LCI_Table[[#This Row],[Notes for user]])</f>
        <v xml:space="preserve"> </v>
      </c>
      <c r="AA1435" s="14"/>
      <c r="AB1435" s="14"/>
      <c r="AC1435" s="346">
        <f ca="1">LCI_Table[[#This Row],[Default Calculated Value]]-LCI_Table[[#This Row],[Calculated Value]]</f>
        <v>0</v>
      </c>
    </row>
    <row r="1436" spans="1:29" x14ac:dyDescent="0.3">
      <c r="A14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PoplarFTICAOMIT (GREET)(blank)_Poplar_Farming_P2O5P2O5</v>
      </c>
      <c r="B1436" s="14" t="s">
        <v>132</v>
      </c>
      <c r="C1436" s="14" t="s">
        <v>129</v>
      </c>
      <c r="D1436" s="14" t="s">
        <v>194</v>
      </c>
      <c r="E1436" s="48" t="s">
        <v>1335</v>
      </c>
      <c r="F1436" s="48" t="s">
        <v>31</v>
      </c>
      <c r="G1436" s="14" t="b">
        <f>OR(LCI_Table[[#This Row],[Feedstock]]="All",LCI_Table[[#This Row],[Feedstock]]=SelectedFeedstock)</f>
        <v>0</v>
      </c>
      <c r="H1436" s="14" t="b">
        <f>OR(LCI_Table[[#This Row],[Conversion]]="All",LCI_Table[[#This Row],[Conversion]]=SelectedConversion)</f>
        <v>0</v>
      </c>
      <c r="I1436" s="14" t="b">
        <f>OR(LCI_Table[[#This Row],[Data Set]]="all",LCI_Table[[#This Row],[Data Set]]=SelectedDataSet)</f>
        <v>0</v>
      </c>
      <c r="J1436" s="14" t="b">
        <f>OR(LCI_Table[[#This Row],[Technology]]="All",LCI_Table[[#This Row],[Technology]]=SelectedTechnology)</f>
        <v>1</v>
      </c>
      <c r="K1436" s="14" t="b">
        <f>OR(LCI_Table[[#This Row],[Data Source]]="All",LCI_Table[[#This Row],[Data Source]]=SelectedDataSource)</f>
        <v>0</v>
      </c>
      <c r="L1436" s="14" t="b">
        <f>TRUE</f>
        <v>1</v>
      </c>
      <c r="M1436" s="14" t="b">
        <f>(LCI_Table[[#This Row],[Dev Notes]]="Do not display")</f>
        <v>0</v>
      </c>
      <c r="N1436" s="14" t="b">
        <f>AND(LCI_Table[[#This Row],[Show Feedstock]:[Conditional]],NOT(LCI_Table[[#This Row],[Hide Row]]))</f>
        <v>0</v>
      </c>
      <c r="O1436" s="14" t="b">
        <f>LCI_Table[[#This Row],[GREET1 Name Range]]=""</f>
        <v>0</v>
      </c>
      <c r="P1436" s="14" t="s">
        <v>14</v>
      </c>
      <c r="Q1436" s="14" t="s">
        <v>777</v>
      </c>
      <c r="R1436" s="14" t="s">
        <v>112</v>
      </c>
      <c r="S1436" s="37" cm="1">
        <f t="array" aca="1" ref="S14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4.9403845659082037</v>
      </c>
      <c r="T1436" s="346" t="s">
        <v>1485</v>
      </c>
      <c r="U1436" s="347">
        <f ca="1">S1436/S1434*lb2g</f>
        <v>590.99640690144065</v>
      </c>
      <c r="V1436" s="347">
        <v>4.9403845659082037</v>
      </c>
      <c r="W1436" s="347">
        <v>590.99640690144065</v>
      </c>
      <c r="X1436" s="14" t="s">
        <v>12</v>
      </c>
      <c r="Y1436" s="346" t="s">
        <v>413</v>
      </c>
      <c r="Z1436" s="14" t="str">
        <f>IF(ISBLANK(LCI_Table[[#This Row],[Notes for user]])," ",LCI_Table[[#This Row],[Notes for user]])</f>
        <v xml:space="preserve"> </v>
      </c>
      <c r="AA1436" s="14"/>
      <c r="AB1436" s="14"/>
      <c r="AC1436" s="346">
        <f ca="1">LCI_Table[[#This Row],[Default Calculated Value]]-LCI_Table[[#This Row],[Calculated Value]]</f>
        <v>0</v>
      </c>
    </row>
    <row r="1437" spans="1:29" x14ac:dyDescent="0.3">
      <c r="A14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PoplarFTICAOMIT (GREET)(blank)_Poplar_Farming_K2OK2O</v>
      </c>
      <c r="B1437" s="14" t="s">
        <v>132</v>
      </c>
      <c r="C1437" s="14" t="s">
        <v>129</v>
      </c>
      <c r="D1437" s="14" t="s">
        <v>194</v>
      </c>
      <c r="E1437" s="48" t="s">
        <v>1335</v>
      </c>
      <c r="F1437" s="48" t="s">
        <v>31</v>
      </c>
      <c r="G1437" s="14" t="b">
        <f>OR(LCI_Table[[#This Row],[Feedstock]]="All",LCI_Table[[#This Row],[Feedstock]]=SelectedFeedstock)</f>
        <v>0</v>
      </c>
      <c r="H1437" s="14" t="b">
        <f>OR(LCI_Table[[#This Row],[Conversion]]="All",LCI_Table[[#This Row],[Conversion]]=SelectedConversion)</f>
        <v>0</v>
      </c>
      <c r="I1437" s="14" t="b">
        <f>OR(LCI_Table[[#This Row],[Data Set]]="all",LCI_Table[[#This Row],[Data Set]]=SelectedDataSet)</f>
        <v>0</v>
      </c>
      <c r="J1437" s="14" t="b">
        <f>OR(LCI_Table[[#This Row],[Technology]]="All",LCI_Table[[#This Row],[Technology]]=SelectedTechnology)</f>
        <v>1</v>
      </c>
      <c r="K1437" s="14" t="b">
        <f>OR(LCI_Table[[#This Row],[Data Source]]="All",LCI_Table[[#This Row],[Data Source]]=SelectedDataSource)</f>
        <v>0</v>
      </c>
      <c r="L1437" s="14" t="b">
        <f>TRUE</f>
        <v>1</v>
      </c>
      <c r="M1437" s="14" t="b">
        <f>(LCI_Table[[#This Row],[Dev Notes]]="Do not display")</f>
        <v>0</v>
      </c>
      <c r="N1437" s="14" t="b">
        <f>AND(LCI_Table[[#This Row],[Show Feedstock]:[Conditional]],NOT(LCI_Table[[#This Row],[Hide Row]]))</f>
        <v>0</v>
      </c>
      <c r="O1437" s="14" t="b">
        <f>LCI_Table[[#This Row],[GREET1 Name Range]]=""</f>
        <v>0</v>
      </c>
      <c r="P1437" s="14" t="s">
        <v>14</v>
      </c>
      <c r="Q1437" s="14" t="s">
        <v>773</v>
      </c>
      <c r="R1437" s="14" t="s">
        <v>113</v>
      </c>
      <c r="S1437" s="37" cm="1">
        <f t="array" aca="1" ref="S14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4.3675853606008461</v>
      </c>
      <c r="T1437" s="346" t="s">
        <v>1485</v>
      </c>
      <c r="U1437" s="347">
        <f ca="1">S1437/S1434*lb2g</f>
        <v>522.47496536252322</v>
      </c>
      <c r="V1437" s="347">
        <v>4.3675853606008461</v>
      </c>
      <c r="W1437" s="347">
        <v>522.47496536252322</v>
      </c>
      <c r="X1437" s="14" t="s">
        <v>12</v>
      </c>
      <c r="Y1437" s="346" t="s">
        <v>413</v>
      </c>
      <c r="Z1437" s="14" t="str">
        <f>IF(ISBLANK(LCI_Table[[#This Row],[Notes for user]])," ",LCI_Table[[#This Row],[Notes for user]])</f>
        <v xml:space="preserve"> </v>
      </c>
      <c r="AA1437" s="14"/>
      <c r="AB1437" s="14"/>
      <c r="AC1437" s="346">
        <f ca="1">LCI_Table[[#This Row],[Default Calculated Value]]-LCI_Table[[#This Row],[Calculated Value]]</f>
        <v>0</v>
      </c>
    </row>
    <row r="1438" spans="1:29" x14ac:dyDescent="0.3">
      <c r="A14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PoplarFTICAOMIT (GREET)(blank)_Poplar_Farming_CaCO3CaCO3</v>
      </c>
      <c r="B1438" s="14" t="s">
        <v>132</v>
      </c>
      <c r="C1438" s="14" t="s">
        <v>129</v>
      </c>
      <c r="D1438" s="14" t="s">
        <v>194</v>
      </c>
      <c r="E1438" s="48" t="s">
        <v>1335</v>
      </c>
      <c r="F1438" s="48" t="s">
        <v>31</v>
      </c>
      <c r="G1438" s="14" t="b">
        <f>OR(LCI_Table[[#This Row],[Feedstock]]="All",LCI_Table[[#This Row],[Feedstock]]=SelectedFeedstock)</f>
        <v>0</v>
      </c>
      <c r="H1438" s="14" t="b">
        <f>OR(LCI_Table[[#This Row],[Conversion]]="All",LCI_Table[[#This Row],[Conversion]]=SelectedConversion)</f>
        <v>0</v>
      </c>
      <c r="I1438" s="14" t="b">
        <f>OR(LCI_Table[[#This Row],[Data Set]]="all",LCI_Table[[#This Row],[Data Set]]=SelectedDataSet)</f>
        <v>0</v>
      </c>
      <c r="J1438" s="14" t="b">
        <f>OR(LCI_Table[[#This Row],[Technology]]="All",LCI_Table[[#This Row],[Technology]]=SelectedTechnology)</f>
        <v>1</v>
      </c>
      <c r="K1438" s="14" t="b">
        <f>OR(LCI_Table[[#This Row],[Data Source]]="All",LCI_Table[[#This Row],[Data Source]]=SelectedDataSource)</f>
        <v>0</v>
      </c>
      <c r="L1438" s="14" t="b">
        <f>TRUE</f>
        <v>1</v>
      </c>
      <c r="M1438" s="14" t="b">
        <f>(LCI_Table[[#This Row],[Dev Notes]]="Do not display")</f>
        <v>0</v>
      </c>
      <c r="N1438" s="14" t="b">
        <f>AND(LCI_Table[[#This Row],[Show Feedstock]:[Conditional]],NOT(LCI_Table[[#This Row],[Hide Row]]))</f>
        <v>0</v>
      </c>
      <c r="O1438" s="14" t="b">
        <f>LCI_Table[[#This Row],[GREET1 Name Range]]=""</f>
        <v>0</v>
      </c>
      <c r="P1438" s="14" t="s">
        <v>14</v>
      </c>
      <c r="Q1438" s="14" t="s">
        <v>766</v>
      </c>
      <c r="R1438" s="14" t="s">
        <v>141</v>
      </c>
      <c r="S1438" s="37" cm="1">
        <f t="array" aca="1" ref="S14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194.24858672081214</v>
      </c>
      <c r="T1438" s="346" t="s">
        <v>1485</v>
      </c>
      <c r="U1438" s="347">
        <f ca="1">S1438/S1434*lb2g</f>
        <v>23237.101336174801</v>
      </c>
      <c r="V1438" s="347">
        <v>194.24858672081214</v>
      </c>
      <c r="W1438" s="347">
        <v>23237.101336174801</v>
      </c>
      <c r="X1438" s="14" t="s">
        <v>12</v>
      </c>
      <c r="Y1438" s="346" t="s">
        <v>413</v>
      </c>
      <c r="Z1438" s="14" t="str">
        <f>IF(ISBLANK(LCI_Table[[#This Row],[Notes for user]])," ",LCI_Table[[#This Row],[Notes for user]])</f>
        <v xml:space="preserve"> </v>
      </c>
      <c r="AA1438" s="14"/>
      <c r="AB1438" s="14"/>
      <c r="AC1438" s="346">
        <f ca="1">LCI_Table[[#This Row],[Default Calculated Value]]-LCI_Table[[#This Row],[Calculated Value]]</f>
        <v>0</v>
      </c>
    </row>
    <row r="1439" spans="1:29" x14ac:dyDescent="0.3">
      <c r="A14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PoplarFTICAOMIT (GREET)(blank)_Poplar_Farming_HerbicidesHerbicides</v>
      </c>
      <c r="B1439" s="14" t="s">
        <v>132</v>
      </c>
      <c r="C1439" s="14" t="s">
        <v>129</v>
      </c>
      <c r="D1439" s="14" t="s">
        <v>194</v>
      </c>
      <c r="E1439" s="48" t="s">
        <v>1335</v>
      </c>
      <c r="F1439" s="48" t="s">
        <v>31</v>
      </c>
      <c r="G1439" s="14" t="b">
        <f>OR(LCI_Table[[#This Row],[Feedstock]]="All",LCI_Table[[#This Row],[Feedstock]]=SelectedFeedstock)</f>
        <v>0</v>
      </c>
      <c r="H1439" s="14" t="b">
        <f>OR(LCI_Table[[#This Row],[Conversion]]="All",LCI_Table[[#This Row],[Conversion]]=SelectedConversion)</f>
        <v>0</v>
      </c>
      <c r="I1439" s="14" t="b">
        <f>OR(LCI_Table[[#This Row],[Data Set]]="all",LCI_Table[[#This Row],[Data Set]]=SelectedDataSet)</f>
        <v>0</v>
      </c>
      <c r="J1439" s="14" t="b">
        <f>OR(LCI_Table[[#This Row],[Technology]]="All",LCI_Table[[#This Row],[Technology]]=SelectedTechnology)</f>
        <v>1</v>
      </c>
      <c r="K1439" s="14" t="b">
        <f>OR(LCI_Table[[#This Row],[Data Source]]="All",LCI_Table[[#This Row],[Data Source]]=SelectedDataSource)</f>
        <v>0</v>
      </c>
      <c r="L1439" s="14" t="b">
        <f>TRUE</f>
        <v>1</v>
      </c>
      <c r="M1439" s="14" t="b">
        <f>(LCI_Table[[#This Row],[Dev Notes]]="Do not display")</f>
        <v>0</v>
      </c>
      <c r="N1439" s="14" t="b">
        <f>AND(LCI_Table[[#This Row],[Show Feedstock]:[Conditional]],NOT(LCI_Table[[#This Row],[Hide Row]]))</f>
        <v>0</v>
      </c>
      <c r="O1439" s="14" t="b">
        <f>LCI_Table[[#This Row],[GREET1 Name Range]]=""</f>
        <v>0</v>
      </c>
      <c r="P1439" s="14" t="s">
        <v>14</v>
      </c>
      <c r="Q1439" s="14" t="s">
        <v>771</v>
      </c>
      <c r="R1439" s="14" t="s">
        <v>356</v>
      </c>
      <c r="S1439" s="37" cm="1">
        <f t="array" aca="1" ref="S14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0.51576391621539952</v>
      </c>
      <c r="T1439" s="346" t="s">
        <v>1485</v>
      </c>
      <c r="U1439" s="347">
        <f ca="1">S1439/S1434*lb2g</f>
        <v>61.698561564646525</v>
      </c>
      <c r="V1439" s="347">
        <v>0.51576391621539952</v>
      </c>
      <c r="W1439" s="347">
        <v>61.698561564646525</v>
      </c>
      <c r="X1439" s="14" t="s">
        <v>12</v>
      </c>
      <c r="Y1439" s="346" t="s">
        <v>413</v>
      </c>
      <c r="Z1439" s="14" t="str">
        <f>IF(ISBLANK(LCI_Table[[#This Row],[Notes for user]])," ",LCI_Table[[#This Row],[Notes for user]])</f>
        <v xml:space="preserve"> </v>
      </c>
      <c r="AA1439" s="14"/>
      <c r="AB1439" s="14"/>
      <c r="AC1439" s="346">
        <f ca="1">LCI_Table[[#This Row],[Default Calculated Value]]-LCI_Table[[#This Row],[Calculated Value]]</f>
        <v>0</v>
      </c>
    </row>
    <row r="1440" spans="1:29" x14ac:dyDescent="0.3">
      <c r="A14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PoplarFTICAOMIT (GREET)(blank)_Poplar_Farming_InsecticideInsecticide</v>
      </c>
      <c r="B1440" s="14" t="s">
        <v>132</v>
      </c>
      <c r="C1440" s="14" t="s">
        <v>129</v>
      </c>
      <c r="D1440" s="14" t="s">
        <v>194</v>
      </c>
      <c r="E1440" s="48" t="s">
        <v>1335</v>
      </c>
      <c r="F1440" s="48" t="s">
        <v>31</v>
      </c>
      <c r="G1440" s="14" t="b">
        <f>OR(LCI_Table[[#This Row],[Feedstock]]="All",LCI_Table[[#This Row],[Feedstock]]=SelectedFeedstock)</f>
        <v>0</v>
      </c>
      <c r="H1440" s="14" t="b">
        <f>OR(LCI_Table[[#This Row],[Conversion]]="All",LCI_Table[[#This Row],[Conversion]]=SelectedConversion)</f>
        <v>0</v>
      </c>
      <c r="I1440" s="14" t="b">
        <f>OR(LCI_Table[[#This Row],[Data Set]]="all",LCI_Table[[#This Row],[Data Set]]=SelectedDataSet)</f>
        <v>0</v>
      </c>
      <c r="J1440" s="14" t="b">
        <f>OR(LCI_Table[[#This Row],[Technology]]="All",LCI_Table[[#This Row],[Technology]]=SelectedTechnology)</f>
        <v>1</v>
      </c>
      <c r="K1440" s="14" t="b">
        <f>OR(LCI_Table[[#This Row],[Data Source]]="All",LCI_Table[[#This Row],[Data Source]]=SelectedDataSource)</f>
        <v>0</v>
      </c>
      <c r="L1440" s="14" t="b">
        <f>TRUE</f>
        <v>1</v>
      </c>
      <c r="M1440" s="14" t="b">
        <f>(LCI_Table[[#This Row],[Dev Notes]]="Do not display")</f>
        <v>0</v>
      </c>
      <c r="N1440" s="14" t="b">
        <f>AND(LCI_Table[[#This Row],[Show Feedstock]:[Conditional]],NOT(LCI_Table[[#This Row],[Hide Row]]))</f>
        <v>0</v>
      </c>
      <c r="O1440" s="14" t="b">
        <f>LCI_Table[[#This Row],[GREET1 Name Range]]=""</f>
        <v>0</v>
      </c>
      <c r="P1440" s="14" t="s">
        <v>14</v>
      </c>
      <c r="Q1440" s="14" t="s">
        <v>772</v>
      </c>
      <c r="R1440" s="14" t="s">
        <v>114</v>
      </c>
      <c r="S1440" s="37" cm="1">
        <f t="array" aca="1" ref="S14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9.8325024538251579E-2</v>
      </c>
      <c r="T1440" s="346" t="s">
        <v>1485</v>
      </c>
      <c r="U1440" s="347">
        <f ca="1">S1440/S1434*lb2g</f>
        <v>11.762188840843852</v>
      </c>
      <c r="V1440" s="347">
        <v>9.8325024538251579E-2</v>
      </c>
      <c r="W1440" s="347">
        <v>11.762188840843852</v>
      </c>
      <c r="X1440" s="14" t="s">
        <v>12</v>
      </c>
      <c r="Y1440" s="346" t="s">
        <v>413</v>
      </c>
      <c r="Z1440" s="14" t="str">
        <f>IF(ISBLANK(LCI_Table[[#This Row],[Notes for user]])," ",LCI_Table[[#This Row],[Notes for user]])</f>
        <v xml:space="preserve"> </v>
      </c>
      <c r="AA1440" s="14"/>
      <c r="AB1440" s="14"/>
      <c r="AC1440" s="346">
        <f ca="1">LCI_Table[[#This Row],[Default Calculated Value]]-LCI_Table[[#This Row],[Calculated Value]]</f>
        <v>0</v>
      </c>
    </row>
    <row r="1441" spans="1:29" x14ac:dyDescent="0.3">
      <c r="A14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PoplarFTICAOMIT (GREET)(blank)_Poplar_Farming_Residual_oilResidual oil</v>
      </c>
      <c r="B1441" s="14" t="s">
        <v>132</v>
      </c>
      <c r="C1441" s="14" t="s">
        <v>129</v>
      </c>
      <c r="D1441" s="14" t="s">
        <v>194</v>
      </c>
      <c r="E1441" s="48" t="s">
        <v>1335</v>
      </c>
      <c r="F1441" s="48" t="s">
        <v>31</v>
      </c>
      <c r="G1441" s="14" t="b">
        <f>OR(LCI_Table[[#This Row],[Feedstock]]="All",LCI_Table[[#This Row],[Feedstock]]=SelectedFeedstock)</f>
        <v>0</v>
      </c>
      <c r="H1441" s="14" t="b">
        <f>OR(LCI_Table[[#This Row],[Conversion]]="All",LCI_Table[[#This Row],[Conversion]]=SelectedConversion)</f>
        <v>0</v>
      </c>
      <c r="I1441" s="14" t="b">
        <f>OR(LCI_Table[[#This Row],[Data Set]]="all",LCI_Table[[#This Row],[Data Set]]=SelectedDataSet)</f>
        <v>0</v>
      </c>
      <c r="J1441" s="14" t="b">
        <f>OR(LCI_Table[[#This Row],[Technology]]="All",LCI_Table[[#This Row],[Technology]]=SelectedTechnology)</f>
        <v>1</v>
      </c>
      <c r="K1441" s="14" t="b">
        <f>OR(LCI_Table[[#This Row],[Data Source]]="All",LCI_Table[[#This Row],[Data Source]]=SelectedDataSource)</f>
        <v>0</v>
      </c>
      <c r="L1441" s="14" t="b">
        <f>TRUE</f>
        <v>1</v>
      </c>
      <c r="M1441" s="14" t="b">
        <f>(LCI_Table[[#This Row],[Dev Notes]]="Do not display")</f>
        <v>0</v>
      </c>
      <c r="N1441" s="14" t="b">
        <f>AND(LCI_Table[[#This Row],[Show Feedstock]:[Conditional]],NOT(LCI_Table[[#This Row],[Hide Row]]))</f>
        <v>0</v>
      </c>
      <c r="O1441" s="14" t="b">
        <f>LCI_Table[[#This Row],[GREET1 Name Range]]=""</f>
        <v>0</v>
      </c>
      <c r="P1441" s="14" t="s">
        <v>14</v>
      </c>
      <c r="Q1441" s="14" t="s">
        <v>778</v>
      </c>
      <c r="R1441" s="14" t="s">
        <v>115</v>
      </c>
      <c r="S1441" s="37" cm="1">
        <f t="array" aca="1" ref="S14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41" s="346" t="s">
        <v>1484</v>
      </c>
      <c r="U1441" s="347">
        <f ca="1">S1441*Fuel_Specs!$B$28/S1434</f>
        <v>0</v>
      </c>
      <c r="V1441" s="347">
        <v>0</v>
      </c>
      <c r="W1441" s="347">
        <v>0</v>
      </c>
      <c r="X1441" s="14" t="s">
        <v>5</v>
      </c>
      <c r="Y1441" s="346" t="s">
        <v>413</v>
      </c>
      <c r="Z1441" s="14" t="str">
        <f>IF(ISBLANK(LCI_Table[[#This Row],[Notes for user]])," ",LCI_Table[[#This Row],[Notes for user]])</f>
        <v xml:space="preserve"> </v>
      </c>
      <c r="AA1441" s="14"/>
      <c r="AB1441" s="14"/>
      <c r="AC1441" s="346">
        <f ca="1">LCI_Table[[#This Row],[Default Calculated Value]]-LCI_Table[[#This Row],[Calculated Value]]</f>
        <v>0</v>
      </c>
    </row>
    <row r="1442" spans="1:29" x14ac:dyDescent="0.3">
      <c r="A14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PoplarFTICAOMIT (GREET)(blank)_Poplar_Farming_DieselDiesel</v>
      </c>
      <c r="B1442" s="14" t="s">
        <v>132</v>
      </c>
      <c r="C1442" s="14" t="s">
        <v>129</v>
      </c>
      <c r="D1442" s="14" t="s">
        <v>194</v>
      </c>
      <c r="E1442" s="48" t="s">
        <v>1335</v>
      </c>
      <c r="F1442" s="48" t="s">
        <v>31</v>
      </c>
      <c r="G1442" s="14" t="b">
        <f>OR(LCI_Table[[#This Row],[Feedstock]]="All",LCI_Table[[#This Row],[Feedstock]]=SelectedFeedstock)</f>
        <v>0</v>
      </c>
      <c r="H1442" s="14" t="b">
        <f>OR(LCI_Table[[#This Row],[Conversion]]="All",LCI_Table[[#This Row],[Conversion]]=SelectedConversion)</f>
        <v>0</v>
      </c>
      <c r="I1442" s="14" t="b">
        <f>OR(LCI_Table[[#This Row],[Data Set]]="all",LCI_Table[[#This Row],[Data Set]]=SelectedDataSet)</f>
        <v>0</v>
      </c>
      <c r="J1442" s="14" t="b">
        <f>OR(LCI_Table[[#This Row],[Technology]]="All",LCI_Table[[#This Row],[Technology]]=SelectedTechnology)</f>
        <v>1</v>
      </c>
      <c r="K1442" s="14" t="b">
        <f>OR(LCI_Table[[#This Row],[Data Source]]="All",LCI_Table[[#This Row],[Data Source]]=SelectedDataSource)</f>
        <v>0</v>
      </c>
      <c r="L1442" s="14" t="b">
        <f>TRUE</f>
        <v>1</v>
      </c>
      <c r="M1442" s="14" t="b">
        <f>(LCI_Table[[#This Row],[Dev Notes]]="Do not display")</f>
        <v>0</v>
      </c>
      <c r="N1442" s="14" t="b">
        <f>AND(LCI_Table[[#This Row],[Show Feedstock]:[Conditional]],NOT(LCI_Table[[#This Row],[Hide Row]]))</f>
        <v>0</v>
      </c>
      <c r="O1442" s="14" t="b">
        <f>LCI_Table[[#This Row],[GREET1 Name Range]]=""</f>
        <v>0</v>
      </c>
      <c r="P1442" s="14" t="s">
        <v>14</v>
      </c>
      <c r="Q1442" s="14" t="s">
        <v>768</v>
      </c>
      <c r="R1442" s="14" t="s">
        <v>106</v>
      </c>
      <c r="S1442" s="37" cm="1">
        <f t="array" aca="1" ref="S14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14.653552501774344</v>
      </c>
      <c r="T1442" s="346" t="s">
        <v>1484</v>
      </c>
      <c r="U1442" s="347">
        <f ca="1">S1442*Fuel_Specs!$B$19/S1434</f>
        <v>496404.11952719814</v>
      </c>
      <c r="V1442" s="347">
        <v>14.653552501774344</v>
      </c>
      <c r="W1442" s="347">
        <v>496404.11952719814</v>
      </c>
      <c r="X1442" s="14" t="s">
        <v>5</v>
      </c>
      <c r="Y1442" s="346" t="s">
        <v>413</v>
      </c>
      <c r="Z1442" s="14" t="str">
        <f>IF(ISBLANK(LCI_Table[[#This Row],[Notes for user]])," ",LCI_Table[[#This Row],[Notes for user]])</f>
        <v xml:space="preserve"> </v>
      </c>
      <c r="AA1442" s="14"/>
      <c r="AB1442" s="14"/>
      <c r="AC1442" s="346">
        <f ca="1">LCI_Table[[#This Row],[Default Calculated Value]]-LCI_Table[[#This Row],[Calculated Value]]</f>
        <v>0</v>
      </c>
    </row>
    <row r="1443" spans="1:29" x14ac:dyDescent="0.3">
      <c r="A14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PoplarFTICAOMIT (GREET)(blank)_Poplar_Farming_GasolineGasoline</v>
      </c>
      <c r="B1443" s="14" t="s">
        <v>132</v>
      </c>
      <c r="C1443" s="14" t="s">
        <v>129</v>
      </c>
      <c r="D1443" s="14" t="s">
        <v>194</v>
      </c>
      <c r="E1443" s="48" t="s">
        <v>1335</v>
      </c>
      <c r="F1443" s="48" t="s">
        <v>31</v>
      </c>
      <c r="G1443" s="14" t="b">
        <f>OR(LCI_Table[[#This Row],[Feedstock]]="All",LCI_Table[[#This Row],[Feedstock]]=SelectedFeedstock)</f>
        <v>0</v>
      </c>
      <c r="H1443" s="14" t="b">
        <f>OR(LCI_Table[[#This Row],[Conversion]]="All",LCI_Table[[#This Row],[Conversion]]=SelectedConversion)</f>
        <v>0</v>
      </c>
      <c r="I1443" s="14" t="b">
        <f>OR(LCI_Table[[#This Row],[Data Set]]="all",LCI_Table[[#This Row],[Data Set]]=SelectedDataSet)</f>
        <v>0</v>
      </c>
      <c r="J1443" s="14" t="b">
        <f>OR(LCI_Table[[#This Row],[Technology]]="All",LCI_Table[[#This Row],[Technology]]=SelectedTechnology)</f>
        <v>1</v>
      </c>
      <c r="K1443" s="14" t="b">
        <f>OR(LCI_Table[[#This Row],[Data Source]]="All",LCI_Table[[#This Row],[Data Source]]=SelectedDataSource)</f>
        <v>0</v>
      </c>
      <c r="L1443" s="14" t="b">
        <f>TRUE</f>
        <v>1</v>
      </c>
      <c r="M1443" s="14" t="b">
        <f>(LCI_Table[[#This Row],[Dev Notes]]="Do not display")</f>
        <v>0</v>
      </c>
      <c r="N1443" s="14" t="b">
        <f>AND(LCI_Table[[#This Row],[Show Feedstock]:[Conditional]],NOT(LCI_Table[[#This Row],[Hide Row]]))</f>
        <v>0</v>
      </c>
      <c r="O1443" s="14" t="b">
        <f>LCI_Table[[#This Row],[GREET1 Name Range]]=""</f>
        <v>0</v>
      </c>
      <c r="P1443" s="14" t="s">
        <v>14</v>
      </c>
      <c r="Q1443" s="14" t="s">
        <v>770</v>
      </c>
      <c r="R1443" s="14" t="s">
        <v>107</v>
      </c>
      <c r="S1443" s="37" cm="1">
        <f t="array" aca="1" ref="S14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43" s="346" t="s">
        <v>1484</v>
      </c>
      <c r="U1443" s="347">
        <f ca="1">S1443*Fuel_Specs!$B$15/S1434</f>
        <v>0</v>
      </c>
      <c r="V1443" s="347">
        <v>0</v>
      </c>
      <c r="W1443" s="347">
        <v>0</v>
      </c>
      <c r="X1443" s="14" t="s">
        <v>5</v>
      </c>
      <c r="Y1443" s="346" t="s">
        <v>413</v>
      </c>
      <c r="Z1443" s="14" t="str">
        <f>IF(ISBLANK(LCI_Table[[#This Row],[Notes for user]])," ",LCI_Table[[#This Row],[Notes for user]])</f>
        <v xml:space="preserve"> </v>
      </c>
      <c r="AA1443" s="14"/>
      <c r="AB1443" s="14"/>
      <c r="AC1443" s="346">
        <f ca="1">LCI_Table[[#This Row],[Default Calculated Value]]-LCI_Table[[#This Row],[Calculated Value]]</f>
        <v>0</v>
      </c>
    </row>
    <row r="1444" spans="1:29" x14ac:dyDescent="0.3">
      <c r="A14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PoplarFTICAOMIT (GREET)(blank)_Poplar_Farming_Natural_gasNatural gas</v>
      </c>
      <c r="B1444" s="14" t="s">
        <v>132</v>
      </c>
      <c r="C1444" s="14" t="s">
        <v>129</v>
      </c>
      <c r="D1444" s="14" t="s">
        <v>194</v>
      </c>
      <c r="E1444" s="48" t="s">
        <v>1335</v>
      </c>
      <c r="F1444" s="48" t="s">
        <v>31</v>
      </c>
      <c r="G1444" s="14" t="b">
        <f>OR(LCI_Table[[#This Row],[Feedstock]]="All",LCI_Table[[#This Row],[Feedstock]]=SelectedFeedstock)</f>
        <v>0</v>
      </c>
      <c r="H1444" s="14" t="b">
        <f>OR(LCI_Table[[#This Row],[Conversion]]="All",LCI_Table[[#This Row],[Conversion]]=SelectedConversion)</f>
        <v>0</v>
      </c>
      <c r="I1444" s="14" t="b">
        <f>OR(LCI_Table[[#This Row],[Data Set]]="all",LCI_Table[[#This Row],[Data Set]]=SelectedDataSet)</f>
        <v>0</v>
      </c>
      <c r="J1444" s="14" t="b">
        <f>OR(LCI_Table[[#This Row],[Technology]]="All",LCI_Table[[#This Row],[Technology]]=SelectedTechnology)</f>
        <v>1</v>
      </c>
      <c r="K1444" s="14" t="b">
        <f>OR(LCI_Table[[#This Row],[Data Source]]="All",LCI_Table[[#This Row],[Data Source]]=SelectedDataSource)</f>
        <v>0</v>
      </c>
      <c r="L1444" s="14" t="b">
        <f>TRUE</f>
        <v>1</v>
      </c>
      <c r="M1444" s="14" t="b">
        <f>(LCI_Table[[#This Row],[Dev Notes]]="Do not display")</f>
        <v>0</v>
      </c>
      <c r="N1444" s="14" t="b">
        <f>AND(LCI_Table[[#This Row],[Show Feedstock]:[Conditional]],NOT(LCI_Table[[#This Row],[Hide Row]]))</f>
        <v>0</v>
      </c>
      <c r="O1444" s="14" t="b">
        <f>LCI_Table[[#This Row],[GREET1 Name Range]]=""</f>
        <v>0</v>
      </c>
      <c r="P1444" s="14" t="s">
        <v>14</v>
      </c>
      <c r="Q1444" s="14" t="s">
        <v>775</v>
      </c>
      <c r="R1444" s="14" t="s">
        <v>108</v>
      </c>
      <c r="S1444" s="37" cm="1">
        <f t="array" aca="1" ref="S14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44" s="346" t="s">
        <v>2109</v>
      </c>
      <c r="U1444" s="347">
        <f ca="1">S1444*Fuel_Specs!$B$79/S1434</f>
        <v>0</v>
      </c>
      <c r="V1444" s="347">
        <v>0</v>
      </c>
      <c r="W1444" s="347">
        <v>0</v>
      </c>
      <c r="X1444" s="14" t="s">
        <v>351</v>
      </c>
      <c r="Y1444" s="346" t="s">
        <v>413</v>
      </c>
      <c r="Z1444" s="14" t="str">
        <f>IF(ISBLANK(LCI_Table[[#This Row],[Notes for user]])," ",LCI_Table[[#This Row],[Notes for user]])</f>
        <v xml:space="preserve"> </v>
      </c>
      <c r="AA1444" s="14"/>
      <c r="AB1444" s="14"/>
      <c r="AC1444" s="346">
        <f ca="1">LCI_Table[[#This Row],[Default Calculated Value]]-LCI_Table[[#This Row],[Calculated Value]]</f>
        <v>0</v>
      </c>
    </row>
    <row r="1445" spans="1:29" x14ac:dyDescent="0.3">
      <c r="A14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PoplarFTICAOMIT (GREET)(blank)_Poplar_Farming_CoalCoal</v>
      </c>
      <c r="B1445" s="14" t="s">
        <v>132</v>
      </c>
      <c r="C1445" s="14" t="s">
        <v>129</v>
      </c>
      <c r="D1445" s="14" t="s">
        <v>194</v>
      </c>
      <c r="E1445" s="48" t="s">
        <v>1335</v>
      </c>
      <c r="F1445" s="48" t="s">
        <v>31</v>
      </c>
      <c r="G1445" s="14" t="b">
        <f>OR(LCI_Table[[#This Row],[Feedstock]]="All",LCI_Table[[#This Row],[Feedstock]]=SelectedFeedstock)</f>
        <v>0</v>
      </c>
      <c r="H1445" s="14" t="b">
        <f>OR(LCI_Table[[#This Row],[Conversion]]="All",LCI_Table[[#This Row],[Conversion]]=SelectedConversion)</f>
        <v>0</v>
      </c>
      <c r="I1445" s="14" t="b">
        <f>OR(LCI_Table[[#This Row],[Data Set]]="all",LCI_Table[[#This Row],[Data Set]]=SelectedDataSet)</f>
        <v>0</v>
      </c>
      <c r="J1445" s="14" t="b">
        <f>OR(LCI_Table[[#This Row],[Technology]]="All",LCI_Table[[#This Row],[Technology]]=SelectedTechnology)</f>
        <v>1</v>
      </c>
      <c r="K1445" s="14" t="b">
        <f>OR(LCI_Table[[#This Row],[Data Source]]="All",LCI_Table[[#This Row],[Data Source]]=SelectedDataSource)</f>
        <v>0</v>
      </c>
      <c r="L1445" s="14" t="b">
        <f>TRUE</f>
        <v>1</v>
      </c>
      <c r="M1445" s="14" t="b">
        <f>(LCI_Table[[#This Row],[Dev Notes]]="Do not display")</f>
        <v>0</v>
      </c>
      <c r="N1445" s="14" t="b">
        <f>AND(LCI_Table[[#This Row],[Show Feedstock]:[Conditional]],NOT(LCI_Table[[#This Row],[Hide Row]]))</f>
        <v>0</v>
      </c>
      <c r="O1445" s="14" t="b">
        <f>LCI_Table[[#This Row],[GREET1 Name Range]]=""</f>
        <v>0</v>
      </c>
      <c r="P1445" s="14" t="s">
        <v>14</v>
      </c>
      <c r="Q1445" s="14" t="s">
        <v>767</v>
      </c>
      <c r="R1445" s="14" t="s">
        <v>9</v>
      </c>
      <c r="S1445" s="37" cm="1">
        <f t="array" aca="1" ref="S14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45" s="346" t="s">
        <v>2110</v>
      </c>
      <c r="U1445" s="347">
        <f ca="1">S1445/S1434</f>
        <v>0</v>
      </c>
      <c r="V1445" s="347">
        <v>0</v>
      </c>
      <c r="W1445" s="347">
        <v>0</v>
      </c>
      <c r="X1445" s="14" t="s">
        <v>117</v>
      </c>
      <c r="Y1445" s="346" t="s">
        <v>413</v>
      </c>
      <c r="Z1445" s="14" t="str">
        <f>IF(ISBLANK(LCI_Table[[#This Row],[Notes for user]])," ",LCI_Table[[#This Row],[Notes for user]])</f>
        <v xml:space="preserve"> </v>
      </c>
      <c r="AA1445" s="14"/>
      <c r="AB1445" s="14"/>
      <c r="AC1445" s="346">
        <f ca="1">LCI_Table[[#This Row],[Default Calculated Value]]-LCI_Table[[#This Row],[Calculated Value]]</f>
        <v>0</v>
      </c>
    </row>
    <row r="1446" spans="1:29" x14ac:dyDescent="0.3">
      <c r="A14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PoplarFTICAOMIT (GREET)(blank)_Poplar_Farming_LPGLPG</v>
      </c>
      <c r="B1446" s="14" t="s">
        <v>132</v>
      </c>
      <c r="C1446" s="14" t="s">
        <v>129</v>
      </c>
      <c r="D1446" s="14" t="s">
        <v>194</v>
      </c>
      <c r="E1446" s="48" t="s">
        <v>1335</v>
      </c>
      <c r="F1446" s="48" t="s">
        <v>31</v>
      </c>
      <c r="G1446" s="14" t="b">
        <f>OR(LCI_Table[[#This Row],[Feedstock]]="All",LCI_Table[[#This Row],[Feedstock]]=SelectedFeedstock)</f>
        <v>0</v>
      </c>
      <c r="H1446" s="14" t="b">
        <f>OR(LCI_Table[[#This Row],[Conversion]]="All",LCI_Table[[#This Row],[Conversion]]=SelectedConversion)</f>
        <v>0</v>
      </c>
      <c r="I1446" s="14" t="b">
        <f>OR(LCI_Table[[#This Row],[Data Set]]="all",LCI_Table[[#This Row],[Data Set]]=SelectedDataSet)</f>
        <v>0</v>
      </c>
      <c r="J1446" s="14" t="b">
        <f>OR(LCI_Table[[#This Row],[Technology]]="All",LCI_Table[[#This Row],[Technology]]=SelectedTechnology)</f>
        <v>1</v>
      </c>
      <c r="K1446" s="14" t="b">
        <f>OR(LCI_Table[[#This Row],[Data Source]]="All",LCI_Table[[#This Row],[Data Source]]=SelectedDataSource)</f>
        <v>0</v>
      </c>
      <c r="L1446" s="14" t="b">
        <f>TRUE</f>
        <v>1</v>
      </c>
      <c r="M1446" s="14" t="b">
        <f>(LCI_Table[[#This Row],[Dev Notes]]="Do not display")</f>
        <v>0</v>
      </c>
      <c r="N1446" s="14" t="b">
        <f>AND(LCI_Table[[#This Row],[Show Feedstock]:[Conditional]],NOT(LCI_Table[[#This Row],[Hide Row]]))</f>
        <v>0</v>
      </c>
      <c r="O1446" s="14" t="b">
        <f>LCI_Table[[#This Row],[GREET1 Name Range]]=""</f>
        <v>0</v>
      </c>
      <c r="P1446" s="14" t="s">
        <v>14</v>
      </c>
      <c r="Q1446" s="14" t="s">
        <v>774</v>
      </c>
      <c r="R1446" s="14" t="s">
        <v>109</v>
      </c>
      <c r="S1446" s="37" cm="1">
        <f t="array" aca="1" ref="S14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46" s="346" t="s">
        <v>1484</v>
      </c>
      <c r="U1446" s="347">
        <f ca="1">S1446*Fuel_Specs!$B$35/S1434</f>
        <v>0</v>
      </c>
      <c r="V1446" s="347">
        <v>0</v>
      </c>
      <c r="W1446" s="347">
        <v>0</v>
      </c>
      <c r="X1446" s="14" t="s">
        <v>5</v>
      </c>
      <c r="Y1446" s="346" t="s">
        <v>413</v>
      </c>
      <c r="Z1446" s="14" t="str">
        <f>IF(ISBLANK(LCI_Table[[#This Row],[Notes for user]])," ",LCI_Table[[#This Row],[Notes for user]])</f>
        <v xml:space="preserve"> </v>
      </c>
      <c r="AA1446" s="14"/>
      <c r="AB1446" s="14"/>
      <c r="AC1446" s="346">
        <f ca="1">LCI_Table[[#This Row],[Default Calculated Value]]-LCI_Table[[#This Row],[Calculated Value]]</f>
        <v>0</v>
      </c>
    </row>
    <row r="1447" spans="1:29" x14ac:dyDescent="0.3">
      <c r="A14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PoplarFTICAOMIT (GREET)(blank)_Poplar_Farming_ElectricityElectricity</v>
      </c>
      <c r="B1447" s="14" t="s">
        <v>132</v>
      </c>
      <c r="C1447" s="14" t="s">
        <v>129</v>
      </c>
      <c r="D1447" s="14" t="s">
        <v>194</v>
      </c>
      <c r="E1447" s="48" t="s">
        <v>1335</v>
      </c>
      <c r="F1447" s="48" t="s">
        <v>31</v>
      </c>
      <c r="G1447" s="14" t="b">
        <f>OR(LCI_Table[[#This Row],[Feedstock]]="All",LCI_Table[[#This Row],[Feedstock]]=SelectedFeedstock)</f>
        <v>0</v>
      </c>
      <c r="H1447" s="14" t="b">
        <f>OR(LCI_Table[[#This Row],[Conversion]]="All",LCI_Table[[#This Row],[Conversion]]=SelectedConversion)</f>
        <v>0</v>
      </c>
      <c r="I1447" s="14" t="b">
        <f>OR(LCI_Table[[#This Row],[Data Set]]="all",LCI_Table[[#This Row],[Data Set]]=SelectedDataSet)</f>
        <v>0</v>
      </c>
      <c r="J1447" s="14" t="b">
        <f>OR(LCI_Table[[#This Row],[Technology]]="All",LCI_Table[[#This Row],[Technology]]=SelectedTechnology)</f>
        <v>1</v>
      </c>
      <c r="K1447" s="14" t="b">
        <f>OR(LCI_Table[[#This Row],[Data Source]]="All",LCI_Table[[#This Row],[Data Source]]=SelectedDataSource)</f>
        <v>0</v>
      </c>
      <c r="L1447" s="14" t="b">
        <f>TRUE</f>
        <v>1</v>
      </c>
      <c r="M1447" s="14" t="b">
        <f>(LCI_Table[[#This Row],[Dev Notes]]="Do not display")</f>
        <v>0</v>
      </c>
      <c r="N1447" s="14" t="b">
        <f>AND(LCI_Table[[#This Row],[Show Feedstock]:[Conditional]],NOT(LCI_Table[[#This Row],[Hide Row]]))</f>
        <v>0</v>
      </c>
      <c r="O1447" s="14" t="b">
        <f>LCI_Table[[#This Row],[GREET1 Name Range]]=""</f>
        <v>0</v>
      </c>
      <c r="P1447" s="14" t="s">
        <v>14</v>
      </c>
      <c r="Q1447" s="14" t="s">
        <v>769</v>
      </c>
      <c r="R1447" s="348" t="s">
        <v>110</v>
      </c>
      <c r="S1447" s="37" cm="1">
        <f t="array" aca="1" ref="S14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47" s="346" t="s">
        <v>1561</v>
      </c>
      <c r="U1447" s="347">
        <f ca="1">S1447/BTU2kWh/S1434</f>
        <v>0</v>
      </c>
      <c r="V1447" s="347">
        <v>0</v>
      </c>
      <c r="W1447" s="347">
        <v>0</v>
      </c>
      <c r="X1447" s="14" t="s">
        <v>51</v>
      </c>
      <c r="Y1447" s="346" t="s">
        <v>413</v>
      </c>
      <c r="Z1447" s="14" t="str">
        <f>IF(ISBLANK(LCI_Table[[#This Row],[Notes for user]])," ",LCI_Table[[#This Row],[Notes for user]])</f>
        <v xml:space="preserve"> </v>
      </c>
      <c r="AA1447" s="14"/>
      <c r="AB1447" s="14"/>
      <c r="AC1447" s="346">
        <f ca="1">LCI_Table[[#This Row],[Default Calculated Value]]-LCI_Table[[#This Row],[Calculated Value]]</f>
        <v>0</v>
      </c>
    </row>
    <row r="1448" spans="1:29" x14ac:dyDescent="0.3">
      <c r="A14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PoplarFTICAOMIT (GREET)(blank)_Poplar_FT_efficiencyPoplar</v>
      </c>
      <c r="B1448" s="14" t="s">
        <v>132</v>
      </c>
      <c r="C1448" s="14" t="s">
        <v>129</v>
      </c>
      <c r="D1448" s="14" t="s">
        <v>194</v>
      </c>
      <c r="E1448" s="48" t="s">
        <v>1335</v>
      </c>
      <c r="F1448" s="48" t="s">
        <v>31</v>
      </c>
      <c r="G1448" s="14" t="b">
        <f>OR(LCI_Table[[#This Row],[Feedstock]]="All",LCI_Table[[#This Row],[Feedstock]]=SelectedFeedstock)</f>
        <v>0</v>
      </c>
      <c r="H1448" s="14" t="b">
        <f>OR(LCI_Table[[#This Row],[Conversion]]="All",LCI_Table[[#This Row],[Conversion]]=SelectedConversion)</f>
        <v>0</v>
      </c>
      <c r="I1448" s="14" t="b">
        <f>OR(LCI_Table[[#This Row],[Data Set]]="all",LCI_Table[[#This Row],[Data Set]]=SelectedDataSet)</f>
        <v>0</v>
      </c>
      <c r="J1448" s="14" t="b">
        <f>OR(LCI_Table[[#This Row],[Technology]]="All",LCI_Table[[#This Row],[Technology]]=SelectedTechnology)</f>
        <v>1</v>
      </c>
      <c r="K1448" s="14" t="b">
        <f>OR(LCI_Table[[#This Row],[Data Source]]="All",LCI_Table[[#This Row],[Data Source]]=SelectedDataSource)</f>
        <v>0</v>
      </c>
      <c r="L1448" s="14" t="b">
        <f>TRUE</f>
        <v>1</v>
      </c>
      <c r="M1448" s="14" t="b">
        <f>(LCI_Table[[#This Row],[Dev Notes]]="Do not display")</f>
        <v>0</v>
      </c>
      <c r="N1448" s="14" t="b">
        <f>AND(LCI_Table[[#This Row],[Show Feedstock]:[Conditional]],NOT(LCI_Table[[#This Row],[Hide Row]]))</f>
        <v>0</v>
      </c>
      <c r="O1448" s="14" t="b">
        <f>LCI_Table[[#This Row],[GREET1 Name Range]]=""</f>
        <v>0</v>
      </c>
      <c r="P1448" s="14" t="s">
        <v>1448</v>
      </c>
      <c r="Q1448" s="14" t="s">
        <v>938</v>
      </c>
      <c r="R1448" s="14" t="s">
        <v>132</v>
      </c>
      <c r="S1448" s="37" cm="1">
        <f t="array" aca="1" ref="S14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0.12555715989704314</v>
      </c>
      <c r="T1448" s="346" t="s">
        <v>2125</v>
      </c>
      <c r="U1448" s="347">
        <f ca="1">1/(S1448*Fuel_Specs!$B$96*BTU2mmBTU)</f>
        <v>0.5</v>
      </c>
      <c r="V1448" s="347">
        <v>0.12555715989704314</v>
      </c>
      <c r="W1448" s="347">
        <v>0.5</v>
      </c>
      <c r="X1448" s="37" t="s">
        <v>55</v>
      </c>
      <c r="Y1448" s="346" t="s">
        <v>416</v>
      </c>
      <c r="Z1448" s="14" t="str">
        <f>IF(ISBLANK(LCI_Table[[#This Row],[Notes for user]])," ",LCI_Table[[#This Row],[Notes for user]])</f>
        <v xml:space="preserve"> </v>
      </c>
      <c r="AA1448" s="14"/>
      <c r="AB1448" s="14"/>
      <c r="AC1448" s="346">
        <f ca="1">LCI_Table[[#This Row],[Default Calculated Value]]-LCI_Table[[#This Row],[Calculated Value]]</f>
        <v>0</v>
      </c>
    </row>
    <row r="1449" spans="1:29" x14ac:dyDescent="0.3">
      <c r="A14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dash_PoplarFTICAOJRC (GREET)(blank)_Yield_Farming</v>
      </c>
      <c r="B1449" s="48" t="s">
        <v>132</v>
      </c>
      <c r="C1449" s="48" t="s">
        <v>129</v>
      </c>
      <c r="D1449" s="48" t="s">
        <v>194</v>
      </c>
      <c r="E1449" s="48" t="s">
        <v>1338</v>
      </c>
      <c r="F1449" s="48" t="s">
        <v>31</v>
      </c>
      <c r="G1449" s="14" t="b">
        <f>OR(LCI_Table[[#This Row],[Feedstock]]="All",LCI_Table[[#This Row],[Feedstock]]=SelectedFeedstock)</f>
        <v>0</v>
      </c>
      <c r="H1449" s="14" t="b">
        <f>OR(LCI_Table[[#This Row],[Conversion]]="All",LCI_Table[[#This Row],[Conversion]]=SelectedConversion)</f>
        <v>0</v>
      </c>
      <c r="I1449" s="14" t="b">
        <f>OR(LCI_Table[[#This Row],[Data Set]]="all",LCI_Table[[#This Row],[Data Set]]=SelectedDataSet)</f>
        <v>0</v>
      </c>
      <c r="J1449" s="14" t="b">
        <f>OR(LCI_Table[[#This Row],[Technology]]="All",LCI_Table[[#This Row],[Technology]]=SelectedTechnology)</f>
        <v>1</v>
      </c>
      <c r="K1449" s="14" t="b">
        <f>OR(LCI_Table[[#This Row],[Data Source]]="All",LCI_Table[[#This Row],[Data Source]]=SelectedDataSource)</f>
        <v>0</v>
      </c>
      <c r="L1449" s="14" t="b">
        <f>TRUE</f>
        <v>1</v>
      </c>
      <c r="M1449" s="14" t="b">
        <f>(LCI_Table[[#This Row],[Dev Notes]]="Do not display")</f>
        <v>0</v>
      </c>
      <c r="N1449" s="14" t="b">
        <f>AND(LCI_Table[[#This Row],[Show Feedstock]:[Conditional]],NOT(LCI_Table[[#This Row],[Hide Row]]))</f>
        <v>0</v>
      </c>
      <c r="O1449" s="14" t="b">
        <f>LCI_Table[[#This Row],[GREET1 Name Range]]=""</f>
        <v>1</v>
      </c>
      <c r="P1449" s="48" t="s">
        <v>14</v>
      </c>
      <c r="Q1449" s="14" t="s">
        <v>361</v>
      </c>
      <c r="R1449" s="48" t="s">
        <v>200</v>
      </c>
      <c r="S1449" s="37" cm="1">
        <f t="array" aca="1" ref="S14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3.7917671203971253</v>
      </c>
      <c r="T1449" s="346" t="s">
        <v>2116</v>
      </c>
      <c r="U1449" s="344"/>
      <c r="V1449" s="344">
        <v>3.7917671203971253</v>
      </c>
      <c r="W1449" s="344"/>
      <c r="X1449" s="48" t="s">
        <v>55</v>
      </c>
      <c r="Y1449" s="346" t="s">
        <v>413</v>
      </c>
      <c r="Z1449" s="14" t="str">
        <f>IF(ISBLANK(LCI_Table[[#This Row],[Notes for user]])," ",LCI_Table[[#This Row],[Notes for user]])</f>
        <v xml:space="preserve"> </v>
      </c>
      <c r="AA1449" s="48"/>
      <c r="AB1449" s="345"/>
      <c r="AC1449" s="346">
        <f>LCI_Table[[#This Row],[Default Calculated Value]]-LCI_Table[[#This Row],[Calculated Value]]</f>
        <v>0</v>
      </c>
    </row>
    <row r="1450" spans="1:29" x14ac:dyDescent="0.3">
      <c r="A14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(GREET)(blank)_Poplar_Farming_Nitrogen_fertilizerNitrogen fertilizer</v>
      </c>
      <c r="B1450" s="348" t="s">
        <v>132</v>
      </c>
      <c r="C1450" s="348" t="s">
        <v>129</v>
      </c>
      <c r="D1450" s="14" t="s">
        <v>194</v>
      </c>
      <c r="E1450" s="48" t="s">
        <v>1338</v>
      </c>
      <c r="F1450" s="48" t="s">
        <v>31</v>
      </c>
      <c r="G1450" s="14" t="b">
        <f>OR(LCI_Table[[#This Row],[Feedstock]]="All",LCI_Table[[#This Row],[Feedstock]]=SelectedFeedstock)</f>
        <v>0</v>
      </c>
      <c r="H1450" s="14" t="b">
        <f>OR(LCI_Table[[#This Row],[Conversion]]="All",LCI_Table[[#This Row],[Conversion]]=SelectedConversion)</f>
        <v>0</v>
      </c>
      <c r="I1450" s="14" t="b">
        <f>OR(LCI_Table[[#This Row],[Data Set]]="all",LCI_Table[[#This Row],[Data Set]]=SelectedDataSet)</f>
        <v>0</v>
      </c>
      <c r="J1450" s="14" t="b">
        <f>OR(LCI_Table[[#This Row],[Technology]]="All",LCI_Table[[#This Row],[Technology]]=SelectedTechnology)</f>
        <v>1</v>
      </c>
      <c r="K1450" s="14" t="b">
        <f>OR(LCI_Table[[#This Row],[Data Source]]="All",LCI_Table[[#This Row],[Data Source]]=SelectedDataSource)</f>
        <v>0</v>
      </c>
      <c r="L1450" s="14" t="b">
        <f>TRUE</f>
        <v>1</v>
      </c>
      <c r="M1450" s="14" t="b">
        <f>(LCI_Table[[#This Row],[Dev Notes]]="Do not display")</f>
        <v>0</v>
      </c>
      <c r="N1450" s="14" t="b">
        <f>AND(LCI_Table[[#This Row],[Show Feedstock]:[Conditional]],NOT(LCI_Table[[#This Row],[Hide Row]]))</f>
        <v>0</v>
      </c>
      <c r="O1450" s="14" t="b">
        <f>LCI_Table[[#This Row],[GREET1 Name Range]]=""</f>
        <v>0</v>
      </c>
      <c r="P1450" s="14" t="s">
        <v>14</v>
      </c>
      <c r="Q1450" s="14" t="s">
        <v>776</v>
      </c>
      <c r="R1450" s="348" t="s">
        <v>111</v>
      </c>
      <c r="S1450" s="37" cm="1">
        <f t="array" aca="1" ref="S14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39.434172009255128</v>
      </c>
      <c r="T1450" s="346" t="s">
        <v>1485</v>
      </c>
      <c r="U1450" s="347">
        <f ca="1">S1450/S1449*lb2g</f>
        <v>4717.3360000000011</v>
      </c>
      <c r="V1450" s="347">
        <v>39.434172009255128</v>
      </c>
      <c r="W1450" s="347">
        <v>4717.3360000000011</v>
      </c>
      <c r="X1450" s="14" t="s">
        <v>12</v>
      </c>
      <c r="Y1450" s="346" t="s">
        <v>413</v>
      </c>
      <c r="Z1450" s="14" t="str">
        <f>IF(ISBLANK(LCI_Table[[#This Row],[Notes for user]])," ",LCI_Table[[#This Row],[Notes for user]])</f>
        <v xml:space="preserve"> </v>
      </c>
      <c r="AA1450" s="14"/>
      <c r="AB1450" s="348"/>
      <c r="AC1450" s="346">
        <f ca="1">LCI_Table[[#This Row],[Default Calculated Value]]-LCI_Table[[#This Row],[Calculated Value]]</f>
        <v>0</v>
      </c>
    </row>
    <row r="1451" spans="1:29" x14ac:dyDescent="0.3">
      <c r="A14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(GREET)(blank)_Poplar_Farming_P2O5P2O5</v>
      </c>
      <c r="B1451" s="14" t="s">
        <v>132</v>
      </c>
      <c r="C1451" s="14" t="s">
        <v>129</v>
      </c>
      <c r="D1451" s="14" t="s">
        <v>194</v>
      </c>
      <c r="E1451" s="48" t="s">
        <v>1338</v>
      </c>
      <c r="F1451" s="48" t="s">
        <v>31</v>
      </c>
      <c r="G1451" s="14" t="b">
        <f>OR(LCI_Table[[#This Row],[Feedstock]]="All",LCI_Table[[#This Row],[Feedstock]]=SelectedFeedstock)</f>
        <v>0</v>
      </c>
      <c r="H1451" s="14" t="b">
        <f>OR(LCI_Table[[#This Row],[Conversion]]="All",LCI_Table[[#This Row],[Conversion]]=SelectedConversion)</f>
        <v>0</v>
      </c>
      <c r="I1451" s="14" t="b">
        <f>OR(LCI_Table[[#This Row],[Data Set]]="all",LCI_Table[[#This Row],[Data Set]]=SelectedDataSet)</f>
        <v>0</v>
      </c>
      <c r="J1451" s="14" t="b">
        <f>OR(LCI_Table[[#This Row],[Technology]]="All",LCI_Table[[#This Row],[Technology]]=SelectedTechnology)</f>
        <v>1</v>
      </c>
      <c r="K1451" s="14" t="b">
        <f>OR(LCI_Table[[#This Row],[Data Source]]="All",LCI_Table[[#This Row],[Data Source]]=SelectedDataSource)</f>
        <v>0</v>
      </c>
      <c r="L1451" s="14" t="b">
        <f>TRUE</f>
        <v>1</v>
      </c>
      <c r="M1451" s="14" t="b">
        <f>(LCI_Table[[#This Row],[Dev Notes]]="Do not display")</f>
        <v>0</v>
      </c>
      <c r="N1451" s="14" t="b">
        <f>AND(LCI_Table[[#This Row],[Show Feedstock]:[Conditional]],NOT(LCI_Table[[#This Row],[Hide Row]]))</f>
        <v>0</v>
      </c>
      <c r="O1451" s="14" t="b">
        <f>LCI_Table[[#This Row],[GREET1 Name Range]]=""</f>
        <v>0</v>
      </c>
      <c r="P1451" s="14" t="s">
        <v>14</v>
      </c>
      <c r="Q1451" s="14" t="s">
        <v>777</v>
      </c>
      <c r="R1451" s="14" t="s">
        <v>112</v>
      </c>
      <c r="S1451" s="37" cm="1">
        <f t="array" aca="1" ref="S14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6.0667956937315575</v>
      </c>
      <c r="T1451" s="346" t="s">
        <v>1485</v>
      </c>
      <c r="U1451" s="347">
        <f ca="1">S1451/S1449*lb2g</f>
        <v>725.74400000000003</v>
      </c>
      <c r="V1451" s="347">
        <v>6.0667956937315575</v>
      </c>
      <c r="W1451" s="347">
        <v>725.74400000000003</v>
      </c>
      <c r="X1451" s="14" t="s">
        <v>12</v>
      </c>
      <c r="Y1451" s="346" t="s">
        <v>413</v>
      </c>
      <c r="Z1451" s="14" t="str">
        <f>IF(ISBLANK(LCI_Table[[#This Row],[Notes for user]])," ",LCI_Table[[#This Row],[Notes for user]])</f>
        <v xml:space="preserve"> </v>
      </c>
      <c r="AA1451" s="14"/>
      <c r="AB1451" s="14"/>
      <c r="AC1451" s="346">
        <f ca="1">LCI_Table[[#This Row],[Default Calculated Value]]-LCI_Table[[#This Row],[Calculated Value]]</f>
        <v>0</v>
      </c>
    </row>
    <row r="1452" spans="1:29" x14ac:dyDescent="0.3">
      <c r="A14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(GREET)(blank)_Poplar_Farming_K2OK2O</v>
      </c>
      <c r="B1452" s="14" t="s">
        <v>132</v>
      </c>
      <c r="C1452" s="14" t="s">
        <v>129</v>
      </c>
      <c r="D1452" s="14" t="s">
        <v>194</v>
      </c>
      <c r="E1452" s="48" t="s">
        <v>1338</v>
      </c>
      <c r="F1452" s="48" t="s">
        <v>31</v>
      </c>
      <c r="G1452" s="14" t="b">
        <f>OR(LCI_Table[[#This Row],[Feedstock]]="All",LCI_Table[[#This Row],[Feedstock]]=SelectedFeedstock)</f>
        <v>0</v>
      </c>
      <c r="H1452" s="14" t="b">
        <f>OR(LCI_Table[[#This Row],[Conversion]]="All",LCI_Table[[#This Row],[Conversion]]=SelectedConversion)</f>
        <v>0</v>
      </c>
      <c r="I1452" s="14" t="b">
        <f>OR(LCI_Table[[#This Row],[Data Set]]="all",LCI_Table[[#This Row],[Data Set]]=SelectedDataSet)</f>
        <v>0</v>
      </c>
      <c r="J1452" s="14" t="b">
        <f>OR(LCI_Table[[#This Row],[Technology]]="All",LCI_Table[[#This Row],[Technology]]=SelectedTechnology)</f>
        <v>1</v>
      </c>
      <c r="K1452" s="14" t="b">
        <f>OR(LCI_Table[[#This Row],[Data Source]]="All",LCI_Table[[#This Row],[Data Source]]=SelectedDataSource)</f>
        <v>0</v>
      </c>
      <c r="L1452" s="14" t="b">
        <f>TRUE</f>
        <v>1</v>
      </c>
      <c r="M1452" s="14" t="b">
        <f>(LCI_Table[[#This Row],[Dev Notes]]="Do not display")</f>
        <v>0</v>
      </c>
      <c r="N1452" s="14" t="b">
        <f>AND(LCI_Table[[#This Row],[Show Feedstock]:[Conditional]],NOT(LCI_Table[[#This Row],[Hide Row]]))</f>
        <v>0</v>
      </c>
      <c r="O1452" s="14" t="b">
        <f>LCI_Table[[#This Row],[GREET1 Name Range]]=""</f>
        <v>0</v>
      </c>
      <c r="P1452" s="14" t="s">
        <v>14</v>
      </c>
      <c r="Q1452" s="14" t="s">
        <v>773</v>
      </c>
      <c r="R1452" s="14" t="s">
        <v>113</v>
      </c>
      <c r="S1452" s="37" cm="1">
        <f t="array" aca="1" ref="S14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25.025532236642672</v>
      </c>
      <c r="T1452" s="346" t="s">
        <v>1485</v>
      </c>
      <c r="U1452" s="347">
        <f ca="1">S1452/S1449*lb2g</f>
        <v>2993.6939999999995</v>
      </c>
      <c r="V1452" s="347">
        <v>25.025532236642672</v>
      </c>
      <c r="W1452" s="347">
        <v>2993.6939999999995</v>
      </c>
      <c r="X1452" s="14" t="s">
        <v>12</v>
      </c>
      <c r="Y1452" s="346" t="s">
        <v>413</v>
      </c>
      <c r="Z1452" s="14" t="str">
        <f>IF(ISBLANK(LCI_Table[[#This Row],[Notes for user]])," ",LCI_Table[[#This Row],[Notes for user]])</f>
        <v xml:space="preserve"> </v>
      </c>
      <c r="AA1452" s="14"/>
      <c r="AB1452" s="14"/>
      <c r="AC1452" s="346">
        <f ca="1">LCI_Table[[#This Row],[Default Calculated Value]]-LCI_Table[[#This Row],[Calculated Value]]</f>
        <v>0</v>
      </c>
    </row>
    <row r="1453" spans="1:29" x14ac:dyDescent="0.3">
      <c r="A14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(GREET)(blank)_Poplar_Farming_CaCO3CaCO3</v>
      </c>
      <c r="B1453" s="14" t="s">
        <v>132</v>
      </c>
      <c r="C1453" s="14" t="s">
        <v>129</v>
      </c>
      <c r="D1453" s="14" t="s">
        <v>194</v>
      </c>
      <c r="E1453" s="48" t="s">
        <v>1338</v>
      </c>
      <c r="F1453" s="48" t="s">
        <v>31</v>
      </c>
      <c r="G1453" s="14" t="b">
        <f>OR(LCI_Table[[#This Row],[Feedstock]]="All",LCI_Table[[#This Row],[Feedstock]]=SelectedFeedstock)</f>
        <v>0</v>
      </c>
      <c r="H1453" s="14" t="b">
        <f>OR(LCI_Table[[#This Row],[Conversion]]="All",LCI_Table[[#This Row],[Conversion]]=SelectedConversion)</f>
        <v>0</v>
      </c>
      <c r="I1453" s="14" t="b">
        <f>OR(LCI_Table[[#This Row],[Data Set]]="all",LCI_Table[[#This Row],[Data Set]]=SelectedDataSet)</f>
        <v>0</v>
      </c>
      <c r="J1453" s="14" t="b">
        <f>OR(LCI_Table[[#This Row],[Technology]]="All",LCI_Table[[#This Row],[Technology]]=SelectedTechnology)</f>
        <v>1</v>
      </c>
      <c r="K1453" s="14" t="b">
        <f>OR(LCI_Table[[#This Row],[Data Source]]="All",LCI_Table[[#This Row],[Data Source]]=SelectedDataSource)</f>
        <v>0</v>
      </c>
      <c r="L1453" s="14" t="b">
        <f>TRUE</f>
        <v>1</v>
      </c>
      <c r="M1453" s="14" t="b">
        <f>(LCI_Table[[#This Row],[Dev Notes]]="Do not display")</f>
        <v>0</v>
      </c>
      <c r="N1453" s="14" t="b">
        <f>AND(LCI_Table[[#This Row],[Show Feedstock]:[Conditional]],NOT(LCI_Table[[#This Row],[Hide Row]]))</f>
        <v>0</v>
      </c>
      <c r="O1453" s="14" t="b">
        <f>LCI_Table[[#This Row],[GREET1 Name Range]]=""</f>
        <v>0</v>
      </c>
      <c r="P1453" s="14" t="s">
        <v>14</v>
      </c>
      <c r="Q1453" s="14" t="s">
        <v>766</v>
      </c>
      <c r="R1453" s="14" t="s">
        <v>141</v>
      </c>
      <c r="S1453" s="37" cm="1">
        <f t="array" aca="1" ref="S14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53" s="346" t="s">
        <v>1485</v>
      </c>
      <c r="U1453" s="347">
        <f ca="1">S1453/S1449*lb2g</f>
        <v>0</v>
      </c>
      <c r="V1453" s="347">
        <v>0</v>
      </c>
      <c r="W1453" s="347">
        <v>0</v>
      </c>
      <c r="X1453" s="14" t="s">
        <v>12</v>
      </c>
      <c r="Y1453" s="346" t="s">
        <v>413</v>
      </c>
      <c r="Z1453" s="14" t="str">
        <f>IF(ISBLANK(LCI_Table[[#This Row],[Notes for user]])," ",LCI_Table[[#This Row],[Notes for user]])</f>
        <v xml:space="preserve"> </v>
      </c>
      <c r="AA1453" s="14"/>
      <c r="AB1453" s="14"/>
      <c r="AC1453" s="346">
        <f ca="1">LCI_Table[[#This Row],[Default Calculated Value]]-LCI_Table[[#This Row],[Calculated Value]]</f>
        <v>0</v>
      </c>
    </row>
    <row r="1454" spans="1:29" x14ac:dyDescent="0.3">
      <c r="A14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(GREET)(blank)_Poplar_Farming_HerbicidesHerbicides</v>
      </c>
      <c r="B1454" s="14" t="s">
        <v>132</v>
      </c>
      <c r="C1454" s="14" t="s">
        <v>129</v>
      </c>
      <c r="D1454" s="14" t="s">
        <v>194</v>
      </c>
      <c r="E1454" s="48" t="s">
        <v>1338</v>
      </c>
      <c r="F1454" s="48" t="s">
        <v>31</v>
      </c>
      <c r="G1454" s="14" t="b">
        <f>OR(LCI_Table[[#This Row],[Feedstock]]="All",LCI_Table[[#This Row],[Feedstock]]=SelectedFeedstock)</f>
        <v>0</v>
      </c>
      <c r="H1454" s="14" t="b">
        <f>OR(LCI_Table[[#This Row],[Conversion]]="All",LCI_Table[[#This Row],[Conversion]]=SelectedConversion)</f>
        <v>0</v>
      </c>
      <c r="I1454" s="14" t="b">
        <f>OR(LCI_Table[[#This Row],[Data Set]]="all",LCI_Table[[#This Row],[Data Set]]=SelectedDataSet)</f>
        <v>0</v>
      </c>
      <c r="J1454" s="14" t="b">
        <f>OR(LCI_Table[[#This Row],[Technology]]="All",LCI_Table[[#This Row],[Technology]]=SelectedTechnology)</f>
        <v>1</v>
      </c>
      <c r="K1454" s="14" t="b">
        <f>OR(LCI_Table[[#This Row],[Data Source]]="All",LCI_Table[[#This Row],[Data Source]]=SelectedDataSource)</f>
        <v>0</v>
      </c>
      <c r="L1454" s="14" t="b">
        <f>TRUE</f>
        <v>1</v>
      </c>
      <c r="M1454" s="14" t="b">
        <f>(LCI_Table[[#This Row],[Dev Notes]]="Do not display")</f>
        <v>0</v>
      </c>
      <c r="N1454" s="14" t="b">
        <f>AND(LCI_Table[[#This Row],[Show Feedstock]:[Conditional]],NOT(LCI_Table[[#This Row],[Hide Row]]))</f>
        <v>0</v>
      </c>
      <c r="O1454" s="14" t="b">
        <f>LCI_Table[[#This Row],[GREET1 Name Range]]=""</f>
        <v>0</v>
      </c>
      <c r="P1454" s="14" t="s">
        <v>14</v>
      </c>
      <c r="Q1454" s="14" t="s">
        <v>771</v>
      </c>
      <c r="R1454" s="14" t="s">
        <v>356</v>
      </c>
      <c r="S1454" s="37" cm="1">
        <f t="array" aca="1" ref="S14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54" s="346" t="s">
        <v>1485</v>
      </c>
      <c r="U1454" s="347">
        <f ca="1">S1454/S1449*lb2g</f>
        <v>0</v>
      </c>
      <c r="V1454" s="347">
        <v>0</v>
      </c>
      <c r="W1454" s="347">
        <v>0</v>
      </c>
      <c r="X1454" s="14" t="s">
        <v>12</v>
      </c>
      <c r="Y1454" s="346" t="s">
        <v>413</v>
      </c>
      <c r="Z1454" s="14" t="str">
        <f>IF(ISBLANK(LCI_Table[[#This Row],[Notes for user]])," ",LCI_Table[[#This Row],[Notes for user]])</f>
        <v xml:space="preserve"> </v>
      </c>
      <c r="AA1454" s="14"/>
      <c r="AB1454" s="14"/>
      <c r="AC1454" s="346">
        <f ca="1">LCI_Table[[#This Row],[Default Calculated Value]]-LCI_Table[[#This Row],[Calculated Value]]</f>
        <v>0</v>
      </c>
    </row>
    <row r="1455" spans="1:29" x14ac:dyDescent="0.3">
      <c r="A14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(GREET)(blank)_Poplar_Farming_InsecticideInsecticide</v>
      </c>
      <c r="B1455" s="14" t="s">
        <v>132</v>
      </c>
      <c r="C1455" s="14" t="s">
        <v>129</v>
      </c>
      <c r="D1455" s="14" t="s">
        <v>194</v>
      </c>
      <c r="E1455" s="48" t="s">
        <v>1338</v>
      </c>
      <c r="F1455" s="48" t="s">
        <v>31</v>
      </c>
      <c r="G1455" s="14" t="b">
        <f>OR(LCI_Table[[#This Row],[Feedstock]]="All",LCI_Table[[#This Row],[Feedstock]]=SelectedFeedstock)</f>
        <v>0</v>
      </c>
      <c r="H1455" s="14" t="b">
        <f>OR(LCI_Table[[#This Row],[Conversion]]="All",LCI_Table[[#This Row],[Conversion]]=SelectedConversion)</f>
        <v>0</v>
      </c>
      <c r="I1455" s="14" t="b">
        <f>OR(LCI_Table[[#This Row],[Data Set]]="all",LCI_Table[[#This Row],[Data Set]]=SelectedDataSet)</f>
        <v>0</v>
      </c>
      <c r="J1455" s="14" t="b">
        <f>OR(LCI_Table[[#This Row],[Technology]]="All",LCI_Table[[#This Row],[Technology]]=SelectedTechnology)</f>
        <v>1</v>
      </c>
      <c r="K1455" s="14" t="b">
        <f>OR(LCI_Table[[#This Row],[Data Source]]="All",LCI_Table[[#This Row],[Data Source]]=SelectedDataSource)</f>
        <v>0</v>
      </c>
      <c r="L1455" s="14" t="b">
        <f>TRUE</f>
        <v>1</v>
      </c>
      <c r="M1455" s="14" t="b">
        <f>(LCI_Table[[#This Row],[Dev Notes]]="Do not display")</f>
        <v>0</v>
      </c>
      <c r="N1455" s="14" t="b">
        <f>AND(LCI_Table[[#This Row],[Show Feedstock]:[Conditional]],NOT(LCI_Table[[#This Row],[Hide Row]]))</f>
        <v>0</v>
      </c>
      <c r="O1455" s="14" t="b">
        <f>LCI_Table[[#This Row],[GREET1 Name Range]]=""</f>
        <v>0</v>
      </c>
      <c r="P1455" s="14" t="s">
        <v>14</v>
      </c>
      <c r="Q1455" s="14" t="s">
        <v>772</v>
      </c>
      <c r="R1455" s="14" t="s">
        <v>114</v>
      </c>
      <c r="S1455" s="37" cm="1">
        <f t="array" aca="1" ref="S14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55" s="346" t="s">
        <v>1485</v>
      </c>
      <c r="U1455" s="347">
        <f ca="1">S1455/S1449*lb2g</f>
        <v>0</v>
      </c>
      <c r="V1455" s="347">
        <v>0</v>
      </c>
      <c r="W1455" s="347">
        <v>0</v>
      </c>
      <c r="X1455" s="14" t="s">
        <v>12</v>
      </c>
      <c r="Y1455" s="346" t="s">
        <v>413</v>
      </c>
      <c r="Z1455" s="14" t="str">
        <f>IF(ISBLANK(LCI_Table[[#This Row],[Notes for user]])," ",LCI_Table[[#This Row],[Notes for user]])</f>
        <v xml:space="preserve"> </v>
      </c>
      <c r="AA1455" s="14"/>
      <c r="AB1455" s="14"/>
      <c r="AC1455" s="346">
        <f ca="1">LCI_Table[[#This Row],[Default Calculated Value]]-LCI_Table[[#This Row],[Calculated Value]]</f>
        <v>0</v>
      </c>
    </row>
    <row r="1456" spans="1:29" x14ac:dyDescent="0.3">
      <c r="A14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(GREET)(blank)_Poplar_Farming_Residual_oilResidual oil</v>
      </c>
      <c r="B1456" s="14" t="s">
        <v>132</v>
      </c>
      <c r="C1456" s="14" t="s">
        <v>129</v>
      </c>
      <c r="D1456" s="14" t="s">
        <v>194</v>
      </c>
      <c r="E1456" s="48" t="s">
        <v>1338</v>
      </c>
      <c r="F1456" s="48" t="s">
        <v>31</v>
      </c>
      <c r="G1456" s="14" t="b">
        <f>OR(LCI_Table[[#This Row],[Feedstock]]="All",LCI_Table[[#This Row],[Feedstock]]=SelectedFeedstock)</f>
        <v>0</v>
      </c>
      <c r="H1456" s="14" t="b">
        <f>OR(LCI_Table[[#This Row],[Conversion]]="All",LCI_Table[[#This Row],[Conversion]]=SelectedConversion)</f>
        <v>0</v>
      </c>
      <c r="I1456" s="14" t="b">
        <f>OR(LCI_Table[[#This Row],[Data Set]]="all",LCI_Table[[#This Row],[Data Set]]=SelectedDataSet)</f>
        <v>0</v>
      </c>
      <c r="J1456" s="14" t="b">
        <f>OR(LCI_Table[[#This Row],[Technology]]="All",LCI_Table[[#This Row],[Technology]]=SelectedTechnology)</f>
        <v>1</v>
      </c>
      <c r="K1456" s="14" t="b">
        <f>OR(LCI_Table[[#This Row],[Data Source]]="All",LCI_Table[[#This Row],[Data Source]]=SelectedDataSource)</f>
        <v>0</v>
      </c>
      <c r="L1456" s="14" t="b">
        <f>TRUE</f>
        <v>1</v>
      </c>
      <c r="M1456" s="14" t="b">
        <f>(LCI_Table[[#This Row],[Dev Notes]]="Do not display")</f>
        <v>0</v>
      </c>
      <c r="N1456" s="14" t="b">
        <f>AND(LCI_Table[[#This Row],[Show Feedstock]:[Conditional]],NOT(LCI_Table[[#This Row],[Hide Row]]))</f>
        <v>0</v>
      </c>
      <c r="O1456" s="14" t="b">
        <f>LCI_Table[[#This Row],[GREET1 Name Range]]=""</f>
        <v>0</v>
      </c>
      <c r="P1456" s="14" t="s">
        <v>14</v>
      </c>
      <c r="Q1456" s="14" t="s">
        <v>778</v>
      </c>
      <c r="R1456" s="14" t="s">
        <v>115</v>
      </c>
      <c r="S1456" s="37" cm="1">
        <f t="array" aca="1" ref="S14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56" s="346" t="s">
        <v>1484</v>
      </c>
      <c r="U1456" s="347">
        <f ca="1">S1456*Fuel_Specs!$B$28/S1449</f>
        <v>0</v>
      </c>
      <c r="V1456" s="347">
        <v>0</v>
      </c>
      <c r="W1456" s="347">
        <v>0</v>
      </c>
      <c r="X1456" s="14" t="s">
        <v>5</v>
      </c>
      <c r="Y1456" s="346" t="s">
        <v>413</v>
      </c>
      <c r="Z1456" s="14" t="str">
        <f>IF(ISBLANK(LCI_Table[[#This Row],[Notes for user]])," ",LCI_Table[[#This Row],[Notes for user]])</f>
        <v xml:space="preserve"> </v>
      </c>
      <c r="AA1456" s="14"/>
      <c r="AB1456" s="14"/>
      <c r="AC1456" s="346">
        <f ca="1">LCI_Table[[#This Row],[Default Calculated Value]]-LCI_Table[[#This Row],[Calculated Value]]</f>
        <v>0</v>
      </c>
    </row>
    <row r="1457" spans="1:29" x14ac:dyDescent="0.3">
      <c r="A14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(GREET)(blank)_Poplar_Farming_DieselDiesel</v>
      </c>
      <c r="B1457" s="14" t="s">
        <v>132</v>
      </c>
      <c r="C1457" s="14" t="s">
        <v>129</v>
      </c>
      <c r="D1457" s="14" t="s">
        <v>194</v>
      </c>
      <c r="E1457" s="48" t="s">
        <v>1338</v>
      </c>
      <c r="F1457" s="48" t="s">
        <v>31</v>
      </c>
      <c r="G1457" s="14" t="b">
        <f>OR(LCI_Table[[#This Row],[Feedstock]]="All",LCI_Table[[#This Row],[Feedstock]]=SelectedFeedstock)</f>
        <v>0</v>
      </c>
      <c r="H1457" s="14" t="b">
        <f>OR(LCI_Table[[#This Row],[Conversion]]="All",LCI_Table[[#This Row],[Conversion]]=SelectedConversion)</f>
        <v>0</v>
      </c>
      <c r="I1457" s="14" t="b">
        <f>OR(LCI_Table[[#This Row],[Data Set]]="all",LCI_Table[[#This Row],[Data Set]]=SelectedDataSet)</f>
        <v>0</v>
      </c>
      <c r="J1457" s="14" t="b">
        <f>OR(LCI_Table[[#This Row],[Technology]]="All",LCI_Table[[#This Row],[Technology]]=SelectedTechnology)</f>
        <v>1</v>
      </c>
      <c r="K1457" s="14" t="b">
        <f>OR(LCI_Table[[#This Row],[Data Source]]="All",LCI_Table[[#This Row],[Data Source]]=SelectedDataSource)</f>
        <v>0</v>
      </c>
      <c r="L1457" s="14" t="b">
        <f>TRUE</f>
        <v>1</v>
      </c>
      <c r="M1457" s="14" t="b">
        <f>(LCI_Table[[#This Row],[Dev Notes]]="Do not display")</f>
        <v>0</v>
      </c>
      <c r="N1457" s="14" t="b">
        <f>AND(LCI_Table[[#This Row],[Show Feedstock]:[Conditional]],NOT(LCI_Table[[#This Row],[Hide Row]]))</f>
        <v>0</v>
      </c>
      <c r="O1457" s="14" t="b">
        <f>LCI_Table[[#This Row],[GREET1 Name Range]]=""</f>
        <v>0</v>
      </c>
      <c r="P1457" s="14" t="s">
        <v>14</v>
      </c>
      <c r="Q1457" s="14" t="s">
        <v>768</v>
      </c>
      <c r="R1457" s="14" t="s">
        <v>106</v>
      </c>
      <c r="S1457" s="37" cm="1">
        <f t="array" aca="1" ref="S14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7.928823878848748</v>
      </c>
      <c r="T1457" s="346" t="s">
        <v>1484</v>
      </c>
      <c r="U1457" s="347">
        <f ca="1">S1457*Fuel_Specs!$B$19/S1449</f>
        <v>268597.04061452352</v>
      </c>
      <c r="V1457" s="347">
        <v>7.928823878848748</v>
      </c>
      <c r="W1457" s="347">
        <v>268597.04061452352</v>
      </c>
      <c r="X1457" s="14" t="s">
        <v>5</v>
      </c>
      <c r="Y1457" s="346" t="s">
        <v>413</v>
      </c>
      <c r="Z1457" s="14" t="str">
        <f>IF(ISBLANK(LCI_Table[[#This Row],[Notes for user]])," ",LCI_Table[[#This Row],[Notes for user]])</f>
        <v xml:space="preserve"> </v>
      </c>
      <c r="AA1457" s="14"/>
      <c r="AB1457" s="14"/>
      <c r="AC1457" s="346">
        <f ca="1">LCI_Table[[#This Row],[Default Calculated Value]]-LCI_Table[[#This Row],[Calculated Value]]</f>
        <v>0</v>
      </c>
    </row>
    <row r="1458" spans="1:29" x14ac:dyDescent="0.3">
      <c r="A14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(GREET)(blank)_Poplar_Farming_GasolineGasoline</v>
      </c>
      <c r="B1458" s="14" t="s">
        <v>132</v>
      </c>
      <c r="C1458" s="14" t="s">
        <v>129</v>
      </c>
      <c r="D1458" s="14" t="s">
        <v>194</v>
      </c>
      <c r="E1458" s="48" t="s">
        <v>1338</v>
      </c>
      <c r="F1458" s="48" t="s">
        <v>31</v>
      </c>
      <c r="G1458" s="14" t="b">
        <f>OR(LCI_Table[[#This Row],[Feedstock]]="All",LCI_Table[[#This Row],[Feedstock]]=SelectedFeedstock)</f>
        <v>0</v>
      </c>
      <c r="H1458" s="14" t="b">
        <f>OR(LCI_Table[[#This Row],[Conversion]]="All",LCI_Table[[#This Row],[Conversion]]=SelectedConversion)</f>
        <v>0</v>
      </c>
      <c r="I1458" s="14" t="b">
        <f>OR(LCI_Table[[#This Row],[Data Set]]="all",LCI_Table[[#This Row],[Data Set]]=SelectedDataSet)</f>
        <v>0</v>
      </c>
      <c r="J1458" s="14" t="b">
        <f>OR(LCI_Table[[#This Row],[Technology]]="All",LCI_Table[[#This Row],[Technology]]=SelectedTechnology)</f>
        <v>1</v>
      </c>
      <c r="K1458" s="14" t="b">
        <f>OR(LCI_Table[[#This Row],[Data Source]]="All",LCI_Table[[#This Row],[Data Source]]=SelectedDataSource)</f>
        <v>0</v>
      </c>
      <c r="L1458" s="14" t="b">
        <f>TRUE</f>
        <v>1</v>
      </c>
      <c r="M1458" s="14" t="b">
        <f>(LCI_Table[[#This Row],[Dev Notes]]="Do not display")</f>
        <v>0</v>
      </c>
      <c r="N1458" s="14" t="b">
        <f>AND(LCI_Table[[#This Row],[Show Feedstock]:[Conditional]],NOT(LCI_Table[[#This Row],[Hide Row]]))</f>
        <v>0</v>
      </c>
      <c r="O1458" s="14" t="b">
        <f>LCI_Table[[#This Row],[GREET1 Name Range]]=""</f>
        <v>0</v>
      </c>
      <c r="P1458" s="14" t="s">
        <v>14</v>
      </c>
      <c r="Q1458" s="14" t="s">
        <v>770</v>
      </c>
      <c r="R1458" s="14" t="s">
        <v>107</v>
      </c>
      <c r="S1458" s="37" cm="1">
        <f t="array" aca="1" ref="S14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58" s="346" t="s">
        <v>1484</v>
      </c>
      <c r="U1458" s="347">
        <f ca="1">S1458*Fuel_Specs!$B$15/S1449</f>
        <v>0</v>
      </c>
      <c r="V1458" s="347">
        <v>0</v>
      </c>
      <c r="W1458" s="347">
        <v>0</v>
      </c>
      <c r="X1458" s="14" t="s">
        <v>5</v>
      </c>
      <c r="Y1458" s="346" t="s">
        <v>413</v>
      </c>
      <c r="Z1458" s="14" t="str">
        <f>IF(ISBLANK(LCI_Table[[#This Row],[Notes for user]])," ",LCI_Table[[#This Row],[Notes for user]])</f>
        <v xml:space="preserve"> </v>
      </c>
      <c r="AA1458" s="14"/>
      <c r="AB1458" s="14"/>
      <c r="AC1458" s="346">
        <f ca="1">LCI_Table[[#This Row],[Default Calculated Value]]-LCI_Table[[#This Row],[Calculated Value]]</f>
        <v>0</v>
      </c>
    </row>
    <row r="1459" spans="1:29" x14ac:dyDescent="0.3">
      <c r="A14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(GREET)(blank)_Poplar_Farming_Natural_gasNatural gas</v>
      </c>
      <c r="B1459" s="14" t="s">
        <v>132</v>
      </c>
      <c r="C1459" s="14" t="s">
        <v>129</v>
      </c>
      <c r="D1459" s="14" t="s">
        <v>194</v>
      </c>
      <c r="E1459" s="48" t="s">
        <v>1338</v>
      </c>
      <c r="F1459" s="48" t="s">
        <v>31</v>
      </c>
      <c r="G1459" s="14" t="b">
        <f>OR(LCI_Table[[#This Row],[Feedstock]]="All",LCI_Table[[#This Row],[Feedstock]]=SelectedFeedstock)</f>
        <v>0</v>
      </c>
      <c r="H1459" s="14" t="b">
        <f>OR(LCI_Table[[#This Row],[Conversion]]="All",LCI_Table[[#This Row],[Conversion]]=SelectedConversion)</f>
        <v>0</v>
      </c>
      <c r="I1459" s="14" t="b">
        <f>OR(LCI_Table[[#This Row],[Data Set]]="all",LCI_Table[[#This Row],[Data Set]]=SelectedDataSet)</f>
        <v>0</v>
      </c>
      <c r="J1459" s="14" t="b">
        <f>OR(LCI_Table[[#This Row],[Technology]]="All",LCI_Table[[#This Row],[Technology]]=SelectedTechnology)</f>
        <v>1</v>
      </c>
      <c r="K1459" s="14" t="b">
        <f>OR(LCI_Table[[#This Row],[Data Source]]="All",LCI_Table[[#This Row],[Data Source]]=SelectedDataSource)</f>
        <v>0</v>
      </c>
      <c r="L1459" s="14" t="b">
        <f>TRUE</f>
        <v>1</v>
      </c>
      <c r="M1459" s="14" t="b">
        <f>(LCI_Table[[#This Row],[Dev Notes]]="Do not display")</f>
        <v>0</v>
      </c>
      <c r="N1459" s="14" t="b">
        <f>AND(LCI_Table[[#This Row],[Show Feedstock]:[Conditional]],NOT(LCI_Table[[#This Row],[Hide Row]]))</f>
        <v>0</v>
      </c>
      <c r="O1459" s="14" t="b">
        <f>LCI_Table[[#This Row],[GREET1 Name Range]]=""</f>
        <v>0</v>
      </c>
      <c r="P1459" s="14" t="s">
        <v>14</v>
      </c>
      <c r="Q1459" s="14" t="s">
        <v>775</v>
      </c>
      <c r="R1459" s="14" t="s">
        <v>108</v>
      </c>
      <c r="S1459" s="37" cm="1">
        <f t="array" aca="1" ref="S14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59" s="346" t="s">
        <v>2109</v>
      </c>
      <c r="U1459" s="347">
        <f ca="1">S1459*Fuel_Specs!$B$79/S1449</f>
        <v>0</v>
      </c>
      <c r="V1459" s="347">
        <v>0</v>
      </c>
      <c r="W1459" s="347">
        <v>0</v>
      </c>
      <c r="X1459" s="14" t="s">
        <v>351</v>
      </c>
      <c r="Y1459" s="346" t="s">
        <v>413</v>
      </c>
      <c r="Z1459" s="14" t="str">
        <f>IF(ISBLANK(LCI_Table[[#This Row],[Notes for user]])," ",LCI_Table[[#This Row],[Notes for user]])</f>
        <v xml:space="preserve"> </v>
      </c>
      <c r="AA1459" s="14"/>
      <c r="AB1459" s="14"/>
      <c r="AC1459" s="346">
        <f ca="1">LCI_Table[[#This Row],[Default Calculated Value]]-LCI_Table[[#This Row],[Calculated Value]]</f>
        <v>0</v>
      </c>
    </row>
    <row r="1460" spans="1:29" x14ac:dyDescent="0.3">
      <c r="A14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(GREET)(blank)_Poplar_Farming_CoalCoal</v>
      </c>
      <c r="B1460" s="14" t="s">
        <v>132</v>
      </c>
      <c r="C1460" s="14" t="s">
        <v>129</v>
      </c>
      <c r="D1460" s="14" t="s">
        <v>194</v>
      </c>
      <c r="E1460" s="48" t="s">
        <v>1338</v>
      </c>
      <c r="F1460" s="48" t="s">
        <v>31</v>
      </c>
      <c r="G1460" s="14" t="b">
        <f>OR(LCI_Table[[#This Row],[Feedstock]]="All",LCI_Table[[#This Row],[Feedstock]]=SelectedFeedstock)</f>
        <v>0</v>
      </c>
      <c r="H1460" s="14" t="b">
        <f>OR(LCI_Table[[#This Row],[Conversion]]="All",LCI_Table[[#This Row],[Conversion]]=SelectedConversion)</f>
        <v>0</v>
      </c>
      <c r="I1460" s="14" t="b">
        <f>OR(LCI_Table[[#This Row],[Data Set]]="all",LCI_Table[[#This Row],[Data Set]]=SelectedDataSet)</f>
        <v>0</v>
      </c>
      <c r="J1460" s="14" t="b">
        <f>OR(LCI_Table[[#This Row],[Technology]]="All",LCI_Table[[#This Row],[Technology]]=SelectedTechnology)</f>
        <v>1</v>
      </c>
      <c r="K1460" s="14" t="b">
        <f>OR(LCI_Table[[#This Row],[Data Source]]="All",LCI_Table[[#This Row],[Data Source]]=SelectedDataSource)</f>
        <v>0</v>
      </c>
      <c r="L1460" s="14" t="b">
        <f>TRUE</f>
        <v>1</v>
      </c>
      <c r="M1460" s="14" t="b">
        <f>(LCI_Table[[#This Row],[Dev Notes]]="Do not display")</f>
        <v>0</v>
      </c>
      <c r="N1460" s="14" t="b">
        <f>AND(LCI_Table[[#This Row],[Show Feedstock]:[Conditional]],NOT(LCI_Table[[#This Row],[Hide Row]]))</f>
        <v>0</v>
      </c>
      <c r="O1460" s="14" t="b">
        <f>LCI_Table[[#This Row],[GREET1 Name Range]]=""</f>
        <v>0</v>
      </c>
      <c r="P1460" s="14" t="s">
        <v>14</v>
      </c>
      <c r="Q1460" s="14" t="s">
        <v>767</v>
      </c>
      <c r="R1460" s="14" t="s">
        <v>9</v>
      </c>
      <c r="S1460" s="37" cm="1">
        <f t="array" aca="1" ref="S14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60" s="346" t="s">
        <v>2110</v>
      </c>
      <c r="U1460" s="347">
        <f ca="1">S1460/S1449</f>
        <v>0</v>
      </c>
      <c r="V1460" s="347">
        <v>0</v>
      </c>
      <c r="W1460" s="347">
        <v>0</v>
      </c>
      <c r="X1460" s="14" t="s">
        <v>117</v>
      </c>
      <c r="Y1460" s="346" t="s">
        <v>413</v>
      </c>
      <c r="Z1460" s="14" t="str">
        <f>IF(ISBLANK(LCI_Table[[#This Row],[Notes for user]])," ",LCI_Table[[#This Row],[Notes for user]])</f>
        <v xml:space="preserve"> </v>
      </c>
      <c r="AA1460" s="14"/>
      <c r="AB1460" s="14"/>
      <c r="AC1460" s="346">
        <f ca="1">LCI_Table[[#This Row],[Default Calculated Value]]-LCI_Table[[#This Row],[Calculated Value]]</f>
        <v>0</v>
      </c>
    </row>
    <row r="1461" spans="1:29" x14ac:dyDescent="0.3">
      <c r="A14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(GREET)(blank)_Poplar_Farming_LPGLPG</v>
      </c>
      <c r="B1461" s="14" t="s">
        <v>132</v>
      </c>
      <c r="C1461" s="14" t="s">
        <v>129</v>
      </c>
      <c r="D1461" s="14" t="s">
        <v>194</v>
      </c>
      <c r="E1461" s="48" t="s">
        <v>1338</v>
      </c>
      <c r="F1461" s="48" t="s">
        <v>31</v>
      </c>
      <c r="G1461" s="14" t="b">
        <f>OR(LCI_Table[[#This Row],[Feedstock]]="All",LCI_Table[[#This Row],[Feedstock]]=SelectedFeedstock)</f>
        <v>0</v>
      </c>
      <c r="H1461" s="14" t="b">
        <f>OR(LCI_Table[[#This Row],[Conversion]]="All",LCI_Table[[#This Row],[Conversion]]=SelectedConversion)</f>
        <v>0</v>
      </c>
      <c r="I1461" s="14" t="b">
        <f>OR(LCI_Table[[#This Row],[Data Set]]="all",LCI_Table[[#This Row],[Data Set]]=SelectedDataSet)</f>
        <v>0</v>
      </c>
      <c r="J1461" s="14" t="b">
        <f>OR(LCI_Table[[#This Row],[Technology]]="All",LCI_Table[[#This Row],[Technology]]=SelectedTechnology)</f>
        <v>1</v>
      </c>
      <c r="K1461" s="14" t="b">
        <f>OR(LCI_Table[[#This Row],[Data Source]]="All",LCI_Table[[#This Row],[Data Source]]=SelectedDataSource)</f>
        <v>0</v>
      </c>
      <c r="L1461" s="14" t="b">
        <f>TRUE</f>
        <v>1</v>
      </c>
      <c r="M1461" s="14" t="b">
        <f>(LCI_Table[[#This Row],[Dev Notes]]="Do not display")</f>
        <v>0</v>
      </c>
      <c r="N1461" s="14" t="b">
        <f>AND(LCI_Table[[#This Row],[Show Feedstock]:[Conditional]],NOT(LCI_Table[[#This Row],[Hide Row]]))</f>
        <v>0</v>
      </c>
      <c r="O1461" s="14" t="b">
        <f>LCI_Table[[#This Row],[GREET1 Name Range]]=""</f>
        <v>0</v>
      </c>
      <c r="P1461" s="14" t="s">
        <v>14</v>
      </c>
      <c r="Q1461" s="14" t="s">
        <v>774</v>
      </c>
      <c r="R1461" s="14" t="s">
        <v>109</v>
      </c>
      <c r="S1461" s="37" cm="1">
        <f t="array" aca="1" ref="S14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61" s="346" t="s">
        <v>1484</v>
      </c>
      <c r="U1461" s="347">
        <f ca="1">S1461*Fuel_Specs!$B$35/S1449</f>
        <v>0</v>
      </c>
      <c r="V1461" s="347">
        <v>0</v>
      </c>
      <c r="W1461" s="347">
        <v>0</v>
      </c>
      <c r="X1461" s="14" t="s">
        <v>5</v>
      </c>
      <c r="Y1461" s="346" t="s">
        <v>413</v>
      </c>
      <c r="Z1461" s="14" t="str">
        <f>IF(ISBLANK(LCI_Table[[#This Row],[Notes for user]])," ",LCI_Table[[#This Row],[Notes for user]])</f>
        <v xml:space="preserve"> </v>
      </c>
      <c r="AA1461" s="14"/>
      <c r="AB1461" s="14"/>
      <c r="AC1461" s="346">
        <f ca="1">LCI_Table[[#This Row],[Default Calculated Value]]-LCI_Table[[#This Row],[Calculated Value]]</f>
        <v>0</v>
      </c>
    </row>
    <row r="1462" spans="1:29" x14ac:dyDescent="0.3">
      <c r="A14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(GREET)(blank)_Poplar_Farming_ElectricityElectricity</v>
      </c>
      <c r="B1462" s="14" t="s">
        <v>132</v>
      </c>
      <c r="C1462" s="14" t="s">
        <v>129</v>
      </c>
      <c r="D1462" s="14" t="s">
        <v>194</v>
      </c>
      <c r="E1462" s="48" t="s">
        <v>1338</v>
      </c>
      <c r="F1462" s="48" t="s">
        <v>31</v>
      </c>
      <c r="G1462" s="14" t="b">
        <f>OR(LCI_Table[[#This Row],[Feedstock]]="All",LCI_Table[[#This Row],[Feedstock]]=SelectedFeedstock)</f>
        <v>0</v>
      </c>
      <c r="H1462" s="14" t="b">
        <f>OR(LCI_Table[[#This Row],[Conversion]]="All",LCI_Table[[#This Row],[Conversion]]=SelectedConversion)</f>
        <v>0</v>
      </c>
      <c r="I1462" s="14" t="b">
        <f>OR(LCI_Table[[#This Row],[Data Set]]="all",LCI_Table[[#This Row],[Data Set]]=SelectedDataSet)</f>
        <v>0</v>
      </c>
      <c r="J1462" s="14" t="b">
        <f>OR(LCI_Table[[#This Row],[Technology]]="All",LCI_Table[[#This Row],[Technology]]=SelectedTechnology)</f>
        <v>1</v>
      </c>
      <c r="K1462" s="14" t="b">
        <f>OR(LCI_Table[[#This Row],[Data Source]]="All",LCI_Table[[#This Row],[Data Source]]=SelectedDataSource)</f>
        <v>0</v>
      </c>
      <c r="L1462" s="14" t="b">
        <f>TRUE</f>
        <v>1</v>
      </c>
      <c r="M1462" s="14" t="b">
        <f>(LCI_Table[[#This Row],[Dev Notes]]="Do not display")</f>
        <v>0</v>
      </c>
      <c r="N1462" s="14" t="b">
        <f>AND(LCI_Table[[#This Row],[Show Feedstock]:[Conditional]],NOT(LCI_Table[[#This Row],[Hide Row]]))</f>
        <v>0</v>
      </c>
      <c r="O1462" s="14" t="b">
        <f>LCI_Table[[#This Row],[GREET1 Name Range]]=""</f>
        <v>0</v>
      </c>
      <c r="P1462" s="14" t="s">
        <v>14</v>
      </c>
      <c r="Q1462" s="14" t="s">
        <v>769</v>
      </c>
      <c r="R1462" s="348" t="s">
        <v>110</v>
      </c>
      <c r="S1462" s="37" cm="1">
        <f t="array" aca="1" ref="S14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62" s="346" t="s">
        <v>1561</v>
      </c>
      <c r="U1462" s="347">
        <f ca="1">S1462/BTU2kWh/S1449</f>
        <v>0</v>
      </c>
      <c r="V1462" s="347">
        <v>0</v>
      </c>
      <c r="W1462" s="347">
        <v>0</v>
      </c>
      <c r="X1462" s="14" t="s">
        <v>51</v>
      </c>
      <c r="Y1462" s="346" t="s">
        <v>413</v>
      </c>
      <c r="Z1462" s="14" t="str">
        <f>IF(ISBLANK(LCI_Table[[#This Row],[Notes for user]])," ",LCI_Table[[#This Row],[Notes for user]])</f>
        <v xml:space="preserve"> </v>
      </c>
      <c r="AA1462" s="14"/>
      <c r="AB1462" s="14"/>
      <c r="AC1462" s="346">
        <f ca="1">LCI_Table[[#This Row],[Default Calculated Value]]-LCI_Table[[#This Row],[Calculated Value]]</f>
        <v>0</v>
      </c>
    </row>
    <row r="1463" spans="1:29" x14ac:dyDescent="0.3">
      <c r="A14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(GREET)(blank)_Poplar_FT_efficiencyPoplar</v>
      </c>
      <c r="B1463" s="14" t="s">
        <v>132</v>
      </c>
      <c r="C1463" s="14" t="s">
        <v>129</v>
      </c>
      <c r="D1463" s="14" t="s">
        <v>194</v>
      </c>
      <c r="E1463" s="48" t="s">
        <v>1338</v>
      </c>
      <c r="F1463" s="48" t="s">
        <v>31</v>
      </c>
      <c r="G1463" s="14" t="b">
        <f>OR(LCI_Table[[#This Row],[Feedstock]]="All",LCI_Table[[#This Row],[Feedstock]]=SelectedFeedstock)</f>
        <v>0</v>
      </c>
      <c r="H1463" s="14" t="b">
        <f>OR(LCI_Table[[#This Row],[Conversion]]="All",LCI_Table[[#This Row],[Conversion]]=SelectedConversion)</f>
        <v>0</v>
      </c>
      <c r="I1463" s="14" t="b">
        <f>OR(LCI_Table[[#This Row],[Data Set]]="all",LCI_Table[[#This Row],[Data Set]]=SelectedDataSet)</f>
        <v>0</v>
      </c>
      <c r="J1463" s="14" t="b">
        <f>OR(LCI_Table[[#This Row],[Technology]]="All",LCI_Table[[#This Row],[Technology]]=SelectedTechnology)</f>
        <v>1</v>
      </c>
      <c r="K1463" s="14" t="b">
        <f>OR(LCI_Table[[#This Row],[Data Source]]="All",LCI_Table[[#This Row],[Data Source]]=SelectedDataSource)</f>
        <v>0</v>
      </c>
      <c r="L1463" s="14" t="b">
        <f>TRUE</f>
        <v>1</v>
      </c>
      <c r="M1463" s="14" t="b">
        <f>(LCI_Table[[#This Row],[Dev Notes]]="Do not display")</f>
        <v>0</v>
      </c>
      <c r="N1463" s="14" t="b">
        <f>AND(LCI_Table[[#This Row],[Show Feedstock]:[Conditional]],NOT(LCI_Table[[#This Row],[Hide Row]]))</f>
        <v>0</v>
      </c>
      <c r="O1463" s="14" t="b">
        <f>LCI_Table[[#This Row],[GREET1 Name Range]]=""</f>
        <v>0</v>
      </c>
      <c r="P1463" s="14" t="s">
        <v>1448</v>
      </c>
      <c r="Q1463" s="14" t="s">
        <v>938</v>
      </c>
      <c r="R1463" s="14" t="s">
        <v>132</v>
      </c>
      <c r="S1463" s="37" cm="1">
        <f t="array" aca="1" ref="S14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0.12555715989704314</v>
      </c>
      <c r="T1463" s="346" t="s">
        <v>2125</v>
      </c>
      <c r="U1463" s="347">
        <f ca="1">1/(S1463*Fuel_Specs!$B$96*BTU2mmBTU)</f>
        <v>0.5</v>
      </c>
      <c r="V1463" s="347">
        <v>0.12555715989704314</v>
      </c>
      <c r="W1463" s="347">
        <v>0.5</v>
      </c>
      <c r="X1463" s="37" t="s">
        <v>55</v>
      </c>
      <c r="Y1463" s="346" t="s">
        <v>416</v>
      </c>
      <c r="Z1463" s="14" t="str">
        <f>IF(ISBLANK(LCI_Table[[#This Row],[Notes for user]])," ",LCI_Table[[#This Row],[Notes for user]])</f>
        <v xml:space="preserve"> </v>
      </c>
      <c r="AA1463" s="14"/>
      <c r="AB1463" s="14"/>
      <c r="AC1463" s="346">
        <f ca="1">LCI_Table[[#This Row],[Default Calculated Value]]-LCI_Table[[#This Row],[Calculated Value]]</f>
        <v>0</v>
      </c>
    </row>
    <row r="1464" spans="1:29" x14ac:dyDescent="0.3">
      <c r="A14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dash_PoplarFTICAOJRC (E3)(blank)_Yield_Farming</v>
      </c>
      <c r="B1464" s="48" t="s">
        <v>132</v>
      </c>
      <c r="C1464" s="48" t="s">
        <v>129</v>
      </c>
      <c r="D1464" s="48" t="s">
        <v>194</v>
      </c>
      <c r="E1464" s="48" t="s">
        <v>1336</v>
      </c>
      <c r="F1464" s="48" t="s">
        <v>31</v>
      </c>
      <c r="G1464" s="14" t="b">
        <f>OR(LCI_Table[[#This Row],[Feedstock]]="All",LCI_Table[[#This Row],[Feedstock]]=SelectedFeedstock)</f>
        <v>0</v>
      </c>
      <c r="H1464" s="14" t="b">
        <f>OR(LCI_Table[[#This Row],[Conversion]]="All",LCI_Table[[#This Row],[Conversion]]=SelectedConversion)</f>
        <v>0</v>
      </c>
      <c r="I1464" s="14" t="b">
        <f>OR(LCI_Table[[#This Row],[Data Set]]="all",LCI_Table[[#This Row],[Data Set]]=SelectedDataSet)</f>
        <v>0</v>
      </c>
      <c r="J1464" s="14" t="b">
        <f>OR(LCI_Table[[#This Row],[Technology]]="All",LCI_Table[[#This Row],[Technology]]=SelectedTechnology)</f>
        <v>1</v>
      </c>
      <c r="K1464" s="14" t="b">
        <f>OR(LCI_Table[[#This Row],[Data Source]]="All",LCI_Table[[#This Row],[Data Source]]=SelectedDataSource)</f>
        <v>0</v>
      </c>
      <c r="L1464" s="14" t="b">
        <f>TRUE</f>
        <v>1</v>
      </c>
      <c r="M1464" s="14" t="b">
        <f>(LCI_Table[[#This Row],[Dev Notes]]="Do not display")</f>
        <v>0</v>
      </c>
      <c r="N1464" s="14" t="b">
        <f>AND(LCI_Table[[#This Row],[Show Feedstock]:[Conditional]],NOT(LCI_Table[[#This Row],[Hide Row]]))</f>
        <v>0</v>
      </c>
      <c r="O1464" s="14" t="b">
        <f>LCI_Table[[#This Row],[GREET1 Name Range]]=""</f>
        <v>1</v>
      </c>
      <c r="P1464" s="48" t="s">
        <v>14</v>
      </c>
      <c r="Q1464" s="14" t="s">
        <v>361</v>
      </c>
      <c r="R1464" s="48" t="s">
        <v>200</v>
      </c>
      <c r="S1464" s="37" cm="1">
        <f t="array" aca="1" ref="S14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4.460902494584853</v>
      </c>
      <c r="T1464" s="346" t="s">
        <v>2116</v>
      </c>
      <c r="U1464" s="344"/>
      <c r="V1464" s="344">
        <v>4.460902494584853</v>
      </c>
      <c r="W1464" s="344"/>
      <c r="X1464" s="48" t="s">
        <v>55</v>
      </c>
      <c r="Y1464" s="346" t="s">
        <v>413</v>
      </c>
      <c r="Z1464" s="14" t="str">
        <f>IF(ISBLANK(LCI_Table[[#This Row],[Notes for user]])," ",LCI_Table[[#This Row],[Notes for user]])</f>
        <v xml:space="preserve"> </v>
      </c>
      <c r="AA1464" s="48"/>
      <c r="AB1464" s="345"/>
      <c r="AC1464" s="346">
        <f>LCI_Table[[#This Row],[Default Calculated Value]]-LCI_Table[[#This Row],[Calculated Value]]</f>
        <v>0</v>
      </c>
    </row>
    <row r="1465" spans="1:29" x14ac:dyDescent="0.3">
      <c r="A14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(E3)(blank)_Poplar_Farming_Nitrogen_fertilizerNitrogen fertilizer</v>
      </c>
      <c r="B1465" s="14" t="s">
        <v>132</v>
      </c>
      <c r="C1465" s="14" t="s">
        <v>129</v>
      </c>
      <c r="D1465" s="14" t="s">
        <v>194</v>
      </c>
      <c r="E1465" s="48" t="s">
        <v>1336</v>
      </c>
      <c r="F1465" s="48" t="s">
        <v>31</v>
      </c>
      <c r="G1465" s="14" t="b">
        <f>OR(LCI_Table[[#This Row],[Feedstock]]="All",LCI_Table[[#This Row],[Feedstock]]=SelectedFeedstock)</f>
        <v>0</v>
      </c>
      <c r="H1465" s="14" t="b">
        <f>OR(LCI_Table[[#This Row],[Conversion]]="All",LCI_Table[[#This Row],[Conversion]]=SelectedConversion)</f>
        <v>0</v>
      </c>
      <c r="I1465" s="14" t="b">
        <f>OR(LCI_Table[[#This Row],[Data Set]]="all",LCI_Table[[#This Row],[Data Set]]=SelectedDataSet)</f>
        <v>0</v>
      </c>
      <c r="J1465" s="14" t="b">
        <f>OR(LCI_Table[[#This Row],[Technology]]="All",LCI_Table[[#This Row],[Technology]]=SelectedTechnology)</f>
        <v>1</v>
      </c>
      <c r="K1465" s="14" t="b">
        <f>OR(LCI_Table[[#This Row],[Data Source]]="All",LCI_Table[[#This Row],[Data Source]]=SelectedDataSource)</f>
        <v>0</v>
      </c>
      <c r="L1465" s="14" t="b">
        <f>TRUE</f>
        <v>1</v>
      </c>
      <c r="M1465" s="14" t="b">
        <f>(LCI_Table[[#This Row],[Dev Notes]]="Do not display")</f>
        <v>0</v>
      </c>
      <c r="N1465" s="14" t="b">
        <f>AND(LCI_Table[[#This Row],[Show Feedstock]:[Conditional]],NOT(LCI_Table[[#This Row],[Hide Row]]))</f>
        <v>0</v>
      </c>
      <c r="O1465" s="14" t="b">
        <f>LCI_Table[[#This Row],[GREET1 Name Range]]=""</f>
        <v>0</v>
      </c>
      <c r="P1465" s="14" t="s">
        <v>14</v>
      </c>
      <c r="Q1465" s="14" t="s">
        <v>776</v>
      </c>
      <c r="R1465" s="14" t="s">
        <v>111</v>
      </c>
      <c r="S1465" s="37" cm="1">
        <f t="array" aca="1" ref="S14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45.501205444765496</v>
      </c>
      <c r="T1465" s="346" t="s">
        <v>1485</v>
      </c>
      <c r="U1465" s="347">
        <f ca="1">S1465/S1464*lb2g</f>
        <v>4626.6421739999996</v>
      </c>
      <c r="V1465" s="347">
        <v>45.501205444765496</v>
      </c>
      <c r="W1465" s="347">
        <v>4626.6421739999996</v>
      </c>
      <c r="X1465" s="14" t="s">
        <v>12</v>
      </c>
      <c r="Y1465" s="346" t="s">
        <v>413</v>
      </c>
      <c r="Z1465" s="14" t="str">
        <f>IF(ISBLANK(LCI_Table[[#This Row],[Notes for user]])," ",LCI_Table[[#This Row],[Notes for user]])</f>
        <v xml:space="preserve"> </v>
      </c>
      <c r="AA1465" s="14"/>
      <c r="AB1465" s="14"/>
      <c r="AC1465" s="346">
        <f ca="1">LCI_Table[[#This Row],[Default Calculated Value]]-LCI_Table[[#This Row],[Calculated Value]]</f>
        <v>0</v>
      </c>
    </row>
    <row r="1466" spans="1:29" x14ac:dyDescent="0.3">
      <c r="A14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(E3)(blank)_Poplar_Farming_P2O5P2O5</v>
      </c>
      <c r="B1466" s="14" t="s">
        <v>132</v>
      </c>
      <c r="C1466" s="14" t="s">
        <v>129</v>
      </c>
      <c r="D1466" s="14" t="s">
        <v>194</v>
      </c>
      <c r="E1466" s="48" t="s">
        <v>1336</v>
      </c>
      <c r="F1466" s="48" t="s">
        <v>31</v>
      </c>
      <c r="G1466" s="14" t="b">
        <f>OR(LCI_Table[[#This Row],[Feedstock]]="All",LCI_Table[[#This Row],[Feedstock]]=SelectedFeedstock)</f>
        <v>0</v>
      </c>
      <c r="H1466" s="14" t="b">
        <f>OR(LCI_Table[[#This Row],[Conversion]]="All",LCI_Table[[#This Row],[Conversion]]=SelectedConversion)</f>
        <v>0</v>
      </c>
      <c r="I1466" s="14" t="b">
        <f>OR(LCI_Table[[#This Row],[Data Set]]="all",LCI_Table[[#This Row],[Data Set]]=SelectedDataSet)</f>
        <v>0</v>
      </c>
      <c r="J1466" s="14" t="b">
        <f>OR(LCI_Table[[#This Row],[Technology]]="All",LCI_Table[[#This Row],[Technology]]=SelectedTechnology)</f>
        <v>1</v>
      </c>
      <c r="K1466" s="14" t="b">
        <f>OR(LCI_Table[[#This Row],[Data Source]]="All",LCI_Table[[#This Row],[Data Source]]=SelectedDataSource)</f>
        <v>0</v>
      </c>
      <c r="L1466" s="14" t="b">
        <f>TRUE</f>
        <v>1</v>
      </c>
      <c r="M1466" s="14" t="b">
        <f>(LCI_Table[[#This Row],[Dev Notes]]="Do not display")</f>
        <v>0</v>
      </c>
      <c r="N1466" s="14" t="b">
        <f>AND(LCI_Table[[#This Row],[Show Feedstock]:[Conditional]],NOT(LCI_Table[[#This Row],[Hide Row]]))</f>
        <v>0</v>
      </c>
      <c r="O1466" s="14" t="b">
        <f>LCI_Table[[#This Row],[GREET1 Name Range]]=""</f>
        <v>0</v>
      </c>
      <c r="P1466" s="14" t="s">
        <v>14</v>
      </c>
      <c r="Q1466" s="14" t="s">
        <v>777</v>
      </c>
      <c r="R1466" s="14" t="s">
        <v>112</v>
      </c>
      <c r="S1466" s="37" cm="1">
        <f t="array" aca="1" ref="S14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12.490526984837588</v>
      </c>
      <c r="T1466" s="346" t="s">
        <v>1485</v>
      </c>
      <c r="U1466" s="347">
        <f ca="1">S1466/S1464*lb2g</f>
        <v>1270.058636</v>
      </c>
      <c r="V1466" s="347">
        <v>12.490526984837588</v>
      </c>
      <c r="W1466" s="347">
        <v>1270.058636</v>
      </c>
      <c r="X1466" s="14" t="s">
        <v>12</v>
      </c>
      <c r="Y1466" s="346" t="s">
        <v>413</v>
      </c>
      <c r="Z1466" s="14" t="str">
        <f>IF(ISBLANK(LCI_Table[[#This Row],[Notes for user]])," ",LCI_Table[[#This Row],[Notes for user]])</f>
        <v xml:space="preserve"> </v>
      </c>
      <c r="AA1466" s="14"/>
      <c r="AB1466" s="14"/>
      <c r="AC1466" s="346">
        <f ca="1">LCI_Table[[#This Row],[Default Calculated Value]]-LCI_Table[[#This Row],[Calculated Value]]</f>
        <v>0</v>
      </c>
    </row>
    <row r="1467" spans="1:29" x14ac:dyDescent="0.3">
      <c r="A14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(E3)(blank)_Poplar_Farming_K2OK2O</v>
      </c>
      <c r="B1467" s="14" t="s">
        <v>132</v>
      </c>
      <c r="C1467" s="14" t="s">
        <v>129</v>
      </c>
      <c r="D1467" s="14" t="s">
        <v>194</v>
      </c>
      <c r="E1467" s="48" t="s">
        <v>1336</v>
      </c>
      <c r="F1467" s="48" t="s">
        <v>31</v>
      </c>
      <c r="G1467" s="14" t="b">
        <f>OR(LCI_Table[[#This Row],[Feedstock]]="All",LCI_Table[[#This Row],[Feedstock]]=SelectedFeedstock)</f>
        <v>0</v>
      </c>
      <c r="H1467" s="14" t="b">
        <f>OR(LCI_Table[[#This Row],[Conversion]]="All",LCI_Table[[#This Row],[Conversion]]=SelectedConversion)</f>
        <v>0</v>
      </c>
      <c r="I1467" s="14" t="b">
        <f>OR(LCI_Table[[#This Row],[Data Set]]="all",LCI_Table[[#This Row],[Data Set]]=SelectedDataSet)</f>
        <v>0</v>
      </c>
      <c r="J1467" s="14" t="b">
        <f>OR(LCI_Table[[#This Row],[Technology]]="All",LCI_Table[[#This Row],[Technology]]=SelectedTechnology)</f>
        <v>1</v>
      </c>
      <c r="K1467" s="14" t="b">
        <f>OR(LCI_Table[[#This Row],[Data Source]]="All",LCI_Table[[#This Row],[Data Source]]=SelectedDataSource)</f>
        <v>0</v>
      </c>
      <c r="L1467" s="14" t="b">
        <f>TRUE</f>
        <v>1</v>
      </c>
      <c r="M1467" s="14" t="b">
        <f>(LCI_Table[[#This Row],[Dev Notes]]="Do not display")</f>
        <v>0</v>
      </c>
      <c r="N1467" s="14" t="b">
        <f>AND(LCI_Table[[#This Row],[Show Feedstock]:[Conditional]],NOT(LCI_Table[[#This Row],[Hide Row]]))</f>
        <v>0</v>
      </c>
      <c r="O1467" s="14" t="b">
        <f>LCI_Table[[#This Row],[GREET1 Name Range]]=""</f>
        <v>0</v>
      </c>
      <c r="P1467" s="14" t="s">
        <v>14</v>
      </c>
      <c r="Q1467" s="14" t="s">
        <v>773</v>
      </c>
      <c r="R1467" s="14" t="s">
        <v>113</v>
      </c>
      <c r="S1467" s="37" cm="1">
        <f t="array" aca="1" ref="S14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33.010678459927917</v>
      </c>
      <c r="T1467" s="346" t="s">
        <v>1485</v>
      </c>
      <c r="U1467" s="347">
        <f ca="1">S1467/S1464*lb2g</f>
        <v>3356.5835380000008</v>
      </c>
      <c r="V1467" s="347">
        <v>33.010678459927917</v>
      </c>
      <c r="W1467" s="347">
        <v>3356.5835380000008</v>
      </c>
      <c r="X1467" s="14" t="s">
        <v>12</v>
      </c>
      <c r="Y1467" s="346" t="s">
        <v>413</v>
      </c>
      <c r="Z1467" s="14" t="str">
        <f>IF(ISBLANK(LCI_Table[[#This Row],[Notes for user]])," ",LCI_Table[[#This Row],[Notes for user]])</f>
        <v xml:space="preserve"> </v>
      </c>
      <c r="AA1467" s="14"/>
      <c r="AB1467" s="14"/>
      <c r="AC1467" s="346">
        <f ca="1">LCI_Table[[#This Row],[Default Calculated Value]]-LCI_Table[[#This Row],[Calculated Value]]</f>
        <v>0</v>
      </c>
    </row>
    <row r="1468" spans="1:29" x14ac:dyDescent="0.3">
      <c r="A14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(E3)(blank)_Poplar_Farming_CaCO3CaCO3</v>
      </c>
      <c r="B1468" s="14" t="s">
        <v>132</v>
      </c>
      <c r="C1468" s="14" t="s">
        <v>129</v>
      </c>
      <c r="D1468" s="14" t="s">
        <v>194</v>
      </c>
      <c r="E1468" s="48" t="s">
        <v>1336</v>
      </c>
      <c r="F1468" s="48" t="s">
        <v>31</v>
      </c>
      <c r="G1468" s="14" t="b">
        <f>OR(LCI_Table[[#This Row],[Feedstock]]="All",LCI_Table[[#This Row],[Feedstock]]=SelectedFeedstock)</f>
        <v>0</v>
      </c>
      <c r="H1468" s="14" t="b">
        <f>OR(LCI_Table[[#This Row],[Conversion]]="All",LCI_Table[[#This Row],[Conversion]]=SelectedConversion)</f>
        <v>0</v>
      </c>
      <c r="I1468" s="14" t="b">
        <f>OR(LCI_Table[[#This Row],[Data Set]]="all",LCI_Table[[#This Row],[Data Set]]=SelectedDataSet)</f>
        <v>0</v>
      </c>
      <c r="J1468" s="14" t="b">
        <f>OR(LCI_Table[[#This Row],[Technology]]="All",LCI_Table[[#This Row],[Technology]]=SelectedTechnology)</f>
        <v>1</v>
      </c>
      <c r="K1468" s="14" t="b">
        <f>OR(LCI_Table[[#This Row],[Data Source]]="All",LCI_Table[[#This Row],[Data Source]]=SelectedDataSource)</f>
        <v>0</v>
      </c>
      <c r="L1468" s="14" t="b">
        <f>TRUE</f>
        <v>1</v>
      </c>
      <c r="M1468" s="14" t="b">
        <f>(LCI_Table[[#This Row],[Dev Notes]]="Do not display")</f>
        <v>0</v>
      </c>
      <c r="N1468" s="14" t="b">
        <f>AND(LCI_Table[[#This Row],[Show Feedstock]:[Conditional]],NOT(LCI_Table[[#This Row],[Hide Row]]))</f>
        <v>0</v>
      </c>
      <c r="O1468" s="14" t="b">
        <f>LCI_Table[[#This Row],[GREET1 Name Range]]=""</f>
        <v>0</v>
      </c>
      <c r="P1468" s="14" t="s">
        <v>14</v>
      </c>
      <c r="Q1468" s="14" t="s">
        <v>766</v>
      </c>
      <c r="R1468" s="14" t="s">
        <v>141</v>
      </c>
      <c r="S1468" s="37" cm="1">
        <f t="array" aca="1" ref="S14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68" s="346" t="s">
        <v>1485</v>
      </c>
      <c r="U1468" s="347">
        <f ca="1">S1468/S1464*lb2g</f>
        <v>0</v>
      </c>
      <c r="V1468" s="347">
        <v>0</v>
      </c>
      <c r="W1468" s="347">
        <v>0</v>
      </c>
      <c r="X1468" s="14" t="s">
        <v>12</v>
      </c>
      <c r="Y1468" s="346" t="s">
        <v>413</v>
      </c>
      <c r="Z1468" s="14" t="str">
        <f>IF(ISBLANK(LCI_Table[[#This Row],[Notes for user]])," ",LCI_Table[[#This Row],[Notes for user]])</f>
        <v xml:space="preserve"> </v>
      </c>
      <c r="AA1468" s="14"/>
      <c r="AB1468" s="14"/>
      <c r="AC1468" s="346">
        <f ca="1">LCI_Table[[#This Row],[Default Calculated Value]]-LCI_Table[[#This Row],[Calculated Value]]</f>
        <v>0</v>
      </c>
    </row>
    <row r="1469" spans="1:29" x14ac:dyDescent="0.3">
      <c r="A14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(E3)(blank)_Poplar_Farming_HerbicidesHerbicides</v>
      </c>
      <c r="B1469" s="14" t="s">
        <v>132</v>
      </c>
      <c r="C1469" s="14" t="s">
        <v>129</v>
      </c>
      <c r="D1469" s="14" t="s">
        <v>194</v>
      </c>
      <c r="E1469" s="48" t="s">
        <v>1336</v>
      </c>
      <c r="F1469" s="48" t="s">
        <v>31</v>
      </c>
      <c r="G1469" s="14" t="b">
        <f>OR(LCI_Table[[#This Row],[Feedstock]]="All",LCI_Table[[#This Row],[Feedstock]]=SelectedFeedstock)</f>
        <v>0</v>
      </c>
      <c r="H1469" s="14" t="b">
        <f>OR(LCI_Table[[#This Row],[Conversion]]="All",LCI_Table[[#This Row],[Conversion]]=SelectedConversion)</f>
        <v>0</v>
      </c>
      <c r="I1469" s="14" t="b">
        <f>OR(LCI_Table[[#This Row],[Data Set]]="all",LCI_Table[[#This Row],[Data Set]]=SelectedDataSet)</f>
        <v>0</v>
      </c>
      <c r="J1469" s="14" t="b">
        <f>OR(LCI_Table[[#This Row],[Technology]]="All",LCI_Table[[#This Row],[Technology]]=SelectedTechnology)</f>
        <v>1</v>
      </c>
      <c r="K1469" s="14" t="b">
        <f>OR(LCI_Table[[#This Row],[Data Source]]="All",LCI_Table[[#This Row],[Data Source]]=SelectedDataSource)</f>
        <v>0</v>
      </c>
      <c r="L1469" s="14" t="b">
        <f>TRUE</f>
        <v>1</v>
      </c>
      <c r="M1469" s="14" t="b">
        <f>(LCI_Table[[#This Row],[Dev Notes]]="Do not display")</f>
        <v>0</v>
      </c>
      <c r="N1469" s="14" t="b">
        <f>AND(LCI_Table[[#This Row],[Show Feedstock]:[Conditional]],NOT(LCI_Table[[#This Row],[Hide Row]]))</f>
        <v>0</v>
      </c>
      <c r="O1469" s="14" t="b">
        <f>LCI_Table[[#This Row],[GREET1 Name Range]]=""</f>
        <v>0</v>
      </c>
      <c r="P1469" s="14" t="s">
        <v>14</v>
      </c>
      <c r="Q1469" s="14" t="s">
        <v>771</v>
      </c>
      <c r="R1469" s="14" t="s">
        <v>356</v>
      </c>
      <c r="S1469" s="37" cm="1">
        <f t="array" aca="1" ref="S14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69" s="346" t="s">
        <v>1485</v>
      </c>
      <c r="U1469" s="347">
        <f ca="1">S1469/S1464*lb2g</f>
        <v>0</v>
      </c>
      <c r="V1469" s="347">
        <v>0</v>
      </c>
      <c r="W1469" s="347">
        <v>0</v>
      </c>
      <c r="X1469" s="14" t="s">
        <v>12</v>
      </c>
      <c r="Y1469" s="346" t="s">
        <v>413</v>
      </c>
      <c r="Z1469" s="14" t="str">
        <f>IF(ISBLANK(LCI_Table[[#This Row],[Notes for user]])," ",LCI_Table[[#This Row],[Notes for user]])</f>
        <v xml:space="preserve"> </v>
      </c>
      <c r="AA1469" s="14"/>
      <c r="AB1469" s="14"/>
      <c r="AC1469" s="346">
        <f ca="1">LCI_Table[[#This Row],[Default Calculated Value]]-LCI_Table[[#This Row],[Calculated Value]]</f>
        <v>0</v>
      </c>
    </row>
    <row r="1470" spans="1:29" x14ac:dyDescent="0.3">
      <c r="A14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(E3)(blank)_Poplar_Farming_InsecticideInsecticide</v>
      </c>
      <c r="B1470" s="14" t="s">
        <v>132</v>
      </c>
      <c r="C1470" s="14" t="s">
        <v>129</v>
      </c>
      <c r="D1470" s="14" t="s">
        <v>194</v>
      </c>
      <c r="E1470" s="48" t="s">
        <v>1336</v>
      </c>
      <c r="F1470" s="48" t="s">
        <v>31</v>
      </c>
      <c r="G1470" s="14" t="b">
        <f>OR(LCI_Table[[#This Row],[Feedstock]]="All",LCI_Table[[#This Row],[Feedstock]]=SelectedFeedstock)</f>
        <v>0</v>
      </c>
      <c r="H1470" s="14" t="b">
        <f>OR(LCI_Table[[#This Row],[Conversion]]="All",LCI_Table[[#This Row],[Conversion]]=SelectedConversion)</f>
        <v>0</v>
      </c>
      <c r="I1470" s="14" t="b">
        <f>OR(LCI_Table[[#This Row],[Data Set]]="all",LCI_Table[[#This Row],[Data Set]]=SelectedDataSet)</f>
        <v>0</v>
      </c>
      <c r="J1470" s="14" t="b">
        <f>OR(LCI_Table[[#This Row],[Technology]]="All",LCI_Table[[#This Row],[Technology]]=SelectedTechnology)</f>
        <v>1</v>
      </c>
      <c r="K1470" s="14" t="b">
        <f>OR(LCI_Table[[#This Row],[Data Source]]="All",LCI_Table[[#This Row],[Data Source]]=SelectedDataSource)</f>
        <v>0</v>
      </c>
      <c r="L1470" s="14" t="b">
        <f>TRUE</f>
        <v>1</v>
      </c>
      <c r="M1470" s="14" t="b">
        <f>(LCI_Table[[#This Row],[Dev Notes]]="Do not display")</f>
        <v>0</v>
      </c>
      <c r="N1470" s="14" t="b">
        <f>AND(LCI_Table[[#This Row],[Show Feedstock]:[Conditional]],NOT(LCI_Table[[#This Row],[Hide Row]]))</f>
        <v>0</v>
      </c>
      <c r="O1470" s="14" t="b">
        <f>LCI_Table[[#This Row],[GREET1 Name Range]]=""</f>
        <v>0</v>
      </c>
      <c r="P1470" s="14" t="s">
        <v>14</v>
      </c>
      <c r="Q1470" s="14" t="s">
        <v>772</v>
      </c>
      <c r="R1470" s="14" t="s">
        <v>114</v>
      </c>
      <c r="S1470" s="37" cm="1">
        <f t="array" aca="1" ref="S14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70" s="346" t="s">
        <v>1485</v>
      </c>
      <c r="U1470" s="347">
        <f ca="1">S1470/S1464*lb2g</f>
        <v>0</v>
      </c>
      <c r="V1470" s="347">
        <v>0</v>
      </c>
      <c r="W1470" s="347">
        <v>0</v>
      </c>
      <c r="X1470" s="14" t="s">
        <v>12</v>
      </c>
      <c r="Y1470" s="346" t="s">
        <v>413</v>
      </c>
      <c r="Z1470" s="14" t="str">
        <f>IF(ISBLANK(LCI_Table[[#This Row],[Notes for user]])," ",LCI_Table[[#This Row],[Notes for user]])</f>
        <v xml:space="preserve"> </v>
      </c>
      <c r="AA1470" s="14"/>
      <c r="AB1470" s="14"/>
      <c r="AC1470" s="346">
        <f ca="1">LCI_Table[[#This Row],[Default Calculated Value]]-LCI_Table[[#This Row],[Calculated Value]]</f>
        <v>0</v>
      </c>
    </row>
    <row r="1471" spans="1:29" x14ac:dyDescent="0.3">
      <c r="A14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(E3)(blank)_Poplar_Farming_Residual_oilResidual oil</v>
      </c>
      <c r="B1471" s="14" t="s">
        <v>132</v>
      </c>
      <c r="C1471" s="14" t="s">
        <v>129</v>
      </c>
      <c r="D1471" s="14" t="s">
        <v>194</v>
      </c>
      <c r="E1471" s="48" t="s">
        <v>1336</v>
      </c>
      <c r="F1471" s="48" t="s">
        <v>31</v>
      </c>
      <c r="G1471" s="14" t="b">
        <f>OR(LCI_Table[[#This Row],[Feedstock]]="All",LCI_Table[[#This Row],[Feedstock]]=SelectedFeedstock)</f>
        <v>0</v>
      </c>
      <c r="H1471" s="14" t="b">
        <f>OR(LCI_Table[[#This Row],[Conversion]]="All",LCI_Table[[#This Row],[Conversion]]=SelectedConversion)</f>
        <v>0</v>
      </c>
      <c r="I1471" s="14" t="b">
        <f>OR(LCI_Table[[#This Row],[Data Set]]="all",LCI_Table[[#This Row],[Data Set]]=SelectedDataSet)</f>
        <v>0</v>
      </c>
      <c r="J1471" s="14" t="b">
        <f>OR(LCI_Table[[#This Row],[Technology]]="All",LCI_Table[[#This Row],[Technology]]=SelectedTechnology)</f>
        <v>1</v>
      </c>
      <c r="K1471" s="14" t="b">
        <f>OR(LCI_Table[[#This Row],[Data Source]]="All",LCI_Table[[#This Row],[Data Source]]=SelectedDataSource)</f>
        <v>0</v>
      </c>
      <c r="L1471" s="14" t="b">
        <f>TRUE</f>
        <v>1</v>
      </c>
      <c r="M1471" s="14" t="b">
        <f>(LCI_Table[[#This Row],[Dev Notes]]="Do not display")</f>
        <v>0</v>
      </c>
      <c r="N1471" s="14" t="b">
        <f>AND(LCI_Table[[#This Row],[Show Feedstock]:[Conditional]],NOT(LCI_Table[[#This Row],[Hide Row]]))</f>
        <v>0</v>
      </c>
      <c r="O1471" s="14" t="b">
        <f>LCI_Table[[#This Row],[GREET1 Name Range]]=""</f>
        <v>0</v>
      </c>
      <c r="P1471" s="14" t="s">
        <v>14</v>
      </c>
      <c r="Q1471" s="14" t="s">
        <v>778</v>
      </c>
      <c r="R1471" s="14" t="s">
        <v>115</v>
      </c>
      <c r="S1471" s="37" cm="1">
        <f t="array" aca="1" ref="S14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71" s="346" t="s">
        <v>1484</v>
      </c>
      <c r="U1471" s="347">
        <f ca="1">S1471*Fuel_Specs!$B$28/S1464</f>
        <v>0</v>
      </c>
      <c r="V1471" s="347">
        <v>0</v>
      </c>
      <c r="W1471" s="347">
        <v>0</v>
      </c>
      <c r="X1471" s="14" t="s">
        <v>5</v>
      </c>
      <c r="Y1471" s="346" t="s">
        <v>413</v>
      </c>
      <c r="Z1471" s="14" t="str">
        <f>IF(ISBLANK(LCI_Table[[#This Row],[Notes for user]])," ",LCI_Table[[#This Row],[Notes for user]])</f>
        <v xml:space="preserve"> </v>
      </c>
      <c r="AA1471" s="14"/>
      <c r="AB1471" s="14"/>
      <c r="AC1471" s="346">
        <f ca="1">LCI_Table[[#This Row],[Default Calculated Value]]-LCI_Table[[#This Row],[Calculated Value]]</f>
        <v>0</v>
      </c>
    </row>
    <row r="1472" spans="1:29" x14ac:dyDescent="0.3">
      <c r="A14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(E3)(blank)_Poplar_Farming_DieselDiesel</v>
      </c>
      <c r="B1472" s="14" t="s">
        <v>132</v>
      </c>
      <c r="C1472" s="14" t="s">
        <v>129</v>
      </c>
      <c r="D1472" s="14" t="s">
        <v>194</v>
      </c>
      <c r="E1472" s="48" t="s">
        <v>1336</v>
      </c>
      <c r="F1472" s="48" t="s">
        <v>31</v>
      </c>
      <c r="G1472" s="14" t="b">
        <f>OR(LCI_Table[[#This Row],[Feedstock]]="All",LCI_Table[[#This Row],[Feedstock]]=SelectedFeedstock)</f>
        <v>0</v>
      </c>
      <c r="H1472" s="14" t="b">
        <f>OR(LCI_Table[[#This Row],[Conversion]]="All",LCI_Table[[#This Row],[Conversion]]=SelectedConversion)</f>
        <v>0</v>
      </c>
      <c r="I1472" s="14" t="b">
        <f>OR(LCI_Table[[#This Row],[Data Set]]="all",LCI_Table[[#This Row],[Data Set]]=SelectedDataSet)</f>
        <v>0</v>
      </c>
      <c r="J1472" s="14" t="b">
        <f>OR(LCI_Table[[#This Row],[Technology]]="All",LCI_Table[[#This Row],[Technology]]=SelectedTechnology)</f>
        <v>1</v>
      </c>
      <c r="K1472" s="14" t="b">
        <f>OR(LCI_Table[[#This Row],[Data Source]]="All",LCI_Table[[#This Row],[Data Source]]=SelectedDataSource)</f>
        <v>0</v>
      </c>
      <c r="L1472" s="14" t="b">
        <f>TRUE</f>
        <v>1</v>
      </c>
      <c r="M1472" s="14" t="b">
        <f>(LCI_Table[[#This Row],[Dev Notes]]="Do not display")</f>
        <v>0</v>
      </c>
      <c r="N1472" s="14" t="b">
        <f>AND(LCI_Table[[#This Row],[Show Feedstock]:[Conditional]],NOT(LCI_Table[[#This Row],[Hide Row]]))</f>
        <v>0</v>
      </c>
      <c r="O1472" s="14" t="b">
        <f>LCI_Table[[#This Row],[GREET1 Name Range]]=""</f>
        <v>0</v>
      </c>
      <c r="P1472" s="14" t="s">
        <v>14</v>
      </c>
      <c r="Q1472" s="14" t="s">
        <v>768</v>
      </c>
      <c r="R1472" s="14" t="s">
        <v>106</v>
      </c>
      <c r="S1472" s="37" cm="1">
        <f t="array" aca="1" ref="S14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7.1926722265161835</v>
      </c>
      <c r="T1472" s="346" t="s">
        <v>1484</v>
      </c>
      <c r="U1472" s="347">
        <f ca="1">S1472*Fuel_Specs!$B$19/S1464</f>
        <v>207110.27614199958</v>
      </c>
      <c r="V1472" s="347">
        <v>7.1926722265161835</v>
      </c>
      <c r="W1472" s="347">
        <v>207110.27614199958</v>
      </c>
      <c r="X1472" s="14" t="s">
        <v>5</v>
      </c>
      <c r="Y1472" s="346" t="s">
        <v>413</v>
      </c>
      <c r="Z1472" s="14" t="str">
        <f>IF(ISBLANK(LCI_Table[[#This Row],[Notes for user]])," ",LCI_Table[[#This Row],[Notes for user]])</f>
        <v xml:space="preserve"> </v>
      </c>
      <c r="AA1472" s="14"/>
      <c r="AB1472" s="14"/>
      <c r="AC1472" s="346">
        <f ca="1">LCI_Table[[#This Row],[Default Calculated Value]]-LCI_Table[[#This Row],[Calculated Value]]</f>
        <v>0</v>
      </c>
    </row>
    <row r="1473" spans="1:29" x14ac:dyDescent="0.3">
      <c r="A14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(E3)(blank)_Poplar_Farming_GasolineGasoline</v>
      </c>
      <c r="B1473" s="14" t="s">
        <v>132</v>
      </c>
      <c r="C1473" s="14" t="s">
        <v>129</v>
      </c>
      <c r="D1473" s="14" t="s">
        <v>194</v>
      </c>
      <c r="E1473" s="48" t="s">
        <v>1336</v>
      </c>
      <c r="F1473" s="48" t="s">
        <v>31</v>
      </c>
      <c r="G1473" s="14" t="b">
        <f>OR(LCI_Table[[#This Row],[Feedstock]]="All",LCI_Table[[#This Row],[Feedstock]]=SelectedFeedstock)</f>
        <v>0</v>
      </c>
      <c r="H1473" s="14" t="b">
        <f>OR(LCI_Table[[#This Row],[Conversion]]="All",LCI_Table[[#This Row],[Conversion]]=SelectedConversion)</f>
        <v>0</v>
      </c>
      <c r="I1473" s="14" t="b">
        <f>OR(LCI_Table[[#This Row],[Data Set]]="all",LCI_Table[[#This Row],[Data Set]]=SelectedDataSet)</f>
        <v>0</v>
      </c>
      <c r="J1473" s="14" t="b">
        <f>OR(LCI_Table[[#This Row],[Technology]]="All",LCI_Table[[#This Row],[Technology]]=SelectedTechnology)</f>
        <v>1</v>
      </c>
      <c r="K1473" s="14" t="b">
        <f>OR(LCI_Table[[#This Row],[Data Source]]="All",LCI_Table[[#This Row],[Data Source]]=SelectedDataSource)</f>
        <v>0</v>
      </c>
      <c r="L1473" s="14" t="b">
        <f>TRUE</f>
        <v>1</v>
      </c>
      <c r="M1473" s="14" t="b">
        <f>(LCI_Table[[#This Row],[Dev Notes]]="Do not display")</f>
        <v>0</v>
      </c>
      <c r="N1473" s="14" t="b">
        <f>AND(LCI_Table[[#This Row],[Show Feedstock]:[Conditional]],NOT(LCI_Table[[#This Row],[Hide Row]]))</f>
        <v>0</v>
      </c>
      <c r="O1473" s="14" t="b">
        <f>LCI_Table[[#This Row],[GREET1 Name Range]]=""</f>
        <v>0</v>
      </c>
      <c r="P1473" s="14" t="s">
        <v>14</v>
      </c>
      <c r="Q1473" s="14" t="s">
        <v>770</v>
      </c>
      <c r="R1473" s="14" t="s">
        <v>107</v>
      </c>
      <c r="S1473" s="37" cm="1">
        <f t="array" aca="1" ref="S14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73" s="346" t="s">
        <v>1484</v>
      </c>
      <c r="U1473" s="347">
        <f ca="1">S1473*Fuel_Specs!$B$15/S1464</f>
        <v>0</v>
      </c>
      <c r="V1473" s="347">
        <v>0</v>
      </c>
      <c r="W1473" s="347">
        <v>0</v>
      </c>
      <c r="X1473" s="14" t="s">
        <v>5</v>
      </c>
      <c r="Y1473" s="346" t="s">
        <v>413</v>
      </c>
      <c r="Z1473" s="14" t="str">
        <f>IF(ISBLANK(LCI_Table[[#This Row],[Notes for user]])," ",LCI_Table[[#This Row],[Notes for user]])</f>
        <v xml:space="preserve"> </v>
      </c>
      <c r="AA1473" s="14"/>
      <c r="AB1473" s="14"/>
      <c r="AC1473" s="346">
        <f ca="1">LCI_Table[[#This Row],[Default Calculated Value]]-LCI_Table[[#This Row],[Calculated Value]]</f>
        <v>0</v>
      </c>
    </row>
    <row r="1474" spans="1:29" x14ac:dyDescent="0.3">
      <c r="A14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(E3)(blank)_Poplar_Farming_Natural_gasNatural gas</v>
      </c>
      <c r="B1474" s="14" t="s">
        <v>132</v>
      </c>
      <c r="C1474" s="14" t="s">
        <v>129</v>
      </c>
      <c r="D1474" s="14" t="s">
        <v>194</v>
      </c>
      <c r="E1474" s="48" t="s">
        <v>1336</v>
      </c>
      <c r="F1474" s="48" t="s">
        <v>31</v>
      </c>
      <c r="G1474" s="14" t="b">
        <f>OR(LCI_Table[[#This Row],[Feedstock]]="All",LCI_Table[[#This Row],[Feedstock]]=SelectedFeedstock)</f>
        <v>0</v>
      </c>
      <c r="H1474" s="14" t="b">
        <f>OR(LCI_Table[[#This Row],[Conversion]]="All",LCI_Table[[#This Row],[Conversion]]=SelectedConversion)</f>
        <v>0</v>
      </c>
      <c r="I1474" s="14" t="b">
        <f>OR(LCI_Table[[#This Row],[Data Set]]="all",LCI_Table[[#This Row],[Data Set]]=SelectedDataSet)</f>
        <v>0</v>
      </c>
      <c r="J1474" s="14" t="b">
        <f>OR(LCI_Table[[#This Row],[Technology]]="All",LCI_Table[[#This Row],[Technology]]=SelectedTechnology)</f>
        <v>1</v>
      </c>
      <c r="K1474" s="14" t="b">
        <f>OR(LCI_Table[[#This Row],[Data Source]]="All",LCI_Table[[#This Row],[Data Source]]=SelectedDataSource)</f>
        <v>0</v>
      </c>
      <c r="L1474" s="14" t="b">
        <f>TRUE</f>
        <v>1</v>
      </c>
      <c r="M1474" s="14" t="b">
        <f>(LCI_Table[[#This Row],[Dev Notes]]="Do not display")</f>
        <v>0</v>
      </c>
      <c r="N1474" s="14" t="b">
        <f>AND(LCI_Table[[#This Row],[Show Feedstock]:[Conditional]],NOT(LCI_Table[[#This Row],[Hide Row]]))</f>
        <v>0</v>
      </c>
      <c r="O1474" s="14" t="b">
        <f>LCI_Table[[#This Row],[GREET1 Name Range]]=""</f>
        <v>0</v>
      </c>
      <c r="P1474" s="14" t="s">
        <v>14</v>
      </c>
      <c r="Q1474" s="14" t="s">
        <v>775</v>
      </c>
      <c r="R1474" s="14" t="s">
        <v>108</v>
      </c>
      <c r="S1474" s="37" cm="1">
        <f t="array" aca="1" ref="S14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74" s="346" t="s">
        <v>2109</v>
      </c>
      <c r="U1474" s="347">
        <f ca="1">S1474*Fuel_Specs!$B$79/S1464</f>
        <v>0</v>
      </c>
      <c r="V1474" s="347">
        <v>0</v>
      </c>
      <c r="W1474" s="347">
        <v>0</v>
      </c>
      <c r="X1474" s="14" t="s">
        <v>351</v>
      </c>
      <c r="Y1474" s="346" t="s">
        <v>413</v>
      </c>
      <c r="Z1474" s="14" t="str">
        <f>IF(ISBLANK(LCI_Table[[#This Row],[Notes for user]])," ",LCI_Table[[#This Row],[Notes for user]])</f>
        <v xml:space="preserve"> </v>
      </c>
      <c r="AA1474" s="14"/>
      <c r="AB1474" s="14"/>
      <c r="AC1474" s="346">
        <f ca="1">LCI_Table[[#This Row],[Default Calculated Value]]-LCI_Table[[#This Row],[Calculated Value]]</f>
        <v>0</v>
      </c>
    </row>
    <row r="1475" spans="1:29" x14ac:dyDescent="0.3">
      <c r="A14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(E3)(blank)_Poplar_Farming_CoalCoal</v>
      </c>
      <c r="B1475" s="14" t="s">
        <v>132</v>
      </c>
      <c r="C1475" s="14" t="s">
        <v>129</v>
      </c>
      <c r="D1475" s="14" t="s">
        <v>194</v>
      </c>
      <c r="E1475" s="48" t="s">
        <v>1336</v>
      </c>
      <c r="F1475" s="48" t="s">
        <v>31</v>
      </c>
      <c r="G1475" s="14" t="b">
        <f>OR(LCI_Table[[#This Row],[Feedstock]]="All",LCI_Table[[#This Row],[Feedstock]]=SelectedFeedstock)</f>
        <v>0</v>
      </c>
      <c r="H1475" s="14" t="b">
        <f>OR(LCI_Table[[#This Row],[Conversion]]="All",LCI_Table[[#This Row],[Conversion]]=SelectedConversion)</f>
        <v>0</v>
      </c>
      <c r="I1475" s="14" t="b">
        <f>OR(LCI_Table[[#This Row],[Data Set]]="all",LCI_Table[[#This Row],[Data Set]]=SelectedDataSet)</f>
        <v>0</v>
      </c>
      <c r="J1475" s="14" t="b">
        <f>OR(LCI_Table[[#This Row],[Technology]]="All",LCI_Table[[#This Row],[Technology]]=SelectedTechnology)</f>
        <v>1</v>
      </c>
      <c r="K1475" s="14" t="b">
        <f>OR(LCI_Table[[#This Row],[Data Source]]="All",LCI_Table[[#This Row],[Data Source]]=SelectedDataSource)</f>
        <v>0</v>
      </c>
      <c r="L1475" s="14" t="b">
        <f>TRUE</f>
        <v>1</v>
      </c>
      <c r="M1475" s="14" t="b">
        <f>(LCI_Table[[#This Row],[Dev Notes]]="Do not display")</f>
        <v>0</v>
      </c>
      <c r="N1475" s="14" t="b">
        <f>AND(LCI_Table[[#This Row],[Show Feedstock]:[Conditional]],NOT(LCI_Table[[#This Row],[Hide Row]]))</f>
        <v>0</v>
      </c>
      <c r="O1475" s="14" t="b">
        <f>LCI_Table[[#This Row],[GREET1 Name Range]]=""</f>
        <v>0</v>
      </c>
      <c r="P1475" s="14" t="s">
        <v>14</v>
      </c>
      <c r="Q1475" s="14" t="s">
        <v>767</v>
      </c>
      <c r="R1475" s="14" t="s">
        <v>9</v>
      </c>
      <c r="S1475" s="37" cm="1">
        <f t="array" aca="1" ref="S14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75" s="346" t="s">
        <v>2110</v>
      </c>
      <c r="U1475" s="347">
        <f ca="1">S1475/S1464</f>
        <v>0</v>
      </c>
      <c r="V1475" s="347">
        <v>0</v>
      </c>
      <c r="W1475" s="347">
        <v>0</v>
      </c>
      <c r="X1475" s="14" t="s">
        <v>117</v>
      </c>
      <c r="Y1475" s="346" t="s">
        <v>413</v>
      </c>
      <c r="Z1475" s="14" t="str">
        <f>IF(ISBLANK(LCI_Table[[#This Row],[Notes for user]])," ",LCI_Table[[#This Row],[Notes for user]])</f>
        <v xml:space="preserve"> </v>
      </c>
      <c r="AA1475" s="14"/>
      <c r="AB1475" s="14"/>
      <c r="AC1475" s="346">
        <f ca="1">LCI_Table[[#This Row],[Default Calculated Value]]-LCI_Table[[#This Row],[Calculated Value]]</f>
        <v>0</v>
      </c>
    </row>
    <row r="1476" spans="1:29" x14ac:dyDescent="0.3">
      <c r="A14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(E3)(blank)_Poplar_Farming_LPGLPG</v>
      </c>
      <c r="B1476" s="14" t="s">
        <v>132</v>
      </c>
      <c r="C1476" s="14" t="s">
        <v>129</v>
      </c>
      <c r="D1476" s="14" t="s">
        <v>194</v>
      </c>
      <c r="E1476" s="48" t="s">
        <v>1336</v>
      </c>
      <c r="F1476" s="48" t="s">
        <v>31</v>
      </c>
      <c r="G1476" s="14" t="b">
        <f>OR(LCI_Table[[#This Row],[Feedstock]]="All",LCI_Table[[#This Row],[Feedstock]]=SelectedFeedstock)</f>
        <v>0</v>
      </c>
      <c r="H1476" s="14" t="b">
        <f>OR(LCI_Table[[#This Row],[Conversion]]="All",LCI_Table[[#This Row],[Conversion]]=SelectedConversion)</f>
        <v>0</v>
      </c>
      <c r="I1476" s="14" t="b">
        <f>OR(LCI_Table[[#This Row],[Data Set]]="all",LCI_Table[[#This Row],[Data Set]]=SelectedDataSet)</f>
        <v>0</v>
      </c>
      <c r="J1476" s="14" t="b">
        <f>OR(LCI_Table[[#This Row],[Technology]]="All",LCI_Table[[#This Row],[Technology]]=SelectedTechnology)</f>
        <v>1</v>
      </c>
      <c r="K1476" s="14" t="b">
        <f>OR(LCI_Table[[#This Row],[Data Source]]="All",LCI_Table[[#This Row],[Data Source]]=SelectedDataSource)</f>
        <v>0</v>
      </c>
      <c r="L1476" s="14" t="b">
        <f>TRUE</f>
        <v>1</v>
      </c>
      <c r="M1476" s="14" t="b">
        <f>(LCI_Table[[#This Row],[Dev Notes]]="Do not display")</f>
        <v>0</v>
      </c>
      <c r="N1476" s="14" t="b">
        <f>AND(LCI_Table[[#This Row],[Show Feedstock]:[Conditional]],NOT(LCI_Table[[#This Row],[Hide Row]]))</f>
        <v>0</v>
      </c>
      <c r="O1476" s="14" t="b">
        <f>LCI_Table[[#This Row],[GREET1 Name Range]]=""</f>
        <v>0</v>
      </c>
      <c r="P1476" s="14" t="s">
        <v>14</v>
      </c>
      <c r="Q1476" s="14" t="s">
        <v>774</v>
      </c>
      <c r="R1476" s="14" t="s">
        <v>109</v>
      </c>
      <c r="S1476" s="37" cm="1">
        <f t="array" aca="1" ref="S14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76" s="346" t="s">
        <v>1484</v>
      </c>
      <c r="U1476" s="347">
        <f ca="1">S1476*Fuel_Specs!$B$35/S1464</f>
        <v>0</v>
      </c>
      <c r="V1476" s="347">
        <v>0</v>
      </c>
      <c r="W1476" s="347">
        <v>0</v>
      </c>
      <c r="X1476" s="14" t="s">
        <v>5</v>
      </c>
      <c r="Y1476" s="346" t="s">
        <v>413</v>
      </c>
      <c r="Z1476" s="14" t="str">
        <f>IF(ISBLANK(LCI_Table[[#This Row],[Notes for user]])," ",LCI_Table[[#This Row],[Notes for user]])</f>
        <v xml:space="preserve"> </v>
      </c>
      <c r="AA1476" s="14"/>
      <c r="AB1476" s="14"/>
      <c r="AC1476" s="346">
        <f ca="1">LCI_Table[[#This Row],[Default Calculated Value]]-LCI_Table[[#This Row],[Calculated Value]]</f>
        <v>0</v>
      </c>
    </row>
    <row r="1477" spans="1:29" x14ac:dyDescent="0.3">
      <c r="A14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(E3)(blank)_Poplar_Farming_ElectricityElectricity</v>
      </c>
      <c r="B1477" s="14" t="s">
        <v>132</v>
      </c>
      <c r="C1477" s="14" t="s">
        <v>129</v>
      </c>
      <c r="D1477" s="14" t="s">
        <v>194</v>
      </c>
      <c r="E1477" s="48" t="s">
        <v>1336</v>
      </c>
      <c r="F1477" s="48" t="s">
        <v>31</v>
      </c>
      <c r="G1477" s="14" t="b">
        <f>OR(LCI_Table[[#This Row],[Feedstock]]="All",LCI_Table[[#This Row],[Feedstock]]=SelectedFeedstock)</f>
        <v>0</v>
      </c>
      <c r="H1477" s="14" t="b">
        <f>OR(LCI_Table[[#This Row],[Conversion]]="All",LCI_Table[[#This Row],[Conversion]]=SelectedConversion)</f>
        <v>0</v>
      </c>
      <c r="I1477" s="14" t="b">
        <f>OR(LCI_Table[[#This Row],[Data Set]]="all",LCI_Table[[#This Row],[Data Set]]=SelectedDataSet)</f>
        <v>0</v>
      </c>
      <c r="J1477" s="14" t="b">
        <f>OR(LCI_Table[[#This Row],[Technology]]="All",LCI_Table[[#This Row],[Technology]]=SelectedTechnology)</f>
        <v>1</v>
      </c>
      <c r="K1477" s="14" t="b">
        <f>OR(LCI_Table[[#This Row],[Data Source]]="All",LCI_Table[[#This Row],[Data Source]]=SelectedDataSource)</f>
        <v>0</v>
      </c>
      <c r="L1477" s="14" t="b">
        <f>TRUE</f>
        <v>1</v>
      </c>
      <c r="M1477" s="14" t="b">
        <f>(LCI_Table[[#This Row],[Dev Notes]]="Do not display")</f>
        <v>0</v>
      </c>
      <c r="N1477" s="14" t="b">
        <f>AND(LCI_Table[[#This Row],[Show Feedstock]:[Conditional]],NOT(LCI_Table[[#This Row],[Hide Row]]))</f>
        <v>0</v>
      </c>
      <c r="O1477" s="14" t="b">
        <f>LCI_Table[[#This Row],[GREET1 Name Range]]=""</f>
        <v>0</v>
      </c>
      <c r="P1477" s="14" t="s">
        <v>14</v>
      </c>
      <c r="Q1477" s="14" t="s">
        <v>769</v>
      </c>
      <c r="R1477" s="348" t="s">
        <v>110</v>
      </c>
      <c r="S1477" s="37" cm="1">
        <f t="array" aca="1" ref="S14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77" s="346" t="s">
        <v>1561</v>
      </c>
      <c r="U1477" s="347">
        <f ca="1">S1477/BTU2kWh/S1464</f>
        <v>0</v>
      </c>
      <c r="V1477" s="347">
        <v>0</v>
      </c>
      <c r="W1477" s="347">
        <v>0</v>
      </c>
      <c r="X1477" s="14" t="s">
        <v>51</v>
      </c>
      <c r="Y1477" s="346" t="s">
        <v>413</v>
      </c>
      <c r="Z1477" s="14" t="str">
        <f>IF(ISBLANK(LCI_Table[[#This Row],[Notes for user]])," ",LCI_Table[[#This Row],[Notes for user]])</f>
        <v xml:space="preserve"> </v>
      </c>
      <c r="AA1477" s="14"/>
      <c r="AB1477" s="14"/>
      <c r="AC1477" s="346">
        <f ca="1">LCI_Table[[#This Row],[Default Calculated Value]]-LCI_Table[[#This Row],[Calculated Value]]</f>
        <v>0</v>
      </c>
    </row>
    <row r="1478" spans="1:29" x14ac:dyDescent="0.3">
      <c r="A14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PoplarFTICAOJRC (E3)(blank)_Poplar_FT_efficiencyPoplar</v>
      </c>
      <c r="B1478" s="14" t="s">
        <v>132</v>
      </c>
      <c r="C1478" s="14" t="s">
        <v>129</v>
      </c>
      <c r="D1478" s="14" t="s">
        <v>194</v>
      </c>
      <c r="E1478" s="48" t="s">
        <v>1336</v>
      </c>
      <c r="F1478" s="48" t="s">
        <v>31</v>
      </c>
      <c r="G1478" s="14" t="b">
        <f>OR(LCI_Table[[#This Row],[Feedstock]]="All",LCI_Table[[#This Row],[Feedstock]]=SelectedFeedstock)</f>
        <v>0</v>
      </c>
      <c r="H1478" s="14" t="b">
        <f>OR(LCI_Table[[#This Row],[Conversion]]="All",LCI_Table[[#This Row],[Conversion]]=SelectedConversion)</f>
        <v>0</v>
      </c>
      <c r="I1478" s="14" t="b">
        <f>OR(LCI_Table[[#This Row],[Data Set]]="all",LCI_Table[[#This Row],[Data Set]]=SelectedDataSet)</f>
        <v>0</v>
      </c>
      <c r="J1478" s="14" t="b">
        <f>OR(LCI_Table[[#This Row],[Technology]]="All",LCI_Table[[#This Row],[Technology]]=SelectedTechnology)</f>
        <v>1</v>
      </c>
      <c r="K1478" s="14" t="b">
        <f>OR(LCI_Table[[#This Row],[Data Source]]="All",LCI_Table[[#This Row],[Data Source]]=SelectedDataSource)</f>
        <v>0</v>
      </c>
      <c r="L1478" s="14" t="b">
        <f>TRUE</f>
        <v>1</v>
      </c>
      <c r="M1478" s="14" t="b">
        <f>(LCI_Table[[#This Row],[Dev Notes]]="Do not display")</f>
        <v>0</v>
      </c>
      <c r="N1478" s="14" t="b">
        <f>AND(LCI_Table[[#This Row],[Show Feedstock]:[Conditional]],NOT(LCI_Table[[#This Row],[Hide Row]]))</f>
        <v>0</v>
      </c>
      <c r="O1478" s="14" t="b">
        <f>LCI_Table[[#This Row],[GREET1 Name Range]]=""</f>
        <v>0</v>
      </c>
      <c r="P1478" s="14" t="s">
        <v>1448</v>
      </c>
      <c r="Q1478" s="14" t="s">
        <v>938</v>
      </c>
      <c r="R1478" s="14" t="s">
        <v>132</v>
      </c>
      <c r="S1478" s="37" cm="1">
        <f t="array" aca="1" ref="S14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0.13357144669898208</v>
      </c>
      <c r="T1478" s="346" t="s">
        <v>2125</v>
      </c>
      <c r="U1478" s="347">
        <f ca="1">1/(S1478*Fuel_Specs!$B$96*BTU2mmBTU)</f>
        <v>0.46999999999999992</v>
      </c>
      <c r="V1478" s="347">
        <v>0.13357144669898208</v>
      </c>
      <c r="W1478" s="347">
        <v>0.46999999999999992</v>
      </c>
      <c r="X1478" s="37" t="s">
        <v>55</v>
      </c>
      <c r="Y1478" s="346" t="s">
        <v>416</v>
      </c>
      <c r="Z1478" s="14" t="str">
        <f>IF(ISBLANK(LCI_Table[[#This Row],[Notes for user]])," ",LCI_Table[[#This Row],[Notes for user]])</f>
        <v xml:space="preserve"> </v>
      </c>
      <c r="AA1478" s="14"/>
      <c r="AB1478" s="14"/>
      <c r="AC1478" s="346">
        <f ca="1">LCI_Table[[#This Row],[Default Calculated Value]]-LCI_Table[[#This Row],[Calculated Value]]</f>
        <v>0</v>
      </c>
    </row>
    <row r="1479" spans="1:29" x14ac:dyDescent="0.3">
      <c r="A14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dash_WillowFTICAOMIT (GREET)(blank)_Yield_Farming</v>
      </c>
      <c r="B1479" s="48" t="s">
        <v>131</v>
      </c>
      <c r="C1479" s="48" t="s">
        <v>129</v>
      </c>
      <c r="D1479" s="48" t="s">
        <v>194</v>
      </c>
      <c r="E1479" s="48" t="s">
        <v>1335</v>
      </c>
      <c r="F1479" s="48" t="s">
        <v>31</v>
      </c>
      <c r="G1479" s="14" t="b">
        <f>OR(LCI_Table[[#This Row],[Feedstock]]="All",LCI_Table[[#This Row],[Feedstock]]=SelectedFeedstock)</f>
        <v>0</v>
      </c>
      <c r="H1479" s="14" t="b">
        <f>OR(LCI_Table[[#This Row],[Conversion]]="All",LCI_Table[[#This Row],[Conversion]]=SelectedConversion)</f>
        <v>0</v>
      </c>
      <c r="I1479" s="14" t="b">
        <f>OR(LCI_Table[[#This Row],[Data Set]]="all",LCI_Table[[#This Row],[Data Set]]=SelectedDataSet)</f>
        <v>0</v>
      </c>
      <c r="J1479" s="14" t="b">
        <f>OR(LCI_Table[[#This Row],[Technology]]="All",LCI_Table[[#This Row],[Technology]]=SelectedTechnology)</f>
        <v>1</v>
      </c>
      <c r="K1479" s="14" t="b">
        <f>OR(LCI_Table[[#This Row],[Data Source]]="All",LCI_Table[[#This Row],[Data Source]]=SelectedDataSource)</f>
        <v>0</v>
      </c>
      <c r="L1479" s="14" t="b">
        <f>TRUE</f>
        <v>1</v>
      </c>
      <c r="M1479" s="14" t="b">
        <f>(LCI_Table[[#This Row],[Dev Notes]]="Do not display")</f>
        <v>0</v>
      </c>
      <c r="N1479" s="14" t="b">
        <f>AND(LCI_Table[[#This Row],[Show Feedstock]:[Conditional]],NOT(LCI_Table[[#This Row],[Hide Row]]))</f>
        <v>0</v>
      </c>
      <c r="O1479" s="14" t="b">
        <f>LCI_Table[[#This Row],[GREET1 Name Range]]=""</f>
        <v>1</v>
      </c>
      <c r="P1479" s="48" t="s">
        <v>14</v>
      </c>
      <c r="Q1479" s="14" t="s">
        <v>361</v>
      </c>
      <c r="R1479" s="48" t="s">
        <v>200</v>
      </c>
      <c r="S1479" s="37" cm="1">
        <f t="array" aca="1" ref="S14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3.7917671203971253</v>
      </c>
      <c r="T1479" s="346" t="s">
        <v>2116</v>
      </c>
      <c r="U1479" s="344"/>
      <c r="V1479" s="344">
        <v>3.7917671203971253</v>
      </c>
      <c r="W1479" s="344"/>
      <c r="X1479" s="48" t="s">
        <v>55</v>
      </c>
      <c r="Y1479" s="346" t="s">
        <v>413</v>
      </c>
      <c r="Z1479" s="14" t="str">
        <f>IF(ISBLANK(LCI_Table[[#This Row],[Notes for user]])," ",LCI_Table[[#This Row],[Notes for user]])</f>
        <v xml:space="preserve"> </v>
      </c>
      <c r="AA1479" s="48"/>
      <c r="AB1479" s="345"/>
      <c r="AC1479" s="346">
        <f>LCI_Table[[#This Row],[Default Calculated Value]]-LCI_Table[[#This Row],[Calculated Value]]</f>
        <v>0</v>
      </c>
    </row>
    <row r="1480" spans="1:29" x14ac:dyDescent="0.3">
      <c r="A14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WillowFTICAOMIT (GREET)(blank)_Willow_Farming_Nitrogen_fertilizerNitrogen fertilizer</v>
      </c>
      <c r="B1480" s="14" t="s">
        <v>131</v>
      </c>
      <c r="C1480" s="14" t="s">
        <v>129</v>
      </c>
      <c r="D1480" s="14" t="s">
        <v>194</v>
      </c>
      <c r="E1480" s="48" t="s">
        <v>1335</v>
      </c>
      <c r="F1480" s="48" t="s">
        <v>31</v>
      </c>
      <c r="G1480" s="14" t="b">
        <f>OR(LCI_Table[[#This Row],[Feedstock]]="All",LCI_Table[[#This Row],[Feedstock]]=SelectedFeedstock)</f>
        <v>0</v>
      </c>
      <c r="H1480" s="14" t="b">
        <f>OR(LCI_Table[[#This Row],[Conversion]]="All",LCI_Table[[#This Row],[Conversion]]=SelectedConversion)</f>
        <v>0</v>
      </c>
      <c r="I1480" s="14" t="b">
        <f>OR(LCI_Table[[#This Row],[Data Set]]="all",LCI_Table[[#This Row],[Data Set]]=SelectedDataSet)</f>
        <v>0</v>
      </c>
      <c r="J1480" s="14" t="b">
        <f>OR(LCI_Table[[#This Row],[Technology]]="All",LCI_Table[[#This Row],[Technology]]=SelectedTechnology)</f>
        <v>1</v>
      </c>
      <c r="K1480" s="14" t="b">
        <f>OR(LCI_Table[[#This Row],[Data Source]]="All",LCI_Table[[#This Row],[Data Source]]=SelectedDataSource)</f>
        <v>0</v>
      </c>
      <c r="L1480" s="14" t="b">
        <f>TRUE</f>
        <v>1</v>
      </c>
      <c r="M1480" s="14" t="b">
        <f>(LCI_Table[[#This Row],[Dev Notes]]="Do not display")</f>
        <v>0</v>
      </c>
      <c r="N1480" s="14" t="b">
        <f>AND(LCI_Table[[#This Row],[Show Feedstock]:[Conditional]],NOT(LCI_Table[[#This Row],[Hide Row]]))</f>
        <v>0</v>
      </c>
      <c r="O1480" s="14" t="b">
        <f>LCI_Table[[#This Row],[GREET1 Name Range]]=""</f>
        <v>0</v>
      </c>
      <c r="P1480" s="14" t="s">
        <v>14</v>
      </c>
      <c r="Q1480" s="14" t="s">
        <v>853</v>
      </c>
      <c r="R1480" s="14" t="s">
        <v>111</v>
      </c>
      <c r="S1480" s="37" cm="1">
        <f t="array" aca="1" ref="S14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12.219551534831732</v>
      </c>
      <c r="T1480" s="346" t="s">
        <v>1485</v>
      </c>
      <c r="U1480" s="347">
        <f ca="1">S1480/S1479*lb2g</f>
        <v>1461.7710331432372</v>
      </c>
      <c r="V1480" s="347">
        <v>12.219551534831732</v>
      </c>
      <c r="W1480" s="347">
        <v>1461.7710331432372</v>
      </c>
      <c r="X1480" s="14" t="s">
        <v>12</v>
      </c>
      <c r="Y1480" s="346" t="s">
        <v>413</v>
      </c>
      <c r="Z1480" s="14" t="str">
        <f>IF(ISBLANK(LCI_Table[[#This Row],[Notes for user]])," ",LCI_Table[[#This Row],[Notes for user]])</f>
        <v xml:space="preserve"> </v>
      </c>
      <c r="AA1480" s="14"/>
      <c r="AB1480" s="14"/>
      <c r="AC1480" s="346">
        <f ca="1">LCI_Table[[#This Row],[Default Calculated Value]]-LCI_Table[[#This Row],[Calculated Value]]</f>
        <v>0</v>
      </c>
    </row>
    <row r="1481" spans="1:29" x14ac:dyDescent="0.3">
      <c r="A14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WillowFTICAOMIT (GREET)(blank)_Willow_Farming_P2O5P2O5</v>
      </c>
      <c r="B1481" s="14" t="s">
        <v>131</v>
      </c>
      <c r="C1481" s="14" t="s">
        <v>129</v>
      </c>
      <c r="D1481" s="14" t="s">
        <v>194</v>
      </c>
      <c r="E1481" s="48" t="s">
        <v>1335</v>
      </c>
      <c r="F1481" s="48" t="s">
        <v>31</v>
      </c>
      <c r="G1481" s="14" t="b">
        <f>OR(LCI_Table[[#This Row],[Feedstock]]="All",LCI_Table[[#This Row],[Feedstock]]=SelectedFeedstock)</f>
        <v>0</v>
      </c>
      <c r="H1481" s="14" t="b">
        <f>OR(LCI_Table[[#This Row],[Conversion]]="All",LCI_Table[[#This Row],[Conversion]]=SelectedConversion)</f>
        <v>0</v>
      </c>
      <c r="I1481" s="14" t="b">
        <f>OR(LCI_Table[[#This Row],[Data Set]]="all",LCI_Table[[#This Row],[Data Set]]=SelectedDataSet)</f>
        <v>0</v>
      </c>
      <c r="J1481" s="14" t="b">
        <f>OR(LCI_Table[[#This Row],[Technology]]="All",LCI_Table[[#This Row],[Technology]]=SelectedTechnology)</f>
        <v>1</v>
      </c>
      <c r="K1481" s="14" t="b">
        <f>OR(LCI_Table[[#This Row],[Data Source]]="All",LCI_Table[[#This Row],[Data Source]]=SelectedDataSource)</f>
        <v>0</v>
      </c>
      <c r="L1481" s="14" t="b">
        <f>TRUE</f>
        <v>1</v>
      </c>
      <c r="M1481" s="14" t="b">
        <f>(LCI_Table[[#This Row],[Dev Notes]]="Do not display")</f>
        <v>0</v>
      </c>
      <c r="N1481" s="14" t="b">
        <f>AND(LCI_Table[[#This Row],[Show Feedstock]:[Conditional]],NOT(LCI_Table[[#This Row],[Hide Row]]))</f>
        <v>0</v>
      </c>
      <c r="O1481" s="14" t="b">
        <f>LCI_Table[[#This Row],[GREET1 Name Range]]=""</f>
        <v>0</v>
      </c>
      <c r="P1481" s="14" t="s">
        <v>14</v>
      </c>
      <c r="Q1481" s="14" t="s">
        <v>854</v>
      </c>
      <c r="R1481" s="14" t="s">
        <v>112</v>
      </c>
      <c r="S1481" s="37" cm="1">
        <f t="array" aca="1" ref="S14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5.4309117932585478</v>
      </c>
      <c r="T1481" s="346" t="s">
        <v>1485</v>
      </c>
      <c r="U1481" s="347">
        <f ca="1">S1481/S1479*lb2g</f>
        <v>649.67601473032767</v>
      </c>
      <c r="V1481" s="347">
        <v>5.4309117932585478</v>
      </c>
      <c r="W1481" s="347">
        <v>649.67601473032767</v>
      </c>
      <c r="X1481" s="14" t="s">
        <v>12</v>
      </c>
      <c r="Y1481" s="346" t="s">
        <v>413</v>
      </c>
      <c r="Z1481" s="14" t="str">
        <f>IF(ISBLANK(LCI_Table[[#This Row],[Notes for user]])," ",LCI_Table[[#This Row],[Notes for user]])</f>
        <v xml:space="preserve"> </v>
      </c>
      <c r="AA1481" s="14"/>
      <c r="AB1481" s="14"/>
      <c r="AC1481" s="346">
        <f ca="1">LCI_Table[[#This Row],[Default Calculated Value]]-LCI_Table[[#This Row],[Calculated Value]]</f>
        <v>0</v>
      </c>
    </row>
    <row r="1482" spans="1:29" x14ac:dyDescent="0.3">
      <c r="A14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WillowFTICAOMIT (GREET)(blank)_Willow_Farming_K2OK2O</v>
      </c>
      <c r="B1482" s="14" t="s">
        <v>131</v>
      </c>
      <c r="C1482" s="14" t="s">
        <v>129</v>
      </c>
      <c r="D1482" s="14" t="s">
        <v>194</v>
      </c>
      <c r="E1482" s="48" t="s">
        <v>1335</v>
      </c>
      <c r="F1482" s="48" t="s">
        <v>31</v>
      </c>
      <c r="G1482" s="14" t="b">
        <f>OR(LCI_Table[[#This Row],[Feedstock]]="All",LCI_Table[[#This Row],[Feedstock]]=SelectedFeedstock)</f>
        <v>0</v>
      </c>
      <c r="H1482" s="14" t="b">
        <f>OR(LCI_Table[[#This Row],[Conversion]]="All",LCI_Table[[#This Row],[Conversion]]=SelectedConversion)</f>
        <v>0</v>
      </c>
      <c r="I1482" s="14" t="b">
        <f>OR(LCI_Table[[#This Row],[Data Set]]="all",LCI_Table[[#This Row],[Data Set]]=SelectedDataSet)</f>
        <v>0</v>
      </c>
      <c r="J1482" s="14" t="b">
        <f>OR(LCI_Table[[#This Row],[Technology]]="All",LCI_Table[[#This Row],[Technology]]=SelectedTechnology)</f>
        <v>1</v>
      </c>
      <c r="K1482" s="14" t="b">
        <f>OR(LCI_Table[[#This Row],[Data Source]]="All",LCI_Table[[#This Row],[Data Source]]=SelectedDataSource)</f>
        <v>0</v>
      </c>
      <c r="L1482" s="14" t="b">
        <f>TRUE</f>
        <v>1</v>
      </c>
      <c r="M1482" s="14" t="b">
        <f>(LCI_Table[[#This Row],[Dev Notes]]="Do not display")</f>
        <v>0</v>
      </c>
      <c r="N1482" s="14" t="b">
        <f>AND(LCI_Table[[#This Row],[Show Feedstock]:[Conditional]],NOT(LCI_Table[[#This Row],[Hide Row]]))</f>
        <v>0</v>
      </c>
      <c r="O1482" s="14" t="b">
        <f>LCI_Table[[#This Row],[GREET1 Name Range]]=""</f>
        <v>0</v>
      </c>
      <c r="P1482" s="14" t="s">
        <v>14</v>
      </c>
      <c r="Q1482" s="14" t="s">
        <v>850</v>
      </c>
      <c r="R1482" s="14" t="s">
        <v>113</v>
      </c>
      <c r="S1482" s="37" cm="1">
        <f t="array" aca="1" ref="S14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8.3754273568155515</v>
      </c>
      <c r="T1482" s="346" t="s">
        <v>1485</v>
      </c>
      <c r="U1482" s="347">
        <f ca="1">S1482/S1479*lb2g</f>
        <v>1001.9154193580632</v>
      </c>
      <c r="V1482" s="347">
        <v>8.3754273568155515</v>
      </c>
      <c r="W1482" s="347">
        <v>1001.9154193580632</v>
      </c>
      <c r="X1482" s="14" t="s">
        <v>12</v>
      </c>
      <c r="Y1482" s="346" t="s">
        <v>413</v>
      </c>
      <c r="Z1482" s="14" t="str">
        <f>IF(ISBLANK(LCI_Table[[#This Row],[Notes for user]])," ",LCI_Table[[#This Row],[Notes for user]])</f>
        <v xml:space="preserve"> </v>
      </c>
      <c r="AA1482" s="14"/>
      <c r="AB1482" s="14"/>
      <c r="AC1482" s="346">
        <f ca="1">LCI_Table[[#This Row],[Default Calculated Value]]-LCI_Table[[#This Row],[Calculated Value]]</f>
        <v>0</v>
      </c>
    </row>
    <row r="1483" spans="1:29" x14ac:dyDescent="0.3">
      <c r="A14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WillowFTICAOMIT (GREET)(blank)_Willow_Farming_CaCO3CaCO3</v>
      </c>
      <c r="B1483" s="14" t="s">
        <v>131</v>
      </c>
      <c r="C1483" s="14" t="s">
        <v>129</v>
      </c>
      <c r="D1483" s="14" t="s">
        <v>194</v>
      </c>
      <c r="E1483" s="48" t="s">
        <v>1335</v>
      </c>
      <c r="F1483" s="48" t="s">
        <v>31</v>
      </c>
      <c r="G1483" s="14" t="b">
        <f>OR(LCI_Table[[#This Row],[Feedstock]]="All",LCI_Table[[#This Row],[Feedstock]]=SelectedFeedstock)</f>
        <v>0</v>
      </c>
      <c r="H1483" s="14" t="b">
        <f>OR(LCI_Table[[#This Row],[Conversion]]="All",LCI_Table[[#This Row],[Conversion]]=SelectedConversion)</f>
        <v>0</v>
      </c>
      <c r="I1483" s="14" t="b">
        <f>OR(LCI_Table[[#This Row],[Data Set]]="all",LCI_Table[[#This Row],[Data Set]]=SelectedDataSet)</f>
        <v>0</v>
      </c>
      <c r="J1483" s="14" t="b">
        <f>OR(LCI_Table[[#This Row],[Technology]]="All",LCI_Table[[#This Row],[Technology]]=SelectedTechnology)</f>
        <v>1</v>
      </c>
      <c r="K1483" s="14" t="b">
        <f>OR(LCI_Table[[#This Row],[Data Source]]="All",LCI_Table[[#This Row],[Data Source]]=SelectedDataSource)</f>
        <v>0</v>
      </c>
      <c r="L1483" s="14" t="b">
        <f>TRUE</f>
        <v>1</v>
      </c>
      <c r="M1483" s="14" t="b">
        <f>(LCI_Table[[#This Row],[Dev Notes]]="Do not display")</f>
        <v>0</v>
      </c>
      <c r="N1483" s="14" t="b">
        <f>AND(LCI_Table[[#This Row],[Show Feedstock]:[Conditional]],NOT(LCI_Table[[#This Row],[Hide Row]]))</f>
        <v>0</v>
      </c>
      <c r="O1483" s="14" t="b">
        <f>LCI_Table[[#This Row],[GREET1 Name Range]]=""</f>
        <v>0</v>
      </c>
      <c r="P1483" s="14" t="s">
        <v>14</v>
      </c>
      <c r="Q1483" s="14" t="s">
        <v>842</v>
      </c>
      <c r="R1483" s="14" t="s">
        <v>141</v>
      </c>
      <c r="S1483" s="37" cm="1">
        <f t="array" aca="1" ref="S14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83" s="346" t="s">
        <v>1485</v>
      </c>
      <c r="U1483" s="347">
        <f ca="1">S1483/S1479*lb2g</f>
        <v>0</v>
      </c>
      <c r="V1483" s="347">
        <v>0</v>
      </c>
      <c r="W1483" s="347">
        <v>0</v>
      </c>
      <c r="X1483" s="14" t="s">
        <v>12</v>
      </c>
      <c r="Y1483" s="346" t="s">
        <v>413</v>
      </c>
      <c r="Z1483" s="14" t="str">
        <f>IF(ISBLANK(LCI_Table[[#This Row],[Notes for user]])," ",LCI_Table[[#This Row],[Notes for user]])</f>
        <v xml:space="preserve"> </v>
      </c>
      <c r="AA1483" s="14"/>
      <c r="AB1483" s="14"/>
      <c r="AC1483" s="346">
        <f ca="1">LCI_Table[[#This Row],[Default Calculated Value]]-LCI_Table[[#This Row],[Calculated Value]]</f>
        <v>0</v>
      </c>
    </row>
    <row r="1484" spans="1:29" x14ac:dyDescent="0.3">
      <c r="A14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WillowFTICAOMIT (GREET)(blank)_Willow_Farming_HerbicidesHerbicides</v>
      </c>
      <c r="B1484" s="14" t="s">
        <v>131</v>
      </c>
      <c r="C1484" s="14" t="s">
        <v>129</v>
      </c>
      <c r="D1484" s="14" t="s">
        <v>194</v>
      </c>
      <c r="E1484" s="48" t="s">
        <v>1335</v>
      </c>
      <c r="F1484" s="48" t="s">
        <v>31</v>
      </c>
      <c r="G1484" s="14" t="b">
        <f>OR(LCI_Table[[#This Row],[Feedstock]]="All",LCI_Table[[#This Row],[Feedstock]]=SelectedFeedstock)</f>
        <v>0</v>
      </c>
      <c r="H1484" s="14" t="b">
        <f>OR(LCI_Table[[#This Row],[Conversion]]="All",LCI_Table[[#This Row],[Conversion]]=SelectedConversion)</f>
        <v>0</v>
      </c>
      <c r="I1484" s="14" t="b">
        <f>OR(LCI_Table[[#This Row],[Data Set]]="all",LCI_Table[[#This Row],[Data Set]]=SelectedDataSet)</f>
        <v>0</v>
      </c>
      <c r="J1484" s="14" t="b">
        <f>OR(LCI_Table[[#This Row],[Technology]]="All",LCI_Table[[#This Row],[Technology]]=SelectedTechnology)</f>
        <v>1</v>
      </c>
      <c r="K1484" s="14" t="b">
        <f>OR(LCI_Table[[#This Row],[Data Source]]="All",LCI_Table[[#This Row],[Data Source]]=SelectedDataSource)</f>
        <v>0</v>
      </c>
      <c r="L1484" s="14" t="b">
        <f>TRUE</f>
        <v>1</v>
      </c>
      <c r="M1484" s="14" t="b">
        <f>(LCI_Table[[#This Row],[Dev Notes]]="Do not display")</f>
        <v>0</v>
      </c>
      <c r="N1484" s="14" t="b">
        <f>AND(LCI_Table[[#This Row],[Show Feedstock]:[Conditional]],NOT(LCI_Table[[#This Row],[Hide Row]]))</f>
        <v>0</v>
      </c>
      <c r="O1484" s="14" t="b">
        <f>LCI_Table[[#This Row],[GREET1 Name Range]]=""</f>
        <v>0</v>
      </c>
      <c r="P1484" s="14" t="s">
        <v>14</v>
      </c>
      <c r="Q1484" s="14" t="s">
        <v>848</v>
      </c>
      <c r="R1484" s="14" t="s">
        <v>356</v>
      </c>
      <c r="S1484" s="37" cm="1">
        <f t="array" aca="1" ref="S14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0.13439385238395665</v>
      </c>
      <c r="T1484" s="346" t="s">
        <v>1485</v>
      </c>
      <c r="U1484" s="347">
        <f ca="1">S1484/S1479*lb2g</f>
        <v>16.07694356764307</v>
      </c>
      <c r="V1484" s="347">
        <v>0.13439385238395665</v>
      </c>
      <c r="W1484" s="347">
        <v>16.07694356764307</v>
      </c>
      <c r="X1484" s="14" t="s">
        <v>12</v>
      </c>
      <c r="Y1484" s="346" t="s">
        <v>413</v>
      </c>
      <c r="Z1484" s="14" t="str">
        <f>IF(ISBLANK(LCI_Table[[#This Row],[Notes for user]])," ",LCI_Table[[#This Row],[Notes for user]])</f>
        <v xml:space="preserve"> </v>
      </c>
      <c r="AA1484" s="14"/>
      <c r="AB1484" s="14"/>
      <c r="AC1484" s="346">
        <f ca="1">LCI_Table[[#This Row],[Default Calculated Value]]-LCI_Table[[#This Row],[Calculated Value]]</f>
        <v>0</v>
      </c>
    </row>
    <row r="1485" spans="1:29" x14ac:dyDescent="0.3">
      <c r="A14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WillowFTICAOMIT (GREET)(blank)_Willow_Farming_InsecticideInsecticide</v>
      </c>
      <c r="B1485" s="14" t="s">
        <v>131</v>
      </c>
      <c r="C1485" s="14" t="s">
        <v>129</v>
      </c>
      <c r="D1485" s="14" t="s">
        <v>194</v>
      </c>
      <c r="E1485" s="48" t="s">
        <v>1335</v>
      </c>
      <c r="F1485" s="48" t="s">
        <v>31</v>
      </c>
      <c r="G1485" s="14" t="b">
        <f>OR(LCI_Table[[#This Row],[Feedstock]]="All",LCI_Table[[#This Row],[Feedstock]]=SelectedFeedstock)</f>
        <v>0</v>
      </c>
      <c r="H1485" s="14" t="b">
        <f>OR(LCI_Table[[#This Row],[Conversion]]="All",LCI_Table[[#This Row],[Conversion]]=SelectedConversion)</f>
        <v>0</v>
      </c>
      <c r="I1485" s="14" t="b">
        <f>OR(LCI_Table[[#This Row],[Data Set]]="all",LCI_Table[[#This Row],[Data Set]]=SelectedDataSet)</f>
        <v>0</v>
      </c>
      <c r="J1485" s="14" t="b">
        <f>OR(LCI_Table[[#This Row],[Technology]]="All",LCI_Table[[#This Row],[Technology]]=SelectedTechnology)</f>
        <v>1</v>
      </c>
      <c r="K1485" s="14" t="b">
        <f>OR(LCI_Table[[#This Row],[Data Source]]="All",LCI_Table[[#This Row],[Data Source]]=SelectedDataSource)</f>
        <v>0</v>
      </c>
      <c r="L1485" s="14" t="b">
        <f>TRUE</f>
        <v>1</v>
      </c>
      <c r="M1485" s="14" t="b">
        <f>(LCI_Table[[#This Row],[Dev Notes]]="Do not display")</f>
        <v>0</v>
      </c>
      <c r="N1485" s="14" t="b">
        <f>AND(LCI_Table[[#This Row],[Show Feedstock]:[Conditional]],NOT(LCI_Table[[#This Row],[Hide Row]]))</f>
        <v>0</v>
      </c>
      <c r="O1485" s="14" t="b">
        <f>LCI_Table[[#This Row],[GREET1 Name Range]]=""</f>
        <v>0</v>
      </c>
      <c r="P1485" s="14" t="s">
        <v>14</v>
      </c>
      <c r="Q1485" s="14" t="s">
        <v>849</v>
      </c>
      <c r="R1485" s="14" t="s">
        <v>114</v>
      </c>
      <c r="S1485" s="37" cm="1">
        <f t="array" aca="1" ref="S14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85" s="346" t="s">
        <v>1485</v>
      </c>
      <c r="U1485" s="347">
        <f ca="1">S1485/S1479*lb2g</f>
        <v>0</v>
      </c>
      <c r="V1485" s="347">
        <v>0</v>
      </c>
      <c r="W1485" s="347">
        <v>0</v>
      </c>
      <c r="X1485" s="14" t="s">
        <v>12</v>
      </c>
      <c r="Y1485" s="346" t="s">
        <v>413</v>
      </c>
      <c r="Z1485" s="14" t="str">
        <f>IF(ISBLANK(LCI_Table[[#This Row],[Notes for user]])," ",LCI_Table[[#This Row],[Notes for user]])</f>
        <v xml:space="preserve"> </v>
      </c>
      <c r="AA1485" s="14"/>
      <c r="AB1485" s="14"/>
      <c r="AC1485" s="346">
        <f ca="1">LCI_Table[[#This Row],[Default Calculated Value]]-LCI_Table[[#This Row],[Calculated Value]]</f>
        <v>0</v>
      </c>
    </row>
    <row r="1486" spans="1:29" x14ac:dyDescent="0.3">
      <c r="A14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WillowFTICAOMIT (GREET)(blank)_Willow_Farming_Residual_oilResidual oil</v>
      </c>
      <c r="B1486" s="14" t="s">
        <v>131</v>
      </c>
      <c r="C1486" s="14" t="s">
        <v>129</v>
      </c>
      <c r="D1486" s="14" t="s">
        <v>194</v>
      </c>
      <c r="E1486" s="48" t="s">
        <v>1335</v>
      </c>
      <c r="F1486" s="48" t="s">
        <v>31</v>
      </c>
      <c r="G1486" s="14" t="b">
        <f>OR(LCI_Table[[#This Row],[Feedstock]]="All",LCI_Table[[#This Row],[Feedstock]]=SelectedFeedstock)</f>
        <v>0</v>
      </c>
      <c r="H1486" s="14" t="b">
        <f>OR(LCI_Table[[#This Row],[Conversion]]="All",LCI_Table[[#This Row],[Conversion]]=SelectedConversion)</f>
        <v>0</v>
      </c>
      <c r="I1486" s="14" t="b">
        <f>OR(LCI_Table[[#This Row],[Data Set]]="all",LCI_Table[[#This Row],[Data Set]]=SelectedDataSet)</f>
        <v>0</v>
      </c>
      <c r="J1486" s="14" t="b">
        <f>OR(LCI_Table[[#This Row],[Technology]]="All",LCI_Table[[#This Row],[Technology]]=SelectedTechnology)</f>
        <v>1</v>
      </c>
      <c r="K1486" s="14" t="b">
        <f>OR(LCI_Table[[#This Row],[Data Source]]="All",LCI_Table[[#This Row],[Data Source]]=SelectedDataSource)</f>
        <v>0</v>
      </c>
      <c r="L1486" s="14" t="b">
        <f>TRUE</f>
        <v>1</v>
      </c>
      <c r="M1486" s="14" t="b">
        <f>(LCI_Table[[#This Row],[Dev Notes]]="Do not display")</f>
        <v>0</v>
      </c>
      <c r="N1486" s="14" t="b">
        <f>AND(LCI_Table[[#This Row],[Show Feedstock]:[Conditional]],NOT(LCI_Table[[#This Row],[Hide Row]]))</f>
        <v>0</v>
      </c>
      <c r="O1486" s="14" t="b">
        <f>LCI_Table[[#This Row],[GREET1 Name Range]]=""</f>
        <v>0</v>
      </c>
      <c r="P1486" s="14" t="s">
        <v>14</v>
      </c>
      <c r="Q1486" s="14" t="s">
        <v>855</v>
      </c>
      <c r="R1486" s="14" t="s">
        <v>115</v>
      </c>
      <c r="S1486" s="37" cm="1">
        <f t="array" aca="1" ref="S14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86" s="346" t="s">
        <v>1484</v>
      </c>
      <c r="U1486" s="347">
        <f ca="1">S1486*Fuel_Specs!$B$28/S1479</f>
        <v>0</v>
      </c>
      <c r="V1486" s="347">
        <v>0</v>
      </c>
      <c r="W1486" s="347">
        <v>0</v>
      </c>
      <c r="X1486" s="14" t="s">
        <v>5</v>
      </c>
      <c r="Y1486" s="346" t="s">
        <v>413</v>
      </c>
      <c r="Z1486" s="14" t="str">
        <f>IF(ISBLANK(LCI_Table[[#This Row],[Notes for user]])," ",LCI_Table[[#This Row],[Notes for user]])</f>
        <v xml:space="preserve"> </v>
      </c>
      <c r="AA1486" s="14"/>
      <c r="AB1486" s="14"/>
      <c r="AC1486" s="346">
        <f ca="1">LCI_Table[[#This Row],[Default Calculated Value]]-LCI_Table[[#This Row],[Calculated Value]]</f>
        <v>0</v>
      </c>
    </row>
    <row r="1487" spans="1:29" x14ac:dyDescent="0.3">
      <c r="A14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WillowFTICAOMIT (GREET)(blank)_Willow_Farming_DieselDiesel</v>
      </c>
      <c r="B1487" s="14" t="s">
        <v>131</v>
      </c>
      <c r="C1487" s="14" t="s">
        <v>129</v>
      </c>
      <c r="D1487" s="14" t="s">
        <v>194</v>
      </c>
      <c r="E1487" s="48" t="s">
        <v>1335</v>
      </c>
      <c r="F1487" s="48" t="s">
        <v>31</v>
      </c>
      <c r="G1487" s="14" t="b">
        <f>OR(LCI_Table[[#This Row],[Feedstock]]="All",LCI_Table[[#This Row],[Feedstock]]=SelectedFeedstock)</f>
        <v>0</v>
      </c>
      <c r="H1487" s="14" t="b">
        <f>OR(LCI_Table[[#This Row],[Conversion]]="All",LCI_Table[[#This Row],[Conversion]]=SelectedConversion)</f>
        <v>0</v>
      </c>
      <c r="I1487" s="14" t="b">
        <f>OR(LCI_Table[[#This Row],[Data Set]]="all",LCI_Table[[#This Row],[Data Set]]=SelectedDataSet)</f>
        <v>0</v>
      </c>
      <c r="J1487" s="14" t="b">
        <f>OR(LCI_Table[[#This Row],[Technology]]="All",LCI_Table[[#This Row],[Technology]]=SelectedTechnology)</f>
        <v>1</v>
      </c>
      <c r="K1487" s="14" t="b">
        <f>OR(LCI_Table[[#This Row],[Data Source]]="All",LCI_Table[[#This Row],[Data Source]]=SelectedDataSource)</f>
        <v>0</v>
      </c>
      <c r="L1487" s="14" t="b">
        <f>TRUE</f>
        <v>1</v>
      </c>
      <c r="M1487" s="14" t="b">
        <f>(LCI_Table[[#This Row],[Dev Notes]]="Do not display")</f>
        <v>0</v>
      </c>
      <c r="N1487" s="14" t="b">
        <f>AND(LCI_Table[[#This Row],[Show Feedstock]:[Conditional]],NOT(LCI_Table[[#This Row],[Hide Row]]))</f>
        <v>0</v>
      </c>
      <c r="O1487" s="14" t="b">
        <f>LCI_Table[[#This Row],[GREET1 Name Range]]=""</f>
        <v>0</v>
      </c>
      <c r="P1487" s="14" t="s">
        <v>14</v>
      </c>
      <c r="Q1487" s="14" t="s">
        <v>844</v>
      </c>
      <c r="R1487" s="14" t="s">
        <v>106</v>
      </c>
      <c r="S1487" s="37" cm="1">
        <f t="array" aca="1" ref="S14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5.4733314117001539</v>
      </c>
      <c r="T1487" s="346" t="s">
        <v>1484</v>
      </c>
      <c r="U1487" s="347">
        <f ca="1">S1487*Fuel_Specs!$B$19/S1479</f>
        <v>185414.71496257183</v>
      </c>
      <c r="V1487" s="347">
        <v>5.4733314117001539</v>
      </c>
      <c r="W1487" s="347">
        <v>185414.71496257183</v>
      </c>
      <c r="X1487" s="14" t="s">
        <v>5</v>
      </c>
      <c r="Y1487" s="346" t="s">
        <v>413</v>
      </c>
      <c r="Z1487" s="14" t="str">
        <f>IF(ISBLANK(LCI_Table[[#This Row],[Notes for user]])," ",LCI_Table[[#This Row],[Notes for user]])</f>
        <v xml:space="preserve"> </v>
      </c>
      <c r="AA1487" s="14"/>
      <c r="AB1487" s="14"/>
      <c r="AC1487" s="346">
        <f ca="1">LCI_Table[[#This Row],[Default Calculated Value]]-LCI_Table[[#This Row],[Calculated Value]]</f>
        <v>0</v>
      </c>
    </row>
    <row r="1488" spans="1:29" x14ac:dyDescent="0.3">
      <c r="A14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WillowFTICAOMIT (GREET)(blank)_Willow_Farming_GasolineGasoline</v>
      </c>
      <c r="B1488" s="14" t="s">
        <v>131</v>
      </c>
      <c r="C1488" s="14" t="s">
        <v>129</v>
      </c>
      <c r="D1488" s="14" t="s">
        <v>194</v>
      </c>
      <c r="E1488" s="48" t="s">
        <v>1335</v>
      </c>
      <c r="F1488" s="48" t="s">
        <v>31</v>
      </c>
      <c r="G1488" s="14" t="b">
        <f>OR(LCI_Table[[#This Row],[Feedstock]]="All",LCI_Table[[#This Row],[Feedstock]]=SelectedFeedstock)</f>
        <v>0</v>
      </c>
      <c r="H1488" s="14" t="b">
        <f>OR(LCI_Table[[#This Row],[Conversion]]="All",LCI_Table[[#This Row],[Conversion]]=SelectedConversion)</f>
        <v>0</v>
      </c>
      <c r="I1488" s="14" t="b">
        <f>OR(LCI_Table[[#This Row],[Data Set]]="all",LCI_Table[[#This Row],[Data Set]]=SelectedDataSet)</f>
        <v>0</v>
      </c>
      <c r="J1488" s="14" t="b">
        <f>OR(LCI_Table[[#This Row],[Technology]]="All",LCI_Table[[#This Row],[Technology]]=SelectedTechnology)</f>
        <v>1</v>
      </c>
      <c r="K1488" s="14" t="b">
        <f>OR(LCI_Table[[#This Row],[Data Source]]="All",LCI_Table[[#This Row],[Data Source]]=SelectedDataSource)</f>
        <v>0</v>
      </c>
      <c r="L1488" s="14" t="b">
        <f>TRUE</f>
        <v>1</v>
      </c>
      <c r="M1488" s="14" t="b">
        <f>(LCI_Table[[#This Row],[Dev Notes]]="Do not display")</f>
        <v>0</v>
      </c>
      <c r="N1488" s="14" t="b">
        <f>AND(LCI_Table[[#This Row],[Show Feedstock]:[Conditional]],NOT(LCI_Table[[#This Row],[Hide Row]]))</f>
        <v>0</v>
      </c>
      <c r="O1488" s="14" t="b">
        <f>LCI_Table[[#This Row],[GREET1 Name Range]]=""</f>
        <v>0</v>
      </c>
      <c r="P1488" s="14" t="s">
        <v>14</v>
      </c>
      <c r="Q1488" s="14" t="s">
        <v>847</v>
      </c>
      <c r="R1488" s="14" t="s">
        <v>107</v>
      </c>
      <c r="S1488" s="37" cm="1">
        <f t="array" aca="1" ref="S14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88" s="346" t="s">
        <v>1484</v>
      </c>
      <c r="U1488" s="347">
        <f ca="1">S1488*Fuel_Specs!$B$15/S1479</f>
        <v>0</v>
      </c>
      <c r="V1488" s="347">
        <v>0</v>
      </c>
      <c r="W1488" s="347">
        <v>0</v>
      </c>
      <c r="X1488" s="14" t="s">
        <v>5</v>
      </c>
      <c r="Y1488" s="346" t="s">
        <v>413</v>
      </c>
      <c r="Z1488" s="14" t="str">
        <f>IF(ISBLANK(LCI_Table[[#This Row],[Notes for user]])," ",LCI_Table[[#This Row],[Notes for user]])</f>
        <v xml:space="preserve"> </v>
      </c>
      <c r="AA1488" s="14"/>
      <c r="AB1488" s="14"/>
      <c r="AC1488" s="346">
        <f ca="1">LCI_Table[[#This Row],[Default Calculated Value]]-LCI_Table[[#This Row],[Calculated Value]]</f>
        <v>0</v>
      </c>
    </row>
    <row r="1489" spans="1:29" x14ac:dyDescent="0.3">
      <c r="A14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WillowFTICAOMIT (GREET)(blank)_Willow_Farming_Natural_gasNatural gas</v>
      </c>
      <c r="B1489" s="14" t="s">
        <v>131</v>
      </c>
      <c r="C1489" s="14" t="s">
        <v>129</v>
      </c>
      <c r="D1489" s="14" t="s">
        <v>194</v>
      </c>
      <c r="E1489" s="48" t="s">
        <v>1335</v>
      </c>
      <c r="F1489" s="48" t="s">
        <v>31</v>
      </c>
      <c r="G1489" s="14" t="b">
        <f>OR(LCI_Table[[#This Row],[Feedstock]]="All",LCI_Table[[#This Row],[Feedstock]]=SelectedFeedstock)</f>
        <v>0</v>
      </c>
      <c r="H1489" s="14" t="b">
        <f>OR(LCI_Table[[#This Row],[Conversion]]="All",LCI_Table[[#This Row],[Conversion]]=SelectedConversion)</f>
        <v>0</v>
      </c>
      <c r="I1489" s="14" t="b">
        <f>OR(LCI_Table[[#This Row],[Data Set]]="all",LCI_Table[[#This Row],[Data Set]]=SelectedDataSet)</f>
        <v>0</v>
      </c>
      <c r="J1489" s="14" t="b">
        <f>OR(LCI_Table[[#This Row],[Technology]]="All",LCI_Table[[#This Row],[Technology]]=SelectedTechnology)</f>
        <v>1</v>
      </c>
      <c r="K1489" s="14" t="b">
        <f>OR(LCI_Table[[#This Row],[Data Source]]="All",LCI_Table[[#This Row],[Data Source]]=SelectedDataSource)</f>
        <v>0</v>
      </c>
      <c r="L1489" s="14" t="b">
        <f>TRUE</f>
        <v>1</v>
      </c>
      <c r="M1489" s="14" t="b">
        <f>(LCI_Table[[#This Row],[Dev Notes]]="Do not display")</f>
        <v>0</v>
      </c>
      <c r="N1489" s="14" t="b">
        <f>AND(LCI_Table[[#This Row],[Show Feedstock]:[Conditional]],NOT(LCI_Table[[#This Row],[Hide Row]]))</f>
        <v>0</v>
      </c>
      <c r="O1489" s="14" t="b">
        <f>LCI_Table[[#This Row],[GREET1 Name Range]]=""</f>
        <v>0</v>
      </c>
      <c r="P1489" s="14" t="s">
        <v>14</v>
      </c>
      <c r="Q1489" s="14" t="s">
        <v>852</v>
      </c>
      <c r="R1489" s="14" t="s">
        <v>108</v>
      </c>
      <c r="S1489" s="37" cm="1">
        <f t="array" aca="1" ref="S14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89" s="346" t="s">
        <v>2109</v>
      </c>
      <c r="U1489" s="347">
        <f ca="1">S1489*Fuel_Specs!$B$79/S1479</f>
        <v>0</v>
      </c>
      <c r="V1489" s="347">
        <v>0</v>
      </c>
      <c r="W1489" s="347">
        <v>0</v>
      </c>
      <c r="X1489" s="14" t="s">
        <v>351</v>
      </c>
      <c r="Y1489" s="346" t="s">
        <v>413</v>
      </c>
      <c r="Z1489" s="14" t="str">
        <f>IF(ISBLANK(LCI_Table[[#This Row],[Notes for user]])," ",LCI_Table[[#This Row],[Notes for user]])</f>
        <v xml:space="preserve"> </v>
      </c>
      <c r="AA1489" s="14"/>
      <c r="AB1489" s="14"/>
      <c r="AC1489" s="346">
        <f ca="1">LCI_Table[[#This Row],[Default Calculated Value]]-LCI_Table[[#This Row],[Calculated Value]]</f>
        <v>0</v>
      </c>
    </row>
    <row r="1490" spans="1:29" x14ac:dyDescent="0.3">
      <c r="A14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WillowFTICAOMIT (GREET)(blank)_Willow_Farming_CoalCoal</v>
      </c>
      <c r="B1490" s="14" t="s">
        <v>131</v>
      </c>
      <c r="C1490" s="14" t="s">
        <v>129</v>
      </c>
      <c r="D1490" s="14" t="s">
        <v>194</v>
      </c>
      <c r="E1490" s="48" t="s">
        <v>1335</v>
      </c>
      <c r="F1490" s="48" t="s">
        <v>31</v>
      </c>
      <c r="G1490" s="14" t="b">
        <f>OR(LCI_Table[[#This Row],[Feedstock]]="All",LCI_Table[[#This Row],[Feedstock]]=SelectedFeedstock)</f>
        <v>0</v>
      </c>
      <c r="H1490" s="14" t="b">
        <f>OR(LCI_Table[[#This Row],[Conversion]]="All",LCI_Table[[#This Row],[Conversion]]=SelectedConversion)</f>
        <v>0</v>
      </c>
      <c r="I1490" s="14" t="b">
        <f>OR(LCI_Table[[#This Row],[Data Set]]="all",LCI_Table[[#This Row],[Data Set]]=SelectedDataSet)</f>
        <v>0</v>
      </c>
      <c r="J1490" s="14" t="b">
        <f>OR(LCI_Table[[#This Row],[Technology]]="All",LCI_Table[[#This Row],[Technology]]=SelectedTechnology)</f>
        <v>1</v>
      </c>
      <c r="K1490" s="14" t="b">
        <f>OR(LCI_Table[[#This Row],[Data Source]]="All",LCI_Table[[#This Row],[Data Source]]=SelectedDataSource)</f>
        <v>0</v>
      </c>
      <c r="L1490" s="14" t="b">
        <f>TRUE</f>
        <v>1</v>
      </c>
      <c r="M1490" s="14" t="b">
        <f>(LCI_Table[[#This Row],[Dev Notes]]="Do not display")</f>
        <v>0</v>
      </c>
      <c r="N1490" s="14" t="b">
        <f>AND(LCI_Table[[#This Row],[Show Feedstock]:[Conditional]],NOT(LCI_Table[[#This Row],[Hide Row]]))</f>
        <v>0</v>
      </c>
      <c r="O1490" s="14" t="b">
        <f>LCI_Table[[#This Row],[GREET1 Name Range]]=""</f>
        <v>0</v>
      </c>
      <c r="P1490" s="14" t="s">
        <v>14</v>
      </c>
      <c r="Q1490" s="14" t="s">
        <v>843</v>
      </c>
      <c r="R1490" s="14" t="s">
        <v>9</v>
      </c>
      <c r="S1490" s="37" cm="1">
        <f t="array" aca="1" ref="S14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90" s="346" t="s">
        <v>2110</v>
      </c>
      <c r="U1490" s="347">
        <f ca="1">S1490/S1479</f>
        <v>0</v>
      </c>
      <c r="V1490" s="347">
        <v>0</v>
      </c>
      <c r="W1490" s="347">
        <v>0</v>
      </c>
      <c r="X1490" s="14" t="s">
        <v>117</v>
      </c>
      <c r="Y1490" s="346" t="s">
        <v>413</v>
      </c>
      <c r="Z1490" s="14" t="str">
        <f>IF(ISBLANK(LCI_Table[[#This Row],[Notes for user]])," ",LCI_Table[[#This Row],[Notes for user]])</f>
        <v xml:space="preserve"> </v>
      </c>
      <c r="AA1490" s="14"/>
      <c r="AB1490" s="14"/>
      <c r="AC1490" s="346">
        <f ca="1">LCI_Table[[#This Row],[Default Calculated Value]]-LCI_Table[[#This Row],[Calculated Value]]</f>
        <v>0</v>
      </c>
    </row>
    <row r="1491" spans="1:29" x14ac:dyDescent="0.3">
      <c r="A14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WillowFTICAOMIT (GREET)(blank)_Willow_Farming_LPGLPG</v>
      </c>
      <c r="B1491" s="14" t="s">
        <v>131</v>
      </c>
      <c r="C1491" s="14" t="s">
        <v>129</v>
      </c>
      <c r="D1491" s="14" t="s">
        <v>194</v>
      </c>
      <c r="E1491" s="48" t="s">
        <v>1335</v>
      </c>
      <c r="F1491" s="48" t="s">
        <v>31</v>
      </c>
      <c r="G1491" s="14" t="b">
        <f>OR(LCI_Table[[#This Row],[Feedstock]]="All",LCI_Table[[#This Row],[Feedstock]]=SelectedFeedstock)</f>
        <v>0</v>
      </c>
      <c r="H1491" s="14" t="b">
        <f>OR(LCI_Table[[#This Row],[Conversion]]="All",LCI_Table[[#This Row],[Conversion]]=SelectedConversion)</f>
        <v>0</v>
      </c>
      <c r="I1491" s="14" t="b">
        <f>OR(LCI_Table[[#This Row],[Data Set]]="all",LCI_Table[[#This Row],[Data Set]]=SelectedDataSet)</f>
        <v>0</v>
      </c>
      <c r="J1491" s="14" t="b">
        <f>OR(LCI_Table[[#This Row],[Technology]]="All",LCI_Table[[#This Row],[Technology]]=SelectedTechnology)</f>
        <v>1</v>
      </c>
      <c r="K1491" s="14" t="b">
        <f>OR(LCI_Table[[#This Row],[Data Source]]="All",LCI_Table[[#This Row],[Data Source]]=SelectedDataSource)</f>
        <v>0</v>
      </c>
      <c r="L1491" s="14" t="b">
        <f>TRUE</f>
        <v>1</v>
      </c>
      <c r="M1491" s="14" t="b">
        <f>(LCI_Table[[#This Row],[Dev Notes]]="Do not display")</f>
        <v>0</v>
      </c>
      <c r="N1491" s="14" t="b">
        <f>AND(LCI_Table[[#This Row],[Show Feedstock]:[Conditional]],NOT(LCI_Table[[#This Row],[Hide Row]]))</f>
        <v>0</v>
      </c>
      <c r="O1491" s="14" t="b">
        <f>LCI_Table[[#This Row],[GREET1 Name Range]]=""</f>
        <v>0</v>
      </c>
      <c r="P1491" s="14" t="s">
        <v>14</v>
      </c>
      <c r="Q1491" s="14" t="s">
        <v>851</v>
      </c>
      <c r="R1491" s="14" t="s">
        <v>109</v>
      </c>
      <c r="S1491" s="37" cm="1">
        <f t="array" aca="1" ref="S14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91" s="346" t="s">
        <v>1484</v>
      </c>
      <c r="U1491" s="347">
        <f ca="1">S1491*Fuel_Specs!$B$35/S1479</f>
        <v>0</v>
      </c>
      <c r="V1491" s="347">
        <v>0</v>
      </c>
      <c r="W1491" s="347">
        <v>0</v>
      </c>
      <c r="X1491" s="14" t="s">
        <v>5</v>
      </c>
      <c r="Y1491" s="346" t="s">
        <v>413</v>
      </c>
      <c r="Z1491" s="14" t="str">
        <f>IF(ISBLANK(LCI_Table[[#This Row],[Notes for user]])," ",LCI_Table[[#This Row],[Notes for user]])</f>
        <v xml:space="preserve"> </v>
      </c>
      <c r="AA1491" s="14"/>
      <c r="AB1491" s="14"/>
      <c r="AC1491" s="346">
        <f ca="1">LCI_Table[[#This Row],[Default Calculated Value]]-LCI_Table[[#This Row],[Calculated Value]]</f>
        <v>0</v>
      </c>
    </row>
    <row r="1492" spans="1:29" x14ac:dyDescent="0.3">
      <c r="A14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WillowFTICAOMIT (GREET)(blank)_Willow_Farming_Forest_residueForest residue</v>
      </c>
      <c r="B1492" s="14" t="s">
        <v>131</v>
      </c>
      <c r="C1492" s="14" t="s">
        <v>129</v>
      </c>
      <c r="D1492" s="14" t="s">
        <v>194</v>
      </c>
      <c r="E1492" s="48" t="s">
        <v>1335</v>
      </c>
      <c r="F1492" s="48" t="s">
        <v>31</v>
      </c>
      <c r="G1492" s="14" t="b">
        <f>OR(LCI_Table[[#This Row],[Feedstock]]="All",LCI_Table[[#This Row],[Feedstock]]=SelectedFeedstock)</f>
        <v>0</v>
      </c>
      <c r="H1492" s="14" t="b">
        <f>OR(LCI_Table[[#This Row],[Conversion]]="All",LCI_Table[[#This Row],[Conversion]]=SelectedConversion)</f>
        <v>0</v>
      </c>
      <c r="I1492" s="14" t="b">
        <f>OR(LCI_Table[[#This Row],[Data Set]]="all",LCI_Table[[#This Row],[Data Set]]=SelectedDataSet)</f>
        <v>0</v>
      </c>
      <c r="J1492" s="14" t="b">
        <f>OR(LCI_Table[[#This Row],[Technology]]="All",LCI_Table[[#This Row],[Technology]]=SelectedTechnology)</f>
        <v>1</v>
      </c>
      <c r="K1492" s="14" t="b">
        <f>OR(LCI_Table[[#This Row],[Data Source]]="All",LCI_Table[[#This Row],[Data Source]]=SelectedDataSource)</f>
        <v>0</v>
      </c>
      <c r="L1492" s="14" t="b">
        <f>TRUE</f>
        <v>1</v>
      </c>
      <c r="M1492" s="14" t="b">
        <f>(LCI_Table[[#This Row],[Dev Notes]]="Do not display")</f>
        <v>0</v>
      </c>
      <c r="N1492" s="14" t="b">
        <f>AND(LCI_Table[[#This Row],[Show Feedstock]:[Conditional]],NOT(LCI_Table[[#This Row],[Hide Row]]))</f>
        <v>0</v>
      </c>
      <c r="O1492" s="14" t="b">
        <f>LCI_Table[[#This Row],[GREET1 Name Range]]=""</f>
        <v>0</v>
      </c>
      <c r="P1492" s="14" t="s">
        <v>14</v>
      </c>
      <c r="Q1492" s="14" t="s">
        <v>846</v>
      </c>
      <c r="R1492" s="14" t="s">
        <v>316</v>
      </c>
      <c r="S1492" s="37" cm="1">
        <f t="array" aca="1" ref="S14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92" s="346" t="s">
        <v>1485</v>
      </c>
      <c r="U1492" s="347">
        <f ca="1">S1492*Fuel_Specs!$B$100*ton2lb/S1479</f>
        <v>0</v>
      </c>
      <c r="V1492" s="347">
        <v>0</v>
      </c>
      <c r="W1492" s="347">
        <v>0</v>
      </c>
      <c r="X1492" s="14" t="s">
        <v>12</v>
      </c>
      <c r="Y1492" s="346" t="s">
        <v>413</v>
      </c>
      <c r="Z1492" s="14" t="str">
        <f>IF(ISBLANK(LCI_Table[[#This Row],[Notes for user]])," ",LCI_Table[[#This Row],[Notes for user]])</f>
        <v xml:space="preserve"> </v>
      </c>
      <c r="AA1492" s="14"/>
      <c r="AB1492" s="14"/>
      <c r="AC1492" s="346">
        <f ca="1">LCI_Table[[#This Row],[Default Calculated Value]]-LCI_Table[[#This Row],[Calculated Value]]</f>
        <v>0</v>
      </c>
    </row>
    <row r="1493" spans="1:29" x14ac:dyDescent="0.3">
      <c r="A14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WillowFTICAOMIT (GREET)(blank)_Willow_Farming_ElectricityElectricity</v>
      </c>
      <c r="B1493" s="14" t="s">
        <v>131</v>
      </c>
      <c r="C1493" s="14" t="s">
        <v>129</v>
      </c>
      <c r="D1493" s="14" t="s">
        <v>194</v>
      </c>
      <c r="E1493" s="48" t="s">
        <v>1335</v>
      </c>
      <c r="F1493" s="48" t="s">
        <v>31</v>
      </c>
      <c r="G1493" s="14" t="b">
        <f>OR(LCI_Table[[#This Row],[Feedstock]]="All",LCI_Table[[#This Row],[Feedstock]]=SelectedFeedstock)</f>
        <v>0</v>
      </c>
      <c r="H1493" s="14" t="b">
        <f>OR(LCI_Table[[#This Row],[Conversion]]="All",LCI_Table[[#This Row],[Conversion]]=SelectedConversion)</f>
        <v>0</v>
      </c>
      <c r="I1493" s="14" t="b">
        <f>OR(LCI_Table[[#This Row],[Data Set]]="all",LCI_Table[[#This Row],[Data Set]]=SelectedDataSet)</f>
        <v>0</v>
      </c>
      <c r="J1493" s="14" t="b">
        <f>OR(LCI_Table[[#This Row],[Technology]]="All",LCI_Table[[#This Row],[Technology]]=SelectedTechnology)</f>
        <v>1</v>
      </c>
      <c r="K1493" s="14" t="b">
        <f>OR(LCI_Table[[#This Row],[Data Source]]="All",LCI_Table[[#This Row],[Data Source]]=SelectedDataSource)</f>
        <v>0</v>
      </c>
      <c r="L1493" s="14" t="b">
        <f>TRUE</f>
        <v>1</v>
      </c>
      <c r="M1493" s="14" t="b">
        <f>(LCI_Table[[#This Row],[Dev Notes]]="Do not display")</f>
        <v>0</v>
      </c>
      <c r="N1493" s="14" t="b">
        <f>AND(LCI_Table[[#This Row],[Show Feedstock]:[Conditional]],NOT(LCI_Table[[#This Row],[Hide Row]]))</f>
        <v>0</v>
      </c>
      <c r="O1493" s="14" t="b">
        <f>LCI_Table[[#This Row],[GREET1 Name Range]]=""</f>
        <v>0</v>
      </c>
      <c r="P1493" s="14" t="s">
        <v>14</v>
      </c>
      <c r="Q1493" s="14" t="s">
        <v>845</v>
      </c>
      <c r="R1493" s="348" t="s">
        <v>110</v>
      </c>
      <c r="S1493" s="37" cm="1">
        <f t="array" aca="1" ref="S14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0.4606762524059696</v>
      </c>
      <c r="T1493" s="346" t="s">
        <v>1561</v>
      </c>
      <c r="U1493" s="347">
        <f ca="1">S1493/BTU2kWh/S1479</f>
        <v>414.55410478019706</v>
      </c>
      <c r="V1493" s="347">
        <v>0.4606762524059696</v>
      </c>
      <c r="W1493" s="347">
        <v>414.55410478019706</v>
      </c>
      <c r="X1493" s="14" t="s">
        <v>51</v>
      </c>
      <c r="Y1493" s="346" t="s">
        <v>413</v>
      </c>
      <c r="Z1493" s="14" t="str">
        <f>IF(ISBLANK(LCI_Table[[#This Row],[Notes for user]])," ",LCI_Table[[#This Row],[Notes for user]])</f>
        <v xml:space="preserve"> </v>
      </c>
      <c r="AA1493" s="14"/>
      <c r="AB1493" s="14"/>
      <c r="AC1493" s="346">
        <f ca="1">LCI_Table[[#This Row],[Default Calculated Value]]-LCI_Table[[#This Row],[Calculated Value]]</f>
        <v>0</v>
      </c>
    </row>
    <row r="1494" spans="1:29" x14ac:dyDescent="0.3">
      <c r="A14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WillowFTICAOMIT (GREET)(blank)_Willow_FT_efficiencyWillow</v>
      </c>
      <c r="B1494" s="14" t="s">
        <v>131</v>
      </c>
      <c r="C1494" s="14" t="s">
        <v>129</v>
      </c>
      <c r="D1494" s="14" t="s">
        <v>194</v>
      </c>
      <c r="E1494" s="48" t="s">
        <v>1335</v>
      </c>
      <c r="F1494" s="48" t="s">
        <v>31</v>
      </c>
      <c r="G1494" s="14" t="b">
        <f>OR(LCI_Table[[#This Row],[Feedstock]]="All",LCI_Table[[#This Row],[Feedstock]]=SelectedFeedstock)</f>
        <v>0</v>
      </c>
      <c r="H1494" s="14" t="b">
        <f>OR(LCI_Table[[#This Row],[Conversion]]="All",LCI_Table[[#This Row],[Conversion]]=SelectedConversion)</f>
        <v>0</v>
      </c>
      <c r="I1494" s="14" t="b">
        <f>OR(LCI_Table[[#This Row],[Data Set]]="all",LCI_Table[[#This Row],[Data Set]]=SelectedDataSet)</f>
        <v>0</v>
      </c>
      <c r="J1494" s="14" t="b">
        <f>OR(LCI_Table[[#This Row],[Technology]]="All",LCI_Table[[#This Row],[Technology]]=SelectedTechnology)</f>
        <v>1</v>
      </c>
      <c r="K1494" s="14" t="b">
        <f>OR(LCI_Table[[#This Row],[Data Source]]="All",LCI_Table[[#This Row],[Data Source]]=SelectedDataSource)</f>
        <v>0</v>
      </c>
      <c r="L1494" s="14" t="b">
        <f>TRUE</f>
        <v>1</v>
      </c>
      <c r="M1494" s="14" t="b">
        <f>(LCI_Table[[#This Row],[Dev Notes]]="Do not display")</f>
        <v>0</v>
      </c>
      <c r="N1494" s="14" t="b">
        <f>AND(LCI_Table[[#This Row],[Show Feedstock]:[Conditional]],NOT(LCI_Table[[#This Row],[Hide Row]]))</f>
        <v>0</v>
      </c>
      <c r="O1494" s="14" t="b">
        <f>LCI_Table[[#This Row],[GREET1 Name Range]]=""</f>
        <v>0</v>
      </c>
      <c r="P1494" s="14" t="s">
        <v>1448</v>
      </c>
      <c r="Q1494" s="14" t="s">
        <v>939</v>
      </c>
      <c r="R1494" s="14" t="s">
        <v>131</v>
      </c>
      <c r="S1494" s="37" cm="1">
        <f t="array" aca="1" ref="S14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0.12990387113535984</v>
      </c>
      <c r="T1494" s="346" t="s">
        <v>2125</v>
      </c>
      <c r="U1494" s="347">
        <f ca="1">1/(S1494*Fuel_Specs!$B$95*BTU2mmBTU)</f>
        <v>0.5</v>
      </c>
      <c r="V1494" s="347">
        <v>0.12990387113535984</v>
      </c>
      <c r="W1494" s="347">
        <v>0.5</v>
      </c>
      <c r="X1494" s="37" t="s">
        <v>55</v>
      </c>
      <c r="Y1494" s="346" t="s">
        <v>416</v>
      </c>
      <c r="Z1494" s="14" t="str">
        <f>IF(ISBLANK(LCI_Table[[#This Row],[Notes for user]])," ",LCI_Table[[#This Row],[Notes for user]])</f>
        <v xml:space="preserve"> </v>
      </c>
      <c r="AA1494" s="14"/>
      <c r="AB1494" s="14"/>
      <c r="AC1494" s="346">
        <f ca="1">LCI_Table[[#This Row],[Default Calculated Value]]-LCI_Table[[#This Row],[Calculated Value]]</f>
        <v>0</v>
      </c>
    </row>
    <row r="1495" spans="1:29" x14ac:dyDescent="0.3">
      <c r="A14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dash_WillowFTICAOJRC (GREET)(blank)_Yield_Farming</v>
      </c>
      <c r="B1495" s="48" t="s">
        <v>131</v>
      </c>
      <c r="C1495" s="48" t="s">
        <v>129</v>
      </c>
      <c r="D1495" s="48" t="s">
        <v>194</v>
      </c>
      <c r="E1495" s="48" t="s">
        <v>1338</v>
      </c>
      <c r="F1495" s="48" t="s">
        <v>31</v>
      </c>
      <c r="G1495" s="14" t="b">
        <f>OR(LCI_Table[[#This Row],[Feedstock]]="All",LCI_Table[[#This Row],[Feedstock]]=SelectedFeedstock)</f>
        <v>0</v>
      </c>
      <c r="H1495" s="14" t="b">
        <f>OR(LCI_Table[[#This Row],[Conversion]]="All",LCI_Table[[#This Row],[Conversion]]=SelectedConversion)</f>
        <v>0</v>
      </c>
      <c r="I1495" s="14" t="b">
        <f>OR(LCI_Table[[#This Row],[Data Set]]="all",LCI_Table[[#This Row],[Data Set]]=SelectedDataSet)</f>
        <v>0</v>
      </c>
      <c r="J1495" s="14" t="b">
        <f>OR(LCI_Table[[#This Row],[Technology]]="All",LCI_Table[[#This Row],[Technology]]=SelectedTechnology)</f>
        <v>1</v>
      </c>
      <c r="K1495" s="14" t="b">
        <f>OR(LCI_Table[[#This Row],[Data Source]]="All",LCI_Table[[#This Row],[Data Source]]=SelectedDataSource)</f>
        <v>0</v>
      </c>
      <c r="L1495" s="14" t="b">
        <f>TRUE</f>
        <v>1</v>
      </c>
      <c r="M1495" s="14" t="b">
        <f>(LCI_Table[[#This Row],[Dev Notes]]="Do not display")</f>
        <v>0</v>
      </c>
      <c r="N1495" s="14" t="b">
        <f>AND(LCI_Table[[#This Row],[Show Feedstock]:[Conditional]],NOT(LCI_Table[[#This Row],[Hide Row]]))</f>
        <v>0</v>
      </c>
      <c r="O1495" s="14" t="b">
        <f>LCI_Table[[#This Row],[GREET1 Name Range]]=""</f>
        <v>1</v>
      </c>
      <c r="P1495" s="48" t="s">
        <v>14</v>
      </c>
      <c r="Q1495" s="14" t="s">
        <v>361</v>
      </c>
      <c r="R1495" s="48" t="s">
        <v>200</v>
      </c>
      <c r="S1495" s="37" cm="1">
        <f t="array" aca="1" ref="S14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3.7917671203971253</v>
      </c>
      <c r="T1495" s="346" t="s">
        <v>2116</v>
      </c>
      <c r="U1495" s="344"/>
      <c r="V1495" s="344">
        <v>3.7917671203971253</v>
      </c>
      <c r="W1495" s="344"/>
      <c r="X1495" s="48" t="s">
        <v>55</v>
      </c>
      <c r="Y1495" s="346" t="s">
        <v>413</v>
      </c>
      <c r="Z1495" s="14" t="str">
        <f>IF(ISBLANK(LCI_Table[[#This Row],[Notes for user]])," ",LCI_Table[[#This Row],[Notes for user]])</f>
        <v xml:space="preserve"> </v>
      </c>
      <c r="AA1495" s="48"/>
      <c r="AB1495" s="345"/>
      <c r="AC1495" s="346">
        <f>LCI_Table[[#This Row],[Default Calculated Value]]-LCI_Table[[#This Row],[Calculated Value]]</f>
        <v>0</v>
      </c>
    </row>
    <row r="1496" spans="1:29" x14ac:dyDescent="0.3">
      <c r="A14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WillowFTICAOJRC (GREET)(blank)_Willow_Farming_Nitrogen_fertilizerNitrogen fertilizer</v>
      </c>
      <c r="B1496" s="14" t="s">
        <v>131</v>
      </c>
      <c r="C1496" s="14" t="s">
        <v>129</v>
      </c>
      <c r="D1496" s="14" t="s">
        <v>194</v>
      </c>
      <c r="E1496" s="48" t="s">
        <v>1338</v>
      </c>
      <c r="F1496" s="48" t="s">
        <v>31</v>
      </c>
      <c r="G1496" s="14" t="b">
        <f>OR(LCI_Table[[#This Row],[Feedstock]]="All",LCI_Table[[#This Row],[Feedstock]]=SelectedFeedstock)</f>
        <v>0</v>
      </c>
      <c r="H1496" s="14" t="b">
        <f>OR(LCI_Table[[#This Row],[Conversion]]="All",LCI_Table[[#This Row],[Conversion]]=SelectedConversion)</f>
        <v>0</v>
      </c>
      <c r="I1496" s="14" t="b">
        <f>OR(LCI_Table[[#This Row],[Data Set]]="all",LCI_Table[[#This Row],[Data Set]]=SelectedDataSet)</f>
        <v>0</v>
      </c>
      <c r="J1496" s="14" t="b">
        <f>OR(LCI_Table[[#This Row],[Technology]]="All",LCI_Table[[#This Row],[Technology]]=SelectedTechnology)</f>
        <v>1</v>
      </c>
      <c r="K1496" s="14" t="b">
        <f>OR(LCI_Table[[#This Row],[Data Source]]="All",LCI_Table[[#This Row],[Data Source]]=SelectedDataSource)</f>
        <v>0</v>
      </c>
      <c r="L1496" s="14" t="b">
        <f>TRUE</f>
        <v>1</v>
      </c>
      <c r="M1496" s="14" t="b">
        <f>(LCI_Table[[#This Row],[Dev Notes]]="Do not display")</f>
        <v>0</v>
      </c>
      <c r="N1496" s="14" t="b">
        <f>AND(LCI_Table[[#This Row],[Show Feedstock]:[Conditional]],NOT(LCI_Table[[#This Row],[Hide Row]]))</f>
        <v>0</v>
      </c>
      <c r="O1496" s="14" t="b">
        <f>LCI_Table[[#This Row],[GREET1 Name Range]]=""</f>
        <v>0</v>
      </c>
      <c r="P1496" s="14" t="s">
        <v>14</v>
      </c>
      <c r="Q1496" s="14" t="s">
        <v>853</v>
      </c>
      <c r="R1496" s="14" t="s">
        <v>111</v>
      </c>
      <c r="S1496" s="37" cm="1">
        <f t="array" aca="1" ref="S14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24.26718277492623</v>
      </c>
      <c r="T1496" s="346" t="s">
        <v>1485</v>
      </c>
      <c r="U1496" s="347">
        <f ca="1">S1496/S1495*lb2g</f>
        <v>2902.9760000000001</v>
      </c>
      <c r="V1496" s="347">
        <v>24.26718277492623</v>
      </c>
      <c r="W1496" s="347">
        <v>2902.9760000000001</v>
      </c>
      <c r="X1496" s="14" t="s">
        <v>12</v>
      </c>
      <c r="Y1496" s="346" t="s">
        <v>413</v>
      </c>
      <c r="Z1496" s="14" t="str">
        <f>IF(ISBLANK(LCI_Table[[#This Row],[Notes for user]])," ",LCI_Table[[#This Row],[Notes for user]])</f>
        <v xml:space="preserve"> </v>
      </c>
      <c r="AA1496" s="14"/>
      <c r="AB1496" s="14"/>
      <c r="AC1496" s="346">
        <f ca="1">LCI_Table[[#This Row],[Default Calculated Value]]-LCI_Table[[#This Row],[Calculated Value]]</f>
        <v>0</v>
      </c>
    </row>
    <row r="1497" spans="1:29" x14ac:dyDescent="0.3">
      <c r="A14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WillowFTICAOJRC (GREET)(blank)_Willow_Farming_P2O5P2O5</v>
      </c>
      <c r="B1497" s="14" t="s">
        <v>131</v>
      </c>
      <c r="C1497" s="14" t="s">
        <v>129</v>
      </c>
      <c r="D1497" s="14" t="s">
        <v>194</v>
      </c>
      <c r="E1497" s="48" t="s">
        <v>1338</v>
      </c>
      <c r="F1497" s="48" t="s">
        <v>31</v>
      </c>
      <c r="G1497" s="14" t="b">
        <f>OR(LCI_Table[[#This Row],[Feedstock]]="All",LCI_Table[[#This Row],[Feedstock]]=SelectedFeedstock)</f>
        <v>0</v>
      </c>
      <c r="H1497" s="14" t="b">
        <f>OR(LCI_Table[[#This Row],[Conversion]]="All",LCI_Table[[#This Row],[Conversion]]=SelectedConversion)</f>
        <v>0</v>
      </c>
      <c r="I1497" s="14" t="b">
        <f>OR(LCI_Table[[#This Row],[Data Set]]="all",LCI_Table[[#This Row],[Data Set]]=SelectedDataSet)</f>
        <v>0</v>
      </c>
      <c r="J1497" s="14" t="b">
        <f>OR(LCI_Table[[#This Row],[Technology]]="All",LCI_Table[[#This Row],[Technology]]=SelectedTechnology)</f>
        <v>1</v>
      </c>
      <c r="K1497" s="14" t="b">
        <f>OR(LCI_Table[[#This Row],[Data Source]]="All",LCI_Table[[#This Row],[Data Source]]=SelectedDataSource)</f>
        <v>0</v>
      </c>
      <c r="L1497" s="14" t="b">
        <f>TRUE</f>
        <v>1</v>
      </c>
      <c r="M1497" s="14" t="b">
        <f>(LCI_Table[[#This Row],[Dev Notes]]="Do not display")</f>
        <v>0</v>
      </c>
      <c r="N1497" s="14" t="b">
        <f>AND(LCI_Table[[#This Row],[Show Feedstock]:[Conditional]],NOT(LCI_Table[[#This Row],[Hide Row]]))</f>
        <v>0</v>
      </c>
      <c r="O1497" s="14" t="b">
        <f>LCI_Table[[#This Row],[GREET1 Name Range]]=""</f>
        <v>0</v>
      </c>
      <c r="P1497" s="14" t="s">
        <v>14</v>
      </c>
      <c r="Q1497" s="14" t="s">
        <v>854</v>
      </c>
      <c r="R1497" s="14" t="s">
        <v>112</v>
      </c>
      <c r="S1497" s="37" cm="1">
        <f t="array" aca="1" ref="S14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3.7917473085822233</v>
      </c>
      <c r="T1497" s="346" t="s">
        <v>1485</v>
      </c>
      <c r="U1497" s="347">
        <f ca="1">S1497/S1495*lb2g</f>
        <v>453.59</v>
      </c>
      <c r="V1497" s="347">
        <v>3.7917473085822233</v>
      </c>
      <c r="W1497" s="347">
        <v>453.59</v>
      </c>
      <c r="X1497" s="14" t="s">
        <v>12</v>
      </c>
      <c r="Y1497" s="346" t="s">
        <v>413</v>
      </c>
      <c r="Z1497" s="14" t="str">
        <f>IF(ISBLANK(LCI_Table[[#This Row],[Notes for user]])," ",LCI_Table[[#This Row],[Notes for user]])</f>
        <v xml:space="preserve"> </v>
      </c>
      <c r="AA1497" s="14"/>
      <c r="AB1497" s="14"/>
      <c r="AC1497" s="346">
        <f ca="1">LCI_Table[[#This Row],[Default Calculated Value]]-LCI_Table[[#This Row],[Calculated Value]]</f>
        <v>0</v>
      </c>
    </row>
    <row r="1498" spans="1:29" x14ac:dyDescent="0.3">
      <c r="A14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WillowFTICAOJRC (GREET)(blank)_Willow_Farming_K2OK2O</v>
      </c>
      <c r="B1498" s="14" t="s">
        <v>131</v>
      </c>
      <c r="C1498" s="14" t="s">
        <v>129</v>
      </c>
      <c r="D1498" s="14" t="s">
        <v>194</v>
      </c>
      <c r="E1498" s="48" t="s">
        <v>1338</v>
      </c>
      <c r="F1498" s="48" t="s">
        <v>31</v>
      </c>
      <c r="G1498" s="14" t="b">
        <f>OR(LCI_Table[[#This Row],[Feedstock]]="All",LCI_Table[[#This Row],[Feedstock]]=SelectedFeedstock)</f>
        <v>0</v>
      </c>
      <c r="H1498" s="14" t="b">
        <f>OR(LCI_Table[[#This Row],[Conversion]]="All",LCI_Table[[#This Row],[Conversion]]=SelectedConversion)</f>
        <v>0</v>
      </c>
      <c r="I1498" s="14" t="b">
        <f>OR(LCI_Table[[#This Row],[Data Set]]="all",LCI_Table[[#This Row],[Data Set]]=SelectedDataSet)</f>
        <v>0</v>
      </c>
      <c r="J1498" s="14" t="b">
        <f>OR(LCI_Table[[#This Row],[Technology]]="All",LCI_Table[[#This Row],[Technology]]=SelectedTechnology)</f>
        <v>1</v>
      </c>
      <c r="K1498" s="14" t="b">
        <f>OR(LCI_Table[[#This Row],[Data Source]]="All",LCI_Table[[#This Row],[Data Source]]=SelectedDataSource)</f>
        <v>0</v>
      </c>
      <c r="L1498" s="14" t="b">
        <f>TRUE</f>
        <v>1</v>
      </c>
      <c r="M1498" s="14" t="b">
        <f>(LCI_Table[[#This Row],[Dev Notes]]="Do not display")</f>
        <v>0</v>
      </c>
      <c r="N1498" s="14" t="b">
        <f>AND(LCI_Table[[#This Row],[Show Feedstock]:[Conditional]],NOT(LCI_Table[[#This Row],[Hide Row]]))</f>
        <v>0</v>
      </c>
      <c r="O1498" s="14" t="b">
        <f>LCI_Table[[#This Row],[GREET1 Name Range]]=""</f>
        <v>0</v>
      </c>
      <c r="P1498" s="14" t="s">
        <v>14</v>
      </c>
      <c r="Q1498" s="14" t="s">
        <v>850</v>
      </c>
      <c r="R1498" s="14" t="s">
        <v>113</v>
      </c>
      <c r="S1498" s="37" cm="1">
        <f t="array" aca="1" ref="S14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10.616892464030224</v>
      </c>
      <c r="T1498" s="346" t="s">
        <v>1485</v>
      </c>
      <c r="U1498" s="347">
        <f ca="1">S1498/S1495*lb2g</f>
        <v>1270.0519999999999</v>
      </c>
      <c r="V1498" s="347">
        <v>10.616892464030224</v>
      </c>
      <c r="W1498" s="347">
        <v>1270.0519999999999</v>
      </c>
      <c r="X1498" s="14" t="s">
        <v>12</v>
      </c>
      <c r="Y1498" s="346" t="s">
        <v>413</v>
      </c>
      <c r="Z1498" s="14" t="str">
        <f>IF(ISBLANK(LCI_Table[[#This Row],[Notes for user]])," ",LCI_Table[[#This Row],[Notes for user]])</f>
        <v xml:space="preserve"> </v>
      </c>
      <c r="AA1498" s="14"/>
      <c r="AB1498" s="14"/>
      <c r="AC1498" s="346">
        <f ca="1">LCI_Table[[#This Row],[Default Calculated Value]]-LCI_Table[[#This Row],[Calculated Value]]</f>
        <v>0</v>
      </c>
    </row>
    <row r="1499" spans="1:29" x14ac:dyDescent="0.3">
      <c r="A14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WillowFTICAOJRC (GREET)(blank)_Willow_Farming_CaCO3CaCO3</v>
      </c>
      <c r="B1499" s="14" t="s">
        <v>131</v>
      </c>
      <c r="C1499" s="14" t="s">
        <v>129</v>
      </c>
      <c r="D1499" s="14" t="s">
        <v>194</v>
      </c>
      <c r="E1499" s="48" t="s">
        <v>1338</v>
      </c>
      <c r="F1499" s="48" t="s">
        <v>31</v>
      </c>
      <c r="G1499" s="14" t="b">
        <f>OR(LCI_Table[[#This Row],[Feedstock]]="All",LCI_Table[[#This Row],[Feedstock]]=SelectedFeedstock)</f>
        <v>0</v>
      </c>
      <c r="H1499" s="14" t="b">
        <f>OR(LCI_Table[[#This Row],[Conversion]]="All",LCI_Table[[#This Row],[Conversion]]=SelectedConversion)</f>
        <v>0</v>
      </c>
      <c r="I1499" s="14" t="b">
        <f>OR(LCI_Table[[#This Row],[Data Set]]="all",LCI_Table[[#This Row],[Data Set]]=SelectedDataSet)</f>
        <v>0</v>
      </c>
      <c r="J1499" s="14" t="b">
        <f>OR(LCI_Table[[#This Row],[Technology]]="All",LCI_Table[[#This Row],[Technology]]=SelectedTechnology)</f>
        <v>1</v>
      </c>
      <c r="K1499" s="14" t="b">
        <f>OR(LCI_Table[[#This Row],[Data Source]]="All",LCI_Table[[#This Row],[Data Source]]=SelectedDataSource)</f>
        <v>0</v>
      </c>
      <c r="L1499" s="14" t="b">
        <f>TRUE</f>
        <v>1</v>
      </c>
      <c r="M1499" s="14" t="b">
        <f>(LCI_Table[[#This Row],[Dev Notes]]="Do not display")</f>
        <v>0</v>
      </c>
      <c r="N1499" s="14" t="b">
        <f>AND(LCI_Table[[#This Row],[Show Feedstock]:[Conditional]],NOT(LCI_Table[[#This Row],[Hide Row]]))</f>
        <v>0</v>
      </c>
      <c r="O1499" s="14" t="b">
        <f>LCI_Table[[#This Row],[GREET1 Name Range]]=""</f>
        <v>0</v>
      </c>
      <c r="P1499" s="14" t="s">
        <v>14</v>
      </c>
      <c r="Q1499" s="14" t="s">
        <v>842</v>
      </c>
      <c r="R1499" s="14" t="s">
        <v>141</v>
      </c>
      <c r="S1499" s="37" cm="1">
        <f t="array" aca="1" ref="S14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499" s="346" t="s">
        <v>1485</v>
      </c>
      <c r="U1499" s="347">
        <f ca="1">S1499/S1495*lb2g</f>
        <v>0</v>
      </c>
      <c r="V1499" s="347">
        <v>0</v>
      </c>
      <c r="W1499" s="347">
        <v>0</v>
      </c>
      <c r="X1499" s="14" t="s">
        <v>12</v>
      </c>
      <c r="Y1499" s="346" t="s">
        <v>413</v>
      </c>
      <c r="Z1499" s="14" t="str">
        <f>IF(ISBLANK(LCI_Table[[#This Row],[Notes for user]])," ",LCI_Table[[#This Row],[Notes for user]])</f>
        <v xml:space="preserve"> </v>
      </c>
      <c r="AA1499" s="14"/>
      <c r="AB1499" s="14"/>
      <c r="AC1499" s="346">
        <f ca="1">LCI_Table[[#This Row],[Default Calculated Value]]-LCI_Table[[#This Row],[Calculated Value]]</f>
        <v>0</v>
      </c>
    </row>
    <row r="1500" spans="1:29" x14ac:dyDescent="0.3">
      <c r="A15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WillowFTICAOJRC (GREET)(blank)_Willow_Farming_HerbicidesHerbicides</v>
      </c>
      <c r="B1500" s="14" t="s">
        <v>131</v>
      </c>
      <c r="C1500" s="14" t="s">
        <v>129</v>
      </c>
      <c r="D1500" s="14" t="s">
        <v>194</v>
      </c>
      <c r="E1500" s="48" t="s">
        <v>1338</v>
      </c>
      <c r="F1500" s="48" t="s">
        <v>31</v>
      </c>
      <c r="G1500" s="14" t="b">
        <f>OR(LCI_Table[[#This Row],[Feedstock]]="All",LCI_Table[[#This Row],[Feedstock]]=SelectedFeedstock)</f>
        <v>0</v>
      </c>
      <c r="H1500" s="14" t="b">
        <f>OR(LCI_Table[[#This Row],[Conversion]]="All",LCI_Table[[#This Row],[Conversion]]=SelectedConversion)</f>
        <v>0</v>
      </c>
      <c r="I1500" s="14" t="b">
        <f>OR(LCI_Table[[#This Row],[Data Set]]="all",LCI_Table[[#This Row],[Data Set]]=SelectedDataSet)</f>
        <v>0</v>
      </c>
      <c r="J1500" s="14" t="b">
        <f>OR(LCI_Table[[#This Row],[Technology]]="All",LCI_Table[[#This Row],[Technology]]=SelectedTechnology)</f>
        <v>1</v>
      </c>
      <c r="K1500" s="14" t="b">
        <f>OR(LCI_Table[[#This Row],[Data Source]]="All",LCI_Table[[#This Row],[Data Source]]=SelectedDataSource)</f>
        <v>0</v>
      </c>
      <c r="L1500" s="14" t="b">
        <f>TRUE</f>
        <v>1</v>
      </c>
      <c r="M1500" s="14" t="b">
        <f>(LCI_Table[[#This Row],[Dev Notes]]="Do not display")</f>
        <v>0</v>
      </c>
      <c r="N1500" s="14" t="b">
        <f>AND(LCI_Table[[#This Row],[Show Feedstock]:[Conditional]],NOT(LCI_Table[[#This Row],[Hide Row]]))</f>
        <v>0</v>
      </c>
      <c r="O1500" s="14" t="b">
        <f>LCI_Table[[#This Row],[GREET1 Name Range]]=""</f>
        <v>0</v>
      </c>
      <c r="P1500" s="14" t="s">
        <v>14</v>
      </c>
      <c r="Q1500" s="14" t="s">
        <v>848</v>
      </c>
      <c r="R1500" s="14" t="s">
        <v>356</v>
      </c>
      <c r="S1500" s="37" cm="1">
        <f t="array" aca="1" ref="S15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00" s="346" t="s">
        <v>1485</v>
      </c>
      <c r="U1500" s="347">
        <f ca="1">S1500/S1495*lb2g</f>
        <v>0</v>
      </c>
      <c r="V1500" s="347">
        <v>0</v>
      </c>
      <c r="W1500" s="347">
        <v>0</v>
      </c>
      <c r="X1500" s="14" t="s">
        <v>12</v>
      </c>
      <c r="Y1500" s="346" t="s">
        <v>413</v>
      </c>
      <c r="Z1500" s="14" t="str">
        <f>IF(ISBLANK(LCI_Table[[#This Row],[Notes for user]])," ",LCI_Table[[#This Row],[Notes for user]])</f>
        <v xml:space="preserve"> </v>
      </c>
      <c r="AA1500" s="14"/>
      <c r="AB1500" s="14"/>
      <c r="AC1500" s="346">
        <f ca="1">LCI_Table[[#This Row],[Default Calculated Value]]-LCI_Table[[#This Row],[Calculated Value]]</f>
        <v>0</v>
      </c>
    </row>
    <row r="1501" spans="1:29" x14ac:dyDescent="0.3">
      <c r="A15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WillowFTICAOJRC (GREET)(blank)_Willow_Farming_InsecticideInsecticide</v>
      </c>
      <c r="B1501" s="14" t="s">
        <v>131</v>
      </c>
      <c r="C1501" s="14" t="s">
        <v>129</v>
      </c>
      <c r="D1501" s="14" t="s">
        <v>194</v>
      </c>
      <c r="E1501" s="48" t="s">
        <v>1338</v>
      </c>
      <c r="F1501" s="48" t="s">
        <v>31</v>
      </c>
      <c r="G1501" s="14" t="b">
        <f>OR(LCI_Table[[#This Row],[Feedstock]]="All",LCI_Table[[#This Row],[Feedstock]]=SelectedFeedstock)</f>
        <v>0</v>
      </c>
      <c r="H1501" s="14" t="b">
        <f>OR(LCI_Table[[#This Row],[Conversion]]="All",LCI_Table[[#This Row],[Conversion]]=SelectedConversion)</f>
        <v>0</v>
      </c>
      <c r="I1501" s="14" t="b">
        <f>OR(LCI_Table[[#This Row],[Data Set]]="all",LCI_Table[[#This Row],[Data Set]]=SelectedDataSet)</f>
        <v>0</v>
      </c>
      <c r="J1501" s="14" t="b">
        <f>OR(LCI_Table[[#This Row],[Technology]]="All",LCI_Table[[#This Row],[Technology]]=SelectedTechnology)</f>
        <v>1</v>
      </c>
      <c r="K1501" s="14" t="b">
        <f>OR(LCI_Table[[#This Row],[Data Source]]="All",LCI_Table[[#This Row],[Data Source]]=SelectedDataSource)</f>
        <v>0</v>
      </c>
      <c r="L1501" s="14" t="b">
        <f>TRUE</f>
        <v>1</v>
      </c>
      <c r="M1501" s="14" t="b">
        <f>(LCI_Table[[#This Row],[Dev Notes]]="Do not display")</f>
        <v>0</v>
      </c>
      <c r="N1501" s="14" t="b">
        <f>AND(LCI_Table[[#This Row],[Show Feedstock]:[Conditional]],NOT(LCI_Table[[#This Row],[Hide Row]]))</f>
        <v>0</v>
      </c>
      <c r="O1501" s="14" t="b">
        <f>LCI_Table[[#This Row],[GREET1 Name Range]]=""</f>
        <v>0</v>
      </c>
      <c r="P1501" s="14" t="s">
        <v>14</v>
      </c>
      <c r="Q1501" s="14" t="s">
        <v>849</v>
      </c>
      <c r="R1501" s="14" t="s">
        <v>114</v>
      </c>
      <c r="S1501" s="37" cm="1">
        <f t="array" aca="1" ref="S15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01" s="346" t="s">
        <v>1485</v>
      </c>
      <c r="U1501" s="347">
        <f ca="1">S1501/S1495*lb2g</f>
        <v>0</v>
      </c>
      <c r="V1501" s="347">
        <v>0</v>
      </c>
      <c r="W1501" s="347">
        <v>0</v>
      </c>
      <c r="X1501" s="14" t="s">
        <v>12</v>
      </c>
      <c r="Y1501" s="346" t="s">
        <v>413</v>
      </c>
      <c r="Z1501" s="14" t="str">
        <f>IF(ISBLANK(LCI_Table[[#This Row],[Notes for user]])," ",LCI_Table[[#This Row],[Notes for user]])</f>
        <v xml:space="preserve"> </v>
      </c>
      <c r="AA1501" s="14"/>
      <c r="AB1501" s="14"/>
      <c r="AC1501" s="346">
        <f ca="1">LCI_Table[[#This Row],[Default Calculated Value]]-LCI_Table[[#This Row],[Calculated Value]]</f>
        <v>0</v>
      </c>
    </row>
    <row r="1502" spans="1:29" x14ac:dyDescent="0.3">
      <c r="A15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WillowFTICAOJRC (GREET)(blank)_Willow_Farming_Residual_oilResidual oil</v>
      </c>
      <c r="B1502" s="14" t="s">
        <v>131</v>
      </c>
      <c r="C1502" s="14" t="s">
        <v>129</v>
      </c>
      <c r="D1502" s="14" t="s">
        <v>194</v>
      </c>
      <c r="E1502" s="48" t="s">
        <v>1338</v>
      </c>
      <c r="F1502" s="48" t="s">
        <v>31</v>
      </c>
      <c r="G1502" s="14" t="b">
        <f>OR(LCI_Table[[#This Row],[Feedstock]]="All",LCI_Table[[#This Row],[Feedstock]]=SelectedFeedstock)</f>
        <v>0</v>
      </c>
      <c r="H1502" s="14" t="b">
        <f>OR(LCI_Table[[#This Row],[Conversion]]="All",LCI_Table[[#This Row],[Conversion]]=SelectedConversion)</f>
        <v>0</v>
      </c>
      <c r="I1502" s="14" t="b">
        <f>OR(LCI_Table[[#This Row],[Data Set]]="all",LCI_Table[[#This Row],[Data Set]]=SelectedDataSet)</f>
        <v>0</v>
      </c>
      <c r="J1502" s="14" t="b">
        <f>OR(LCI_Table[[#This Row],[Technology]]="All",LCI_Table[[#This Row],[Technology]]=SelectedTechnology)</f>
        <v>1</v>
      </c>
      <c r="K1502" s="14" t="b">
        <f>OR(LCI_Table[[#This Row],[Data Source]]="All",LCI_Table[[#This Row],[Data Source]]=SelectedDataSource)</f>
        <v>0</v>
      </c>
      <c r="L1502" s="14" t="b">
        <f>TRUE</f>
        <v>1</v>
      </c>
      <c r="M1502" s="14" t="b">
        <f>(LCI_Table[[#This Row],[Dev Notes]]="Do not display")</f>
        <v>0</v>
      </c>
      <c r="N1502" s="14" t="b">
        <f>AND(LCI_Table[[#This Row],[Show Feedstock]:[Conditional]],NOT(LCI_Table[[#This Row],[Hide Row]]))</f>
        <v>0</v>
      </c>
      <c r="O1502" s="14" t="b">
        <f>LCI_Table[[#This Row],[GREET1 Name Range]]=""</f>
        <v>0</v>
      </c>
      <c r="P1502" s="14" t="s">
        <v>14</v>
      </c>
      <c r="Q1502" s="14" t="s">
        <v>855</v>
      </c>
      <c r="R1502" s="14" t="s">
        <v>115</v>
      </c>
      <c r="S1502" s="37" cm="1">
        <f t="array" aca="1" ref="S15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02" s="346" t="s">
        <v>1484</v>
      </c>
      <c r="U1502" s="347">
        <f ca="1">S1502*Fuel_Specs!$B$28/S1495</f>
        <v>0</v>
      </c>
      <c r="V1502" s="347">
        <v>0</v>
      </c>
      <c r="W1502" s="347">
        <v>0</v>
      </c>
      <c r="X1502" s="14" t="s">
        <v>5</v>
      </c>
      <c r="Y1502" s="346" t="s">
        <v>413</v>
      </c>
      <c r="Z1502" s="14" t="str">
        <f>IF(ISBLANK(LCI_Table[[#This Row],[Notes for user]])," ",LCI_Table[[#This Row],[Notes for user]])</f>
        <v xml:space="preserve"> </v>
      </c>
      <c r="AA1502" s="14"/>
      <c r="AB1502" s="14"/>
      <c r="AC1502" s="346">
        <f ca="1">LCI_Table[[#This Row],[Default Calculated Value]]-LCI_Table[[#This Row],[Calculated Value]]</f>
        <v>0</v>
      </c>
    </row>
    <row r="1503" spans="1:29" x14ac:dyDescent="0.3">
      <c r="A15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WillowFTICAOJRC (GREET)(blank)_Willow_Farming_DieselDiesel</v>
      </c>
      <c r="B1503" s="14" t="s">
        <v>131</v>
      </c>
      <c r="C1503" s="14" t="s">
        <v>129</v>
      </c>
      <c r="D1503" s="14" t="s">
        <v>194</v>
      </c>
      <c r="E1503" s="48" t="s">
        <v>1338</v>
      </c>
      <c r="F1503" s="48" t="s">
        <v>31</v>
      </c>
      <c r="G1503" s="14" t="b">
        <f>OR(LCI_Table[[#This Row],[Feedstock]]="All",LCI_Table[[#This Row],[Feedstock]]=SelectedFeedstock)</f>
        <v>0</v>
      </c>
      <c r="H1503" s="14" t="b">
        <f>OR(LCI_Table[[#This Row],[Conversion]]="All",LCI_Table[[#This Row],[Conversion]]=SelectedConversion)</f>
        <v>0</v>
      </c>
      <c r="I1503" s="14" t="b">
        <f>OR(LCI_Table[[#This Row],[Data Set]]="all",LCI_Table[[#This Row],[Data Set]]=SelectedDataSet)</f>
        <v>0</v>
      </c>
      <c r="J1503" s="14" t="b">
        <f>OR(LCI_Table[[#This Row],[Technology]]="All",LCI_Table[[#This Row],[Technology]]=SelectedTechnology)</f>
        <v>1</v>
      </c>
      <c r="K1503" s="14" t="b">
        <f>OR(LCI_Table[[#This Row],[Data Source]]="All",LCI_Table[[#This Row],[Data Source]]=SelectedDataSource)</f>
        <v>0</v>
      </c>
      <c r="L1503" s="14" t="b">
        <f>TRUE</f>
        <v>1</v>
      </c>
      <c r="M1503" s="14" t="b">
        <f>(LCI_Table[[#This Row],[Dev Notes]]="Do not display")</f>
        <v>0</v>
      </c>
      <c r="N1503" s="14" t="b">
        <f>AND(LCI_Table[[#This Row],[Show Feedstock]:[Conditional]],NOT(LCI_Table[[#This Row],[Hide Row]]))</f>
        <v>0</v>
      </c>
      <c r="O1503" s="14" t="b">
        <f>LCI_Table[[#This Row],[GREET1 Name Range]]=""</f>
        <v>0</v>
      </c>
      <c r="P1503" s="14" t="s">
        <v>14</v>
      </c>
      <c r="Q1503" s="14" t="s">
        <v>844</v>
      </c>
      <c r="R1503" s="14" t="s">
        <v>106</v>
      </c>
      <c r="S1503" s="37" cm="1">
        <f t="array" aca="1" ref="S15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5.4610940226450246</v>
      </c>
      <c r="T1503" s="346" t="s">
        <v>1484</v>
      </c>
      <c r="U1503" s="347">
        <f ca="1">S1503*Fuel_Specs!$B$19/S1495</f>
        <v>185000.1608577916</v>
      </c>
      <c r="V1503" s="347">
        <v>5.4610940226450246</v>
      </c>
      <c r="W1503" s="347">
        <v>185000.1608577916</v>
      </c>
      <c r="X1503" s="14" t="s">
        <v>5</v>
      </c>
      <c r="Y1503" s="346" t="s">
        <v>413</v>
      </c>
      <c r="Z1503" s="14" t="str">
        <f>IF(ISBLANK(LCI_Table[[#This Row],[Notes for user]])," ",LCI_Table[[#This Row],[Notes for user]])</f>
        <v xml:space="preserve"> </v>
      </c>
      <c r="AA1503" s="14"/>
      <c r="AB1503" s="14"/>
      <c r="AC1503" s="346">
        <f ca="1">LCI_Table[[#This Row],[Default Calculated Value]]-LCI_Table[[#This Row],[Calculated Value]]</f>
        <v>0</v>
      </c>
    </row>
    <row r="1504" spans="1:29" x14ac:dyDescent="0.3">
      <c r="A15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WillowFTICAOJRC (GREET)(blank)_Willow_Farming_GasolineGasoline</v>
      </c>
      <c r="B1504" s="14" t="s">
        <v>131</v>
      </c>
      <c r="C1504" s="14" t="s">
        <v>129</v>
      </c>
      <c r="D1504" s="14" t="s">
        <v>194</v>
      </c>
      <c r="E1504" s="48" t="s">
        <v>1338</v>
      </c>
      <c r="F1504" s="48" t="s">
        <v>31</v>
      </c>
      <c r="G1504" s="14" t="b">
        <f>OR(LCI_Table[[#This Row],[Feedstock]]="All",LCI_Table[[#This Row],[Feedstock]]=SelectedFeedstock)</f>
        <v>0</v>
      </c>
      <c r="H1504" s="14" t="b">
        <f>OR(LCI_Table[[#This Row],[Conversion]]="All",LCI_Table[[#This Row],[Conversion]]=SelectedConversion)</f>
        <v>0</v>
      </c>
      <c r="I1504" s="14" t="b">
        <f>OR(LCI_Table[[#This Row],[Data Set]]="all",LCI_Table[[#This Row],[Data Set]]=SelectedDataSet)</f>
        <v>0</v>
      </c>
      <c r="J1504" s="14" t="b">
        <f>OR(LCI_Table[[#This Row],[Technology]]="All",LCI_Table[[#This Row],[Technology]]=SelectedTechnology)</f>
        <v>1</v>
      </c>
      <c r="K1504" s="14" t="b">
        <f>OR(LCI_Table[[#This Row],[Data Source]]="All",LCI_Table[[#This Row],[Data Source]]=SelectedDataSource)</f>
        <v>0</v>
      </c>
      <c r="L1504" s="14" t="b">
        <f>TRUE</f>
        <v>1</v>
      </c>
      <c r="M1504" s="14" t="b">
        <f>(LCI_Table[[#This Row],[Dev Notes]]="Do not display")</f>
        <v>0</v>
      </c>
      <c r="N1504" s="14" t="b">
        <f>AND(LCI_Table[[#This Row],[Show Feedstock]:[Conditional]],NOT(LCI_Table[[#This Row],[Hide Row]]))</f>
        <v>0</v>
      </c>
      <c r="O1504" s="14" t="b">
        <f>LCI_Table[[#This Row],[GREET1 Name Range]]=""</f>
        <v>0</v>
      </c>
      <c r="P1504" s="14" t="s">
        <v>14</v>
      </c>
      <c r="Q1504" s="14" t="s">
        <v>847</v>
      </c>
      <c r="R1504" s="14" t="s">
        <v>107</v>
      </c>
      <c r="S1504" s="37" cm="1">
        <f t="array" aca="1" ref="S15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04" s="346" t="s">
        <v>1484</v>
      </c>
      <c r="U1504" s="347">
        <f ca="1">S1504*Fuel_Specs!$B$15/S1495</f>
        <v>0</v>
      </c>
      <c r="V1504" s="347">
        <v>0</v>
      </c>
      <c r="W1504" s="347">
        <v>0</v>
      </c>
      <c r="X1504" s="14" t="s">
        <v>5</v>
      </c>
      <c r="Y1504" s="346" t="s">
        <v>413</v>
      </c>
      <c r="Z1504" s="14" t="str">
        <f>IF(ISBLANK(LCI_Table[[#This Row],[Notes for user]])," ",LCI_Table[[#This Row],[Notes for user]])</f>
        <v xml:space="preserve"> </v>
      </c>
      <c r="AA1504" s="14"/>
      <c r="AB1504" s="14"/>
      <c r="AC1504" s="346">
        <f ca="1">LCI_Table[[#This Row],[Default Calculated Value]]-LCI_Table[[#This Row],[Calculated Value]]</f>
        <v>0</v>
      </c>
    </row>
    <row r="1505" spans="1:29" x14ac:dyDescent="0.3">
      <c r="A15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WillowFTICAOJRC (GREET)(blank)_Willow_Farming_Natural_gasNatural gas</v>
      </c>
      <c r="B1505" s="14" t="s">
        <v>131</v>
      </c>
      <c r="C1505" s="14" t="s">
        <v>129</v>
      </c>
      <c r="D1505" s="14" t="s">
        <v>194</v>
      </c>
      <c r="E1505" s="48" t="s">
        <v>1338</v>
      </c>
      <c r="F1505" s="48" t="s">
        <v>31</v>
      </c>
      <c r="G1505" s="14" t="b">
        <f>OR(LCI_Table[[#This Row],[Feedstock]]="All",LCI_Table[[#This Row],[Feedstock]]=SelectedFeedstock)</f>
        <v>0</v>
      </c>
      <c r="H1505" s="14" t="b">
        <f>OR(LCI_Table[[#This Row],[Conversion]]="All",LCI_Table[[#This Row],[Conversion]]=SelectedConversion)</f>
        <v>0</v>
      </c>
      <c r="I1505" s="14" t="b">
        <f>OR(LCI_Table[[#This Row],[Data Set]]="all",LCI_Table[[#This Row],[Data Set]]=SelectedDataSet)</f>
        <v>0</v>
      </c>
      <c r="J1505" s="14" t="b">
        <f>OR(LCI_Table[[#This Row],[Technology]]="All",LCI_Table[[#This Row],[Technology]]=SelectedTechnology)</f>
        <v>1</v>
      </c>
      <c r="K1505" s="14" t="b">
        <f>OR(LCI_Table[[#This Row],[Data Source]]="All",LCI_Table[[#This Row],[Data Source]]=SelectedDataSource)</f>
        <v>0</v>
      </c>
      <c r="L1505" s="14" t="b">
        <f>TRUE</f>
        <v>1</v>
      </c>
      <c r="M1505" s="14" t="b">
        <f>(LCI_Table[[#This Row],[Dev Notes]]="Do not display")</f>
        <v>0</v>
      </c>
      <c r="N1505" s="14" t="b">
        <f>AND(LCI_Table[[#This Row],[Show Feedstock]:[Conditional]],NOT(LCI_Table[[#This Row],[Hide Row]]))</f>
        <v>0</v>
      </c>
      <c r="O1505" s="14" t="b">
        <f>LCI_Table[[#This Row],[GREET1 Name Range]]=""</f>
        <v>0</v>
      </c>
      <c r="P1505" s="14" t="s">
        <v>14</v>
      </c>
      <c r="Q1505" s="14" t="s">
        <v>852</v>
      </c>
      <c r="R1505" s="14" t="s">
        <v>108</v>
      </c>
      <c r="S1505" s="37" cm="1">
        <f t="array" aca="1" ref="S15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05" s="346" t="s">
        <v>2109</v>
      </c>
      <c r="U1505" s="347">
        <f ca="1">S1505*Fuel_Specs!$B$79/S1495</f>
        <v>0</v>
      </c>
      <c r="V1505" s="347">
        <v>0</v>
      </c>
      <c r="W1505" s="347">
        <v>0</v>
      </c>
      <c r="X1505" s="14" t="s">
        <v>351</v>
      </c>
      <c r="Y1505" s="346" t="s">
        <v>413</v>
      </c>
      <c r="Z1505" s="14" t="str">
        <f>IF(ISBLANK(LCI_Table[[#This Row],[Notes for user]])," ",LCI_Table[[#This Row],[Notes for user]])</f>
        <v xml:space="preserve"> </v>
      </c>
      <c r="AA1505" s="14"/>
      <c r="AB1505" s="14"/>
      <c r="AC1505" s="346">
        <f ca="1">LCI_Table[[#This Row],[Default Calculated Value]]-LCI_Table[[#This Row],[Calculated Value]]</f>
        <v>0</v>
      </c>
    </row>
    <row r="1506" spans="1:29" x14ac:dyDescent="0.3">
      <c r="A15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WillowFTICAOJRC (GREET)(blank)_Willow_Farming_CoalCoal</v>
      </c>
      <c r="B1506" s="14" t="s">
        <v>131</v>
      </c>
      <c r="C1506" s="14" t="s">
        <v>129</v>
      </c>
      <c r="D1506" s="14" t="s">
        <v>194</v>
      </c>
      <c r="E1506" s="48" t="s">
        <v>1338</v>
      </c>
      <c r="F1506" s="48" t="s">
        <v>31</v>
      </c>
      <c r="G1506" s="14" t="b">
        <f>OR(LCI_Table[[#This Row],[Feedstock]]="All",LCI_Table[[#This Row],[Feedstock]]=SelectedFeedstock)</f>
        <v>0</v>
      </c>
      <c r="H1506" s="14" t="b">
        <f>OR(LCI_Table[[#This Row],[Conversion]]="All",LCI_Table[[#This Row],[Conversion]]=SelectedConversion)</f>
        <v>0</v>
      </c>
      <c r="I1506" s="14" t="b">
        <f>OR(LCI_Table[[#This Row],[Data Set]]="all",LCI_Table[[#This Row],[Data Set]]=SelectedDataSet)</f>
        <v>0</v>
      </c>
      <c r="J1506" s="14" t="b">
        <f>OR(LCI_Table[[#This Row],[Technology]]="All",LCI_Table[[#This Row],[Technology]]=SelectedTechnology)</f>
        <v>1</v>
      </c>
      <c r="K1506" s="14" t="b">
        <f>OR(LCI_Table[[#This Row],[Data Source]]="All",LCI_Table[[#This Row],[Data Source]]=SelectedDataSource)</f>
        <v>0</v>
      </c>
      <c r="L1506" s="14" t="b">
        <f>TRUE</f>
        <v>1</v>
      </c>
      <c r="M1506" s="14" t="b">
        <f>(LCI_Table[[#This Row],[Dev Notes]]="Do not display")</f>
        <v>0</v>
      </c>
      <c r="N1506" s="14" t="b">
        <f>AND(LCI_Table[[#This Row],[Show Feedstock]:[Conditional]],NOT(LCI_Table[[#This Row],[Hide Row]]))</f>
        <v>0</v>
      </c>
      <c r="O1506" s="14" t="b">
        <f>LCI_Table[[#This Row],[GREET1 Name Range]]=""</f>
        <v>0</v>
      </c>
      <c r="P1506" s="14" t="s">
        <v>14</v>
      </c>
      <c r="Q1506" s="14" t="s">
        <v>843</v>
      </c>
      <c r="R1506" s="14" t="s">
        <v>9</v>
      </c>
      <c r="S1506" s="37" cm="1">
        <f t="array" aca="1" ref="S15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06" s="346" t="s">
        <v>2110</v>
      </c>
      <c r="U1506" s="347">
        <f ca="1">S1506/S1495</f>
        <v>0</v>
      </c>
      <c r="V1506" s="347">
        <v>0</v>
      </c>
      <c r="W1506" s="347">
        <v>0</v>
      </c>
      <c r="X1506" s="14" t="s">
        <v>117</v>
      </c>
      <c r="Y1506" s="346" t="s">
        <v>413</v>
      </c>
      <c r="Z1506" s="14" t="str">
        <f>IF(ISBLANK(LCI_Table[[#This Row],[Notes for user]])," ",LCI_Table[[#This Row],[Notes for user]])</f>
        <v xml:space="preserve"> </v>
      </c>
      <c r="AA1506" s="14"/>
      <c r="AB1506" s="14"/>
      <c r="AC1506" s="346">
        <f ca="1">LCI_Table[[#This Row],[Default Calculated Value]]-LCI_Table[[#This Row],[Calculated Value]]</f>
        <v>0</v>
      </c>
    </row>
    <row r="1507" spans="1:29" x14ac:dyDescent="0.3">
      <c r="A15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WillowFTICAOJRC (GREET)(blank)_Willow_Farming_LPGLPG</v>
      </c>
      <c r="B1507" s="14" t="s">
        <v>131</v>
      </c>
      <c r="C1507" s="14" t="s">
        <v>129</v>
      </c>
      <c r="D1507" s="14" t="s">
        <v>194</v>
      </c>
      <c r="E1507" s="48" t="s">
        <v>1338</v>
      </c>
      <c r="F1507" s="48" t="s">
        <v>31</v>
      </c>
      <c r="G1507" s="14" t="b">
        <f>OR(LCI_Table[[#This Row],[Feedstock]]="All",LCI_Table[[#This Row],[Feedstock]]=SelectedFeedstock)</f>
        <v>0</v>
      </c>
      <c r="H1507" s="14" t="b">
        <f>OR(LCI_Table[[#This Row],[Conversion]]="All",LCI_Table[[#This Row],[Conversion]]=SelectedConversion)</f>
        <v>0</v>
      </c>
      <c r="I1507" s="14" t="b">
        <f>OR(LCI_Table[[#This Row],[Data Set]]="all",LCI_Table[[#This Row],[Data Set]]=SelectedDataSet)</f>
        <v>0</v>
      </c>
      <c r="J1507" s="14" t="b">
        <f>OR(LCI_Table[[#This Row],[Technology]]="All",LCI_Table[[#This Row],[Technology]]=SelectedTechnology)</f>
        <v>1</v>
      </c>
      <c r="K1507" s="14" t="b">
        <f>OR(LCI_Table[[#This Row],[Data Source]]="All",LCI_Table[[#This Row],[Data Source]]=SelectedDataSource)</f>
        <v>0</v>
      </c>
      <c r="L1507" s="14" t="b">
        <f>TRUE</f>
        <v>1</v>
      </c>
      <c r="M1507" s="14" t="b">
        <f>(LCI_Table[[#This Row],[Dev Notes]]="Do not display")</f>
        <v>0</v>
      </c>
      <c r="N1507" s="14" t="b">
        <f>AND(LCI_Table[[#This Row],[Show Feedstock]:[Conditional]],NOT(LCI_Table[[#This Row],[Hide Row]]))</f>
        <v>0</v>
      </c>
      <c r="O1507" s="14" t="b">
        <f>LCI_Table[[#This Row],[GREET1 Name Range]]=""</f>
        <v>0</v>
      </c>
      <c r="P1507" s="14" t="s">
        <v>14</v>
      </c>
      <c r="Q1507" s="14" t="s">
        <v>851</v>
      </c>
      <c r="R1507" s="14" t="s">
        <v>109</v>
      </c>
      <c r="S1507" s="37" cm="1">
        <f t="array" aca="1" ref="S15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07" s="346" t="s">
        <v>1484</v>
      </c>
      <c r="U1507" s="347">
        <f ca="1">S1507*Fuel_Specs!$B$35/S1495</f>
        <v>0</v>
      </c>
      <c r="V1507" s="347">
        <v>0</v>
      </c>
      <c r="W1507" s="347">
        <v>0</v>
      </c>
      <c r="X1507" s="14" t="s">
        <v>5</v>
      </c>
      <c r="Y1507" s="346" t="s">
        <v>413</v>
      </c>
      <c r="Z1507" s="14" t="str">
        <f>IF(ISBLANK(LCI_Table[[#This Row],[Notes for user]])," ",LCI_Table[[#This Row],[Notes for user]])</f>
        <v xml:space="preserve"> </v>
      </c>
      <c r="AA1507" s="14"/>
      <c r="AB1507" s="14"/>
      <c r="AC1507" s="346">
        <f ca="1">LCI_Table[[#This Row],[Default Calculated Value]]-LCI_Table[[#This Row],[Calculated Value]]</f>
        <v>0</v>
      </c>
    </row>
    <row r="1508" spans="1:29" x14ac:dyDescent="0.3">
      <c r="A15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WillowFTICAOJRC (GREET)(blank)_Willow_Farming_Forest_residueForest residue</v>
      </c>
      <c r="B1508" s="14" t="s">
        <v>131</v>
      </c>
      <c r="C1508" s="14" t="s">
        <v>129</v>
      </c>
      <c r="D1508" s="14" t="s">
        <v>194</v>
      </c>
      <c r="E1508" s="48" t="s">
        <v>1338</v>
      </c>
      <c r="F1508" s="48" t="s">
        <v>31</v>
      </c>
      <c r="G1508" s="14" t="b">
        <f>OR(LCI_Table[[#This Row],[Feedstock]]="All",LCI_Table[[#This Row],[Feedstock]]=SelectedFeedstock)</f>
        <v>0</v>
      </c>
      <c r="H1508" s="14" t="b">
        <f>OR(LCI_Table[[#This Row],[Conversion]]="All",LCI_Table[[#This Row],[Conversion]]=SelectedConversion)</f>
        <v>0</v>
      </c>
      <c r="I1508" s="14" t="b">
        <f>OR(LCI_Table[[#This Row],[Data Set]]="all",LCI_Table[[#This Row],[Data Set]]=SelectedDataSet)</f>
        <v>0</v>
      </c>
      <c r="J1508" s="14" t="b">
        <f>OR(LCI_Table[[#This Row],[Technology]]="All",LCI_Table[[#This Row],[Technology]]=SelectedTechnology)</f>
        <v>1</v>
      </c>
      <c r="K1508" s="14" t="b">
        <f>OR(LCI_Table[[#This Row],[Data Source]]="All",LCI_Table[[#This Row],[Data Source]]=SelectedDataSource)</f>
        <v>0</v>
      </c>
      <c r="L1508" s="14" t="b">
        <f>TRUE</f>
        <v>1</v>
      </c>
      <c r="M1508" s="14" t="b">
        <f>(LCI_Table[[#This Row],[Dev Notes]]="Do not display")</f>
        <v>0</v>
      </c>
      <c r="N1508" s="14" t="b">
        <f>AND(LCI_Table[[#This Row],[Show Feedstock]:[Conditional]],NOT(LCI_Table[[#This Row],[Hide Row]]))</f>
        <v>0</v>
      </c>
      <c r="O1508" s="14" t="b">
        <f>LCI_Table[[#This Row],[GREET1 Name Range]]=""</f>
        <v>0</v>
      </c>
      <c r="P1508" s="14" t="s">
        <v>14</v>
      </c>
      <c r="Q1508" s="14" t="s">
        <v>846</v>
      </c>
      <c r="R1508" s="14" t="s">
        <v>316</v>
      </c>
      <c r="S1508" s="37" cm="1">
        <f t="array" aca="1" ref="S15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08" s="346" t="s">
        <v>1485</v>
      </c>
      <c r="U1508" s="347">
        <f ca="1">S1508*Fuel_Specs!$B$100*ton2lb/S1495</f>
        <v>0</v>
      </c>
      <c r="V1508" s="347">
        <v>0</v>
      </c>
      <c r="W1508" s="347">
        <v>0</v>
      </c>
      <c r="X1508" s="14" t="s">
        <v>12</v>
      </c>
      <c r="Y1508" s="346" t="s">
        <v>413</v>
      </c>
      <c r="Z1508" s="14" t="str">
        <f>IF(ISBLANK(LCI_Table[[#This Row],[Notes for user]])," ",LCI_Table[[#This Row],[Notes for user]])</f>
        <v xml:space="preserve"> </v>
      </c>
      <c r="AA1508" s="14"/>
      <c r="AB1508" s="14"/>
      <c r="AC1508" s="346">
        <f ca="1">LCI_Table[[#This Row],[Default Calculated Value]]-LCI_Table[[#This Row],[Calculated Value]]</f>
        <v>0</v>
      </c>
    </row>
    <row r="1509" spans="1:29" x14ac:dyDescent="0.3">
      <c r="A15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WillowFTICAOJRC (GREET)(blank)_Willow_Farming_ElectricityElectricity</v>
      </c>
      <c r="B1509" s="14" t="s">
        <v>131</v>
      </c>
      <c r="C1509" s="14" t="s">
        <v>129</v>
      </c>
      <c r="D1509" s="14" t="s">
        <v>194</v>
      </c>
      <c r="E1509" s="48" t="s">
        <v>1338</v>
      </c>
      <c r="F1509" s="48" t="s">
        <v>31</v>
      </c>
      <c r="G1509" s="14" t="b">
        <f>OR(LCI_Table[[#This Row],[Feedstock]]="All",LCI_Table[[#This Row],[Feedstock]]=SelectedFeedstock)</f>
        <v>0</v>
      </c>
      <c r="H1509" s="14" t="b">
        <f>OR(LCI_Table[[#This Row],[Conversion]]="All",LCI_Table[[#This Row],[Conversion]]=SelectedConversion)</f>
        <v>0</v>
      </c>
      <c r="I1509" s="14" t="b">
        <f>OR(LCI_Table[[#This Row],[Data Set]]="all",LCI_Table[[#This Row],[Data Set]]=SelectedDataSet)</f>
        <v>0</v>
      </c>
      <c r="J1509" s="14" t="b">
        <f>OR(LCI_Table[[#This Row],[Technology]]="All",LCI_Table[[#This Row],[Technology]]=SelectedTechnology)</f>
        <v>1</v>
      </c>
      <c r="K1509" s="14" t="b">
        <f>OR(LCI_Table[[#This Row],[Data Source]]="All",LCI_Table[[#This Row],[Data Source]]=SelectedDataSource)</f>
        <v>0</v>
      </c>
      <c r="L1509" s="14" t="b">
        <f>TRUE</f>
        <v>1</v>
      </c>
      <c r="M1509" s="14" t="b">
        <f>(LCI_Table[[#This Row],[Dev Notes]]="Do not display")</f>
        <v>0</v>
      </c>
      <c r="N1509" s="14" t="b">
        <f>AND(LCI_Table[[#This Row],[Show Feedstock]:[Conditional]],NOT(LCI_Table[[#This Row],[Hide Row]]))</f>
        <v>0</v>
      </c>
      <c r="O1509" s="14" t="b">
        <f>LCI_Table[[#This Row],[GREET1 Name Range]]=""</f>
        <v>0</v>
      </c>
      <c r="P1509" s="14" t="s">
        <v>14</v>
      </c>
      <c r="Q1509" s="14" t="s">
        <v>845</v>
      </c>
      <c r="R1509" s="348" t="s">
        <v>110</v>
      </c>
      <c r="S1509" s="37" cm="1">
        <f t="array" aca="1" ref="S15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4.1320837335089129</v>
      </c>
      <c r="T1509" s="346" t="s">
        <v>1561</v>
      </c>
      <c r="U1509" s="347">
        <f ca="1">S1509/BTU2kWh/S1495</f>
        <v>3718.3863159328862</v>
      </c>
      <c r="V1509" s="347">
        <v>4.1320837335089129</v>
      </c>
      <c r="W1509" s="347">
        <v>3718.3863159328862</v>
      </c>
      <c r="X1509" s="14" t="s">
        <v>51</v>
      </c>
      <c r="Y1509" s="346" t="s">
        <v>413</v>
      </c>
      <c r="Z1509" s="14" t="str">
        <f>IF(ISBLANK(LCI_Table[[#This Row],[Notes for user]])," ",LCI_Table[[#This Row],[Notes for user]])</f>
        <v xml:space="preserve"> </v>
      </c>
      <c r="AA1509" s="14"/>
      <c r="AB1509" s="14"/>
      <c r="AC1509" s="346">
        <f ca="1">LCI_Table[[#This Row],[Default Calculated Value]]-LCI_Table[[#This Row],[Calculated Value]]</f>
        <v>0</v>
      </c>
    </row>
    <row r="1510" spans="1:29" x14ac:dyDescent="0.3">
      <c r="A15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WillowFTICAOJRC (GREET)(blank)_Willow_FT_efficiencyWillow</v>
      </c>
      <c r="B1510" s="14" t="s">
        <v>131</v>
      </c>
      <c r="C1510" s="14" t="s">
        <v>129</v>
      </c>
      <c r="D1510" s="14" t="s">
        <v>194</v>
      </c>
      <c r="E1510" s="48" t="s">
        <v>1338</v>
      </c>
      <c r="F1510" s="48" t="s">
        <v>31</v>
      </c>
      <c r="G1510" s="14" t="b">
        <f>OR(LCI_Table[[#This Row],[Feedstock]]="All",LCI_Table[[#This Row],[Feedstock]]=SelectedFeedstock)</f>
        <v>0</v>
      </c>
      <c r="H1510" s="14" t="b">
        <f>OR(LCI_Table[[#This Row],[Conversion]]="All",LCI_Table[[#This Row],[Conversion]]=SelectedConversion)</f>
        <v>0</v>
      </c>
      <c r="I1510" s="14" t="b">
        <f>OR(LCI_Table[[#This Row],[Data Set]]="all",LCI_Table[[#This Row],[Data Set]]=SelectedDataSet)</f>
        <v>0</v>
      </c>
      <c r="J1510" s="14" t="b">
        <f>OR(LCI_Table[[#This Row],[Technology]]="All",LCI_Table[[#This Row],[Technology]]=SelectedTechnology)</f>
        <v>1</v>
      </c>
      <c r="K1510" s="14" t="b">
        <f>OR(LCI_Table[[#This Row],[Data Source]]="All",LCI_Table[[#This Row],[Data Source]]=SelectedDataSource)</f>
        <v>0</v>
      </c>
      <c r="L1510" s="14" t="b">
        <f>TRUE</f>
        <v>1</v>
      </c>
      <c r="M1510" s="14" t="b">
        <f>(LCI_Table[[#This Row],[Dev Notes]]="Do not display")</f>
        <v>0</v>
      </c>
      <c r="N1510" s="14" t="b">
        <f>AND(LCI_Table[[#This Row],[Show Feedstock]:[Conditional]],NOT(LCI_Table[[#This Row],[Hide Row]]))</f>
        <v>0</v>
      </c>
      <c r="O1510" s="14" t="b">
        <f>LCI_Table[[#This Row],[GREET1 Name Range]]=""</f>
        <v>0</v>
      </c>
      <c r="P1510" s="14" t="s">
        <v>1448</v>
      </c>
      <c r="Q1510" s="14" t="s">
        <v>939</v>
      </c>
      <c r="R1510" s="14" t="s">
        <v>131</v>
      </c>
      <c r="S1510" s="37" cm="1">
        <f t="array" aca="1" ref="S15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0.12990387113535984</v>
      </c>
      <c r="T1510" s="346" t="s">
        <v>2125</v>
      </c>
      <c r="U1510" s="347">
        <f ca="1">1/(S1510*Fuel_Specs!$B$95*BTU2mmBTU)</f>
        <v>0.5</v>
      </c>
      <c r="V1510" s="347">
        <v>0.12990387113535984</v>
      </c>
      <c r="W1510" s="347">
        <v>0.5</v>
      </c>
      <c r="X1510" s="37" t="s">
        <v>55</v>
      </c>
      <c r="Y1510" s="346" t="s">
        <v>416</v>
      </c>
      <c r="Z1510" s="14" t="str">
        <f>IF(ISBLANK(LCI_Table[[#This Row],[Notes for user]])," ",LCI_Table[[#This Row],[Notes for user]])</f>
        <v xml:space="preserve"> </v>
      </c>
      <c r="AA1510" s="14"/>
      <c r="AB1510" s="14"/>
      <c r="AC1510" s="346">
        <f ca="1">LCI_Table[[#This Row],[Default Calculated Value]]-LCI_Table[[#This Row],[Calculated Value]]</f>
        <v>0</v>
      </c>
    </row>
    <row r="1511" spans="1:29" x14ac:dyDescent="0.3">
      <c r="A15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stoverFTICAOMIT (GREET)(blank)_Yield_Collection</v>
      </c>
      <c r="B1511" s="48" t="s">
        <v>135</v>
      </c>
      <c r="C1511" s="48" t="s">
        <v>129</v>
      </c>
      <c r="D1511" s="48" t="s">
        <v>194</v>
      </c>
      <c r="E1511" s="48" t="s">
        <v>1335</v>
      </c>
      <c r="F1511" s="48" t="s">
        <v>31</v>
      </c>
      <c r="G1511" s="14" t="b">
        <f>OR(LCI_Table[[#This Row],[Feedstock]]="All",LCI_Table[[#This Row],[Feedstock]]=SelectedFeedstock)</f>
        <v>0</v>
      </c>
      <c r="H1511" s="14" t="b">
        <f>OR(LCI_Table[[#This Row],[Conversion]]="All",LCI_Table[[#This Row],[Conversion]]=SelectedConversion)</f>
        <v>0</v>
      </c>
      <c r="I1511" s="14" t="b">
        <f>OR(LCI_Table[[#This Row],[Data Set]]="all",LCI_Table[[#This Row],[Data Set]]=SelectedDataSet)</f>
        <v>0</v>
      </c>
      <c r="J1511" s="14" t="b">
        <f>OR(LCI_Table[[#This Row],[Technology]]="All",LCI_Table[[#This Row],[Technology]]=SelectedTechnology)</f>
        <v>1</v>
      </c>
      <c r="K1511" s="14" t="b">
        <f>OR(LCI_Table[[#This Row],[Data Source]]="All",LCI_Table[[#This Row],[Data Source]]=SelectedDataSource)</f>
        <v>0</v>
      </c>
      <c r="L1511" s="14" t="b">
        <f>TRUE</f>
        <v>1</v>
      </c>
      <c r="M1511" s="14" t="b">
        <f>(LCI_Table[[#This Row],[Dev Notes]]="Do not display")</f>
        <v>0</v>
      </c>
      <c r="N1511" s="14" t="b">
        <f>AND(LCI_Table[[#This Row],[Show Feedstock]:[Conditional]],NOT(LCI_Table[[#This Row],[Hide Row]]))</f>
        <v>0</v>
      </c>
      <c r="O1511" s="14" t="b">
        <f>LCI_Table[[#This Row],[GREET1 Name Range]]=""</f>
        <v>1</v>
      </c>
      <c r="P1511" s="48" t="s">
        <v>147</v>
      </c>
      <c r="Q1511" s="14" t="s">
        <v>361</v>
      </c>
      <c r="R1511" s="48" t="s">
        <v>200</v>
      </c>
      <c r="S1511" s="37" cm="1">
        <f t="array" aca="1" ref="S15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2.4534963720216694</v>
      </c>
      <c r="T1511" s="346" t="s">
        <v>2116</v>
      </c>
      <c r="U1511" s="344">
        <f>LCI_Table[[#This Row],[Default Displayed Value]]</f>
        <v>2.4534963720216694</v>
      </c>
      <c r="V1511" s="344">
        <v>2.4534963720216694</v>
      </c>
      <c r="W1511" s="344">
        <v>2.4534963720216694</v>
      </c>
      <c r="X1511" s="48" t="s">
        <v>55</v>
      </c>
      <c r="Y1511" s="346" t="s">
        <v>413</v>
      </c>
      <c r="Z1511" s="14" t="str">
        <f>IF(ISBLANK(LCI_Table[[#This Row],[Notes for user]])," ",LCI_Table[[#This Row],[Notes for user]])</f>
        <v xml:space="preserve"> </v>
      </c>
      <c r="AA1511" s="48"/>
      <c r="AB1511" s="345"/>
      <c r="AC1511" s="346">
        <f>LCI_Table[[#This Row],[Default Calculated Value]]-LCI_Table[[#This Row],[Calculated Value]]</f>
        <v>0</v>
      </c>
    </row>
    <row r="1512" spans="1:29" x14ac:dyDescent="0.3">
      <c r="A15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stoverFTICAOMIT (GREET)(blank)_CornStover_Farming_Nitrogen_fertilizerNitrogen fertilizer</v>
      </c>
      <c r="B1512" s="14" t="s">
        <v>135</v>
      </c>
      <c r="C1512" s="14" t="s">
        <v>129</v>
      </c>
      <c r="D1512" s="14" t="s">
        <v>194</v>
      </c>
      <c r="E1512" s="48" t="s">
        <v>1335</v>
      </c>
      <c r="F1512" s="48" t="s">
        <v>31</v>
      </c>
      <c r="G1512" s="14" t="b">
        <f>OR(LCI_Table[[#This Row],[Feedstock]]="All",LCI_Table[[#This Row],[Feedstock]]=SelectedFeedstock)</f>
        <v>0</v>
      </c>
      <c r="H1512" s="14" t="b">
        <f>OR(LCI_Table[[#This Row],[Conversion]]="All",LCI_Table[[#This Row],[Conversion]]=SelectedConversion)</f>
        <v>0</v>
      </c>
      <c r="I1512" s="14" t="b">
        <f>OR(LCI_Table[[#This Row],[Data Set]]="all",LCI_Table[[#This Row],[Data Set]]=SelectedDataSet)</f>
        <v>0</v>
      </c>
      <c r="J1512" s="14" t="b">
        <f>OR(LCI_Table[[#This Row],[Technology]]="All",LCI_Table[[#This Row],[Technology]]=SelectedTechnology)</f>
        <v>1</v>
      </c>
      <c r="K1512" s="14" t="b">
        <f>OR(LCI_Table[[#This Row],[Data Source]]="All",LCI_Table[[#This Row],[Data Source]]=SelectedDataSource)</f>
        <v>0</v>
      </c>
      <c r="L1512" s="14" t="b">
        <f>TRUE</f>
        <v>1</v>
      </c>
      <c r="M1512" s="14" t="b">
        <f>(LCI_Table[[#This Row],[Dev Notes]]="Do not display")</f>
        <v>0</v>
      </c>
      <c r="N1512" s="14" t="b">
        <f>AND(LCI_Table[[#This Row],[Show Feedstock]:[Conditional]],NOT(LCI_Table[[#This Row],[Hide Row]]))</f>
        <v>0</v>
      </c>
      <c r="O1512" s="14" t="b">
        <f>LCI_Table[[#This Row],[GREET1 Name Range]]=""</f>
        <v>0</v>
      </c>
      <c r="P1512" s="14" t="s">
        <v>147</v>
      </c>
      <c r="Q1512" s="14" t="s">
        <v>614</v>
      </c>
      <c r="R1512" s="14" t="s">
        <v>111</v>
      </c>
      <c r="S1512" s="37" cm="1">
        <f t="array" aca="1" ref="S15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12" s="346" t="s">
        <v>1485</v>
      </c>
      <c r="U1512" s="347">
        <f ca="1">S1512/S1511*lb2g</f>
        <v>0</v>
      </c>
      <c r="V1512" s="347">
        <v>0</v>
      </c>
      <c r="W1512" s="347">
        <v>0</v>
      </c>
      <c r="X1512" s="14" t="s">
        <v>12</v>
      </c>
      <c r="Y1512" s="346" t="s">
        <v>413</v>
      </c>
      <c r="Z1512" s="14" t="str">
        <f>IF(ISBLANK(LCI_Table[[#This Row],[Notes for user]])," ",LCI_Table[[#This Row],[Notes for user]])</f>
        <v xml:space="preserve"> </v>
      </c>
      <c r="AA1512" s="14"/>
      <c r="AB1512" s="14"/>
      <c r="AC1512" s="346">
        <f ca="1">LCI_Table[[#This Row],[Default Calculated Value]]-LCI_Table[[#This Row],[Calculated Value]]</f>
        <v>0</v>
      </c>
    </row>
    <row r="1513" spans="1:29" x14ac:dyDescent="0.3">
      <c r="A15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stoverFTICAOMIT (GREET)(blank)_CornStover_Farming_P2O5P2O5</v>
      </c>
      <c r="B1513" s="14" t="s">
        <v>135</v>
      </c>
      <c r="C1513" s="14" t="s">
        <v>129</v>
      </c>
      <c r="D1513" s="14" t="s">
        <v>194</v>
      </c>
      <c r="E1513" s="48" t="s">
        <v>1335</v>
      </c>
      <c r="F1513" s="48" t="s">
        <v>31</v>
      </c>
      <c r="G1513" s="14" t="b">
        <f>OR(LCI_Table[[#This Row],[Feedstock]]="All",LCI_Table[[#This Row],[Feedstock]]=SelectedFeedstock)</f>
        <v>0</v>
      </c>
      <c r="H1513" s="14" t="b">
        <f>OR(LCI_Table[[#This Row],[Conversion]]="All",LCI_Table[[#This Row],[Conversion]]=SelectedConversion)</f>
        <v>0</v>
      </c>
      <c r="I1513" s="14" t="b">
        <f>OR(LCI_Table[[#This Row],[Data Set]]="all",LCI_Table[[#This Row],[Data Set]]=SelectedDataSet)</f>
        <v>0</v>
      </c>
      <c r="J1513" s="14" t="b">
        <f>OR(LCI_Table[[#This Row],[Technology]]="All",LCI_Table[[#This Row],[Technology]]=SelectedTechnology)</f>
        <v>1</v>
      </c>
      <c r="K1513" s="14" t="b">
        <f>OR(LCI_Table[[#This Row],[Data Source]]="All",LCI_Table[[#This Row],[Data Source]]=SelectedDataSource)</f>
        <v>0</v>
      </c>
      <c r="L1513" s="14" t="b">
        <f>TRUE</f>
        <v>1</v>
      </c>
      <c r="M1513" s="14" t="b">
        <f>(LCI_Table[[#This Row],[Dev Notes]]="Do not display")</f>
        <v>0</v>
      </c>
      <c r="N1513" s="14" t="b">
        <f>AND(LCI_Table[[#This Row],[Show Feedstock]:[Conditional]],NOT(LCI_Table[[#This Row],[Hide Row]]))</f>
        <v>0</v>
      </c>
      <c r="O1513" s="14" t="b">
        <f>LCI_Table[[#This Row],[GREET1 Name Range]]=""</f>
        <v>0</v>
      </c>
      <c r="P1513" s="14" t="s">
        <v>147</v>
      </c>
      <c r="Q1513" s="14" t="s">
        <v>615</v>
      </c>
      <c r="R1513" s="14" t="s">
        <v>112</v>
      </c>
      <c r="S1513" s="37" cm="1">
        <f t="array" aca="1" ref="S15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13" s="346" t="s">
        <v>1485</v>
      </c>
      <c r="U1513" s="347">
        <f ca="1">S1513/S1511*lb2g</f>
        <v>0</v>
      </c>
      <c r="V1513" s="347">
        <v>0</v>
      </c>
      <c r="W1513" s="347">
        <v>0</v>
      </c>
      <c r="X1513" s="14" t="s">
        <v>12</v>
      </c>
      <c r="Y1513" s="346" t="s">
        <v>413</v>
      </c>
      <c r="Z1513" s="14" t="str">
        <f>IF(ISBLANK(LCI_Table[[#This Row],[Notes for user]])," ",LCI_Table[[#This Row],[Notes for user]])</f>
        <v xml:space="preserve"> </v>
      </c>
      <c r="AA1513" s="14"/>
      <c r="AB1513" s="14"/>
      <c r="AC1513" s="346">
        <f ca="1">LCI_Table[[#This Row],[Default Calculated Value]]-LCI_Table[[#This Row],[Calculated Value]]</f>
        <v>0</v>
      </c>
    </row>
    <row r="1514" spans="1:29" x14ac:dyDescent="0.3">
      <c r="A15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stoverFTICAOMIT (GREET)(blank)_CornStover_Farming_K2OK2O</v>
      </c>
      <c r="B1514" s="14" t="s">
        <v>135</v>
      </c>
      <c r="C1514" s="14" t="s">
        <v>129</v>
      </c>
      <c r="D1514" s="14" t="s">
        <v>194</v>
      </c>
      <c r="E1514" s="48" t="s">
        <v>1335</v>
      </c>
      <c r="F1514" s="48" t="s">
        <v>31</v>
      </c>
      <c r="G1514" s="14" t="b">
        <f>OR(LCI_Table[[#This Row],[Feedstock]]="All",LCI_Table[[#This Row],[Feedstock]]=SelectedFeedstock)</f>
        <v>0</v>
      </c>
      <c r="H1514" s="14" t="b">
        <f>OR(LCI_Table[[#This Row],[Conversion]]="All",LCI_Table[[#This Row],[Conversion]]=SelectedConversion)</f>
        <v>0</v>
      </c>
      <c r="I1514" s="14" t="b">
        <f>OR(LCI_Table[[#This Row],[Data Set]]="all",LCI_Table[[#This Row],[Data Set]]=SelectedDataSet)</f>
        <v>0</v>
      </c>
      <c r="J1514" s="14" t="b">
        <f>OR(LCI_Table[[#This Row],[Technology]]="All",LCI_Table[[#This Row],[Technology]]=SelectedTechnology)</f>
        <v>1</v>
      </c>
      <c r="K1514" s="14" t="b">
        <f>OR(LCI_Table[[#This Row],[Data Source]]="All",LCI_Table[[#This Row],[Data Source]]=SelectedDataSource)</f>
        <v>0</v>
      </c>
      <c r="L1514" s="14" t="b">
        <f>TRUE</f>
        <v>1</v>
      </c>
      <c r="M1514" s="14" t="b">
        <f>(LCI_Table[[#This Row],[Dev Notes]]="Do not display")</f>
        <v>0</v>
      </c>
      <c r="N1514" s="14" t="b">
        <f>AND(LCI_Table[[#This Row],[Show Feedstock]:[Conditional]],NOT(LCI_Table[[#This Row],[Hide Row]]))</f>
        <v>0</v>
      </c>
      <c r="O1514" s="14" t="b">
        <f>LCI_Table[[#This Row],[GREET1 Name Range]]=""</f>
        <v>0</v>
      </c>
      <c r="P1514" s="14" t="s">
        <v>147</v>
      </c>
      <c r="Q1514" s="14" t="s">
        <v>611</v>
      </c>
      <c r="R1514" s="14" t="s">
        <v>113</v>
      </c>
      <c r="S1514" s="37" cm="1">
        <f t="array" aca="1" ref="S15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14" s="346" t="s">
        <v>1485</v>
      </c>
      <c r="U1514" s="347">
        <f ca="1">S1514/S1511*lb2g</f>
        <v>0</v>
      </c>
      <c r="V1514" s="347">
        <v>0</v>
      </c>
      <c r="W1514" s="347">
        <v>0</v>
      </c>
      <c r="X1514" s="14" t="s">
        <v>12</v>
      </c>
      <c r="Y1514" s="346" t="s">
        <v>413</v>
      </c>
      <c r="Z1514" s="14" t="str">
        <f>IF(ISBLANK(LCI_Table[[#This Row],[Notes for user]])," ",LCI_Table[[#This Row],[Notes for user]])</f>
        <v xml:space="preserve"> </v>
      </c>
      <c r="AA1514" s="14"/>
      <c r="AB1514" s="14"/>
      <c r="AC1514" s="346">
        <f ca="1">LCI_Table[[#This Row],[Default Calculated Value]]-LCI_Table[[#This Row],[Calculated Value]]</f>
        <v>0</v>
      </c>
    </row>
    <row r="1515" spans="1:29" x14ac:dyDescent="0.3">
      <c r="A15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stoverFTICAOMIT (GREET)(blank)_CornStover_Farming_HerbicidesHerbicides</v>
      </c>
      <c r="B1515" s="14" t="s">
        <v>135</v>
      </c>
      <c r="C1515" s="14" t="s">
        <v>129</v>
      </c>
      <c r="D1515" s="14" t="s">
        <v>194</v>
      </c>
      <c r="E1515" s="48" t="s">
        <v>1335</v>
      </c>
      <c r="F1515" s="48" t="s">
        <v>31</v>
      </c>
      <c r="G1515" s="14" t="b">
        <f>OR(LCI_Table[[#This Row],[Feedstock]]="All",LCI_Table[[#This Row],[Feedstock]]=SelectedFeedstock)</f>
        <v>0</v>
      </c>
      <c r="H1515" s="14" t="b">
        <f>OR(LCI_Table[[#This Row],[Conversion]]="All",LCI_Table[[#This Row],[Conversion]]=SelectedConversion)</f>
        <v>0</v>
      </c>
      <c r="I1515" s="14" t="b">
        <f>OR(LCI_Table[[#This Row],[Data Set]]="all",LCI_Table[[#This Row],[Data Set]]=SelectedDataSet)</f>
        <v>0</v>
      </c>
      <c r="J1515" s="14" t="b">
        <f>OR(LCI_Table[[#This Row],[Technology]]="All",LCI_Table[[#This Row],[Technology]]=SelectedTechnology)</f>
        <v>1</v>
      </c>
      <c r="K1515" s="14" t="b">
        <f>OR(LCI_Table[[#This Row],[Data Source]]="All",LCI_Table[[#This Row],[Data Source]]=SelectedDataSource)</f>
        <v>0</v>
      </c>
      <c r="L1515" s="14" t="b">
        <f>TRUE</f>
        <v>1</v>
      </c>
      <c r="M1515" s="14" t="b">
        <f>(LCI_Table[[#This Row],[Dev Notes]]="Do not display")</f>
        <v>0</v>
      </c>
      <c r="N1515" s="14" t="b">
        <f>AND(LCI_Table[[#This Row],[Show Feedstock]:[Conditional]],NOT(LCI_Table[[#This Row],[Hide Row]]))</f>
        <v>0</v>
      </c>
      <c r="O1515" s="14" t="b">
        <f>LCI_Table[[#This Row],[GREET1 Name Range]]=""</f>
        <v>0</v>
      </c>
      <c r="P1515" s="14" t="s">
        <v>147</v>
      </c>
      <c r="Q1515" s="14" t="s">
        <v>609</v>
      </c>
      <c r="R1515" s="14" t="s">
        <v>356</v>
      </c>
      <c r="S1515" s="37" cm="1">
        <f t="array" aca="1" ref="S15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15" s="346" t="s">
        <v>1485</v>
      </c>
      <c r="U1515" s="347">
        <f ca="1">S1515/S1511*lb2g</f>
        <v>0</v>
      </c>
      <c r="V1515" s="347">
        <v>0</v>
      </c>
      <c r="W1515" s="347">
        <v>0</v>
      </c>
      <c r="X1515" s="14" t="s">
        <v>12</v>
      </c>
      <c r="Y1515" s="346" t="s">
        <v>413</v>
      </c>
      <c r="Z1515" s="14" t="str">
        <f>IF(ISBLANK(LCI_Table[[#This Row],[Notes for user]])," ",LCI_Table[[#This Row],[Notes for user]])</f>
        <v xml:space="preserve"> </v>
      </c>
      <c r="AA1515" s="14"/>
      <c r="AB1515" s="14"/>
      <c r="AC1515" s="346">
        <f ca="1">LCI_Table[[#This Row],[Default Calculated Value]]-LCI_Table[[#This Row],[Calculated Value]]</f>
        <v>0</v>
      </c>
    </row>
    <row r="1516" spans="1:29" x14ac:dyDescent="0.3">
      <c r="A15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stoverFTICAOMIT (GREET)(blank)_CornStover_Farming_InsecticideInsecticide</v>
      </c>
      <c r="B1516" s="14" t="s">
        <v>135</v>
      </c>
      <c r="C1516" s="14" t="s">
        <v>129</v>
      </c>
      <c r="D1516" s="14" t="s">
        <v>194</v>
      </c>
      <c r="E1516" s="48" t="s">
        <v>1335</v>
      </c>
      <c r="F1516" s="48" t="s">
        <v>31</v>
      </c>
      <c r="G1516" s="14" t="b">
        <f>OR(LCI_Table[[#This Row],[Feedstock]]="All",LCI_Table[[#This Row],[Feedstock]]=SelectedFeedstock)</f>
        <v>0</v>
      </c>
      <c r="H1516" s="14" t="b">
        <f>OR(LCI_Table[[#This Row],[Conversion]]="All",LCI_Table[[#This Row],[Conversion]]=SelectedConversion)</f>
        <v>0</v>
      </c>
      <c r="I1516" s="14" t="b">
        <f>OR(LCI_Table[[#This Row],[Data Set]]="all",LCI_Table[[#This Row],[Data Set]]=SelectedDataSet)</f>
        <v>0</v>
      </c>
      <c r="J1516" s="14" t="b">
        <f>OR(LCI_Table[[#This Row],[Technology]]="All",LCI_Table[[#This Row],[Technology]]=SelectedTechnology)</f>
        <v>1</v>
      </c>
      <c r="K1516" s="14" t="b">
        <f>OR(LCI_Table[[#This Row],[Data Source]]="All",LCI_Table[[#This Row],[Data Source]]=SelectedDataSource)</f>
        <v>0</v>
      </c>
      <c r="L1516" s="14" t="b">
        <f>TRUE</f>
        <v>1</v>
      </c>
      <c r="M1516" s="14" t="b">
        <f>(LCI_Table[[#This Row],[Dev Notes]]="Do not display")</f>
        <v>0</v>
      </c>
      <c r="N1516" s="14" t="b">
        <f>AND(LCI_Table[[#This Row],[Show Feedstock]:[Conditional]],NOT(LCI_Table[[#This Row],[Hide Row]]))</f>
        <v>0</v>
      </c>
      <c r="O1516" s="14" t="b">
        <f>LCI_Table[[#This Row],[GREET1 Name Range]]=""</f>
        <v>0</v>
      </c>
      <c r="P1516" s="14" t="s">
        <v>147</v>
      </c>
      <c r="Q1516" s="14" t="s">
        <v>610</v>
      </c>
      <c r="R1516" s="14" t="s">
        <v>114</v>
      </c>
      <c r="S1516" s="37" cm="1">
        <f t="array" aca="1" ref="S15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16" s="346" t="s">
        <v>1485</v>
      </c>
      <c r="U1516" s="347">
        <f ca="1">S1516/S1511*lb2g</f>
        <v>0</v>
      </c>
      <c r="V1516" s="347">
        <v>0</v>
      </c>
      <c r="W1516" s="347">
        <v>0</v>
      </c>
      <c r="X1516" s="14" t="s">
        <v>12</v>
      </c>
      <c r="Y1516" s="346" t="s">
        <v>413</v>
      </c>
      <c r="Z1516" s="14" t="str">
        <f>IF(ISBLANK(LCI_Table[[#This Row],[Notes for user]])," ",LCI_Table[[#This Row],[Notes for user]])</f>
        <v xml:space="preserve"> </v>
      </c>
      <c r="AA1516" s="14"/>
      <c r="AB1516" s="14"/>
      <c r="AC1516" s="346">
        <f ca="1">LCI_Table[[#This Row],[Default Calculated Value]]-LCI_Table[[#This Row],[Calculated Value]]</f>
        <v>0</v>
      </c>
    </row>
    <row r="1517" spans="1:29" x14ac:dyDescent="0.3">
      <c r="A15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stoverFTICAOMIT (GREET)(blank)_CornStover_Farming_HDPEHDPE</v>
      </c>
      <c r="B1517" s="14" t="s">
        <v>135</v>
      </c>
      <c r="C1517" s="14" t="s">
        <v>129</v>
      </c>
      <c r="D1517" s="14" t="s">
        <v>194</v>
      </c>
      <c r="E1517" s="48" t="s">
        <v>1335</v>
      </c>
      <c r="F1517" s="48" t="s">
        <v>31</v>
      </c>
      <c r="G1517" s="14" t="b">
        <f>OR(LCI_Table[[#This Row],[Feedstock]]="All",LCI_Table[[#This Row],[Feedstock]]=SelectedFeedstock)</f>
        <v>0</v>
      </c>
      <c r="H1517" s="14" t="b">
        <f>OR(LCI_Table[[#This Row],[Conversion]]="All",LCI_Table[[#This Row],[Conversion]]=SelectedConversion)</f>
        <v>0</v>
      </c>
      <c r="I1517" s="14" t="b">
        <f>OR(LCI_Table[[#This Row],[Data Set]]="all",LCI_Table[[#This Row],[Data Set]]=SelectedDataSet)</f>
        <v>0</v>
      </c>
      <c r="J1517" s="14" t="b">
        <f>OR(LCI_Table[[#This Row],[Technology]]="All",LCI_Table[[#This Row],[Technology]]=SelectedTechnology)</f>
        <v>1</v>
      </c>
      <c r="K1517" s="14" t="b">
        <f>OR(LCI_Table[[#This Row],[Data Source]]="All",LCI_Table[[#This Row],[Data Source]]=SelectedDataSource)</f>
        <v>0</v>
      </c>
      <c r="L1517" s="14" t="b">
        <f>TRUE</f>
        <v>1</v>
      </c>
      <c r="M1517" s="14" t="b">
        <f>(LCI_Table[[#This Row],[Dev Notes]]="Do not display")</f>
        <v>0</v>
      </c>
      <c r="N1517" s="14" t="b">
        <f>AND(LCI_Table[[#This Row],[Show Feedstock]:[Conditional]],NOT(LCI_Table[[#This Row],[Hide Row]]))</f>
        <v>0</v>
      </c>
      <c r="O1517" s="14" t="b">
        <f>LCI_Table[[#This Row],[GREET1 Name Range]]=""</f>
        <v>0</v>
      </c>
      <c r="P1517" s="14" t="s">
        <v>147</v>
      </c>
      <c r="Q1517" s="14" t="s">
        <v>608</v>
      </c>
      <c r="R1517" s="14" t="s">
        <v>357</v>
      </c>
      <c r="S1517" s="37" cm="1">
        <f t="array" aca="1" ref="S15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17" s="346" t="s">
        <v>1485</v>
      </c>
      <c r="U1517" s="347">
        <f ca="1">S1517/S1511*lb2g</f>
        <v>0</v>
      </c>
      <c r="V1517" s="347">
        <v>0</v>
      </c>
      <c r="W1517" s="347">
        <v>0</v>
      </c>
      <c r="X1517" s="14" t="s">
        <v>12</v>
      </c>
      <c r="Y1517" s="346" t="s">
        <v>413</v>
      </c>
      <c r="Z1517" s="14" t="str">
        <f>IF(ISBLANK(LCI_Table[[#This Row],[Notes for user]])," ",LCI_Table[[#This Row],[Notes for user]])</f>
        <v xml:space="preserve"> </v>
      </c>
      <c r="AA1517" s="14"/>
      <c r="AB1517" s="14"/>
      <c r="AC1517" s="346">
        <f ca="1">LCI_Table[[#This Row],[Default Calculated Value]]-LCI_Table[[#This Row],[Calculated Value]]</f>
        <v>0</v>
      </c>
    </row>
    <row r="1518" spans="1:29" x14ac:dyDescent="0.3">
      <c r="A15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stoverFTICAOMIT (GREET)(blank)_CornStover_Farming_Residual_oilResidual oil</v>
      </c>
      <c r="B1518" s="14" t="s">
        <v>135</v>
      </c>
      <c r="C1518" s="14" t="s">
        <v>129</v>
      </c>
      <c r="D1518" s="14" t="s">
        <v>194</v>
      </c>
      <c r="E1518" s="48" t="s">
        <v>1335</v>
      </c>
      <c r="F1518" s="48" t="s">
        <v>31</v>
      </c>
      <c r="G1518" s="14" t="b">
        <f>OR(LCI_Table[[#This Row],[Feedstock]]="All",LCI_Table[[#This Row],[Feedstock]]=SelectedFeedstock)</f>
        <v>0</v>
      </c>
      <c r="H1518" s="14" t="b">
        <f>OR(LCI_Table[[#This Row],[Conversion]]="All",LCI_Table[[#This Row],[Conversion]]=SelectedConversion)</f>
        <v>0</v>
      </c>
      <c r="I1518" s="14" t="b">
        <f>OR(LCI_Table[[#This Row],[Data Set]]="all",LCI_Table[[#This Row],[Data Set]]=SelectedDataSet)</f>
        <v>0</v>
      </c>
      <c r="J1518" s="14" t="b">
        <f>OR(LCI_Table[[#This Row],[Technology]]="All",LCI_Table[[#This Row],[Technology]]=SelectedTechnology)</f>
        <v>1</v>
      </c>
      <c r="K1518" s="14" t="b">
        <f>OR(LCI_Table[[#This Row],[Data Source]]="All",LCI_Table[[#This Row],[Data Source]]=SelectedDataSource)</f>
        <v>0</v>
      </c>
      <c r="L1518" s="14" t="b">
        <f>TRUE</f>
        <v>1</v>
      </c>
      <c r="M1518" s="14" t="b">
        <f>(LCI_Table[[#This Row],[Dev Notes]]="Do not display")</f>
        <v>0</v>
      </c>
      <c r="N1518" s="14" t="b">
        <f>AND(LCI_Table[[#This Row],[Show Feedstock]:[Conditional]],NOT(LCI_Table[[#This Row],[Hide Row]]))</f>
        <v>0</v>
      </c>
      <c r="O1518" s="14" t="b">
        <f>LCI_Table[[#This Row],[GREET1 Name Range]]=""</f>
        <v>0</v>
      </c>
      <c r="P1518" s="14" t="s">
        <v>147</v>
      </c>
      <c r="Q1518" s="14" t="s">
        <v>616</v>
      </c>
      <c r="R1518" s="14" t="s">
        <v>115</v>
      </c>
      <c r="S1518" s="37" cm="1">
        <f t="array" aca="1" ref="S15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18" s="346" t="s">
        <v>1484</v>
      </c>
      <c r="U1518" s="347">
        <f ca="1">S1518*Fuel_Specs!$B$28/S1511</f>
        <v>0</v>
      </c>
      <c r="V1518" s="347">
        <v>0</v>
      </c>
      <c r="W1518" s="347">
        <v>0</v>
      </c>
      <c r="X1518" s="14" t="s">
        <v>5</v>
      </c>
      <c r="Y1518" s="346" t="s">
        <v>413</v>
      </c>
      <c r="Z1518" s="14" t="str">
        <f>IF(ISBLANK(LCI_Table[[#This Row],[Notes for user]])," ",LCI_Table[[#This Row],[Notes for user]])</f>
        <v xml:space="preserve"> </v>
      </c>
      <c r="AA1518" s="14"/>
      <c r="AB1518" s="14"/>
      <c r="AC1518" s="346">
        <f ca="1">LCI_Table[[#This Row],[Default Calculated Value]]-LCI_Table[[#This Row],[Calculated Value]]</f>
        <v>0</v>
      </c>
    </row>
    <row r="1519" spans="1:29" x14ac:dyDescent="0.3">
      <c r="A15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stoverFTICAOMIT (GREET)(blank)_CornStover_Farming_DieselDiesel</v>
      </c>
      <c r="B1519" s="14" t="s">
        <v>135</v>
      </c>
      <c r="C1519" s="14" t="s">
        <v>129</v>
      </c>
      <c r="D1519" s="14" t="s">
        <v>194</v>
      </c>
      <c r="E1519" s="48" t="s">
        <v>1335</v>
      </c>
      <c r="F1519" s="48" t="s">
        <v>31</v>
      </c>
      <c r="G1519" s="14" t="b">
        <f>OR(LCI_Table[[#This Row],[Feedstock]]="All",LCI_Table[[#This Row],[Feedstock]]=SelectedFeedstock)</f>
        <v>0</v>
      </c>
      <c r="H1519" s="14" t="b">
        <f>OR(LCI_Table[[#This Row],[Conversion]]="All",LCI_Table[[#This Row],[Conversion]]=SelectedConversion)</f>
        <v>0</v>
      </c>
      <c r="I1519" s="14" t="b">
        <f>OR(LCI_Table[[#This Row],[Data Set]]="all",LCI_Table[[#This Row],[Data Set]]=SelectedDataSet)</f>
        <v>0</v>
      </c>
      <c r="J1519" s="14" t="b">
        <f>OR(LCI_Table[[#This Row],[Technology]]="All",LCI_Table[[#This Row],[Technology]]=SelectedTechnology)</f>
        <v>1</v>
      </c>
      <c r="K1519" s="14" t="b">
        <f>OR(LCI_Table[[#This Row],[Data Source]]="All",LCI_Table[[#This Row],[Data Source]]=SelectedDataSource)</f>
        <v>0</v>
      </c>
      <c r="L1519" s="14" t="b">
        <f>TRUE</f>
        <v>1</v>
      </c>
      <c r="M1519" s="14" t="b">
        <f>(LCI_Table[[#This Row],[Dev Notes]]="Do not display")</f>
        <v>0</v>
      </c>
      <c r="N1519" s="14" t="b">
        <f>AND(LCI_Table[[#This Row],[Show Feedstock]:[Conditional]],NOT(LCI_Table[[#This Row],[Hide Row]]))</f>
        <v>0</v>
      </c>
      <c r="O1519" s="14" t="b">
        <f>LCI_Table[[#This Row],[GREET1 Name Range]]=""</f>
        <v>0</v>
      </c>
      <c r="P1519" s="14" t="s">
        <v>147</v>
      </c>
      <c r="Q1519" s="14" t="s">
        <v>605</v>
      </c>
      <c r="R1519" s="14" t="s">
        <v>106</v>
      </c>
      <c r="S1519" s="37" cm="1">
        <f t="array" aca="1" ref="S15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4.2707883207096966</v>
      </c>
      <c r="T1519" s="346" t="s">
        <v>1484</v>
      </c>
      <c r="U1519" s="347">
        <f ca="1">S1519*Fuel_Specs!$B$19/S1511</f>
        <v>223592.24413408482</v>
      </c>
      <c r="V1519" s="347">
        <v>4.2707883207096966</v>
      </c>
      <c r="W1519" s="347">
        <v>223592.24413408482</v>
      </c>
      <c r="X1519" s="14" t="s">
        <v>5</v>
      </c>
      <c r="Y1519" s="346" t="s">
        <v>413</v>
      </c>
      <c r="Z1519" s="14" t="str">
        <f>IF(ISBLANK(LCI_Table[[#This Row],[Notes for user]])," ",LCI_Table[[#This Row],[Notes for user]])</f>
        <v xml:space="preserve"> </v>
      </c>
      <c r="AA1519" s="14"/>
      <c r="AB1519" s="14"/>
      <c r="AC1519" s="346">
        <f ca="1">LCI_Table[[#This Row],[Default Calculated Value]]-LCI_Table[[#This Row],[Calculated Value]]</f>
        <v>0</v>
      </c>
    </row>
    <row r="1520" spans="1:29" x14ac:dyDescent="0.3">
      <c r="A15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stoverFTICAOMIT (GREET)(blank)_CornStover_Farming_GasolineGasoline</v>
      </c>
      <c r="B1520" s="14" t="s">
        <v>135</v>
      </c>
      <c r="C1520" s="14" t="s">
        <v>129</v>
      </c>
      <c r="D1520" s="14" t="s">
        <v>194</v>
      </c>
      <c r="E1520" s="48" t="s">
        <v>1335</v>
      </c>
      <c r="F1520" s="48" t="s">
        <v>31</v>
      </c>
      <c r="G1520" s="14" t="b">
        <f>OR(LCI_Table[[#This Row],[Feedstock]]="All",LCI_Table[[#This Row],[Feedstock]]=SelectedFeedstock)</f>
        <v>0</v>
      </c>
      <c r="H1520" s="14" t="b">
        <f>OR(LCI_Table[[#This Row],[Conversion]]="All",LCI_Table[[#This Row],[Conversion]]=SelectedConversion)</f>
        <v>0</v>
      </c>
      <c r="I1520" s="14" t="b">
        <f>OR(LCI_Table[[#This Row],[Data Set]]="all",LCI_Table[[#This Row],[Data Set]]=SelectedDataSet)</f>
        <v>0</v>
      </c>
      <c r="J1520" s="14" t="b">
        <f>OR(LCI_Table[[#This Row],[Technology]]="All",LCI_Table[[#This Row],[Technology]]=SelectedTechnology)</f>
        <v>1</v>
      </c>
      <c r="K1520" s="14" t="b">
        <f>OR(LCI_Table[[#This Row],[Data Source]]="All",LCI_Table[[#This Row],[Data Source]]=SelectedDataSource)</f>
        <v>0</v>
      </c>
      <c r="L1520" s="14" t="b">
        <f>TRUE</f>
        <v>1</v>
      </c>
      <c r="M1520" s="14" t="b">
        <f>(LCI_Table[[#This Row],[Dev Notes]]="Do not display")</f>
        <v>0</v>
      </c>
      <c r="N1520" s="14" t="b">
        <f>AND(LCI_Table[[#This Row],[Show Feedstock]:[Conditional]],NOT(LCI_Table[[#This Row],[Hide Row]]))</f>
        <v>0</v>
      </c>
      <c r="O1520" s="14" t="b">
        <f>LCI_Table[[#This Row],[GREET1 Name Range]]=""</f>
        <v>0</v>
      </c>
      <c r="P1520" s="14" t="s">
        <v>147</v>
      </c>
      <c r="Q1520" s="14" t="s">
        <v>607</v>
      </c>
      <c r="R1520" s="14" t="s">
        <v>107</v>
      </c>
      <c r="S1520" s="37" cm="1">
        <f t="array" aca="1" ref="S15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20" s="346" t="s">
        <v>1484</v>
      </c>
      <c r="U1520" s="347">
        <f ca="1">S1520*Fuel_Specs!$B$15/S1511</f>
        <v>0</v>
      </c>
      <c r="V1520" s="347">
        <v>0</v>
      </c>
      <c r="W1520" s="347">
        <v>0</v>
      </c>
      <c r="X1520" s="14" t="s">
        <v>5</v>
      </c>
      <c r="Y1520" s="346" t="s">
        <v>413</v>
      </c>
      <c r="Z1520" s="14" t="str">
        <f>IF(ISBLANK(LCI_Table[[#This Row],[Notes for user]])," ",LCI_Table[[#This Row],[Notes for user]])</f>
        <v xml:space="preserve"> </v>
      </c>
      <c r="AA1520" s="14"/>
      <c r="AB1520" s="14"/>
      <c r="AC1520" s="346">
        <f ca="1">LCI_Table[[#This Row],[Default Calculated Value]]-LCI_Table[[#This Row],[Calculated Value]]</f>
        <v>0</v>
      </c>
    </row>
    <row r="1521" spans="1:29" x14ac:dyDescent="0.3">
      <c r="A15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stoverFTICAOMIT (GREET)(blank)_CornStover_Farming_Natural_gasNatural gas</v>
      </c>
      <c r="B1521" s="14" t="s">
        <v>135</v>
      </c>
      <c r="C1521" s="14" t="s">
        <v>129</v>
      </c>
      <c r="D1521" s="14" t="s">
        <v>194</v>
      </c>
      <c r="E1521" s="48" t="s">
        <v>1335</v>
      </c>
      <c r="F1521" s="48" t="s">
        <v>31</v>
      </c>
      <c r="G1521" s="14" t="b">
        <f>OR(LCI_Table[[#This Row],[Feedstock]]="All",LCI_Table[[#This Row],[Feedstock]]=SelectedFeedstock)</f>
        <v>0</v>
      </c>
      <c r="H1521" s="14" t="b">
        <f>OR(LCI_Table[[#This Row],[Conversion]]="All",LCI_Table[[#This Row],[Conversion]]=SelectedConversion)</f>
        <v>0</v>
      </c>
      <c r="I1521" s="14" t="b">
        <f>OR(LCI_Table[[#This Row],[Data Set]]="all",LCI_Table[[#This Row],[Data Set]]=SelectedDataSet)</f>
        <v>0</v>
      </c>
      <c r="J1521" s="14" t="b">
        <f>OR(LCI_Table[[#This Row],[Technology]]="All",LCI_Table[[#This Row],[Technology]]=SelectedTechnology)</f>
        <v>1</v>
      </c>
      <c r="K1521" s="14" t="b">
        <f>OR(LCI_Table[[#This Row],[Data Source]]="All",LCI_Table[[#This Row],[Data Source]]=SelectedDataSource)</f>
        <v>0</v>
      </c>
      <c r="L1521" s="14" t="b">
        <f>TRUE</f>
        <v>1</v>
      </c>
      <c r="M1521" s="14" t="b">
        <f>(LCI_Table[[#This Row],[Dev Notes]]="Do not display")</f>
        <v>0</v>
      </c>
      <c r="N1521" s="14" t="b">
        <f>AND(LCI_Table[[#This Row],[Show Feedstock]:[Conditional]],NOT(LCI_Table[[#This Row],[Hide Row]]))</f>
        <v>0</v>
      </c>
      <c r="O1521" s="14" t="b">
        <f>LCI_Table[[#This Row],[GREET1 Name Range]]=""</f>
        <v>0</v>
      </c>
      <c r="P1521" s="14" t="s">
        <v>147</v>
      </c>
      <c r="Q1521" s="14" t="s">
        <v>613</v>
      </c>
      <c r="R1521" s="14" t="s">
        <v>108</v>
      </c>
      <c r="S1521" s="37" cm="1">
        <f t="array" aca="1" ref="S15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21" s="346" t="s">
        <v>2109</v>
      </c>
      <c r="U1521" s="347">
        <f ca="1">S1521*Fuel_Specs!$B$79/S1511</f>
        <v>0</v>
      </c>
      <c r="V1521" s="347">
        <v>0</v>
      </c>
      <c r="W1521" s="347">
        <v>0</v>
      </c>
      <c r="X1521" s="14" t="s">
        <v>351</v>
      </c>
      <c r="Y1521" s="346" t="s">
        <v>413</v>
      </c>
      <c r="Z1521" s="14" t="str">
        <f>IF(ISBLANK(LCI_Table[[#This Row],[Notes for user]])," ",LCI_Table[[#This Row],[Notes for user]])</f>
        <v xml:space="preserve"> </v>
      </c>
      <c r="AA1521" s="14"/>
      <c r="AB1521" s="14"/>
      <c r="AC1521" s="346">
        <f ca="1">LCI_Table[[#This Row],[Default Calculated Value]]-LCI_Table[[#This Row],[Calculated Value]]</f>
        <v>0</v>
      </c>
    </row>
    <row r="1522" spans="1:29" x14ac:dyDescent="0.3">
      <c r="A15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stoverFTICAOMIT (GREET)(blank)_CornStover_Farming_CoalCoal</v>
      </c>
      <c r="B1522" s="14" t="s">
        <v>135</v>
      </c>
      <c r="C1522" s="14" t="s">
        <v>129</v>
      </c>
      <c r="D1522" s="14" t="s">
        <v>194</v>
      </c>
      <c r="E1522" s="48" t="s">
        <v>1335</v>
      </c>
      <c r="F1522" s="48" t="s">
        <v>31</v>
      </c>
      <c r="G1522" s="14" t="b">
        <f>OR(LCI_Table[[#This Row],[Feedstock]]="All",LCI_Table[[#This Row],[Feedstock]]=SelectedFeedstock)</f>
        <v>0</v>
      </c>
      <c r="H1522" s="14" t="b">
        <f>OR(LCI_Table[[#This Row],[Conversion]]="All",LCI_Table[[#This Row],[Conversion]]=SelectedConversion)</f>
        <v>0</v>
      </c>
      <c r="I1522" s="14" t="b">
        <f>OR(LCI_Table[[#This Row],[Data Set]]="all",LCI_Table[[#This Row],[Data Set]]=SelectedDataSet)</f>
        <v>0</v>
      </c>
      <c r="J1522" s="14" t="b">
        <f>OR(LCI_Table[[#This Row],[Technology]]="All",LCI_Table[[#This Row],[Technology]]=SelectedTechnology)</f>
        <v>1</v>
      </c>
      <c r="K1522" s="14" t="b">
        <f>OR(LCI_Table[[#This Row],[Data Source]]="All",LCI_Table[[#This Row],[Data Source]]=SelectedDataSource)</f>
        <v>0</v>
      </c>
      <c r="L1522" s="14" t="b">
        <f>TRUE</f>
        <v>1</v>
      </c>
      <c r="M1522" s="14" t="b">
        <f>(LCI_Table[[#This Row],[Dev Notes]]="Do not display")</f>
        <v>0</v>
      </c>
      <c r="N1522" s="14" t="b">
        <f>AND(LCI_Table[[#This Row],[Show Feedstock]:[Conditional]],NOT(LCI_Table[[#This Row],[Hide Row]]))</f>
        <v>0</v>
      </c>
      <c r="O1522" s="14" t="b">
        <f>LCI_Table[[#This Row],[GREET1 Name Range]]=""</f>
        <v>0</v>
      </c>
      <c r="P1522" s="14" t="s">
        <v>147</v>
      </c>
      <c r="Q1522" s="14" t="s">
        <v>604</v>
      </c>
      <c r="R1522" s="14" t="s">
        <v>9</v>
      </c>
      <c r="S1522" s="37" cm="1">
        <f t="array" aca="1" ref="S15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22" s="346" t="s">
        <v>2110</v>
      </c>
      <c r="U1522" s="347">
        <f ca="1">S1522/S1511</f>
        <v>0</v>
      </c>
      <c r="V1522" s="347">
        <v>0</v>
      </c>
      <c r="W1522" s="347">
        <v>0</v>
      </c>
      <c r="X1522" s="14" t="s">
        <v>117</v>
      </c>
      <c r="Y1522" s="346" t="s">
        <v>413</v>
      </c>
      <c r="Z1522" s="14" t="str">
        <f>IF(ISBLANK(LCI_Table[[#This Row],[Notes for user]])," ",LCI_Table[[#This Row],[Notes for user]])</f>
        <v xml:space="preserve"> </v>
      </c>
      <c r="AA1522" s="14"/>
      <c r="AB1522" s="14"/>
      <c r="AC1522" s="346">
        <f ca="1">LCI_Table[[#This Row],[Default Calculated Value]]-LCI_Table[[#This Row],[Calculated Value]]</f>
        <v>0</v>
      </c>
    </row>
    <row r="1523" spans="1:29" x14ac:dyDescent="0.3">
      <c r="A15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stoverFTICAOMIT (GREET)(blank)_CornStover_Farming_LPGLPG</v>
      </c>
      <c r="B1523" s="14" t="s">
        <v>135</v>
      </c>
      <c r="C1523" s="14" t="s">
        <v>129</v>
      </c>
      <c r="D1523" s="14" t="s">
        <v>194</v>
      </c>
      <c r="E1523" s="48" t="s">
        <v>1335</v>
      </c>
      <c r="F1523" s="48" t="s">
        <v>31</v>
      </c>
      <c r="G1523" s="14" t="b">
        <f>OR(LCI_Table[[#This Row],[Feedstock]]="All",LCI_Table[[#This Row],[Feedstock]]=SelectedFeedstock)</f>
        <v>0</v>
      </c>
      <c r="H1523" s="14" t="b">
        <f>OR(LCI_Table[[#This Row],[Conversion]]="All",LCI_Table[[#This Row],[Conversion]]=SelectedConversion)</f>
        <v>0</v>
      </c>
      <c r="I1523" s="14" t="b">
        <f>OR(LCI_Table[[#This Row],[Data Set]]="all",LCI_Table[[#This Row],[Data Set]]=SelectedDataSet)</f>
        <v>0</v>
      </c>
      <c r="J1523" s="14" t="b">
        <f>OR(LCI_Table[[#This Row],[Technology]]="All",LCI_Table[[#This Row],[Technology]]=SelectedTechnology)</f>
        <v>1</v>
      </c>
      <c r="K1523" s="14" t="b">
        <f>OR(LCI_Table[[#This Row],[Data Source]]="All",LCI_Table[[#This Row],[Data Source]]=SelectedDataSource)</f>
        <v>0</v>
      </c>
      <c r="L1523" s="14" t="b">
        <f>TRUE</f>
        <v>1</v>
      </c>
      <c r="M1523" s="14" t="b">
        <f>(LCI_Table[[#This Row],[Dev Notes]]="Do not display")</f>
        <v>0</v>
      </c>
      <c r="N1523" s="14" t="b">
        <f>AND(LCI_Table[[#This Row],[Show Feedstock]:[Conditional]],NOT(LCI_Table[[#This Row],[Hide Row]]))</f>
        <v>0</v>
      </c>
      <c r="O1523" s="14" t="b">
        <f>LCI_Table[[#This Row],[GREET1 Name Range]]=""</f>
        <v>0</v>
      </c>
      <c r="P1523" s="14" t="s">
        <v>147</v>
      </c>
      <c r="Q1523" s="14" t="s">
        <v>612</v>
      </c>
      <c r="R1523" s="14" t="s">
        <v>109</v>
      </c>
      <c r="S1523" s="37" cm="1">
        <f t="array" aca="1" ref="S15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23" s="346" t="s">
        <v>1484</v>
      </c>
      <c r="U1523" s="347">
        <f ca="1">S1523*Fuel_Specs!$B$35/S1511</f>
        <v>0</v>
      </c>
      <c r="V1523" s="347">
        <v>0</v>
      </c>
      <c r="W1523" s="347">
        <v>0</v>
      </c>
      <c r="X1523" s="14" t="s">
        <v>5</v>
      </c>
      <c r="Y1523" s="346" t="s">
        <v>413</v>
      </c>
      <c r="Z1523" s="14" t="str">
        <f>IF(ISBLANK(LCI_Table[[#This Row],[Notes for user]])," ",LCI_Table[[#This Row],[Notes for user]])</f>
        <v xml:space="preserve"> </v>
      </c>
      <c r="AA1523" s="14"/>
      <c r="AB1523" s="14"/>
      <c r="AC1523" s="346">
        <f ca="1">LCI_Table[[#This Row],[Default Calculated Value]]-LCI_Table[[#This Row],[Calculated Value]]</f>
        <v>0</v>
      </c>
    </row>
    <row r="1524" spans="1:29" x14ac:dyDescent="0.3">
      <c r="A15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stoverFTICAOMIT (GREET)(blank)_CornStover_Farming_ElectricityElectricity</v>
      </c>
      <c r="B1524" s="14" t="s">
        <v>135</v>
      </c>
      <c r="C1524" s="14" t="s">
        <v>129</v>
      </c>
      <c r="D1524" s="14" t="s">
        <v>194</v>
      </c>
      <c r="E1524" s="48" t="s">
        <v>1335</v>
      </c>
      <c r="F1524" s="48" t="s">
        <v>31</v>
      </c>
      <c r="G1524" s="14" t="b">
        <f>OR(LCI_Table[[#This Row],[Feedstock]]="All",LCI_Table[[#This Row],[Feedstock]]=SelectedFeedstock)</f>
        <v>0</v>
      </c>
      <c r="H1524" s="14" t="b">
        <f>OR(LCI_Table[[#This Row],[Conversion]]="All",LCI_Table[[#This Row],[Conversion]]=SelectedConversion)</f>
        <v>0</v>
      </c>
      <c r="I1524" s="14" t="b">
        <f>OR(LCI_Table[[#This Row],[Data Set]]="all",LCI_Table[[#This Row],[Data Set]]=SelectedDataSet)</f>
        <v>0</v>
      </c>
      <c r="J1524" s="14" t="b">
        <f>OR(LCI_Table[[#This Row],[Technology]]="All",LCI_Table[[#This Row],[Technology]]=SelectedTechnology)</f>
        <v>1</v>
      </c>
      <c r="K1524" s="14" t="b">
        <f>OR(LCI_Table[[#This Row],[Data Source]]="All",LCI_Table[[#This Row],[Data Source]]=SelectedDataSource)</f>
        <v>0</v>
      </c>
      <c r="L1524" s="14" t="b">
        <f>TRUE</f>
        <v>1</v>
      </c>
      <c r="M1524" s="14" t="b">
        <f>(LCI_Table[[#This Row],[Dev Notes]]="Do not display")</f>
        <v>0</v>
      </c>
      <c r="N1524" s="14" t="b">
        <f>AND(LCI_Table[[#This Row],[Show Feedstock]:[Conditional]],NOT(LCI_Table[[#This Row],[Hide Row]]))</f>
        <v>0</v>
      </c>
      <c r="O1524" s="14" t="b">
        <f>LCI_Table[[#This Row],[GREET1 Name Range]]=""</f>
        <v>0</v>
      </c>
      <c r="P1524" s="14" t="s">
        <v>147</v>
      </c>
      <c r="Q1524" s="14" t="s">
        <v>606</v>
      </c>
      <c r="R1524" s="348" t="s">
        <v>110</v>
      </c>
      <c r="S1524" s="37" cm="1">
        <f t="array" aca="1" ref="S15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24" s="346" t="s">
        <v>1561</v>
      </c>
      <c r="U1524" s="347">
        <f ca="1">S1524/BTU2kWh/S1511</f>
        <v>0</v>
      </c>
      <c r="V1524" s="347">
        <v>0</v>
      </c>
      <c r="W1524" s="347">
        <v>0</v>
      </c>
      <c r="X1524" s="14" t="s">
        <v>51</v>
      </c>
      <c r="Y1524" s="346" t="s">
        <v>413</v>
      </c>
      <c r="Z1524" s="14" t="str">
        <f>IF(ISBLANK(LCI_Table[[#This Row],[Notes for user]])," ",LCI_Table[[#This Row],[Notes for user]])</f>
        <v xml:space="preserve"> </v>
      </c>
      <c r="AA1524" s="14"/>
      <c r="AB1524" s="14"/>
      <c r="AC1524" s="346">
        <f ca="1">LCI_Table[[#This Row],[Default Calculated Value]]-LCI_Table[[#This Row],[Calculated Value]]</f>
        <v>0</v>
      </c>
    </row>
    <row r="1525" spans="1:29" x14ac:dyDescent="0.3">
      <c r="A15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stoverFTICAOMIT (GREET)(blank)_Corn_stover_FT_efficiencyCorn stover</v>
      </c>
      <c r="B1525" s="14" t="s">
        <v>135</v>
      </c>
      <c r="C1525" s="14" t="s">
        <v>129</v>
      </c>
      <c r="D1525" s="14" t="s">
        <v>194</v>
      </c>
      <c r="E1525" s="48" t="s">
        <v>1335</v>
      </c>
      <c r="F1525" s="48" t="s">
        <v>31</v>
      </c>
      <c r="G1525" s="14" t="b">
        <f>OR(LCI_Table[[#This Row],[Feedstock]]="All",LCI_Table[[#This Row],[Feedstock]]=SelectedFeedstock)</f>
        <v>0</v>
      </c>
      <c r="H1525" s="14" t="b">
        <f>OR(LCI_Table[[#This Row],[Conversion]]="All",LCI_Table[[#This Row],[Conversion]]=SelectedConversion)</f>
        <v>0</v>
      </c>
      <c r="I1525" s="14" t="b">
        <f>OR(LCI_Table[[#This Row],[Data Set]]="all",LCI_Table[[#This Row],[Data Set]]=SelectedDataSet)</f>
        <v>0</v>
      </c>
      <c r="J1525" s="14" t="b">
        <f>OR(LCI_Table[[#This Row],[Technology]]="All",LCI_Table[[#This Row],[Technology]]=SelectedTechnology)</f>
        <v>1</v>
      </c>
      <c r="K1525" s="14" t="b">
        <f>OR(LCI_Table[[#This Row],[Data Source]]="All",LCI_Table[[#This Row],[Data Source]]=SelectedDataSource)</f>
        <v>0</v>
      </c>
      <c r="L1525" s="14" t="b">
        <f>TRUE</f>
        <v>1</v>
      </c>
      <c r="M1525" s="14" t="b">
        <f>(LCI_Table[[#This Row],[Dev Notes]]="Do not display")</f>
        <v>0</v>
      </c>
      <c r="N1525" s="14" t="b">
        <f>AND(LCI_Table[[#This Row],[Show Feedstock]:[Conditional]],NOT(LCI_Table[[#This Row],[Hide Row]]))</f>
        <v>0</v>
      </c>
      <c r="O1525" s="14" t="b">
        <f>LCI_Table[[#This Row],[GREET1 Name Range]]=""</f>
        <v>0</v>
      </c>
      <c r="P1525" s="14" t="s">
        <v>1448</v>
      </c>
      <c r="Q1525" s="14" t="s">
        <v>940</v>
      </c>
      <c r="R1525" s="14" t="s">
        <v>135</v>
      </c>
      <c r="S1525" s="37" cm="1">
        <f t="array" aca="1" ref="S15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0.1359064963305246</v>
      </c>
      <c r="T1525" s="346" t="s">
        <v>2125</v>
      </c>
      <c r="U1525" s="347">
        <f ca="1">1/(S1525*Fuel_Specs!$B$99*BTU2mmBTU)</f>
        <v>0.5</v>
      </c>
      <c r="V1525" s="347">
        <v>0.1359064963305246</v>
      </c>
      <c r="W1525" s="347">
        <v>0.5</v>
      </c>
      <c r="X1525" s="37" t="s">
        <v>55</v>
      </c>
      <c r="Y1525" s="346" t="s">
        <v>416</v>
      </c>
      <c r="Z1525" s="14" t="str">
        <f>IF(ISBLANK(LCI_Table[[#This Row],[Notes for user]])," ",LCI_Table[[#This Row],[Notes for user]])</f>
        <v xml:space="preserve"> </v>
      </c>
      <c r="AA1525" s="14"/>
      <c r="AB1525" s="14"/>
      <c r="AC1525" s="346">
        <f ca="1">LCI_Table[[#This Row],[Default Calculated Value]]-LCI_Table[[#This Row],[Calculated Value]]</f>
        <v>0</v>
      </c>
    </row>
    <row r="1526" spans="1:29" x14ac:dyDescent="0.3">
      <c r="A15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stoverFTICAOJRC (E3)(blank)_Yield_Collection</v>
      </c>
      <c r="B1526" s="48" t="s">
        <v>135</v>
      </c>
      <c r="C1526" s="48" t="s">
        <v>129</v>
      </c>
      <c r="D1526" s="48" t="s">
        <v>194</v>
      </c>
      <c r="E1526" s="48" t="s">
        <v>1336</v>
      </c>
      <c r="F1526" s="48" t="s">
        <v>31</v>
      </c>
      <c r="G1526" s="14" t="b">
        <f>OR(LCI_Table[[#This Row],[Feedstock]]="All",LCI_Table[[#This Row],[Feedstock]]=SelectedFeedstock)</f>
        <v>0</v>
      </c>
      <c r="H1526" s="14" t="b">
        <f>OR(LCI_Table[[#This Row],[Conversion]]="All",LCI_Table[[#This Row],[Conversion]]=SelectedConversion)</f>
        <v>0</v>
      </c>
      <c r="I1526" s="14" t="b">
        <f>OR(LCI_Table[[#This Row],[Data Set]]="all",LCI_Table[[#This Row],[Data Set]]=SelectedDataSet)</f>
        <v>0</v>
      </c>
      <c r="J1526" s="14" t="b">
        <f>OR(LCI_Table[[#This Row],[Technology]]="All",LCI_Table[[#This Row],[Technology]]=SelectedTechnology)</f>
        <v>1</v>
      </c>
      <c r="K1526" s="14" t="b">
        <f>OR(LCI_Table[[#This Row],[Data Source]]="All",LCI_Table[[#This Row],[Data Source]]=SelectedDataSource)</f>
        <v>0</v>
      </c>
      <c r="L1526" s="14" t="b">
        <f>TRUE</f>
        <v>1</v>
      </c>
      <c r="M1526" s="14" t="b">
        <f>(LCI_Table[[#This Row],[Dev Notes]]="Do not display")</f>
        <v>0</v>
      </c>
      <c r="N1526" s="14" t="b">
        <f>AND(LCI_Table[[#This Row],[Show Feedstock]:[Conditional]],NOT(LCI_Table[[#This Row],[Hide Row]]))</f>
        <v>0</v>
      </c>
      <c r="O1526" s="14" t="b">
        <f>LCI_Table[[#This Row],[GREET1 Name Range]]=""</f>
        <v>1</v>
      </c>
      <c r="P1526" s="48" t="s">
        <v>147</v>
      </c>
      <c r="Q1526" s="14" t="s">
        <v>361</v>
      </c>
      <c r="R1526" s="48" t="s">
        <v>200</v>
      </c>
      <c r="S1526" s="37" cm="1">
        <f t="array" aca="1" ref="S15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2.4534963720216694</v>
      </c>
      <c r="T1526" s="346" t="s">
        <v>2116</v>
      </c>
      <c r="U1526" s="344">
        <f>LCI_Table[[#This Row],[Default Displayed Value]]</f>
        <v>2.4534963720216694</v>
      </c>
      <c r="V1526" s="344">
        <v>2.4534963720216694</v>
      </c>
      <c r="W1526" s="344">
        <v>2.4534963720216694</v>
      </c>
      <c r="X1526" s="48" t="s">
        <v>55</v>
      </c>
      <c r="Y1526" s="346" t="s">
        <v>413</v>
      </c>
      <c r="Z1526" s="14" t="str">
        <f>IF(ISBLANK(LCI_Table[[#This Row],[Notes for user]])," ",LCI_Table[[#This Row],[Notes for user]])</f>
        <v xml:space="preserve">Default is from ICAO-MIT option because the information is unavailable. </v>
      </c>
      <c r="AA1526" s="48" t="s">
        <v>1337</v>
      </c>
      <c r="AB1526" s="345" t="s">
        <v>1141</v>
      </c>
      <c r="AC1526" s="346">
        <f>LCI_Table[[#This Row],[Default Calculated Value]]-LCI_Table[[#This Row],[Calculated Value]]</f>
        <v>0</v>
      </c>
    </row>
    <row r="1527" spans="1:29" x14ac:dyDescent="0.3">
      <c r="A15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stoverFTICAOJRC (E3)(blank)_CornStover_Farming_Nitrogen_fertilizerNitrogen fertilizer</v>
      </c>
      <c r="B1527" s="14" t="s">
        <v>135</v>
      </c>
      <c r="C1527" s="14" t="s">
        <v>129</v>
      </c>
      <c r="D1527" s="14" t="s">
        <v>194</v>
      </c>
      <c r="E1527" s="48" t="s">
        <v>1336</v>
      </c>
      <c r="F1527" s="48" t="s">
        <v>31</v>
      </c>
      <c r="G1527" s="14" t="b">
        <f>OR(LCI_Table[[#This Row],[Feedstock]]="All",LCI_Table[[#This Row],[Feedstock]]=SelectedFeedstock)</f>
        <v>0</v>
      </c>
      <c r="H1527" s="14" t="b">
        <f>OR(LCI_Table[[#This Row],[Conversion]]="All",LCI_Table[[#This Row],[Conversion]]=SelectedConversion)</f>
        <v>0</v>
      </c>
      <c r="I1527" s="14" t="b">
        <f>OR(LCI_Table[[#This Row],[Data Set]]="all",LCI_Table[[#This Row],[Data Set]]=SelectedDataSet)</f>
        <v>0</v>
      </c>
      <c r="J1527" s="14" t="b">
        <f>OR(LCI_Table[[#This Row],[Technology]]="All",LCI_Table[[#This Row],[Technology]]=SelectedTechnology)</f>
        <v>1</v>
      </c>
      <c r="K1527" s="14" t="b">
        <f>OR(LCI_Table[[#This Row],[Data Source]]="All",LCI_Table[[#This Row],[Data Source]]=SelectedDataSource)</f>
        <v>0</v>
      </c>
      <c r="L1527" s="14" t="b">
        <f>TRUE</f>
        <v>1</v>
      </c>
      <c r="M1527" s="14" t="b">
        <f>(LCI_Table[[#This Row],[Dev Notes]]="Do not display")</f>
        <v>0</v>
      </c>
      <c r="N1527" s="14" t="b">
        <f>AND(LCI_Table[[#This Row],[Show Feedstock]:[Conditional]],NOT(LCI_Table[[#This Row],[Hide Row]]))</f>
        <v>0</v>
      </c>
      <c r="O1527" s="14" t="b">
        <f>LCI_Table[[#This Row],[GREET1 Name Range]]=""</f>
        <v>0</v>
      </c>
      <c r="P1527" s="14" t="s">
        <v>147</v>
      </c>
      <c r="Q1527" s="14" t="s">
        <v>614</v>
      </c>
      <c r="R1527" s="14" t="s">
        <v>111</v>
      </c>
      <c r="S1527" s="37" cm="1">
        <f t="array" aca="1" ref="S15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27" s="346" t="s">
        <v>1485</v>
      </c>
      <c r="U1527" s="347">
        <f ca="1">S1527/S1526*lb2g</f>
        <v>0</v>
      </c>
      <c r="V1527" s="347">
        <v>0</v>
      </c>
      <c r="W1527" s="347">
        <v>0</v>
      </c>
      <c r="X1527" s="14" t="s">
        <v>12</v>
      </c>
      <c r="Y1527" s="346" t="s">
        <v>413</v>
      </c>
      <c r="Z1527" s="14" t="str">
        <f>IF(ISBLANK(LCI_Table[[#This Row],[Notes for user]])," ",LCI_Table[[#This Row],[Notes for user]])</f>
        <v xml:space="preserve"> </v>
      </c>
      <c r="AA1527" s="14"/>
      <c r="AB1527" s="14"/>
      <c r="AC1527" s="346">
        <f ca="1">LCI_Table[[#This Row],[Default Calculated Value]]-LCI_Table[[#This Row],[Calculated Value]]</f>
        <v>0</v>
      </c>
    </row>
    <row r="1528" spans="1:29" x14ac:dyDescent="0.3">
      <c r="A15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stoverFTICAOJRC (E3)(blank)_CornStover_Farming_P2O5P2O5</v>
      </c>
      <c r="B1528" s="14" t="s">
        <v>135</v>
      </c>
      <c r="C1528" s="14" t="s">
        <v>129</v>
      </c>
      <c r="D1528" s="14" t="s">
        <v>194</v>
      </c>
      <c r="E1528" s="48" t="s">
        <v>1336</v>
      </c>
      <c r="F1528" s="48" t="s">
        <v>31</v>
      </c>
      <c r="G1528" s="14" t="b">
        <f>OR(LCI_Table[[#This Row],[Feedstock]]="All",LCI_Table[[#This Row],[Feedstock]]=SelectedFeedstock)</f>
        <v>0</v>
      </c>
      <c r="H1528" s="14" t="b">
        <f>OR(LCI_Table[[#This Row],[Conversion]]="All",LCI_Table[[#This Row],[Conversion]]=SelectedConversion)</f>
        <v>0</v>
      </c>
      <c r="I1528" s="14" t="b">
        <f>OR(LCI_Table[[#This Row],[Data Set]]="all",LCI_Table[[#This Row],[Data Set]]=SelectedDataSet)</f>
        <v>0</v>
      </c>
      <c r="J1528" s="14" t="b">
        <f>OR(LCI_Table[[#This Row],[Technology]]="All",LCI_Table[[#This Row],[Technology]]=SelectedTechnology)</f>
        <v>1</v>
      </c>
      <c r="K1528" s="14" t="b">
        <f>OR(LCI_Table[[#This Row],[Data Source]]="All",LCI_Table[[#This Row],[Data Source]]=SelectedDataSource)</f>
        <v>0</v>
      </c>
      <c r="L1528" s="14" t="b">
        <f>TRUE</f>
        <v>1</v>
      </c>
      <c r="M1528" s="14" t="b">
        <f>(LCI_Table[[#This Row],[Dev Notes]]="Do not display")</f>
        <v>0</v>
      </c>
      <c r="N1528" s="14" t="b">
        <f>AND(LCI_Table[[#This Row],[Show Feedstock]:[Conditional]],NOT(LCI_Table[[#This Row],[Hide Row]]))</f>
        <v>0</v>
      </c>
      <c r="O1528" s="14" t="b">
        <f>LCI_Table[[#This Row],[GREET1 Name Range]]=""</f>
        <v>0</v>
      </c>
      <c r="P1528" s="14" t="s">
        <v>147</v>
      </c>
      <c r="Q1528" s="14" t="s">
        <v>615</v>
      </c>
      <c r="R1528" s="14" t="s">
        <v>112</v>
      </c>
      <c r="S1528" s="37" cm="1">
        <f t="array" aca="1" ref="S15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28" s="346" t="s">
        <v>1485</v>
      </c>
      <c r="U1528" s="347">
        <f ca="1">S1528/S1526*lb2g</f>
        <v>0</v>
      </c>
      <c r="V1528" s="347">
        <v>0</v>
      </c>
      <c r="W1528" s="347">
        <v>0</v>
      </c>
      <c r="X1528" s="14" t="s">
        <v>12</v>
      </c>
      <c r="Y1528" s="346" t="s">
        <v>413</v>
      </c>
      <c r="Z1528" s="14" t="str">
        <f>IF(ISBLANK(LCI_Table[[#This Row],[Notes for user]])," ",LCI_Table[[#This Row],[Notes for user]])</f>
        <v xml:space="preserve"> </v>
      </c>
      <c r="AA1528" s="14"/>
      <c r="AB1528" s="14"/>
      <c r="AC1528" s="346">
        <f ca="1">LCI_Table[[#This Row],[Default Calculated Value]]-LCI_Table[[#This Row],[Calculated Value]]</f>
        <v>0</v>
      </c>
    </row>
    <row r="1529" spans="1:29" x14ac:dyDescent="0.3">
      <c r="A15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stoverFTICAOJRC (E3)(blank)_CornStover_Farming_K2OK2O</v>
      </c>
      <c r="B1529" s="14" t="s">
        <v>135</v>
      </c>
      <c r="C1529" s="14" t="s">
        <v>129</v>
      </c>
      <c r="D1529" s="14" t="s">
        <v>194</v>
      </c>
      <c r="E1529" s="48" t="s">
        <v>1336</v>
      </c>
      <c r="F1529" s="48" t="s">
        <v>31</v>
      </c>
      <c r="G1529" s="14" t="b">
        <f>OR(LCI_Table[[#This Row],[Feedstock]]="All",LCI_Table[[#This Row],[Feedstock]]=SelectedFeedstock)</f>
        <v>0</v>
      </c>
      <c r="H1529" s="14" t="b">
        <f>OR(LCI_Table[[#This Row],[Conversion]]="All",LCI_Table[[#This Row],[Conversion]]=SelectedConversion)</f>
        <v>0</v>
      </c>
      <c r="I1529" s="14" t="b">
        <f>OR(LCI_Table[[#This Row],[Data Set]]="all",LCI_Table[[#This Row],[Data Set]]=SelectedDataSet)</f>
        <v>0</v>
      </c>
      <c r="J1529" s="14" t="b">
        <f>OR(LCI_Table[[#This Row],[Technology]]="All",LCI_Table[[#This Row],[Technology]]=SelectedTechnology)</f>
        <v>1</v>
      </c>
      <c r="K1529" s="14" t="b">
        <f>OR(LCI_Table[[#This Row],[Data Source]]="All",LCI_Table[[#This Row],[Data Source]]=SelectedDataSource)</f>
        <v>0</v>
      </c>
      <c r="L1529" s="14" t="b">
        <f>TRUE</f>
        <v>1</v>
      </c>
      <c r="M1529" s="14" t="b">
        <f>(LCI_Table[[#This Row],[Dev Notes]]="Do not display")</f>
        <v>0</v>
      </c>
      <c r="N1529" s="14" t="b">
        <f>AND(LCI_Table[[#This Row],[Show Feedstock]:[Conditional]],NOT(LCI_Table[[#This Row],[Hide Row]]))</f>
        <v>0</v>
      </c>
      <c r="O1529" s="14" t="b">
        <f>LCI_Table[[#This Row],[GREET1 Name Range]]=""</f>
        <v>0</v>
      </c>
      <c r="P1529" s="14" t="s">
        <v>147</v>
      </c>
      <c r="Q1529" s="14" t="s">
        <v>611</v>
      </c>
      <c r="R1529" s="14" t="s">
        <v>113</v>
      </c>
      <c r="S1529" s="37" cm="1">
        <f t="array" aca="1" ref="S15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29" s="346" t="s">
        <v>1485</v>
      </c>
      <c r="U1529" s="347">
        <f ca="1">S1529/S1526*lb2g</f>
        <v>0</v>
      </c>
      <c r="V1529" s="347">
        <v>0</v>
      </c>
      <c r="W1529" s="347">
        <v>0</v>
      </c>
      <c r="X1529" s="14" t="s">
        <v>12</v>
      </c>
      <c r="Y1529" s="346" t="s">
        <v>413</v>
      </c>
      <c r="Z1529" s="14" t="str">
        <f>IF(ISBLANK(LCI_Table[[#This Row],[Notes for user]])," ",LCI_Table[[#This Row],[Notes for user]])</f>
        <v xml:space="preserve"> </v>
      </c>
      <c r="AA1529" s="14"/>
      <c r="AB1529" s="14"/>
      <c r="AC1529" s="346">
        <f ca="1">LCI_Table[[#This Row],[Default Calculated Value]]-LCI_Table[[#This Row],[Calculated Value]]</f>
        <v>0</v>
      </c>
    </row>
    <row r="1530" spans="1:29" x14ac:dyDescent="0.3">
      <c r="A15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stoverFTICAOJRC (E3)(blank)_CornStover_Farming_HerbicidesHerbicides</v>
      </c>
      <c r="B1530" s="14" t="s">
        <v>135</v>
      </c>
      <c r="C1530" s="14" t="s">
        <v>129</v>
      </c>
      <c r="D1530" s="14" t="s">
        <v>194</v>
      </c>
      <c r="E1530" s="48" t="s">
        <v>1336</v>
      </c>
      <c r="F1530" s="48" t="s">
        <v>31</v>
      </c>
      <c r="G1530" s="14" t="b">
        <f>OR(LCI_Table[[#This Row],[Feedstock]]="All",LCI_Table[[#This Row],[Feedstock]]=SelectedFeedstock)</f>
        <v>0</v>
      </c>
      <c r="H1530" s="14" t="b">
        <f>OR(LCI_Table[[#This Row],[Conversion]]="All",LCI_Table[[#This Row],[Conversion]]=SelectedConversion)</f>
        <v>0</v>
      </c>
      <c r="I1530" s="14" t="b">
        <f>OR(LCI_Table[[#This Row],[Data Set]]="all",LCI_Table[[#This Row],[Data Set]]=SelectedDataSet)</f>
        <v>0</v>
      </c>
      <c r="J1530" s="14" t="b">
        <f>OR(LCI_Table[[#This Row],[Technology]]="All",LCI_Table[[#This Row],[Technology]]=SelectedTechnology)</f>
        <v>1</v>
      </c>
      <c r="K1530" s="14" t="b">
        <f>OR(LCI_Table[[#This Row],[Data Source]]="All",LCI_Table[[#This Row],[Data Source]]=SelectedDataSource)</f>
        <v>0</v>
      </c>
      <c r="L1530" s="14" t="b">
        <f>TRUE</f>
        <v>1</v>
      </c>
      <c r="M1530" s="14" t="b">
        <f>(LCI_Table[[#This Row],[Dev Notes]]="Do not display")</f>
        <v>0</v>
      </c>
      <c r="N1530" s="14" t="b">
        <f>AND(LCI_Table[[#This Row],[Show Feedstock]:[Conditional]],NOT(LCI_Table[[#This Row],[Hide Row]]))</f>
        <v>0</v>
      </c>
      <c r="O1530" s="14" t="b">
        <f>LCI_Table[[#This Row],[GREET1 Name Range]]=""</f>
        <v>0</v>
      </c>
      <c r="P1530" s="14" t="s">
        <v>147</v>
      </c>
      <c r="Q1530" s="14" t="s">
        <v>609</v>
      </c>
      <c r="R1530" s="14" t="s">
        <v>356</v>
      </c>
      <c r="S1530" s="37" cm="1">
        <f t="array" aca="1" ref="S15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30" s="346" t="s">
        <v>1485</v>
      </c>
      <c r="U1530" s="347">
        <f ca="1">S1530/S1526*lb2g</f>
        <v>0</v>
      </c>
      <c r="V1530" s="347">
        <v>0</v>
      </c>
      <c r="W1530" s="347">
        <v>0</v>
      </c>
      <c r="X1530" s="14" t="s">
        <v>12</v>
      </c>
      <c r="Y1530" s="346" t="s">
        <v>413</v>
      </c>
      <c r="Z1530" s="14" t="str">
        <f>IF(ISBLANK(LCI_Table[[#This Row],[Notes for user]])," ",LCI_Table[[#This Row],[Notes for user]])</f>
        <v xml:space="preserve"> </v>
      </c>
      <c r="AA1530" s="14"/>
      <c r="AB1530" s="14"/>
      <c r="AC1530" s="346">
        <f ca="1">LCI_Table[[#This Row],[Default Calculated Value]]-LCI_Table[[#This Row],[Calculated Value]]</f>
        <v>0</v>
      </c>
    </row>
    <row r="1531" spans="1:29" x14ac:dyDescent="0.3">
      <c r="A15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stoverFTICAOJRC (E3)(blank)_CornStover_Farming_InsecticideInsecticide</v>
      </c>
      <c r="B1531" s="14" t="s">
        <v>135</v>
      </c>
      <c r="C1531" s="14" t="s">
        <v>129</v>
      </c>
      <c r="D1531" s="14" t="s">
        <v>194</v>
      </c>
      <c r="E1531" s="48" t="s">
        <v>1336</v>
      </c>
      <c r="F1531" s="48" t="s">
        <v>31</v>
      </c>
      <c r="G1531" s="14" t="b">
        <f>OR(LCI_Table[[#This Row],[Feedstock]]="All",LCI_Table[[#This Row],[Feedstock]]=SelectedFeedstock)</f>
        <v>0</v>
      </c>
      <c r="H1531" s="14" t="b">
        <f>OR(LCI_Table[[#This Row],[Conversion]]="All",LCI_Table[[#This Row],[Conversion]]=SelectedConversion)</f>
        <v>0</v>
      </c>
      <c r="I1531" s="14" t="b">
        <f>OR(LCI_Table[[#This Row],[Data Set]]="all",LCI_Table[[#This Row],[Data Set]]=SelectedDataSet)</f>
        <v>0</v>
      </c>
      <c r="J1531" s="14" t="b">
        <f>OR(LCI_Table[[#This Row],[Technology]]="All",LCI_Table[[#This Row],[Technology]]=SelectedTechnology)</f>
        <v>1</v>
      </c>
      <c r="K1531" s="14" t="b">
        <f>OR(LCI_Table[[#This Row],[Data Source]]="All",LCI_Table[[#This Row],[Data Source]]=SelectedDataSource)</f>
        <v>0</v>
      </c>
      <c r="L1531" s="14" t="b">
        <f>TRUE</f>
        <v>1</v>
      </c>
      <c r="M1531" s="14" t="b">
        <f>(LCI_Table[[#This Row],[Dev Notes]]="Do not display")</f>
        <v>0</v>
      </c>
      <c r="N1531" s="14" t="b">
        <f>AND(LCI_Table[[#This Row],[Show Feedstock]:[Conditional]],NOT(LCI_Table[[#This Row],[Hide Row]]))</f>
        <v>0</v>
      </c>
      <c r="O1531" s="14" t="b">
        <f>LCI_Table[[#This Row],[GREET1 Name Range]]=""</f>
        <v>0</v>
      </c>
      <c r="P1531" s="14" t="s">
        <v>147</v>
      </c>
      <c r="Q1531" s="14" t="s">
        <v>610</v>
      </c>
      <c r="R1531" s="14" t="s">
        <v>114</v>
      </c>
      <c r="S1531" s="37" cm="1">
        <f t="array" aca="1" ref="S15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31" s="346" t="s">
        <v>1485</v>
      </c>
      <c r="U1531" s="347">
        <f ca="1">S1531/S1526*lb2g</f>
        <v>0</v>
      </c>
      <c r="V1531" s="347">
        <v>0</v>
      </c>
      <c r="W1531" s="347">
        <v>0</v>
      </c>
      <c r="X1531" s="14" t="s">
        <v>12</v>
      </c>
      <c r="Y1531" s="346" t="s">
        <v>413</v>
      </c>
      <c r="Z1531" s="14" t="str">
        <f>IF(ISBLANK(LCI_Table[[#This Row],[Notes for user]])," ",LCI_Table[[#This Row],[Notes for user]])</f>
        <v xml:space="preserve"> </v>
      </c>
      <c r="AA1531" s="14"/>
      <c r="AB1531" s="14"/>
      <c r="AC1531" s="346">
        <f ca="1">LCI_Table[[#This Row],[Default Calculated Value]]-LCI_Table[[#This Row],[Calculated Value]]</f>
        <v>0</v>
      </c>
    </row>
    <row r="1532" spans="1:29" x14ac:dyDescent="0.3">
      <c r="A15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stoverFTICAOJRC (E3)(blank)_CornStover_Farming_HDPEHDPE</v>
      </c>
      <c r="B1532" s="14" t="s">
        <v>135</v>
      </c>
      <c r="C1532" s="14" t="s">
        <v>129</v>
      </c>
      <c r="D1532" s="14" t="s">
        <v>194</v>
      </c>
      <c r="E1532" s="48" t="s">
        <v>1336</v>
      </c>
      <c r="F1532" s="48" t="s">
        <v>31</v>
      </c>
      <c r="G1532" s="14" t="b">
        <f>OR(LCI_Table[[#This Row],[Feedstock]]="All",LCI_Table[[#This Row],[Feedstock]]=SelectedFeedstock)</f>
        <v>0</v>
      </c>
      <c r="H1532" s="14" t="b">
        <f>OR(LCI_Table[[#This Row],[Conversion]]="All",LCI_Table[[#This Row],[Conversion]]=SelectedConversion)</f>
        <v>0</v>
      </c>
      <c r="I1532" s="14" t="b">
        <f>OR(LCI_Table[[#This Row],[Data Set]]="all",LCI_Table[[#This Row],[Data Set]]=SelectedDataSet)</f>
        <v>0</v>
      </c>
      <c r="J1532" s="14" t="b">
        <f>OR(LCI_Table[[#This Row],[Technology]]="All",LCI_Table[[#This Row],[Technology]]=SelectedTechnology)</f>
        <v>1</v>
      </c>
      <c r="K1532" s="14" t="b">
        <f>OR(LCI_Table[[#This Row],[Data Source]]="All",LCI_Table[[#This Row],[Data Source]]=SelectedDataSource)</f>
        <v>0</v>
      </c>
      <c r="L1532" s="14" t="b">
        <f>TRUE</f>
        <v>1</v>
      </c>
      <c r="M1532" s="14" t="b">
        <f>(LCI_Table[[#This Row],[Dev Notes]]="Do not display")</f>
        <v>0</v>
      </c>
      <c r="N1532" s="14" t="b">
        <f>AND(LCI_Table[[#This Row],[Show Feedstock]:[Conditional]],NOT(LCI_Table[[#This Row],[Hide Row]]))</f>
        <v>0</v>
      </c>
      <c r="O1532" s="14" t="b">
        <f>LCI_Table[[#This Row],[GREET1 Name Range]]=""</f>
        <v>0</v>
      </c>
      <c r="P1532" s="14" t="s">
        <v>147</v>
      </c>
      <c r="Q1532" s="14" t="s">
        <v>608</v>
      </c>
      <c r="R1532" s="14" t="s">
        <v>357</v>
      </c>
      <c r="S1532" s="37" cm="1">
        <f t="array" aca="1" ref="S15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32" s="346" t="s">
        <v>1485</v>
      </c>
      <c r="U1532" s="347">
        <f ca="1">S1532/S1526*lb2g</f>
        <v>0</v>
      </c>
      <c r="V1532" s="347">
        <v>0</v>
      </c>
      <c r="W1532" s="347">
        <v>0</v>
      </c>
      <c r="X1532" s="14" t="s">
        <v>12</v>
      </c>
      <c r="Y1532" s="346" t="s">
        <v>413</v>
      </c>
      <c r="Z1532" s="14" t="str">
        <f>IF(ISBLANK(LCI_Table[[#This Row],[Notes for user]])," ",LCI_Table[[#This Row],[Notes for user]])</f>
        <v xml:space="preserve"> </v>
      </c>
      <c r="AA1532" s="14"/>
      <c r="AB1532" s="14"/>
      <c r="AC1532" s="346">
        <f ca="1">LCI_Table[[#This Row],[Default Calculated Value]]-LCI_Table[[#This Row],[Calculated Value]]</f>
        <v>0</v>
      </c>
    </row>
    <row r="1533" spans="1:29" x14ac:dyDescent="0.3">
      <c r="A15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stoverFTICAOJRC (E3)(blank)_CornStover_Farming_Residual_oilResidual oil</v>
      </c>
      <c r="B1533" s="14" t="s">
        <v>135</v>
      </c>
      <c r="C1533" s="14" t="s">
        <v>129</v>
      </c>
      <c r="D1533" s="14" t="s">
        <v>194</v>
      </c>
      <c r="E1533" s="48" t="s">
        <v>1336</v>
      </c>
      <c r="F1533" s="48" t="s">
        <v>31</v>
      </c>
      <c r="G1533" s="14" t="b">
        <f>OR(LCI_Table[[#This Row],[Feedstock]]="All",LCI_Table[[#This Row],[Feedstock]]=SelectedFeedstock)</f>
        <v>0</v>
      </c>
      <c r="H1533" s="14" t="b">
        <f>OR(LCI_Table[[#This Row],[Conversion]]="All",LCI_Table[[#This Row],[Conversion]]=SelectedConversion)</f>
        <v>0</v>
      </c>
      <c r="I1533" s="14" t="b">
        <f>OR(LCI_Table[[#This Row],[Data Set]]="all",LCI_Table[[#This Row],[Data Set]]=SelectedDataSet)</f>
        <v>0</v>
      </c>
      <c r="J1533" s="14" t="b">
        <f>OR(LCI_Table[[#This Row],[Technology]]="All",LCI_Table[[#This Row],[Technology]]=SelectedTechnology)</f>
        <v>1</v>
      </c>
      <c r="K1533" s="14" t="b">
        <f>OR(LCI_Table[[#This Row],[Data Source]]="All",LCI_Table[[#This Row],[Data Source]]=SelectedDataSource)</f>
        <v>0</v>
      </c>
      <c r="L1533" s="14" t="b">
        <f>TRUE</f>
        <v>1</v>
      </c>
      <c r="M1533" s="14" t="b">
        <f>(LCI_Table[[#This Row],[Dev Notes]]="Do not display")</f>
        <v>0</v>
      </c>
      <c r="N1533" s="14" t="b">
        <f>AND(LCI_Table[[#This Row],[Show Feedstock]:[Conditional]],NOT(LCI_Table[[#This Row],[Hide Row]]))</f>
        <v>0</v>
      </c>
      <c r="O1533" s="14" t="b">
        <f>LCI_Table[[#This Row],[GREET1 Name Range]]=""</f>
        <v>0</v>
      </c>
      <c r="P1533" s="14" t="s">
        <v>147</v>
      </c>
      <c r="Q1533" s="14" t="s">
        <v>616</v>
      </c>
      <c r="R1533" s="14" t="s">
        <v>115</v>
      </c>
      <c r="S1533" s="37" cm="1">
        <f t="array" aca="1" ref="S15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33" s="346" t="s">
        <v>1484</v>
      </c>
      <c r="U1533" s="347">
        <f ca="1">S1533*Fuel_Specs!$B$28/S1526</f>
        <v>0</v>
      </c>
      <c r="V1533" s="347">
        <v>0</v>
      </c>
      <c r="W1533" s="347">
        <v>0</v>
      </c>
      <c r="X1533" s="14" t="s">
        <v>5</v>
      </c>
      <c r="Y1533" s="346" t="s">
        <v>413</v>
      </c>
      <c r="Z1533" s="14" t="str">
        <f>IF(ISBLANK(LCI_Table[[#This Row],[Notes for user]])," ",LCI_Table[[#This Row],[Notes for user]])</f>
        <v xml:space="preserve"> </v>
      </c>
      <c r="AA1533" s="14"/>
      <c r="AB1533" s="14"/>
      <c r="AC1533" s="346">
        <f ca="1">LCI_Table[[#This Row],[Default Calculated Value]]-LCI_Table[[#This Row],[Calculated Value]]</f>
        <v>0</v>
      </c>
    </row>
    <row r="1534" spans="1:29" x14ac:dyDescent="0.3">
      <c r="A15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stoverFTICAOJRC (E3)(blank)_CornStover_Farming_DieselDiesel</v>
      </c>
      <c r="B1534" s="14" t="s">
        <v>135</v>
      </c>
      <c r="C1534" s="14" t="s">
        <v>129</v>
      </c>
      <c r="D1534" s="14" t="s">
        <v>194</v>
      </c>
      <c r="E1534" s="48" t="s">
        <v>1336</v>
      </c>
      <c r="F1534" s="48" t="s">
        <v>31</v>
      </c>
      <c r="G1534" s="14" t="b">
        <f>OR(LCI_Table[[#This Row],[Feedstock]]="All",LCI_Table[[#This Row],[Feedstock]]=SelectedFeedstock)</f>
        <v>0</v>
      </c>
      <c r="H1534" s="14" t="b">
        <f>OR(LCI_Table[[#This Row],[Conversion]]="All",LCI_Table[[#This Row],[Conversion]]=SelectedConversion)</f>
        <v>0</v>
      </c>
      <c r="I1534" s="14" t="b">
        <f>OR(LCI_Table[[#This Row],[Data Set]]="all",LCI_Table[[#This Row],[Data Set]]=SelectedDataSet)</f>
        <v>0</v>
      </c>
      <c r="J1534" s="14" t="b">
        <f>OR(LCI_Table[[#This Row],[Technology]]="All",LCI_Table[[#This Row],[Technology]]=SelectedTechnology)</f>
        <v>1</v>
      </c>
      <c r="K1534" s="14" t="b">
        <f>OR(LCI_Table[[#This Row],[Data Source]]="All",LCI_Table[[#This Row],[Data Source]]=SelectedDataSource)</f>
        <v>0</v>
      </c>
      <c r="L1534" s="14" t="b">
        <f>TRUE</f>
        <v>1</v>
      </c>
      <c r="M1534" s="14" t="b">
        <f>(LCI_Table[[#This Row],[Dev Notes]]="Do not display")</f>
        <v>0</v>
      </c>
      <c r="N1534" s="14" t="b">
        <f>AND(LCI_Table[[#This Row],[Show Feedstock]:[Conditional]],NOT(LCI_Table[[#This Row],[Hide Row]]))</f>
        <v>0</v>
      </c>
      <c r="O1534" s="14" t="b">
        <f>LCI_Table[[#This Row],[GREET1 Name Range]]=""</f>
        <v>0</v>
      </c>
      <c r="P1534" s="14" t="s">
        <v>147</v>
      </c>
      <c r="Q1534" s="14" t="s">
        <v>605</v>
      </c>
      <c r="R1534" s="14" t="s">
        <v>106</v>
      </c>
      <c r="S1534" s="37" cm="1">
        <f t="array" aca="1" ref="S15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4.2280184529061406</v>
      </c>
      <c r="T1534" s="346" t="s">
        <v>1484</v>
      </c>
      <c r="U1534" s="347">
        <f ca="1">S1534*Fuel_Specs!$B$19/S1526</f>
        <v>221353.07655999958</v>
      </c>
      <c r="V1534" s="347">
        <v>4.2280184529061406</v>
      </c>
      <c r="W1534" s="347">
        <v>221353.07655999958</v>
      </c>
      <c r="X1534" s="14" t="s">
        <v>5</v>
      </c>
      <c r="Y1534" s="346" t="s">
        <v>413</v>
      </c>
      <c r="Z1534" s="14" t="str">
        <f>IF(ISBLANK(LCI_Table[[#This Row],[Notes for user]])," ",LCI_Table[[#This Row],[Notes for user]])</f>
        <v xml:space="preserve"> </v>
      </c>
      <c r="AA1534" s="14"/>
      <c r="AB1534" s="14"/>
      <c r="AC1534" s="346">
        <f ca="1">LCI_Table[[#This Row],[Default Calculated Value]]-LCI_Table[[#This Row],[Calculated Value]]</f>
        <v>0</v>
      </c>
    </row>
    <row r="1535" spans="1:29" x14ac:dyDescent="0.3">
      <c r="A15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stoverFTICAOJRC (E3)(blank)_CornStover_Farming_GasolineGasoline</v>
      </c>
      <c r="B1535" s="14" t="s">
        <v>135</v>
      </c>
      <c r="C1535" s="14" t="s">
        <v>129</v>
      </c>
      <c r="D1535" s="14" t="s">
        <v>194</v>
      </c>
      <c r="E1535" s="48" t="s">
        <v>1336</v>
      </c>
      <c r="F1535" s="48" t="s">
        <v>31</v>
      </c>
      <c r="G1535" s="14" t="b">
        <f>OR(LCI_Table[[#This Row],[Feedstock]]="All",LCI_Table[[#This Row],[Feedstock]]=SelectedFeedstock)</f>
        <v>0</v>
      </c>
      <c r="H1535" s="14" t="b">
        <f>OR(LCI_Table[[#This Row],[Conversion]]="All",LCI_Table[[#This Row],[Conversion]]=SelectedConversion)</f>
        <v>0</v>
      </c>
      <c r="I1535" s="14" t="b">
        <f>OR(LCI_Table[[#This Row],[Data Set]]="all",LCI_Table[[#This Row],[Data Set]]=SelectedDataSet)</f>
        <v>0</v>
      </c>
      <c r="J1535" s="14" t="b">
        <f>OR(LCI_Table[[#This Row],[Technology]]="All",LCI_Table[[#This Row],[Technology]]=SelectedTechnology)</f>
        <v>1</v>
      </c>
      <c r="K1535" s="14" t="b">
        <f>OR(LCI_Table[[#This Row],[Data Source]]="All",LCI_Table[[#This Row],[Data Source]]=SelectedDataSource)</f>
        <v>0</v>
      </c>
      <c r="L1535" s="14" t="b">
        <f>TRUE</f>
        <v>1</v>
      </c>
      <c r="M1535" s="14" t="b">
        <f>(LCI_Table[[#This Row],[Dev Notes]]="Do not display")</f>
        <v>0</v>
      </c>
      <c r="N1535" s="14" t="b">
        <f>AND(LCI_Table[[#This Row],[Show Feedstock]:[Conditional]],NOT(LCI_Table[[#This Row],[Hide Row]]))</f>
        <v>0</v>
      </c>
      <c r="O1535" s="14" t="b">
        <f>LCI_Table[[#This Row],[GREET1 Name Range]]=""</f>
        <v>0</v>
      </c>
      <c r="P1535" s="14" t="s">
        <v>147</v>
      </c>
      <c r="Q1535" s="14" t="s">
        <v>607</v>
      </c>
      <c r="R1535" s="14" t="s">
        <v>107</v>
      </c>
      <c r="S1535" s="37" cm="1">
        <f t="array" aca="1" ref="S15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35" s="346" t="s">
        <v>1484</v>
      </c>
      <c r="U1535" s="347">
        <f ca="1">S1535*Fuel_Specs!$B$15/S1526</f>
        <v>0</v>
      </c>
      <c r="V1535" s="347">
        <v>0</v>
      </c>
      <c r="W1535" s="347">
        <v>0</v>
      </c>
      <c r="X1535" s="14" t="s">
        <v>5</v>
      </c>
      <c r="Y1535" s="346" t="s">
        <v>413</v>
      </c>
      <c r="Z1535" s="14" t="str">
        <f>IF(ISBLANK(LCI_Table[[#This Row],[Notes for user]])," ",LCI_Table[[#This Row],[Notes for user]])</f>
        <v xml:space="preserve"> </v>
      </c>
      <c r="AA1535" s="14"/>
      <c r="AB1535" s="14"/>
      <c r="AC1535" s="346">
        <f ca="1">LCI_Table[[#This Row],[Default Calculated Value]]-LCI_Table[[#This Row],[Calculated Value]]</f>
        <v>0</v>
      </c>
    </row>
    <row r="1536" spans="1:29" x14ac:dyDescent="0.3">
      <c r="A15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stoverFTICAOJRC (E3)(blank)_CornStover_Farming_Natural_gasNatural gas</v>
      </c>
      <c r="B1536" s="14" t="s">
        <v>135</v>
      </c>
      <c r="C1536" s="14" t="s">
        <v>129</v>
      </c>
      <c r="D1536" s="14" t="s">
        <v>194</v>
      </c>
      <c r="E1536" s="48" t="s">
        <v>1336</v>
      </c>
      <c r="F1536" s="48" t="s">
        <v>31</v>
      </c>
      <c r="G1536" s="14" t="b">
        <f>OR(LCI_Table[[#This Row],[Feedstock]]="All",LCI_Table[[#This Row],[Feedstock]]=SelectedFeedstock)</f>
        <v>0</v>
      </c>
      <c r="H1536" s="14" t="b">
        <f>OR(LCI_Table[[#This Row],[Conversion]]="All",LCI_Table[[#This Row],[Conversion]]=SelectedConversion)</f>
        <v>0</v>
      </c>
      <c r="I1536" s="14" t="b">
        <f>OR(LCI_Table[[#This Row],[Data Set]]="all",LCI_Table[[#This Row],[Data Set]]=SelectedDataSet)</f>
        <v>0</v>
      </c>
      <c r="J1536" s="14" t="b">
        <f>OR(LCI_Table[[#This Row],[Technology]]="All",LCI_Table[[#This Row],[Technology]]=SelectedTechnology)</f>
        <v>1</v>
      </c>
      <c r="K1536" s="14" t="b">
        <f>OR(LCI_Table[[#This Row],[Data Source]]="All",LCI_Table[[#This Row],[Data Source]]=SelectedDataSource)</f>
        <v>0</v>
      </c>
      <c r="L1536" s="14" t="b">
        <f>TRUE</f>
        <v>1</v>
      </c>
      <c r="M1536" s="14" t="b">
        <f>(LCI_Table[[#This Row],[Dev Notes]]="Do not display")</f>
        <v>0</v>
      </c>
      <c r="N1536" s="14" t="b">
        <f>AND(LCI_Table[[#This Row],[Show Feedstock]:[Conditional]],NOT(LCI_Table[[#This Row],[Hide Row]]))</f>
        <v>0</v>
      </c>
      <c r="O1536" s="14" t="b">
        <f>LCI_Table[[#This Row],[GREET1 Name Range]]=""</f>
        <v>0</v>
      </c>
      <c r="P1536" s="14" t="s">
        <v>147</v>
      </c>
      <c r="Q1536" s="14" t="s">
        <v>613</v>
      </c>
      <c r="R1536" s="14" t="s">
        <v>108</v>
      </c>
      <c r="S1536" s="37" cm="1">
        <f t="array" aca="1" ref="S15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36" s="346" t="s">
        <v>2109</v>
      </c>
      <c r="U1536" s="347">
        <f ca="1">S1536*Fuel_Specs!$B$79/S1526</f>
        <v>0</v>
      </c>
      <c r="V1536" s="347">
        <v>0</v>
      </c>
      <c r="W1536" s="347">
        <v>0</v>
      </c>
      <c r="X1536" s="14" t="s">
        <v>351</v>
      </c>
      <c r="Y1536" s="346" t="s">
        <v>413</v>
      </c>
      <c r="Z1536" s="14" t="str">
        <f>IF(ISBLANK(LCI_Table[[#This Row],[Notes for user]])," ",LCI_Table[[#This Row],[Notes for user]])</f>
        <v xml:space="preserve"> </v>
      </c>
      <c r="AA1536" s="14"/>
      <c r="AB1536" s="14"/>
      <c r="AC1536" s="346">
        <f ca="1">LCI_Table[[#This Row],[Default Calculated Value]]-LCI_Table[[#This Row],[Calculated Value]]</f>
        <v>0</v>
      </c>
    </row>
    <row r="1537" spans="1:29" x14ac:dyDescent="0.3">
      <c r="A15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stoverFTICAOJRC (E3)(blank)_CornStover_Farming_CoalCoal</v>
      </c>
      <c r="B1537" s="14" t="s">
        <v>135</v>
      </c>
      <c r="C1537" s="14" t="s">
        <v>129</v>
      </c>
      <c r="D1537" s="14" t="s">
        <v>194</v>
      </c>
      <c r="E1537" s="48" t="s">
        <v>1336</v>
      </c>
      <c r="F1537" s="48" t="s">
        <v>31</v>
      </c>
      <c r="G1537" s="14" t="b">
        <f>OR(LCI_Table[[#This Row],[Feedstock]]="All",LCI_Table[[#This Row],[Feedstock]]=SelectedFeedstock)</f>
        <v>0</v>
      </c>
      <c r="H1537" s="14" t="b">
        <f>OR(LCI_Table[[#This Row],[Conversion]]="All",LCI_Table[[#This Row],[Conversion]]=SelectedConversion)</f>
        <v>0</v>
      </c>
      <c r="I1537" s="14" t="b">
        <f>OR(LCI_Table[[#This Row],[Data Set]]="all",LCI_Table[[#This Row],[Data Set]]=SelectedDataSet)</f>
        <v>0</v>
      </c>
      <c r="J1537" s="14" t="b">
        <f>OR(LCI_Table[[#This Row],[Technology]]="All",LCI_Table[[#This Row],[Technology]]=SelectedTechnology)</f>
        <v>1</v>
      </c>
      <c r="K1537" s="14" t="b">
        <f>OR(LCI_Table[[#This Row],[Data Source]]="All",LCI_Table[[#This Row],[Data Source]]=SelectedDataSource)</f>
        <v>0</v>
      </c>
      <c r="L1537" s="14" t="b">
        <f>TRUE</f>
        <v>1</v>
      </c>
      <c r="M1537" s="14" t="b">
        <f>(LCI_Table[[#This Row],[Dev Notes]]="Do not display")</f>
        <v>0</v>
      </c>
      <c r="N1537" s="14" t="b">
        <f>AND(LCI_Table[[#This Row],[Show Feedstock]:[Conditional]],NOT(LCI_Table[[#This Row],[Hide Row]]))</f>
        <v>0</v>
      </c>
      <c r="O1537" s="14" t="b">
        <f>LCI_Table[[#This Row],[GREET1 Name Range]]=""</f>
        <v>0</v>
      </c>
      <c r="P1537" s="14" t="s">
        <v>147</v>
      </c>
      <c r="Q1537" s="14" t="s">
        <v>604</v>
      </c>
      <c r="R1537" s="14" t="s">
        <v>9</v>
      </c>
      <c r="S1537" s="37" cm="1">
        <f t="array" aca="1" ref="S15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37" s="346" t="s">
        <v>2110</v>
      </c>
      <c r="U1537" s="347">
        <f ca="1">S1537/S1526</f>
        <v>0</v>
      </c>
      <c r="V1537" s="347">
        <v>0</v>
      </c>
      <c r="W1537" s="347">
        <v>0</v>
      </c>
      <c r="X1537" s="14" t="s">
        <v>117</v>
      </c>
      <c r="Y1537" s="346" t="s">
        <v>413</v>
      </c>
      <c r="Z1537" s="14" t="str">
        <f>IF(ISBLANK(LCI_Table[[#This Row],[Notes for user]])," ",LCI_Table[[#This Row],[Notes for user]])</f>
        <v xml:space="preserve"> </v>
      </c>
      <c r="AA1537" s="14"/>
      <c r="AB1537" s="14"/>
      <c r="AC1537" s="346">
        <f ca="1">LCI_Table[[#This Row],[Default Calculated Value]]-LCI_Table[[#This Row],[Calculated Value]]</f>
        <v>0</v>
      </c>
    </row>
    <row r="1538" spans="1:29" x14ac:dyDescent="0.3">
      <c r="A15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stoverFTICAOJRC (E3)(blank)_CornStover_Farming_LPGLPG</v>
      </c>
      <c r="B1538" s="14" t="s">
        <v>135</v>
      </c>
      <c r="C1538" s="14" t="s">
        <v>129</v>
      </c>
      <c r="D1538" s="14" t="s">
        <v>194</v>
      </c>
      <c r="E1538" s="48" t="s">
        <v>1336</v>
      </c>
      <c r="F1538" s="48" t="s">
        <v>31</v>
      </c>
      <c r="G1538" s="14" t="b">
        <f>OR(LCI_Table[[#This Row],[Feedstock]]="All",LCI_Table[[#This Row],[Feedstock]]=SelectedFeedstock)</f>
        <v>0</v>
      </c>
      <c r="H1538" s="14" t="b">
        <f>OR(LCI_Table[[#This Row],[Conversion]]="All",LCI_Table[[#This Row],[Conversion]]=SelectedConversion)</f>
        <v>0</v>
      </c>
      <c r="I1538" s="14" t="b">
        <f>OR(LCI_Table[[#This Row],[Data Set]]="all",LCI_Table[[#This Row],[Data Set]]=SelectedDataSet)</f>
        <v>0</v>
      </c>
      <c r="J1538" s="14" t="b">
        <f>OR(LCI_Table[[#This Row],[Technology]]="All",LCI_Table[[#This Row],[Technology]]=SelectedTechnology)</f>
        <v>1</v>
      </c>
      <c r="K1538" s="14" t="b">
        <f>OR(LCI_Table[[#This Row],[Data Source]]="All",LCI_Table[[#This Row],[Data Source]]=SelectedDataSource)</f>
        <v>0</v>
      </c>
      <c r="L1538" s="14" t="b">
        <f>TRUE</f>
        <v>1</v>
      </c>
      <c r="M1538" s="14" t="b">
        <f>(LCI_Table[[#This Row],[Dev Notes]]="Do not display")</f>
        <v>0</v>
      </c>
      <c r="N1538" s="14" t="b">
        <f>AND(LCI_Table[[#This Row],[Show Feedstock]:[Conditional]],NOT(LCI_Table[[#This Row],[Hide Row]]))</f>
        <v>0</v>
      </c>
      <c r="O1538" s="14" t="b">
        <f>LCI_Table[[#This Row],[GREET1 Name Range]]=""</f>
        <v>0</v>
      </c>
      <c r="P1538" s="14" t="s">
        <v>147</v>
      </c>
      <c r="Q1538" s="14" t="s">
        <v>612</v>
      </c>
      <c r="R1538" s="14" t="s">
        <v>109</v>
      </c>
      <c r="S1538" s="37" cm="1">
        <f t="array" aca="1" ref="S15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38" s="346" t="s">
        <v>1484</v>
      </c>
      <c r="U1538" s="347">
        <f ca="1">S1538*Fuel_Specs!$B$35/S1526</f>
        <v>0</v>
      </c>
      <c r="V1538" s="347">
        <v>0</v>
      </c>
      <c r="W1538" s="347">
        <v>0</v>
      </c>
      <c r="X1538" s="14" t="s">
        <v>5</v>
      </c>
      <c r="Y1538" s="346" t="s">
        <v>413</v>
      </c>
      <c r="Z1538" s="14" t="str">
        <f>IF(ISBLANK(LCI_Table[[#This Row],[Notes for user]])," ",LCI_Table[[#This Row],[Notes for user]])</f>
        <v xml:space="preserve"> </v>
      </c>
      <c r="AA1538" s="14"/>
      <c r="AB1538" s="14"/>
      <c r="AC1538" s="346">
        <f ca="1">LCI_Table[[#This Row],[Default Calculated Value]]-LCI_Table[[#This Row],[Calculated Value]]</f>
        <v>0</v>
      </c>
    </row>
    <row r="1539" spans="1:29" x14ac:dyDescent="0.3">
      <c r="A15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stoverFTICAOJRC (E3)(blank)_CornStover_Farming_ElectricityElectricity</v>
      </c>
      <c r="B1539" s="14" t="s">
        <v>135</v>
      </c>
      <c r="C1539" s="14" t="s">
        <v>129</v>
      </c>
      <c r="D1539" s="14" t="s">
        <v>194</v>
      </c>
      <c r="E1539" s="48" t="s">
        <v>1336</v>
      </c>
      <c r="F1539" s="48" t="s">
        <v>31</v>
      </c>
      <c r="G1539" s="14" t="b">
        <f>OR(LCI_Table[[#This Row],[Feedstock]]="All",LCI_Table[[#This Row],[Feedstock]]=SelectedFeedstock)</f>
        <v>0</v>
      </c>
      <c r="H1539" s="14" t="b">
        <f>OR(LCI_Table[[#This Row],[Conversion]]="All",LCI_Table[[#This Row],[Conversion]]=SelectedConversion)</f>
        <v>0</v>
      </c>
      <c r="I1539" s="14" t="b">
        <f>OR(LCI_Table[[#This Row],[Data Set]]="all",LCI_Table[[#This Row],[Data Set]]=SelectedDataSet)</f>
        <v>0</v>
      </c>
      <c r="J1539" s="14" t="b">
        <f>OR(LCI_Table[[#This Row],[Technology]]="All",LCI_Table[[#This Row],[Technology]]=SelectedTechnology)</f>
        <v>1</v>
      </c>
      <c r="K1539" s="14" t="b">
        <f>OR(LCI_Table[[#This Row],[Data Source]]="All",LCI_Table[[#This Row],[Data Source]]=SelectedDataSource)</f>
        <v>0</v>
      </c>
      <c r="L1539" s="14" t="b">
        <f>TRUE</f>
        <v>1</v>
      </c>
      <c r="M1539" s="14" t="b">
        <f>(LCI_Table[[#This Row],[Dev Notes]]="Do not display")</f>
        <v>0</v>
      </c>
      <c r="N1539" s="14" t="b">
        <f>AND(LCI_Table[[#This Row],[Show Feedstock]:[Conditional]],NOT(LCI_Table[[#This Row],[Hide Row]]))</f>
        <v>0</v>
      </c>
      <c r="O1539" s="14" t="b">
        <f>LCI_Table[[#This Row],[GREET1 Name Range]]=""</f>
        <v>0</v>
      </c>
      <c r="P1539" s="14" t="s">
        <v>147</v>
      </c>
      <c r="Q1539" s="14" t="s">
        <v>606</v>
      </c>
      <c r="R1539" s="348" t="s">
        <v>110</v>
      </c>
      <c r="S1539" s="37" cm="1">
        <f t="array" aca="1" ref="S15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39" s="346" t="s">
        <v>1561</v>
      </c>
      <c r="U1539" s="347">
        <f ca="1">S1539/BTU2kWh/S1526</f>
        <v>0</v>
      </c>
      <c r="V1539" s="347">
        <v>0</v>
      </c>
      <c r="W1539" s="347">
        <v>0</v>
      </c>
      <c r="X1539" s="14" t="s">
        <v>51</v>
      </c>
      <c r="Y1539" s="346" t="s">
        <v>413</v>
      </c>
      <c r="Z1539" s="14" t="str">
        <f>IF(ISBLANK(LCI_Table[[#This Row],[Notes for user]])," ",LCI_Table[[#This Row],[Notes for user]])</f>
        <v xml:space="preserve"> </v>
      </c>
      <c r="AA1539" s="14"/>
      <c r="AB1539" s="14"/>
      <c r="AC1539" s="346">
        <f ca="1">LCI_Table[[#This Row],[Default Calculated Value]]-LCI_Table[[#This Row],[Calculated Value]]</f>
        <v>0</v>
      </c>
    </row>
    <row r="1540" spans="1:29" x14ac:dyDescent="0.3">
      <c r="A15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stoverFTICAOJRC (E3)(blank)_Corn_stover_FT_efficiencyCorn stover</v>
      </c>
      <c r="B1540" s="14" t="s">
        <v>135</v>
      </c>
      <c r="C1540" s="14" t="s">
        <v>129</v>
      </c>
      <c r="D1540" s="14" t="s">
        <v>194</v>
      </c>
      <c r="E1540" s="48" t="s">
        <v>1336</v>
      </c>
      <c r="F1540" s="48" t="s">
        <v>31</v>
      </c>
      <c r="G1540" s="14" t="b">
        <f>OR(LCI_Table[[#This Row],[Feedstock]]="All",LCI_Table[[#This Row],[Feedstock]]=SelectedFeedstock)</f>
        <v>0</v>
      </c>
      <c r="H1540" s="14" t="b">
        <f>OR(LCI_Table[[#This Row],[Conversion]]="All",LCI_Table[[#This Row],[Conversion]]=SelectedConversion)</f>
        <v>0</v>
      </c>
      <c r="I1540" s="14" t="b">
        <f>OR(LCI_Table[[#This Row],[Data Set]]="all",LCI_Table[[#This Row],[Data Set]]=SelectedDataSet)</f>
        <v>0</v>
      </c>
      <c r="J1540" s="14" t="b">
        <f>OR(LCI_Table[[#This Row],[Technology]]="All",LCI_Table[[#This Row],[Technology]]=SelectedTechnology)</f>
        <v>1</v>
      </c>
      <c r="K1540" s="14" t="b">
        <f>OR(LCI_Table[[#This Row],[Data Source]]="All",LCI_Table[[#This Row],[Data Source]]=SelectedDataSource)</f>
        <v>0</v>
      </c>
      <c r="L1540" s="14" t="b">
        <f>TRUE</f>
        <v>1</v>
      </c>
      <c r="M1540" s="14" t="b">
        <f>(LCI_Table[[#This Row],[Dev Notes]]="Do not display")</f>
        <v>0</v>
      </c>
      <c r="N1540" s="14" t="b">
        <f>AND(LCI_Table[[#This Row],[Show Feedstock]:[Conditional]],NOT(LCI_Table[[#This Row],[Hide Row]]))</f>
        <v>0</v>
      </c>
      <c r="O1540" s="14" t="b">
        <f>LCI_Table[[#This Row],[GREET1 Name Range]]=""</f>
        <v>0</v>
      </c>
      <c r="P1540" s="14" t="s">
        <v>1448</v>
      </c>
      <c r="Q1540" s="14" t="s">
        <v>940</v>
      </c>
      <c r="R1540" s="14" t="s">
        <v>135</v>
      </c>
      <c r="S1540" s="37" cm="1">
        <f t="array" aca="1" ref="S15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0.16573962967137146</v>
      </c>
      <c r="T1540" s="346" t="s">
        <v>2125</v>
      </c>
      <c r="U1540" s="347">
        <f ca="1">1/(S1540*Fuel_Specs!$B$99*BTU2mmBTU)</f>
        <v>0.41000000000000003</v>
      </c>
      <c r="V1540" s="347">
        <v>0.16573962967137146</v>
      </c>
      <c r="W1540" s="347">
        <v>0.41000000000000003</v>
      </c>
      <c r="X1540" s="37" t="s">
        <v>55</v>
      </c>
      <c r="Y1540" s="346" t="s">
        <v>416</v>
      </c>
      <c r="Z1540" s="14" t="str">
        <f>IF(ISBLANK(LCI_Table[[#This Row],[Notes for user]])," ",LCI_Table[[#This Row],[Notes for user]])</f>
        <v xml:space="preserve"> </v>
      </c>
      <c r="AA1540" s="14"/>
      <c r="AB1540" s="14"/>
      <c r="AC1540" s="346">
        <f ca="1">LCI_Table[[#This Row],[Default Calculated Value]]-LCI_Table[[#This Row],[Calculated Value]]</f>
        <v>0</v>
      </c>
    </row>
    <row r="1541" spans="1:29" x14ac:dyDescent="0.3">
      <c r="A15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dash_Forest residueFTICAOMIT (GREET)(blank)_Yield_Collection</v>
      </c>
      <c r="B1541" s="48" t="s">
        <v>316</v>
      </c>
      <c r="C1541" s="48" t="s">
        <v>129</v>
      </c>
      <c r="D1541" s="48" t="s">
        <v>194</v>
      </c>
      <c r="E1541" s="48" t="s">
        <v>1335</v>
      </c>
      <c r="F1541" s="48" t="s">
        <v>31</v>
      </c>
      <c r="G1541" s="14" t="b">
        <f>OR(LCI_Table[[#This Row],[Feedstock]]="All",LCI_Table[[#This Row],[Feedstock]]=SelectedFeedstock)</f>
        <v>0</v>
      </c>
      <c r="H1541" s="14" t="b">
        <f>OR(LCI_Table[[#This Row],[Conversion]]="All",LCI_Table[[#This Row],[Conversion]]=SelectedConversion)</f>
        <v>0</v>
      </c>
      <c r="I1541" s="14" t="b">
        <f>OR(LCI_Table[[#This Row],[Data Set]]="all",LCI_Table[[#This Row],[Data Set]]=SelectedDataSet)</f>
        <v>0</v>
      </c>
      <c r="J1541" s="14" t="b">
        <f>OR(LCI_Table[[#This Row],[Technology]]="All",LCI_Table[[#This Row],[Technology]]=SelectedTechnology)</f>
        <v>1</v>
      </c>
      <c r="K1541" s="14" t="b">
        <f>OR(LCI_Table[[#This Row],[Data Source]]="All",LCI_Table[[#This Row],[Data Source]]=SelectedDataSource)</f>
        <v>0</v>
      </c>
      <c r="L1541" s="14" t="b">
        <f>TRUE</f>
        <v>1</v>
      </c>
      <c r="M1541" s="14" t="b">
        <f>(LCI_Table[[#This Row],[Dev Notes]]="Do not display")</f>
        <v>0</v>
      </c>
      <c r="N1541" s="14" t="b">
        <f>AND(LCI_Table[[#This Row],[Show Feedstock]:[Conditional]],NOT(LCI_Table[[#This Row],[Hide Row]]))</f>
        <v>0</v>
      </c>
      <c r="O1541" s="14" t="b">
        <f>LCI_Table[[#This Row],[GREET1 Name Range]]=""</f>
        <v>1</v>
      </c>
      <c r="P1541" s="48" t="s">
        <v>147</v>
      </c>
      <c r="Q1541" s="14" t="s">
        <v>361</v>
      </c>
      <c r="R1541" s="48" t="s">
        <v>200</v>
      </c>
      <c r="S1541" s="37" cm="1">
        <f t="array" aca="1" ref="S15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0.22304512472924265</v>
      </c>
      <c r="T1541" s="346" t="s">
        <v>2116</v>
      </c>
      <c r="U1541" s="344"/>
      <c r="V1541" s="344">
        <v>0.22304512472924265</v>
      </c>
      <c r="W1541" s="344"/>
      <c r="X1541" s="48" t="s">
        <v>55</v>
      </c>
      <c r="Y1541" s="346" t="s">
        <v>413</v>
      </c>
      <c r="Z1541" s="14" t="str">
        <f>IF(ISBLANK(LCI_Table[[#This Row],[Notes for user]])," ",LCI_Table[[#This Row],[Notes for user]])</f>
        <v xml:space="preserve"> </v>
      </c>
      <c r="AA1541" s="48"/>
      <c r="AB1541" s="345"/>
      <c r="AC1541" s="346">
        <f>LCI_Table[[#This Row],[Default Calculated Value]]-LCI_Table[[#This Row],[Calculated Value]]</f>
        <v>0</v>
      </c>
    </row>
    <row r="1542" spans="1:29" x14ac:dyDescent="0.3">
      <c r="A15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residueFTICAOMIT (GREET)(blank)_ForestResidue_Collection_Residual_oilResidual oil</v>
      </c>
      <c r="B1542" s="14" t="s">
        <v>316</v>
      </c>
      <c r="C1542" s="14" t="s">
        <v>129</v>
      </c>
      <c r="D1542" s="14" t="s">
        <v>194</v>
      </c>
      <c r="E1542" s="48" t="s">
        <v>1335</v>
      </c>
      <c r="F1542" s="48" t="s">
        <v>31</v>
      </c>
      <c r="G1542" s="14" t="b">
        <f>OR(LCI_Table[[#This Row],[Feedstock]]="All",LCI_Table[[#This Row],[Feedstock]]=SelectedFeedstock)</f>
        <v>0</v>
      </c>
      <c r="H1542" s="14" t="b">
        <f>OR(LCI_Table[[#This Row],[Conversion]]="All",LCI_Table[[#This Row],[Conversion]]=SelectedConversion)</f>
        <v>0</v>
      </c>
      <c r="I1542" s="14" t="b">
        <f>OR(LCI_Table[[#This Row],[Data Set]]="all",LCI_Table[[#This Row],[Data Set]]=SelectedDataSet)</f>
        <v>0</v>
      </c>
      <c r="J1542" s="14" t="b">
        <f>OR(LCI_Table[[#This Row],[Technology]]="All",LCI_Table[[#This Row],[Technology]]=SelectedTechnology)</f>
        <v>1</v>
      </c>
      <c r="K1542" s="14" t="b">
        <f>OR(LCI_Table[[#This Row],[Data Source]]="All",LCI_Table[[#This Row],[Data Source]]=SelectedDataSource)</f>
        <v>0</v>
      </c>
      <c r="L1542" s="14" t="b">
        <f>TRUE</f>
        <v>1</v>
      </c>
      <c r="M1542" s="14" t="b">
        <f>(LCI_Table[[#This Row],[Dev Notes]]="Do not display")</f>
        <v>0</v>
      </c>
      <c r="N1542" s="14" t="b">
        <f>AND(LCI_Table[[#This Row],[Show Feedstock]:[Conditional]],NOT(LCI_Table[[#This Row],[Hide Row]]))</f>
        <v>0</v>
      </c>
      <c r="O1542" s="14" t="b">
        <f>LCI_Table[[#This Row],[GREET1 Name Range]]=""</f>
        <v>0</v>
      </c>
      <c r="P1542" s="14" t="s">
        <v>147</v>
      </c>
      <c r="Q1542" s="14" t="s">
        <v>651</v>
      </c>
      <c r="R1542" s="14" t="s">
        <v>115</v>
      </c>
      <c r="S1542" s="37" cm="1">
        <f t="array" aca="1" ref="S15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42" s="346" t="s">
        <v>1484</v>
      </c>
      <c r="U1542" s="347">
        <f ca="1">S1542*Fuel_Specs!$B$28/S1541</f>
        <v>0</v>
      </c>
      <c r="V1542" s="347">
        <v>0</v>
      </c>
      <c r="W1542" s="347">
        <v>0</v>
      </c>
      <c r="X1542" s="14" t="s">
        <v>5</v>
      </c>
      <c r="Y1542" s="346" t="s">
        <v>413</v>
      </c>
      <c r="Z1542" s="14" t="str">
        <f>IF(ISBLANK(LCI_Table[[#This Row],[Notes for user]])," ",LCI_Table[[#This Row],[Notes for user]])</f>
        <v xml:space="preserve"> </v>
      </c>
      <c r="AA1542" s="14"/>
      <c r="AB1542" s="14"/>
      <c r="AC1542" s="346">
        <f ca="1">LCI_Table[[#This Row],[Default Calculated Value]]-LCI_Table[[#This Row],[Calculated Value]]</f>
        <v>0</v>
      </c>
    </row>
    <row r="1543" spans="1:29" x14ac:dyDescent="0.3">
      <c r="A15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residueFTICAOMIT (GREET)(blank)_ForestResidue_Collection_DieselDiesel</v>
      </c>
      <c r="B1543" s="14" t="s">
        <v>316</v>
      </c>
      <c r="C1543" s="14" t="s">
        <v>129</v>
      </c>
      <c r="D1543" s="14" t="s">
        <v>194</v>
      </c>
      <c r="E1543" s="48" t="s">
        <v>1335</v>
      </c>
      <c r="F1543" s="48" t="s">
        <v>31</v>
      </c>
      <c r="G1543" s="14" t="b">
        <f>OR(LCI_Table[[#This Row],[Feedstock]]="All",LCI_Table[[#This Row],[Feedstock]]=SelectedFeedstock)</f>
        <v>0</v>
      </c>
      <c r="H1543" s="14" t="b">
        <f>OR(LCI_Table[[#This Row],[Conversion]]="All",LCI_Table[[#This Row],[Conversion]]=SelectedConversion)</f>
        <v>0</v>
      </c>
      <c r="I1543" s="14" t="b">
        <f>OR(LCI_Table[[#This Row],[Data Set]]="all",LCI_Table[[#This Row],[Data Set]]=SelectedDataSet)</f>
        <v>0</v>
      </c>
      <c r="J1543" s="14" t="b">
        <f>OR(LCI_Table[[#This Row],[Technology]]="All",LCI_Table[[#This Row],[Technology]]=SelectedTechnology)</f>
        <v>1</v>
      </c>
      <c r="K1543" s="14" t="b">
        <f>OR(LCI_Table[[#This Row],[Data Source]]="All",LCI_Table[[#This Row],[Data Source]]=SelectedDataSource)</f>
        <v>0</v>
      </c>
      <c r="L1543" s="14" t="b">
        <f>TRUE</f>
        <v>1</v>
      </c>
      <c r="M1543" s="14" t="b">
        <f>(LCI_Table[[#This Row],[Dev Notes]]="Do not display")</f>
        <v>0</v>
      </c>
      <c r="N1543" s="14" t="b">
        <f>AND(LCI_Table[[#This Row],[Show Feedstock]:[Conditional]],NOT(LCI_Table[[#This Row],[Hide Row]]))</f>
        <v>0</v>
      </c>
      <c r="O1543" s="14" t="b">
        <f>LCI_Table[[#This Row],[GREET1 Name Range]]=""</f>
        <v>0</v>
      </c>
      <c r="P1543" s="14" t="s">
        <v>147</v>
      </c>
      <c r="Q1543" s="14" t="s">
        <v>646</v>
      </c>
      <c r="R1543" s="14" t="s">
        <v>106</v>
      </c>
      <c r="S1543" s="37" cm="1">
        <f t="array" aca="1" ref="S15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0.229521160483837</v>
      </c>
      <c r="T1543" s="346" t="s">
        <v>1484</v>
      </c>
      <c r="U1543" s="347">
        <f ca="1">S1543*Fuel_Specs!$B$19/S1541</f>
        <v>132179.49999999971</v>
      </c>
      <c r="V1543" s="347">
        <v>0.229521160483837</v>
      </c>
      <c r="W1543" s="347">
        <v>132179.49999999971</v>
      </c>
      <c r="X1543" s="14" t="s">
        <v>5</v>
      </c>
      <c r="Y1543" s="346" t="s">
        <v>413</v>
      </c>
      <c r="Z1543" s="14" t="str">
        <f>IF(ISBLANK(LCI_Table[[#This Row],[Notes for user]])," ",LCI_Table[[#This Row],[Notes for user]])</f>
        <v xml:space="preserve"> </v>
      </c>
      <c r="AA1543" s="14"/>
      <c r="AB1543" s="14"/>
      <c r="AC1543" s="346">
        <f ca="1">LCI_Table[[#This Row],[Default Calculated Value]]-LCI_Table[[#This Row],[Calculated Value]]</f>
        <v>0</v>
      </c>
    </row>
    <row r="1544" spans="1:29" x14ac:dyDescent="0.3">
      <c r="A15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residueFTICAOMIT (GREET)(blank)_ForestResidue_Collection_GasolineGasoline</v>
      </c>
      <c r="B1544" s="14" t="s">
        <v>316</v>
      </c>
      <c r="C1544" s="14" t="s">
        <v>129</v>
      </c>
      <c r="D1544" s="14" t="s">
        <v>194</v>
      </c>
      <c r="E1544" s="48" t="s">
        <v>1335</v>
      </c>
      <c r="F1544" s="48" t="s">
        <v>31</v>
      </c>
      <c r="G1544" s="14" t="b">
        <f>OR(LCI_Table[[#This Row],[Feedstock]]="All",LCI_Table[[#This Row],[Feedstock]]=SelectedFeedstock)</f>
        <v>0</v>
      </c>
      <c r="H1544" s="14" t="b">
        <f>OR(LCI_Table[[#This Row],[Conversion]]="All",LCI_Table[[#This Row],[Conversion]]=SelectedConversion)</f>
        <v>0</v>
      </c>
      <c r="I1544" s="14" t="b">
        <f>OR(LCI_Table[[#This Row],[Data Set]]="all",LCI_Table[[#This Row],[Data Set]]=SelectedDataSet)</f>
        <v>0</v>
      </c>
      <c r="J1544" s="14" t="b">
        <f>OR(LCI_Table[[#This Row],[Technology]]="All",LCI_Table[[#This Row],[Technology]]=SelectedTechnology)</f>
        <v>1</v>
      </c>
      <c r="K1544" s="14" t="b">
        <f>OR(LCI_Table[[#This Row],[Data Source]]="All",LCI_Table[[#This Row],[Data Source]]=SelectedDataSource)</f>
        <v>0</v>
      </c>
      <c r="L1544" s="14" t="b">
        <f>TRUE</f>
        <v>1</v>
      </c>
      <c r="M1544" s="14" t="b">
        <f>(LCI_Table[[#This Row],[Dev Notes]]="Do not display")</f>
        <v>0</v>
      </c>
      <c r="N1544" s="14" t="b">
        <f>AND(LCI_Table[[#This Row],[Show Feedstock]:[Conditional]],NOT(LCI_Table[[#This Row],[Hide Row]]))</f>
        <v>0</v>
      </c>
      <c r="O1544" s="14" t="b">
        <f>LCI_Table[[#This Row],[GREET1 Name Range]]=""</f>
        <v>0</v>
      </c>
      <c r="P1544" s="14" t="s">
        <v>147</v>
      </c>
      <c r="Q1544" s="14" t="s">
        <v>648</v>
      </c>
      <c r="R1544" s="14" t="s">
        <v>107</v>
      </c>
      <c r="S1544" s="37" cm="1">
        <f t="array" aca="1" ref="S15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44" s="346" t="s">
        <v>1484</v>
      </c>
      <c r="U1544" s="347">
        <f ca="1">S1544*Fuel_Specs!$B$15/S1541</f>
        <v>0</v>
      </c>
      <c r="V1544" s="347">
        <v>0</v>
      </c>
      <c r="W1544" s="347">
        <v>0</v>
      </c>
      <c r="X1544" s="14" t="s">
        <v>5</v>
      </c>
      <c r="Y1544" s="346" t="s">
        <v>413</v>
      </c>
      <c r="Z1544" s="14" t="str">
        <f>IF(ISBLANK(LCI_Table[[#This Row],[Notes for user]])," ",LCI_Table[[#This Row],[Notes for user]])</f>
        <v xml:space="preserve"> </v>
      </c>
      <c r="AA1544" s="14"/>
      <c r="AB1544" s="14"/>
      <c r="AC1544" s="346">
        <f ca="1">LCI_Table[[#This Row],[Default Calculated Value]]-LCI_Table[[#This Row],[Calculated Value]]</f>
        <v>0</v>
      </c>
    </row>
    <row r="1545" spans="1:29" x14ac:dyDescent="0.3">
      <c r="A15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residueFTICAOMIT (GREET)(blank)_ForestResidue_Collection_Natural_gasNatural gas</v>
      </c>
      <c r="B1545" s="14" t="s">
        <v>316</v>
      </c>
      <c r="C1545" s="14" t="s">
        <v>129</v>
      </c>
      <c r="D1545" s="14" t="s">
        <v>194</v>
      </c>
      <c r="E1545" s="48" t="s">
        <v>1335</v>
      </c>
      <c r="F1545" s="48" t="s">
        <v>31</v>
      </c>
      <c r="G1545" s="14" t="b">
        <f>OR(LCI_Table[[#This Row],[Feedstock]]="All",LCI_Table[[#This Row],[Feedstock]]=SelectedFeedstock)</f>
        <v>0</v>
      </c>
      <c r="H1545" s="14" t="b">
        <f>OR(LCI_Table[[#This Row],[Conversion]]="All",LCI_Table[[#This Row],[Conversion]]=SelectedConversion)</f>
        <v>0</v>
      </c>
      <c r="I1545" s="14" t="b">
        <f>OR(LCI_Table[[#This Row],[Data Set]]="all",LCI_Table[[#This Row],[Data Set]]=SelectedDataSet)</f>
        <v>0</v>
      </c>
      <c r="J1545" s="14" t="b">
        <f>OR(LCI_Table[[#This Row],[Technology]]="All",LCI_Table[[#This Row],[Technology]]=SelectedTechnology)</f>
        <v>1</v>
      </c>
      <c r="K1545" s="14" t="b">
        <f>OR(LCI_Table[[#This Row],[Data Source]]="All",LCI_Table[[#This Row],[Data Source]]=SelectedDataSource)</f>
        <v>0</v>
      </c>
      <c r="L1545" s="14" t="b">
        <f>TRUE</f>
        <v>1</v>
      </c>
      <c r="M1545" s="14" t="b">
        <f>(LCI_Table[[#This Row],[Dev Notes]]="Do not display")</f>
        <v>0</v>
      </c>
      <c r="N1545" s="14" t="b">
        <f>AND(LCI_Table[[#This Row],[Show Feedstock]:[Conditional]],NOT(LCI_Table[[#This Row],[Hide Row]]))</f>
        <v>0</v>
      </c>
      <c r="O1545" s="14" t="b">
        <f>LCI_Table[[#This Row],[GREET1 Name Range]]=""</f>
        <v>0</v>
      </c>
      <c r="P1545" s="14" t="s">
        <v>147</v>
      </c>
      <c r="Q1545" s="14" t="s">
        <v>650</v>
      </c>
      <c r="R1545" s="14" t="s">
        <v>108</v>
      </c>
      <c r="S1545" s="37" cm="1">
        <f t="array" aca="1" ref="S15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45" s="346" t="s">
        <v>2109</v>
      </c>
      <c r="U1545" s="347">
        <f ca="1">S1545*Fuel_Specs!$B$79/S1541</f>
        <v>0</v>
      </c>
      <c r="V1545" s="347">
        <v>0</v>
      </c>
      <c r="W1545" s="347">
        <v>0</v>
      </c>
      <c r="X1545" s="14" t="s">
        <v>351</v>
      </c>
      <c r="Y1545" s="346" t="s">
        <v>413</v>
      </c>
      <c r="Z1545" s="14" t="str">
        <f>IF(ISBLANK(LCI_Table[[#This Row],[Notes for user]])," ",LCI_Table[[#This Row],[Notes for user]])</f>
        <v xml:space="preserve"> </v>
      </c>
      <c r="AA1545" s="14"/>
      <c r="AB1545" s="14"/>
      <c r="AC1545" s="346">
        <f ca="1">LCI_Table[[#This Row],[Default Calculated Value]]-LCI_Table[[#This Row],[Calculated Value]]</f>
        <v>0</v>
      </c>
    </row>
    <row r="1546" spans="1:29" x14ac:dyDescent="0.3">
      <c r="A15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residueFTICAOMIT (GREET)(blank)_ForestResidue_Collection_CoalCoal</v>
      </c>
      <c r="B1546" s="14" t="s">
        <v>316</v>
      </c>
      <c r="C1546" s="14" t="s">
        <v>129</v>
      </c>
      <c r="D1546" s="14" t="s">
        <v>194</v>
      </c>
      <c r="E1546" s="48" t="s">
        <v>1335</v>
      </c>
      <c r="F1546" s="48" t="s">
        <v>31</v>
      </c>
      <c r="G1546" s="14" t="b">
        <f>OR(LCI_Table[[#This Row],[Feedstock]]="All",LCI_Table[[#This Row],[Feedstock]]=SelectedFeedstock)</f>
        <v>0</v>
      </c>
      <c r="H1546" s="14" t="b">
        <f>OR(LCI_Table[[#This Row],[Conversion]]="All",LCI_Table[[#This Row],[Conversion]]=SelectedConversion)</f>
        <v>0</v>
      </c>
      <c r="I1546" s="14" t="b">
        <f>OR(LCI_Table[[#This Row],[Data Set]]="all",LCI_Table[[#This Row],[Data Set]]=SelectedDataSet)</f>
        <v>0</v>
      </c>
      <c r="J1546" s="14" t="b">
        <f>OR(LCI_Table[[#This Row],[Technology]]="All",LCI_Table[[#This Row],[Technology]]=SelectedTechnology)</f>
        <v>1</v>
      </c>
      <c r="K1546" s="14" t="b">
        <f>OR(LCI_Table[[#This Row],[Data Source]]="All",LCI_Table[[#This Row],[Data Source]]=SelectedDataSource)</f>
        <v>0</v>
      </c>
      <c r="L1546" s="14" t="b">
        <f>TRUE</f>
        <v>1</v>
      </c>
      <c r="M1546" s="14" t="b">
        <f>(LCI_Table[[#This Row],[Dev Notes]]="Do not display")</f>
        <v>0</v>
      </c>
      <c r="N1546" s="14" t="b">
        <f>AND(LCI_Table[[#This Row],[Show Feedstock]:[Conditional]],NOT(LCI_Table[[#This Row],[Hide Row]]))</f>
        <v>0</v>
      </c>
      <c r="O1546" s="14" t="b">
        <f>LCI_Table[[#This Row],[GREET1 Name Range]]=""</f>
        <v>0</v>
      </c>
      <c r="P1546" s="14" t="s">
        <v>147</v>
      </c>
      <c r="Q1546" s="14" t="s">
        <v>645</v>
      </c>
      <c r="R1546" s="14" t="s">
        <v>9</v>
      </c>
      <c r="S1546" s="37" cm="1">
        <f t="array" aca="1" ref="S15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46" s="346" t="s">
        <v>2110</v>
      </c>
      <c r="U1546" s="347">
        <f ca="1">S1546/S1541</f>
        <v>0</v>
      </c>
      <c r="V1546" s="347">
        <v>0</v>
      </c>
      <c r="W1546" s="347">
        <v>0</v>
      </c>
      <c r="X1546" s="14" t="s">
        <v>117</v>
      </c>
      <c r="Y1546" s="346" t="s">
        <v>413</v>
      </c>
      <c r="Z1546" s="14" t="str">
        <f>IF(ISBLANK(LCI_Table[[#This Row],[Notes for user]])," ",LCI_Table[[#This Row],[Notes for user]])</f>
        <v xml:space="preserve"> </v>
      </c>
      <c r="AA1546" s="14"/>
      <c r="AB1546" s="14"/>
      <c r="AC1546" s="346">
        <f ca="1">LCI_Table[[#This Row],[Default Calculated Value]]-LCI_Table[[#This Row],[Calculated Value]]</f>
        <v>0</v>
      </c>
    </row>
    <row r="1547" spans="1:29" x14ac:dyDescent="0.3">
      <c r="A15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residueFTICAOMIT (GREET)(blank)_ForestResidue_Collection_LPGLPG</v>
      </c>
      <c r="B1547" s="14" t="s">
        <v>316</v>
      </c>
      <c r="C1547" s="14" t="s">
        <v>129</v>
      </c>
      <c r="D1547" s="14" t="s">
        <v>194</v>
      </c>
      <c r="E1547" s="48" t="s">
        <v>1335</v>
      </c>
      <c r="F1547" s="48" t="s">
        <v>31</v>
      </c>
      <c r="G1547" s="14" t="b">
        <f>OR(LCI_Table[[#This Row],[Feedstock]]="All",LCI_Table[[#This Row],[Feedstock]]=SelectedFeedstock)</f>
        <v>0</v>
      </c>
      <c r="H1547" s="14" t="b">
        <f>OR(LCI_Table[[#This Row],[Conversion]]="All",LCI_Table[[#This Row],[Conversion]]=SelectedConversion)</f>
        <v>0</v>
      </c>
      <c r="I1547" s="14" t="b">
        <f>OR(LCI_Table[[#This Row],[Data Set]]="all",LCI_Table[[#This Row],[Data Set]]=SelectedDataSet)</f>
        <v>0</v>
      </c>
      <c r="J1547" s="14" t="b">
        <f>OR(LCI_Table[[#This Row],[Technology]]="All",LCI_Table[[#This Row],[Technology]]=SelectedTechnology)</f>
        <v>1</v>
      </c>
      <c r="K1547" s="14" t="b">
        <f>OR(LCI_Table[[#This Row],[Data Source]]="All",LCI_Table[[#This Row],[Data Source]]=SelectedDataSource)</f>
        <v>0</v>
      </c>
      <c r="L1547" s="14" t="b">
        <f>TRUE</f>
        <v>1</v>
      </c>
      <c r="M1547" s="14" t="b">
        <f>(LCI_Table[[#This Row],[Dev Notes]]="Do not display")</f>
        <v>0</v>
      </c>
      <c r="N1547" s="14" t="b">
        <f>AND(LCI_Table[[#This Row],[Show Feedstock]:[Conditional]],NOT(LCI_Table[[#This Row],[Hide Row]]))</f>
        <v>0</v>
      </c>
      <c r="O1547" s="14" t="b">
        <f>LCI_Table[[#This Row],[GREET1 Name Range]]=""</f>
        <v>0</v>
      </c>
      <c r="P1547" s="14" t="s">
        <v>147</v>
      </c>
      <c r="Q1547" s="14" t="s">
        <v>649</v>
      </c>
      <c r="R1547" s="14" t="s">
        <v>109</v>
      </c>
      <c r="S1547" s="37" cm="1">
        <f t="array" aca="1" ref="S15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47" s="346" t="s">
        <v>1484</v>
      </c>
      <c r="U1547" s="347">
        <f ca="1">S1547*Fuel_Specs!$B$35/S1541</f>
        <v>0</v>
      </c>
      <c r="V1547" s="347">
        <v>0</v>
      </c>
      <c r="W1547" s="347">
        <v>0</v>
      </c>
      <c r="X1547" s="14" t="s">
        <v>5</v>
      </c>
      <c r="Y1547" s="346" t="s">
        <v>413</v>
      </c>
      <c r="Z1547" s="14" t="str">
        <f>IF(ISBLANK(LCI_Table[[#This Row],[Notes for user]])," ",LCI_Table[[#This Row],[Notes for user]])</f>
        <v xml:space="preserve"> </v>
      </c>
      <c r="AA1547" s="14"/>
      <c r="AB1547" s="14"/>
      <c r="AC1547" s="346">
        <f ca="1">LCI_Table[[#This Row],[Default Calculated Value]]-LCI_Table[[#This Row],[Calculated Value]]</f>
        <v>0</v>
      </c>
    </row>
    <row r="1548" spans="1:29" x14ac:dyDescent="0.3">
      <c r="A15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residueFTICAOMIT (GREET)(blank)_ForestResidue_Collection_ElectricityElectricity</v>
      </c>
      <c r="B1548" s="14" t="s">
        <v>316</v>
      </c>
      <c r="C1548" s="14" t="s">
        <v>129</v>
      </c>
      <c r="D1548" s="14" t="s">
        <v>194</v>
      </c>
      <c r="E1548" s="48" t="s">
        <v>1335</v>
      </c>
      <c r="F1548" s="48" t="s">
        <v>31</v>
      </c>
      <c r="G1548" s="14" t="b">
        <f>OR(LCI_Table[[#This Row],[Feedstock]]="All",LCI_Table[[#This Row],[Feedstock]]=SelectedFeedstock)</f>
        <v>0</v>
      </c>
      <c r="H1548" s="14" t="b">
        <f>OR(LCI_Table[[#This Row],[Conversion]]="All",LCI_Table[[#This Row],[Conversion]]=SelectedConversion)</f>
        <v>0</v>
      </c>
      <c r="I1548" s="14" t="b">
        <f>OR(LCI_Table[[#This Row],[Data Set]]="all",LCI_Table[[#This Row],[Data Set]]=SelectedDataSet)</f>
        <v>0</v>
      </c>
      <c r="J1548" s="14" t="b">
        <f>OR(LCI_Table[[#This Row],[Technology]]="All",LCI_Table[[#This Row],[Technology]]=SelectedTechnology)</f>
        <v>1</v>
      </c>
      <c r="K1548" s="14" t="b">
        <f>OR(LCI_Table[[#This Row],[Data Source]]="All",LCI_Table[[#This Row],[Data Source]]=SelectedDataSource)</f>
        <v>0</v>
      </c>
      <c r="L1548" s="14" t="b">
        <f>TRUE</f>
        <v>1</v>
      </c>
      <c r="M1548" s="14" t="b">
        <f>(LCI_Table[[#This Row],[Dev Notes]]="Do not display")</f>
        <v>0</v>
      </c>
      <c r="N1548" s="14" t="b">
        <f>AND(LCI_Table[[#This Row],[Show Feedstock]:[Conditional]],NOT(LCI_Table[[#This Row],[Hide Row]]))</f>
        <v>0</v>
      </c>
      <c r="O1548" s="14" t="b">
        <f>LCI_Table[[#This Row],[GREET1 Name Range]]=""</f>
        <v>0</v>
      </c>
      <c r="P1548" s="14" t="s">
        <v>147</v>
      </c>
      <c r="Q1548" s="14" t="s">
        <v>647</v>
      </c>
      <c r="R1548" s="348" t="s">
        <v>110</v>
      </c>
      <c r="S1548" s="37" cm="1">
        <f t="array" aca="1" ref="S15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48" s="346" t="s">
        <v>1561</v>
      </c>
      <c r="U1548" s="347">
        <f ca="1">S1548/BTU2kWh/S1541</f>
        <v>0</v>
      </c>
      <c r="V1548" s="347">
        <v>0</v>
      </c>
      <c r="W1548" s="347">
        <v>0</v>
      </c>
      <c r="X1548" s="14" t="s">
        <v>51</v>
      </c>
      <c r="Y1548" s="346" t="s">
        <v>413</v>
      </c>
      <c r="Z1548" s="14" t="str">
        <f>IF(ISBLANK(LCI_Table[[#This Row],[Notes for user]])," ",LCI_Table[[#This Row],[Notes for user]])</f>
        <v xml:space="preserve"> </v>
      </c>
      <c r="AA1548" s="14"/>
      <c r="AB1548" s="14"/>
      <c r="AC1548" s="346">
        <f ca="1">LCI_Table[[#This Row],[Default Calculated Value]]-LCI_Table[[#This Row],[Calculated Value]]</f>
        <v>0</v>
      </c>
    </row>
    <row r="1549" spans="1:29" x14ac:dyDescent="0.3">
      <c r="A15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residueFTICAOMIT (GREET)(blank)_Forest_residue_FT_efficiencyForest residue</v>
      </c>
      <c r="B1549" s="14" t="s">
        <v>316</v>
      </c>
      <c r="C1549" s="14" t="s">
        <v>129</v>
      </c>
      <c r="D1549" s="14" t="s">
        <v>194</v>
      </c>
      <c r="E1549" s="48" t="s">
        <v>1335</v>
      </c>
      <c r="F1549" s="48" t="s">
        <v>31</v>
      </c>
      <c r="G1549" s="14" t="b">
        <f>OR(LCI_Table[[#This Row],[Feedstock]]="All",LCI_Table[[#This Row],[Feedstock]]=SelectedFeedstock)</f>
        <v>0</v>
      </c>
      <c r="H1549" s="14" t="b">
        <f>OR(LCI_Table[[#This Row],[Conversion]]="All",LCI_Table[[#This Row],[Conversion]]=SelectedConversion)</f>
        <v>0</v>
      </c>
      <c r="I1549" s="14" t="b">
        <f>OR(LCI_Table[[#This Row],[Data Set]]="all",LCI_Table[[#This Row],[Data Set]]=SelectedDataSet)</f>
        <v>0</v>
      </c>
      <c r="J1549" s="14" t="b">
        <f>OR(LCI_Table[[#This Row],[Technology]]="All",LCI_Table[[#This Row],[Technology]]=SelectedTechnology)</f>
        <v>1</v>
      </c>
      <c r="K1549" s="14" t="b">
        <f>OR(LCI_Table[[#This Row],[Data Source]]="All",LCI_Table[[#This Row],[Data Source]]=SelectedDataSource)</f>
        <v>0</v>
      </c>
      <c r="L1549" s="14" t="b">
        <f>TRUE</f>
        <v>1</v>
      </c>
      <c r="M1549" s="14" t="b">
        <f>(LCI_Table[[#This Row],[Dev Notes]]="Do not display")</f>
        <v>0</v>
      </c>
      <c r="N1549" s="14" t="b">
        <f>AND(LCI_Table[[#This Row],[Show Feedstock]:[Conditional]],NOT(LCI_Table[[#This Row],[Hide Row]]))</f>
        <v>0</v>
      </c>
      <c r="O1549" s="14" t="b">
        <f>LCI_Table[[#This Row],[GREET1 Name Range]]=""</f>
        <v>0</v>
      </c>
      <c r="P1549" s="14" t="s">
        <v>1448</v>
      </c>
      <c r="Q1549" s="14" t="s">
        <v>941</v>
      </c>
      <c r="R1549" s="14" t="s">
        <v>316</v>
      </c>
      <c r="S1549" s="37" cm="1">
        <f t="array" aca="1" ref="S15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0.11568049048527966</v>
      </c>
      <c r="T1549" s="346" t="s">
        <v>2125</v>
      </c>
      <c r="U1549" s="347">
        <f ca="1">1/(S1549*Fuel_Specs!$B$100*BTU2mmBTU)</f>
        <v>0.5</v>
      </c>
      <c r="V1549" s="347">
        <v>0.11568049048527966</v>
      </c>
      <c r="W1549" s="347">
        <v>0.5</v>
      </c>
      <c r="X1549" s="14" t="s">
        <v>55</v>
      </c>
      <c r="Y1549" s="346" t="s">
        <v>416</v>
      </c>
      <c r="Z1549" s="14" t="str">
        <f>IF(ISBLANK(LCI_Table[[#This Row],[Notes for user]])," ",LCI_Table[[#This Row],[Notes for user]])</f>
        <v xml:space="preserve"> </v>
      </c>
      <c r="AA1549" s="14"/>
      <c r="AB1549" s="14"/>
      <c r="AC1549" s="346">
        <f ca="1">LCI_Table[[#This Row],[Default Calculated Value]]-LCI_Table[[#This Row],[Calculated Value]]</f>
        <v>0</v>
      </c>
    </row>
    <row r="1550" spans="1:29" x14ac:dyDescent="0.3">
      <c r="A15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dash_Forest residueFTICAOJRC (E3)(blank)_Yield_Collection</v>
      </c>
      <c r="B1550" s="48" t="s">
        <v>316</v>
      </c>
      <c r="C1550" s="48" t="s">
        <v>129</v>
      </c>
      <c r="D1550" s="48" t="s">
        <v>194</v>
      </c>
      <c r="E1550" s="48" t="s">
        <v>1336</v>
      </c>
      <c r="F1550" s="48" t="s">
        <v>31</v>
      </c>
      <c r="G1550" s="14" t="b">
        <f>OR(LCI_Table[[#This Row],[Feedstock]]="All",LCI_Table[[#This Row],[Feedstock]]=SelectedFeedstock)</f>
        <v>0</v>
      </c>
      <c r="H1550" s="14" t="b">
        <f>OR(LCI_Table[[#This Row],[Conversion]]="All",LCI_Table[[#This Row],[Conversion]]=SelectedConversion)</f>
        <v>0</v>
      </c>
      <c r="I1550" s="14" t="b">
        <f>OR(LCI_Table[[#This Row],[Data Set]]="all",LCI_Table[[#This Row],[Data Set]]=SelectedDataSet)</f>
        <v>0</v>
      </c>
      <c r="J1550" s="14" t="b">
        <f>OR(LCI_Table[[#This Row],[Technology]]="All",LCI_Table[[#This Row],[Technology]]=SelectedTechnology)</f>
        <v>1</v>
      </c>
      <c r="K1550" s="14" t="b">
        <f>OR(LCI_Table[[#This Row],[Data Source]]="All",LCI_Table[[#This Row],[Data Source]]=SelectedDataSource)</f>
        <v>0</v>
      </c>
      <c r="L1550" s="14" t="b">
        <f>TRUE</f>
        <v>1</v>
      </c>
      <c r="M1550" s="14" t="b">
        <f>(LCI_Table[[#This Row],[Dev Notes]]="Do not display")</f>
        <v>0</v>
      </c>
      <c r="N1550" s="14" t="b">
        <f>AND(LCI_Table[[#This Row],[Show Feedstock]:[Conditional]],NOT(LCI_Table[[#This Row],[Hide Row]]))</f>
        <v>0</v>
      </c>
      <c r="O1550" s="14" t="b">
        <f>LCI_Table[[#This Row],[GREET1 Name Range]]=""</f>
        <v>1</v>
      </c>
      <c r="P1550" s="48" t="s">
        <v>147</v>
      </c>
      <c r="Q1550" s="14" t="s">
        <v>361</v>
      </c>
      <c r="R1550" s="48" t="s">
        <v>200</v>
      </c>
      <c r="S1550" s="37" cm="1">
        <f t="array" aca="1" ref="S15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0.22304512472924265</v>
      </c>
      <c r="T1550" s="346" t="s">
        <v>2116</v>
      </c>
      <c r="U1550" s="344"/>
      <c r="V1550" s="344">
        <v>0.22304512472924265</v>
      </c>
      <c r="W1550" s="344"/>
      <c r="X1550" s="48" t="s">
        <v>55</v>
      </c>
      <c r="Y1550" s="346" t="s">
        <v>413</v>
      </c>
      <c r="Z1550" s="14" t="str">
        <f>IF(ISBLANK(LCI_Table[[#This Row],[Notes for user]])," ",LCI_Table[[#This Row],[Notes for user]])</f>
        <v xml:space="preserve"> </v>
      </c>
      <c r="AA1550" s="48"/>
      <c r="AB1550" s="345"/>
      <c r="AC1550" s="346">
        <f>LCI_Table[[#This Row],[Default Calculated Value]]-LCI_Table[[#This Row],[Calculated Value]]</f>
        <v>0</v>
      </c>
    </row>
    <row r="1551" spans="1:29" x14ac:dyDescent="0.3">
      <c r="A15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residueFTICAOJRC (E3)(blank)_ForestResidue_Collection_Residual_oilResidual oil</v>
      </c>
      <c r="B1551" s="14" t="s">
        <v>316</v>
      </c>
      <c r="C1551" s="14" t="s">
        <v>129</v>
      </c>
      <c r="D1551" s="14" t="s">
        <v>194</v>
      </c>
      <c r="E1551" s="48" t="s">
        <v>1336</v>
      </c>
      <c r="F1551" s="48" t="s">
        <v>31</v>
      </c>
      <c r="G1551" s="14" t="b">
        <f>OR(LCI_Table[[#This Row],[Feedstock]]="All",LCI_Table[[#This Row],[Feedstock]]=SelectedFeedstock)</f>
        <v>0</v>
      </c>
      <c r="H1551" s="14" t="b">
        <f>OR(LCI_Table[[#This Row],[Conversion]]="All",LCI_Table[[#This Row],[Conversion]]=SelectedConversion)</f>
        <v>0</v>
      </c>
      <c r="I1551" s="14" t="b">
        <f>OR(LCI_Table[[#This Row],[Data Set]]="all",LCI_Table[[#This Row],[Data Set]]=SelectedDataSet)</f>
        <v>0</v>
      </c>
      <c r="J1551" s="14" t="b">
        <f>OR(LCI_Table[[#This Row],[Technology]]="All",LCI_Table[[#This Row],[Technology]]=SelectedTechnology)</f>
        <v>1</v>
      </c>
      <c r="K1551" s="14" t="b">
        <f>OR(LCI_Table[[#This Row],[Data Source]]="All",LCI_Table[[#This Row],[Data Source]]=SelectedDataSource)</f>
        <v>0</v>
      </c>
      <c r="L1551" s="14" t="b">
        <f>TRUE</f>
        <v>1</v>
      </c>
      <c r="M1551" s="14" t="b">
        <f>(LCI_Table[[#This Row],[Dev Notes]]="Do not display")</f>
        <v>0</v>
      </c>
      <c r="N1551" s="14" t="b">
        <f>AND(LCI_Table[[#This Row],[Show Feedstock]:[Conditional]],NOT(LCI_Table[[#This Row],[Hide Row]]))</f>
        <v>0</v>
      </c>
      <c r="O1551" s="14" t="b">
        <f>LCI_Table[[#This Row],[GREET1 Name Range]]=""</f>
        <v>0</v>
      </c>
      <c r="P1551" s="14" t="s">
        <v>147</v>
      </c>
      <c r="Q1551" s="14" t="s">
        <v>651</v>
      </c>
      <c r="R1551" s="14" t="s">
        <v>115</v>
      </c>
      <c r="S1551" s="37" cm="1">
        <f t="array" aca="1" ref="S15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51" s="346" t="s">
        <v>1484</v>
      </c>
      <c r="U1551" s="347">
        <f ca="1">S1551*Fuel_Specs!$B$28/S1550</f>
        <v>0</v>
      </c>
      <c r="V1551" s="347">
        <v>0</v>
      </c>
      <c r="W1551" s="347">
        <v>0</v>
      </c>
      <c r="X1551" s="14" t="s">
        <v>5</v>
      </c>
      <c r="Y1551" s="346" t="s">
        <v>413</v>
      </c>
      <c r="Z1551" s="14" t="str">
        <f>IF(ISBLANK(LCI_Table[[#This Row],[Notes for user]])," ",LCI_Table[[#This Row],[Notes for user]])</f>
        <v xml:space="preserve"> </v>
      </c>
      <c r="AA1551" s="14"/>
      <c r="AB1551" s="14"/>
      <c r="AC1551" s="346">
        <f ca="1">LCI_Table[[#This Row],[Default Calculated Value]]-LCI_Table[[#This Row],[Calculated Value]]</f>
        <v>0</v>
      </c>
    </row>
    <row r="1552" spans="1:29" x14ac:dyDescent="0.3">
      <c r="A15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residueFTICAOJRC (E3)(blank)_ForestResidue_Collection_DieselDiesel</v>
      </c>
      <c r="B1552" s="14" t="s">
        <v>316</v>
      </c>
      <c r="C1552" s="14" t="s">
        <v>129</v>
      </c>
      <c r="D1552" s="14" t="s">
        <v>194</v>
      </c>
      <c r="E1552" s="48" t="s">
        <v>1336</v>
      </c>
      <c r="F1552" s="48" t="s">
        <v>31</v>
      </c>
      <c r="G1552" s="14" t="b">
        <f>OR(LCI_Table[[#This Row],[Feedstock]]="All",LCI_Table[[#This Row],[Feedstock]]=SelectedFeedstock)</f>
        <v>0</v>
      </c>
      <c r="H1552" s="14" t="b">
        <f>OR(LCI_Table[[#This Row],[Conversion]]="All",LCI_Table[[#This Row],[Conversion]]=SelectedConversion)</f>
        <v>0</v>
      </c>
      <c r="I1552" s="14" t="b">
        <f>OR(LCI_Table[[#This Row],[Data Set]]="all",LCI_Table[[#This Row],[Data Set]]=SelectedDataSet)</f>
        <v>0</v>
      </c>
      <c r="J1552" s="14" t="b">
        <f>OR(LCI_Table[[#This Row],[Technology]]="All",LCI_Table[[#This Row],[Technology]]=SelectedTechnology)</f>
        <v>1</v>
      </c>
      <c r="K1552" s="14" t="b">
        <f>OR(LCI_Table[[#This Row],[Data Source]]="All",LCI_Table[[#This Row],[Data Source]]=SelectedDataSource)</f>
        <v>0</v>
      </c>
      <c r="L1552" s="14" t="b">
        <f>TRUE</f>
        <v>1</v>
      </c>
      <c r="M1552" s="14" t="b">
        <f>(LCI_Table[[#This Row],[Dev Notes]]="Do not display")</f>
        <v>0</v>
      </c>
      <c r="N1552" s="14" t="b">
        <f>AND(LCI_Table[[#This Row],[Show Feedstock]:[Conditional]],NOT(LCI_Table[[#This Row],[Hide Row]]))</f>
        <v>0</v>
      </c>
      <c r="O1552" s="14" t="b">
        <f>LCI_Table[[#This Row],[GREET1 Name Range]]=""</f>
        <v>0</v>
      </c>
      <c r="P1552" s="14" t="s">
        <v>147</v>
      </c>
      <c r="Q1552" s="14" t="s">
        <v>646</v>
      </c>
      <c r="R1552" s="14" t="s">
        <v>106</v>
      </c>
      <c r="S1552" s="37" cm="1">
        <f t="array" aca="1" ref="S15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0.38436531390055817</v>
      </c>
      <c r="T1552" s="346" t="s">
        <v>1484</v>
      </c>
      <c r="U1552" s="347">
        <f ca="1">S1552*Fuel_Specs!$B$19/S1550</f>
        <v>221353.07655999955</v>
      </c>
      <c r="V1552" s="347">
        <v>0.38436531390055817</v>
      </c>
      <c r="W1552" s="347">
        <v>221353.07655999955</v>
      </c>
      <c r="X1552" s="14" t="s">
        <v>5</v>
      </c>
      <c r="Y1552" s="346" t="s">
        <v>413</v>
      </c>
      <c r="Z1552" s="14" t="str">
        <f>IF(ISBLANK(LCI_Table[[#This Row],[Notes for user]])," ",LCI_Table[[#This Row],[Notes for user]])</f>
        <v xml:space="preserve"> </v>
      </c>
      <c r="AA1552" s="14"/>
      <c r="AB1552" s="14"/>
      <c r="AC1552" s="346">
        <f ca="1">LCI_Table[[#This Row],[Default Calculated Value]]-LCI_Table[[#This Row],[Calculated Value]]</f>
        <v>0</v>
      </c>
    </row>
    <row r="1553" spans="1:29" x14ac:dyDescent="0.3">
      <c r="A15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residueFTICAOJRC (E3)(blank)_ForestResidue_Collection_GasolineGasoline</v>
      </c>
      <c r="B1553" s="14" t="s">
        <v>316</v>
      </c>
      <c r="C1553" s="14" t="s">
        <v>129</v>
      </c>
      <c r="D1553" s="14" t="s">
        <v>194</v>
      </c>
      <c r="E1553" s="48" t="s">
        <v>1336</v>
      </c>
      <c r="F1553" s="48" t="s">
        <v>31</v>
      </c>
      <c r="G1553" s="14" t="b">
        <f>OR(LCI_Table[[#This Row],[Feedstock]]="All",LCI_Table[[#This Row],[Feedstock]]=SelectedFeedstock)</f>
        <v>0</v>
      </c>
      <c r="H1553" s="14" t="b">
        <f>OR(LCI_Table[[#This Row],[Conversion]]="All",LCI_Table[[#This Row],[Conversion]]=SelectedConversion)</f>
        <v>0</v>
      </c>
      <c r="I1553" s="14" t="b">
        <f>OR(LCI_Table[[#This Row],[Data Set]]="all",LCI_Table[[#This Row],[Data Set]]=SelectedDataSet)</f>
        <v>0</v>
      </c>
      <c r="J1553" s="14" t="b">
        <f>OR(LCI_Table[[#This Row],[Technology]]="All",LCI_Table[[#This Row],[Technology]]=SelectedTechnology)</f>
        <v>1</v>
      </c>
      <c r="K1553" s="14" t="b">
        <f>OR(LCI_Table[[#This Row],[Data Source]]="All",LCI_Table[[#This Row],[Data Source]]=SelectedDataSource)</f>
        <v>0</v>
      </c>
      <c r="L1553" s="14" t="b">
        <f>TRUE</f>
        <v>1</v>
      </c>
      <c r="M1553" s="14" t="b">
        <f>(LCI_Table[[#This Row],[Dev Notes]]="Do not display")</f>
        <v>0</v>
      </c>
      <c r="N1553" s="14" t="b">
        <f>AND(LCI_Table[[#This Row],[Show Feedstock]:[Conditional]],NOT(LCI_Table[[#This Row],[Hide Row]]))</f>
        <v>0</v>
      </c>
      <c r="O1553" s="14" t="b">
        <f>LCI_Table[[#This Row],[GREET1 Name Range]]=""</f>
        <v>0</v>
      </c>
      <c r="P1553" s="14" t="s">
        <v>147</v>
      </c>
      <c r="Q1553" s="14" t="s">
        <v>648</v>
      </c>
      <c r="R1553" s="14" t="s">
        <v>107</v>
      </c>
      <c r="S1553" s="37" cm="1">
        <f t="array" aca="1" ref="S15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53" s="346" t="s">
        <v>1484</v>
      </c>
      <c r="U1553" s="347">
        <f ca="1">S1553*Fuel_Specs!$B$15/S1550</f>
        <v>0</v>
      </c>
      <c r="V1553" s="347">
        <v>0</v>
      </c>
      <c r="W1553" s="347">
        <v>0</v>
      </c>
      <c r="X1553" s="14" t="s">
        <v>5</v>
      </c>
      <c r="Y1553" s="346" t="s">
        <v>413</v>
      </c>
      <c r="Z1553" s="14" t="str">
        <f>IF(ISBLANK(LCI_Table[[#This Row],[Notes for user]])," ",LCI_Table[[#This Row],[Notes for user]])</f>
        <v xml:space="preserve"> </v>
      </c>
      <c r="AA1553" s="14"/>
      <c r="AB1553" s="14"/>
      <c r="AC1553" s="346">
        <f ca="1">LCI_Table[[#This Row],[Default Calculated Value]]-LCI_Table[[#This Row],[Calculated Value]]</f>
        <v>0</v>
      </c>
    </row>
    <row r="1554" spans="1:29" x14ac:dyDescent="0.3">
      <c r="A15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residueFTICAOJRC (E3)(blank)_ForestResidue_Collection_Natural_gasNatural gas</v>
      </c>
      <c r="B1554" s="14" t="s">
        <v>316</v>
      </c>
      <c r="C1554" s="14" t="s">
        <v>129</v>
      </c>
      <c r="D1554" s="14" t="s">
        <v>194</v>
      </c>
      <c r="E1554" s="48" t="s">
        <v>1336</v>
      </c>
      <c r="F1554" s="48" t="s">
        <v>31</v>
      </c>
      <c r="G1554" s="14" t="b">
        <f>OR(LCI_Table[[#This Row],[Feedstock]]="All",LCI_Table[[#This Row],[Feedstock]]=SelectedFeedstock)</f>
        <v>0</v>
      </c>
      <c r="H1554" s="14" t="b">
        <f>OR(LCI_Table[[#This Row],[Conversion]]="All",LCI_Table[[#This Row],[Conversion]]=SelectedConversion)</f>
        <v>0</v>
      </c>
      <c r="I1554" s="14" t="b">
        <f>OR(LCI_Table[[#This Row],[Data Set]]="all",LCI_Table[[#This Row],[Data Set]]=SelectedDataSet)</f>
        <v>0</v>
      </c>
      <c r="J1554" s="14" t="b">
        <f>OR(LCI_Table[[#This Row],[Technology]]="All",LCI_Table[[#This Row],[Technology]]=SelectedTechnology)</f>
        <v>1</v>
      </c>
      <c r="K1554" s="14" t="b">
        <f>OR(LCI_Table[[#This Row],[Data Source]]="All",LCI_Table[[#This Row],[Data Source]]=SelectedDataSource)</f>
        <v>0</v>
      </c>
      <c r="L1554" s="14" t="b">
        <f>TRUE</f>
        <v>1</v>
      </c>
      <c r="M1554" s="14" t="b">
        <f>(LCI_Table[[#This Row],[Dev Notes]]="Do not display")</f>
        <v>0</v>
      </c>
      <c r="N1554" s="14" t="b">
        <f>AND(LCI_Table[[#This Row],[Show Feedstock]:[Conditional]],NOT(LCI_Table[[#This Row],[Hide Row]]))</f>
        <v>0</v>
      </c>
      <c r="O1554" s="14" t="b">
        <f>LCI_Table[[#This Row],[GREET1 Name Range]]=""</f>
        <v>0</v>
      </c>
      <c r="P1554" s="14" t="s">
        <v>147</v>
      </c>
      <c r="Q1554" s="14" t="s">
        <v>650</v>
      </c>
      <c r="R1554" s="14" t="s">
        <v>108</v>
      </c>
      <c r="S1554" s="37" cm="1">
        <f t="array" aca="1" ref="S15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54" s="346" t="s">
        <v>2109</v>
      </c>
      <c r="U1554" s="347">
        <f ca="1">S1554*Fuel_Specs!$B$79/S1550</f>
        <v>0</v>
      </c>
      <c r="V1554" s="347">
        <v>0</v>
      </c>
      <c r="W1554" s="347">
        <v>0</v>
      </c>
      <c r="X1554" s="14" t="s">
        <v>351</v>
      </c>
      <c r="Y1554" s="346" t="s">
        <v>413</v>
      </c>
      <c r="Z1554" s="14" t="str">
        <f>IF(ISBLANK(LCI_Table[[#This Row],[Notes for user]])," ",LCI_Table[[#This Row],[Notes for user]])</f>
        <v xml:space="preserve"> </v>
      </c>
      <c r="AA1554" s="14"/>
      <c r="AB1554" s="14"/>
      <c r="AC1554" s="346">
        <f ca="1">LCI_Table[[#This Row],[Default Calculated Value]]-LCI_Table[[#This Row],[Calculated Value]]</f>
        <v>0</v>
      </c>
    </row>
    <row r="1555" spans="1:29" x14ac:dyDescent="0.3">
      <c r="A15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residueFTICAOJRC (E3)(blank)_ForestResidue_Collection_CoalCoal</v>
      </c>
      <c r="B1555" s="14" t="s">
        <v>316</v>
      </c>
      <c r="C1555" s="14" t="s">
        <v>129</v>
      </c>
      <c r="D1555" s="14" t="s">
        <v>194</v>
      </c>
      <c r="E1555" s="48" t="s">
        <v>1336</v>
      </c>
      <c r="F1555" s="48" t="s">
        <v>31</v>
      </c>
      <c r="G1555" s="14" t="b">
        <f>OR(LCI_Table[[#This Row],[Feedstock]]="All",LCI_Table[[#This Row],[Feedstock]]=SelectedFeedstock)</f>
        <v>0</v>
      </c>
      <c r="H1555" s="14" t="b">
        <f>OR(LCI_Table[[#This Row],[Conversion]]="All",LCI_Table[[#This Row],[Conversion]]=SelectedConversion)</f>
        <v>0</v>
      </c>
      <c r="I1555" s="14" t="b">
        <f>OR(LCI_Table[[#This Row],[Data Set]]="all",LCI_Table[[#This Row],[Data Set]]=SelectedDataSet)</f>
        <v>0</v>
      </c>
      <c r="J1555" s="14" t="b">
        <f>OR(LCI_Table[[#This Row],[Technology]]="All",LCI_Table[[#This Row],[Technology]]=SelectedTechnology)</f>
        <v>1</v>
      </c>
      <c r="K1555" s="14" t="b">
        <f>OR(LCI_Table[[#This Row],[Data Source]]="All",LCI_Table[[#This Row],[Data Source]]=SelectedDataSource)</f>
        <v>0</v>
      </c>
      <c r="L1555" s="14" t="b">
        <f>TRUE</f>
        <v>1</v>
      </c>
      <c r="M1555" s="14" t="b">
        <f>(LCI_Table[[#This Row],[Dev Notes]]="Do not display")</f>
        <v>0</v>
      </c>
      <c r="N1555" s="14" t="b">
        <f>AND(LCI_Table[[#This Row],[Show Feedstock]:[Conditional]],NOT(LCI_Table[[#This Row],[Hide Row]]))</f>
        <v>0</v>
      </c>
      <c r="O1555" s="14" t="b">
        <f>LCI_Table[[#This Row],[GREET1 Name Range]]=""</f>
        <v>0</v>
      </c>
      <c r="P1555" s="14" t="s">
        <v>147</v>
      </c>
      <c r="Q1555" s="14" t="s">
        <v>645</v>
      </c>
      <c r="R1555" s="14" t="s">
        <v>9</v>
      </c>
      <c r="S1555" s="37" cm="1">
        <f t="array" aca="1" ref="S15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55" s="346" t="s">
        <v>2110</v>
      </c>
      <c r="U1555" s="347">
        <f ca="1">S1555/S1550</f>
        <v>0</v>
      </c>
      <c r="V1555" s="347">
        <v>0</v>
      </c>
      <c r="W1555" s="347">
        <v>0</v>
      </c>
      <c r="X1555" s="14" t="s">
        <v>117</v>
      </c>
      <c r="Y1555" s="346" t="s">
        <v>413</v>
      </c>
      <c r="Z1555" s="14" t="str">
        <f>IF(ISBLANK(LCI_Table[[#This Row],[Notes for user]])," ",LCI_Table[[#This Row],[Notes for user]])</f>
        <v xml:space="preserve"> </v>
      </c>
      <c r="AA1555" s="14"/>
      <c r="AB1555" s="14"/>
      <c r="AC1555" s="346">
        <f ca="1">LCI_Table[[#This Row],[Default Calculated Value]]-LCI_Table[[#This Row],[Calculated Value]]</f>
        <v>0</v>
      </c>
    </row>
    <row r="1556" spans="1:29" x14ac:dyDescent="0.3">
      <c r="A15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residueFTICAOJRC (E3)(blank)_ForestResidue_Collection_LPGLPG</v>
      </c>
      <c r="B1556" s="14" t="s">
        <v>316</v>
      </c>
      <c r="C1556" s="14" t="s">
        <v>129</v>
      </c>
      <c r="D1556" s="14" t="s">
        <v>194</v>
      </c>
      <c r="E1556" s="48" t="s">
        <v>1336</v>
      </c>
      <c r="F1556" s="48" t="s">
        <v>31</v>
      </c>
      <c r="G1556" s="14" t="b">
        <f>OR(LCI_Table[[#This Row],[Feedstock]]="All",LCI_Table[[#This Row],[Feedstock]]=SelectedFeedstock)</f>
        <v>0</v>
      </c>
      <c r="H1556" s="14" t="b">
        <f>OR(LCI_Table[[#This Row],[Conversion]]="All",LCI_Table[[#This Row],[Conversion]]=SelectedConversion)</f>
        <v>0</v>
      </c>
      <c r="I1556" s="14" t="b">
        <f>OR(LCI_Table[[#This Row],[Data Set]]="all",LCI_Table[[#This Row],[Data Set]]=SelectedDataSet)</f>
        <v>0</v>
      </c>
      <c r="J1556" s="14" t="b">
        <f>OR(LCI_Table[[#This Row],[Technology]]="All",LCI_Table[[#This Row],[Technology]]=SelectedTechnology)</f>
        <v>1</v>
      </c>
      <c r="K1556" s="14" t="b">
        <f>OR(LCI_Table[[#This Row],[Data Source]]="All",LCI_Table[[#This Row],[Data Source]]=SelectedDataSource)</f>
        <v>0</v>
      </c>
      <c r="L1556" s="14" t="b">
        <f>TRUE</f>
        <v>1</v>
      </c>
      <c r="M1556" s="14" t="b">
        <f>(LCI_Table[[#This Row],[Dev Notes]]="Do not display")</f>
        <v>0</v>
      </c>
      <c r="N1556" s="14" t="b">
        <f>AND(LCI_Table[[#This Row],[Show Feedstock]:[Conditional]],NOT(LCI_Table[[#This Row],[Hide Row]]))</f>
        <v>0</v>
      </c>
      <c r="O1556" s="14" t="b">
        <f>LCI_Table[[#This Row],[GREET1 Name Range]]=""</f>
        <v>0</v>
      </c>
      <c r="P1556" s="14" t="s">
        <v>147</v>
      </c>
      <c r="Q1556" s="14" t="s">
        <v>649</v>
      </c>
      <c r="R1556" s="14" t="s">
        <v>109</v>
      </c>
      <c r="S1556" s="37" cm="1">
        <f t="array" aca="1" ref="S15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56" s="346" t="s">
        <v>1484</v>
      </c>
      <c r="U1556" s="347">
        <f ca="1">S1556*Fuel_Specs!$B$35/S1550</f>
        <v>0</v>
      </c>
      <c r="V1556" s="347">
        <v>0</v>
      </c>
      <c r="W1556" s="347">
        <v>0</v>
      </c>
      <c r="X1556" s="14" t="s">
        <v>5</v>
      </c>
      <c r="Y1556" s="346" t="s">
        <v>413</v>
      </c>
      <c r="Z1556" s="14" t="str">
        <f>IF(ISBLANK(LCI_Table[[#This Row],[Notes for user]])," ",LCI_Table[[#This Row],[Notes for user]])</f>
        <v xml:space="preserve"> </v>
      </c>
      <c r="AA1556" s="14"/>
      <c r="AB1556" s="14"/>
      <c r="AC1556" s="346">
        <f ca="1">LCI_Table[[#This Row],[Default Calculated Value]]-LCI_Table[[#This Row],[Calculated Value]]</f>
        <v>0</v>
      </c>
    </row>
    <row r="1557" spans="1:29" x14ac:dyDescent="0.3">
      <c r="A15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residueFTICAOJRC (E3)(blank)_ForestResidue_Collection_ElectricityElectricity</v>
      </c>
      <c r="B1557" s="14" t="s">
        <v>316</v>
      </c>
      <c r="C1557" s="14" t="s">
        <v>129</v>
      </c>
      <c r="D1557" s="14" t="s">
        <v>194</v>
      </c>
      <c r="E1557" s="48" t="s">
        <v>1336</v>
      </c>
      <c r="F1557" s="48" t="s">
        <v>31</v>
      </c>
      <c r="G1557" s="14" t="b">
        <f>OR(LCI_Table[[#This Row],[Feedstock]]="All",LCI_Table[[#This Row],[Feedstock]]=SelectedFeedstock)</f>
        <v>0</v>
      </c>
      <c r="H1557" s="14" t="b">
        <f>OR(LCI_Table[[#This Row],[Conversion]]="All",LCI_Table[[#This Row],[Conversion]]=SelectedConversion)</f>
        <v>0</v>
      </c>
      <c r="I1557" s="14" t="b">
        <f>OR(LCI_Table[[#This Row],[Data Set]]="all",LCI_Table[[#This Row],[Data Set]]=SelectedDataSet)</f>
        <v>0</v>
      </c>
      <c r="J1557" s="14" t="b">
        <f>OR(LCI_Table[[#This Row],[Technology]]="All",LCI_Table[[#This Row],[Technology]]=SelectedTechnology)</f>
        <v>1</v>
      </c>
      <c r="K1557" s="14" t="b">
        <f>OR(LCI_Table[[#This Row],[Data Source]]="All",LCI_Table[[#This Row],[Data Source]]=SelectedDataSource)</f>
        <v>0</v>
      </c>
      <c r="L1557" s="14" t="b">
        <f>TRUE</f>
        <v>1</v>
      </c>
      <c r="M1557" s="14" t="b">
        <f>(LCI_Table[[#This Row],[Dev Notes]]="Do not display")</f>
        <v>0</v>
      </c>
      <c r="N1557" s="14" t="b">
        <f>AND(LCI_Table[[#This Row],[Show Feedstock]:[Conditional]],NOT(LCI_Table[[#This Row],[Hide Row]]))</f>
        <v>0</v>
      </c>
      <c r="O1557" s="14" t="b">
        <f>LCI_Table[[#This Row],[GREET1 Name Range]]=""</f>
        <v>0</v>
      </c>
      <c r="P1557" s="14" t="s">
        <v>147</v>
      </c>
      <c r="Q1557" s="14" t="s">
        <v>647</v>
      </c>
      <c r="R1557" s="348" t="s">
        <v>110</v>
      </c>
      <c r="S1557" s="37" cm="1">
        <f t="array" aca="1" ref="S15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57" s="346" t="s">
        <v>1561</v>
      </c>
      <c r="U1557" s="347">
        <f ca="1">S1557/BTU2kWh/S1550</f>
        <v>0</v>
      </c>
      <c r="V1557" s="347">
        <v>0</v>
      </c>
      <c r="W1557" s="347">
        <v>0</v>
      </c>
      <c r="X1557" s="14" t="s">
        <v>51</v>
      </c>
      <c r="Y1557" s="346" t="s">
        <v>413</v>
      </c>
      <c r="Z1557" s="14" t="str">
        <f>IF(ISBLANK(LCI_Table[[#This Row],[Notes for user]])," ",LCI_Table[[#This Row],[Notes for user]])</f>
        <v xml:space="preserve"> </v>
      </c>
      <c r="AA1557" s="14"/>
      <c r="AB1557" s="14"/>
      <c r="AC1557" s="346">
        <f ca="1">LCI_Table[[#This Row],[Default Calculated Value]]-LCI_Table[[#This Row],[Calculated Value]]</f>
        <v>0</v>
      </c>
    </row>
    <row r="1558" spans="1:29" x14ac:dyDescent="0.3">
      <c r="A15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residueFTICAOJRC (E3)(blank)_Forest_residue_FT_efficiencyForest residue</v>
      </c>
      <c r="B1558" s="14" t="s">
        <v>316</v>
      </c>
      <c r="C1558" s="14" t="s">
        <v>129</v>
      </c>
      <c r="D1558" s="14" t="s">
        <v>194</v>
      </c>
      <c r="E1558" s="48" t="s">
        <v>1336</v>
      </c>
      <c r="F1558" s="48" t="s">
        <v>31</v>
      </c>
      <c r="G1558" s="14" t="b">
        <f>OR(LCI_Table[[#This Row],[Feedstock]]="All",LCI_Table[[#This Row],[Feedstock]]=SelectedFeedstock)</f>
        <v>0</v>
      </c>
      <c r="H1558" s="14" t="b">
        <f>OR(LCI_Table[[#This Row],[Conversion]]="All",LCI_Table[[#This Row],[Conversion]]=SelectedConversion)</f>
        <v>0</v>
      </c>
      <c r="I1558" s="14" t="b">
        <f>OR(LCI_Table[[#This Row],[Data Set]]="all",LCI_Table[[#This Row],[Data Set]]=SelectedDataSet)</f>
        <v>0</v>
      </c>
      <c r="J1558" s="14" t="b">
        <f>OR(LCI_Table[[#This Row],[Technology]]="All",LCI_Table[[#This Row],[Technology]]=SelectedTechnology)</f>
        <v>1</v>
      </c>
      <c r="K1558" s="14" t="b">
        <f>OR(LCI_Table[[#This Row],[Data Source]]="All",LCI_Table[[#This Row],[Data Source]]=SelectedDataSource)</f>
        <v>0</v>
      </c>
      <c r="L1558" s="14" t="b">
        <f>TRUE</f>
        <v>1</v>
      </c>
      <c r="M1558" s="14" t="b">
        <f>(LCI_Table[[#This Row],[Dev Notes]]="Do not display")</f>
        <v>0</v>
      </c>
      <c r="N1558" s="14" t="b">
        <f>AND(LCI_Table[[#This Row],[Show Feedstock]:[Conditional]],NOT(LCI_Table[[#This Row],[Hide Row]]))</f>
        <v>0</v>
      </c>
      <c r="O1558" s="14" t="b">
        <f>LCI_Table[[#This Row],[GREET1 Name Range]]=""</f>
        <v>0</v>
      </c>
      <c r="P1558" s="14" t="s">
        <v>1448</v>
      </c>
      <c r="Q1558" s="14" t="s">
        <v>941</v>
      </c>
      <c r="R1558" s="14" t="s">
        <v>316</v>
      </c>
      <c r="S1558" s="37" cm="1">
        <f t="array" aca="1" ref="S15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0.12306435158008475</v>
      </c>
      <c r="T1558" s="346" t="s">
        <v>2125</v>
      </c>
      <c r="U1558" s="347">
        <f ca="1">1/(S1558*Fuel_Specs!$B$100*BTU2mmBTU)</f>
        <v>0.47000000000000003</v>
      </c>
      <c r="V1558" s="347">
        <v>0.12306435158008475</v>
      </c>
      <c r="W1558" s="347">
        <v>0.47000000000000003</v>
      </c>
      <c r="X1558" s="14" t="s">
        <v>55</v>
      </c>
      <c r="Y1558" s="346" t="s">
        <v>416</v>
      </c>
      <c r="Z1558" s="14" t="str">
        <f>IF(ISBLANK(LCI_Table[[#This Row],[Notes for user]])," ",LCI_Table[[#This Row],[Notes for user]])</f>
        <v xml:space="preserve"> </v>
      </c>
      <c r="AA1558" s="14"/>
      <c r="AB1558" s="14"/>
      <c r="AC1558" s="346">
        <f ca="1">LCI_Table[[#This Row],[Default Calculated Value]]-LCI_Table[[#This Row],[Calculated Value]]</f>
        <v>0</v>
      </c>
    </row>
    <row r="1559" spans="1:29" x14ac:dyDescent="0.3">
      <c r="A15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dash_CornATJ-ethanolICAOMIT(blank)_Yield_Farming</v>
      </c>
      <c r="B1559" s="48" t="s">
        <v>136</v>
      </c>
      <c r="C1559" s="48" t="s">
        <v>1964</v>
      </c>
      <c r="D1559" s="48" t="s">
        <v>194</v>
      </c>
      <c r="E1559" s="48" t="s">
        <v>377</v>
      </c>
      <c r="F1559" s="48" t="s">
        <v>31</v>
      </c>
      <c r="G1559" s="14" t="b">
        <f>OR(LCI_Table[[#This Row],[Feedstock]]="All",LCI_Table[[#This Row],[Feedstock]]=SelectedFeedstock)</f>
        <v>0</v>
      </c>
      <c r="H1559" s="14" t="b">
        <f>OR(LCI_Table[[#This Row],[Conversion]]="All",LCI_Table[[#This Row],[Conversion]]=SelectedConversion)</f>
        <v>0</v>
      </c>
      <c r="I1559" s="14" t="b">
        <f>OR(LCI_Table[[#This Row],[Data Set]]="all",LCI_Table[[#This Row],[Data Set]]=SelectedDataSet)</f>
        <v>0</v>
      </c>
      <c r="J1559" s="14" t="b">
        <f>OR(LCI_Table[[#This Row],[Technology]]="All",LCI_Table[[#This Row],[Technology]]=SelectedTechnology)</f>
        <v>1</v>
      </c>
      <c r="K1559" s="14" t="b">
        <f>OR(LCI_Table[[#This Row],[Data Source]]="All",LCI_Table[[#This Row],[Data Source]]=SelectedDataSource)</f>
        <v>0</v>
      </c>
      <c r="L1559" s="14" t="b">
        <f>TRUE</f>
        <v>1</v>
      </c>
      <c r="M1559" s="14" t="b">
        <f>(LCI_Table[[#This Row],[Dev Notes]]="Do not display")</f>
        <v>0</v>
      </c>
      <c r="N1559" s="14" t="b">
        <f>AND(LCI_Table[[#This Row],[Show Feedstock]:[Conditional]],NOT(LCI_Table[[#This Row],[Hide Row]]))</f>
        <v>0</v>
      </c>
      <c r="O1559" s="14" t="b">
        <f>LCI_Table[[#This Row],[GREET1 Name Range]]=""</f>
        <v>1</v>
      </c>
      <c r="P1559" s="48" t="s">
        <v>14</v>
      </c>
      <c r="Q1559" s="14" t="s">
        <v>361</v>
      </c>
      <c r="R1559" s="48" t="s">
        <v>200</v>
      </c>
      <c r="S1559" s="37" cm="1">
        <f t="array" aca="1" ref="S15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178.4</v>
      </c>
      <c r="T1559" s="346" t="s">
        <v>2126</v>
      </c>
      <c r="U1559" s="344"/>
      <c r="V1559" s="344">
        <v>178.4</v>
      </c>
      <c r="W1559" s="344"/>
      <c r="X1559" s="48" t="s">
        <v>70</v>
      </c>
      <c r="Y1559" s="346" t="s">
        <v>413</v>
      </c>
      <c r="Z1559" s="14" t="str">
        <f>IF(ISBLANK(LCI_Table[[#This Row],[Notes for user]])," ",LCI_Table[[#This Row],[Notes for user]])</f>
        <v>Default value from GREET</v>
      </c>
      <c r="AA1559" s="48" t="s">
        <v>1152</v>
      </c>
      <c r="AB1559" s="345"/>
      <c r="AC1559" s="346">
        <f>LCI_Table[[#This Row],[Default Calculated Value]]-LCI_Table[[#This Row],[Calculated Value]]</f>
        <v>0</v>
      </c>
    </row>
    <row r="1560" spans="1:29" x14ac:dyDescent="0.3">
      <c r="A15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CornATJ-ethanolICAOMIT(blank)_Corn_Farming_Nitrogen_fertilizerNitrogen fertilizer</v>
      </c>
      <c r="B1560" s="14" t="s">
        <v>136</v>
      </c>
      <c r="C1560" s="14" t="s">
        <v>1964</v>
      </c>
      <c r="D1560" s="14" t="s">
        <v>194</v>
      </c>
      <c r="E1560" s="14" t="s">
        <v>377</v>
      </c>
      <c r="F1560" s="48" t="s">
        <v>31</v>
      </c>
      <c r="G1560" s="14" t="b">
        <f>OR(LCI_Table[[#This Row],[Feedstock]]="All",LCI_Table[[#This Row],[Feedstock]]=SelectedFeedstock)</f>
        <v>0</v>
      </c>
      <c r="H1560" s="14" t="b">
        <f>OR(LCI_Table[[#This Row],[Conversion]]="All",LCI_Table[[#This Row],[Conversion]]=SelectedConversion)</f>
        <v>0</v>
      </c>
      <c r="I1560" s="14" t="b">
        <f>OR(LCI_Table[[#This Row],[Data Set]]="all",LCI_Table[[#This Row],[Data Set]]=SelectedDataSet)</f>
        <v>0</v>
      </c>
      <c r="J1560" s="14" t="b">
        <f>OR(LCI_Table[[#This Row],[Technology]]="All",LCI_Table[[#This Row],[Technology]]=SelectedTechnology)</f>
        <v>1</v>
      </c>
      <c r="K1560" s="14" t="b">
        <f>OR(LCI_Table[[#This Row],[Data Source]]="All",LCI_Table[[#This Row],[Data Source]]=SelectedDataSource)</f>
        <v>0</v>
      </c>
      <c r="L1560" s="14" t="b">
        <f>TRUE</f>
        <v>1</v>
      </c>
      <c r="M1560" s="14" t="b">
        <f>(LCI_Table[[#This Row],[Dev Notes]]="Do not display")</f>
        <v>0</v>
      </c>
      <c r="N1560" s="14" t="b">
        <f>AND(LCI_Table[[#This Row],[Show Feedstock]:[Conditional]],NOT(LCI_Table[[#This Row],[Hide Row]]))</f>
        <v>0</v>
      </c>
      <c r="O1560" s="14" t="b">
        <f>LCI_Table[[#This Row],[GREET1 Name Range]]=""</f>
        <v>0</v>
      </c>
      <c r="P1560" s="14" t="s">
        <v>14</v>
      </c>
      <c r="Q1560" s="14" t="s">
        <v>589</v>
      </c>
      <c r="R1560" s="14" t="s">
        <v>111</v>
      </c>
      <c r="S1560" s="37" cm="1">
        <f t="array" aca="1" ref="S15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150.63569080758597</v>
      </c>
      <c r="T1560" s="346" t="s">
        <v>1485</v>
      </c>
      <c r="U1560" s="347">
        <f ca="1">S1560/$S$1559*lb2g</f>
        <v>383.0000000000008</v>
      </c>
      <c r="V1560" s="347">
        <v>150.63569080758597</v>
      </c>
      <c r="W1560" s="347">
        <v>383.0000000000008</v>
      </c>
      <c r="X1560" s="14" t="s">
        <v>12</v>
      </c>
      <c r="Y1560" s="346" t="s">
        <v>413</v>
      </c>
      <c r="Z1560" s="14" t="str">
        <f>IF(ISBLANK(LCI_Table[[#This Row],[Notes for user]])," ",LCI_Table[[#This Row],[Notes for user]])</f>
        <v xml:space="preserve"> </v>
      </c>
      <c r="AA1560" s="14"/>
      <c r="AB1560" s="14"/>
      <c r="AC1560" s="346">
        <f ca="1">LCI_Table[[#This Row],[Default Calculated Value]]-LCI_Table[[#This Row],[Calculated Value]]</f>
        <v>0</v>
      </c>
    </row>
    <row r="1561" spans="1:29" x14ac:dyDescent="0.3">
      <c r="A15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CornATJ-ethanolICAOMIT(blank)_Corn_Farming_P2O5P2O5</v>
      </c>
      <c r="B1561" s="14" t="s">
        <v>136</v>
      </c>
      <c r="C1561" s="14" t="s">
        <v>1964</v>
      </c>
      <c r="D1561" s="14" t="s">
        <v>194</v>
      </c>
      <c r="E1561" s="14" t="s">
        <v>377</v>
      </c>
      <c r="F1561" s="48" t="s">
        <v>31</v>
      </c>
      <c r="G1561" s="14" t="b">
        <f>OR(LCI_Table[[#This Row],[Feedstock]]="All",LCI_Table[[#This Row],[Feedstock]]=SelectedFeedstock)</f>
        <v>0</v>
      </c>
      <c r="H1561" s="14" t="b">
        <f>OR(LCI_Table[[#This Row],[Conversion]]="All",LCI_Table[[#This Row],[Conversion]]=SelectedConversion)</f>
        <v>0</v>
      </c>
      <c r="I1561" s="14" t="b">
        <f>OR(LCI_Table[[#This Row],[Data Set]]="all",LCI_Table[[#This Row],[Data Set]]=SelectedDataSet)</f>
        <v>0</v>
      </c>
      <c r="J1561" s="14" t="b">
        <f>OR(LCI_Table[[#This Row],[Technology]]="All",LCI_Table[[#This Row],[Technology]]=SelectedTechnology)</f>
        <v>1</v>
      </c>
      <c r="K1561" s="14" t="b">
        <f>OR(LCI_Table[[#This Row],[Data Source]]="All",LCI_Table[[#This Row],[Data Source]]=SelectedDataSource)</f>
        <v>0</v>
      </c>
      <c r="L1561" s="14" t="b">
        <f>TRUE</f>
        <v>1</v>
      </c>
      <c r="M1561" s="14" t="b">
        <f>(LCI_Table[[#This Row],[Dev Notes]]="Do not display")</f>
        <v>0</v>
      </c>
      <c r="N1561" s="14" t="b">
        <f>AND(LCI_Table[[#This Row],[Show Feedstock]:[Conditional]],NOT(LCI_Table[[#This Row],[Hide Row]]))</f>
        <v>0</v>
      </c>
      <c r="O1561" s="14" t="b">
        <f>LCI_Table[[#This Row],[GREET1 Name Range]]=""</f>
        <v>0</v>
      </c>
      <c r="P1561" s="14" t="s">
        <v>14</v>
      </c>
      <c r="Q1561" s="14" t="s">
        <v>590</v>
      </c>
      <c r="R1561" s="14" t="s">
        <v>112</v>
      </c>
      <c r="S1561" s="37" cm="1">
        <f t="array" aca="1" ref="S15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54.787341330278672</v>
      </c>
      <c r="T1561" s="346" t="s">
        <v>1485</v>
      </c>
      <c r="U1561" s="347">
        <f ca="1">S1561/S1559*lb2g</f>
        <v>139.3000000000003</v>
      </c>
      <c r="V1561" s="347">
        <v>54.787341330278672</v>
      </c>
      <c r="W1561" s="347">
        <v>139.3000000000003</v>
      </c>
      <c r="X1561" s="14" t="s">
        <v>12</v>
      </c>
      <c r="Y1561" s="346" t="s">
        <v>413</v>
      </c>
      <c r="Z1561" s="14" t="str">
        <f>IF(ISBLANK(LCI_Table[[#This Row],[Notes for user]])," ",LCI_Table[[#This Row],[Notes for user]])</f>
        <v xml:space="preserve"> </v>
      </c>
      <c r="AA1561" s="14"/>
      <c r="AB1561" s="14"/>
      <c r="AC1561" s="346">
        <f ca="1">LCI_Table[[#This Row],[Default Calculated Value]]-LCI_Table[[#This Row],[Calculated Value]]</f>
        <v>0</v>
      </c>
    </row>
    <row r="1562" spans="1:29" x14ac:dyDescent="0.3">
      <c r="A15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CornATJ-ethanolICAOMIT(blank)_Corn_Farming_K2OK2O</v>
      </c>
      <c r="B1562" s="14" t="s">
        <v>136</v>
      </c>
      <c r="C1562" s="14" t="s">
        <v>1964</v>
      </c>
      <c r="D1562" s="14" t="s">
        <v>194</v>
      </c>
      <c r="E1562" s="14" t="s">
        <v>377</v>
      </c>
      <c r="F1562" s="48" t="s">
        <v>31</v>
      </c>
      <c r="G1562" s="14" t="b">
        <f>OR(LCI_Table[[#This Row],[Feedstock]]="All",LCI_Table[[#This Row],[Feedstock]]=SelectedFeedstock)</f>
        <v>0</v>
      </c>
      <c r="H1562" s="14" t="b">
        <f>OR(LCI_Table[[#This Row],[Conversion]]="All",LCI_Table[[#This Row],[Conversion]]=SelectedConversion)</f>
        <v>0</v>
      </c>
      <c r="I1562" s="14" t="b">
        <f>OR(LCI_Table[[#This Row],[Data Set]]="all",LCI_Table[[#This Row],[Data Set]]=SelectedDataSet)</f>
        <v>0</v>
      </c>
      <c r="J1562" s="14" t="b">
        <f>OR(LCI_Table[[#This Row],[Technology]]="All",LCI_Table[[#This Row],[Technology]]=SelectedTechnology)</f>
        <v>1</v>
      </c>
      <c r="K1562" s="14" t="b">
        <f>OR(LCI_Table[[#This Row],[Data Source]]="All",LCI_Table[[#This Row],[Data Source]]=SelectedDataSource)</f>
        <v>0</v>
      </c>
      <c r="L1562" s="14" t="b">
        <f>TRUE</f>
        <v>1</v>
      </c>
      <c r="M1562" s="14" t="b">
        <f>(LCI_Table[[#This Row],[Dev Notes]]="Do not display")</f>
        <v>0</v>
      </c>
      <c r="N1562" s="14" t="b">
        <f>AND(LCI_Table[[#This Row],[Show Feedstock]:[Conditional]],NOT(LCI_Table[[#This Row],[Hide Row]]))</f>
        <v>0</v>
      </c>
      <c r="O1562" s="14" t="b">
        <f>LCI_Table[[#This Row],[GREET1 Name Range]]=""</f>
        <v>0</v>
      </c>
      <c r="P1562" s="14" t="s">
        <v>14</v>
      </c>
      <c r="Q1562" s="14" t="s">
        <v>588</v>
      </c>
      <c r="R1562" s="14" t="s">
        <v>113</v>
      </c>
      <c r="S1562" s="37" cm="1">
        <f t="array" aca="1" ref="S15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57.579804528017199</v>
      </c>
      <c r="T1562" s="346" t="s">
        <v>1485</v>
      </c>
      <c r="U1562" s="347">
        <f ca="1">S1562/S1559*lb2g</f>
        <v>146.40000000000029</v>
      </c>
      <c r="V1562" s="347">
        <v>57.579804528017199</v>
      </c>
      <c r="W1562" s="347">
        <v>146.40000000000029</v>
      </c>
      <c r="X1562" s="14" t="s">
        <v>12</v>
      </c>
      <c r="Y1562" s="346" t="s">
        <v>413</v>
      </c>
      <c r="Z1562" s="14" t="str">
        <f>IF(ISBLANK(LCI_Table[[#This Row],[Notes for user]])," ",LCI_Table[[#This Row],[Notes for user]])</f>
        <v xml:space="preserve"> </v>
      </c>
      <c r="AA1562" s="14"/>
      <c r="AB1562" s="14"/>
      <c r="AC1562" s="346">
        <f ca="1">LCI_Table[[#This Row],[Default Calculated Value]]-LCI_Table[[#This Row],[Calculated Value]]</f>
        <v>0</v>
      </c>
    </row>
    <row r="1563" spans="1:29" x14ac:dyDescent="0.3">
      <c r="A15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CornATJ-ethanolICAOMIT(blank)_Corn_Farming_CaCO3CaCO3</v>
      </c>
      <c r="B1563" s="14" t="s">
        <v>136</v>
      </c>
      <c r="C1563" s="14" t="s">
        <v>1964</v>
      </c>
      <c r="D1563" s="14" t="s">
        <v>194</v>
      </c>
      <c r="E1563" s="14" t="s">
        <v>377</v>
      </c>
      <c r="F1563" s="48" t="s">
        <v>31</v>
      </c>
      <c r="G1563" s="14" t="b">
        <f>OR(LCI_Table[[#This Row],[Feedstock]]="All",LCI_Table[[#This Row],[Feedstock]]=SelectedFeedstock)</f>
        <v>0</v>
      </c>
      <c r="H1563" s="14" t="b">
        <f>OR(LCI_Table[[#This Row],[Conversion]]="All",LCI_Table[[#This Row],[Conversion]]=SelectedConversion)</f>
        <v>0</v>
      </c>
      <c r="I1563" s="14" t="b">
        <f>OR(LCI_Table[[#This Row],[Data Set]]="all",LCI_Table[[#This Row],[Data Set]]=SelectedDataSet)</f>
        <v>0</v>
      </c>
      <c r="J1563" s="14" t="b">
        <f>OR(LCI_Table[[#This Row],[Technology]]="All",LCI_Table[[#This Row],[Technology]]=SelectedTechnology)</f>
        <v>1</v>
      </c>
      <c r="K1563" s="14" t="b">
        <f>OR(LCI_Table[[#This Row],[Data Source]]="All",LCI_Table[[#This Row],[Data Source]]=SelectedDataSource)</f>
        <v>0</v>
      </c>
      <c r="L1563" s="14" t="b">
        <f>TRUE</f>
        <v>1</v>
      </c>
      <c r="M1563" s="14" t="b">
        <f>(LCI_Table[[#This Row],[Dev Notes]]="Do not display")</f>
        <v>0</v>
      </c>
      <c r="N1563" s="14" t="b">
        <f>AND(LCI_Table[[#This Row],[Show Feedstock]:[Conditional]],NOT(LCI_Table[[#This Row],[Hide Row]]))</f>
        <v>0</v>
      </c>
      <c r="O1563" s="14" t="b">
        <f>LCI_Table[[#This Row],[GREET1 Name Range]]=""</f>
        <v>0</v>
      </c>
      <c r="P1563" s="14" t="s">
        <v>14</v>
      </c>
      <c r="Q1563" s="14" t="s">
        <v>584</v>
      </c>
      <c r="R1563" s="14" t="s">
        <v>141</v>
      </c>
      <c r="S1563" s="37" cm="1">
        <f t="array" aca="1" ref="S15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507.44169263693851</v>
      </c>
      <c r="T1563" s="346" t="s">
        <v>1485</v>
      </c>
      <c r="U1563" s="347">
        <f ca="1">S1563/S1559*lb2g</f>
        <v>1290.2000000000028</v>
      </c>
      <c r="V1563" s="347">
        <v>507.44169263693851</v>
      </c>
      <c r="W1563" s="347">
        <v>1290.2000000000028</v>
      </c>
      <c r="X1563" s="14" t="s">
        <v>12</v>
      </c>
      <c r="Y1563" s="346" t="s">
        <v>413</v>
      </c>
      <c r="Z1563" s="14" t="str">
        <f>IF(ISBLANK(LCI_Table[[#This Row],[Notes for user]])," ",LCI_Table[[#This Row],[Notes for user]])</f>
        <v xml:space="preserve"> </v>
      </c>
      <c r="AA1563" s="14"/>
      <c r="AB1563" s="14"/>
      <c r="AC1563" s="346">
        <f ca="1">LCI_Table[[#This Row],[Default Calculated Value]]-LCI_Table[[#This Row],[Calculated Value]]</f>
        <v>0</v>
      </c>
    </row>
    <row r="1564" spans="1:29" x14ac:dyDescent="0.3">
      <c r="A15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CornATJ-ethanolICAOMIT(blank)_Corn_Farming_HerbicidesHerbicides</v>
      </c>
      <c r="B1564" s="14" t="s">
        <v>136</v>
      </c>
      <c r="C1564" s="14" t="s">
        <v>1964</v>
      </c>
      <c r="D1564" s="14" t="s">
        <v>194</v>
      </c>
      <c r="E1564" s="14" t="s">
        <v>377</v>
      </c>
      <c r="F1564" s="48" t="s">
        <v>31</v>
      </c>
      <c r="G1564" s="14" t="b">
        <f>OR(LCI_Table[[#This Row],[Feedstock]]="All",LCI_Table[[#This Row],[Feedstock]]=SelectedFeedstock)</f>
        <v>0</v>
      </c>
      <c r="H1564" s="14" t="b">
        <f>OR(LCI_Table[[#This Row],[Conversion]]="All",LCI_Table[[#This Row],[Conversion]]=SelectedConversion)</f>
        <v>0</v>
      </c>
      <c r="I1564" s="14" t="b">
        <f>OR(LCI_Table[[#This Row],[Data Set]]="all",LCI_Table[[#This Row],[Data Set]]=SelectedDataSet)</f>
        <v>0</v>
      </c>
      <c r="J1564" s="14" t="b">
        <f>OR(LCI_Table[[#This Row],[Technology]]="All",LCI_Table[[#This Row],[Technology]]=SelectedTechnology)</f>
        <v>1</v>
      </c>
      <c r="K1564" s="14" t="b">
        <f>OR(LCI_Table[[#This Row],[Data Source]]="All",LCI_Table[[#This Row],[Data Source]]=SelectedDataSource)</f>
        <v>0</v>
      </c>
      <c r="L1564" s="14" t="b">
        <f>TRUE</f>
        <v>1</v>
      </c>
      <c r="M1564" s="14" t="b">
        <f>(LCI_Table[[#This Row],[Dev Notes]]="Do not display")</f>
        <v>0</v>
      </c>
      <c r="N1564" s="14" t="b">
        <f>AND(LCI_Table[[#This Row],[Show Feedstock]:[Conditional]],NOT(LCI_Table[[#This Row],[Hide Row]]))</f>
        <v>0</v>
      </c>
      <c r="O1564" s="14" t="b">
        <f>LCI_Table[[#This Row],[GREET1 Name Range]]=""</f>
        <v>0</v>
      </c>
      <c r="P1564" s="14" t="s">
        <v>14</v>
      </c>
      <c r="Q1564" s="14" t="s">
        <v>586</v>
      </c>
      <c r="R1564" s="14" t="s">
        <v>356</v>
      </c>
      <c r="S1564" s="37" cm="1">
        <f t="array" aca="1" ref="S15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2.3204975868531523</v>
      </c>
      <c r="T1564" s="346" t="s">
        <v>1485</v>
      </c>
      <c r="U1564" s="347">
        <f ca="1">S1564/S1559*lb2g</f>
        <v>5.9000000000000128</v>
      </c>
      <c r="V1564" s="347">
        <v>2.3204975868531523</v>
      </c>
      <c r="W1564" s="347">
        <v>5.9000000000000128</v>
      </c>
      <c r="X1564" s="14" t="s">
        <v>12</v>
      </c>
      <c r="Y1564" s="346" t="s">
        <v>413</v>
      </c>
      <c r="Z1564" s="14" t="str">
        <f>IF(ISBLANK(LCI_Table[[#This Row],[Notes for user]])," ",LCI_Table[[#This Row],[Notes for user]])</f>
        <v xml:space="preserve"> </v>
      </c>
      <c r="AA1564" s="14"/>
      <c r="AB1564" s="14"/>
      <c r="AC1564" s="346">
        <f ca="1">LCI_Table[[#This Row],[Default Calculated Value]]-LCI_Table[[#This Row],[Calculated Value]]</f>
        <v>0</v>
      </c>
    </row>
    <row r="1565" spans="1:29" x14ac:dyDescent="0.3">
      <c r="A15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CornATJ-ethanolICAOMIT(blank)_Corn_Farming_InsecticideInsecticide</v>
      </c>
      <c r="B1565" s="14" t="s">
        <v>136</v>
      </c>
      <c r="C1565" s="14" t="s">
        <v>1964</v>
      </c>
      <c r="D1565" s="14" t="s">
        <v>194</v>
      </c>
      <c r="E1565" s="14" t="s">
        <v>377</v>
      </c>
      <c r="F1565" s="48" t="s">
        <v>31</v>
      </c>
      <c r="G1565" s="14" t="b">
        <f>OR(LCI_Table[[#This Row],[Feedstock]]="All",LCI_Table[[#This Row],[Feedstock]]=SelectedFeedstock)</f>
        <v>0</v>
      </c>
      <c r="H1565" s="14" t="b">
        <f>OR(LCI_Table[[#This Row],[Conversion]]="All",LCI_Table[[#This Row],[Conversion]]=SelectedConversion)</f>
        <v>0</v>
      </c>
      <c r="I1565" s="14" t="b">
        <f>OR(LCI_Table[[#This Row],[Data Set]]="all",LCI_Table[[#This Row],[Data Set]]=SelectedDataSet)</f>
        <v>0</v>
      </c>
      <c r="J1565" s="14" t="b">
        <f>OR(LCI_Table[[#This Row],[Technology]]="All",LCI_Table[[#This Row],[Technology]]=SelectedTechnology)</f>
        <v>1</v>
      </c>
      <c r="K1565" s="14" t="b">
        <f>OR(LCI_Table[[#This Row],[Data Source]]="All",LCI_Table[[#This Row],[Data Source]]=SelectedDataSource)</f>
        <v>0</v>
      </c>
      <c r="L1565" s="14" t="b">
        <f>TRUE</f>
        <v>1</v>
      </c>
      <c r="M1565" s="14" t="b">
        <f>(LCI_Table[[#This Row],[Dev Notes]]="Do not display")</f>
        <v>0</v>
      </c>
      <c r="N1565" s="14" t="b">
        <f>AND(LCI_Table[[#This Row],[Show Feedstock]:[Conditional]],NOT(LCI_Table[[#This Row],[Hide Row]]))</f>
        <v>0</v>
      </c>
      <c r="O1565" s="14" t="b">
        <f>LCI_Table[[#This Row],[GREET1 Name Range]]=""</f>
        <v>0</v>
      </c>
      <c r="P1565" s="14" t="s">
        <v>14</v>
      </c>
      <c r="Q1565" s="14" t="s">
        <v>587</v>
      </c>
      <c r="R1565" s="14" t="s">
        <v>114</v>
      </c>
      <c r="S1565" s="37" cm="1">
        <f t="array" aca="1" ref="S15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4.9113204344759728E-3</v>
      </c>
      <c r="T1565" s="346" t="s">
        <v>1485</v>
      </c>
      <c r="U1565" s="347">
        <f ca="1">S1565/S1559*lb2g</f>
        <v>1.2487317688920327E-2</v>
      </c>
      <c r="V1565" s="347">
        <v>4.9113204344759728E-3</v>
      </c>
      <c r="W1565" s="347">
        <v>1.2487317688920327E-2</v>
      </c>
      <c r="X1565" s="14" t="s">
        <v>12</v>
      </c>
      <c r="Y1565" s="346" t="s">
        <v>413</v>
      </c>
      <c r="Z1565" s="14" t="str">
        <f>IF(ISBLANK(LCI_Table[[#This Row],[Notes for user]])," ",LCI_Table[[#This Row],[Notes for user]])</f>
        <v xml:space="preserve"> </v>
      </c>
      <c r="AA1565" s="14"/>
      <c r="AB1565" s="14"/>
      <c r="AC1565" s="346">
        <f ca="1">LCI_Table[[#This Row],[Default Calculated Value]]-LCI_Table[[#This Row],[Calculated Value]]</f>
        <v>0</v>
      </c>
    </row>
    <row r="1566" spans="1:29" x14ac:dyDescent="0.3">
      <c r="A15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CornATJ-ethanolICAOMIT(blank)_Corn_Farming_Residual_oilResidual oil</v>
      </c>
      <c r="B1566" s="14" t="s">
        <v>136</v>
      </c>
      <c r="C1566" s="14" t="s">
        <v>1964</v>
      </c>
      <c r="D1566" s="14" t="s">
        <v>194</v>
      </c>
      <c r="E1566" s="14" t="s">
        <v>377</v>
      </c>
      <c r="F1566" s="48" t="s">
        <v>31</v>
      </c>
      <c r="G1566" s="14" t="b">
        <f>OR(LCI_Table[[#This Row],[Feedstock]]="All",LCI_Table[[#This Row],[Feedstock]]=SelectedFeedstock)</f>
        <v>0</v>
      </c>
      <c r="H1566" s="14" t="b">
        <f>OR(LCI_Table[[#This Row],[Conversion]]="All",LCI_Table[[#This Row],[Conversion]]=SelectedConversion)</f>
        <v>0</v>
      </c>
      <c r="I1566" s="14" t="b">
        <f>OR(LCI_Table[[#This Row],[Data Set]]="all",LCI_Table[[#This Row],[Data Set]]=SelectedDataSet)</f>
        <v>0</v>
      </c>
      <c r="J1566" s="14" t="b">
        <f>OR(LCI_Table[[#This Row],[Technology]]="All",LCI_Table[[#This Row],[Technology]]=SelectedTechnology)</f>
        <v>1</v>
      </c>
      <c r="K1566" s="14" t="b">
        <f>OR(LCI_Table[[#This Row],[Data Source]]="All",LCI_Table[[#This Row],[Data Source]]=SelectedDataSource)</f>
        <v>0</v>
      </c>
      <c r="L1566" s="14" t="b">
        <f>TRUE</f>
        <v>1</v>
      </c>
      <c r="M1566" s="14" t="b">
        <f>(LCI_Table[[#This Row],[Dev Notes]]="Do not display")</f>
        <v>0</v>
      </c>
      <c r="N1566" s="14" t="b">
        <f>AND(LCI_Table[[#This Row],[Show Feedstock]:[Conditional]],NOT(LCI_Table[[#This Row],[Hide Row]]))</f>
        <v>0</v>
      </c>
      <c r="O1566" s="14" t="b">
        <f>LCI_Table[[#This Row],[GREET1 Name Range]]=""</f>
        <v>0</v>
      </c>
      <c r="P1566" s="14" t="s">
        <v>14</v>
      </c>
      <c r="Q1566" s="14" t="s">
        <v>591</v>
      </c>
      <c r="R1566" s="14" t="s">
        <v>115</v>
      </c>
      <c r="S1566" s="37" cm="1">
        <f t="array" aca="1" ref="S15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66" s="346" t="s">
        <v>1484</v>
      </c>
      <c r="U1566" s="347">
        <f ca="1">S1566/$S$1559*Fuel_Specs!$B$28</f>
        <v>0</v>
      </c>
      <c r="V1566" s="347">
        <v>0</v>
      </c>
      <c r="W1566" s="347">
        <v>0</v>
      </c>
      <c r="X1566" s="14" t="s">
        <v>5</v>
      </c>
      <c r="Y1566" s="346" t="s">
        <v>413</v>
      </c>
      <c r="Z1566" s="14" t="str">
        <f>IF(ISBLANK(LCI_Table[[#This Row],[Notes for user]])," ",LCI_Table[[#This Row],[Notes for user]])</f>
        <v xml:space="preserve"> </v>
      </c>
      <c r="AA1566" s="14"/>
      <c r="AB1566" s="14"/>
      <c r="AC1566" s="346">
        <f ca="1">LCI_Table[[#This Row],[Default Calculated Value]]-LCI_Table[[#This Row],[Calculated Value]]</f>
        <v>0</v>
      </c>
    </row>
    <row r="1567" spans="1:29" x14ac:dyDescent="0.3">
      <c r="A15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CornATJ-ethanolICAOMIT(blank)_Diesel_CornFarmingDiesel</v>
      </c>
      <c r="B1567" s="14" t="s">
        <v>136</v>
      </c>
      <c r="C1567" s="14" t="s">
        <v>1964</v>
      </c>
      <c r="D1567" s="14" t="s">
        <v>194</v>
      </c>
      <c r="E1567" s="14" t="s">
        <v>377</v>
      </c>
      <c r="F1567" s="48" t="s">
        <v>31</v>
      </c>
      <c r="G1567" s="14" t="b">
        <f>OR(LCI_Table[[#This Row],[Feedstock]]="All",LCI_Table[[#This Row],[Feedstock]]=SelectedFeedstock)</f>
        <v>0</v>
      </c>
      <c r="H1567" s="14" t="b">
        <f>OR(LCI_Table[[#This Row],[Conversion]]="All",LCI_Table[[#This Row],[Conversion]]=SelectedConversion)</f>
        <v>0</v>
      </c>
      <c r="I1567" s="14" t="b">
        <f>OR(LCI_Table[[#This Row],[Data Set]]="all",LCI_Table[[#This Row],[Data Set]]=SelectedDataSet)</f>
        <v>0</v>
      </c>
      <c r="J1567" s="14" t="b">
        <f>OR(LCI_Table[[#This Row],[Technology]]="All",LCI_Table[[#This Row],[Technology]]=SelectedTechnology)</f>
        <v>1</v>
      </c>
      <c r="K1567" s="14" t="b">
        <f>OR(LCI_Table[[#This Row],[Data Source]]="All",LCI_Table[[#This Row],[Data Source]]=SelectedDataSource)</f>
        <v>0</v>
      </c>
      <c r="L1567" s="14" t="b">
        <f>TRUE</f>
        <v>1</v>
      </c>
      <c r="M1567" s="14" t="b">
        <f>(LCI_Table[[#This Row],[Dev Notes]]="Do not display")</f>
        <v>0</v>
      </c>
      <c r="N1567" s="14" t="b">
        <f>AND(LCI_Table[[#This Row],[Show Feedstock]:[Conditional]],NOT(LCI_Table[[#This Row],[Hide Row]]))</f>
        <v>0</v>
      </c>
      <c r="O1567" s="14" t="b">
        <f>LCI_Table[[#This Row],[GREET1 Name Range]]=""</f>
        <v>0</v>
      </c>
      <c r="P1567" s="14" t="s">
        <v>14</v>
      </c>
      <c r="Q1567" s="14" t="s">
        <v>75</v>
      </c>
      <c r="R1567" s="14" t="s">
        <v>106</v>
      </c>
      <c r="S1567" s="37" cm="1">
        <f t="array" aca="1" ref="S15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4.7341883389641222</v>
      </c>
      <c r="T1567" s="346" t="s">
        <v>1484</v>
      </c>
      <c r="U1567" s="347">
        <f ca="1">S1567/$S$1559*Fuel_Specs!$B$19</f>
        <v>3408.6686779144702</v>
      </c>
      <c r="V1567" s="347">
        <v>4.7341883389641222</v>
      </c>
      <c r="W1567" s="347">
        <v>3408.6686779144702</v>
      </c>
      <c r="X1567" s="14" t="s">
        <v>5</v>
      </c>
      <c r="Y1567" s="346" t="s">
        <v>413</v>
      </c>
      <c r="Z1567" s="14" t="str">
        <f>IF(ISBLANK(LCI_Table[[#This Row],[Notes for user]])," ",LCI_Table[[#This Row],[Notes for user]])</f>
        <v xml:space="preserve"> </v>
      </c>
      <c r="AA1567" s="14"/>
      <c r="AB1567" s="14"/>
      <c r="AC1567" s="346">
        <f ca="1">LCI_Table[[#This Row],[Default Calculated Value]]-LCI_Table[[#This Row],[Calculated Value]]</f>
        <v>0</v>
      </c>
    </row>
    <row r="1568" spans="1:29" x14ac:dyDescent="0.3">
      <c r="A15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CornATJ-ethanolICAOMIT(blank)_Gasoline_CornFarmingGasoline</v>
      </c>
      <c r="B1568" s="14" t="s">
        <v>136</v>
      </c>
      <c r="C1568" s="14" t="s">
        <v>1964</v>
      </c>
      <c r="D1568" s="14" t="s">
        <v>194</v>
      </c>
      <c r="E1568" s="14" t="s">
        <v>377</v>
      </c>
      <c r="F1568" s="48" t="s">
        <v>31</v>
      </c>
      <c r="G1568" s="14" t="b">
        <f>OR(LCI_Table[[#This Row],[Feedstock]]="All",LCI_Table[[#This Row],[Feedstock]]=SelectedFeedstock)</f>
        <v>0</v>
      </c>
      <c r="H1568" s="14" t="b">
        <f>OR(LCI_Table[[#This Row],[Conversion]]="All",LCI_Table[[#This Row],[Conversion]]=SelectedConversion)</f>
        <v>0</v>
      </c>
      <c r="I1568" s="14" t="b">
        <f>OR(LCI_Table[[#This Row],[Data Set]]="all",LCI_Table[[#This Row],[Data Set]]=SelectedDataSet)</f>
        <v>0</v>
      </c>
      <c r="J1568" s="14" t="b">
        <f>OR(LCI_Table[[#This Row],[Technology]]="All",LCI_Table[[#This Row],[Technology]]=SelectedTechnology)</f>
        <v>1</v>
      </c>
      <c r="K1568" s="14" t="b">
        <f>OR(LCI_Table[[#This Row],[Data Source]]="All",LCI_Table[[#This Row],[Data Source]]=SelectedDataSource)</f>
        <v>0</v>
      </c>
      <c r="L1568" s="14" t="b">
        <f>TRUE</f>
        <v>1</v>
      </c>
      <c r="M1568" s="14" t="b">
        <f>(LCI_Table[[#This Row],[Dev Notes]]="Do not display")</f>
        <v>0</v>
      </c>
      <c r="N1568" s="14" t="b">
        <f>AND(LCI_Table[[#This Row],[Show Feedstock]:[Conditional]],NOT(LCI_Table[[#This Row],[Hide Row]]))</f>
        <v>0</v>
      </c>
      <c r="O1568" s="14" t="b">
        <f>LCI_Table[[#This Row],[GREET1 Name Range]]=""</f>
        <v>0</v>
      </c>
      <c r="P1568" s="14" t="s">
        <v>14</v>
      </c>
      <c r="Q1568" s="14" t="s">
        <v>85</v>
      </c>
      <c r="R1568" s="14" t="s">
        <v>107</v>
      </c>
      <c r="S1568" s="37" cm="1">
        <f t="array" aca="1" ref="S15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1.6188166586954169</v>
      </c>
      <c r="T1568" s="346" t="s">
        <v>1484</v>
      </c>
      <c r="U1568" s="347">
        <f ca="1">S1568/$S$1559*Fuel_Specs!$B$15</f>
        <v>1018.05347070447</v>
      </c>
      <c r="V1568" s="347">
        <v>1.6188166586954169</v>
      </c>
      <c r="W1568" s="347">
        <v>1018.05347070447</v>
      </c>
      <c r="X1568" s="14" t="s">
        <v>5</v>
      </c>
      <c r="Y1568" s="346" t="s">
        <v>413</v>
      </c>
      <c r="Z1568" s="14" t="str">
        <f>IF(ISBLANK(LCI_Table[[#This Row],[Notes for user]])," ",LCI_Table[[#This Row],[Notes for user]])</f>
        <v xml:space="preserve"> </v>
      </c>
      <c r="AA1568" s="14"/>
      <c r="AB1568" s="14"/>
      <c r="AC1568" s="346">
        <f ca="1">LCI_Table[[#This Row],[Default Calculated Value]]-LCI_Table[[#This Row],[Calculated Value]]</f>
        <v>0</v>
      </c>
    </row>
    <row r="1569" spans="1:29" x14ac:dyDescent="0.3">
      <c r="A15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CornATJ-ethanolICAOMIT(blank)_NG_CornFarmingNatural gas</v>
      </c>
      <c r="B1569" s="14" t="s">
        <v>136</v>
      </c>
      <c r="C1569" s="14" t="s">
        <v>1964</v>
      </c>
      <c r="D1569" s="14" t="s">
        <v>194</v>
      </c>
      <c r="E1569" s="14" t="s">
        <v>377</v>
      </c>
      <c r="F1569" s="48" t="s">
        <v>31</v>
      </c>
      <c r="G1569" s="14" t="b">
        <f>OR(LCI_Table[[#This Row],[Feedstock]]="All",LCI_Table[[#This Row],[Feedstock]]=SelectedFeedstock)</f>
        <v>0</v>
      </c>
      <c r="H1569" s="14" t="b">
        <f>OR(LCI_Table[[#This Row],[Conversion]]="All",LCI_Table[[#This Row],[Conversion]]=SelectedConversion)</f>
        <v>0</v>
      </c>
      <c r="I1569" s="14" t="b">
        <f>OR(LCI_Table[[#This Row],[Data Set]]="all",LCI_Table[[#This Row],[Data Set]]=SelectedDataSet)</f>
        <v>0</v>
      </c>
      <c r="J1569" s="14" t="b">
        <f>OR(LCI_Table[[#This Row],[Technology]]="All",LCI_Table[[#This Row],[Technology]]=SelectedTechnology)</f>
        <v>1</v>
      </c>
      <c r="K1569" s="14" t="b">
        <f>OR(LCI_Table[[#This Row],[Data Source]]="All",LCI_Table[[#This Row],[Data Source]]=SelectedDataSource)</f>
        <v>0</v>
      </c>
      <c r="L1569" s="14" t="b">
        <f>TRUE</f>
        <v>1</v>
      </c>
      <c r="M1569" s="14" t="b">
        <f>(LCI_Table[[#This Row],[Dev Notes]]="Do not display")</f>
        <v>0</v>
      </c>
      <c r="N1569" s="14" t="b">
        <f>AND(LCI_Table[[#This Row],[Show Feedstock]:[Conditional]],NOT(LCI_Table[[#This Row],[Hide Row]]))</f>
        <v>0</v>
      </c>
      <c r="O1569" s="14" t="b">
        <f>LCI_Table[[#This Row],[GREET1 Name Range]]=""</f>
        <v>0</v>
      </c>
      <c r="P1569" s="14" t="s">
        <v>14</v>
      </c>
      <c r="Q1569" s="14" t="s">
        <v>90</v>
      </c>
      <c r="R1569" s="14" t="s">
        <v>108</v>
      </c>
      <c r="S1569" s="37" cm="1">
        <f t="array" aca="1" ref="S15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170.21892323745328</v>
      </c>
      <c r="T1569" s="346" t="s">
        <v>2109</v>
      </c>
      <c r="U1569" s="347">
        <f ca="1">S1569/$S$1559*Fuel_Specs!$B$79</f>
        <v>937.92153330950987</v>
      </c>
      <c r="V1569" s="347">
        <v>170.21892323745328</v>
      </c>
      <c r="W1569" s="347">
        <v>937.92153330950987</v>
      </c>
      <c r="X1569" s="14" t="s">
        <v>351</v>
      </c>
      <c r="Y1569" s="346" t="s">
        <v>413</v>
      </c>
      <c r="Z1569" s="14" t="str">
        <f>IF(ISBLANK(LCI_Table[[#This Row],[Notes for user]])," ",LCI_Table[[#This Row],[Notes for user]])</f>
        <v xml:space="preserve"> </v>
      </c>
      <c r="AA1569" s="14"/>
      <c r="AB1569" s="14"/>
      <c r="AC1569" s="346">
        <f ca="1">LCI_Table[[#This Row],[Default Calculated Value]]-LCI_Table[[#This Row],[Calculated Value]]</f>
        <v>0</v>
      </c>
    </row>
    <row r="1570" spans="1:29" x14ac:dyDescent="0.3">
      <c r="A15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CornATJ-ethanolICAOMIT(blank)_Corn_Farming_CoalCoal</v>
      </c>
      <c r="B1570" s="14" t="s">
        <v>136</v>
      </c>
      <c r="C1570" s="14" t="s">
        <v>1964</v>
      </c>
      <c r="D1570" s="14" t="s">
        <v>194</v>
      </c>
      <c r="E1570" s="14" t="s">
        <v>377</v>
      </c>
      <c r="F1570" s="48" t="s">
        <v>31</v>
      </c>
      <c r="G1570" s="14" t="b">
        <f>OR(LCI_Table[[#This Row],[Feedstock]]="All",LCI_Table[[#This Row],[Feedstock]]=SelectedFeedstock)</f>
        <v>0</v>
      </c>
      <c r="H1570" s="14" t="b">
        <f>OR(LCI_Table[[#This Row],[Conversion]]="All",LCI_Table[[#This Row],[Conversion]]=SelectedConversion)</f>
        <v>0</v>
      </c>
      <c r="I1570" s="14" t="b">
        <f>OR(LCI_Table[[#This Row],[Data Set]]="all",LCI_Table[[#This Row],[Data Set]]=SelectedDataSet)</f>
        <v>0</v>
      </c>
      <c r="J1570" s="14" t="b">
        <f>OR(LCI_Table[[#This Row],[Technology]]="All",LCI_Table[[#This Row],[Technology]]=SelectedTechnology)</f>
        <v>1</v>
      </c>
      <c r="K1570" s="14" t="b">
        <f>OR(LCI_Table[[#This Row],[Data Source]]="All",LCI_Table[[#This Row],[Data Source]]=SelectedDataSource)</f>
        <v>0</v>
      </c>
      <c r="L1570" s="14" t="b">
        <f>TRUE</f>
        <v>1</v>
      </c>
      <c r="M1570" s="14" t="b">
        <f>(LCI_Table[[#This Row],[Dev Notes]]="Do not display")</f>
        <v>0</v>
      </c>
      <c r="N1570" s="14" t="b">
        <f>AND(LCI_Table[[#This Row],[Show Feedstock]:[Conditional]],NOT(LCI_Table[[#This Row],[Hide Row]]))</f>
        <v>0</v>
      </c>
      <c r="O1570" s="14" t="b">
        <f>LCI_Table[[#This Row],[GREET1 Name Range]]=""</f>
        <v>0</v>
      </c>
      <c r="P1570" s="14" t="s">
        <v>14</v>
      </c>
      <c r="Q1570" s="14" t="s">
        <v>585</v>
      </c>
      <c r="R1570" s="14" t="s">
        <v>9</v>
      </c>
      <c r="S1570" s="37" cm="1">
        <f t="array" aca="1" ref="S15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70" s="346" t="s">
        <v>2110</v>
      </c>
      <c r="U1570" s="347">
        <f ca="1">S1570/$S$1559</f>
        <v>0</v>
      </c>
      <c r="V1570" s="347">
        <v>0</v>
      </c>
      <c r="W1570" s="347">
        <v>0</v>
      </c>
      <c r="X1570" s="14" t="s">
        <v>117</v>
      </c>
      <c r="Y1570" s="346" t="s">
        <v>413</v>
      </c>
      <c r="Z1570" s="14" t="str">
        <f>IF(ISBLANK(LCI_Table[[#This Row],[Notes for user]])," ",LCI_Table[[#This Row],[Notes for user]])</f>
        <v xml:space="preserve"> </v>
      </c>
      <c r="AA1570" s="14"/>
      <c r="AB1570" s="14"/>
      <c r="AC1570" s="346">
        <f ca="1">LCI_Table[[#This Row],[Default Calculated Value]]-LCI_Table[[#This Row],[Calculated Value]]</f>
        <v>0</v>
      </c>
    </row>
    <row r="1571" spans="1:29" x14ac:dyDescent="0.3">
      <c r="A15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CornATJ-ethanolICAOMIT(blank)_LPG_CornFarmingLPG</v>
      </c>
      <c r="B1571" s="14" t="s">
        <v>136</v>
      </c>
      <c r="C1571" s="14" t="s">
        <v>1964</v>
      </c>
      <c r="D1571" s="14" t="s">
        <v>194</v>
      </c>
      <c r="E1571" s="14" t="s">
        <v>377</v>
      </c>
      <c r="F1571" s="48" t="s">
        <v>31</v>
      </c>
      <c r="G1571" s="14" t="b">
        <f>OR(LCI_Table[[#This Row],[Feedstock]]="All",LCI_Table[[#This Row],[Feedstock]]=SelectedFeedstock)</f>
        <v>0</v>
      </c>
      <c r="H1571" s="14" t="b">
        <f>OR(LCI_Table[[#This Row],[Conversion]]="All",LCI_Table[[#This Row],[Conversion]]=SelectedConversion)</f>
        <v>0</v>
      </c>
      <c r="I1571" s="14" t="b">
        <f>OR(LCI_Table[[#This Row],[Data Set]]="all",LCI_Table[[#This Row],[Data Set]]=SelectedDataSet)</f>
        <v>0</v>
      </c>
      <c r="J1571" s="14" t="b">
        <f>OR(LCI_Table[[#This Row],[Technology]]="All",LCI_Table[[#This Row],[Technology]]=SelectedTechnology)</f>
        <v>1</v>
      </c>
      <c r="K1571" s="14" t="b">
        <f>OR(LCI_Table[[#This Row],[Data Source]]="All",LCI_Table[[#This Row],[Data Source]]=SelectedDataSource)</f>
        <v>0</v>
      </c>
      <c r="L1571" s="14" t="b">
        <f>TRUE</f>
        <v>1</v>
      </c>
      <c r="M1571" s="14" t="b">
        <f>(LCI_Table[[#This Row],[Dev Notes]]="Do not display")</f>
        <v>0</v>
      </c>
      <c r="N1571" s="14" t="b">
        <f>AND(LCI_Table[[#This Row],[Show Feedstock]:[Conditional]],NOT(LCI_Table[[#This Row],[Hide Row]]))</f>
        <v>0</v>
      </c>
      <c r="O1571" s="14" t="b">
        <f>LCI_Table[[#This Row],[GREET1 Name Range]]=""</f>
        <v>0</v>
      </c>
      <c r="P1571" s="14" t="s">
        <v>14</v>
      </c>
      <c r="Q1571" s="14" t="s">
        <v>89</v>
      </c>
      <c r="R1571" s="14" t="s">
        <v>109</v>
      </c>
      <c r="S1571" s="37" cm="1">
        <f t="array" aca="1" ref="S15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2.6074703415981424</v>
      </c>
      <c r="T1571" s="346" t="s">
        <v>1484</v>
      </c>
      <c r="U1571" s="347">
        <f ca="1">S1571/$S$1559*Fuel_Specs!$B$35</f>
        <v>1241.61774393925</v>
      </c>
      <c r="V1571" s="347">
        <v>2.6074703415981424</v>
      </c>
      <c r="W1571" s="347">
        <v>1241.61774393925</v>
      </c>
      <c r="X1571" s="14" t="s">
        <v>5</v>
      </c>
      <c r="Y1571" s="346" t="s">
        <v>413</v>
      </c>
      <c r="Z1571" s="14" t="str">
        <f>IF(ISBLANK(LCI_Table[[#This Row],[Notes for user]])," ",LCI_Table[[#This Row],[Notes for user]])</f>
        <v xml:space="preserve"> </v>
      </c>
      <c r="AA1571" s="14"/>
      <c r="AB1571" s="14"/>
      <c r="AC1571" s="346">
        <f ca="1">LCI_Table[[#This Row],[Default Calculated Value]]-LCI_Table[[#This Row],[Calculated Value]]</f>
        <v>0</v>
      </c>
    </row>
    <row r="1572" spans="1:29" x14ac:dyDescent="0.3">
      <c r="A15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CornATJ-ethanolICAOMIT(blank)_Electricity_CornFarmingElectricity</v>
      </c>
      <c r="B1572" s="14" t="s">
        <v>136</v>
      </c>
      <c r="C1572" s="14" t="s">
        <v>1964</v>
      </c>
      <c r="D1572" s="14" t="s">
        <v>194</v>
      </c>
      <c r="E1572" s="14" t="s">
        <v>377</v>
      </c>
      <c r="F1572" s="48" t="s">
        <v>31</v>
      </c>
      <c r="G1572" s="14" t="b">
        <f>OR(LCI_Table[[#This Row],[Feedstock]]="All",LCI_Table[[#This Row],[Feedstock]]=SelectedFeedstock)</f>
        <v>0</v>
      </c>
      <c r="H1572" s="14" t="b">
        <f>OR(LCI_Table[[#This Row],[Conversion]]="All",LCI_Table[[#This Row],[Conversion]]=SelectedConversion)</f>
        <v>0</v>
      </c>
      <c r="I1572" s="14" t="b">
        <f>OR(LCI_Table[[#This Row],[Data Set]]="all",LCI_Table[[#This Row],[Data Set]]=SelectedDataSet)</f>
        <v>0</v>
      </c>
      <c r="J1572" s="14" t="b">
        <f>OR(LCI_Table[[#This Row],[Technology]]="All",LCI_Table[[#This Row],[Technology]]=SelectedTechnology)</f>
        <v>1</v>
      </c>
      <c r="K1572" s="14" t="b">
        <f>OR(LCI_Table[[#This Row],[Data Source]]="All",LCI_Table[[#This Row],[Data Source]]=SelectedDataSource)</f>
        <v>0</v>
      </c>
      <c r="L1572" s="14" t="b">
        <f>TRUE</f>
        <v>1</v>
      </c>
      <c r="M1572" s="14" t="b">
        <f>(LCI_Table[[#This Row],[Dev Notes]]="Do not display")</f>
        <v>0</v>
      </c>
      <c r="N1572" s="14" t="b">
        <f>AND(LCI_Table[[#This Row],[Show Feedstock]:[Conditional]],NOT(LCI_Table[[#This Row],[Hide Row]]))</f>
        <v>0</v>
      </c>
      <c r="O1572" s="14" t="b">
        <f>LCI_Table[[#This Row],[GREET1 Name Range]]=""</f>
        <v>0</v>
      </c>
      <c r="P1572" s="14" t="s">
        <v>14</v>
      </c>
      <c r="Q1572" s="14" t="s">
        <v>76</v>
      </c>
      <c r="R1572" s="348" t="s">
        <v>110</v>
      </c>
      <c r="S1572" s="37" cm="1">
        <f t="array" aca="1" ref="S15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16.630081411614597</v>
      </c>
      <c r="T1572" s="346" t="s">
        <v>1561</v>
      </c>
      <c r="U1572" s="347">
        <f ca="1">S1572/$S$1559*kWh2BTU</f>
        <v>318.07283233065601</v>
      </c>
      <c r="V1572" s="347">
        <v>16.630081411614597</v>
      </c>
      <c r="W1572" s="347">
        <v>318.07283233065601</v>
      </c>
      <c r="X1572" s="14" t="s">
        <v>51</v>
      </c>
      <c r="Y1572" s="346" t="s">
        <v>413</v>
      </c>
      <c r="Z1572" s="14" t="str">
        <f>IF(ISBLANK(LCI_Table[[#This Row],[Notes for user]])," ",LCI_Table[[#This Row],[Notes for user]])</f>
        <v xml:space="preserve"> </v>
      </c>
      <c r="AA1572" s="14"/>
      <c r="AB1572" s="14"/>
      <c r="AC1572" s="346">
        <f ca="1">LCI_Table[[#This Row],[Default Calculated Value]]-LCI_Table[[#This Row],[Calculated Value]]</f>
        <v>0</v>
      </c>
    </row>
    <row r="1573" spans="1:29" x14ac:dyDescent="0.3">
      <c r="A15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CornATJ-ethanolICAOMIT(blank)_Corn_ETJ_CornCorn</v>
      </c>
      <c r="B1573" s="14" t="s">
        <v>136</v>
      </c>
      <c r="C1573" s="14" t="s">
        <v>1964</v>
      </c>
      <c r="D1573" s="14" t="s">
        <v>194</v>
      </c>
      <c r="E1573" s="14" t="s">
        <v>377</v>
      </c>
      <c r="F1573" s="48" t="s">
        <v>31</v>
      </c>
      <c r="G1573" s="14" t="b">
        <f>OR(LCI_Table[[#This Row],[Feedstock]]="All",LCI_Table[[#This Row],[Feedstock]]=SelectedFeedstock)</f>
        <v>0</v>
      </c>
      <c r="H1573" s="14" t="b">
        <f>OR(LCI_Table[[#This Row],[Conversion]]="All",LCI_Table[[#This Row],[Conversion]]=SelectedConversion)</f>
        <v>0</v>
      </c>
      <c r="I1573" s="14" t="b">
        <f>OR(LCI_Table[[#This Row],[Data Set]]="all",LCI_Table[[#This Row],[Data Set]]=SelectedDataSet)</f>
        <v>0</v>
      </c>
      <c r="J1573" s="14" t="b">
        <f>OR(LCI_Table[[#This Row],[Technology]]="All",LCI_Table[[#This Row],[Technology]]=SelectedTechnology)</f>
        <v>1</v>
      </c>
      <c r="K1573" s="14" t="b">
        <f>OR(LCI_Table[[#This Row],[Data Source]]="All",LCI_Table[[#This Row],[Data Source]]=SelectedDataSource)</f>
        <v>0</v>
      </c>
      <c r="L1573" s="14" t="b">
        <f>TRUE</f>
        <v>1</v>
      </c>
      <c r="M1573" s="14" t="b">
        <f>(LCI_Table[[#This Row],[Dev Notes]]="Do not display")</f>
        <v>0</v>
      </c>
      <c r="N1573" s="14" t="b">
        <f>AND(LCI_Table[[#This Row],[Show Feedstock]:[Conditional]],NOT(LCI_Table[[#This Row],[Hide Row]]))</f>
        <v>0</v>
      </c>
      <c r="O1573" s="14" t="b">
        <f>LCI_Table[[#This Row],[GREET1 Name Range]]=""</f>
        <v>0</v>
      </c>
      <c r="P1573" s="14" t="s">
        <v>1448</v>
      </c>
      <c r="Q1573" s="14" t="s">
        <v>573</v>
      </c>
      <c r="R1573" s="14" t="s">
        <v>136</v>
      </c>
      <c r="S1573" s="37" cm="1">
        <f t="array" aca="1" ref="S15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538.23639866340898</v>
      </c>
      <c r="T1573" s="346" t="s">
        <v>2119</v>
      </c>
      <c r="U1573" s="362">
        <f t="shared" ref="U1573" ca="1" si="0">S1573*lb2kg/mmBTU2MJ</f>
        <v>0.23140000000000052</v>
      </c>
      <c r="V1573" s="347">
        <v>538.23639866340898</v>
      </c>
      <c r="W1573" s="362">
        <v>0.23140000000000052</v>
      </c>
      <c r="X1573" s="14" t="s">
        <v>12</v>
      </c>
      <c r="Y1573" s="346" t="s">
        <v>416</v>
      </c>
      <c r="Z1573" s="14" t="str">
        <f>IF(ISBLANK(LCI_Table[[#This Row],[Notes for user]])," ",LCI_Table[[#This Row],[Notes for user]])</f>
        <v>Dry mill w/ corn oil extraction</v>
      </c>
      <c r="AA1573" s="14" t="s">
        <v>1153</v>
      </c>
      <c r="AB1573" s="358" t="s">
        <v>921</v>
      </c>
      <c r="AC1573" s="346">
        <f ca="1">LCI_Table[[#This Row],[Default Calculated Value]]-LCI_Table[[#This Row],[Calculated Value]]</f>
        <v>0</v>
      </c>
    </row>
    <row r="1574" spans="1:29" x14ac:dyDescent="0.3">
      <c r="A15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CornATJ-ethanolICAOMIT(blank)_Corn_ETJ_Alpha_amylaseAlpha-amylase</v>
      </c>
      <c r="B1574" s="14" t="s">
        <v>136</v>
      </c>
      <c r="C1574" s="14" t="s">
        <v>1964</v>
      </c>
      <c r="D1574" s="14" t="s">
        <v>194</v>
      </c>
      <c r="E1574" s="14" t="s">
        <v>377</v>
      </c>
      <c r="F1574" s="48" t="s">
        <v>31</v>
      </c>
      <c r="G1574" s="14" t="b">
        <f>OR(LCI_Table[[#This Row],[Feedstock]]="All",LCI_Table[[#This Row],[Feedstock]]=SelectedFeedstock)</f>
        <v>0</v>
      </c>
      <c r="H1574" s="14" t="b">
        <f>OR(LCI_Table[[#This Row],[Conversion]]="All",LCI_Table[[#This Row],[Conversion]]=SelectedConversion)</f>
        <v>0</v>
      </c>
      <c r="I1574" s="14" t="b">
        <f>OR(LCI_Table[[#This Row],[Data Set]]="all",LCI_Table[[#This Row],[Data Set]]=SelectedDataSet)</f>
        <v>0</v>
      </c>
      <c r="J1574" s="14" t="b">
        <f>OR(LCI_Table[[#This Row],[Technology]]="All",LCI_Table[[#This Row],[Technology]]=SelectedTechnology)</f>
        <v>1</v>
      </c>
      <c r="K1574" s="14" t="b">
        <f>OR(LCI_Table[[#This Row],[Data Source]]="All",LCI_Table[[#This Row],[Data Source]]=SelectedDataSource)</f>
        <v>0</v>
      </c>
      <c r="L1574" s="14" t="b">
        <f>TRUE</f>
        <v>1</v>
      </c>
      <c r="M1574" s="14" t="b">
        <f>(LCI_Table[[#This Row],[Dev Notes]]="Do not display")</f>
        <v>0</v>
      </c>
      <c r="N1574" s="14" t="b">
        <f>AND(LCI_Table[[#This Row],[Show Feedstock]:[Conditional]],NOT(LCI_Table[[#This Row],[Hide Row]]))</f>
        <v>0</v>
      </c>
      <c r="O1574" s="14" t="b">
        <f>LCI_Table[[#This Row],[GREET1 Name Range]]=""</f>
        <v>0</v>
      </c>
      <c r="P1574" s="14" t="s">
        <v>1448</v>
      </c>
      <c r="Q1574" s="14" t="s">
        <v>571</v>
      </c>
      <c r="R1574" s="14" t="s">
        <v>353</v>
      </c>
      <c r="S1574" s="37" cm="1">
        <f t="array" aca="1" ref="S15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0.15733063960930418</v>
      </c>
      <c r="T1574" s="346" t="s">
        <v>2119</v>
      </c>
      <c r="U1574" s="362">
        <f t="shared" ref="U1574" ca="1" si="1">S1574*lb2kg/mmBTU2MJ</f>
        <v>6.7640000000000159E-5</v>
      </c>
      <c r="V1574" s="347">
        <v>0.15733063960930418</v>
      </c>
      <c r="W1574" s="357">
        <v>6.7640000000000159E-5</v>
      </c>
      <c r="X1574" s="14" t="s">
        <v>12</v>
      </c>
      <c r="Y1574" s="346" t="s">
        <v>416</v>
      </c>
      <c r="Z1574" s="14" t="str">
        <f>IF(ISBLANK(LCI_Table[[#This Row],[Notes for user]])," ",LCI_Table[[#This Row],[Notes for user]])</f>
        <v xml:space="preserve"> </v>
      </c>
      <c r="AA1574" s="14"/>
      <c r="AB1574" s="14" t="s">
        <v>918</v>
      </c>
      <c r="AC1574" s="346">
        <f ca="1">LCI_Table[[#This Row],[Default Calculated Value]]-LCI_Table[[#This Row],[Calculated Value]]</f>
        <v>0</v>
      </c>
    </row>
    <row r="1575" spans="1:29" x14ac:dyDescent="0.3">
      <c r="A15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CornATJ-ethanolICAOMIT(blank)_Corn_ETJ_Gluco_amylaseGluco-amylase</v>
      </c>
      <c r="B1575" s="14" t="s">
        <v>136</v>
      </c>
      <c r="C1575" s="14" t="s">
        <v>1964</v>
      </c>
      <c r="D1575" s="14" t="s">
        <v>194</v>
      </c>
      <c r="E1575" s="14" t="s">
        <v>377</v>
      </c>
      <c r="F1575" s="48" t="s">
        <v>31</v>
      </c>
      <c r="G1575" s="14" t="b">
        <f>OR(LCI_Table[[#This Row],[Feedstock]]="All",LCI_Table[[#This Row],[Feedstock]]=SelectedFeedstock)</f>
        <v>0</v>
      </c>
      <c r="H1575" s="14" t="b">
        <f>OR(LCI_Table[[#This Row],[Conversion]]="All",LCI_Table[[#This Row],[Conversion]]=SelectedConversion)</f>
        <v>0</v>
      </c>
      <c r="I1575" s="14" t="b">
        <f>OR(LCI_Table[[#This Row],[Data Set]]="all",LCI_Table[[#This Row],[Data Set]]=SelectedDataSet)</f>
        <v>0</v>
      </c>
      <c r="J1575" s="14" t="b">
        <f>OR(LCI_Table[[#This Row],[Technology]]="All",LCI_Table[[#This Row],[Technology]]=SelectedTechnology)</f>
        <v>1</v>
      </c>
      <c r="K1575" s="14" t="b">
        <f>OR(LCI_Table[[#This Row],[Data Source]]="All",LCI_Table[[#This Row],[Data Source]]=SelectedDataSource)</f>
        <v>0</v>
      </c>
      <c r="L1575" s="14" t="b">
        <f>TRUE</f>
        <v>1</v>
      </c>
      <c r="M1575" s="14" t="b">
        <f>(LCI_Table[[#This Row],[Dev Notes]]="Do not display")</f>
        <v>0</v>
      </c>
      <c r="N1575" s="14" t="b">
        <f>AND(LCI_Table[[#This Row],[Show Feedstock]:[Conditional]],NOT(LCI_Table[[#This Row],[Hide Row]]))</f>
        <v>0</v>
      </c>
      <c r="O1575" s="14" t="b">
        <f>LCI_Table[[#This Row],[GREET1 Name Range]]=""</f>
        <v>0</v>
      </c>
      <c r="P1575" s="14" t="s">
        <v>1448</v>
      </c>
      <c r="Q1575" s="14" t="s">
        <v>576</v>
      </c>
      <c r="R1575" s="14" t="s">
        <v>354</v>
      </c>
      <c r="S1575" s="37" cm="1">
        <f t="array" aca="1" ref="S15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0.34778351913635658</v>
      </c>
      <c r="T1575" s="346" t="s">
        <v>2119</v>
      </c>
      <c r="U1575" s="362">
        <f t="shared" ref="U1575" ca="1" si="2">S1575*lb2kg/mmBTU2MJ</f>
        <v>1.4952000000000034E-4</v>
      </c>
      <c r="V1575" s="347">
        <v>0.34778351913635658</v>
      </c>
      <c r="W1575" s="357">
        <v>1.4952000000000034E-4</v>
      </c>
      <c r="X1575" s="14" t="s">
        <v>12</v>
      </c>
      <c r="Y1575" s="346" t="s">
        <v>416</v>
      </c>
      <c r="Z1575" s="14" t="str">
        <f>IF(ISBLANK(LCI_Table[[#This Row],[Notes for user]])," ",LCI_Table[[#This Row],[Notes for user]])</f>
        <v xml:space="preserve"> </v>
      </c>
      <c r="AA1575" s="14"/>
      <c r="AB1575" s="14"/>
      <c r="AC1575" s="346">
        <f ca="1">LCI_Table[[#This Row],[Default Calculated Value]]-LCI_Table[[#This Row],[Calculated Value]]</f>
        <v>0</v>
      </c>
    </row>
    <row r="1576" spans="1:29" x14ac:dyDescent="0.3">
      <c r="A15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CornATJ-ethanolICAOMIT(blank)_Corn_ETJ_YeastYeast</v>
      </c>
      <c r="B1576" s="14" t="s">
        <v>136</v>
      </c>
      <c r="C1576" s="14" t="s">
        <v>1964</v>
      </c>
      <c r="D1576" s="14" t="s">
        <v>194</v>
      </c>
      <c r="E1576" s="14" t="s">
        <v>377</v>
      </c>
      <c r="F1576" s="48" t="s">
        <v>31</v>
      </c>
      <c r="G1576" s="14" t="b">
        <f>OR(LCI_Table[[#This Row],[Feedstock]]="All",LCI_Table[[#This Row],[Feedstock]]=SelectedFeedstock)</f>
        <v>0</v>
      </c>
      <c r="H1576" s="14" t="b">
        <f>OR(LCI_Table[[#This Row],[Conversion]]="All",LCI_Table[[#This Row],[Conversion]]=SelectedConversion)</f>
        <v>0</v>
      </c>
      <c r="I1576" s="14" t="b">
        <f>OR(LCI_Table[[#This Row],[Data Set]]="all",LCI_Table[[#This Row],[Data Set]]=SelectedDataSet)</f>
        <v>0</v>
      </c>
      <c r="J1576" s="14" t="b">
        <f>OR(LCI_Table[[#This Row],[Technology]]="All",LCI_Table[[#This Row],[Technology]]=SelectedTechnology)</f>
        <v>1</v>
      </c>
      <c r="K1576" s="14" t="b">
        <f>OR(LCI_Table[[#This Row],[Data Source]]="All",LCI_Table[[#This Row],[Data Source]]=SelectedDataSource)</f>
        <v>0</v>
      </c>
      <c r="L1576" s="14" t="b">
        <f>TRUE</f>
        <v>1</v>
      </c>
      <c r="M1576" s="14" t="b">
        <f>(LCI_Table[[#This Row],[Dev Notes]]="Do not display")</f>
        <v>0</v>
      </c>
      <c r="N1576" s="14" t="b">
        <f>AND(LCI_Table[[#This Row],[Show Feedstock]:[Conditional]],NOT(LCI_Table[[#This Row],[Hide Row]]))</f>
        <v>0</v>
      </c>
      <c r="O1576" s="14" t="b">
        <f>LCI_Table[[#This Row],[GREET1 Name Range]]=""</f>
        <v>0</v>
      </c>
      <c r="P1576" s="14" t="s">
        <v>1448</v>
      </c>
      <c r="Q1576" s="14" t="s">
        <v>583</v>
      </c>
      <c r="R1576" s="14" t="s">
        <v>145</v>
      </c>
      <c r="S1576" s="37" cm="1">
        <f t="array" aca="1" ref="S15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0.16975147957845976</v>
      </c>
      <c r="T1576" s="346" t="s">
        <v>2119</v>
      </c>
      <c r="U1576" s="362">
        <f t="shared" ref="U1576" ca="1" si="3">S1576*lb2kg/mmBTU2MJ</f>
        <v>7.2980000000000172E-5</v>
      </c>
      <c r="V1576" s="347">
        <v>0.16975147957845976</v>
      </c>
      <c r="W1576" s="357">
        <v>7.2980000000000172E-5</v>
      </c>
      <c r="X1576" s="14" t="s">
        <v>12</v>
      </c>
      <c r="Y1576" s="346" t="s">
        <v>416</v>
      </c>
      <c r="Z1576" s="14" t="str">
        <f>IF(ISBLANK(LCI_Table[[#This Row],[Notes for user]])," ",LCI_Table[[#This Row],[Notes for user]])</f>
        <v xml:space="preserve"> </v>
      </c>
      <c r="AA1576" s="14"/>
      <c r="AB1576" s="14"/>
      <c r="AC1576" s="346">
        <f ca="1">LCI_Table[[#This Row],[Default Calculated Value]]-LCI_Table[[#This Row],[Calculated Value]]</f>
        <v>0</v>
      </c>
    </row>
    <row r="1577" spans="1:29" x14ac:dyDescent="0.3">
      <c r="A15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CornATJ-ethanolICAOMIT(blank)_Corn_ETJ_Sulfuric_acidSulfuric acid</v>
      </c>
      <c r="B1577" s="14" t="s">
        <v>136</v>
      </c>
      <c r="C1577" s="14" t="s">
        <v>1964</v>
      </c>
      <c r="D1577" s="14" t="s">
        <v>194</v>
      </c>
      <c r="E1577" s="14" t="s">
        <v>377</v>
      </c>
      <c r="F1577" s="48" t="s">
        <v>31</v>
      </c>
      <c r="G1577" s="14" t="b">
        <f>OR(LCI_Table[[#This Row],[Feedstock]]="All",LCI_Table[[#This Row],[Feedstock]]=SelectedFeedstock)</f>
        <v>0</v>
      </c>
      <c r="H1577" s="14" t="b">
        <f>OR(LCI_Table[[#This Row],[Conversion]]="All",LCI_Table[[#This Row],[Conversion]]=SelectedConversion)</f>
        <v>0</v>
      </c>
      <c r="I1577" s="14" t="b">
        <f>OR(LCI_Table[[#This Row],[Data Set]]="all",LCI_Table[[#This Row],[Data Set]]=SelectedDataSet)</f>
        <v>0</v>
      </c>
      <c r="J1577" s="14" t="b">
        <f>OR(LCI_Table[[#This Row],[Technology]]="All",LCI_Table[[#This Row],[Technology]]=SelectedTechnology)</f>
        <v>1</v>
      </c>
      <c r="K1577" s="14" t="b">
        <f>OR(LCI_Table[[#This Row],[Data Source]]="All",LCI_Table[[#This Row],[Data Source]]=SelectedDataSource)</f>
        <v>0</v>
      </c>
      <c r="L1577" s="14" t="b">
        <f>TRUE</f>
        <v>1</v>
      </c>
      <c r="M1577" s="14" t="b">
        <f>(LCI_Table[[#This Row],[Dev Notes]]="Do not display")</f>
        <v>0</v>
      </c>
      <c r="N1577" s="14" t="b">
        <f>AND(LCI_Table[[#This Row],[Show Feedstock]:[Conditional]],NOT(LCI_Table[[#This Row],[Hide Row]]))</f>
        <v>0</v>
      </c>
      <c r="O1577" s="14" t="b">
        <f>LCI_Table[[#This Row],[GREET1 Name Range]]=""</f>
        <v>0</v>
      </c>
      <c r="P1577" s="14" t="s">
        <v>1448</v>
      </c>
      <c r="Q1577" s="14" t="s">
        <v>580</v>
      </c>
      <c r="R1577" s="14" t="s">
        <v>384</v>
      </c>
      <c r="S1577" s="37" cm="1">
        <f t="array" aca="1" ref="S15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0.2773987593111415</v>
      </c>
      <c r="T1577" s="346" t="s">
        <v>2119</v>
      </c>
      <c r="U1577" s="362">
        <f t="shared" ref="U1577" ca="1" si="4">S1577*lb2kg/mmBTU2MJ</f>
        <v>1.1926000000000024E-4</v>
      </c>
      <c r="V1577" s="347">
        <v>0.2773987593111415</v>
      </c>
      <c r="W1577" s="357">
        <v>1.1926000000000024E-4</v>
      </c>
      <c r="X1577" s="14" t="s">
        <v>12</v>
      </c>
      <c r="Y1577" s="346" t="s">
        <v>416</v>
      </c>
      <c r="Z1577" s="14" t="str">
        <f>IF(ISBLANK(LCI_Table[[#This Row],[Notes for user]])," ",LCI_Table[[#This Row],[Notes for user]])</f>
        <v xml:space="preserve"> </v>
      </c>
      <c r="AA1577" s="14"/>
      <c r="AB1577" s="14"/>
      <c r="AC1577" s="346">
        <f ca="1">LCI_Table[[#This Row],[Default Calculated Value]]-LCI_Table[[#This Row],[Calculated Value]]</f>
        <v>0</v>
      </c>
    </row>
    <row r="1578" spans="1:29" x14ac:dyDescent="0.3">
      <c r="A15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CornATJ-ethanolICAOMIT(blank)_Corn_ETJ_AmmoniaAmmonia</v>
      </c>
      <c r="B1578" s="14" t="s">
        <v>136</v>
      </c>
      <c r="C1578" s="14" t="s">
        <v>1964</v>
      </c>
      <c r="D1578" s="14" t="s">
        <v>194</v>
      </c>
      <c r="E1578" s="14" t="s">
        <v>377</v>
      </c>
      <c r="F1578" s="48" t="s">
        <v>31</v>
      </c>
      <c r="G1578" s="14" t="b">
        <f>OR(LCI_Table[[#This Row],[Feedstock]]="All",LCI_Table[[#This Row],[Feedstock]]=SelectedFeedstock)</f>
        <v>0</v>
      </c>
      <c r="H1578" s="14" t="b">
        <f>OR(LCI_Table[[#This Row],[Conversion]]="All",LCI_Table[[#This Row],[Conversion]]=SelectedConversion)</f>
        <v>0</v>
      </c>
      <c r="I1578" s="14" t="b">
        <f>OR(LCI_Table[[#This Row],[Data Set]]="all",LCI_Table[[#This Row],[Data Set]]=SelectedDataSet)</f>
        <v>0</v>
      </c>
      <c r="J1578" s="14" t="b">
        <f>OR(LCI_Table[[#This Row],[Technology]]="All",LCI_Table[[#This Row],[Technology]]=SelectedTechnology)</f>
        <v>1</v>
      </c>
      <c r="K1578" s="14" t="b">
        <f>OR(LCI_Table[[#This Row],[Data Source]]="All",LCI_Table[[#This Row],[Data Source]]=SelectedDataSource)</f>
        <v>0</v>
      </c>
      <c r="L1578" s="14" t="b">
        <f>TRUE</f>
        <v>1</v>
      </c>
      <c r="M1578" s="14" t="b">
        <f>(LCI_Table[[#This Row],[Dev Notes]]="Do not display")</f>
        <v>0</v>
      </c>
      <c r="N1578" s="14" t="b">
        <f>AND(LCI_Table[[#This Row],[Show Feedstock]:[Conditional]],NOT(LCI_Table[[#This Row],[Hide Row]]))</f>
        <v>0</v>
      </c>
      <c r="O1578" s="14" t="b">
        <f>LCI_Table[[#This Row],[GREET1 Name Range]]=""</f>
        <v>0</v>
      </c>
      <c r="P1578" s="14" t="s">
        <v>1448</v>
      </c>
      <c r="Q1578" s="14" t="s">
        <v>1395</v>
      </c>
      <c r="R1578" s="14" t="s">
        <v>382</v>
      </c>
      <c r="S1578" s="37" cm="1">
        <f t="array" aca="1" ref="S15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1.1178755972240033</v>
      </c>
      <c r="T1578" s="346" t="s">
        <v>2119</v>
      </c>
      <c r="U1578" s="362">
        <f t="shared" ref="U1578" ca="1" si="5">S1578*lb2kg/mmBTU2MJ</f>
        <v>4.8060000000000111E-4</v>
      </c>
      <c r="V1578" s="347">
        <v>1.1178755972240033</v>
      </c>
      <c r="W1578" s="357">
        <v>4.8060000000000111E-4</v>
      </c>
      <c r="X1578" s="14" t="s">
        <v>12</v>
      </c>
      <c r="Y1578" s="346" t="s">
        <v>416</v>
      </c>
      <c r="Z1578" s="14" t="str">
        <f>IF(ISBLANK(LCI_Table[[#This Row],[Notes for user]])," ",LCI_Table[[#This Row],[Notes for user]])</f>
        <v xml:space="preserve"> </v>
      </c>
      <c r="AA1578" s="14"/>
      <c r="AB1578" s="14"/>
      <c r="AC1578" s="346">
        <f ca="1">LCI_Table[[#This Row],[Default Calculated Value]]-LCI_Table[[#This Row],[Calculated Value]]</f>
        <v>0</v>
      </c>
    </row>
    <row r="1579" spans="1:29" x14ac:dyDescent="0.3">
      <c r="A15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CornATJ-ethanolICAOMIT(blank)_Corn_ETJ_LimeQuicklime (CaO)</v>
      </c>
      <c r="B1579" s="14" t="s">
        <v>136</v>
      </c>
      <c r="C1579" s="14" t="s">
        <v>1964</v>
      </c>
      <c r="D1579" s="14" t="s">
        <v>194</v>
      </c>
      <c r="E1579" s="14" t="s">
        <v>377</v>
      </c>
      <c r="F1579" s="48" t="s">
        <v>31</v>
      </c>
      <c r="G1579" s="14" t="b">
        <f>OR(LCI_Table[[#This Row],[Feedstock]]="All",LCI_Table[[#This Row],[Feedstock]]=SelectedFeedstock)</f>
        <v>0</v>
      </c>
      <c r="H1579" s="14" t="b">
        <f>OR(LCI_Table[[#This Row],[Conversion]]="All",LCI_Table[[#This Row],[Conversion]]=SelectedConversion)</f>
        <v>0</v>
      </c>
      <c r="I1579" s="14" t="b">
        <f>OR(LCI_Table[[#This Row],[Data Set]]="all",LCI_Table[[#This Row],[Data Set]]=SelectedDataSet)</f>
        <v>0</v>
      </c>
      <c r="J1579" s="14" t="b">
        <f>OR(LCI_Table[[#This Row],[Technology]]="All",LCI_Table[[#This Row],[Technology]]=SelectedTechnology)</f>
        <v>1</v>
      </c>
      <c r="K1579" s="14" t="b">
        <f>OR(LCI_Table[[#This Row],[Data Source]]="All",LCI_Table[[#This Row],[Data Source]]=SelectedDataSource)</f>
        <v>0</v>
      </c>
      <c r="L1579" s="14" t="b">
        <f>TRUE</f>
        <v>1</v>
      </c>
      <c r="M1579" s="14" t="b">
        <f>(LCI_Table[[#This Row],[Dev Notes]]="Do not display")</f>
        <v>0</v>
      </c>
      <c r="N1579" s="14" t="b">
        <f>AND(LCI_Table[[#This Row],[Show Feedstock]:[Conditional]],NOT(LCI_Table[[#This Row],[Hide Row]]))</f>
        <v>0</v>
      </c>
      <c r="O1579" s="14" t="b">
        <f>LCI_Table[[#This Row],[GREET1 Name Range]]=""</f>
        <v>0</v>
      </c>
      <c r="P1579" s="14" t="s">
        <v>1448</v>
      </c>
      <c r="Q1579" s="14" t="s">
        <v>578</v>
      </c>
      <c r="R1579" s="14" t="s">
        <v>404</v>
      </c>
      <c r="S1579" s="37" cm="1">
        <f t="array" aca="1" ref="S15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0.66244479835496484</v>
      </c>
      <c r="T1579" s="346" t="s">
        <v>2119</v>
      </c>
      <c r="U1579" s="362">
        <f t="shared" ref="U1579" ca="1" si="6">S1579*lb2kg/mmBTU2MJ</f>
        <v>2.8480000000000063E-4</v>
      </c>
      <c r="V1579" s="347">
        <v>0.66244479835496484</v>
      </c>
      <c r="W1579" s="357">
        <v>2.8480000000000063E-4</v>
      </c>
      <c r="X1579" s="14" t="s">
        <v>12</v>
      </c>
      <c r="Y1579" s="346" t="s">
        <v>416</v>
      </c>
      <c r="Z1579" s="14" t="str">
        <f>IF(ISBLANK(LCI_Table[[#This Row],[Notes for user]])," ",LCI_Table[[#This Row],[Notes for user]])</f>
        <v xml:space="preserve"> </v>
      </c>
      <c r="AA1579" s="14"/>
      <c r="AB1579" s="14"/>
      <c r="AC1579" s="346">
        <f ca="1">LCI_Table[[#This Row],[Default Calculated Value]]-LCI_Table[[#This Row],[Calculated Value]]</f>
        <v>0</v>
      </c>
    </row>
    <row r="1580" spans="1:29" x14ac:dyDescent="0.3">
      <c r="A15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CornATJ-ethanolICAOMIT(blank)_Corn_ETJ_UreaUrea</v>
      </c>
      <c r="B1580" s="14" t="s">
        <v>136</v>
      </c>
      <c r="C1580" s="14" t="s">
        <v>1964</v>
      </c>
      <c r="D1580" s="14" t="s">
        <v>194</v>
      </c>
      <c r="E1580" s="14" t="s">
        <v>377</v>
      </c>
      <c r="F1580" s="48" t="s">
        <v>31</v>
      </c>
      <c r="G1580" s="14" t="b">
        <f>OR(LCI_Table[[#This Row],[Feedstock]]="All",LCI_Table[[#This Row],[Feedstock]]=SelectedFeedstock)</f>
        <v>0</v>
      </c>
      <c r="H1580" s="14" t="b">
        <f>OR(LCI_Table[[#This Row],[Conversion]]="All",LCI_Table[[#This Row],[Conversion]]=SelectedConversion)</f>
        <v>0</v>
      </c>
      <c r="I1580" s="14" t="b">
        <f>OR(LCI_Table[[#This Row],[Data Set]]="all",LCI_Table[[#This Row],[Data Set]]=SelectedDataSet)</f>
        <v>0</v>
      </c>
      <c r="J1580" s="14" t="b">
        <f>OR(LCI_Table[[#This Row],[Technology]]="All",LCI_Table[[#This Row],[Technology]]=SelectedTechnology)</f>
        <v>1</v>
      </c>
      <c r="K1580" s="14" t="b">
        <f>OR(LCI_Table[[#This Row],[Data Source]]="All",LCI_Table[[#This Row],[Data Source]]=SelectedDataSource)</f>
        <v>0</v>
      </c>
      <c r="L1580" s="14" t="b">
        <f>TRUE</f>
        <v>1</v>
      </c>
      <c r="M1580" s="14" t="b">
        <f>(LCI_Table[[#This Row],[Dev Notes]]="Do not display")</f>
        <v>0</v>
      </c>
      <c r="N1580" s="14" t="b">
        <f>AND(LCI_Table[[#This Row],[Show Feedstock]:[Conditional]],NOT(LCI_Table[[#This Row],[Hide Row]]))</f>
        <v>0</v>
      </c>
      <c r="O1580" s="14" t="b">
        <f>LCI_Table[[#This Row],[GREET1 Name Range]]=""</f>
        <v>0</v>
      </c>
      <c r="P1580" s="14" t="s">
        <v>1448</v>
      </c>
      <c r="Q1580" s="14" t="s">
        <v>581</v>
      </c>
      <c r="R1580" s="14" t="s">
        <v>144</v>
      </c>
      <c r="S1580" s="37" cm="1">
        <f t="array" aca="1" ref="S15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80" s="346" t="s">
        <v>2119</v>
      </c>
      <c r="U1580" s="362">
        <f t="shared" ref="U1580" ca="1" si="7">S1580*lb2kg/mmBTU2MJ</f>
        <v>0</v>
      </c>
      <c r="V1580" s="347">
        <v>0</v>
      </c>
      <c r="W1580" s="357">
        <v>0</v>
      </c>
      <c r="X1580" s="14" t="s">
        <v>12</v>
      </c>
      <c r="Y1580" s="346" t="s">
        <v>416</v>
      </c>
      <c r="Z1580" s="14" t="str">
        <f>IF(ISBLANK(LCI_Table[[#This Row],[Notes for user]])," ",LCI_Table[[#This Row],[Notes for user]])</f>
        <v xml:space="preserve"> </v>
      </c>
      <c r="AA1580" s="14"/>
      <c r="AB1580" s="14"/>
      <c r="AC1580" s="346">
        <f ca="1">LCI_Table[[#This Row],[Default Calculated Value]]-LCI_Table[[#This Row],[Calculated Value]]</f>
        <v>0</v>
      </c>
    </row>
    <row r="1581" spans="1:29" x14ac:dyDescent="0.3">
      <c r="A15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CornATJ-ethanolICAOMIT(blank)_Corn_ETJ_HydrogenHydrogen</v>
      </c>
      <c r="B1581" s="358" t="s">
        <v>136</v>
      </c>
      <c r="C1581" s="358" t="s">
        <v>1964</v>
      </c>
      <c r="D1581" s="358" t="s">
        <v>194</v>
      </c>
      <c r="E1581" s="358" t="s">
        <v>377</v>
      </c>
      <c r="F1581" s="48" t="s">
        <v>31</v>
      </c>
      <c r="G1581" s="14" t="b">
        <f>OR(LCI_Table[[#This Row],[Feedstock]]="All",LCI_Table[[#This Row],[Feedstock]]=SelectedFeedstock)</f>
        <v>0</v>
      </c>
      <c r="H1581" s="14" t="b">
        <f>OR(LCI_Table[[#This Row],[Conversion]]="All",LCI_Table[[#This Row],[Conversion]]=SelectedConversion)</f>
        <v>0</v>
      </c>
      <c r="I1581" s="14" t="b">
        <f>OR(LCI_Table[[#This Row],[Data Set]]="all",LCI_Table[[#This Row],[Data Set]]=SelectedDataSet)</f>
        <v>0</v>
      </c>
      <c r="J1581" s="14" t="b">
        <f>OR(LCI_Table[[#This Row],[Technology]]="All",LCI_Table[[#This Row],[Technology]]=SelectedTechnology)</f>
        <v>1</v>
      </c>
      <c r="K1581" s="14" t="b">
        <f>OR(LCI_Table[[#This Row],[Data Source]]="All",LCI_Table[[#This Row],[Data Source]]=SelectedDataSource)</f>
        <v>0</v>
      </c>
      <c r="L1581" s="14" t="b">
        <f>TRUE</f>
        <v>1</v>
      </c>
      <c r="M1581" s="14" t="b">
        <f>(LCI_Table[[#This Row],[Dev Notes]]="Do not display")</f>
        <v>0</v>
      </c>
      <c r="N1581" s="14" t="b">
        <f>AND(LCI_Table[[#This Row],[Show Feedstock]:[Conditional]],NOT(LCI_Table[[#This Row],[Hide Row]]))</f>
        <v>0</v>
      </c>
      <c r="O1581" s="14" t="b">
        <f>LCI_Table[[#This Row],[GREET1 Name Range]]=""</f>
        <v>0</v>
      </c>
      <c r="P1581" s="358" t="s">
        <v>1448</v>
      </c>
      <c r="Q1581" s="14" t="s">
        <v>577</v>
      </c>
      <c r="R1581" s="358" t="s">
        <v>73</v>
      </c>
      <c r="S1581" s="37" cm="1">
        <f t="array" aca="1" ref="S15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446.4</v>
      </c>
      <c r="T1581" s="346" t="s">
        <v>2120</v>
      </c>
      <c r="U1581" s="362">
        <f ca="1">S1581*Fuel_Specs!$E$81*g2kg/mmBTU2MJ</f>
        <v>1.0789191870743146E-3</v>
      </c>
      <c r="V1581" s="359">
        <v>446.4</v>
      </c>
      <c r="W1581" s="362">
        <v>1.0789191870743146E-3</v>
      </c>
      <c r="X1581" s="360" t="s">
        <v>351</v>
      </c>
      <c r="Y1581" s="346" t="s">
        <v>416</v>
      </c>
      <c r="Z1581" s="14" t="str">
        <f>IF(ISBLANK(LCI_Table[[#This Row],[Notes for user]])," ",LCI_Table[[#This Row],[Notes for user]])</f>
        <v xml:space="preserve"> </v>
      </c>
      <c r="AA1581" s="358"/>
      <c r="AB1581" s="358"/>
      <c r="AC1581" s="346">
        <f ca="1">LCI_Table[[#This Row],[Default Calculated Value]]-LCI_Table[[#This Row],[Calculated Value]]</f>
        <v>0</v>
      </c>
    </row>
    <row r="1582" spans="1:29" x14ac:dyDescent="0.3">
      <c r="A15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CornATJ-ethanolICAOMIT(blank)_Corn_ETJ_Natural_gasNatural gas</v>
      </c>
      <c r="B1582" s="14" t="s">
        <v>136</v>
      </c>
      <c r="C1582" s="14" t="s">
        <v>1964</v>
      </c>
      <c r="D1582" s="14" t="s">
        <v>194</v>
      </c>
      <c r="E1582" s="14" t="s">
        <v>377</v>
      </c>
      <c r="F1582" s="48" t="s">
        <v>31</v>
      </c>
      <c r="G1582" s="14" t="b">
        <f>OR(LCI_Table[[#This Row],[Feedstock]]="All",LCI_Table[[#This Row],[Feedstock]]=SelectedFeedstock)</f>
        <v>0</v>
      </c>
      <c r="H1582" s="14" t="b">
        <f>OR(LCI_Table[[#This Row],[Conversion]]="All",LCI_Table[[#This Row],[Conversion]]=SelectedConversion)</f>
        <v>0</v>
      </c>
      <c r="I1582" s="14" t="b">
        <f>OR(LCI_Table[[#This Row],[Data Set]]="all",LCI_Table[[#This Row],[Data Set]]=SelectedDataSet)</f>
        <v>0</v>
      </c>
      <c r="J1582" s="14" t="b">
        <f>OR(LCI_Table[[#This Row],[Technology]]="All",LCI_Table[[#This Row],[Technology]]=SelectedTechnology)</f>
        <v>1</v>
      </c>
      <c r="K1582" s="14" t="b">
        <f>OR(LCI_Table[[#This Row],[Data Source]]="All",LCI_Table[[#This Row],[Data Source]]=SelectedDataSource)</f>
        <v>0</v>
      </c>
      <c r="L1582" s="14" t="b">
        <f>TRUE</f>
        <v>1</v>
      </c>
      <c r="M1582" s="14" t="b">
        <f>(LCI_Table[[#This Row],[Dev Notes]]="Do not display")</f>
        <v>0</v>
      </c>
      <c r="N1582" s="14" t="b">
        <f>AND(LCI_Table[[#This Row],[Show Feedstock]:[Conditional]],NOT(LCI_Table[[#This Row],[Hide Row]]))</f>
        <v>0</v>
      </c>
      <c r="O1582" s="14" t="b">
        <f>LCI_Table[[#This Row],[GREET1 Name Range]]=""</f>
        <v>0</v>
      </c>
      <c r="P1582" s="14" t="s">
        <v>1448</v>
      </c>
      <c r="Q1582" s="14" t="s">
        <v>579</v>
      </c>
      <c r="R1582" s="14" t="s">
        <v>108</v>
      </c>
      <c r="S1582" s="37" cm="1">
        <f t="array" aca="1" ref="S15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1186.531027466938</v>
      </c>
      <c r="T1582" s="346" t="s">
        <v>2120</v>
      </c>
      <c r="U1582" s="362">
        <f ca="1">S1582*Fuel_Specs!$E$79*g2kg/mmBTU2MJ</f>
        <v>2.4741517336994659E-2</v>
      </c>
      <c r="V1582" s="347">
        <v>1186.531027466938</v>
      </c>
      <c r="W1582" s="357">
        <v>2.4741517336994659E-2</v>
      </c>
      <c r="X1582" s="14" t="s">
        <v>351</v>
      </c>
      <c r="Y1582" s="346" t="s">
        <v>416</v>
      </c>
      <c r="Z1582" s="14" t="str">
        <f>IF(ISBLANK(LCI_Table[[#This Row],[Notes for user]])," ",LCI_Table[[#This Row],[Notes for user]])</f>
        <v xml:space="preserve"> </v>
      </c>
      <c r="AA1582" s="14"/>
      <c r="AB1582" s="14" t="s">
        <v>1142</v>
      </c>
      <c r="AC1582" s="346">
        <f ca="1">LCI_Table[[#This Row],[Default Calculated Value]]-LCI_Table[[#This Row],[Calculated Value]]</f>
        <v>0</v>
      </c>
    </row>
    <row r="1583" spans="1:29" x14ac:dyDescent="0.3">
      <c r="A15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CornATJ-ethanolICAOMIT(blank)_Corn_ETJ_ElectricityGrid Electricity</v>
      </c>
      <c r="B1583" s="14" t="s">
        <v>136</v>
      </c>
      <c r="C1583" s="14" t="s">
        <v>1964</v>
      </c>
      <c r="D1583" s="14" t="s">
        <v>194</v>
      </c>
      <c r="E1583" s="14" t="s">
        <v>377</v>
      </c>
      <c r="F1583" s="48" t="s">
        <v>31</v>
      </c>
      <c r="G1583" s="14" t="b">
        <f>OR(LCI_Table[[#This Row],[Feedstock]]="All",LCI_Table[[#This Row],[Feedstock]]=SelectedFeedstock)</f>
        <v>0</v>
      </c>
      <c r="H1583" s="14" t="b">
        <f>OR(LCI_Table[[#This Row],[Conversion]]="All",LCI_Table[[#This Row],[Conversion]]=SelectedConversion)</f>
        <v>0</v>
      </c>
      <c r="I1583" s="14" t="b">
        <f>OR(LCI_Table[[#This Row],[Data Set]]="all",LCI_Table[[#This Row],[Data Set]]=SelectedDataSet)</f>
        <v>0</v>
      </c>
      <c r="J1583" s="14" t="b">
        <f>OR(LCI_Table[[#This Row],[Technology]]="All",LCI_Table[[#This Row],[Technology]]=SelectedTechnology)</f>
        <v>1</v>
      </c>
      <c r="K1583" s="14" t="b">
        <f>OR(LCI_Table[[#This Row],[Data Source]]="All",LCI_Table[[#This Row],[Data Source]]=SelectedDataSource)</f>
        <v>0</v>
      </c>
      <c r="L1583" s="14" t="b">
        <f>TRUE</f>
        <v>1</v>
      </c>
      <c r="M1583" s="14" t="b">
        <f>(LCI_Table[[#This Row],[Dev Notes]]="Do not display")</f>
        <v>0</v>
      </c>
      <c r="N1583" s="14" t="b">
        <f>AND(LCI_Table[[#This Row],[Show Feedstock]:[Conditional]],NOT(LCI_Table[[#This Row],[Hide Row]]))</f>
        <v>0</v>
      </c>
      <c r="O1583" s="14" t="b">
        <f>LCI_Table[[#This Row],[GREET1 Name Range]]=""</f>
        <v>0</v>
      </c>
      <c r="P1583" s="14" t="s">
        <v>1448</v>
      </c>
      <c r="Q1583" s="14" t="s">
        <v>575</v>
      </c>
      <c r="R1583" s="14" t="s">
        <v>1684</v>
      </c>
      <c r="S1583" s="37" cm="1">
        <f t="array" aca="1" ref="S15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49.774604292305561</v>
      </c>
      <c r="T1583" s="346" t="s">
        <v>2121</v>
      </c>
      <c r="U1583" s="357">
        <f ca="1">S1583/mmBTU2MJ</f>
        <v>4.7177222222222231E-2</v>
      </c>
      <c r="V1583" s="347">
        <v>49.774604292305561</v>
      </c>
      <c r="W1583" s="357">
        <v>4.7177222222222231E-2</v>
      </c>
      <c r="X1583" s="37" t="s">
        <v>51</v>
      </c>
      <c r="Y1583" s="346" t="s">
        <v>416</v>
      </c>
      <c r="Z1583" s="14" t="str">
        <f>IF(ISBLANK(LCI_Table[[#This Row],[Notes for user]])," ",LCI_Table[[#This Row],[Notes for user]])</f>
        <v xml:space="preserve"> </v>
      </c>
      <c r="AA1583" s="14"/>
      <c r="AB1583" s="14" t="s">
        <v>1142</v>
      </c>
      <c r="AC1583" s="346">
        <f ca="1">LCI_Table[[#This Row],[Default Calculated Value]]-LCI_Table[[#This Row],[Calculated Value]]</f>
        <v>0</v>
      </c>
    </row>
    <row r="1584" spans="1:29" x14ac:dyDescent="0.3">
      <c r="A15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CornATJ-ethanolICAOMIT(blank)_Corn_ETJ_CatalystsCatalysts</v>
      </c>
      <c r="B1584" s="14" t="s">
        <v>136</v>
      </c>
      <c r="C1584" s="14" t="s">
        <v>1964</v>
      </c>
      <c r="D1584" s="14" t="s">
        <v>194</v>
      </c>
      <c r="E1584" s="14" t="s">
        <v>377</v>
      </c>
      <c r="F1584" s="48" t="s">
        <v>31</v>
      </c>
      <c r="G1584" s="14" t="b">
        <f>OR(LCI_Table[[#This Row],[Feedstock]]="All",LCI_Table[[#This Row],[Feedstock]]=SelectedFeedstock)</f>
        <v>0</v>
      </c>
      <c r="H1584" s="14" t="b">
        <f>OR(LCI_Table[[#This Row],[Conversion]]="All",LCI_Table[[#This Row],[Conversion]]=SelectedConversion)</f>
        <v>0</v>
      </c>
      <c r="I1584" s="14" t="b">
        <f>OR(LCI_Table[[#This Row],[Data Set]]="all",LCI_Table[[#This Row],[Data Set]]=SelectedDataSet)</f>
        <v>0</v>
      </c>
      <c r="J1584" s="14" t="b">
        <f>OR(LCI_Table[[#This Row],[Technology]]="All",LCI_Table[[#This Row],[Technology]]=SelectedTechnology)</f>
        <v>1</v>
      </c>
      <c r="K1584" s="14" t="b">
        <f>OR(LCI_Table[[#This Row],[Data Source]]="All",LCI_Table[[#This Row],[Data Source]]=SelectedDataSource)</f>
        <v>0</v>
      </c>
      <c r="L1584" s="14" t="b">
        <f>TRUE</f>
        <v>1</v>
      </c>
      <c r="M1584" s="14" t="b">
        <f>(LCI_Table[[#This Row],[Dev Notes]]="Do not display")</f>
        <v>0</v>
      </c>
      <c r="N1584" s="14" t="b">
        <f>AND(LCI_Table[[#This Row],[Show Feedstock]:[Conditional]],NOT(LCI_Table[[#This Row],[Hide Row]]))</f>
        <v>0</v>
      </c>
      <c r="O1584" s="14" t="b">
        <f>LCI_Table[[#This Row],[GREET1 Name Range]]=""</f>
        <v>0</v>
      </c>
      <c r="P1584" s="14" t="s">
        <v>1448</v>
      </c>
      <c r="Q1584" s="14" t="s">
        <v>572</v>
      </c>
      <c r="R1584" s="14" t="s">
        <v>142</v>
      </c>
      <c r="S1584" s="37" cm="1">
        <f t="array" aca="1" ref="S15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84" s="346" t="s">
        <v>2119</v>
      </c>
      <c r="U1584" s="362">
        <f ca="1">S1584*lb2kg/mmBTU2MJ</f>
        <v>0</v>
      </c>
      <c r="V1584" s="347">
        <v>0</v>
      </c>
      <c r="W1584" s="357">
        <v>0</v>
      </c>
      <c r="X1584" s="37" t="s">
        <v>12</v>
      </c>
      <c r="Y1584" s="346" t="s">
        <v>416</v>
      </c>
      <c r="Z1584" s="14" t="str">
        <f>IF(ISBLANK(LCI_Table[[#This Row],[Notes for user]])," ",LCI_Table[[#This Row],[Notes for user]])</f>
        <v xml:space="preserve"> </v>
      </c>
      <c r="AA1584" s="14"/>
      <c r="AB1584" s="14"/>
      <c r="AC1584" s="346">
        <f ca="1">LCI_Table[[#This Row],[Default Calculated Value]]-LCI_Table[[#This Row],[Calculated Value]]</f>
        <v>0</v>
      </c>
    </row>
    <row r="1585" spans="1:29" x14ac:dyDescent="0.3">
      <c r="A15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CornATJ-ethanolICAOMIT(blank)_Corn_ETJ_WaterWater</v>
      </c>
      <c r="B1585" s="14" t="s">
        <v>136</v>
      </c>
      <c r="C1585" s="14" t="s">
        <v>1964</v>
      </c>
      <c r="D1585" s="14" t="s">
        <v>194</v>
      </c>
      <c r="E1585" s="14" t="s">
        <v>377</v>
      </c>
      <c r="F1585" s="48" t="s">
        <v>31</v>
      </c>
      <c r="G1585" s="14" t="b">
        <f>OR(LCI_Table[[#This Row],[Feedstock]]="All",LCI_Table[[#This Row],[Feedstock]]=SelectedFeedstock)</f>
        <v>0</v>
      </c>
      <c r="H1585" s="14" t="b">
        <f>OR(LCI_Table[[#This Row],[Conversion]]="All",LCI_Table[[#This Row],[Conversion]]=SelectedConversion)</f>
        <v>0</v>
      </c>
      <c r="I1585" s="14" t="b">
        <f>OR(LCI_Table[[#This Row],[Data Set]]="all",LCI_Table[[#This Row],[Data Set]]=SelectedDataSet)</f>
        <v>0</v>
      </c>
      <c r="J1585" s="14" t="b">
        <f>OR(LCI_Table[[#This Row],[Technology]]="All",LCI_Table[[#This Row],[Technology]]=SelectedTechnology)</f>
        <v>1</v>
      </c>
      <c r="K1585" s="14" t="b">
        <f>OR(LCI_Table[[#This Row],[Data Source]]="All",LCI_Table[[#This Row],[Data Source]]=SelectedDataSource)</f>
        <v>0</v>
      </c>
      <c r="L1585" s="14" t="b">
        <f>TRUE</f>
        <v>1</v>
      </c>
      <c r="M1585" s="14" t="b">
        <f>(LCI_Table[[#This Row],[Dev Notes]]="Do not display")</f>
        <v>0</v>
      </c>
      <c r="N1585" s="14" t="b">
        <f>AND(LCI_Table[[#This Row],[Show Feedstock]:[Conditional]],NOT(LCI_Table[[#This Row],[Hide Row]]))</f>
        <v>0</v>
      </c>
      <c r="O1585" s="14" t="b">
        <f>LCI_Table[[#This Row],[GREET1 Name Range]]=""</f>
        <v>0</v>
      </c>
      <c r="P1585" s="14" t="s">
        <v>1448</v>
      </c>
      <c r="Q1585" s="14" t="s">
        <v>582</v>
      </c>
      <c r="R1585" s="14" t="s">
        <v>146</v>
      </c>
      <c r="S1585" s="37" cm="1">
        <f t="array" aca="1" ref="S15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85" s="346" t="s">
        <v>2128</v>
      </c>
      <c r="U1585" s="357">
        <f ca="1">S1585*gal2L/mmBTU2MJ</f>
        <v>0</v>
      </c>
      <c r="V1585" s="347">
        <v>0</v>
      </c>
      <c r="W1585" s="357">
        <v>0</v>
      </c>
      <c r="X1585" s="37" t="s">
        <v>5</v>
      </c>
      <c r="Y1585" s="346" t="s">
        <v>416</v>
      </c>
      <c r="Z1585" s="14" t="str">
        <f>IF(ISBLANK(LCI_Table[[#This Row],[Notes for user]])," ",LCI_Table[[#This Row],[Notes for user]])</f>
        <v xml:space="preserve"> </v>
      </c>
      <c r="AA1585" s="14"/>
      <c r="AB1585" s="14"/>
      <c r="AC1585" s="346">
        <f ca="1">LCI_Table[[#This Row],[Default Calculated Value]]-LCI_Table[[#This Row],[Calculated Value]]</f>
        <v>0</v>
      </c>
    </row>
    <row r="1586" spans="1:29" x14ac:dyDescent="0.3">
      <c r="A15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CornATJ-ethanolICAOMIT(blank)_Corn_ETJ_Allocation_FactorAllocation factor</v>
      </c>
      <c r="B1586" s="14" t="s">
        <v>136</v>
      </c>
      <c r="C1586" s="14" t="s">
        <v>1964</v>
      </c>
      <c r="D1586" s="14" t="s">
        <v>194</v>
      </c>
      <c r="E1586" s="14" t="s">
        <v>377</v>
      </c>
      <c r="F1586" s="48" t="s">
        <v>31</v>
      </c>
      <c r="G1586" s="14" t="b">
        <f>OR(LCI_Table[[#This Row],[Feedstock]]="All",LCI_Table[[#This Row],[Feedstock]]=SelectedFeedstock)</f>
        <v>0</v>
      </c>
      <c r="H1586" s="14" t="b">
        <f>OR(LCI_Table[[#This Row],[Conversion]]="All",LCI_Table[[#This Row],[Conversion]]=SelectedConversion)</f>
        <v>0</v>
      </c>
      <c r="I1586" s="14" t="b">
        <f>OR(LCI_Table[[#This Row],[Data Set]]="all",LCI_Table[[#This Row],[Data Set]]=SelectedDataSet)</f>
        <v>0</v>
      </c>
      <c r="J1586" s="14" t="b">
        <f>OR(LCI_Table[[#This Row],[Technology]]="All",LCI_Table[[#This Row],[Technology]]=SelectedTechnology)</f>
        <v>1</v>
      </c>
      <c r="K1586" s="14" t="b">
        <f>OR(LCI_Table[[#This Row],[Data Source]]="All",LCI_Table[[#This Row],[Data Source]]=SelectedDataSource)</f>
        <v>0</v>
      </c>
      <c r="L1586" s="14" t="b">
        <f>TRUE</f>
        <v>1</v>
      </c>
      <c r="M1586" s="14" t="b">
        <f>(LCI_Table[[#This Row],[Dev Notes]]="Do not display")</f>
        <v>0</v>
      </c>
      <c r="N1586" s="14" t="b">
        <f>AND(LCI_Table[[#This Row],[Show Feedstock]:[Conditional]],NOT(LCI_Table[[#This Row],[Hide Row]]))</f>
        <v>0</v>
      </c>
      <c r="O1586" s="14" t="b">
        <f>LCI_Table[[#This Row],[GREET1 Name Range]]=""</f>
        <v>0</v>
      </c>
      <c r="P1586" s="14" t="s">
        <v>1448</v>
      </c>
      <c r="Q1586" s="14" t="s">
        <v>1121</v>
      </c>
      <c r="R1586" s="14" t="s">
        <v>1344</v>
      </c>
      <c r="S1586" s="37" cm="1">
        <f t="array" aca="1" ref="S15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32.170477795936222</v>
      </c>
      <c r="T1586" s="346" t="s">
        <v>1345</v>
      </c>
      <c r="U1586" s="357">
        <f ca="1">S1586/100</f>
        <v>0.3217047779593622</v>
      </c>
      <c r="V1586" s="347">
        <v>32.170477795936222</v>
      </c>
      <c r="W1586" s="347">
        <v>0.3217047779593622</v>
      </c>
      <c r="X1586" s="37"/>
      <c r="Y1586" s="346"/>
      <c r="Z1586" s="14" t="str">
        <f>IF(ISBLANK(LCI_Table[[#This Row],[Notes for user]])," ",LCI_Table[[#This Row],[Notes for user]])</f>
        <v xml:space="preserve"> </v>
      </c>
      <c r="AA1586" s="14"/>
      <c r="AB1586" s="14"/>
      <c r="AC1586" s="346">
        <f ca="1">LCI_Table[[#This Row],[Default Calculated Value]]-LCI_Table[[#This Row],[Calculated Value]]</f>
        <v>0</v>
      </c>
    </row>
    <row r="1587" spans="1:29" x14ac:dyDescent="0.3">
      <c r="A15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stoverATJ-ethanolICAOConsensusIntegrated_Yield_Collection</v>
      </c>
      <c r="B1587" s="48" t="s">
        <v>135</v>
      </c>
      <c r="C1587" s="48" t="s">
        <v>1964</v>
      </c>
      <c r="D1587" s="48" t="s">
        <v>194</v>
      </c>
      <c r="E1587" s="48" t="s">
        <v>1399</v>
      </c>
      <c r="F1587" s="48" t="s">
        <v>1398</v>
      </c>
      <c r="G1587" s="14" t="b">
        <f>OR(LCI_Table[[#This Row],[Feedstock]]="All",LCI_Table[[#This Row],[Feedstock]]=SelectedFeedstock)</f>
        <v>0</v>
      </c>
      <c r="H1587" s="14" t="b">
        <f>OR(LCI_Table[[#This Row],[Conversion]]="All",LCI_Table[[#This Row],[Conversion]]=SelectedConversion)</f>
        <v>0</v>
      </c>
      <c r="I1587" s="14" t="b">
        <f>OR(LCI_Table[[#This Row],[Data Set]]="all",LCI_Table[[#This Row],[Data Set]]=SelectedDataSet)</f>
        <v>0</v>
      </c>
      <c r="J1587" s="14" t="b">
        <f>OR(LCI_Table[[#This Row],[Technology]]="All",LCI_Table[[#This Row],[Technology]]=SelectedTechnology)</f>
        <v>0</v>
      </c>
      <c r="K1587" s="14" t="b">
        <f>OR(LCI_Table[[#This Row],[Data Source]]="All",LCI_Table[[#This Row],[Data Source]]=SelectedDataSource)</f>
        <v>0</v>
      </c>
      <c r="L1587" s="14" t="b">
        <f>TRUE</f>
        <v>1</v>
      </c>
      <c r="M1587" s="14" t="b">
        <f>(LCI_Table[[#This Row],[Dev Notes]]="Do not display")</f>
        <v>0</v>
      </c>
      <c r="N1587" s="14" t="b">
        <f>AND(LCI_Table[[#This Row],[Show Feedstock]:[Conditional]],NOT(LCI_Table[[#This Row],[Hide Row]]))</f>
        <v>0</v>
      </c>
      <c r="O1587" s="14" t="b">
        <f>LCI_Table[[#This Row],[GREET1 Name Range]]=""</f>
        <v>1</v>
      </c>
      <c r="P1587" s="48" t="s">
        <v>147</v>
      </c>
      <c r="Q1587" s="14" t="s">
        <v>361</v>
      </c>
      <c r="R1587" s="48" t="s">
        <v>200</v>
      </c>
      <c r="S1587" s="37" cm="1">
        <f t="array" aca="1" ref="S15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1.2844800000000001</v>
      </c>
      <c r="T1587" s="346" t="s">
        <v>2116</v>
      </c>
      <c r="U1587" s="344"/>
      <c r="V1587" s="344">
        <v>1.2844800000000001</v>
      </c>
      <c r="W1587" s="344"/>
      <c r="X1587" s="48" t="s">
        <v>55</v>
      </c>
      <c r="Y1587" s="346" t="s">
        <v>413</v>
      </c>
      <c r="Z1587" s="14" t="str">
        <f>IF(ISBLANK(LCI_Table[[#This Row],[Notes for user]])," ",LCI_Table[[#This Row],[Notes for user]])</f>
        <v>Default value from GREET</v>
      </c>
      <c r="AA1587" s="48" t="s">
        <v>1152</v>
      </c>
      <c r="AB1587" s="345"/>
      <c r="AC1587" s="346">
        <f>LCI_Table[[#This Row],[Default Calculated Value]]-LCI_Table[[#This Row],[Calculated Value]]</f>
        <v>0</v>
      </c>
    </row>
    <row r="1588" spans="1:29" x14ac:dyDescent="0.3">
      <c r="A15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stoverATJ-ethanolICAOConsensusIntegrated_CornStover_Farming_Nitrogen_fertilizerNitrogen fertilizer</v>
      </c>
      <c r="B1588" s="14" t="s">
        <v>135</v>
      </c>
      <c r="C1588" s="14" t="s">
        <v>1964</v>
      </c>
      <c r="D1588" s="14" t="s">
        <v>194</v>
      </c>
      <c r="E1588" s="48" t="s">
        <v>1399</v>
      </c>
      <c r="F1588" s="48" t="s">
        <v>1398</v>
      </c>
      <c r="G1588" s="14" t="b">
        <f>OR(LCI_Table[[#This Row],[Feedstock]]="All",LCI_Table[[#This Row],[Feedstock]]=SelectedFeedstock)</f>
        <v>0</v>
      </c>
      <c r="H1588" s="14" t="b">
        <f>OR(LCI_Table[[#This Row],[Conversion]]="All",LCI_Table[[#This Row],[Conversion]]=SelectedConversion)</f>
        <v>0</v>
      </c>
      <c r="I1588" s="14" t="b">
        <f>OR(LCI_Table[[#This Row],[Data Set]]="all",LCI_Table[[#This Row],[Data Set]]=SelectedDataSet)</f>
        <v>0</v>
      </c>
      <c r="J1588" s="14" t="b">
        <f>OR(LCI_Table[[#This Row],[Technology]]="All",LCI_Table[[#This Row],[Technology]]=SelectedTechnology)</f>
        <v>0</v>
      </c>
      <c r="K1588" s="14" t="b">
        <f>OR(LCI_Table[[#This Row],[Data Source]]="All",LCI_Table[[#This Row],[Data Source]]=SelectedDataSource)</f>
        <v>0</v>
      </c>
      <c r="L1588" s="14" t="b">
        <f>TRUE</f>
        <v>1</v>
      </c>
      <c r="M1588" s="14" t="b">
        <f>(LCI_Table[[#This Row],[Dev Notes]]="Do not display")</f>
        <v>0</v>
      </c>
      <c r="N1588" s="14" t="b">
        <f>AND(LCI_Table[[#This Row],[Show Feedstock]:[Conditional]],NOT(LCI_Table[[#This Row],[Hide Row]]))</f>
        <v>0</v>
      </c>
      <c r="O1588" s="14" t="b">
        <f>LCI_Table[[#This Row],[GREET1 Name Range]]=""</f>
        <v>0</v>
      </c>
      <c r="P1588" s="14" t="s">
        <v>147</v>
      </c>
      <c r="Q1588" s="14" t="s">
        <v>614</v>
      </c>
      <c r="R1588" s="14" t="s">
        <v>111</v>
      </c>
      <c r="S1588" s="37" cm="1">
        <f t="array" aca="1" ref="S15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88" s="346" t="s">
        <v>1485</v>
      </c>
      <c r="U1588" s="347">
        <f ca="1">S1588/S1587*lb2g</f>
        <v>0</v>
      </c>
      <c r="V1588" s="347">
        <v>0</v>
      </c>
      <c r="W1588" s="347">
        <v>0</v>
      </c>
      <c r="X1588" s="14" t="s">
        <v>12</v>
      </c>
      <c r="Y1588" s="346" t="s">
        <v>413</v>
      </c>
      <c r="Z1588" s="14" t="str">
        <f>IF(ISBLANK(LCI_Table[[#This Row],[Notes for user]])," ",LCI_Table[[#This Row],[Notes for user]])</f>
        <v xml:space="preserve"> </v>
      </c>
      <c r="AA1588" s="14"/>
      <c r="AB1588" s="14"/>
      <c r="AC1588" s="346">
        <f ca="1">LCI_Table[[#This Row],[Default Calculated Value]]-LCI_Table[[#This Row],[Calculated Value]]</f>
        <v>0</v>
      </c>
    </row>
    <row r="1589" spans="1:29" x14ac:dyDescent="0.3">
      <c r="A15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stoverATJ-ethanolICAOConsensusIntegrated_CornStover_Farming_P2O5P2O5</v>
      </c>
      <c r="B1589" s="14" t="s">
        <v>135</v>
      </c>
      <c r="C1589" s="14" t="s">
        <v>1964</v>
      </c>
      <c r="D1589" s="14" t="s">
        <v>194</v>
      </c>
      <c r="E1589" s="48" t="s">
        <v>1399</v>
      </c>
      <c r="F1589" s="48" t="s">
        <v>1398</v>
      </c>
      <c r="G1589" s="14" t="b">
        <f>OR(LCI_Table[[#This Row],[Feedstock]]="All",LCI_Table[[#This Row],[Feedstock]]=SelectedFeedstock)</f>
        <v>0</v>
      </c>
      <c r="H1589" s="14" t="b">
        <f>OR(LCI_Table[[#This Row],[Conversion]]="All",LCI_Table[[#This Row],[Conversion]]=SelectedConversion)</f>
        <v>0</v>
      </c>
      <c r="I1589" s="14" t="b">
        <f>OR(LCI_Table[[#This Row],[Data Set]]="all",LCI_Table[[#This Row],[Data Set]]=SelectedDataSet)</f>
        <v>0</v>
      </c>
      <c r="J1589" s="14" t="b">
        <f>OR(LCI_Table[[#This Row],[Technology]]="All",LCI_Table[[#This Row],[Technology]]=SelectedTechnology)</f>
        <v>0</v>
      </c>
      <c r="K1589" s="14" t="b">
        <f>OR(LCI_Table[[#This Row],[Data Source]]="All",LCI_Table[[#This Row],[Data Source]]=SelectedDataSource)</f>
        <v>0</v>
      </c>
      <c r="L1589" s="14" t="b">
        <f>TRUE</f>
        <v>1</v>
      </c>
      <c r="M1589" s="14" t="b">
        <f>(LCI_Table[[#This Row],[Dev Notes]]="Do not display")</f>
        <v>0</v>
      </c>
      <c r="N1589" s="14" t="b">
        <f>AND(LCI_Table[[#This Row],[Show Feedstock]:[Conditional]],NOT(LCI_Table[[#This Row],[Hide Row]]))</f>
        <v>0</v>
      </c>
      <c r="O1589" s="14" t="b">
        <f>LCI_Table[[#This Row],[GREET1 Name Range]]=""</f>
        <v>0</v>
      </c>
      <c r="P1589" s="14" t="s">
        <v>147</v>
      </c>
      <c r="Q1589" s="14" t="s">
        <v>615</v>
      </c>
      <c r="R1589" s="14" t="s">
        <v>112</v>
      </c>
      <c r="S1589" s="37" cm="1">
        <f t="array" aca="1" ref="S15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89" s="346" t="s">
        <v>1485</v>
      </c>
      <c r="U1589" s="347">
        <f ca="1">S1589/S1587*lb2g</f>
        <v>0</v>
      </c>
      <c r="V1589" s="347">
        <v>0</v>
      </c>
      <c r="W1589" s="347">
        <v>0</v>
      </c>
      <c r="X1589" s="14" t="s">
        <v>12</v>
      </c>
      <c r="Y1589" s="346" t="s">
        <v>413</v>
      </c>
      <c r="Z1589" s="14" t="str">
        <f>IF(ISBLANK(LCI_Table[[#This Row],[Notes for user]])," ",LCI_Table[[#This Row],[Notes for user]])</f>
        <v xml:space="preserve"> </v>
      </c>
      <c r="AA1589" s="14"/>
      <c r="AB1589" s="14"/>
      <c r="AC1589" s="346">
        <f ca="1">LCI_Table[[#This Row],[Default Calculated Value]]-LCI_Table[[#This Row],[Calculated Value]]</f>
        <v>0</v>
      </c>
    </row>
    <row r="1590" spans="1:29" x14ac:dyDescent="0.3">
      <c r="A15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stoverATJ-ethanolICAOConsensusIntegrated_CornStover_Farming_K2OK2O</v>
      </c>
      <c r="B1590" s="14" t="s">
        <v>135</v>
      </c>
      <c r="C1590" s="14" t="s">
        <v>1964</v>
      </c>
      <c r="D1590" s="14" t="s">
        <v>194</v>
      </c>
      <c r="E1590" s="48" t="s">
        <v>1399</v>
      </c>
      <c r="F1590" s="48" t="s">
        <v>1398</v>
      </c>
      <c r="G1590" s="14" t="b">
        <f>OR(LCI_Table[[#This Row],[Feedstock]]="All",LCI_Table[[#This Row],[Feedstock]]=SelectedFeedstock)</f>
        <v>0</v>
      </c>
      <c r="H1590" s="14" t="b">
        <f>OR(LCI_Table[[#This Row],[Conversion]]="All",LCI_Table[[#This Row],[Conversion]]=SelectedConversion)</f>
        <v>0</v>
      </c>
      <c r="I1590" s="14" t="b">
        <f>OR(LCI_Table[[#This Row],[Data Set]]="all",LCI_Table[[#This Row],[Data Set]]=SelectedDataSet)</f>
        <v>0</v>
      </c>
      <c r="J1590" s="14" t="b">
        <f>OR(LCI_Table[[#This Row],[Technology]]="All",LCI_Table[[#This Row],[Technology]]=SelectedTechnology)</f>
        <v>0</v>
      </c>
      <c r="K1590" s="14" t="b">
        <f>OR(LCI_Table[[#This Row],[Data Source]]="All",LCI_Table[[#This Row],[Data Source]]=SelectedDataSource)</f>
        <v>0</v>
      </c>
      <c r="L1590" s="14" t="b">
        <f>TRUE</f>
        <v>1</v>
      </c>
      <c r="M1590" s="14" t="b">
        <f>(LCI_Table[[#This Row],[Dev Notes]]="Do not display")</f>
        <v>0</v>
      </c>
      <c r="N1590" s="14" t="b">
        <f>AND(LCI_Table[[#This Row],[Show Feedstock]:[Conditional]],NOT(LCI_Table[[#This Row],[Hide Row]]))</f>
        <v>0</v>
      </c>
      <c r="O1590" s="14" t="b">
        <f>LCI_Table[[#This Row],[GREET1 Name Range]]=""</f>
        <v>0</v>
      </c>
      <c r="P1590" s="14" t="s">
        <v>147</v>
      </c>
      <c r="Q1590" s="14" t="s">
        <v>611</v>
      </c>
      <c r="R1590" s="14" t="s">
        <v>113</v>
      </c>
      <c r="S1590" s="37" cm="1">
        <f t="array" aca="1" ref="S15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90" s="346" t="s">
        <v>1485</v>
      </c>
      <c r="U1590" s="347">
        <f ca="1">S1590/S1587*lb2g</f>
        <v>0</v>
      </c>
      <c r="V1590" s="347">
        <v>0</v>
      </c>
      <c r="W1590" s="347">
        <v>0</v>
      </c>
      <c r="X1590" s="14" t="s">
        <v>12</v>
      </c>
      <c r="Y1590" s="346" t="s">
        <v>413</v>
      </c>
      <c r="Z1590" s="14" t="str">
        <f>IF(ISBLANK(LCI_Table[[#This Row],[Notes for user]])," ",LCI_Table[[#This Row],[Notes for user]])</f>
        <v xml:space="preserve"> </v>
      </c>
      <c r="AA1590" s="14"/>
      <c r="AB1590" s="14"/>
      <c r="AC1590" s="346">
        <f ca="1">LCI_Table[[#This Row],[Default Calculated Value]]-LCI_Table[[#This Row],[Calculated Value]]</f>
        <v>0</v>
      </c>
    </row>
    <row r="1591" spans="1:29" x14ac:dyDescent="0.3">
      <c r="A15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stoverATJ-ethanolICAOConsensusIntegrated_CornStover_Farming_HerbicidesCaCO3</v>
      </c>
      <c r="B1591" s="14" t="s">
        <v>135</v>
      </c>
      <c r="C1591" s="14" t="s">
        <v>1964</v>
      </c>
      <c r="D1591" s="14" t="s">
        <v>194</v>
      </c>
      <c r="E1591" s="48" t="s">
        <v>1399</v>
      </c>
      <c r="F1591" s="48" t="s">
        <v>1398</v>
      </c>
      <c r="G1591" s="14" t="b">
        <f>OR(LCI_Table[[#This Row],[Feedstock]]="All",LCI_Table[[#This Row],[Feedstock]]=SelectedFeedstock)</f>
        <v>0</v>
      </c>
      <c r="H1591" s="14" t="b">
        <f>OR(LCI_Table[[#This Row],[Conversion]]="All",LCI_Table[[#This Row],[Conversion]]=SelectedConversion)</f>
        <v>0</v>
      </c>
      <c r="I1591" s="14" t="b">
        <f>OR(LCI_Table[[#This Row],[Data Set]]="all",LCI_Table[[#This Row],[Data Set]]=SelectedDataSet)</f>
        <v>0</v>
      </c>
      <c r="J1591" s="14" t="b">
        <f>OR(LCI_Table[[#This Row],[Technology]]="All",LCI_Table[[#This Row],[Technology]]=SelectedTechnology)</f>
        <v>0</v>
      </c>
      <c r="K1591" s="14" t="b">
        <f>OR(LCI_Table[[#This Row],[Data Source]]="All",LCI_Table[[#This Row],[Data Source]]=SelectedDataSource)</f>
        <v>0</v>
      </c>
      <c r="L1591" s="14" t="b">
        <f>TRUE</f>
        <v>1</v>
      </c>
      <c r="M1591" s="14" t="b">
        <f>(LCI_Table[[#This Row],[Dev Notes]]="Do not display")</f>
        <v>0</v>
      </c>
      <c r="N1591" s="14" t="b">
        <f>AND(LCI_Table[[#This Row],[Show Feedstock]:[Conditional]],NOT(LCI_Table[[#This Row],[Hide Row]]))</f>
        <v>0</v>
      </c>
      <c r="O1591" s="14" t="b">
        <f>LCI_Table[[#This Row],[GREET1 Name Range]]=""</f>
        <v>0</v>
      </c>
      <c r="P1591" s="14" t="s">
        <v>147</v>
      </c>
      <c r="Q1591" s="14" t="s">
        <v>609</v>
      </c>
      <c r="R1591" s="14" t="s">
        <v>141</v>
      </c>
      <c r="S1591" s="37" cm="1">
        <f t="array" aca="1" ref="S15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91" s="346" t="s">
        <v>1485</v>
      </c>
      <c r="U1591" s="347">
        <f ca="1">S1591/S1587*lb2g</f>
        <v>0</v>
      </c>
      <c r="V1591" s="347">
        <v>0</v>
      </c>
      <c r="W1591" s="347">
        <v>0</v>
      </c>
      <c r="X1591" s="14" t="s">
        <v>12</v>
      </c>
      <c r="Y1591" s="346" t="s">
        <v>413</v>
      </c>
      <c r="Z1591" s="14" t="str">
        <f>IF(ISBLANK(LCI_Table[[#This Row],[Notes for user]])," ",LCI_Table[[#This Row],[Notes for user]])</f>
        <v xml:space="preserve"> </v>
      </c>
      <c r="AA1591" s="14"/>
      <c r="AB1591" s="14"/>
      <c r="AC1591" s="346">
        <f ca="1">LCI_Table[[#This Row],[Default Calculated Value]]-LCI_Table[[#This Row],[Calculated Value]]</f>
        <v>0</v>
      </c>
    </row>
    <row r="1592" spans="1:29" x14ac:dyDescent="0.3">
      <c r="A15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stoverATJ-ethanolICAOConsensusIntegrated_CornStover_Farming_InsecticideHerbicides</v>
      </c>
      <c r="B1592" s="14" t="s">
        <v>135</v>
      </c>
      <c r="C1592" s="14" t="s">
        <v>1964</v>
      </c>
      <c r="D1592" s="14" t="s">
        <v>194</v>
      </c>
      <c r="E1592" s="48" t="s">
        <v>1399</v>
      </c>
      <c r="F1592" s="48" t="s">
        <v>1398</v>
      </c>
      <c r="G1592" s="14" t="b">
        <f>OR(LCI_Table[[#This Row],[Feedstock]]="All",LCI_Table[[#This Row],[Feedstock]]=SelectedFeedstock)</f>
        <v>0</v>
      </c>
      <c r="H1592" s="14" t="b">
        <f>OR(LCI_Table[[#This Row],[Conversion]]="All",LCI_Table[[#This Row],[Conversion]]=SelectedConversion)</f>
        <v>0</v>
      </c>
      <c r="I1592" s="14" t="b">
        <f>OR(LCI_Table[[#This Row],[Data Set]]="all",LCI_Table[[#This Row],[Data Set]]=SelectedDataSet)</f>
        <v>0</v>
      </c>
      <c r="J1592" s="14" t="b">
        <f>OR(LCI_Table[[#This Row],[Technology]]="All",LCI_Table[[#This Row],[Technology]]=SelectedTechnology)</f>
        <v>0</v>
      </c>
      <c r="K1592" s="14" t="b">
        <f>OR(LCI_Table[[#This Row],[Data Source]]="All",LCI_Table[[#This Row],[Data Source]]=SelectedDataSource)</f>
        <v>0</v>
      </c>
      <c r="L1592" s="14" t="b">
        <f>TRUE</f>
        <v>1</v>
      </c>
      <c r="M1592" s="14" t="b">
        <f>(LCI_Table[[#This Row],[Dev Notes]]="Do not display")</f>
        <v>0</v>
      </c>
      <c r="N1592" s="14" t="b">
        <f>AND(LCI_Table[[#This Row],[Show Feedstock]:[Conditional]],NOT(LCI_Table[[#This Row],[Hide Row]]))</f>
        <v>0</v>
      </c>
      <c r="O1592" s="14" t="b">
        <f>LCI_Table[[#This Row],[GREET1 Name Range]]=""</f>
        <v>0</v>
      </c>
      <c r="P1592" s="14" t="s">
        <v>147</v>
      </c>
      <c r="Q1592" s="14" t="s">
        <v>610</v>
      </c>
      <c r="R1592" s="14" t="s">
        <v>356</v>
      </c>
      <c r="S1592" s="37" cm="1">
        <f t="array" aca="1" ref="S15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92" s="346" t="s">
        <v>1485</v>
      </c>
      <c r="U1592" s="347">
        <f ca="1">S1592/S1587*lb2g</f>
        <v>0</v>
      </c>
      <c r="V1592" s="347">
        <v>0</v>
      </c>
      <c r="W1592" s="347">
        <v>0</v>
      </c>
      <c r="X1592" s="14" t="s">
        <v>12</v>
      </c>
      <c r="Y1592" s="346" t="s">
        <v>413</v>
      </c>
      <c r="Z1592" s="14" t="str">
        <f>IF(ISBLANK(LCI_Table[[#This Row],[Notes for user]])," ",LCI_Table[[#This Row],[Notes for user]])</f>
        <v xml:space="preserve"> </v>
      </c>
      <c r="AA1592" s="14"/>
      <c r="AB1592" s="14"/>
      <c r="AC1592" s="346">
        <f ca="1">LCI_Table[[#This Row],[Default Calculated Value]]-LCI_Table[[#This Row],[Calculated Value]]</f>
        <v>0</v>
      </c>
    </row>
    <row r="1593" spans="1:29" x14ac:dyDescent="0.3">
      <c r="A15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stoverATJ-ethanolICAOConsensusIntegrated_CornStover_Farming_HDPEInsecticide</v>
      </c>
      <c r="B1593" s="14" t="s">
        <v>135</v>
      </c>
      <c r="C1593" s="14" t="s">
        <v>1964</v>
      </c>
      <c r="D1593" s="14" t="s">
        <v>194</v>
      </c>
      <c r="E1593" s="48" t="s">
        <v>1399</v>
      </c>
      <c r="F1593" s="48" t="s">
        <v>1398</v>
      </c>
      <c r="G1593" s="14" t="b">
        <f>OR(LCI_Table[[#This Row],[Feedstock]]="All",LCI_Table[[#This Row],[Feedstock]]=SelectedFeedstock)</f>
        <v>0</v>
      </c>
      <c r="H1593" s="14" t="b">
        <f>OR(LCI_Table[[#This Row],[Conversion]]="All",LCI_Table[[#This Row],[Conversion]]=SelectedConversion)</f>
        <v>0</v>
      </c>
      <c r="I1593" s="14" t="b">
        <f>OR(LCI_Table[[#This Row],[Data Set]]="all",LCI_Table[[#This Row],[Data Set]]=SelectedDataSet)</f>
        <v>0</v>
      </c>
      <c r="J1593" s="14" t="b">
        <f>OR(LCI_Table[[#This Row],[Technology]]="All",LCI_Table[[#This Row],[Technology]]=SelectedTechnology)</f>
        <v>0</v>
      </c>
      <c r="K1593" s="14" t="b">
        <f>OR(LCI_Table[[#This Row],[Data Source]]="All",LCI_Table[[#This Row],[Data Source]]=SelectedDataSource)</f>
        <v>0</v>
      </c>
      <c r="L1593" s="14" t="b">
        <f>TRUE</f>
        <v>1</v>
      </c>
      <c r="M1593" s="14" t="b">
        <f>(LCI_Table[[#This Row],[Dev Notes]]="Do not display")</f>
        <v>0</v>
      </c>
      <c r="N1593" s="14" t="b">
        <f>AND(LCI_Table[[#This Row],[Show Feedstock]:[Conditional]],NOT(LCI_Table[[#This Row],[Hide Row]]))</f>
        <v>0</v>
      </c>
      <c r="O1593" s="14" t="b">
        <f>LCI_Table[[#This Row],[GREET1 Name Range]]=""</f>
        <v>0</v>
      </c>
      <c r="P1593" s="14" t="s">
        <v>147</v>
      </c>
      <c r="Q1593" s="14" t="s">
        <v>608</v>
      </c>
      <c r="R1593" s="14" t="s">
        <v>114</v>
      </c>
      <c r="S1593" s="37" cm="1">
        <f t="array" aca="1" ref="S15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93" s="346" t="s">
        <v>1485</v>
      </c>
      <c r="U1593" s="347">
        <f ca="1">S1593/S1587*lb2g</f>
        <v>0</v>
      </c>
      <c r="V1593" s="347">
        <v>0</v>
      </c>
      <c r="W1593" s="347">
        <v>0</v>
      </c>
      <c r="X1593" s="14" t="s">
        <v>12</v>
      </c>
      <c r="Y1593" s="346" t="s">
        <v>413</v>
      </c>
      <c r="Z1593" s="14" t="str">
        <f>IF(ISBLANK(LCI_Table[[#This Row],[Notes for user]])," ",LCI_Table[[#This Row],[Notes for user]])</f>
        <v xml:space="preserve"> </v>
      </c>
      <c r="AA1593" s="14"/>
      <c r="AB1593" s="14"/>
      <c r="AC1593" s="346">
        <f ca="1">LCI_Table[[#This Row],[Default Calculated Value]]-LCI_Table[[#This Row],[Calculated Value]]</f>
        <v>0</v>
      </c>
    </row>
    <row r="1594" spans="1:29" x14ac:dyDescent="0.3">
      <c r="A15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stoverATJ-ethanolICAOConsensusIntegrated_CornStover_Farming_Residual_oilResidual oil</v>
      </c>
      <c r="B1594" s="14" t="s">
        <v>135</v>
      </c>
      <c r="C1594" s="14" t="s">
        <v>1964</v>
      </c>
      <c r="D1594" s="14" t="s">
        <v>194</v>
      </c>
      <c r="E1594" s="48" t="s">
        <v>1399</v>
      </c>
      <c r="F1594" s="48" t="s">
        <v>1398</v>
      </c>
      <c r="G1594" s="14" t="b">
        <f>OR(LCI_Table[[#This Row],[Feedstock]]="All",LCI_Table[[#This Row],[Feedstock]]=SelectedFeedstock)</f>
        <v>0</v>
      </c>
      <c r="H1594" s="14" t="b">
        <f>OR(LCI_Table[[#This Row],[Conversion]]="All",LCI_Table[[#This Row],[Conversion]]=SelectedConversion)</f>
        <v>0</v>
      </c>
      <c r="I1594" s="14" t="b">
        <f>OR(LCI_Table[[#This Row],[Data Set]]="all",LCI_Table[[#This Row],[Data Set]]=SelectedDataSet)</f>
        <v>0</v>
      </c>
      <c r="J1594" s="14" t="b">
        <f>OR(LCI_Table[[#This Row],[Technology]]="All",LCI_Table[[#This Row],[Technology]]=SelectedTechnology)</f>
        <v>0</v>
      </c>
      <c r="K1594" s="14" t="b">
        <f>OR(LCI_Table[[#This Row],[Data Source]]="All",LCI_Table[[#This Row],[Data Source]]=SelectedDataSource)</f>
        <v>0</v>
      </c>
      <c r="L1594" s="14" t="b">
        <f>TRUE</f>
        <v>1</v>
      </c>
      <c r="M1594" s="14" t="b">
        <f>(LCI_Table[[#This Row],[Dev Notes]]="Do not display")</f>
        <v>0</v>
      </c>
      <c r="N1594" s="14" t="b">
        <f>AND(LCI_Table[[#This Row],[Show Feedstock]:[Conditional]],NOT(LCI_Table[[#This Row],[Hide Row]]))</f>
        <v>0</v>
      </c>
      <c r="O1594" s="14" t="b">
        <f>LCI_Table[[#This Row],[GREET1 Name Range]]=""</f>
        <v>0</v>
      </c>
      <c r="P1594" s="14" t="s">
        <v>147</v>
      </c>
      <c r="Q1594" s="14" t="s">
        <v>616</v>
      </c>
      <c r="R1594" s="14" t="s">
        <v>115</v>
      </c>
      <c r="S1594" s="37" cm="1">
        <f t="array" aca="1" ref="S15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94" s="346" t="s">
        <v>1484</v>
      </c>
      <c r="U1594" s="347">
        <f ca="1">S1594*Fuel_Specs!$B$28/S1587</f>
        <v>0</v>
      </c>
      <c r="V1594" s="347">
        <v>0</v>
      </c>
      <c r="W1594" s="347">
        <v>0</v>
      </c>
      <c r="X1594" s="14" t="s">
        <v>5</v>
      </c>
      <c r="Y1594" s="346" t="s">
        <v>413</v>
      </c>
      <c r="Z1594" s="14" t="str">
        <f>IF(ISBLANK(LCI_Table[[#This Row],[Notes for user]])," ",LCI_Table[[#This Row],[Notes for user]])</f>
        <v xml:space="preserve"> </v>
      </c>
      <c r="AA1594" s="14"/>
      <c r="AB1594" s="14"/>
      <c r="AC1594" s="346">
        <f ca="1">LCI_Table[[#This Row],[Default Calculated Value]]-LCI_Table[[#This Row],[Calculated Value]]</f>
        <v>0</v>
      </c>
    </row>
    <row r="1595" spans="1:29" x14ac:dyDescent="0.3">
      <c r="A15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stoverATJ-ethanolICAOConsensusIntegrated_CornStover_Farming_DieselDiesel</v>
      </c>
      <c r="B1595" s="14" t="s">
        <v>135</v>
      </c>
      <c r="C1595" s="14" t="s">
        <v>1964</v>
      </c>
      <c r="D1595" s="14" t="s">
        <v>194</v>
      </c>
      <c r="E1595" s="48" t="s">
        <v>1399</v>
      </c>
      <c r="F1595" s="48" t="s">
        <v>1398</v>
      </c>
      <c r="G1595" s="14" t="b">
        <f>OR(LCI_Table[[#This Row],[Feedstock]]="All",LCI_Table[[#This Row],[Feedstock]]=SelectedFeedstock)</f>
        <v>0</v>
      </c>
      <c r="H1595" s="14" t="b">
        <f>OR(LCI_Table[[#This Row],[Conversion]]="All",LCI_Table[[#This Row],[Conversion]]=SelectedConversion)</f>
        <v>0</v>
      </c>
      <c r="I1595" s="14" t="b">
        <f>OR(LCI_Table[[#This Row],[Data Set]]="all",LCI_Table[[#This Row],[Data Set]]=SelectedDataSet)</f>
        <v>0</v>
      </c>
      <c r="J1595" s="14" t="b">
        <f>OR(LCI_Table[[#This Row],[Technology]]="All",LCI_Table[[#This Row],[Technology]]=SelectedTechnology)</f>
        <v>0</v>
      </c>
      <c r="K1595" s="14" t="b">
        <f>OR(LCI_Table[[#This Row],[Data Source]]="All",LCI_Table[[#This Row],[Data Source]]=SelectedDataSource)</f>
        <v>0</v>
      </c>
      <c r="L1595" s="14" t="b">
        <f>TRUE</f>
        <v>1</v>
      </c>
      <c r="M1595" s="14" t="b">
        <f>(LCI_Table[[#This Row],[Dev Notes]]="Do not display")</f>
        <v>0</v>
      </c>
      <c r="N1595" s="14" t="b">
        <f>AND(LCI_Table[[#This Row],[Show Feedstock]:[Conditional]],NOT(LCI_Table[[#This Row],[Hide Row]]))</f>
        <v>0</v>
      </c>
      <c r="O1595" s="14" t="b">
        <f>LCI_Table[[#This Row],[GREET1 Name Range]]=""</f>
        <v>0</v>
      </c>
      <c r="P1595" s="14" t="s">
        <v>147</v>
      </c>
      <c r="Q1595" s="14" t="s">
        <v>605</v>
      </c>
      <c r="R1595" s="14" t="s">
        <v>106</v>
      </c>
      <c r="S1595" s="37" cm="1">
        <f t="array" aca="1" ref="S15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2.2358876274453054</v>
      </c>
      <c r="T1595" s="346" t="s">
        <v>1484</v>
      </c>
      <c r="U1595" s="347">
        <f ca="1">S1595*Fuel_Specs!$B$19/S1587</f>
        <v>223592.24413408496</v>
      </c>
      <c r="V1595" s="347">
        <v>2.2358876274453054</v>
      </c>
      <c r="W1595" s="347">
        <v>223592.24413408496</v>
      </c>
      <c r="X1595" s="14" t="s">
        <v>5</v>
      </c>
      <c r="Y1595" s="346" t="s">
        <v>413</v>
      </c>
      <c r="Z1595" s="14" t="str">
        <f>IF(ISBLANK(LCI_Table[[#This Row],[Notes for user]])," ",LCI_Table[[#This Row],[Notes for user]])</f>
        <v>Corn stover collection</v>
      </c>
      <c r="AA1595" s="14" t="s">
        <v>1400</v>
      </c>
      <c r="AB1595" s="14"/>
      <c r="AC1595" s="346">
        <f ca="1">LCI_Table[[#This Row],[Default Calculated Value]]-LCI_Table[[#This Row],[Calculated Value]]</f>
        <v>0</v>
      </c>
    </row>
    <row r="1596" spans="1:29" x14ac:dyDescent="0.3">
      <c r="A15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stoverATJ-ethanolICAOConsensusIntegrated_CornStover_Farming_GasolineGasoline</v>
      </c>
      <c r="B1596" s="14" t="s">
        <v>135</v>
      </c>
      <c r="C1596" s="14" t="s">
        <v>1964</v>
      </c>
      <c r="D1596" s="14" t="s">
        <v>194</v>
      </c>
      <c r="E1596" s="48" t="s">
        <v>1399</v>
      </c>
      <c r="F1596" s="48" t="s">
        <v>1398</v>
      </c>
      <c r="G1596" s="14" t="b">
        <f>OR(LCI_Table[[#This Row],[Feedstock]]="All",LCI_Table[[#This Row],[Feedstock]]=SelectedFeedstock)</f>
        <v>0</v>
      </c>
      <c r="H1596" s="14" t="b">
        <f>OR(LCI_Table[[#This Row],[Conversion]]="All",LCI_Table[[#This Row],[Conversion]]=SelectedConversion)</f>
        <v>0</v>
      </c>
      <c r="I1596" s="14" t="b">
        <f>OR(LCI_Table[[#This Row],[Data Set]]="all",LCI_Table[[#This Row],[Data Set]]=SelectedDataSet)</f>
        <v>0</v>
      </c>
      <c r="J1596" s="14" t="b">
        <f>OR(LCI_Table[[#This Row],[Technology]]="All",LCI_Table[[#This Row],[Technology]]=SelectedTechnology)</f>
        <v>0</v>
      </c>
      <c r="K1596" s="14" t="b">
        <f>OR(LCI_Table[[#This Row],[Data Source]]="All",LCI_Table[[#This Row],[Data Source]]=SelectedDataSource)</f>
        <v>0</v>
      </c>
      <c r="L1596" s="14" t="b">
        <f>TRUE</f>
        <v>1</v>
      </c>
      <c r="M1596" s="14" t="b">
        <f>(LCI_Table[[#This Row],[Dev Notes]]="Do not display")</f>
        <v>0</v>
      </c>
      <c r="N1596" s="14" t="b">
        <f>AND(LCI_Table[[#This Row],[Show Feedstock]:[Conditional]],NOT(LCI_Table[[#This Row],[Hide Row]]))</f>
        <v>0</v>
      </c>
      <c r="O1596" s="14" t="b">
        <f>LCI_Table[[#This Row],[GREET1 Name Range]]=""</f>
        <v>0</v>
      </c>
      <c r="P1596" s="14" t="s">
        <v>147</v>
      </c>
      <c r="Q1596" s="14" t="s">
        <v>607</v>
      </c>
      <c r="R1596" s="14" t="s">
        <v>107</v>
      </c>
      <c r="S1596" s="37" cm="1">
        <f t="array" aca="1" ref="S15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96" s="346" t="s">
        <v>1484</v>
      </c>
      <c r="U1596" s="347">
        <f ca="1">S1596*Fuel_Specs!$B$15/S1587</f>
        <v>0</v>
      </c>
      <c r="V1596" s="347">
        <v>0</v>
      </c>
      <c r="W1596" s="347">
        <v>0</v>
      </c>
      <c r="X1596" s="14" t="s">
        <v>5</v>
      </c>
      <c r="Y1596" s="346" t="s">
        <v>413</v>
      </c>
      <c r="Z1596" s="14" t="str">
        <f>IF(ISBLANK(LCI_Table[[#This Row],[Notes for user]])," ",LCI_Table[[#This Row],[Notes for user]])</f>
        <v xml:space="preserve"> </v>
      </c>
      <c r="AA1596" s="14"/>
      <c r="AB1596" s="14"/>
      <c r="AC1596" s="346">
        <f ca="1">LCI_Table[[#This Row],[Default Calculated Value]]-LCI_Table[[#This Row],[Calculated Value]]</f>
        <v>0</v>
      </c>
    </row>
    <row r="1597" spans="1:29" x14ac:dyDescent="0.3">
      <c r="A15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stoverATJ-ethanolICAOConsensusIntegrated_CornStover_Farming_Natural_gasNatural gas</v>
      </c>
      <c r="B1597" s="14" t="s">
        <v>135</v>
      </c>
      <c r="C1597" s="14" t="s">
        <v>1964</v>
      </c>
      <c r="D1597" s="14" t="s">
        <v>194</v>
      </c>
      <c r="E1597" s="48" t="s">
        <v>1399</v>
      </c>
      <c r="F1597" s="48" t="s">
        <v>1398</v>
      </c>
      <c r="G1597" s="14" t="b">
        <f>OR(LCI_Table[[#This Row],[Feedstock]]="All",LCI_Table[[#This Row],[Feedstock]]=SelectedFeedstock)</f>
        <v>0</v>
      </c>
      <c r="H1597" s="14" t="b">
        <f>OR(LCI_Table[[#This Row],[Conversion]]="All",LCI_Table[[#This Row],[Conversion]]=SelectedConversion)</f>
        <v>0</v>
      </c>
      <c r="I1597" s="14" t="b">
        <f>OR(LCI_Table[[#This Row],[Data Set]]="all",LCI_Table[[#This Row],[Data Set]]=SelectedDataSet)</f>
        <v>0</v>
      </c>
      <c r="J1597" s="14" t="b">
        <f>OR(LCI_Table[[#This Row],[Technology]]="All",LCI_Table[[#This Row],[Technology]]=SelectedTechnology)</f>
        <v>0</v>
      </c>
      <c r="K1597" s="14" t="b">
        <f>OR(LCI_Table[[#This Row],[Data Source]]="All",LCI_Table[[#This Row],[Data Source]]=SelectedDataSource)</f>
        <v>0</v>
      </c>
      <c r="L1597" s="14" t="b">
        <f>TRUE</f>
        <v>1</v>
      </c>
      <c r="M1597" s="14" t="b">
        <f>(LCI_Table[[#This Row],[Dev Notes]]="Do not display")</f>
        <v>0</v>
      </c>
      <c r="N1597" s="14" t="b">
        <f>AND(LCI_Table[[#This Row],[Show Feedstock]:[Conditional]],NOT(LCI_Table[[#This Row],[Hide Row]]))</f>
        <v>0</v>
      </c>
      <c r="O1597" s="14" t="b">
        <f>LCI_Table[[#This Row],[GREET1 Name Range]]=""</f>
        <v>0</v>
      </c>
      <c r="P1597" s="14" t="s">
        <v>147</v>
      </c>
      <c r="Q1597" s="14" t="s">
        <v>613</v>
      </c>
      <c r="R1597" s="14" t="s">
        <v>108</v>
      </c>
      <c r="S1597" s="37" cm="1">
        <f t="array" aca="1" ref="S15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97" s="346" t="s">
        <v>2109</v>
      </c>
      <c r="U1597" s="347">
        <f ca="1">S1597*Fuel_Specs!$B$79/S1587</f>
        <v>0</v>
      </c>
      <c r="V1597" s="347">
        <v>0</v>
      </c>
      <c r="W1597" s="347">
        <v>0</v>
      </c>
      <c r="X1597" s="14" t="s">
        <v>351</v>
      </c>
      <c r="Y1597" s="346" t="s">
        <v>413</v>
      </c>
      <c r="Z1597" s="14" t="str">
        <f>IF(ISBLANK(LCI_Table[[#This Row],[Notes for user]])," ",LCI_Table[[#This Row],[Notes for user]])</f>
        <v xml:space="preserve"> </v>
      </c>
      <c r="AA1597" s="14"/>
      <c r="AB1597" s="14"/>
      <c r="AC1597" s="346">
        <f ca="1">LCI_Table[[#This Row],[Default Calculated Value]]-LCI_Table[[#This Row],[Calculated Value]]</f>
        <v>0</v>
      </c>
    </row>
    <row r="1598" spans="1:29" x14ac:dyDescent="0.3">
      <c r="A15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stoverATJ-ethanolICAOConsensusIntegrated_CornStover_Farming_CoalCoal</v>
      </c>
      <c r="B1598" s="14" t="s">
        <v>135</v>
      </c>
      <c r="C1598" s="14" t="s">
        <v>1964</v>
      </c>
      <c r="D1598" s="14" t="s">
        <v>194</v>
      </c>
      <c r="E1598" s="48" t="s">
        <v>1399</v>
      </c>
      <c r="F1598" s="48" t="s">
        <v>1398</v>
      </c>
      <c r="G1598" s="14" t="b">
        <f>OR(LCI_Table[[#This Row],[Feedstock]]="All",LCI_Table[[#This Row],[Feedstock]]=SelectedFeedstock)</f>
        <v>0</v>
      </c>
      <c r="H1598" s="14" t="b">
        <f>OR(LCI_Table[[#This Row],[Conversion]]="All",LCI_Table[[#This Row],[Conversion]]=SelectedConversion)</f>
        <v>0</v>
      </c>
      <c r="I1598" s="14" t="b">
        <f>OR(LCI_Table[[#This Row],[Data Set]]="all",LCI_Table[[#This Row],[Data Set]]=SelectedDataSet)</f>
        <v>0</v>
      </c>
      <c r="J1598" s="14" t="b">
        <f>OR(LCI_Table[[#This Row],[Technology]]="All",LCI_Table[[#This Row],[Technology]]=SelectedTechnology)</f>
        <v>0</v>
      </c>
      <c r="K1598" s="14" t="b">
        <f>OR(LCI_Table[[#This Row],[Data Source]]="All",LCI_Table[[#This Row],[Data Source]]=SelectedDataSource)</f>
        <v>0</v>
      </c>
      <c r="L1598" s="14" t="b">
        <f>TRUE</f>
        <v>1</v>
      </c>
      <c r="M1598" s="14" t="b">
        <f>(LCI_Table[[#This Row],[Dev Notes]]="Do not display")</f>
        <v>0</v>
      </c>
      <c r="N1598" s="14" t="b">
        <f>AND(LCI_Table[[#This Row],[Show Feedstock]:[Conditional]],NOT(LCI_Table[[#This Row],[Hide Row]]))</f>
        <v>0</v>
      </c>
      <c r="O1598" s="14" t="b">
        <f>LCI_Table[[#This Row],[GREET1 Name Range]]=""</f>
        <v>0</v>
      </c>
      <c r="P1598" s="14" t="s">
        <v>147</v>
      </c>
      <c r="Q1598" s="14" t="s">
        <v>604</v>
      </c>
      <c r="R1598" s="14" t="s">
        <v>9</v>
      </c>
      <c r="S1598" s="37" cm="1">
        <f t="array" aca="1" ref="S15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98" s="346" t="s">
        <v>2110</v>
      </c>
      <c r="U1598" s="347">
        <f ca="1">S1598/S1587</f>
        <v>0</v>
      </c>
      <c r="V1598" s="347">
        <v>0</v>
      </c>
      <c r="W1598" s="347">
        <v>0</v>
      </c>
      <c r="X1598" s="14" t="s">
        <v>117</v>
      </c>
      <c r="Y1598" s="346" t="s">
        <v>413</v>
      </c>
      <c r="Z1598" s="14" t="str">
        <f>IF(ISBLANK(LCI_Table[[#This Row],[Notes for user]])," ",LCI_Table[[#This Row],[Notes for user]])</f>
        <v xml:space="preserve"> </v>
      </c>
      <c r="AA1598" s="14"/>
      <c r="AB1598" s="14"/>
      <c r="AC1598" s="346">
        <f ca="1">LCI_Table[[#This Row],[Default Calculated Value]]-LCI_Table[[#This Row],[Calculated Value]]</f>
        <v>0</v>
      </c>
    </row>
    <row r="1599" spans="1:29" x14ac:dyDescent="0.3">
      <c r="A15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stoverATJ-ethanolICAOConsensusIntegrated_CornStover_Farming_LPGLPG</v>
      </c>
      <c r="B1599" s="14" t="s">
        <v>135</v>
      </c>
      <c r="C1599" s="14" t="s">
        <v>1964</v>
      </c>
      <c r="D1599" s="14" t="s">
        <v>194</v>
      </c>
      <c r="E1599" s="48" t="s">
        <v>1399</v>
      </c>
      <c r="F1599" s="48" t="s">
        <v>1398</v>
      </c>
      <c r="G1599" s="14" t="b">
        <f>OR(LCI_Table[[#This Row],[Feedstock]]="All",LCI_Table[[#This Row],[Feedstock]]=SelectedFeedstock)</f>
        <v>0</v>
      </c>
      <c r="H1599" s="14" t="b">
        <f>OR(LCI_Table[[#This Row],[Conversion]]="All",LCI_Table[[#This Row],[Conversion]]=SelectedConversion)</f>
        <v>0</v>
      </c>
      <c r="I1599" s="14" t="b">
        <f>OR(LCI_Table[[#This Row],[Data Set]]="all",LCI_Table[[#This Row],[Data Set]]=SelectedDataSet)</f>
        <v>0</v>
      </c>
      <c r="J1599" s="14" t="b">
        <f>OR(LCI_Table[[#This Row],[Technology]]="All",LCI_Table[[#This Row],[Technology]]=SelectedTechnology)</f>
        <v>0</v>
      </c>
      <c r="K1599" s="14" t="b">
        <f>OR(LCI_Table[[#This Row],[Data Source]]="All",LCI_Table[[#This Row],[Data Source]]=SelectedDataSource)</f>
        <v>0</v>
      </c>
      <c r="L1599" s="14" t="b">
        <f>TRUE</f>
        <v>1</v>
      </c>
      <c r="M1599" s="14" t="b">
        <f>(LCI_Table[[#This Row],[Dev Notes]]="Do not display")</f>
        <v>0</v>
      </c>
      <c r="N1599" s="14" t="b">
        <f>AND(LCI_Table[[#This Row],[Show Feedstock]:[Conditional]],NOT(LCI_Table[[#This Row],[Hide Row]]))</f>
        <v>0</v>
      </c>
      <c r="O1599" s="14" t="b">
        <f>LCI_Table[[#This Row],[GREET1 Name Range]]=""</f>
        <v>0</v>
      </c>
      <c r="P1599" s="14" t="s">
        <v>147</v>
      </c>
      <c r="Q1599" s="14" t="s">
        <v>612</v>
      </c>
      <c r="R1599" s="14" t="s">
        <v>109</v>
      </c>
      <c r="S1599" s="37" cm="1">
        <f t="array" aca="1" ref="S15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599" s="346" t="s">
        <v>1484</v>
      </c>
      <c r="U1599" s="347">
        <f ca="1">S1599*Fuel_Specs!$B$35/S1587</f>
        <v>0</v>
      </c>
      <c r="V1599" s="347">
        <v>0</v>
      </c>
      <c r="W1599" s="347">
        <v>0</v>
      </c>
      <c r="X1599" s="14" t="s">
        <v>5</v>
      </c>
      <c r="Y1599" s="346" t="s">
        <v>413</v>
      </c>
      <c r="Z1599" s="14" t="str">
        <f>IF(ISBLANK(LCI_Table[[#This Row],[Notes for user]])," ",LCI_Table[[#This Row],[Notes for user]])</f>
        <v xml:space="preserve"> </v>
      </c>
      <c r="AA1599" s="14"/>
      <c r="AB1599" s="14"/>
      <c r="AC1599" s="346">
        <f ca="1">LCI_Table[[#This Row],[Default Calculated Value]]-LCI_Table[[#This Row],[Calculated Value]]</f>
        <v>0</v>
      </c>
    </row>
    <row r="1600" spans="1:29" x14ac:dyDescent="0.3">
      <c r="A16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stoverATJ-ethanolICAOConsensusIntegrated_CornStover_Farming_ElectricityElectricity</v>
      </c>
      <c r="B1600" s="14" t="s">
        <v>135</v>
      </c>
      <c r="C1600" s="14" t="s">
        <v>1964</v>
      </c>
      <c r="D1600" s="14" t="s">
        <v>194</v>
      </c>
      <c r="E1600" s="48" t="s">
        <v>1399</v>
      </c>
      <c r="F1600" s="48" t="s">
        <v>1398</v>
      </c>
      <c r="G1600" s="14" t="b">
        <f>OR(LCI_Table[[#This Row],[Feedstock]]="All",LCI_Table[[#This Row],[Feedstock]]=SelectedFeedstock)</f>
        <v>0</v>
      </c>
      <c r="H1600" s="14" t="b">
        <f>OR(LCI_Table[[#This Row],[Conversion]]="All",LCI_Table[[#This Row],[Conversion]]=SelectedConversion)</f>
        <v>0</v>
      </c>
      <c r="I1600" s="14" t="b">
        <f>OR(LCI_Table[[#This Row],[Data Set]]="all",LCI_Table[[#This Row],[Data Set]]=SelectedDataSet)</f>
        <v>0</v>
      </c>
      <c r="J1600" s="14" t="b">
        <f>OR(LCI_Table[[#This Row],[Technology]]="All",LCI_Table[[#This Row],[Technology]]=SelectedTechnology)</f>
        <v>0</v>
      </c>
      <c r="K1600" s="14" t="b">
        <f>OR(LCI_Table[[#This Row],[Data Source]]="All",LCI_Table[[#This Row],[Data Source]]=SelectedDataSource)</f>
        <v>0</v>
      </c>
      <c r="L1600" s="14" t="b">
        <f>TRUE</f>
        <v>1</v>
      </c>
      <c r="M1600" s="14" t="b">
        <f>(LCI_Table[[#This Row],[Dev Notes]]="Do not display")</f>
        <v>0</v>
      </c>
      <c r="N1600" s="14" t="b">
        <f>AND(LCI_Table[[#This Row],[Show Feedstock]:[Conditional]],NOT(LCI_Table[[#This Row],[Hide Row]]))</f>
        <v>0</v>
      </c>
      <c r="O1600" s="14" t="b">
        <f>LCI_Table[[#This Row],[GREET1 Name Range]]=""</f>
        <v>0</v>
      </c>
      <c r="P1600" s="14" t="s">
        <v>147</v>
      </c>
      <c r="Q1600" s="14" t="s">
        <v>606</v>
      </c>
      <c r="R1600" s="348" t="s">
        <v>110</v>
      </c>
      <c r="S1600" s="37" cm="1">
        <f t="array" aca="1" ref="S16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00" s="346" t="s">
        <v>1561</v>
      </c>
      <c r="U1600" s="347">
        <f ca="1">S1600/BTU2kWh/S1586</f>
        <v>0</v>
      </c>
      <c r="V1600" s="347">
        <v>0</v>
      </c>
      <c r="W1600" s="347">
        <v>0</v>
      </c>
      <c r="X1600" s="14" t="s">
        <v>51</v>
      </c>
      <c r="Y1600" s="346" t="s">
        <v>413</v>
      </c>
      <c r="Z1600" s="14" t="str">
        <f>IF(ISBLANK(LCI_Table[[#This Row],[Notes for user]])," ",LCI_Table[[#This Row],[Notes for user]])</f>
        <v xml:space="preserve"> </v>
      </c>
      <c r="AA1600" s="14"/>
      <c r="AB1600" s="14"/>
      <c r="AC1600" s="346">
        <f ca="1">LCI_Table[[#This Row],[Default Calculated Value]]-LCI_Table[[#This Row],[Calculated Value]]</f>
        <v>0</v>
      </c>
    </row>
    <row r="1601" spans="1:29" x14ac:dyDescent="0.3">
      <c r="A16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stoverATJ-ethanolICAOConsensusIntegrated_JetFuel_ETJet_BiomassFeedstockSelector</v>
      </c>
      <c r="B1601" s="14" t="s">
        <v>135</v>
      </c>
      <c r="C1601" s="14" t="s">
        <v>1964</v>
      </c>
      <c r="D1601" s="14" t="s">
        <v>194</v>
      </c>
      <c r="E1601" s="48" t="s">
        <v>1399</v>
      </c>
      <c r="F1601" s="48" t="s">
        <v>1398</v>
      </c>
      <c r="G1601" s="14" t="b">
        <f>OR(LCI_Table[[#This Row],[Feedstock]]="All",LCI_Table[[#This Row],[Feedstock]]=SelectedFeedstock)</f>
        <v>0</v>
      </c>
      <c r="H1601" s="14" t="b">
        <f>OR(LCI_Table[[#This Row],[Conversion]]="All",LCI_Table[[#This Row],[Conversion]]=SelectedConversion)</f>
        <v>0</v>
      </c>
      <c r="I1601" s="14" t="b">
        <f>OR(LCI_Table[[#This Row],[Data Set]]="all",LCI_Table[[#This Row],[Data Set]]=SelectedDataSet)</f>
        <v>0</v>
      </c>
      <c r="J1601" s="14" t="b">
        <f>OR(LCI_Table[[#This Row],[Technology]]="All",LCI_Table[[#This Row],[Technology]]=SelectedTechnology)</f>
        <v>0</v>
      </c>
      <c r="K1601" s="14" t="b">
        <f>OR(LCI_Table[[#This Row],[Data Source]]="All",LCI_Table[[#This Row],[Data Source]]=SelectedDataSource)</f>
        <v>0</v>
      </c>
      <c r="L1601" s="14" t="b">
        <f>TRUE</f>
        <v>1</v>
      </c>
      <c r="M1601" s="14" t="b">
        <f>(LCI_Table[[#This Row],[Dev Notes]]="Do not display")</f>
        <v>1</v>
      </c>
      <c r="N1601" s="14" t="b">
        <f>AND(LCI_Table[[#This Row],[Show Feedstock]:[Conditional]],NOT(LCI_Table[[#This Row],[Hide Row]]))</f>
        <v>0</v>
      </c>
      <c r="O1601" s="14" t="b">
        <f>LCI_Table[[#This Row],[GREET1 Name Range]]=""</f>
        <v>0</v>
      </c>
      <c r="P1601" s="14" t="s">
        <v>1448</v>
      </c>
      <c r="Q1601" s="14" t="s">
        <v>86</v>
      </c>
      <c r="R1601" s="348" t="s">
        <v>902</v>
      </c>
      <c r="S1601" s="37" cm="1">
        <f t="array" aca="1" ref="S16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v>
      </c>
      <c r="T1601" s="346" t="s">
        <v>2132</v>
      </c>
      <c r="U1601" s="352">
        <v>5</v>
      </c>
      <c r="V1601" s="352">
        <v>5</v>
      </c>
      <c r="W1601" s="352">
        <v>5</v>
      </c>
      <c r="X1601" s="356"/>
      <c r="Y1601" s="346" t="s">
        <v>416</v>
      </c>
      <c r="Z1601" s="14" t="str">
        <f>IF(ISBLANK(LCI_Table[[#This Row],[Notes for user]])," ",LCI_Table[[#This Row],[Notes for user]])</f>
        <v xml:space="preserve"> </v>
      </c>
      <c r="AA1601" s="14"/>
      <c r="AB1601" s="348" t="s">
        <v>1138</v>
      </c>
      <c r="AC1601" s="346">
        <f>LCI_Table[[#This Row],[Default Calculated Value]]-LCI_Table[[#This Row],[Calculated Value]]</f>
        <v>0</v>
      </c>
    </row>
    <row r="1602" spans="1:29" x14ac:dyDescent="0.3">
      <c r="A16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stoverATJ-ethanolICAOConsensusIntegrated_Cellulosic_ETJ_FeedCorn stover</v>
      </c>
      <c r="B1602" s="14" t="s">
        <v>135</v>
      </c>
      <c r="C1602" s="14" t="s">
        <v>1964</v>
      </c>
      <c r="D1602" s="14" t="s">
        <v>194</v>
      </c>
      <c r="E1602" s="48" t="s">
        <v>1399</v>
      </c>
      <c r="F1602" s="48" t="s">
        <v>1398</v>
      </c>
      <c r="G1602" s="14" t="b">
        <f>OR(LCI_Table[[#This Row],[Feedstock]]="All",LCI_Table[[#This Row],[Feedstock]]=SelectedFeedstock)</f>
        <v>0</v>
      </c>
      <c r="H1602" s="14" t="b">
        <f>OR(LCI_Table[[#This Row],[Conversion]]="All",LCI_Table[[#This Row],[Conversion]]=SelectedConversion)</f>
        <v>0</v>
      </c>
      <c r="I1602" s="14" t="b">
        <f>OR(LCI_Table[[#This Row],[Data Set]]="all",LCI_Table[[#This Row],[Data Set]]=SelectedDataSet)</f>
        <v>0</v>
      </c>
      <c r="J1602" s="14" t="b">
        <f>OR(LCI_Table[[#This Row],[Technology]]="All",LCI_Table[[#This Row],[Technology]]=SelectedTechnology)</f>
        <v>0</v>
      </c>
      <c r="K1602" s="14" t="b">
        <f>OR(LCI_Table[[#This Row],[Data Source]]="All",LCI_Table[[#This Row],[Data Source]]=SelectedDataSource)</f>
        <v>0</v>
      </c>
      <c r="L1602" s="14" t="b">
        <f>TRUE</f>
        <v>1</v>
      </c>
      <c r="M1602" s="14" t="b">
        <f>(LCI_Table[[#This Row],[Dev Notes]]="Do not display")</f>
        <v>0</v>
      </c>
      <c r="N1602" s="14" t="b">
        <f>AND(LCI_Table[[#This Row],[Show Feedstock]:[Conditional]],NOT(LCI_Table[[#This Row],[Hide Row]]))</f>
        <v>0</v>
      </c>
      <c r="O1602" s="14" t="b">
        <f>LCI_Table[[#This Row],[GREET1 Name Range]]=""</f>
        <v>0</v>
      </c>
      <c r="P1602" s="14" t="s">
        <v>1448</v>
      </c>
      <c r="Q1602" s="14" t="s">
        <v>562</v>
      </c>
      <c r="R1602" s="14" t="s">
        <v>135</v>
      </c>
      <c r="S1602" s="37" cm="1">
        <f t="array" aca="1" ref="S16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325.13563661946142</v>
      </c>
      <c r="T1602" s="346" t="s">
        <v>2119</v>
      </c>
      <c r="U1602" s="363">
        <f t="shared" ref="U1602" ca="1" si="8">S1602*lb2kg/mmBTU2MJ</f>
        <v>0.1397831631241894</v>
      </c>
      <c r="V1602" s="347">
        <v>325.13563661946142</v>
      </c>
      <c r="W1602" s="362">
        <v>0.1397831631241894</v>
      </c>
      <c r="X1602" s="14" t="s">
        <v>12</v>
      </c>
      <c r="Y1602" s="346" t="s">
        <v>416</v>
      </c>
      <c r="Z1602" s="14" t="str">
        <f>IF(ISBLANK(LCI_Table[[#This Row],[Notes for user]])," ",LCI_Table[[#This Row],[Notes for user]])</f>
        <v xml:space="preserve"> </v>
      </c>
      <c r="AA1602" s="358"/>
      <c r="AB1602" s="358" t="s">
        <v>921</v>
      </c>
      <c r="AC1602" s="346">
        <f ca="1">LCI_Table[[#This Row],[Default Calculated Value]]-LCI_Table[[#This Row],[Calculated Value]]</f>
        <v>0</v>
      </c>
    </row>
    <row r="1603" spans="1:29" x14ac:dyDescent="0.3">
      <c r="A16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stoverATJ-ethanolICAOConsensusIntegrated_Cellulosic_ETJ_AlphaAmylaseAlpha-amylase</v>
      </c>
      <c r="B1603" s="14" t="s">
        <v>135</v>
      </c>
      <c r="C1603" s="14" t="s">
        <v>1964</v>
      </c>
      <c r="D1603" s="14" t="s">
        <v>194</v>
      </c>
      <c r="E1603" s="48" t="s">
        <v>1399</v>
      </c>
      <c r="F1603" s="48" t="s">
        <v>1398</v>
      </c>
      <c r="G1603" s="14" t="b">
        <f>OR(LCI_Table[[#This Row],[Feedstock]]="All",LCI_Table[[#This Row],[Feedstock]]=SelectedFeedstock)</f>
        <v>0</v>
      </c>
      <c r="H1603" s="14" t="b">
        <f>OR(LCI_Table[[#This Row],[Conversion]]="All",LCI_Table[[#This Row],[Conversion]]=SelectedConversion)</f>
        <v>0</v>
      </c>
      <c r="I1603" s="14" t="b">
        <f>OR(LCI_Table[[#This Row],[Data Set]]="all",LCI_Table[[#This Row],[Data Set]]=SelectedDataSet)</f>
        <v>0</v>
      </c>
      <c r="J1603" s="14" t="b">
        <f>OR(LCI_Table[[#This Row],[Technology]]="All",LCI_Table[[#This Row],[Technology]]=SelectedTechnology)</f>
        <v>0</v>
      </c>
      <c r="K1603" s="14" t="b">
        <f>OR(LCI_Table[[#This Row],[Data Source]]="All",LCI_Table[[#This Row],[Data Source]]=SelectedDataSource)</f>
        <v>0</v>
      </c>
      <c r="L1603" s="14" t="b">
        <f>TRUE</f>
        <v>1</v>
      </c>
      <c r="M1603" s="14" t="b">
        <f>(LCI_Table[[#This Row],[Dev Notes]]="Do not display")</f>
        <v>0</v>
      </c>
      <c r="N1603" s="14" t="b">
        <f>AND(LCI_Table[[#This Row],[Show Feedstock]:[Conditional]],NOT(LCI_Table[[#This Row],[Hide Row]]))</f>
        <v>0</v>
      </c>
      <c r="O1603" s="14" t="b">
        <f>LCI_Table[[#This Row],[GREET1 Name Range]]=""</f>
        <v>0</v>
      </c>
      <c r="P1603" s="14" t="s">
        <v>1448</v>
      </c>
      <c r="Q1603" s="14" t="s">
        <v>942</v>
      </c>
      <c r="R1603" s="14" t="s">
        <v>353</v>
      </c>
      <c r="S1603" s="37" cm="1">
        <f t="array" aca="1" ref="S16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03" s="346" t="s">
        <v>2119</v>
      </c>
      <c r="U1603" s="364">
        <f t="shared" ref="U1603" ca="1" si="9">S1603*lb2kg/mmBTU2MJ</f>
        <v>0</v>
      </c>
      <c r="V1603" s="347">
        <v>0</v>
      </c>
      <c r="W1603" s="357">
        <v>0</v>
      </c>
      <c r="X1603" s="14" t="s">
        <v>12</v>
      </c>
      <c r="Y1603" s="346" t="s">
        <v>416</v>
      </c>
      <c r="Z1603" s="14" t="str">
        <f>IF(ISBLANK(LCI_Table[[#This Row],[Notes for user]])," ",LCI_Table[[#This Row],[Notes for user]])</f>
        <v xml:space="preserve"> </v>
      </c>
      <c r="AA1603" s="14"/>
      <c r="AB1603" s="14"/>
      <c r="AC1603" s="346">
        <f ca="1">LCI_Table[[#This Row],[Default Calculated Value]]-LCI_Table[[#This Row],[Calculated Value]]</f>
        <v>0</v>
      </c>
    </row>
    <row r="1604" spans="1:29" x14ac:dyDescent="0.3">
      <c r="A16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stoverATJ-ethanolICAOConsensusIntegrated_Cellulosic_ETJ_GlucoAmylaseGluco-amylase</v>
      </c>
      <c r="B1604" s="14" t="s">
        <v>135</v>
      </c>
      <c r="C1604" s="14" t="s">
        <v>1964</v>
      </c>
      <c r="D1604" s="14" t="s">
        <v>194</v>
      </c>
      <c r="E1604" s="48" t="s">
        <v>1399</v>
      </c>
      <c r="F1604" s="48" t="s">
        <v>1398</v>
      </c>
      <c r="G1604" s="14" t="b">
        <f>OR(LCI_Table[[#This Row],[Feedstock]]="All",LCI_Table[[#This Row],[Feedstock]]=SelectedFeedstock)</f>
        <v>0</v>
      </c>
      <c r="H1604" s="14" t="b">
        <f>OR(LCI_Table[[#This Row],[Conversion]]="All",LCI_Table[[#This Row],[Conversion]]=SelectedConversion)</f>
        <v>0</v>
      </c>
      <c r="I1604" s="14" t="b">
        <f>OR(LCI_Table[[#This Row],[Data Set]]="all",LCI_Table[[#This Row],[Data Set]]=SelectedDataSet)</f>
        <v>0</v>
      </c>
      <c r="J1604" s="14" t="b">
        <f>OR(LCI_Table[[#This Row],[Technology]]="All",LCI_Table[[#This Row],[Technology]]=SelectedTechnology)</f>
        <v>0</v>
      </c>
      <c r="K1604" s="14" t="b">
        <f>OR(LCI_Table[[#This Row],[Data Source]]="All",LCI_Table[[#This Row],[Data Source]]=SelectedDataSource)</f>
        <v>0</v>
      </c>
      <c r="L1604" s="14" t="b">
        <f>TRUE</f>
        <v>1</v>
      </c>
      <c r="M1604" s="14" t="b">
        <f>(LCI_Table[[#This Row],[Dev Notes]]="Do not display")</f>
        <v>0</v>
      </c>
      <c r="N1604" s="14" t="b">
        <f>AND(LCI_Table[[#This Row],[Show Feedstock]:[Conditional]],NOT(LCI_Table[[#This Row],[Hide Row]]))</f>
        <v>0</v>
      </c>
      <c r="O1604" s="14" t="b">
        <f>LCI_Table[[#This Row],[GREET1 Name Range]]=""</f>
        <v>0</v>
      </c>
      <c r="P1604" s="14" t="s">
        <v>1448</v>
      </c>
      <c r="Q1604" s="14" t="s">
        <v>943</v>
      </c>
      <c r="R1604" s="14" t="s">
        <v>354</v>
      </c>
      <c r="S1604" s="37" cm="1">
        <f t="array" aca="1" ref="S16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04" s="346" t="s">
        <v>2119</v>
      </c>
      <c r="U1604" s="364">
        <f t="shared" ref="U1604" ca="1" si="10">S1604*lb2kg/mmBTU2MJ</f>
        <v>0</v>
      </c>
      <c r="V1604" s="347">
        <v>0</v>
      </c>
      <c r="W1604" s="357">
        <v>0</v>
      </c>
      <c r="X1604" s="14" t="s">
        <v>12</v>
      </c>
      <c r="Y1604" s="346" t="s">
        <v>416</v>
      </c>
      <c r="Z1604" s="14" t="str">
        <f>IF(ISBLANK(LCI_Table[[#This Row],[Notes for user]])," ",LCI_Table[[#This Row],[Notes for user]])</f>
        <v xml:space="preserve"> </v>
      </c>
      <c r="AA1604" s="14"/>
      <c r="AB1604" s="14"/>
      <c r="AC1604" s="346">
        <f ca="1">LCI_Table[[#This Row],[Default Calculated Value]]-LCI_Table[[#This Row],[Calculated Value]]</f>
        <v>0</v>
      </c>
    </row>
    <row r="1605" spans="1:29" x14ac:dyDescent="0.3">
      <c r="A16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stoverATJ-ethanolICAOConsensusIntegrated_Cellulosic_ETJ_YeastYeast</v>
      </c>
      <c r="B1605" s="14" t="s">
        <v>135</v>
      </c>
      <c r="C1605" s="14" t="s">
        <v>1964</v>
      </c>
      <c r="D1605" s="14" t="s">
        <v>194</v>
      </c>
      <c r="E1605" s="48" t="s">
        <v>1399</v>
      </c>
      <c r="F1605" s="48" t="s">
        <v>1398</v>
      </c>
      <c r="G1605" s="14" t="b">
        <f>OR(LCI_Table[[#This Row],[Feedstock]]="All",LCI_Table[[#This Row],[Feedstock]]=SelectedFeedstock)</f>
        <v>0</v>
      </c>
      <c r="H1605" s="14" t="b">
        <f>OR(LCI_Table[[#This Row],[Conversion]]="All",LCI_Table[[#This Row],[Conversion]]=SelectedConversion)</f>
        <v>0</v>
      </c>
      <c r="I1605" s="14" t="b">
        <f>OR(LCI_Table[[#This Row],[Data Set]]="all",LCI_Table[[#This Row],[Data Set]]=SelectedDataSet)</f>
        <v>0</v>
      </c>
      <c r="J1605" s="14" t="b">
        <f>OR(LCI_Table[[#This Row],[Technology]]="All",LCI_Table[[#This Row],[Technology]]=SelectedTechnology)</f>
        <v>0</v>
      </c>
      <c r="K1605" s="14" t="b">
        <f>OR(LCI_Table[[#This Row],[Data Source]]="All",LCI_Table[[#This Row],[Data Source]]=SelectedDataSource)</f>
        <v>0</v>
      </c>
      <c r="L1605" s="14" t="b">
        <f>TRUE</f>
        <v>1</v>
      </c>
      <c r="M1605" s="14" t="b">
        <f>(LCI_Table[[#This Row],[Dev Notes]]="Do not display")</f>
        <v>0</v>
      </c>
      <c r="N1605" s="14" t="b">
        <f>AND(LCI_Table[[#This Row],[Show Feedstock]:[Conditional]],NOT(LCI_Table[[#This Row],[Hide Row]]))</f>
        <v>0</v>
      </c>
      <c r="O1605" s="14" t="b">
        <f>LCI_Table[[#This Row],[GREET1 Name Range]]=""</f>
        <v>0</v>
      </c>
      <c r="P1605" s="14" t="s">
        <v>1448</v>
      </c>
      <c r="Q1605" s="14" t="s">
        <v>944</v>
      </c>
      <c r="R1605" s="14" t="s">
        <v>145</v>
      </c>
      <c r="S1605" s="37" cm="1">
        <f t="array" aca="1" ref="S16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0.80958773518245875</v>
      </c>
      <c r="T1605" s="346" t="s">
        <v>2119</v>
      </c>
      <c r="U1605" s="364">
        <f t="shared" ref="U1605" ca="1" si="11">S1605*lb2kg/mmBTU2MJ</f>
        <v>3.4806007617923157E-4</v>
      </c>
      <c r="V1605" s="347">
        <v>0.80958773518245875</v>
      </c>
      <c r="W1605" s="357">
        <v>3.4806007617923157E-4</v>
      </c>
      <c r="X1605" s="14" t="s">
        <v>12</v>
      </c>
      <c r="Y1605" s="346" t="s">
        <v>416</v>
      </c>
      <c r="Z1605" s="14" t="str">
        <f>IF(ISBLANK(LCI_Table[[#This Row],[Notes for user]])," ",LCI_Table[[#This Row],[Notes for user]])</f>
        <v xml:space="preserve"> </v>
      </c>
      <c r="AA1605" s="14"/>
      <c r="AB1605" s="14"/>
      <c r="AC1605" s="346">
        <f ca="1">LCI_Table[[#This Row],[Default Calculated Value]]-LCI_Table[[#This Row],[Calculated Value]]</f>
        <v>0</v>
      </c>
    </row>
    <row r="1606" spans="1:29" x14ac:dyDescent="0.3">
      <c r="A16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stoverATJ-ethanolICAOConsensusIntegrated_Cellulosic_ETJ_GlucoseGlucose</v>
      </c>
      <c r="B1606" s="14" t="s">
        <v>135</v>
      </c>
      <c r="C1606" s="14" t="s">
        <v>1964</v>
      </c>
      <c r="D1606" s="14" t="s">
        <v>194</v>
      </c>
      <c r="E1606" s="48" t="s">
        <v>1399</v>
      </c>
      <c r="F1606" s="48" t="s">
        <v>1398</v>
      </c>
      <c r="G1606" s="14" t="b">
        <f>OR(LCI_Table[[#This Row],[Feedstock]]="All",LCI_Table[[#This Row],[Feedstock]]=SelectedFeedstock)</f>
        <v>0</v>
      </c>
      <c r="H1606" s="14" t="b">
        <f>OR(LCI_Table[[#This Row],[Conversion]]="All",LCI_Table[[#This Row],[Conversion]]=SelectedConversion)</f>
        <v>0</v>
      </c>
      <c r="I1606" s="14" t="b">
        <f>OR(LCI_Table[[#This Row],[Data Set]]="all",LCI_Table[[#This Row],[Data Set]]=SelectedDataSet)</f>
        <v>0</v>
      </c>
      <c r="J1606" s="14" t="b">
        <f>OR(LCI_Table[[#This Row],[Technology]]="All",LCI_Table[[#This Row],[Technology]]=SelectedTechnology)</f>
        <v>0</v>
      </c>
      <c r="K1606" s="14" t="b">
        <f>OR(LCI_Table[[#This Row],[Data Source]]="All",LCI_Table[[#This Row],[Data Source]]=SelectedDataSource)</f>
        <v>0</v>
      </c>
      <c r="L1606" s="14" t="b">
        <f>TRUE</f>
        <v>1</v>
      </c>
      <c r="M1606" s="14" t="b">
        <f>(LCI_Table[[#This Row],[Dev Notes]]="Do not display")</f>
        <v>0</v>
      </c>
      <c r="N1606" s="14" t="b">
        <f>AND(LCI_Table[[#This Row],[Show Feedstock]:[Conditional]],NOT(LCI_Table[[#This Row],[Hide Row]]))</f>
        <v>0</v>
      </c>
      <c r="O1606" s="14" t="b">
        <f>LCI_Table[[#This Row],[GREET1 Name Range]]=""</f>
        <v>0</v>
      </c>
      <c r="P1606" s="14" t="s">
        <v>1448</v>
      </c>
      <c r="Q1606" s="14" t="s">
        <v>563</v>
      </c>
      <c r="R1606" s="14" t="s">
        <v>387</v>
      </c>
      <c r="S1606" s="37" cm="1">
        <f t="array" aca="1" ref="S16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06" s="346" t="s">
        <v>2119</v>
      </c>
      <c r="U1606" s="364">
        <f t="shared" ref="U1606" ca="1" si="12">S1606*lb2kg/mmBTU2MJ</f>
        <v>0</v>
      </c>
      <c r="V1606" s="347">
        <v>0</v>
      </c>
      <c r="W1606" s="357">
        <v>0</v>
      </c>
      <c r="X1606" s="14" t="s">
        <v>12</v>
      </c>
      <c r="Y1606" s="346" t="s">
        <v>416</v>
      </c>
      <c r="Z1606" s="14" t="str">
        <f>IF(ISBLANK(LCI_Table[[#This Row],[Notes for user]])," ",LCI_Table[[#This Row],[Notes for user]])</f>
        <v xml:space="preserve"> </v>
      </c>
      <c r="AA1606" s="14"/>
      <c r="AB1606" s="14"/>
      <c r="AC1606" s="346">
        <f ca="1">LCI_Table[[#This Row],[Default Calculated Value]]-LCI_Table[[#This Row],[Calculated Value]]</f>
        <v>0</v>
      </c>
    </row>
    <row r="1607" spans="1:29" x14ac:dyDescent="0.3">
      <c r="A16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stoverATJ-ethanolICAOConsensusIntegrated_Cellulosic_ETJ_Sulfuric_acidSulfuric acid</v>
      </c>
      <c r="B1607" s="14" t="s">
        <v>135</v>
      </c>
      <c r="C1607" s="14" t="s">
        <v>1964</v>
      </c>
      <c r="D1607" s="14" t="s">
        <v>194</v>
      </c>
      <c r="E1607" s="48" t="s">
        <v>1399</v>
      </c>
      <c r="F1607" s="48" t="s">
        <v>1398</v>
      </c>
      <c r="G1607" s="14" t="b">
        <f>OR(LCI_Table[[#This Row],[Feedstock]]="All",LCI_Table[[#This Row],[Feedstock]]=SelectedFeedstock)</f>
        <v>0</v>
      </c>
      <c r="H1607" s="14" t="b">
        <f>OR(LCI_Table[[#This Row],[Conversion]]="All",LCI_Table[[#This Row],[Conversion]]=SelectedConversion)</f>
        <v>0</v>
      </c>
      <c r="I1607" s="14" t="b">
        <f>OR(LCI_Table[[#This Row],[Data Set]]="all",LCI_Table[[#This Row],[Data Set]]=SelectedDataSet)</f>
        <v>0</v>
      </c>
      <c r="J1607" s="14" t="b">
        <f>OR(LCI_Table[[#This Row],[Technology]]="All",LCI_Table[[#This Row],[Technology]]=SelectedTechnology)</f>
        <v>0</v>
      </c>
      <c r="K1607" s="14" t="b">
        <f>OR(LCI_Table[[#This Row],[Data Source]]="All",LCI_Table[[#This Row],[Data Source]]=SelectedDataSource)</f>
        <v>0</v>
      </c>
      <c r="L1607" s="14" t="b">
        <f>TRUE</f>
        <v>1</v>
      </c>
      <c r="M1607" s="14" t="b">
        <f>(LCI_Table[[#This Row],[Dev Notes]]="Do not display")</f>
        <v>0</v>
      </c>
      <c r="N1607" s="14" t="b">
        <f>AND(LCI_Table[[#This Row],[Show Feedstock]:[Conditional]],NOT(LCI_Table[[#This Row],[Hide Row]]))</f>
        <v>0</v>
      </c>
      <c r="O1607" s="14" t="b">
        <f>LCI_Table[[#This Row],[GREET1 Name Range]]=""</f>
        <v>0</v>
      </c>
      <c r="P1607" s="14" t="s">
        <v>1448</v>
      </c>
      <c r="Q1607" s="14" t="s">
        <v>567</v>
      </c>
      <c r="R1607" s="14" t="s">
        <v>384</v>
      </c>
      <c r="S1607" s="37" cm="1">
        <f t="array" aca="1" ref="S16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10.547481335844481</v>
      </c>
      <c r="T1607" s="346" t="s">
        <v>2119</v>
      </c>
      <c r="U1607" s="364">
        <f t="shared" ref="U1607" ca="1" si="13">S1607*lb2kg/mmBTU2MJ</f>
        <v>4.534600757539484E-3</v>
      </c>
      <c r="V1607" s="347">
        <v>10.547481335844481</v>
      </c>
      <c r="W1607" s="357">
        <v>4.534600757539484E-3</v>
      </c>
      <c r="X1607" s="14" t="s">
        <v>12</v>
      </c>
      <c r="Y1607" s="346" t="s">
        <v>416</v>
      </c>
      <c r="Z1607" s="14" t="str">
        <f>IF(ISBLANK(LCI_Table[[#This Row],[Notes for user]])," ",LCI_Table[[#This Row],[Notes for user]])</f>
        <v xml:space="preserve"> </v>
      </c>
      <c r="AA1607" s="14"/>
      <c r="AB1607" s="14"/>
      <c r="AC1607" s="346">
        <f ca="1">LCI_Table[[#This Row],[Default Calculated Value]]-LCI_Table[[#This Row],[Calculated Value]]</f>
        <v>0</v>
      </c>
    </row>
    <row r="1608" spans="1:29" x14ac:dyDescent="0.3">
      <c r="A16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stoverATJ-ethanolICAOConsensusIntegrated_Cellulosic_ETJ_AmmoniaAmmonia</v>
      </c>
      <c r="B1608" s="14" t="s">
        <v>135</v>
      </c>
      <c r="C1608" s="14" t="s">
        <v>1964</v>
      </c>
      <c r="D1608" s="14" t="s">
        <v>194</v>
      </c>
      <c r="E1608" s="48" t="s">
        <v>1399</v>
      </c>
      <c r="F1608" s="48" t="s">
        <v>1398</v>
      </c>
      <c r="G1608" s="14" t="b">
        <f>OR(LCI_Table[[#This Row],[Feedstock]]="All",LCI_Table[[#This Row],[Feedstock]]=SelectedFeedstock)</f>
        <v>0</v>
      </c>
      <c r="H1608" s="14" t="b">
        <f>OR(LCI_Table[[#This Row],[Conversion]]="All",LCI_Table[[#This Row],[Conversion]]=SelectedConversion)</f>
        <v>0</v>
      </c>
      <c r="I1608" s="14" t="b">
        <f>OR(LCI_Table[[#This Row],[Data Set]]="all",LCI_Table[[#This Row],[Data Set]]=SelectedDataSet)</f>
        <v>0</v>
      </c>
      <c r="J1608" s="14" t="b">
        <f>OR(LCI_Table[[#This Row],[Technology]]="All",LCI_Table[[#This Row],[Technology]]=SelectedTechnology)</f>
        <v>0</v>
      </c>
      <c r="K1608" s="14" t="b">
        <f>OR(LCI_Table[[#This Row],[Data Source]]="All",LCI_Table[[#This Row],[Data Source]]=SelectedDataSource)</f>
        <v>0</v>
      </c>
      <c r="L1608" s="14" t="b">
        <f>TRUE</f>
        <v>1</v>
      </c>
      <c r="M1608" s="14" t="b">
        <f>(LCI_Table[[#This Row],[Dev Notes]]="Do not display")</f>
        <v>0</v>
      </c>
      <c r="N1608" s="14" t="b">
        <f>AND(LCI_Table[[#This Row],[Show Feedstock]:[Conditional]],NOT(LCI_Table[[#This Row],[Hide Row]]))</f>
        <v>0</v>
      </c>
      <c r="O1608" s="14" t="b">
        <f>LCI_Table[[#This Row],[GREET1 Name Range]]=""</f>
        <v>0</v>
      </c>
      <c r="P1608" s="14" t="s">
        <v>1448</v>
      </c>
      <c r="Q1608" s="14" t="s">
        <v>557</v>
      </c>
      <c r="R1608" s="14" t="s">
        <v>382</v>
      </c>
      <c r="S1608" s="37" cm="1">
        <f t="array" aca="1" ref="S16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1.2656977603013373</v>
      </c>
      <c r="T1608" s="346" t="s">
        <v>2119</v>
      </c>
      <c r="U1608" s="364">
        <f t="shared" ref="U1608" ca="1" si="14">S1608*lb2kg/mmBTU2MJ</f>
        <v>5.4415209090473795E-4</v>
      </c>
      <c r="V1608" s="347">
        <v>1.2656977603013373</v>
      </c>
      <c r="W1608" s="357">
        <v>5.4415209090473795E-4</v>
      </c>
      <c r="X1608" s="14" t="s">
        <v>12</v>
      </c>
      <c r="Y1608" s="346" t="s">
        <v>416</v>
      </c>
      <c r="Z1608" s="14" t="str">
        <f>IF(ISBLANK(LCI_Table[[#This Row],[Notes for user]])," ",LCI_Table[[#This Row],[Notes for user]])</f>
        <v xml:space="preserve"> </v>
      </c>
      <c r="AA1608" s="14"/>
      <c r="AB1608" s="14"/>
      <c r="AC1608" s="346">
        <f ca="1">LCI_Table[[#This Row],[Default Calculated Value]]-LCI_Table[[#This Row],[Calculated Value]]</f>
        <v>0</v>
      </c>
    </row>
    <row r="1609" spans="1:29" x14ac:dyDescent="0.3">
      <c r="A16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stoverATJ-ethanolICAOConsensusIntegrated_Cellulosic_ETJ_Corn_steep_liquorCorn steep liquor</v>
      </c>
      <c r="B1609" s="14" t="s">
        <v>135</v>
      </c>
      <c r="C1609" s="14" t="s">
        <v>1964</v>
      </c>
      <c r="D1609" s="14" t="s">
        <v>194</v>
      </c>
      <c r="E1609" s="48" t="s">
        <v>1399</v>
      </c>
      <c r="F1609" s="48" t="s">
        <v>1398</v>
      </c>
      <c r="G1609" s="14" t="b">
        <f>OR(LCI_Table[[#This Row],[Feedstock]]="All",LCI_Table[[#This Row],[Feedstock]]=SelectedFeedstock)</f>
        <v>0</v>
      </c>
      <c r="H1609" s="14" t="b">
        <f>OR(LCI_Table[[#This Row],[Conversion]]="All",LCI_Table[[#This Row],[Conversion]]=SelectedConversion)</f>
        <v>0</v>
      </c>
      <c r="I1609" s="14" t="b">
        <f>OR(LCI_Table[[#This Row],[Data Set]]="all",LCI_Table[[#This Row],[Data Set]]=SelectedDataSet)</f>
        <v>0</v>
      </c>
      <c r="J1609" s="14" t="b">
        <f>OR(LCI_Table[[#This Row],[Technology]]="All",LCI_Table[[#This Row],[Technology]]=SelectedTechnology)</f>
        <v>0</v>
      </c>
      <c r="K1609" s="14" t="b">
        <f>OR(LCI_Table[[#This Row],[Data Source]]="All",LCI_Table[[#This Row],[Data Source]]=SelectedDataSource)</f>
        <v>0</v>
      </c>
      <c r="L1609" s="14" t="b">
        <f>TRUE</f>
        <v>1</v>
      </c>
      <c r="M1609" s="14" t="b">
        <f>(LCI_Table[[#This Row],[Dev Notes]]="Do not display")</f>
        <v>0</v>
      </c>
      <c r="N1609" s="14" t="b">
        <f>AND(LCI_Table[[#This Row],[Show Feedstock]:[Conditional]],NOT(LCI_Table[[#This Row],[Hide Row]]))</f>
        <v>0</v>
      </c>
      <c r="O1609" s="14" t="b">
        <f>LCI_Table[[#This Row],[GREET1 Name Range]]=""</f>
        <v>0</v>
      </c>
      <c r="P1609" s="14" t="s">
        <v>1448</v>
      </c>
      <c r="Q1609" s="14" t="s">
        <v>559</v>
      </c>
      <c r="R1609" s="14" t="s">
        <v>386</v>
      </c>
      <c r="S1609" s="37" cm="1">
        <f t="array" aca="1" ref="S16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4.0080429076209025</v>
      </c>
      <c r="T1609" s="346" t="s">
        <v>2119</v>
      </c>
      <c r="U1609" s="364">
        <f t="shared" ref="U1609" ca="1" si="15">S1609*lb2kg/mmBTU2MJ</f>
        <v>1.7231482878650041E-3</v>
      </c>
      <c r="V1609" s="347">
        <v>4.0080429076209025</v>
      </c>
      <c r="W1609" s="357">
        <v>1.7231482878650041E-3</v>
      </c>
      <c r="X1609" s="14" t="s">
        <v>12</v>
      </c>
      <c r="Y1609" s="346" t="s">
        <v>416</v>
      </c>
      <c r="Z1609" s="14" t="str">
        <f>IF(ISBLANK(LCI_Table[[#This Row],[Notes for user]])," ",LCI_Table[[#This Row],[Notes for user]])</f>
        <v xml:space="preserve"> </v>
      </c>
      <c r="AA1609" s="14"/>
      <c r="AB1609" s="14"/>
      <c r="AC1609" s="346">
        <f ca="1">LCI_Table[[#This Row],[Default Calculated Value]]-LCI_Table[[#This Row],[Calculated Value]]</f>
        <v>0</v>
      </c>
    </row>
    <row r="1610" spans="1:29" x14ac:dyDescent="0.3">
      <c r="A16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stoverATJ-ethanolICAOConsensusIntegrated_Cellulosic_ETJ_DAPDAP</v>
      </c>
      <c r="B1610" s="14" t="s">
        <v>135</v>
      </c>
      <c r="C1610" s="14" t="s">
        <v>1964</v>
      </c>
      <c r="D1610" s="14" t="s">
        <v>194</v>
      </c>
      <c r="E1610" s="48" t="s">
        <v>1399</v>
      </c>
      <c r="F1610" s="48" t="s">
        <v>1398</v>
      </c>
      <c r="G1610" s="14" t="b">
        <f>OR(LCI_Table[[#This Row],[Feedstock]]="All",LCI_Table[[#This Row],[Feedstock]]=SelectedFeedstock)</f>
        <v>0</v>
      </c>
      <c r="H1610" s="14" t="b">
        <f>OR(LCI_Table[[#This Row],[Conversion]]="All",LCI_Table[[#This Row],[Conversion]]=SelectedConversion)</f>
        <v>0</v>
      </c>
      <c r="I1610" s="14" t="b">
        <f>OR(LCI_Table[[#This Row],[Data Set]]="all",LCI_Table[[#This Row],[Data Set]]=SelectedDataSet)</f>
        <v>0</v>
      </c>
      <c r="J1610" s="14" t="b">
        <f>OR(LCI_Table[[#This Row],[Technology]]="All",LCI_Table[[#This Row],[Technology]]=SelectedTechnology)</f>
        <v>0</v>
      </c>
      <c r="K1610" s="14" t="b">
        <f>OR(LCI_Table[[#This Row],[Data Source]]="All",LCI_Table[[#This Row],[Data Source]]=SelectedDataSource)</f>
        <v>0</v>
      </c>
      <c r="L1610" s="14" t="b">
        <f>TRUE</f>
        <v>1</v>
      </c>
      <c r="M1610" s="14" t="b">
        <f>(LCI_Table[[#This Row],[Dev Notes]]="Do not display")</f>
        <v>0</v>
      </c>
      <c r="N1610" s="14" t="b">
        <f>AND(LCI_Table[[#This Row],[Show Feedstock]:[Conditional]],NOT(LCI_Table[[#This Row],[Hide Row]]))</f>
        <v>0</v>
      </c>
      <c r="O1610" s="14" t="b">
        <f>LCI_Table[[#This Row],[GREET1 Name Range]]=""</f>
        <v>0</v>
      </c>
      <c r="P1610" s="14" t="s">
        <v>1448</v>
      </c>
      <c r="Q1610" s="14" t="s">
        <v>560</v>
      </c>
      <c r="R1610" s="14" t="s">
        <v>383</v>
      </c>
      <c r="S1610" s="37" cm="1">
        <f t="array" aca="1" ref="S16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0.42189925343377932</v>
      </c>
      <c r="T1610" s="346" t="s">
        <v>2119</v>
      </c>
      <c r="U1610" s="364">
        <f t="shared" ref="U1610" ca="1" si="16">S1610*lb2kg/mmBTU2MJ</f>
        <v>1.813840303015794E-4</v>
      </c>
      <c r="V1610" s="347">
        <v>0.42189925343377932</v>
      </c>
      <c r="W1610" s="357">
        <v>1.813840303015794E-4</v>
      </c>
      <c r="X1610" s="14" t="s">
        <v>12</v>
      </c>
      <c r="Y1610" s="346" t="s">
        <v>416</v>
      </c>
      <c r="Z1610" s="14" t="str">
        <f>IF(ISBLANK(LCI_Table[[#This Row],[Notes for user]])," ",LCI_Table[[#This Row],[Notes for user]])</f>
        <v xml:space="preserve"> </v>
      </c>
      <c r="AA1610" s="14"/>
      <c r="AB1610" s="14"/>
      <c r="AC1610" s="346">
        <f ca="1">LCI_Table[[#This Row],[Default Calculated Value]]-LCI_Table[[#This Row],[Calculated Value]]</f>
        <v>0</v>
      </c>
    </row>
    <row r="1611" spans="1:29" x14ac:dyDescent="0.3">
      <c r="A16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stoverATJ-ethanolICAOConsensusIntegrated_Cellulosic_ETJ_NaOHNaOH</v>
      </c>
      <c r="B1611" s="14" t="s">
        <v>135</v>
      </c>
      <c r="C1611" s="14" t="s">
        <v>1964</v>
      </c>
      <c r="D1611" s="14" t="s">
        <v>194</v>
      </c>
      <c r="E1611" s="48" t="s">
        <v>1399</v>
      </c>
      <c r="F1611" s="48" t="s">
        <v>1398</v>
      </c>
      <c r="G1611" s="14" t="b">
        <f>OR(LCI_Table[[#This Row],[Feedstock]]="All",LCI_Table[[#This Row],[Feedstock]]=SelectedFeedstock)</f>
        <v>0</v>
      </c>
      <c r="H1611" s="14" t="b">
        <f>OR(LCI_Table[[#This Row],[Conversion]]="All",LCI_Table[[#This Row],[Conversion]]=SelectedConversion)</f>
        <v>0</v>
      </c>
      <c r="I1611" s="14" t="b">
        <f>OR(LCI_Table[[#This Row],[Data Set]]="all",LCI_Table[[#This Row],[Data Set]]=SelectedDataSet)</f>
        <v>0</v>
      </c>
      <c r="J1611" s="14" t="b">
        <f>OR(LCI_Table[[#This Row],[Technology]]="All",LCI_Table[[#This Row],[Technology]]=SelectedTechnology)</f>
        <v>0</v>
      </c>
      <c r="K1611" s="14" t="b">
        <f>OR(LCI_Table[[#This Row],[Data Source]]="All",LCI_Table[[#This Row],[Data Source]]=SelectedDataSource)</f>
        <v>0</v>
      </c>
      <c r="L1611" s="14" t="b">
        <f>TRUE</f>
        <v>1</v>
      </c>
      <c r="M1611" s="14" t="b">
        <f>(LCI_Table[[#This Row],[Dev Notes]]="Do not display")</f>
        <v>0</v>
      </c>
      <c r="N1611" s="14" t="b">
        <f>AND(LCI_Table[[#This Row],[Show Feedstock]:[Conditional]],NOT(LCI_Table[[#This Row],[Hide Row]]))</f>
        <v>0</v>
      </c>
      <c r="O1611" s="14" t="b">
        <f>LCI_Table[[#This Row],[GREET1 Name Range]]=""</f>
        <v>0</v>
      </c>
      <c r="P1611" s="14" t="s">
        <v>1448</v>
      </c>
      <c r="Q1611" s="14" t="s">
        <v>1401</v>
      </c>
      <c r="R1611" s="14" t="s">
        <v>403</v>
      </c>
      <c r="S1611" s="37" cm="1">
        <f t="array" aca="1" ref="S16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3.5861436541871234</v>
      </c>
      <c r="T1611" s="346" t="s">
        <v>2119</v>
      </c>
      <c r="U1611" s="364">
        <f t="shared" ref="U1611" ca="1" si="17">S1611*lb2kg/mmBTU2MJ</f>
        <v>1.5417642575634245E-3</v>
      </c>
      <c r="V1611" s="347">
        <v>3.5861436541871234</v>
      </c>
      <c r="W1611" s="357">
        <v>1.5417642575634245E-3</v>
      </c>
      <c r="X1611" s="14" t="s">
        <v>12</v>
      </c>
      <c r="Y1611" s="346" t="s">
        <v>416</v>
      </c>
      <c r="Z1611" s="14" t="str">
        <f>IF(ISBLANK(LCI_Table[[#This Row],[Notes for user]])," ",LCI_Table[[#This Row],[Notes for user]])</f>
        <v xml:space="preserve"> </v>
      </c>
      <c r="AA1611" s="14"/>
      <c r="AB1611" s="14"/>
      <c r="AC1611" s="346">
        <f ca="1">LCI_Table[[#This Row],[Default Calculated Value]]-LCI_Table[[#This Row],[Calculated Value]]</f>
        <v>0</v>
      </c>
    </row>
    <row r="1612" spans="1:29" x14ac:dyDescent="0.3">
      <c r="A16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stoverATJ-ethanolICAOConsensusIntegrated_Cellulosic_ETJ_LimeQuicklime (CaO)</v>
      </c>
      <c r="B1612" s="14" t="s">
        <v>135</v>
      </c>
      <c r="C1612" s="14" t="s">
        <v>1964</v>
      </c>
      <c r="D1612" s="14" t="s">
        <v>194</v>
      </c>
      <c r="E1612" s="48" t="s">
        <v>1399</v>
      </c>
      <c r="F1612" s="48" t="s">
        <v>1398</v>
      </c>
      <c r="G1612" s="14" t="b">
        <f>OR(LCI_Table[[#This Row],[Feedstock]]="All",LCI_Table[[#This Row],[Feedstock]]=SelectedFeedstock)</f>
        <v>0</v>
      </c>
      <c r="H1612" s="14" t="b">
        <f>OR(LCI_Table[[#This Row],[Conversion]]="All",LCI_Table[[#This Row],[Conversion]]=SelectedConversion)</f>
        <v>0</v>
      </c>
      <c r="I1612" s="14" t="b">
        <f>OR(LCI_Table[[#This Row],[Data Set]]="all",LCI_Table[[#This Row],[Data Set]]=SelectedDataSet)</f>
        <v>0</v>
      </c>
      <c r="J1612" s="14" t="b">
        <f>OR(LCI_Table[[#This Row],[Technology]]="All",LCI_Table[[#This Row],[Technology]]=SelectedTechnology)</f>
        <v>0</v>
      </c>
      <c r="K1612" s="14" t="b">
        <f>OR(LCI_Table[[#This Row],[Data Source]]="All",LCI_Table[[#This Row],[Data Source]]=SelectedDataSource)</f>
        <v>0</v>
      </c>
      <c r="L1612" s="14" t="b">
        <f>TRUE</f>
        <v>1</v>
      </c>
      <c r="M1612" s="14" t="b">
        <f>(LCI_Table[[#This Row],[Dev Notes]]="Do not display")</f>
        <v>0</v>
      </c>
      <c r="N1612" s="14" t="b">
        <f>AND(LCI_Table[[#This Row],[Show Feedstock]:[Conditional]],NOT(LCI_Table[[#This Row],[Hide Row]]))</f>
        <v>0</v>
      </c>
      <c r="O1612" s="14" t="b">
        <f>LCI_Table[[#This Row],[GREET1 Name Range]]=""</f>
        <v>0</v>
      </c>
      <c r="P1612" s="14" t="s">
        <v>1448</v>
      </c>
      <c r="Q1612" s="14" t="s">
        <v>566</v>
      </c>
      <c r="R1612" s="14" t="s">
        <v>404</v>
      </c>
      <c r="S1612" s="37" cm="1">
        <f t="array" aca="1" ref="S16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2.3204458938857866</v>
      </c>
      <c r="T1612" s="346" t="s">
        <v>2119</v>
      </c>
      <c r="U1612" s="364">
        <f t="shared" ref="U1612" ca="1" si="18">S1612*lb2kg/mmBTU2MJ</f>
        <v>9.97612166658687E-4</v>
      </c>
      <c r="V1612" s="347">
        <v>2.3204458938857866</v>
      </c>
      <c r="W1612" s="357">
        <v>9.97612166658687E-4</v>
      </c>
      <c r="X1612" s="14" t="s">
        <v>12</v>
      </c>
      <c r="Y1612" s="346" t="s">
        <v>416</v>
      </c>
      <c r="Z1612" s="14" t="str">
        <f>IF(ISBLANK(LCI_Table[[#This Row],[Notes for user]])," ",LCI_Table[[#This Row],[Notes for user]])</f>
        <v xml:space="preserve"> </v>
      </c>
      <c r="AA1612" s="14"/>
      <c r="AB1612" s="14"/>
      <c r="AC1612" s="346">
        <f ca="1">LCI_Table[[#This Row],[Default Calculated Value]]-LCI_Table[[#This Row],[Calculated Value]]</f>
        <v>0</v>
      </c>
    </row>
    <row r="1613" spans="1:29" x14ac:dyDescent="0.3">
      <c r="A16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stoverATJ-ethanolICAOConsensusIntegrated_Cellulosic_ETJ_UreaUrea</v>
      </c>
      <c r="B1613" s="14" t="s">
        <v>135</v>
      </c>
      <c r="C1613" s="14" t="s">
        <v>1964</v>
      </c>
      <c r="D1613" s="14" t="s">
        <v>194</v>
      </c>
      <c r="E1613" s="48" t="s">
        <v>1399</v>
      </c>
      <c r="F1613" s="48" t="s">
        <v>1398</v>
      </c>
      <c r="G1613" s="14" t="b">
        <f>OR(LCI_Table[[#This Row],[Feedstock]]="All",LCI_Table[[#This Row],[Feedstock]]=SelectedFeedstock)</f>
        <v>0</v>
      </c>
      <c r="H1613" s="14" t="b">
        <f>OR(LCI_Table[[#This Row],[Conversion]]="All",LCI_Table[[#This Row],[Conversion]]=SelectedConversion)</f>
        <v>0</v>
      </c>
      <c r="I1613" s="14" t="b">
        <f>OR(LCI_Table[[#This Row],[Data Set]]="all",LCI_Table[[#This Row],[Data Set]]=SelectedDataSet)</f>
        <v>0</v>
      </c>
      <c r="J1613" s="14" t="b">
        <f>OR(LCI_Table[[#This Row],[Technology]]="All",LCI_Table[[#This Row],[Technology]]=SelectedTechnology)</f>
        <v>0</v>
      </c>
      <c r="K1613" s="14" t="b">
        <f>OR(LCI_Table[[#This Row],[Data Source]]="All",LCI_Table[[#This Row],[Data Source]]=SelectedDataSource)</f>
        <v>0</v>
      </c>
      <c r="L1613" s="14" t="b">
        <f>TRUE</f>
        <v>1</v>
      </c>
      <c r="M1613" s="14" t="b">
        <f>(LCI_Table[[#This Row],[Dev Notes]]="Do not display")</f>
        <v>0</v>
      </c>
      <c r="N1613" s="14" t="b">
        <f>AND(LCI_Table[[#This Row],[Show Feedstock]:[Conditional]],NOT(LCI_Table[[#This Row],[Hide Row]]))</f>
        <v>0</v>
      </c>
      <c r="O1613" s="14" t="b">
        <f>LCI_Table[[#This Row],[GREET1 Name Range]]=""</f>
        <v>0</v>
      </c>
      <c r="P1613" s="14" t="s">
        <v>1448</v>
      </c>
      <c r="Q1613" s="14" t="s">
        <v>568</v>
      </c>
      <c r="R1613" s="14" t="s">
        <v>144</v>
      </c>
      <c r="S1613" s="37" cm="1">
        <f t="array" aca="1" ref="S16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0.63284888015066865</v>
      </c>
      <c r="T1613" s="346" t="s">
        <v>2119</v>
      </c>
      <c r="U1613" s="364">
        <f t="shared" ref="U1613" ca="1" si="19">S1613*lb2kg/mmBTU2MJ</f>
        <v>2.7207604545236898E-4</v>
      </c>
      <c r="V1613" s="347">
        <v>0.63284888015066865</v>
      </c>
      <c r="W1613" s="357">
        <v>2.7207604545236898E-4</v>
      </c>
      <c r="X1613" s="14" t="s">
        <v>12</v>
      </c>
      <c r="Y1613" s="346" t="s">
        <v>416</v>
      </c>
      <c r="Z1613" s="14" t="str">
        <f>IF(ISBLANK(LCI_Table[[#This Row],[Notes for user]])," ",LCI_Table[[#This Row],[Notes for user]])</f>
        <v xml:space="preserve"> </v>
      </c>
      <c r="AA1613" s="14"/>
      <c r="AB1613" s="14"/>
      <c r="AC1613" s="346">
        <f ca="1">LCI_Table[[#This Row],[Default Calculated Value]]-LCI_Table[[#This Row],[Calculated Value]]</f>
        <v>0</v>
      </c>
    </row>
    <row r="1614" spans="1:29" x14ac:dyDescent="0.3">
      <c r="A16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stoverATJ-ethanolICAOConsensusIntegrated_Cellulosic_ETJ_Host_nutrientsHost nutrients</v>
      </c>
      <c r="B1614" s="14" t="s">
        <v>135</v>
      </c>
      <c r="C1614" s="14" t="s">
        <v>1964</v>
      </c>
      <c r="D1614" s="14" t="s">
        <v>194</v>
      </c>
      <c r="E1614" s="48" t="s">
        <v>1399</v>
      </c>
      <c r="F1614" s="48" t="s">
        <v>1398</v>
      </c>
      <c r="G1614" s="14" t="b">
        <f>OR(LCI_Table[[#This Row],[Feedstock]]="All",LCI_Table[[#This Row],[Feedstock]]=SelectedFeedstock)</f>
        <v>0</v>
      </c>
      <c r="H1614" s="14" t="b">
        <f>OR(LCI_Table[[#This Row],[Conversion]]="All",LCI_Table[[#This Row],[Conversion]]=SelectedConversion)</f>
        <v>0</v>
      </c>
      <c r="I1614" s="14" t="b">
        <f>OR(LCI_Table[[#This Row],[Data Set]]="all",LCI_Table[[#This Row],[Data Set]]=SelectedDataSet)</f>
        <v>0</v>
      </c>
      <c r="J1614" s="14" t="b">
        <f>OR(LCI_Table[[#This Row],[Technology]]="All",LCI_Table[[#This Row],[Technology]]=SelectedTechnology)</f>
        <v>0</v>
      </c>
      <c r="K1614" s="14" t="b">
        <f>OR(LCI_Table[[#This Row],[Data Source]]="All",LCI_Table[[#This Row],[Data Source]]=SelectedDataSource)</f>
        <v>0</v>
      </c>
      <c r="L1614" s="14" t="b">
        <f>TRUE</f>
        <v>1</v>
      </c>
      <c r="M1614" s="14" t="b">
        <f>(LCI_Table[[#This Row],[Dev Notes]]="Do not display")</f>
        <v>0</v>
      </c>
      <c r="N1614" s="14" t="b">
        <f>AND(LCI_Table[[#This Row],[Show Feedstock]:[Conditional]],NOT(LCI_Table[[#This Row],[Hide Row]]))</f>
        <v>0</v>
      </c>
      <c r="O1614" s="14" t="b">
        <f>LCI_Table[[#This Row],[GREET1 Name Range]]=""</f>
        <v>0</v>
      </c>
      <c r="P1614" s="14" t="s">
        <v>1448</v>
      </c>
      <c r="Q1614" s="14" t="s">
        <v>564</v>
      </c>
      <c r="R1614" s="14" t="s">
        <v>388</v>
      </c>
      <c r="S1614" s="37" cm="1">
        <f t="array" aca="1" ref="S16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14" s="346" t="s">
        <v>2119</v>
      </c>
      <c r="U1614" s="357">
        <f t="shared" ref="U1614" ca="1" si="20">S1614*lb2kg/mmBTU2MJ</f>
        <v>0</v>
      </c>
      <c r="V1614" s="347">
        <v>0</v>
      </c>
      <c r="W1614" s="357">
        <v>0</v>
      </c>
      <c r="X1614" s="14" t="s">
        <v>12</v>
      </c>
      <c r="Y1614" s="346" t="s">
        <v>416</v>
      </c>
      <c r="Z1614" s="14" t="str">
        <f>IF(ISBLANK(LCI_Table[[#This Row],[Notes for user]])," ",LCI_Table[[#This Row],[Notes for user]])</f>
        <v xml:space="preserve"> </v>
      </c>
      <c r="AA1614" s="14"/>
      <c r="AB1614" s="14"/>
      <c r="AC1614" s="346">
        <f ca="1">LCI_Table[[#This Row],[Default Calculated Value]]-LCI_Table[[#This Row],[Calculated Value]]</f>
        <v>0</v>
      </c>
    </row>
    <row r="1615" spans="1:29" x14ac:dyDescent="0.3">
      <c r="A16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stoverATJ-ethanolICAOConsensusIntegrated_Cellulosic_ETJ_DieselDiesel</v>
      </c>
      <c r="B1615" s="14" t="s">
        <v>135</v>
      </c>
      <c r="C1615" s="14" t="s">
        <v>1964</v>
      </c>
      <c r="D1615" s="14" t="s">
        <v>194</v>
      </c>
      <c r="E1615" s="48" t="s">
        <v>1399</v>
      </c>
      <c r="F1615" s="48" t="s">
        <v>1398</v>
      </c>
      <c r="G1615" s="14" t="b">
        <f>OR(LCI_Table[[#This Row],[Feedstock]]="All",LCI_Table[[#This Row],[Feedstock]]=SelectedFeedstock)</f>
        <v>0</v>
      </c>
      <c r="H1615" s="14" t="b">
        <f>OR(LCI_Table[[#This Row],[Conversion]]="All",LCI_Table[[#This Row],[Conversion]]=SelectedConversion)</f>
        <v>0</v>
      </c>
      <c r="I1615" s="14" t="b">
        <f>OR(LCI_Table[[#This Row],[Data Set]]="all",LCI_Table[[#This Row],[Data Set]]=SelectedDataSet)</f>
        <v>0</v>
      </c>
      <c r="J1615" s="14" t="b">
        <f>OR(LCI_Table[[#This Row],[Technology]]="All",LCI_Table[[#This Row],[Technology]]=SelectedTechnology)</f>
        <v>0</v>
      </c>
      <c r="K1615" s="14" t="b">
        <f>OR(LCI_Table[[#This Row],[Data Source]]="All",LCI_Table[[#This Row],[Data Source]]=SelectedDataSource)</f>
        <v>0</v>
      </c>
      <c r="L1615" s="14" t="b">
        <f>TRUE</f>
        <v>1</v>
      </c>
      <c r="M1615" s="14" t="b">
        <f>(LCI_Table[[#This Row],[Dev Notes]]="Do not display")</f>
        <v>0</v>
      </c>
      <c r="N1615" s="14" t="b">
        <f>AND(LCI_Table[[#This Row],[Show Feedstock]:[Conditional]],NOT(LCI_Table[[#This Row],[Hide Row]]))</f>
        <v>0</v>
      </c>
      <c r="O1615" s="14" t="b">
        <f>LCI_Table[[#This Row],[GREET1 Name Range]]=""</f>
        <v>0</v>
      </c>
      <c r="P1615" s="14" t="s">
        <v>1448</v>
      </c>
      <c r="Q1615" s="14" t="s">
        <v>945</v>
      </c>
      <c r="R1615" s="14" t="s">
        <v>106</v>
      </c>
      <c r="S1615" s="37" cm="1">
        <f t="array" aca="1" ref="S16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1.9170219882736358E-2</v>
      </c>
      <c r="T1615" s="346" t="s">
        <v>2128</v>
      </c>
      <c r="U1615" s="357">
        <f ca="1">S1615*Fuel_Specs!$B$19*BTU2MJ/mmBTU2MJ</f>
        <v>2.462414743937485E-3</v>
      </c>
      <c r="V1615" s="347">
        <v>1.9170219882736358E-2</v>
      </c>
      <c r="W1615" s="357">
        <v>2.462414743937485E-3</v>
      </c>
      <c r="X1615" s="14" t="s">
        <v>5</v>
      </c>
      <c r="Y1615" s="346" t="s">
        <v>416</v>
      </c>
      <c r="Z1615" s="14" t="str">
        <f>IF(ISBLANK(LCI_Table[[#This Row],[Notes for user]])," ",LCI_Table[[#This Row],[Notes for user]])</f>
        <v xml:space="preserve"> </v>
      </c>
      <c r="AA1615" s="14"/>
      <c r="AB1615" s="14"/>
      <c r="AC1615" s="346">
        <f ca="1">LCI_Table[[#This Row],[Default Calculated Value]]-LCI_Table[[#This Row],[Calculated Value]]</f>
        <v>0</v>
      </c>
    </row>
    <row r="1616" spans="1:29" x14ac:dyDescent="0.3">
      <c r="A16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stoverATJ-ethanolICAOConsensusIntegrated_Cellulosic_ETJ_HydrogenHydrogen</v>
      </c>
      <c r="B1616" s="358" t="s">
        <v>135</v>
      </c>
      <c r="C1616" s="358" t="s">
        <v>1964</v>
      </c>
      <c r="D1616" s="358" t="s">
        <v>194</v>
      </c>
      <c r="E1616" s="48" t="s">
        <v>1399</v>
      </c>
      <c r="F1616" s="48" t="s">
        <v>1398</v>
      </c>
      <c r="G1616" s="14" t="b">
        <f>OR(LCI_Table[[#This Row],[Feedstock]]="All",LCI_Table[[#This Row],[Feedstock]]=SelectedFeedstock)</f>
        <v>0</v>
      </c>
      <c r="H1616" s="14" t="b">
        <f>OR(LCI_Table[[#This Row],[Conversion]]="All",LCI_Table[[#This Row],[Conversion]]=SelectedConversion)</f>
        <v>0</v>
      </c>
      <c r="I1616" s="14" t="b">
        <f>OR(LCI_Table[[#This Row],[Data Set]]="all",LCI_Table[[#This Row],[Data Set]]=SelectedDataSet)</f>
        <v>0</v>
      </c>
      <c r="J1616" s="14" t="b">
        <f>OR(LCI_Table[[#This Row],[Technology]]="All",LCI_Table[[#This Row],[Technology]]=SelectedTechnology)</f>
        <v>0</v>
      </c>
      <c r="K1616" s="14" t="b">
        <f>OR(LCI_Table[[#This Row],[Data Source]]="All",LCI_Table[[#This Row],[Data Source]]=SelectedDataSource)</f>
        <v>0</v>
      </c>
      <c r="L1616" s="14" t="b">
        <f>TRUE</f>
        <v>1</v>
      </c>
      <c r="M1616" s="14" t="b">
        <f>(LCI_Table[[#This Row],[Dev Notes]]="Do not display")</f>
        <v>0</v>
      </c>
      <c r="N1616" s="14" t="b">
        <f>AND(LCI_Table[[#This Row],[Show Feedstock]:[Conditional]],NOT(LCI_Table[[#This Row],[Hide Row]]))</f>
        <v>0</v>
      </c>
      <c r="O1616" s="14" t="b">
        <f>LCI_Table[[#This Row],[GREET1 Name Range]]=""</f>
        <v>0</v>
      </c>
      <c r="P1616" s="358" t="s">
        <v>1448</v>
      </c>
      <c r="Q1616" s="14" t="s">
        <v>565</v>
      </c>
      <c r="R1616" s="358" t="s">
        <v>73</v>
      </c>
      <c r="S1616" s="37" cm="1">
        <f t="array" aca="1" ref="S16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234.03477422694456</v>
      </c>
      <c r="T1616" s="346" t="s">
        <v>2120</v>
      </c>
      <c r="U1616" s="362">
        <f ca="1">S1616*Fuel_Specs!$E$81*g2kg/mmBTU2MJ</f>
        <v>5.656465240951071E-4</v>
      </c>
      <c r="V1616" s="359">
        <v>234.03477422694456</v>
      </c>
      <c r="W1616" s="362">
        <v>5.656465240951071E-4</v>
      </c>
      <c r="X1616" s="360" t="s">
        <v>351</v>
      </c>
      <c r="Y1616" s="346" t="s">
        <v>416</v>
      </c>
      <c r="Z1616" s="14" t="str">
        <f>IF(ISBLANK(LCI_Table[[#This Row],[Notes for user]])," ",LCI_Table[[#This Row],[Notes for user]])</f>
        <v xml:space="preserve"> </v>
      </c>
      <c r="AA1616" s="358"/>
      <c r="AB1616" s="358"/>
      <c r="AC1616" s="346">
        <f ca="1">LCI_Table[[#This Row],[Default Calculated Value]]-LCI_Table[[#This Row],[Calculated Value]]</f>
        <v>0</v>
      </c>
    </row>
    <row r="1617" spans="1:29" x14ac:dyDescent="0.3">
      <c r="A16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stoverATJ-ethanolICAOConsensusIntegrated_Cellulosic_ETJ_Natural_gasNatural gas</v>
      </c>
      <c r="B1617" s="14" t="s">
        <v>135</v>
      </c>
      <c r="C1617" s="14" t="s">
        <v>1964</v>
      </c>
      <c r="D1617" s="14" t="s">
        <v>194</v>
      </c>
      <c r="E1617" s="48" t="s">
        <v>1399</v>
      </c>
      <c r="F1617" s="48" t="s">
        <v>1398</v>
      </c>
      <c r="G1617" s="14" t="b">
        <f>OR(LCI_Table[[#This Row],[Feedstock]]="All",LCI_Table[[#This Row],[Feedstock]]=SelectedFeedstock)</f>
        <v>0</v>
      </c>
      <c r="H1617" s="14" t="b">
        <f>OR(LCI_Table[[#This Row],[Conversion]]="All",LCI_Table[[#This Row],[Conversion]]=SelectedConversion)</f>
        <v>0</v>
      </c>
      <c r="I1617" s="14" t="b">
        <f>OR(LCI_Table[[#This Row],[Data Set]]="all",LCI_Table[[#This Row],[Data Set]]=SelectedDataSet)</f>
        <v>0</v>
      </c>
      <c r="J1617" s="14" t="b">
        <f>OR(LCI_Table[[#This Row],[Technology]]="All",LCI_Table[[#This Row],[Technology]]=SelectedTechnology)</f>
        <v>0</v>
      </c>
      <c r="K1617" s="14" t="b">
        <f>OR(LCI_Table[[#This Row],[Data Source]]="All",LCI_Table[[#This Row],[Data Source]]=SelectedDataSource)</f>
        <v>0</v>
      </c>
      <c r="L1617" s="14" t="b">
        <f>TRUE</f>
        <v>1</v>
      </c>
      <c r="M1617" s="14" t="b">
        <f>(LCI_Table[[#This Row],[Dev Notes]]="Do not display")</f>
        <v>0</v>
      </c>
      <c r="N1617" s="14" t="b">
        <f>AND(LCI_Table[[#This Row],[Show Feedstock]:[Conditional]],NOT(LCI_Table[[#This Row],[Hide Row]]))</f>
        <v>0</v>
      </c>
      <c r="O1617" s="14" t="b">
        <f>LCI_Table[[#This Row],[GREET1 Name Range]]=""</f>
        <v>0</v>
      </c>
      <c r="P1617" s="14" t="s">
        <v>1448</v>
      </c>
      <c r="Q1617" s="14" t="s">
        <v>946</v>
      </c>
      <c r="R1617" s="14" t="s">
        <v>108</v>
      </c>
      <c r="S1617" s="37" cm="1">
        <f t="array" aca="1" ref="S16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17" s="346" t="s">
        <v>2120</v>
      </c>
      <c r="U1617" s="347">
        <f ca="1">S1617*Fuel_Specs!$E$79*g2kg/mmBTU2MJ</f>
        <v>0</v>
      </c>
      <c r="V1617" s="347">
        <v>0</v>
      </c>
      <c r="W1617" s="347">
        <v>0</v>
      </c>
      <c r="X1617" s="14" t="s">
        <v>351</v>
      </c>
      <c r="Y1617" s="346" t="s">
        <v>416</v>
      </c>
      <c r="Z1617" s="14" t="str">
        <f>IF(ISBLANK(LCI_Table[[#This Row],[Notes for user]])," ",LCI_Table[[#This Row],[Notes for user]])</f>
        <v xml:space="preserve"> </v>
      </c>
      <c r="AA1617" s="14"/>
      <c r="AB1617" s="14"/>
      <c r="AC1617" s="346">
        <f ca="1">LCI_Table[[#This Row],[Default Calculated Value]]-LCI_Table[[#This Row],[Calculated Value]]</f>
        <v>0</v>
      </c>
    </row>
    <row r="1618" spans="1:29" x14ac:dyDescent="0.3">
      <c r="A16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stoverATJ-ethanolICAOConsensusIntegrated_Cellulosic_ETJ_ElectricityGrid Electricity</v>
      </c>
      <c r="B1618" s="14" t="s">
        <v>135</v>
      </c>
      <c r="C1618" s="14" t="s">
        <v>1964</v>
      </c>
      <c r="D1618" s="14" t="s">
        <v>194</v>
      </c>
      <c r="E1618" s="48" t="s">
        <v>1399</v>
      </c>
      <c r="F1618" s="48" t="s">
        <v>1398</v>
      </c>
      <c r="G1618" s="14" t="b">
        <f>OR(LCI_Table[[#This Row],[Feedstock]]="All",LCI_Table[[#This Row],[Feedstock]]=SelectedFeedstock)</f>
        <v>0</v>
      </c>
      <c r="H1618" s="14" t="b">
        <f>OR(LCI_Table[[#This Row],[Conversion]]="All",LCI_Table[[#This Row],[Conversion]]=SelectedConversion)</f>
        <v>0</v>
      </c>
      <c r="I1618" s="14" t="b">
        <f>OR(LCI_Table[[#This Row],[Data Set]]="all",LCI_Table[[#This Row],[Data Set]]=SelectedDataSet)</f>
        <v>0</v>
      </c>
      <c r="J1618" s="14" t="b">
        <f>OR(LCI_Table[[#This Row],[Technology]]="All",LCI_Table[[#This Row],[Technology]]=SelectedTechnology)</f>
        <v>0</v>
      </c>
      <c r="K1618" s="14" t="b">
        <f>OR(LCI_Table[[#This Row],[Data Source]]="All",LCI_Table[[#This Row],[Data Source]]=SelectedDataSource)</f>
        <v>0</v>
      </c>
      <c r="L1618" s="14" t="b">
        <f>TRUE</f>
        <v>1</v>
      </c>
      <c r="M1618" s="14" t="b">
        <f>(LCI_Table[[#This Row],[Dev Notes]]="Do not display")</f>
        <v>0</v>
      </c>
      <c r="N1618" s="14" t="b">
        <f>AND(LCI_Table[[#This Row],[Show Feedstock]:[Conditional]],NOT(LCI_Table[[#This Row],[Hide Row]]))</f>
        <v>0</v>
      </c>
      <c r="O1618" s="14" t="b">
        <f>LCI_Table[[#This Row],[GREET1 Name Range]]=""</f>
        <v>0</v>
      </c>
      <c r="P1618" s="14" t="s">
        <v>1448</v>
      </c>
      <c r="Q1618" s="14" t="s">
        <v>947</v>
      </c>
      <c r="R1618" s="14" t="s">
        <v>1684</v>
      </c>
      <c r="S1618" s="37" cm="1">
        <f t="array" aca="1" ref="S16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18" s="346" t="s">
        <v>2121</v>
      </c>
      <c r="U1618" s="347">
        <f ca="1">S1618/mmBTU2MJ</f>
        <v>0</v>
      </c>
      <c r="V1618" s="347">
        <v>0</v>
      </c>
      <c r="W1618" s="347">
        <v>0</v>
      </c>
      <c r="X1618" s="37" t="s">
        <v>51</v>
      </c>
      <c r="Y1618" s="346" t="s">
        <v>416</v>
      </c>
      <c r="Z1618" s="14" t="str">
        <f>IF(ISBLANK(LCI_Table[[#This Row],[Notes for user]])," ",LCI_Table[[#This Row],[Notes for user]])</f>
        <v xml:space="preserve"> </v>
      </c>
      <c r="AA1618" s="14"/>
      <c r="AB1618" s="14"/>
      <c r="AC1618" s="346">
        <f ca="1">LCI_Table[[#This Row],[Default Calculated Value]]-LCI_Table[[#This Row],[Calculated Value]]</f>
        <v>0</v>
      </c>
    </row>
    <row r="1619" spans="1:29" x14ac:dyDescent="0.3">
      <c r="A16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stoverATJ-ethanolICAOConsensusIntegrated_Cellulosic_ETJ_CatalystsCatalysts</v>
      </c>
      <c r="B1619" s="14" t="s">
        <v>135</v>
      </c>
      <c r="C1619" s="14" t="s">
        <v>1964</v>
      </c>
      <c r="D1619" s="14" t="s">
        <v>194</v>
      </c>
      <c r="E1619" s="48" t="s">
        <v>1399</v>
      </c>
      <c r="F1619" s="48" t="s">
        <v>1398</v>
      </c>
      <c r="G1619" s="14" t="b">
        <f>OR(LCI_Table[[#This Row],[Feedstock]]="All",LCI_Table[[#This Row],[Feedstock]]=SelectedFeedstock)</f>
        <v>0</v>
      </c>
      <c r="H1619" s="14" t="b">
        <f>OR(LCI_Table[[#This Row],[Conversion]]="All",LCI_Table[[#This Row],[Conversion]]=SelectedConversion)</f>
        <v>0</v>
      </c>
      <c r="I1619" s="14" t="b">
        <f>OR(LCI_Table[[#This Row],[Data Set]]="all",LCI_Table[[#This Row],[Data Set]]=SelectedDataSet)</f>
        <v>0</v>
      </c>
      <c r="J1619" s="14" t="b">
        <f>OR(LCI_Table[[#This Row],[Technology]]="All",LCI_Table[[#This Row],[Technology]]=SelectedTechnology)</f>
        <v>0</v>
      </c>
      <c r="K1619" s="14" t="b">
        <f>OR(LCI_Table[[#This Row],[Data Source]]="All",LCI_Table[[#This Row],[Data Source]]=SelectedDataSource)</f>
        <v>0</v>
      </c>
      <c r="L1619" s="14" t="b">
        <f>TRUE</f>
        <v>1</v>
      </c>
      <c r="M1619" s="14" t="b">
        <f>(LCI_Table[[#This Row],[Dev Notes]]="Do not display")</f>
        <v>0</v>
      </c>
      <c r="N1619" s="14" t="b">
        <f>AND(LCI_Table[[#This Row],[Show Feedstock]:[Conditional]],NOT(LCI_Table[[#This Row],[Hide Row]]))</f>
        <v>0</v>
      </c>
      <c r="O1619" s="14" t="b">
        <f>LCI_Table[[#This Row],[GREET1 Name Range]]=""</f>
        <v>0</v>
      </c>
      <c r="P1619" s="14" t="s">
        <v>1448</v>
      </c>
      <c r="Q1619" s="14" t="s">
        <v>558</v>
      </c>
      <c r="R1619" s="14" t="s">
        <v>142</v>
      </c>
      <c r="S1619" s="37" cm="1">
        <f t="array" aca="1" ref="S16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19" s="346" t="s">
        <v>2119</v>
      </c>
      <c r="U1619" s="357">
        <f ca="1">S1619*lb2kg/mmBTU2MJ</f>
        <v>0</v>
      </c>
      <c r="V1619" s="347">
        <v>0</v>
      </c>
      <c r="W1619" s="347">
        <v>0</v>
      </c>
      <c r="X1619" s="37" t="s">
        <v>12</v>
      </c>
      <c r="Y1619" s="346" t="s">
        <v>416</v>
      </c>
      <c r="Z1619" s="14" t="str">
        <f>IF(ISBLANK(LCI_Table[[#This Row],[Notes for user]])," ",LCI_Table[[#This Row],[Notes for user]])</f>
        <v xml:space="preserve"> </v>
      </c>
      <c r="AA1619" s="14"/>
      <c r="AB1619" s="14"/>
      <c r="AC1619" s="346">
        <f ca="1">LCI_Table[[#This Row],[Default Calculated Value]]-LCI_Table[[#This Row],[Calculated Value]]</f>
        <v>0</v>
      </c>
    </row>
    <row r="1620" spans="1:29" x14ac:dyDescent="0.3">
      <c r="A16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stoverATJ-ethanolICAOConsensusIntegrated_Cellulosic_ETJ_WaterWater</v>
      </c>
      <c r="B1620" s="14" t="s">
        <v>135</v>
      </c>
      <c r="C1620" s="14" t="s">
        <v>1964</v>
      </c>
      <c r="D1620" s="14" t="s">
        <v>194</v>
      </c>
      <c r="E1620" s="48" t="s">
        <v>1399</v>
      </c>
      <c r="F1620" s="48" t="s">
        <v>1398</v>
      </c>
      <c r="G1620" s="14" t="b">
        <f>OR(LCI_Table[[#This Row],[Feedstock]]="All",LCI_Table[[#This Row],[Feedstock]]=SelectedFeedstock)</f>
        <v>0</v>
      </c>
      <c r="H1620" s="14" t="b">
        <f>OR(LCI_Table[[#This Row],[Conversion]]="All",LCI_Table[[#This Row],[Conversion]]=SelectedConversion)</f>
        <v>0</v>
      </c>
      <c r="I1620" s="14" t="b">
        <f>OR(LCI_Table[[#This Row],[Data Set]]="all",LCI_Table[[#This Row],[Data Set]]=SelectedDataSet)</f>
        <v>0</v>
      </c>
      <c r="J1620" s="14" t="b">
        <f>OR(LCI_Table[[#This Row],[Technology]]="All",LCI_Table[[#This Row],[Technology]]=SelectedTechnology)</f>
        <v>0</v>
      </c>
      <c r="K1620" s="14" t="b">
        <f>OR(LCI_Table[[#This Row],[Data Source]]="All",LCI_Table[[#This Row],[Data Source]]=SelectedDataSource)</f>
        <v>0</v>
      </c>
      <c r="L1620" s="14" t="b">
        <f>TRUE</f>
        <v>1</v>
      </c>
      <c r="M1620" s="14" t="b">
        <f>(LCI_Table[[#This Row],[Dev Notes]]="Do not display")</f>
        <v>0</v>
      </c>
      <c r="N1620" s="14" t="b">
        <f>AND(LCI_Table[[#This Row],[Show Feedstock]:[Conditional]],NOT(LCI_Table[[#This Row],[Hide Row]]))</f>
        <v>0</v>
      </c>
      <c r="O1620" s="14" t="b">
        <f>LCI_Table[[#This Row],[GREET1 Name Range]]=""</f>
        <v>0</v>
      </c>
      <c r="P1620" s="14" t="s">
        <v>1448</v>
      </c>
      <c r="Q1620" s="14" t="s">
        <v>569</v>
      </c>
      <c r="R1620" s="14" t="s">
        <v>146</v>
      </c>
      <c r="S1620" s="37" cm="1">
        <f t="array" aca="1" ref="S16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20" s="346" t="s">
        <v>2128</v>
      </c>
      <c r="U1620" s="347">
        <f ca="1">S1620/mmBTU2MJ</f>
        <v>0</v>
      </c>
      <c r="V1620" s="347">
        <v>0</v>
      </c>
      <c r="W1620" s="347">
        <v>0</v>
      </c>
      <c r="X1620" s="37" t="s">
        <v>5</v>
      </c>
      <c r="Y1620" s="346" t="s">
        <v>416</v>
      </c>
      <c r="Z1620" s="14" t="str">
        <f>IF(ISBLANK(LCI_Table[[#This Row],[Notes for user]])," ",LCI_Table[[#This Row],[Notes for user]])</f>
        <v xml:space="preserve"> </v>
      </c>
      <c r="AA1620" s="14"/>
      <c r="AB1620" s="14"/>
      <c r="AC1620" s="346">
        <f ca="1">LCI_Table[[#This Row],[Default Calculated Value]]-LCI_Table[[#This Row],[Calculated Value]]</f>
        <v>0</v>
      </c>
    </row>
    <row r="1621" spans="1:29" x14ac:dyDescent="0.3">
      <c r="A16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stoverATJ-ethanolICAOConsensusIntegrated_Cellulosic_ETJ_Allocation_FactorAllocation factor</v>
      </c>
      <c r="B1621" s="14" t="s">
        <v>135</v>
      </c>
      <c r="C1621" s="14" t="s">
        <v>1964</v>
      </c>
      <c r="D1621" s="14" t="s">
        <v>194</v>
      </c>
      <c r="E1621" s="48" t="s">
        <v>1399</v>
      </c>
      <c r="F1621" s="48" t="s">
        <v>1398</v>
      </c>
      <c r="G1621" s="14" t="b">
        <f>OR(LCI_Table[[#This Row],[Feedstock]]="All",LCI_Table[[#This Row],[Feedstock]]=SelectedFeedstock)</f>
        <v>0</v>
      </c>
      <c r="H1621" s="14" t="b">
        <f>OR(LCI_Table[[#This Row],[Conversion]]="All",LCI_Table[[#This Row],[Conversion]]=SelectedConversion)</f>
        <v>0</v>
      </c>
      <c r="I1621" s="14" t="b">
        <f>OR(LCI_Table[[#This Row],[Data Set]]="all",LCI_Table[[#This Row],[Data Set]]=SelectedDataSet)</f>
        <v>0</v>
      </c>
      <c r="J1621" s="14" t="b">
        <f>OR(LCI_Table[[#This Row],[Technology]]="All",LCI_Table[[#This Row],[Technology]]=SelectedTechnology)</f>
        <v>0</v>
      </c>
      <c r="K1621" s="14" t="b">
        <f>OR(LCI_Table[[#This Row],[Data Source]]="All",LCI_Table[[#This Row],[Data Source]]=SelectedDataSource)</f>
        <v>0</v>
      </c>
      <c r="L1621" s="14" t="b">
        <f>TRUE</f>
        <v>1</v>
      </c>
      <c r="M1621" s="14" t="b">
        <f>(LCI_Table[[#This Row],[Dev Notes]]="Do not display")</f>
        <v>0</v>
      </c>
      <c r="N1621" s="14" t="b">
        <f>AND(LCI_Table[[#This Row],[Show Feedstock]:[Conditional]],NOT(LCI_Table[[#This Row],[Hide Row]]))</f>
        <v>0</v>
      </c>
      <c r="O1621" s="14" t="b">
        <f>LCI_Table[[#This Row],[GREET1 Name Range]]=""</f>
        <v>0</v>
      </c>
      <c r="P1621" s="14" t="s">
        <v>1448</v>
      </c>
      <c r="Q1621" s="14" t="s">
        <v>1122</v>
      </c>
      <c r="R1621" s="14" t="s">
        <v>1344</v>
      </c>
      <c r="S1621" s="37" cm="1">
        <f t="array" aca="1" ref="S16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92</v>
      </c>
      <c r="T1621" s="346" t="s">
        <v>1345</v>
      </c>
      <c r="U1621" s="347">
        <f ca="1">S1621/100</f>
        <v>0.92</v>
      </c>
      <c r="V1621" s="347">
        <v>92</v>
      </c>
      <c r="W1621" s="347">
        <v>0.92</v>
      </c>
      <c r="X1621" s="37"/>
      <c r="Y1621" s="346"/>
      <c r="Z1621" s="14" t="str">
        <f>IF(ISBLANK(LCI_Table[[#This Row],[Notes for user]])," ",LCI_Table[[#This Row],[Notes for user]])</f>
        <v xml:space="preserve"> </v>
      </c>
      <c r="AA1621" s="14"/>
      <c r="AB1621" s="14"/>
      <c r="AC1621" s="346">
        <f ca="1">LCI_Table[[#This Row],[Default Calculated Value]]-LCI_Table[[#This Row],[Calculated Value]]</f>
        <v>0</v>
      </c>
    </row>
    <row r="1622" spans="1:29" x14ac:dyDescent="0.3">
      <c r="A16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stoverATJ-ethanolICAOConsensusStandalone_Yield_Collection</v>
      </c>
      <c r="B1622" s="48" t="s">
        <v>135</v>
      </c>
      <c r="C1622" s="48" t="s">
        <v>1964</v>
      </c>
      <c r="D1622" s="48" t="s">
        <v>194</v>
      </c>
      <c r="E1622" s="48" t="s">
        <v>1399</v>
      </c>
      <c r="F1622" s="48" t="s">
        <v>137</v>
      </c>
      <c r="G1622" s="14" t="b">
        <f>OR(LCI_Table[[#This Row],[Feedstock]]="All",LCI_Table[[#This Row],[Feedstock]]=SelectedFeedstock)</f>
        <v>0</v>
      </c>
      <c r="H1622" s="14" t="b">
        <f>OR(LCI_Table[[#This Row],[Conversion]]="All",LCI_Table[[#This Row],[Conversion]]=SelectedConversion)</f>
        <v>0</v>
      </c>
      <c r="I1622" s="14" t="b">
        <f>OR(LCI_Table[[#This Row],[Data Set]]="all",LCI_Table[[#This Row],[Data Set]]=SelectedDataSet)</f>
        <v>0</v>
      </c>
      <c r="J1622" s="14" t="b">
        <f>OR(LCI_Table[[#This Row],[Technology]]="All",LCI_Table[[#This Row],[Technology]]=SelectedTechnology)</f>
        <v>0</v>
      </c>
      <c r="K1622" s="14" t="b">
        <f>OR(LCI_Table[[#This Row],[Data Source]]="All",LCI_Table[[#This Row],[Data Source]]=SelectedDataSource)</f>
        <v>0</v>
      </c>
      <c r="L1622" s="14" t="b">
        <f>TRUE</f>
        <v>1</v>
      </c>
      <c r="M1622" s="14" t="b">
        <f>(LCI_Table[[#This Row],[Dev Notes]]="Do not display")</f>
        <v>0</v>
      </c>
      <c r="N1622" s="14" t="b">
        <f>AND(LCI_Table[[#This Row],[Show Feedstock]:[Conditional]],NOT(LCI_Table[[#This Row],[Hide Row]]))</f>
        <v>0</v>
      </c>
      <c r="O1622" s="14" t="b">
        <f>LCI_Table[[#This Row],[GREET1 Name Range]]=""</f>
        <v>1</v>
      </c>
      <c r="P1622" s="48" t="s">
        <v>147</v>
      </c>
      <c r="Q1622" s="14" t="s">
        <v>361</v>
      </c>
      <c r="R1622" s="48" t="s">
        <v>200</v>
      </c>
      <c r="S1622" s="37" cm="1">
        <f t="array" aca="1" ref="S16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1.2844800000000001</v>
      </c>
      <c r="T1622" s="346" t="s">
        <v>2116</v>
      </c>
      <c r="U1622" s="344"/>
      <c r="V1622" s="344">
        <v>1.2844800000000001</v>
      </c>
      <c r="W1622" s="344"/>
      <c r="X1622" s="48" t="s">
        <v>55</v>
      </c>
      <c r="Y1622" s="346" t="s">
        <v>413</v>
      </c>
      <c r="Z1622" s="14" t="str">
        <f>IF(ISBLANK(LCI_Table[[#This Row],[Notes for user]])," ",LCI_Table[[#This Row],[Notes for user]])</f>
        <v>Default value from GREET</v>
      </c>
      <c r="AA1622" s="48" t="s">
        <v>1152</v>
      </c>
      <c r="AB1622" s="345"/>
      <c r="AC1622" s="346">
        <f>LCI_Table[[#This Row],[Default Calculated Value]]-LCI_Table[[#This Row],[Calculated Value]]</f>
        <v>0</v>
      </c>
    </row>
    <row r="1623" spans="1:29" x14ac:dyDescent="0.3">
      <c r="A16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stoverATJ-ethanolICAOConsensusStandalone_CornStover_Farming_Nitrogen_fertilizerNitrogen fertilizer</v>
      </c>
      <c r="B1623" s="14" t="s">
        <v>135</v>
      </c>
      <c r="C1623" s="14" t="s">
        <v>1964</v>
      </c>
      <c r="D1623" s="14" t="s">
        <v>194</v>
      </c>
      <c r="E1623" s="48" t="s">
        <v>1399</v>
      </c>
      <c r="F1623" s="48" t="s">
        <v>137</v>
      </c>
      <c r="G1623" s="14" t="b">
        <f>OR(LCI_Table[[#This Row],[Feedstock]]="All",LCI_Table[[#This Row],[Feedstock]]=SelectedFeedstock)</f>
        <v>0</v>
      </c>
      <c r="H1623" s="14" t="b">
        <f>OR(LCI_Table[[#This Row],[Conversion]]="All",LCI_Table[[#This Row],[Conversion]]=SelectedConversion)</f>
        <v>0</v>
      </c>
      <c r="I1623" s="14" t="b">
        <f>OR(LCI_Table[[#This Row],[Data Set]]="all",LCI_Table[[#This Row],[Data Set]]=SelectedDataSet)</f>
        <v>0</v>
      </c>
      <c r="J1623" s="14" t="b">
        <f>OR(LCI_Table[[#This Row],[Technology]]="All",LCI_Table[[#This Row],[Technology]]=SelectedTechnology)</f>
        <v>0</v>
      </c>
      <c r="K1623" s="14" t="b">
        <f>OR(LCI_Table[[#This Row],[Data Source]]="All",LCI_Table[[#This Row],[Data Source]]=SelectedDataSource)</f>
        <v>0</v>
      </c>
      <c r="L1623" s="14" t="b">
        <f>TRUE</f>
        <v>1</v>
      </c>
      <c r="M1623" s="14" t="b">
        <f>(LCI_Table[[#This Row],[Dev Notes]]="Do not display")</f>
        <v>0</v>
      </c>
      <c r="N1623" s="14" t="b">
        <f>AND(LCI_Table[[#This Row],[Show Feedstock]:[Conditional]],NOT(LCI_Table[[#This Row],[Hide Row]]))</f>
        <v>0</v>
      </c>
      <c r="O1623" s="14" t="b">
        <f>LCI_Table[[#This Row],[GREET1 Name Range]]=""</f>
        <v>0</v>
      </c>
      <c r="P1623" s="14" t="s">
        <v>147</v>
      </c>
      <c r="Q1623" s="14" t="s">
        <v>614</v>
      </c>
      <c r="R1623" s="14" t="s">
        <v>111</v>
      </c>
      <c r="S1623" s="37" cm="1">
        <f t="array" aca="1" ref="S16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23" s="346" t="s">
        <v>1485</v>
      </c>
      <c r="U1623" s="347">
        <f ca="1">S1623/S1622*lb2g</f>
        <v>0</v>
      </c>
      <c r="V1623" s="347">
        <v>0</v>
      </c>
      <c r="W1623" s="347">
        <v>0</v>
      </c>
      <c r="X1623" s="14" t="s">
        <v>12</v>
      </c>
      <c r="Y1623" s="346" t="s">
        <v>413</v>
      </c>
      <c r="Z1623" s="14" t="str">
        <f>IF(ISBLANK(LCI_Table[[#This Row],[Notes for user]])," ",LCI_Table[[#This Row],[Notes for user]])</f>
        <v xml:space="preserve"> </v>
      </c>
      <c r="AA1623" s="14"/>
      <c r="AB1623" s="14"/>
      <c r="AC1623" s="346">
        <f ca="1">LCI_Table[[#This Row],[Default Calculated Value]]-LCI_Table[[#This Row],[Calculated Value]]</f>
        <v>0</v>
      </c>
    </row>
    <row r="1624" spans="1:29" x14ac:dyDescent="0.3">
      <c r="A16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stoverATJ-ethanolICAOConsensusStandalone_CornStover_Farming_P2O5P2O5</v>
      </c>
      <c r="B1624" s="14" t="s">
        <v>135</v>
      </c>
      <c r="C1624" s="14" t="s">
        <v>1964</v>
      </c>
      <c r="D1624" s="14" t="s">
        <v>194</v>
      </c>
      <c r="E1624" s="48" t="s">
        <v>1399</v>
      </c>
      <c r="F1624" s="48" t="s">
        <v>137</v>
      </c>
      <c r="G1624" s="14" t="b">
        <f>OR(LCI_Table[[#This Row],[Feedstock]]="All",LCI_Table[[#This Row],[Feedstock]]=SelectedFeedstock)</f>
        <v>0</v>
      </c>
      <c r="H1624" s="14" t="b">
        <f>OR(LCI_Table[[#This Row],[Conversion]]="All",LCI_Table[[#This Row],[Conversion]]=SelectedConversion)</f>
        <v>0</v>
      </c>
      <c r="I1624" s="14" t="b">
        <f>OR(LCI_Table[[#This Row],[Data Set]]="all",LCI_Table[[#This Row],[Data Set]]=SelectedDataSet)</f>
        <v>0</v>
      </c>
      <c r="J1624" s="14" t="b">
        <f>OR(LCI_Table[[#This Row],[Technology]]="All",LCI_Table[[#This Row],[Technology]]=SelectedTechnology)</f>
        <v>0</v>
      </c>
      <c r="K1624" s="14" t="b">
        <f>OR(LCI_Table[[#This Row],[Data Source]]="All",LCI_Table[[#This Row],[Data Source]]=SelectedDataSource)</f>
        <v>0</v>
      </c>
      <c r="L1624" s="14" t="b">
        <f>TRUE</f>
        <v>1</v>
      </c>
      <c r="M1624" s="14" t="b">
        <f>(LCI_Table[[#This Row],[Dev Notes]]="Do not display")</f>
        <v>0</v>
      </c>
      <c r="N1624" s="14" t="b">
        <f>AND(LCI_Table[[#This Row],[Show Feedstock]:[Conditional]],NOT(LCI_Table[[#This Row],[Hide Row]]))</f>
        <v>0</v>
      </c>
      <c r="O1624" s="14" t="b">
        <f>LCI_Table[[#This Row],[GREET1 Name Range]]=""</f>
        <v>0</v>
      </c>
      <c r="P1624" s="14" t="s">
        <v>147</v>
      </c>
      <c r="Q1624" s="14" t="s">
        <v>615</v>
      </c>
      <c r="R1624" s="14" t="s">
        <v>112</v>
      </c>
      <c r="S1624" s="37" cm="1">
        <f t="array" aca="1" ref="S16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24" s="346" t="s">
        <v>1485</v>
      </c>
      <c r="U1624" s="347">
        <f ca="1">S1624/S1622*lb2g</f>
        <v>0</v>
      </c>
      <c r="V1624" s="347">
        <v>0</v>
      </c>
      <c r="W1624" s="347">
        <v>0</v>
      </c>
      <c r="X1624" s="14" t="s">
        <v>12</v>
      </c>
      <c r="Y1624" s="346" t="s">
        <v>413</v>
      </c>
      <c r="Z1624" s="14" t="str">
        <f>IF(ISBLANK(LCI_Table[[#This Row],[Notes for user]])," ",LCI_Table[[#This Row],[Notes for user]])</f>
        <v xml:space="preserve"> </v>
      </c>
      <c r="AA1624" s="14"/>
      <c r="AB1624" s="14"/>
      <c r="AC1624" s="346">
        <f ca="1">LCI_Table[[#This Row],[Default Calculated Value]]-LCI_Table[[#This Row],[Calculated Value]]</f>
        <v>0</v>
      </c>
    </row>
    <row r="1625" spans="1:29" x14ac:dyDescent="0.3">
      <c r="A16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stoverATJ-ethanolICAOConsensusStandalone_CornStover_Farming_K2OK2O</v>
      </c>
      <c r="B1625" s="14" t="s">
        <v>135</v>
      </c>
      <c r="C1625" s="14" t="s">
        <v>1964</v>
      </c>
      <c r="D1625" s="14" t="s">
        <v>194</v>
      </c>
      <c r="E1625" s="48" t="s">
        <v>1399</v>
      </c>
      <c r="F1625" s="48" t="s">
        <v>137</v>
      </c>
      <c r="G1625" s="14" t="b">
        <f>OR(LCI_Table[[#This Row],[Feedstock]]="All",LCI_Table[[#This Row],[Feedstock]]=SelectedFeedstock)</f>
        <v>0</v>
      </c>
      <c r="H1625" s="14" t="b">
        <f>OR(LCI_Table[[#This Row],[Conversion]]="All",LCI_Table[[#This Row],[Conversion]]=SelectedConversion)</f>
        <v>0</v>
      </c>
      <c r="I1625" s="14" t="b">
        <f>OR(LCI_Table[[#This Row],[Data Set]]="all",LCI_Table[[#This Row],[Data Set]]=SelectedDataSet)</f>
        <v>0</v>
      </c>
      <c r="J1625" s="14" t="b">
        <f>OR(LCI_Table[[#This Row],[Technology]]="All",LCI_Table[[#This Row],[Technology]]=SelectedTechnology)</f>
        <v>0</v>
      </c>
      <c r="K1625" s="14" t="b">
        <f>OR(LCI_Table[[#This Row],[Data Source]]="All",LCI_Table[[#This Row],[Data Source]]=SelectedDataSource)</f>
        <v>0</v>
      </c>
      <c r="L1625" s="14" t="b">
        <f>TRUE</f>
        <v>1</v>
      </c>
      <c r="M1625" s="14" t="b">
        <f>(LCI_Table[[#This Row],[Dev Notes]]="Do not display")</f>
        <v>0</v>
      </c>
      <c r="N1625" s="14" t="b">
        <f>AND(LCI_Table[[#This Row],[Show Feedstock]:[Conditional]],NOT(LCI_Table[[#This Row],[Hide Row]]))</f>
        <v>0</v>
      </c>
      <c r="O1625" s="14" t="b">
        <f>LCI_Table[[#This Row],[GREET1 Name Range]]=""</f>
        <v>0</v>
      </c>
      <c r="P1625" s="14" t="s">
        <v>147</v>
      </c>
      <c r="Q1625" s="14" t="s">
        <v>611</v>
      </c>
      <c r="R1625" s="14" t="s">
        <v>113</v>
      </c>
      <c r="S1625" s="37" cm="1">
        <f t="array" aca="1" ref="S16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25" s="346" t="s">
        <v>1485</v>
      </c>
      <c r="U1625" s="347">
        <f ca="1">S1625/S1622*lb2g</f>
        <v>0</v>
      </c>
      <c r="V1625" s="347">
        <v>0</v>
      </c>
      <c r="W1625" s="347">
        <v>0</v>
      </c>
      <c r="X1625" s="14" t="s">
        <v>12</v>
      </c>
      <c r="Y1625" s="346" t="s">
        <v>413</v>
      </c>
      <c r="Z1625" s="14" t="str">
        <f>IF(ISBLANK(LCI_Table[[#This Row],[Notes for user]])," ",LCI_Table[[#This Row],[Notes for user]])</f>
        <v xml:space="preserve"> </v>
      </c>
      <c r="AA1625" s="14"/>
      <c r="AB1625" s="14"/>
      <c r="AC1625" s="346">
        <f ca="1">LCI_Table[[#This Row],[Default Calculated Value]]-LCI_Table[[#This Row],[Calculated Value]]</f>
        <v>0</v>
      </c>
    </row>
    <row r="1626" spans="1:29" x14ac:dyDescent="0.3">
      <c r="A16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stoverATJ-ethanolICAOConsensusStandalone_CornStover_Farming_HerbicidesCaCO3</v>
      </c>
      <c r="B1626" s="14" t="s">
        <v>135</v>
      </c>
      <c r="C1626" s="14" t="s">
        <v>1964</v>
      </c>
      <c r="D1626" s="14" t="s">
        <v>194</v>
      </c>
      <c r="E1626" s="48" t="s">
        <v>1399</v>
      </c>
      <c r="F1626" s="48" t="s">
        <v>137</v>
      </c>
      <c r="G1626" s="14" t="b">
        <f>OR(LCI_Table[[#This Row],[Feedstock]]="All",LCI_Table[[#This Row],[Feedstock]]=SelectedFeedstock)</f>
        <v>0</v>
      </c>
      <c r="H1626" s="14" t="b">
        <f>OR(LCI_Table[[#This Row],[Conversion]]="All",LCI_Table[[#This Row],[Conversion]]=SelectedConversion)</f>
        <v>0</v>
      </c>
      <c r="I1626" s="14" t="b">
        <f>OR(LCI_Table[[#This Row],[Data Set]]="all",LCI_Table[[#This Row],[Data Set]]=SelectedDataSet)</f>
        <v>0</v>
      </c>
      <c r="J1626" s="14" t="b">
        <f>OR(LCI_Table[[#This Row],[Technology]]="All",LCI_Table[[#This Row],[Technology]]=SelectedTechnology)</f>
        <v>0</v>
      </c>
      <c r="K1626" s="14" t="b">
        <f>OR(LCI_Table[[#This Row],[Data Source]]="All",LCI_Table[[#This Row],[Data Source]]=SelectedDataSource)</f>
        <v>0</v>
      </c>
      <c r="L1626" s="14" t="b">
        <f>TRUE</f>
        <v>1</v>
      </c>
      <c r="M1626" s="14" t="b">
        <f>(LCI_Table[[#This Row],[Dev Notes]]="Do not display")</f>
        <v>0</v>
      </c>
      <c r="N1626" s="14" t="b">
        <f>AND(LCI_Table[[#This Row],[Show Feedstock]:[Conditional]],NOT(LCI_Table[[#This Row],[Hide Row]]))</f>
        <v>0</v>
      </c>
      <c r="O1626" s="14" t="b">
        <f>LCI_Table[[#This Row],[GREET1 Name Range]]=""</f>
        <v>0</v>
      </c>
      <c r="P1626" s="14" t="s">
        <v>147</v>
      </c>
      <c r="Q1626" s="14" t="s">
        <v>609</v>
      </c>
      <c r="R1626" s="14" t="s">
        <v>141</v>
      </c>
      <c r="S1626" s="37" cm="1">
        <f t="array" aca="1" ref="S16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26" s="346" t="s">
        <v>1485</v>
      </c>
      <c r="U1626" s="347">
        <f ca="1">S1626/S1622*lb2g</f>
        <v>0</v>
      </c>
      <c r="V1626" s="347">
        <v>0</v>
      </c>
      <c r="W1626" s="347">
        <v>0</v>
      </c>
      <c r="X1626" s="14" t="s">
        <v>12</v>
      </c>
      <c r="Y1626" s="346" t="s">
        <v>413</v>
      </c>
      <c r="Z1626" s="14" t="str">
        <f>IF(ISBLANK(LCI_Table[[#This Row],[Notes for user]])," ",LCI_Table[[#This Row],[Notes for user]])</f>
        <v xml:space="preserve"> </v>
      </c>
      <c r="AA1626" s="14"/>
      <c r="AB1626" s="14"/>
      <c r="AC1626" s="346">
        <f ca="1">LCI_Table[[#This Row],[Default Calculated Value]]-LCI_Table[[#This Row],[Calculated Value]]</f>
        <v>0</v>
      </c>
    </row>
    <row r="1627" spans="1:29" x14ac:dyDescent="0.3">
      <c r="A16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stoverATJ-ethanolICAOConsensusStandalone_CornStover_Farming_InsecticideHerbicides</v>
      </c>
      <c r="B1627" s="14" t="s">
        <v>135</v>
      </c>
      <c r="C1627" s="14" t="s">
        <v>1964</v>
      </c>
      <c r="D1627" s="14" t="s">
        <v>194</v>
      </c>
      <c r="E1627" s="48" t="s">
        <v>1399</v>
      </c>
      <c r="F1627" s="48" t="s">
        <v>137</v>
      </c>
      <c r="G1627" s="14" t="b">
        <f>OR(LCI_Table[[#This Row],[Feedstock]]="All",LCI_Table[[#This Row],[Feedstock]]=SelectedFeedstock)</f>
        <v>0</v>
      </c>
      <c r="H1627" s="14" t="b">
        <f>OR(LCI_Table[[#This Row],[Conversion]]="All",LCI_Table[[#This Row],[Conversion]]=SelectedConversion)</f>
        <v>0</v>
      </c>
      <c r="I1627" s="14" t="b">
        <f>OR(LCI_Table[[#This Row],[Data Set]]="all",LCI_Table[[#This Row],[Data Set]]=SelectedDataSet)</f>
        <v>0</v>
      </c>
      <c r="J1627" s="14" t="b">
        <f>OR(LCI_Table[[#This Row],[Technology]]="All",LCI_Table[[#This Row],[Technology]]=SelectedTechnology)</f>
        <v>0</v>
      </c>
      <c r="K1627" s="14" t="b">
        <f>OR(LCI_Table[[#This Row],[Data Source]]="All",LCI_Table[[#This Row],[Data Source]]=SelectedDataSource)</f>
        <v>0</v>
      </c>
      <c r="L1627" s="14" t="b">
        <f>TRUE</f>
        <v>1</v>
      </c>
      <c r="M1627" s="14" t="b">
        <f>(LCI_Table[[#This Row],[Dev Notes]]="Do not display")</f>
        <v>0</v>
      </c>
      <c r="N1627" s="14" t="b">
        <f>AND(LCI_Table[[#This Row],[Show Feedstock]:[Conditional]],NOT(LCI_Table[[#This Row],[Hide Row]]))</f>
        <v>0</v>
      </c>
      <c r="O1627" s="14" t="b">
        <f>LCI_Table[[#This Row],[GREET1 Name Range]]=""</f>
        <v>0</v>
      </c>
      <c r="P1627" s="14" t="s">
        <v>147</v>
      </c>
      <c r="Q1627" s="14" t="s">
        <v>610</v>
      </c>
      <c r="R1627" s="14" t="s">
        <v>356</v>
      </c>
      <c r="S1627" s="37" cm="1">
        <f t="array" aca="1" ref="S16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27" s="346" t="s">
        <v>1485</v>
      </c>
      <c r="U1627" s="347">
        <f ca="1">S1627/S1622*lb2g</f>
        <v>0</v>
      </c>
      <c r="V1627" s="347">
        <v>0</v>
      </c>
      <c r="W1627" s="347">
        <v>0</v>
      </c>
      <c r="X1627" s="14" t="s">
        <v>12</v>
      </c>
      <c r="Y1627" s="346" t="s">
        <v>413</v>
      </c>
      <c r="Z1627" s="14" t="str">
        <f>IF(ISBLANK(LCI_Table[[#This Row],[Notes for user]])," ",LCI_Table[[#This Row],[Notes for user]])</f>
        <v xml:space="preserve"> </v>
      </c>
      <c r="AA1627" s="14"/>
      <c r="AB1627" s="14"/>
      <c r="AC1627" s="346">
        <f ca="1">LCI_Table[[#This Row],[Default Calculated Value]]-LCI_Table[[#This Row],[Calculated Value]]</f>
        <v>0</v>
      </c>
    </row>
    <row r="1628" spans="1:29" x14ac:dyDescent="0.3">
      <c r="A16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stoverATJ-ethanolICAOConsensusStandalone_CornStover_Farming_HDPEInsecticide</v>
      </c>
      <c r="B1628" s="14" t="s">
        <v>135</v>
      </c>
      <c r="C1628" s="14" t="s">
        <v>1964</v>
      </c>
      <c r="D1628" s="14" t="s">
        <v>194</v>
      </c>
      <c r="E1628" s="48" t="s">
        <v>1399</v>
      </c>
      <c r="F1628" s="48" t="s">
        <v>137</v>
      </c>
      <c r="G1628" s="14" t="b">
        <f>OR(LCI_Table[[#This Row],[Feedstock]]="All",LCI_Table[[#This Row],[Feedstock]]=SelectedFeedstock)</f>
        <v>0</v>
      </c>
      <c r="H1628" s="14" t="b">
        <f>OR(LCI_Table[[#This Row],[Conversion]]="All",LCI_Table[[#This Row],[Conversion]]=SelectedConversion)</f>
        <v>0</v>
      </c>
      <c r="I1628" s="14" t="b">
        <f>OR(LCI_Table[[#This Row],[Data Set]]="all",LCI_Table[[#This Row],[Data Set]]=SelectedDataSet)</f>
        <v>0</v>
      </c>
      <c r="J1628" s="14" t="b">
        <f>OR(LCI_Table[[#This Row],[Technology]]="All",LCI_Table[[#This Row],[Technology]]=SelectedTechnology)</f>
        <v>0</v>
      </c>
      <c r="K1628" s="14" t="b">
        <f>OR(LCI_Table[[#This Row],[Data Source]]="All",LCI_Table[[#This Row],[Data Source]]=SelectedDataSource)</f>
        <v>0</v>
      </c>
      <c r="L1628" s="14" t="b">
        <f>TRUE</f>
        <v>1</v>
      </c>
      <c r="M1628" s="14" t="b">
        <f>(LCI_Table[[#This Row],[Dev Notes]]="Do not display")</f>
        <v>0</v>
      </c>
      <c r="N1628" s="14" t="b">
        <f>AND(LCI_Table[[#This Row],[Show Feedstock]:[Conditional]],NOT(LCI_Table[[#This Row],[Hide Row]]))</f>
        <v>0</v>
      </c>
      <c r="O1628" s="14" t="b">
        <f>LCI_Table[[#This Row],[GREET1 Name Range]]=""</f>
        <v>0</v>
      </c>
      <c r="P1628" s="14" t="s">
        <v>147</v>
      </c>
      <c r="Q1628" s="14" t="s">
        <v>608</v>
      </c>
      <c r="R1628" s="14" t="s">
        <v>114</v>
      </c>
      <c r="S1628" s="37" cm="1">
        <f t="array" aca="1" ref="S16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28" s="346" t="s">
        <v>1485</v>
      </c>
      <c r="U1628" s="347">
        <f ca="1">S1628/S1622*lb2g</f>
        <v>0</v>
      </c>
      <c r="V1628" s="347">
        <v>0</v>
      </c>
      <c r="W1628" s="347">
        <v>0</v>
      </c>
      <c r="X1628" s="14" t="s">
        <v>12</v>
      </c>
      <c r="Y1628" s="346" t="s">
        <v>413</v>
      </c>
      <c r="Z1628" s="14" t="str">
        <f>IF(ISBLANK(LCI_Table[[#This Row],[Notes for user]])," ",LCI_Table[[#This Row],[Notes for user]])</f>
        <v xml:space="preserve"> </v>
      </c>
      <c r="AA1628" s="14"/>
      <c r="AB1628" s="14"/>
      <c r="AC1628" s="346">
        <f ca="1">LCI_Table[[#This Row],[Default Calculated Value]]-LCI_Table[[#This Row],[Calculated Value]]</f>
        <v>0</v>
      </c>
    </row>
    <row r="1629" spans="1:29" x14ac:dyDescent="0.3">
      <c r="A16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stoverATJ-ethanolICAOConsensusStandalone_CornStover_Farming_Residual_oilResidual oil</v>
      </c>
      <c r="B1629" s="14" t="s">
        <v>135</v>
      </c>
      <c r="C1629" s="14" t="s">
        <v>1964</v>
      </c>
      <c r="D1629" s="14" t="s">
        <v>194</v>
      </c>
      <c r="E1629" s="48" t="s">
        <v>1399</v>
      </c>
      <c r="F1629" s="48" t="s">
        <v>137</v>
      </c>
      <c r="G1629" s="14" t="b">
        <f>OR(LCI_Table[[#This Row],[Feedstock]]="All",LCI_Table[[#This Row],[Feedstock]]=SelectedFeedstock)</f>
        <v>0</v>
      </c>
      <c r="H1629" s="14" t="b">
        <f>OR(LCI_Table[[#This Row],[Conversion]]="All",LCI_Table[[#This Row],[Conversion]]=SelectedConversion)</f>
        <v>0</v>
      </c>
      <c r="I1629" s="14" t="b">
        <f>OR(LCI_Table[[#This Row],[Data Set]]="all",LCI_Table[[#This Row],[Data Set]]=SelectedDataSet)</f>
        <v>0</v>
      </c>
      <c r="J1629" s="14" t="b">
        <f>OR(LCI_Table[[#This Row],[Technology]]="All",LCI_Table[[#This Row],[Technology]]=SelectedTechnology)</f>
        <v>0</v>
      </c>
      <c r="K1629" s="14" t="b">
        <f>OR(LCI_Table[[#This Row],[Data Source]]="All",LCI_Table[[#This Row],[Data Source]]=SelectedDataSource)</f>
        <v>0</v>
      </c>
      <c r="L1629" s="14" t="b">
        <f>TRUE</f>
        <v>1</v>
      </c>
      <c r="M1629" s="14" t="b">
        <f>(LCI_Table[[#This Row],[Dev Notes]]="Do not display")</f>
        <v>0</v>
      </c>
      <c r="N1629" s="14" t="b">
        <f>AND(LCI_Table[[#This Row],[Show Feedstock]:[Conditional]],NOT(LCI_Table[[#This Row],[Hide Row]]))</f>
        <v>0</v>
      </c>
      <c r="O1629" s="14" t="b">
        <f>LCI_Table[[#This Row],[GREET1 Name Range]]=""</f>
        <v>0</v>
      </c>
      <c r="P1629" s="14" t="s">
        <v>147</v>
      </c>
      <c r="Q1629" s="14" t="s">
        <v>616</v>
      </c>
      <c r="R1629" s="14" t="s">
        <v>115</v>
      </c>
      <c r="S1629" s="37" cm="1">
        <f t="array" aca="1" ref="S16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29" s="346" t="s">
        <v>1484</v>
      </c>
      <c r="U1629" s="347">
        <f ca="1">S1629*Fuel_Specs!$B$28/S1622</f>
        <v>0</v>
      </c>
      <c r="V1629" s="347">
        <v>0</v>
      </c>
      <c r="W1629" s="347">
        <v>0</v>
      </c>
      <c r="X1629" s="14" t="s">
        <v>5</v>
      </c>
      <c r="Y1629" s="346" t="s">
        <v>413</v>
      </c>
      <c r="Z1629" s="14" t="str">
        <f>IF(ISBLANK(LCI_Table[[#This Row],[Notes for user]])," ",LCI_Table[[#This Row],[Notes for user]])</f>
        <v xml:space="preserve"> </v>
      </c>
      <c r="AA1629" s="14"/>
      <c r="AB1629" s="14"/>
      <c r="AC1629" s="346">
        <f ca="1">LCI_Table[[#This Row],[Default Calculated Value]]-LCI_Table[[#This Row],[Calculated Value]]</f>
        <v>0</v>
      </c>
    </row>
    <row r="1630" spans="1:29" x14ac:dyDescent="0.3">
      <c r="A16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stoverATJ-ethanolICAOConsensusStandalone_CornStover_Farming_DieselDiesel</v>
      </c>
      <c r="B1630" s="14" t="s">
        <v>135</v>
      </c>
      <c r="C1630" s="14" t="s">
        <v>1964</v>
      </c>
      <c r="D1630" s="14" t="s">
        <v>194</v>
      </c>
      <c r="E1630" s="48" t="s">
        <v>1399</v>
      </c>
      <c r="F1630" s="48" t="s">
        <v>137</v>
      </c>
      <c r="G1630" s="14" t="b">
        <f>OR(LCI_Table[[#This Row],[Feedstock]]="All",LCI_Table[[#This Row],[Feedstock]]=SelectedFeedstock)</f>
        <v>0</v>
      </c>
      <c r="H1630" s="14" t="b">
        <f>OR(LCI_Table[[#This Row],[Conversion]]="All",LCI_Table[[#This Row],[Conversion]]=SelectedConversion)</f>
        <v>0</v>
      </c>
      <c r="I1630" s="14" t="b">
        <f>OR(LCI_Table[[#This Row],[Data Set]]="all",LCI_Table[[#This Row],[Data Set]]=SelectedDataSet)</f>
        <v>0</v>
      </c>
      <c r="J1630" s="14" t="b">
        <f>OR(LCI_Table[[#This Row],[Technology]]="All",LCI_Table[[#This Row],[Technology]]=SelectedTechnology)</f>
        <v>0</v>
      </c>
      <c r="K1630" s="14" t="b">
        <f>OR(LCI_Table[[#This Row],[Data Source]]="All",LCI_Table[[#This Row],[Data Source]]=SelectedDataSource)</f>
        <v>0</v>
      </c>
      <c r="L1630" s="14" t="b">
        <f>TRUE</f>
        <v>1</v>
      </c>
      <c r="M1630" s="14" t="b">
        <f>(LCI_Table[[#This Row],[Dev Notes]]="Do not display")</f>
        <v>0</v>
      </c>
      <c r="N1630" s="14" t="b">
        <f>AND(LCI_Table[[#This Row],[Show Feedstock]:[Conditional]],NOT(LCI_Table[[#This Row],[Hide Row]]))</f>
        <v>0</v>
      </c>
      <c r="O1630" s="14" t="b">
        <f>LCI_Table[[#This Row],[GREET1 Name Range]]=""</f>
        <v>0</v>
      </c>
      <c r="P1630" s="14" t="s">
        <v>147</v>
      </c>
      <c r="Q1630" s="14" t="s">
        <v>605</v>
      </c>
      <c r="R1630" s="14" t="s">
        <v>106</v>
      </c>
      <c r="S1630" s="37" cm="1">
        <f t="array" aca="1" ref="S16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2.2358876274453037</v>
      </c>
      <c r="T1630" s="346" t="s">
        <v>1484</v>
      </c>
      <c r="U1630" s="347">
        <f ca="1">S1630*Fuel_Specs!$B$19/S1622</f>
        <v>223592.24413408479</v>
      </c>
      <c r="V1630" s="347">
        <v>2.2358876274453037</v>
      </c>
      <c r="W1630" s="347">
        <v>223592.24413408479</v>
      </c>
      <c r="X1630" s="14" t="s">
        <v>5</v>
      </c>
      <c r="Y1630" s="346" t="s">
        <v>413</v>
      </c>
      <c r="Z1630" s="14" t="str">
        <f>IF(ISBLANK(LCI_Table[[#This Row],[Notes for user]])," ",LCI_Table[[#This Row],[Notes for user]])</f>
        <v xml:space="preserve"> </v>
      </c>
      <c r="AA1630" s="14"/>
      <c r="AB1630" s="14"/>
      <c r="AC1630" s="346">
        <f ca="1">LCI_Table[[#This Row],[Default Calculated Value]]-LCI_Table[[#This Row],[Calculated Value]]</f>
        <v>0</v>
      </c>
    </row>
    <row r="1631" spans="1:29" x14ac:dyDescent="0.3">
      <c r="A16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stoverATJ-ethanolICAOConsensusStandalone_CornStover_Farming_GasolineGasoline</v>
      </c>
      <c r="B1631" s="14" t="s">
        <v>135</v>
      </c>
      <c r="C1631" s="14" t="s">
        <v>1964</v>
      </c>
      <c r="D1631" s="14" t="s">
        <v>194</v>
      </c>
      <c r="E1631" s="48" t="s">
        <v>1399</v>
      </c>
      <c r="F1631" s="48" t="s">
        <v>137</v>
      </c>
      <c r="G1631" s="14" t="b">
        <f>OR(LCI_Table[[#This Row],[Feedstock]]="All",LCI_Table[[#This Row],[Feedstock]]=SelectedFeedstock)</f>
        <v>0</v>
      </c>
      <c r="H1631" s="14" t="b">
        <f>OR(LCI_Table[[#This Row],[Conversion]]="All",LCI_Table[[#This Row],[Conversion]]=SelectedConversion)</f>
        <v>0</v>
      </c>
      <c r="I1631" s="14" t="b">
        <f>OR(LCI_Table[[#This Row],[Data Set]]="all",LCI_Table[[#This Row],[Data Set]]=SelectedDataSet)</f>
        <v>0</v>
      </c>
      <c r="J1631" s="14" t="b">
        <f>OR(LCI_Table[[#This Row],[Technology]]="All",LCI_Table[[#This Row],[Technology]]=SelectedTechnology)</f>
        <v>0</v>
      </c>
      <c r="K1631" s="14" t="b">
        <f>OR(LCI_Table[[#This Row],[Data Source]]="All",LCI_Table[[#This Row],[Data Source]]=SelectedDataSource)</f>
        <v>0</v>
      </c>
      <c r="L1631" s="14" t="b">
        <f>TRUE</f>
        <v>1</v>
      </c>
      <c r="M1631" s="14" t="b">
        <f>(LCI_Table[[#This Row],[Dev Notes]]="Do not display")</f>
        <v>0</v>
      </c>
      <c r="N1631" s="14" t="b">
        <f>AND(LCI_Table[[#This Row],[Show Feedstock]:[Conditional]],NOT(LCI_Table[[#This Row],[Hide Row]]))</f>
        <v>0</v>
      </c>
      <c r="O1631" s="14" t="b">
        <f>LCI_Table[[#This Row],[GREET1 Name Range]]=""</f>
        <v>0</v>
      </c>
      <c r="P1631" s="14" t="s">
        <v>147</v>
      </c>
      <c r="Q1631" s="14" t="s">
        <v>607</v>
      </c>
      <c r="R1631" s="14" t="s">
        <v>107</v>
      </c>
      <c r="S1631" s="37" cm="1">
        <f t="array" aca="1" ref="S16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31" s="346" t="s">
        <v>1484</v>
      </c>
      <c r="U1631" s="347">
        <f ca="1">S1631*Fuel_Specs!$B$15/S1622</f>
        <v>0</v>
      </c>
      <c r="V1631" s="347">
        <v>0</v>
      </c>
      <c r="W1631" s="347">
        <v>0</v>
      </c>
      <c r="X1631" s="14" t="s">
        <v>5</v>
      </c>
      <c r="Y1631" s="346" t="s">
        <v>413</v>
      </c>
      <c r="Z1631" s="14" t="str">
        <f>IF(ISBLANK(LCI_Table[[#This Row],[Notes for user]])," ",LCI_Table[[#This Row],[Notes for user]])</f>
        <v xml:space="preserve"> </v>
      </c>
      <c r="AA1631" s="14"/>
      <c r="AB1631" s="14"/>
      <c r="AC1631" s="346">
        <f ca="1">LCI_Table[[#This Row],[Default Calculated Value]]-LCI_Table[[#This Row],[Calculated Value]]</f>
        <v>0</v>
      </c>
    </row>
    <row r="1632" spans="1:29" x14ac:dyDescent="0.3">
      <c r="A16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stoverATJ-ethanolICAOConsensusStandalone_CornStover_Farming_Natural_gasNatural gas</v>
      </c>
      <c r="B1632" s="14" t="s">
        <v>135</v>
      </c>
      <c r="C1632" s="14" t="s">
        <v>1964</v>
      </c>
      <c r="D1632" s="14" t="s">
        <v>194</v>
      </c>
      <c r="E1632" s="48" t="s">
        <v>1399</v>
      </c>
      <c r="F1632" s="48" t="s">
        <v>137</v>
      </c>
      <c r="G1632" s="14" t="b">
        <f>OR(LCI_Table[[#This Row],[Feedstock]]="All",LCI_Table[[#This Row],[Feedstock]]=SelectedFeedstock)</f>
        <v>0</v>
      </c>
      <c r="H1632" s="14" t="b">
        <f>OR(LCI_Table[[#This Row],[Conversion]]="All",LCI_Table[[#This Row],[Conversion]]=SelectedConversion)</f>
        <v>0</v>
      </c>
      <c r="I1632" s="14" t="b">
        <f>OR(LCI_Table[[#This Row],[Data Set]]="all",LCI_Table[[#This Row],[Data Set]]=SelectedDataSet)</f>
        <v>0</v>
      </c>
      <c r="J1632" s="14" t="b">
        <f>OR(LCI_Table[[#This Row],[Technology]]="All",LCI_Table[[#This Row],[Technology]]=SelectedTechnology)</f>
        <v>0</v>
      </c>
      <c r="K1632" s="14" t="b">
        <f>OR(LCI_Table[[#This Row],[Data Source]]="All",LCI_Table[[#This Row],[Data Source]]=SelectedDataSource)</f>
        <v>0</v>
      </c>
      <c r="L1632" s="14" t="b">
        <f>TRUE</f>
        <v>1</v>
      </c>
      <c r="M1632" s="14" t="b">
        <f>(LCI_Table[[#This Row],[Dev Notes]]="Do not display")</f>
        <v>0</v>
      </c>
      <c r="N1632" s="14" t="b">
        <f>AND(LCI_Table[[#This Row],[Show Feedstock]:[Conditional]],NOT(LCI_Table[[#This Row],[Hide Row]]))</f>
        <v>0</v>
      </c>
      <c r="O1632" s="14" t="b">
        <f>LCI_Table[[#This Row],[GREET1 Name Range]]=""</f>
        <v>0</v>
      </c>
      <c r="P1632" s="14" t="s">
        <v>147</v>
      </c>
      <c r="Q1632" s="14" t="s">
        <v>613</v>
      </c>
      <c r="R1632" s="14" t="s">
        <v>108</v>
      </c>
      <c r="S1632" s="37" cm="1">
        <f t="array" aca="1" ref="S16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32" s="346" t="s">
        <v>2109</v>
      </c>
      <c r="U1632" s="347">
        <f ca="1">S1632*Fuel_Specs!$B$79/S1622</f>
        <v>0</v>
      </c>
      <c r="V1632" s="347">
        <v>0</v>
      </c>
      <c r="W1632" s="347">
        <v>0</v>
      </c>
      <c r="X1632" s="14" t="s">
        <v>351</v>
      </c>
      <c r="Y1632" s="346" t="s">
        <v>413</v>
      </c>
      <c r="Z1632" s="14" t="str">
        <f>IF(ISBLANK(LCI_Table[[#This Row],[Notes for user]])," ",LCI_Table[[#This Row],[Notes for user]])</f>
        <v xml:space="preserve"> </v>
      </c>
      <c r="AA1632" s="14"/>
      <c r="AB1632" s="14"/>
      <c r="AC1632" s="346">
        <f ca="1">LCI_Table[[#This Row],[Default Calculated Value]]-LCI_Table[[#This Row],[Calculated Value]]</f>
        <v>0</v>
      </c>
    </row>
    <row r="1633" spans="1:29" x14ac:dyDescent="0.3">
      <c r="A16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stoverATJ-ethanolICAOConsensusStandalone_CornStover_Farming_CoalCoal</v>
      </c>
      <c r="B1633" s="14" t="s">
        <v>135</v>
      </c>
      <c r="C1633" s="14" t="s">
        <v>1964</v>
      </c>
      <c r="D1633" s="14" t="s">
        <v>194</v>
      </c>
      <c r="E1633" s="48" t="s">
        <v>1399</v>
      </c>
      <c r="F1633" s="48" t="s">
        <v>137</v>
      </c>
      <c r="G1633" s="14" t="b">
        <f>OR(LCI_Table[[#This Row],[Feedstock]]="All",LCI_Table[[#This Row],[Feedstock]]=SelectedFeedstock)</f>
        <v>0</v>
      </c>
      <c r="H1633" s="14" t="b">
        <f>OR(LCI_Table[[#This Row],[Conversion]]="All",LCI_Table[[#This Row],[Conversion]]=SelectedConversion)</f>
        <v>0</v>
      </c>
      <c r="I1633" s="14" t="b">
        <f>OR(LCI_Table[[#This Row],[Data Set]]="all",LCI_Table[[#This Row],[Data Set]]=SelectedDataSet)</f>
        <v>0</v>
      </c>
      <c r="J1633" s="14" t="b">
        <f>OR(LCI_Table[[#This Row],[Technology]]="All",LCI_Table[[#This Row],[Technology]]=SelectedTechnology)</f>
        <v>0</v>
      </c>
      <c r="K1633" s="14" t="b">
        <f>OR(LCI_Table[[#This Row],[Data Source]]="All",LCI_Table[[#This Row],[Data Source]]=SelectedDataSource)</f>
        <v>0</v>
      </c>
      <c r="L1633" s="14" t="b">
        <f>TRUE</f>
        <v>1</v>
      </c>
      <c r="M1633" s="14" t="b">
        <f>(LCI_Table[[#This Row],[Dev Notes]]="Do not display")</f>
        <v>0</v>
      </c>
      <c r="N1633" s="14" t="b">
        <f>AND(LCI_Table[[#This Row],[Show Feedstock]:[Conditional]],NOT(LCI_Table[[#This Row],[Hide Row]]))</f>
        <v>0</v>
      </c>
      <c r="O1633" s="14" t="b">
        <f>LCI_Table[[#This Row],[GREET1 Name Range]]=""</f>
        <v>0</v>
      </c>
      <c r="P1633" s="14" t="s">
        <v>147</v>
      </c>
      <c r="Q1633" s="14" t="s">
        <v>604</v>
      </c>
      <c r="R1633" s="14" t="s">
        <v>9</v>
      </c>
      <c r="S1633" s="37" cm="1">
        <f t="array" aca="1" ref="S16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33" s="346" t="s">
        <v>2110</v>
      </c>
      <c r="U1633" s="347">
        <f ca="1">S1633/S1622</f>
        <v>0</v>
      </c>
      <c r="V1633" s="347">
        <v>0</v>
      </c>
      <c r="W1633" s="347">
        <v>0</v>
      </c>
      <c r="X1633" s="14" t="s">
        <v>117</v>
      </c>
      <c r="Y1633" s="346" t="s">
        <v>413</v>
      </c>
      <c r="Z1633" s="14" t="str">
        <f>IF(ISBLANK(LCI_Table[[#This Row],[Notes for user]])," ",LCI_Table[[#This Row],[Notes for user]])</f>
        <v xml:space="preserve"> </v>
      </c>
      <c r="AA1633" s="14"/>
      <c r="AB1633" s="14"/>
      <c r="AC1633" s="346">
        <f ca="1">LCI_Table[[#This Row],[Default Calculated Value]]-LCI_Table[[#This Row],[Calculated Value]]</f>
        <v>0</v>
      </c>
    </row>
    <row r="1634" spans="1:29" x14ac:dyDescent="0.3">
      <c r="A16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stoverATJ-ethanolICAOConsensusStandalone_CornStover_Farming_LPGLPG</v>
      </c>
      <c r="B1634" s="14" t="s">
        <v>135</v>
      </c>
      <c r="C1634" s="14" t="s">
        <v>1964</v>
      </c>
      <c r="D1634" s="14" t="s">
        <v>194</v>
      </c>
      <c r="E1634" s="48" t="s">
        <v>1399</v>
      </c>
      <c r="F1634" s="48" t="s">
        <v>137</v>
      </c>
      <c r="G1634" s="14" t="b">
        <f>OR(LCI_Table[[#This Row],[Feedstock]]="All",LCI_Table[[#This Row],[Feedstock]]=SelectedFeedstock)</f>
        <v>0</v>
      </c>
      <c r="H1634" s="14" t="b">
        <f>OR(LCI_Table[[#This Row],[Conversion]]="All",LCI_Table[[#This Row],[Conversion]]=SelectedConversion)</f>
        <v>0</v>
      </c>
      <c r="I1634" s="14" t="b">
        <f>OR(LCI_Table[[#This Row],[Data Set]]="all",LCI_Table[[#This Row],[Data Set]]=SelectedDataSet)</f>
        <v>0</v>
      </c>
      <c r="J1634" s="14" t="b">
        <f>OR(LCI_Table[[#This Row],[Technology]]="All",LCI_Table[[#This Row],[Technology]]=SelectedTechnology)</f>
        <v>0</v>
      </c>
      <c r="K1634" s="14" t="b">
        <f>OR(LCI_Table[[#This Row],[Data Source]]="All",LCI_Table[[#This Row],[Data Source]]=SelectedDataSource)</f>
        <v>0</v>
      </c>
      <c r="L1634" s="14" t="b">
        <f>TRUE</f>
        <v>1</v>
      </c>
      <c r="M1634" s="14" t="b">
        <f>(LCI_Table[[#This Row],[Dev Notes]]="Do not display")</f>
        <v>0</v>
      </c>
      <c r="N1634" s="14" t="b">
        <f>AND(LCI_Table[[#This Row],[Show Feedstock]:[Conditional]],NOT(LCI_Table[[#This Row],[Hide Row]]))</f>
        <v>0</v>
      </c>
      <c r="O1634" s="14" t="b">
        <f>LCI_Table[[#This Row],[GREET1 Name Range]]=""</f>
        <v>0</v>
      </c>
      <c r="P1634" s="14" t="s">
        <v>147</v>
      </c>
      <c r="Q1634" s="14" t="s">
        <v>612</v>
      </c>
      <c r="R1634" s="14" t="s">
        <v>109</v>
      </c>
      <c r="S1634" s="37" cm="1">
        <f t="array" aca="1" ref="S16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34" s="346" t="s">
        <v>1484</v>
      </c>
      <c r="U1634" s="347">
        <f ca="1">S1634*Fuel_Specs!$B$35/S1622</f>
        <v>0</v>
      </c>
      <c r="V1634" s="347">
        <v>0</v>
      </c>
      <c r="W1634" s="347">
        <v>0</v>
      </c>
      <c r="X1634" s="14" t="s">
        <v>5</v>
      </c>
      <c r="Y1634" s="346" t="s">
        <v>413</v>
      </c>
      <c r="Z1634" s="14" t="str">
        <f>IF(ISBLANK(LCI_Table[[#This Row],[Notes for user]])," ",LCI_Table[[#This Row],[Notes for user]])</f>
        <v xml:space="preserve"> </v>
      </c>
      <c r="AA1634" s="14"/>
      <c r="AB1634" s="14"/>
      <c r="AC1634" s="346">
        <f ca="1">LCI_Table[[#This Row],[Default Calculated Value]]-LCI_Table[[#This Row],[Calculated Value]]</f>
        <v>0</v>
      </c>
    </row>
    <row r="1635" spans="1:29" x14ac:dyDescent="0.3">
      <c r="A16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stoverATJ-ethanolICAOConsensusStandalone_CornStover_Farming_ElectricityElectricity</v>
      </c>
      <c r="B1635" s="14" t="s">
        <v>135</v>
      </c>
      <c r="C1635" s="14" t="s">
        <v>1964</v>
      </c>
      <c r="D1635" s="14" t="s">
        <v>194</v>
      </c>
      <c r="E1635" s="48" t="s">
        <v>1399</v>
      </c>
      <c r="F1635" s="48" t="s">
        <v>137</v>
      </c>
      <c r="G1635" s="14" t="b">
        <f>OR(LCI_Table[[#This Row],[Feedstock]]="All",LCI_Table[[#This Row],[Feedstock]]=SelectedFeedstock)</f>
        <v>0</v>
      </c>
      <c r="H1635" s="14" t="b">
        <f>OR(LCI_Table[[#This Row],[Conversion]]="All",LCI_Table[[#This Row],[Conversion]]=SelectedConversion)</f>
        <v>0</v>
      </c>
      <c r="I1635" s="14" t="b">
        <f>OR(LCI_Table[[#This Row],[Data Set]]="all",LCI_Table[[#This Row],[Data Set]]=SelectedDataSet)</f>
        <v>0</v>
      </c>
      <c r="J1635" s="14" t="b">
        <f>OR(LCI_Table[[#This Row],[Technology]]="All",LCI_Table[[#This Row],[Technology]]=SelectedTechnology)</f>
        <v>0</v>
      </c>
      <c r="K1635" s="14" t="b">
        <f>OR(LCI_Table[[#This Row],[Data Source]]="All",LCI_Table[[#This Row],[Data Source]]=SelectedDataSource)</f>
        <v>0</v>
      </c>
      <c r="L1635" s="14" t="b">
        <f>TRUE</f>
        <v>1</v>
      </c>
      <c r="M1635" s="14" t="b">
        <f>(LCI_Table[[#This Row],[Dev Notes]]="Do not display")</f>
        <v>0</v>
      </c>
      <c r="N1635" s="14" t="b">
        <f>AND(LCI_Table[[#This Row],[Show Feedstock]:[Conditional]],NOT(LCI_Table[[#This Row],[Hide Row]]))</f>
        <v>0</v>
      </c>
      <c r="O1635" s="14" t="b">
        <f>LCI_Table[[#This Row],[GREET1 Name Range]]=""</f>
        <v>0</v>
      </c>
      <c r="P1635" s="14" t="s">
        <v>147</v>
      </c>
      <c r="Q1635" s="14" t="s">
        <v>606</v>
      </c>
      <c r="R1635" s="348" t="s">
        <v>110</v>
      </c>
      <c r="S1635" s="37" cm="1">
        <f t="array" aca="1" ref="S16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35" s="346" t="s">
        <v>1561</v>
      </c>
      <c r="U1635" s="347">
        <f ca="1">S1635/BTU2kWh/S1622</f>
        <v>0</v>
      </c>
      <c r="V1635" s="347">
        <v>0</v>
      </c>
      <c r="W1635" s="347">
        <v>0</v>
      </c>
      <c r="X1635" s="14" t="s">
        <v>51</v>
      </c>
      <c r="Y1635" s="346" t="s">
        <v>413</v>
      </c>
      <c r="Z1635" s="14" t="str">
        <f>IF(ISBLANK(LCI_Table[[#This Row],[Notes for user]])," ",LCI_Table[[#This Row],[Notes for user]])</f>
        <v xml:space="preserve"> </v>
      </c>
      <c r="AA1635" s="14"/>
      <c r="AB1635" s="14"/>
      <c r="AC1635" s="346">
        <f ca="1">LCI_Table[[#This Row],[Default Calculated Value]]-LCI_Table[[#This Row],[Calculated Value]]</f>
        <v>0</v>
      </c>
    </row>
    <row r="1636" spans="1:29" x14ac:dyDescent="0.3">
      <c r="A16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stoverATJ-ethanolICAOConsensusStandalone_CornStover_Fermentation_Corn_stoverCorn stover</v>
      </c>
      <c r="B1636" s="14" t="s">
        <v>135</v>
      </c>
      <c r="C1636" s="14" t="s">
        <v>1964</v>
      </c>
      <c r="D1636" s="14" t="s">
        <v>194</v>
      </c>
      <c r="E1636" s="48" t="s">
        <v>1399</v>
      </c>
      <c r="F1636" s="48" t="s">
        <v>137</v>
      </c>
      <c r="G1636" s="14" t="b">
        <f>OR(LCI_Table[[#This Row],[Feedstock]]="All",LCI_Table[[#This Row],[Feedstock]]=SelectedFeedstock)</f>
        <v>0</v>
      </c>
      <c r="H1636" s="14" t="b">
        <f>OR(LCI_Table[[#This Row],[Conversion]]="All",LCI_Table[[#This Row],[Conversion]]=SelectedConversion)</f>
        <v>0</v>
      </c>
      <c r="I1636" s="14" t="b">
        <f>OR(LCI_Table[[#This Row],[Data Set]]="all",LCI_Table[[#This Row],[Data Set]]=SelectedDataSet)</f>
        <v>0</v>
      </c>
      <c r="J1636" s="14" t="b">
        <f>OR(LCI_Table[[#This Row],[Technology]]="All",LCI_Table[[#This Row],[Technology]]=SelectedTechnology)</f>
        <v>0</v>
      </c>
      <c r="K1636" s="14" t="b">
        <f>OR(LCI_Table[[#This Row],[Data Source]]="All",LCI_Table[[#This Row],[Data Source]]=SelectedDataSource)</f>
        <v>0</v>
      </c>
      <c r="L1636" s="14" t="b">
        <f>TRUE</f>
        <v>1</v>
      </c>
      <c r="M1636" s="14" t="b">
        <f>(LCI_Table[[#This Row],[Dev Notes]]="Do not display")</f>
        <v>0</v>
      </c>
      <c r="N1636" s="14" t="b">
        <f>AND(LCI_Table[[#This Row],[Show Feedstock]:[Conditional]],NOT(LCI_Table[[#This Row],[Hide Row]]))</f>
        <v>0</v>
      </c>
      <c r="O1636" s="14" t="b">
        <f>LCI_Table[[#This Row],[GREET1 Name Range]]=""</f>
        <v>0</v>
      </c>
      <c r="P1636" s="14" t="s">
        <v>428</v>
      </c>
      <c r="Q1636" s="14" t="s">
        <v>623</v>
      </c>
      <c r="R1636" s="14" t="s">
        <v>135</v>
      </c>
      <c r="S1636" s="37" cm="1">
        <f t="array" aca="1" ref="S16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23.529411764705976</v>
      </c>
      <c r="T1636" s="346" t="s">
        <v>2133</v>
      </c>
      <c r="U1636" s="359">
        <f ca="1">1/S1636/lb2ton</f>
        <v>84.999999999999659</v>
      </c>
      <c r="V1636" s="347">
        <v>23.529411764705976</v>
      </c>
      <c r="W1636" s="359">
        <v>84.999999999999659</v>
      </c>
      <c r="X1636" s="14" t="s">
        <v>12</v>
      </c>
      <c r="Y1636" s="346" t="s">
        <v>892</v>
      </c>
      <c r="Z1636" s="14" t="str">
        <f>IF(ISBLANK(LCI_Table[[#This Row],[Notes for user]])," ",LCI_Table[[#This Row],[Notes for user]])</f>
        <v xml:space="preserve"> </v>
      </c>
      <c r="AA1636" s="358"/>
      <c r="AB1636" s="358" t="s">
        <v>921</v>
      </c>
      <c r="AC1636" s="346">
        <f ca="1">LCI_Table[[#This Row],[Default Calculated Value]]-LCI_Table[[#This Row],[Calculated Value]]</f>
        <v>0</v>
      </c>
    </row>
    <row r="1637" spans="1:29" x14ac:dyDescent="0.3">
      <c r="A16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stoverATJ-ethanolICAOConsensusStandalone_CornStover_Fermentation_Alpha_amylaseAlpha-amylase</v>
      </c>
      <c r="B1637" s="14" t="s">
        <v>135</v>
      </c>
      <c r="C1637" s="14" t="s">
        <v>1964</v>
      </c>
      <c r="D1637" s="14" t="s">
        <v>194</v>
      </c>
      <c r="E1637" s="48" t="s">
        <v>1399</v>
      </c>
      <c r="F1637" s="48" t="s">
        <v>137</v>
      </c>
      <c r="G1637" s="14" t="b">
        <f>OR(LCI_Table[[#This Row],[Feedstock]]="All",LCI_Table[[#This Row],[Feedstock]]=SelectedFeedstock)</f>
        <v>0</v>
      </c>
      <c r="H1637" s="14" t="b">
        <f>OR(LCI_Table[[#This Row],[Conversion]]="All",LCI_Table[[#This Row],[Conversion]]=SelectedConversion)</f>
        <v>0</v>
      </c>
      <c r="I1637" s="14" t="b">
        <f>OR(LCI_Table[[#This Row],[Data Set]]="all",LCI_Table[[#This Row],[Data Set]]=SelectedDataSet)</f>
        <v>0</v>
      </c>
      <c r="J1637" s="14" t="b">
        <f>OR(LCI_Table[[#This Row],[Technology]]="All",LCI_Table[[#This Row],[Technology]]=SelectedTechnology)</f>
        <v>0</v>
      </c>
      <c r="K1637" s="14" t="b">
        <f>OR(LCI_Table[[#This Row],[Data Source]]="All",LCI_Table[[#This Row],[Data Source]]=SelectedDataSource)</f>
        <v>0</v>
      </c>
      <c r="L1637" s="14" t="b">
        <f>TRUE</f>
        <v>1</v>
      </c>
      <c r="M1637" s="14" t="b">
        <f>(LCI_Table[[#This Row],[Dev Notes]]="Do not display")</f>
        <v>0</v>
      </c>
      <c r="N1637" s="14" t="b">
        <f>AND(LCI_Table[[#This Row],[Show Feedstock]:[Conditional]],NOT(LCI_Table[[#This Row],[Hide Row]]))</f>
        <v>0</v>
      </c>
      <c r="O1637" s="14" t="b">
        <f>LCI_Table[[#This Row],[GREET1 Name Range]]=""</f>
        <v>0</v>
      </c>
      <c r="P1637" s="14" t="s">
        <v>428</v>
      </c>
      <c r="Q1637" s="14" t="s">
        <v>617</v>
      </c>
      <c r="R1637" s="14" t="s">
        <v>353</v>
      </c>
      <c r="S1637" s="37" cm="1">
        <f t="array" aca="1" ref="S16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37" s="346" t="s">
        <v>2133</v>
      </c>
      <c r="U1637" s="347">
        <f t="shared" ref="U1637" ca="1" si="21">S1637/g2lb</f>
        <v>0</v>
      </c>
      <c r="V1637" s="347">
        <v>0</v>
      </c>
      <c r="W1637" s="347">
        <v>0</v>
      </c>
      <c r="X1637" s="14" t="s">
        <v>12</v>
      </c>
      <c r="Y1637" s="346" t="s">
        <v>892</v>
      </c>
      <c r="Z1637" s="14" t="str">
        <f>IF(ISBLANK(LCI_Table[[#This Row],[Notes for user]])," ",LCI_Table[[#This Row],[Notes for user]])</f>
        <v xml:space="preserve"> </v>
      </c>
      <c r="AA1637" s="14"/>
      <c r="AB1637" s="14"/>
      <c r="AC1637" s="346">
        <f ca="1">LCI_Table[[#This Row],[Default Calculated Value]]-LCI_Table[[#This Row],[Calculated Value]]</f>
        <v>0</v>
      </c>
    </row>
    <row r="1638" spans="1:29" x14ac:dyDescent="0.3">
      <c r="A16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stoverATJ-ethanolICAOConsensusStandalone_CornStover_Fermentation_Gluco_amylaseGluco-amylase</v>
      </c>
      <c r="B1638" s="14" t="s">
        <v>135</v>
      </c>
      <c r="C1638" s="14" t="s">
        <v>1964</v>
      </c>
      <c r="D1638" s="14" t="s">
        <v>194</v>
      </c>
      <c r="E1638" s="48" t="s">
        <v>1399</v>
      </c>
      <c r="F1638" s="48" t="s">
        <v>137</v>
      </c>
      <c r="G1638" s="14" t="b">
        <f>OR(LCI_Table[[#This Row],[Feedstock]]="All",LCI_Table[[#This Row],[Feedstock]]=SelectedFeedstock)</f>
        <v>0</v>
      </c>
      <c r="H1638" s="14" t="b">
        <f>OR(LCI_Table[[#This Row],[Conversion]]="All",LCI_Table[[#This Row],[Conversion]]=SelectedConversion)</f>
        <v>0</v>
      </c>
      <c r="I1638" s="14" t="b">
        <f>OR(LCI_Table[[#This Row],[Data Set]]="all",LCI_Table[[#This Row],[Data Set]]=SelectedDataSet)</f>
        <v>0</v>
      </c>
      <c r="J1638" s="14" t="b">
        <f>OR(LCI_Table[[#This Row],[Technology]]="All",LCI_Table[[#This Row],[Technology]]=SelectedTechnology)</f>
        <v>0</v>
      </c>
      <c r="K1638" s="14" t="b">
        <f>OR(LCI_Table[[#This Row],[Data Source]]="All",LCI_Table[[#This Row],[Data Source]]=SelectedDataSource)</f>
        <v>0</v>
      </c>
      <c r="L1638" s="14" t="b">
        <f>TRUE</f>
        <v>1</v>
      </c>
      <c r="M1638" s="14" t="b">
        <f>(LCI_Table[[#This Row],[Dev Notes]]="Do not display")</f>
        <v>0</v>
      </c>
      <c r="N1638" s="14" t="b">
        <f>AND(LCI_Table[[#This Row],[Show Feedstock]:[Conditional]],NOT(LCI_Table[[#This Row],[Hide Row]]))</f>
        <v>0</v>
      </c>
      <c r="O1638" s="14" t="b">
        <f>LCI_Table[[#This Row],[GREET1 Name Range]]=""</f>
        <v>0</v>
      </c>
      <c r="P1638" s="14" t="s">
        <v>428</v>
      </c>
      <c r="Q1638" s="14" t="s">
        <v>628</v>
      </c>
      <c r="R1638" s="14" t="s">
        <v>354</v>
      </c>
      <c r="S1638" s="37" cm="1">
        <f t="array" aca="1" ref="S16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38" s="346" t="s">
        <v>2133</v>
      </c>
      <c r="U1638" s="347">
        <f t="shared" ref="U1638" ca="1" si="22">S1638/g2lb</f>
        <v>0</v>
      </c>
      <c r="V1638" s="347">
        <v>0</v>
      </c>
      <c r="W1638" s="347">
        <v>0</v>
      </c>
      <c r="X1638" s="14" t="s">
        <v>12</v>
      </c>
      <c r="Y1638" s="346" t="s">
        <v>892</v>
      </c>
      <c r="Z1638" s="14" t="str">
        <f>IF(ISBLANK(LCI_Table[[#This Row],[Notes for user]])," ",LCI_Table[[#This Row],[Notes for user]])</f>
        <v xml:space="preserve"> </v>
      </c>
      <c r="AA1638" s="14"/>
      <c r="AB1638" s="14"/>
      <c r="AC1638" s="346">
        <f ca="1">LCI_Table[[#This Row],[Default Calculated Value]]-LCI_Table[[#This Row],[Calculated Value]]</f>
        <v>0</v>
      </c>
    </row>
    <row r="1639" spans="1:29" x14ac:dyDescent="0.3">
      <c r="A16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stoverATJ-ethanolICAOConsensusStandalone_CornStover_Fermentation_CellulaseCellulase</v>
      </c>
      <c r="B1639" s="14" t="s">
        <v>135</v>
      </c>
      <c r="C1639" s="14" t="s">
        <v>1964</v>
      </c>
      <c r="D1639" s="14" t="s">
        <v>194</v>
      </c>
      <c r="E1639" s="48" t="s">
        <v>1399</v>
      </c>
      <c r="F1639" s="48" t="s">
        <v>137</v>
      </c>
      <c r="G1639" s="14" t="b">
        <f>OR(LCI_Table[[#This Row],[Feedstock]]="All",LCI_Table[[#This Row],[Feedstock]]=SelectedFeedstock)</f>
        <v>0</v>
      </c>
      <c r="H1639" s="14" t="b">
        <f>OR(LCI_Table[[#This Row],[Conversion]]="All",LCI_Table[[#This Row],[Conversion]]=SelectedConversion)</f>
        <v>0</v>
      </c>
      <c r="I1639" s="14" t="b">
        <f>OR(LCI_Table[[#This Row],[Data Set]]="all",LCI_Table[[#This Row],[Data Set]]=SelectedDataSet)</f>
        <v>0</v>
      </c>
      <c r="J1639" s="14" t="b">
        <f>OR(LCI_Table[[#This Row],[Technology]]="All",LCI_Table[[#This Row],[Technology]]=SelectedTechnology)</f>
        <v>0</v>
      </c>
      <c r="K1639" s="14" t="b">
        <f>OR(LCI_Table[[#This Row],[Data Source]]="All",LCI_Table[[#This Row],[Data Source]]=SelectedDataSource)</f>
        <v>0</v>
      </c>
      <c r="L1639" s="14" t="b">
        <f>TRUE</f>
        <v>1</v>
      </c>
      <c r="M1639" s="14" t="b">
        <f>(LCI_Table[[#This Row],[Dev Notes]]="Do not display")</f>
        <v>0</v>
      </c>
      <c r="N1639" s="14" t="b">
        <f>AND(LCI_Table[[#This Row],[Show Feedstock]:[Conditional]],NOT(LCI_Table[[#This Row],[Hide Row]]))</f>
        <v>0</v>
      </c>
      <c r="O1639" s="14" t="b">
        <f>LCI_Table[[#This Row],[GREET1 Name Range]]=""</f>
        <v>0</v>
      </c>
      <c r="P1639" s="14" t="s">
        <v>428</v>
      </c>
      <c r="Q1639" s="14" t="s">
        <v>620</v>
      </c>
      <c r="R1639" s="14" t="s">
        <v>402</v>
      </c>
      <c r="S1639" s="37" cm="1">
        <f t="array" aca="1" ref="S16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0.23529411764705932</v>
      </c>
      <c r="T1639" s="346" t="s">
        <v>2133</v>
      </c>
      <c r="U1639" s="347">
        <f t="shared" ref="U1639" ca="1" si="23">S1639/g2lb</f>
        <v>106.72761647058825</v>
      </c>
      <c r="V1639" s="347">
        <v>0.23529411764705932</v>
      </c>
      <c r="W1639" s="347">
        <v>106.72761647058825</v>
      </c>
      <c r="X1639" s="14" t="s">
        <v>12</v>
      </c>
      <c r="Y1639" s="346" t="s">
        <v>892</v>
      </c>
      <c r="Z1639" s="14" t="str">
        <f>IF(ISBLANK(LCI_Table[[#This Row],[Notes for user]])," ",LCI_Table[[#This Row],[Notes for user]])</f>
        <v xml:space="preserve"> </v>
      </c>
      <c r="AA1639" s="14"/>
      <c r="AB1639" s="14"/>
      <c r="AC1639" s="346">
        <f ca="1">LCI_Table[[#This Row],[Default Calculated Value]]-LCI_Table[[#This Row],[Calculated Value]]</f>
        <v>0</v>
      </c>
    </row>
    <row r="1640" spans="1:29" x14ac:dyDescent="0.3">
      <c r="A16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stoverATJ-ethanolICAOConsensusStandalone_CornStover_Fermentation_YeastYeast</v>
      </c>
      <c r="B1640" s="14" t="s">
        <v>135</v>
      </c>
      <c r="C1640" s="14" t="s">
        <v>1964</v>
      </c>
      <c r="D1640" s="14" t="s">
        <v>194</v>
      </c>
      <c r="E1640" s="48" t="s">
        <v>1399</v>
      </c>
      <c r="F1640" s="48" t="s">
        <v>137</v>
      </c>
      <c r="G1640" s="14" t="b">
        <f>OR(LCI_Table[[#This Row],[Feedstock]]="All",LCI_Table[[#This Row],[Feedstock]]=SelectedFeedstock)</f>
        <v>0</v>
      </c>
      <c r="H1640" s="14" t="b">
        <f>OR(LCI_Table[[#This Row],[Conversion]]="All",LCI_Table[[#This Row],[Conversion]]=SelectedConversion)</f>
        <v>0</v>
      </c>
      <c r="I1640" s="14" t="b">
        <f>OR(LCI_Table[[#This Row],[Data Set]]="all",LCI_Table[[#This Row],[Data Set]]=SelectedDataSet)</f>
        <v>0</v>
      </c>
      <c r="J1640" s="14" t="b">
        <f>OR(LCI_Table[[#This Row],[Technology]]="All",LCI_Table[[#This Row],[Technology]]=SelectedTechnology)</f>
        <v>0</v>
      </c>
      <c r="K1640" s="14" t="b">
        <f>OR(LCI_Table[[#This Row],[Data Source]]="All",LCI_Table[[#This Row],[Data Source]]=SelectedDataSource)</f>
        <v>0</v>
      </c>
      <c r="L1640" s="14" t="b">
        <f>TRUE</f>
        <v>1</v>
      </c>
      <c r="M1640" s="14" t="b">
        <f>(LCI_Table[[#This Row],[Dev Notes]]="Do not display")</f>
        <v>0</v>
      </c>
      <c r="N1640" s="14" t="b">
        <f>AND(LCI_Table[[#This Row],[Show Feedstock]:[Conditional]],NOT(LCI_Table[[#This Row],[Hide Row]]))</f>
        <v>0</v>
      </c>
      <c r="O1640" s="14" t="b">
        <f>LCI_Table[[#This Row],[GREET1 Name Range]]=""</f>
        <v>0</v>
      </c>
      <c r="P1640" s="14" t="s">
        <v>428</v>
      </c>
      <c r="Q1640" s="14" t="s">
        <v>637</v>
      </c>
      <c r="R1640" s="14" t="s">
        <v>145</v>
      </c>
      <c r="S1640" s="37" cm="1">
        <f t="array" aca="1" ref="S16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5.8588235294117767E-2</v>
      </c>
      <c r="T1640" s="346" t="s">
        <v>2133</v>
      </c>
      <c r="U1640" s="347">
        <f t="shared" ref="U1640" ca="1" si="24">S1640/g2lb</f>
        <v>26.575176501176472</v>
      </c>
      <c r="V1640" s="347">
        <v>5.8588235294117767E-2</v>
      </c>
      <c r="W1640" s="347">
        <v>26.575176501176472</v>
      </c>
      <c r="X1640" s="14" t="s">
        <v>12</v>
      </c>
      <c r="Y1640" s="346" t="s">
        <v>892</v>
      </c>
      <c r="Z1640" s="14" t="str">
        <f>IF(ISBLANK(LCI_Table[[#This Row],[Notes for user]])," ",LCI_Table[[#This Row],[Notes for user]])</f>
        <v xml:space="preserve"> </v>
      </c>
      <c r="AA1640" s="14"/>
      <c r="AB1640" s="14"/>
      <c r="AC1640" s="346">
        <f ca="1">LCI_Table[[#This Row],[Default Calculated Value]]-LCI_Table[[#This Row],[Calculated Value]]</f>
        <v>0</v>
      </c>
    </row>
    <row r="1641" spans="1:29" x14ac:dyDescent="0.3">
      <c r="A16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stoverATJ-ethanolICAOConsensusStandalone_CornStover_Fermentation_GlucoseGlucose</v>
      </c>
      <c r="B1641" s="14" t="s">
        <v>135</v>
      </c>
      <c r="C1641" s="14" t="s">
        <v>1964</v>
      </c>
      <c r="D1641" s="14" t="s">
        <v>194</v>
      </c>
      <c r="E1641" s="48" t="s">
        <v>1399</v>
      </c>
      <c r="F1641" s="48" t="s">
        <v>137</v>
      </c>
      <c r="G1641" s="14" t="b">
        <f>OR(LCI_Table[[#This Row],[Feedstock]]="All",LCI_Table[[#This Row],[Feedstock]]=SelectedFeedstock)</f>
        <v>0</v>
      </c>
      <c r="H1641" s="14" t="b">
        <f>OR(LCI_Table[[#This Row],[Conversion]]="All",LCI_Table[[#This Row],[Conversion]]=SelectedConversion)</f>
        <v>0</v>
      </c>
      <c r="I1641" s="14" t="b">
        <f>OR(LCI_Table[[#This Row],[Data Set]]="all",LCI_Table[[#This Row],[Data Set]]=SelectedDataSet)</f>
        <v>0</v>
      </c>
      <c r="J1641" s="14" t="b">
        <f>OR(LCI_Table[[#This Row],[Technology]]="All",LCI_Table[[#This Row],[Technology]]=SelectedTechnology)</f>
        <v>0</v>
      </c>
      <c r="K1641" s="14" t="b">
        <f>OR(LCI_Table[[#This Row],[Data Source]]="All",LCI_Table[[#This Row],[Data Source]]=SelectedDataSource)</f>
        <v>0</v>
      </c>
      <c r="L1641" s="14" t="b">
        <f>TRUE</f>
        <v>1</v>
      </c>
      <c r="M1641" s="14" t="b">
        <f>(LCI_Table[[#This Row],[Dev Notes]]="Do not display")</f>
        <v>0</v>
      </c>
      <c r="N1641" s="14" t="b">
        <f>AND(LCI_Table[[#This Row],[Show Feedstock]:[Conditional]],NOT(LCI_Table[[#This Row],[Hide Row]]))</f>
        <v>0</v>
      </c>
      <c r="O1641" s="14" t="b">
        <f>LCI_Table[[#This Row],[GREET1 Name Range]]=""</f>
        <v>0</v>
      </c>
      <c r="P1641" s="14" t="s">
        <v>428</v>
      </c>
      <c r="Q1641" s="14" t="s">
        <v>629</v>
      </c>
      <c r="R1641" s="14" t="s">
        <v>387</v>
      </c>
      <c r="S1641" s="37" cm="1">
        <f t="array" aca="1" ref="S16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41" s="346" t="s">
        <v>2133</v>
      </c>
      <c r="U1641" s="347">
        <f t="shared" ref="U1641" ca="1" si="25">S1641/g2lb</f>
        <v>0</v>
      </c>
      <c r="V1641" s="347">
        <v>0</v>
      </c>
      <c r="W1641" s="347">
        <v>0</v>
      </c>
      <c r="X1641" s="14" t="s">
        <v>12</v>
      </c>
      <c r="Y1641" s="346" t="s">
        <v>892</v>
      </c>
      <c r="Z1641" s="14" t="str">
        <f>IF(ISBLANK(LCI_Table[[#This Row],[Notes for user]])," ",LCI_Table[[#This Row],[Notes for user]])</f>
        <v xml:space="preserve"> </v>
      </c>
      <c r="AA1641" s="14"/>
      <c r="AB1641" s="14"/>
      <c r="AC1641" s="346">
        <f ca="1">LCI_Table[[#This Row],[Default Calculated Value]]-LCI_Table[[#This Row],[Calculated Value]]</f>
        <v>0</v>
      </c>
    </row>
    <row r="1642" spans="1:29" x14ac:dyDescent="0.3">
      <c r="A16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stoverATJ-ethanolICAOConsensusStandalone_CornStover_Fermentation_Sulfuric_acidSulfuric acid</v>
      </c>
      <c r="B1642" s="14" t="s">
        <v>135</v>
      </c>
      <c r="C1642" s="14" t="s">
        <v>1964</v>
      </c>
      <c r="D1642" s="14" t="s">
        <v>194</v>
      </c>
      <c r="E1642" s="48" t="s">
        <v>1399</v>
      </c>
      <c r="F1642" s="48" t="s">
        <v>137</v>
      </c>
      <c r="G1642" s="14" t="b">
        <f>OR(LCI_Table[[#This Row],[Feedstock]]="All",LCI_Table[[#This Row],[Feedstock]]=SelectedFeedstock)</f>
        <v>0</v>
      </c>
      <c r="H1642" s="14" t="b">
        <f>OR(LCI_Table[[#This Row],[Conversion]]="All",LCI_Table[[#This Row],[Conversion]]=SelectedConversion)</f>
        <v>0</v>
      </c>
      <c r="I1642" s="14" t="b">
        <f>OR(LCI_Table[[#This Row],[Data Set]]="all",LCI_Table[[#This Row],[Data Set]]=SelectedDataSet)</f>
        <v>0</v>
      </c>
      <c r="J1642" s="14" t="b">
        <f>OR(LCI_Table[[#This Row],[Technology]]="All",LCI_Table[[#This Row],[Technology]]=SelectedTechnology)</f>
        <v>0</v>
      </c>
      <c r="K1642" s="14" t="b">
        <f>OR(LCI_Table[[#This Row],[Data Source]]="All",LCI_Table[[#This Row],[Data Source]]=SelectedDataSource)</f>
        <v>0</v>
      </c>
      <c r="L1642" s="14" t="b">
        <f>TRUE</f>
        <v>1</v>
      </c>
      <c r="M1642" s="14" t="b">
        <f>(LCI_Table[[#This Row],[Dev Notes]]="Do not display")</f>
        <v>0</v>
      </c>
      <c r="N1642" s="14" t="b">
        <f>AND(LCI_Table[[#This Row],[Show Feedstock]:[Conditional]],NOT(LCI_Table[[#This Row],[Hide Row]]))</f>
        <v>0</v>
      </c>
      <c r="O1642" s="14" t="b">
        <f>LCI_Table[[#This Row],[GREET1 Name Range]]=""</f>
        <v>0</v>
      </c>
      <c r="P1642" s="14" t="s">
        <v>428</v>
      </c>
      <c r="Q1642" s="14" t="s">
        <v>635</v>
      </c>
      <c r="R1642" s="14" t="s">
        <v>384</v>
      </c>
      <c r="S1642" s="37" cm="1">
        <f t="array" aca="1" ref="S16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0.76330000000000153</v>
      </c>
      <c r="T1642" s="346" t="s">
        <v>2133</v>
      </c>
      <c r="U1642" s="347">
        <f t="shared" ref="U1642" ca="1" si="26">S1642/g2lb</f>
        <v>346.22705602100001</v>
      </c>
      <c r="V1642" s="347">
        <v>0.76330000000000153</v>
      </c>
      <c r="W1642" s="347">
        <v>346.22705602100001</v>
      </c>
      <c r="X1642" s="14" t="s">
        <v>12</v>
      </c>
      <c r="Y1642" s="346" t="s">
        <v>892</v>
      </c>
      <c r="Z1642" s="14" t="str">
        <f>IF(ISBLANK(LCI_Table[[#This Row],[Notes for user]])," ",LCI_Table[[#This Row],[Notes for user]])</f>
        <v xml:space="preserve"> </v>
      </c>
      <c r="AA1642" s="14"/>
      <c r="AB1642" s="14"/>
      <c r="AC1642" s="346">
        <f ca="1">LCI_Table[[#This Row],[Default Calculated Value]]-LCI_Table[[#This Row],[Calculated Value]]</f>
        <v>0</v>
      </c>
    </row>
    <row r="1643" spans="1:29" x14ac:dyDescent="0.3">
      <c r="A16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stoverATJ-ethanolICAOConsensusStandalone_CornStover_Fermentation_AmmoniaAmmonia</v>
      </c>
      <c r="B1643" s="14" t="s">
        <v>135</v>
      </c>
      <c r="C1643" s="14" t="s">
        <v>1964</v>
      </c>
      <c r="D1643" s="14" t="s">
        <v>194</v>
      </c>
      <c r="E1643" s="48" t="s">
        <v>1399</v>
      </c>
      <c r="F1643" s="48" t="s">
        <v>137</v>
      </c>
      <c r="G1643" s="14" t="b">
        <f>OR(LCI_Table[[#This Row],[Feedstock]]="All",LCI_Table[[#This Row],[Feedstock]]=SelectedFeedstock)</f>
        <v>0</v>
      </c>
      <c r="H1643" s="14" t="b">
        <f>OR(LCI_Table[[#This Row],[Conversion]]="All",LCI_Table[[#This Row],[Conversion]]=SelectedConversion)</f>
        <v>0</v>
      </c>
      <c r="I1643" s="14" t="b">
        <f>OR(LCI_Table[[#This Row],[Data Set]]="all",LCI_Table[[#This Row],[Data Set]]=SelectedDataSet)</f>
        <v>0</v>
      </c>
      <c r="J1643" s="14" t="b">
        <f>OR(LCI_Table[[#This Row],[Technology]]="All",LCI_Table[[#This Row],[Technology]]=SelectedTechnology)</f>
        <v>0</v>
      </c>
      <c r="K1643" s="14" t="b">
        <f>OR(LCI_Table[[#This Row],[Data Source]]="All",LCI_Table[[#This Row],[Data Source]]=SelectedDataSource)</f>
        <v>0</v>
      </c>
      <c r="L1643" s="14" t="b">
        <f>TRUE</f>
        <v>1</v>
      </c>
      <c r="M1643" s="14" t="b">
        <f>(LCI_Table[[#This Row],[Dev Notes]]="Do not display")</f>
        <v>0</v>
      </c>
      <c r="N1643" s="14" t="b">
        <f>AND(LCI_Table[[#This Row],[Show Feedstock]:[Conditional]],NOT(LCI_Table[[#This Row],[Hide Row]]))</f>
        <v>0</v>
      </c>
      <c r="O1643" s="14" t="b">
        <f>LCI_Table[[#This Row],[GREET1 Name Range]]=""</f>
        <v>0</v>
      </c>
      <c r="P1643" s="14" t="s">
        <v>428</v>
      </c>
      <c r="Q1643" s="14" t="s">
        <v>618</v>
      </c>
      <c r="R1643" s="14" t="s">
        <v>382</v>
      </c>
      <c r="S1643" s="37" cm="1">
        <f t="array" aca="1" ref="S16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9.1596000000000163E-2</v>
      </c>
      <c r="T1643" s="346" t="s">
        <v>2133</v>
      </c>
      <c r="U1643" s="347">
        <f t="shared" ref="U1643" ca="1" si="27">S1643/g2lb</f>
        <v>41.547246722519994</v>
      </c>
      <c r="V1643" s="347">
        <v>9.1596000000000163E-2</v>
      </c>
      <c r="W1643" s="347">
        <v>41.547246722519994</v>
      </c>
      <c r="X1643" s="14" t="s">
        <v>12</v>
      </c>
      <c r="Y1643" s="346" t="s">
        <v>892</v>
      </c>
      <c r="Z1643" s="14" t="str">
        <f>IF(ISBLANK(LCI_Table[[#This Row],[Notes for user]])," ",LCI_Table[[#This Row],[Notes for user]])</f>
        <v xml:space="preserve"> </v>
      </c>
      <c r="AA1643" s="14"/>
      <c r="AB1643" s="14"/>
      <c r="AC1643" s="346">
        <f ca="1">LCI_Table[[#This Row],[Default Calculated Value]]-LCI_Table[[#This Row],[Calculated Value]]</f>
        <v>0</v>
      </c>
    </row>
    <row r="1644" spans="1:29" x14ac:dyDescent="0.3">
      <c r="A16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stoverATJ-ethanolICAOConsensusStandalone_CornStover_Fermentation_Corn_steep_liquorCorn steep liquor</v>
      </c>
      <c r="B1644" s="14" t="s">
        <v>135</v>
      </c>
      <c r="C1644" s="14" t="s">
        <v>1964</v>
      </c>
      <c r="D1644" s="14" t="s">
        <v>194</v>
      </c>
      <c r="E1644" s="48" t="s">
        <v>1399</v>
      </c>
      <c r="F1644" s="48" t="s">
        <v>137</v>
      </c>
      <c r="G1644" s="14" t="b">
        <f>OR(LCI_Table[[#This Row],[Feedstock]]="All",LCI_Table[[#This Row],[Feedstock]]=SelectedFeedstock)</f>
        <v>0</v>
      </c>
      <c r="H1644" s="14" t="b">
        <f>OR(LCI_Table[[#This Row],[Conversion]]="All",LCI_Table[[#This Row],[Conversion]]=SelectedConversion)</f>
        <v>0</v>
      </c>
      <c r="I1644" s="14" t="b">
        <f>OR(LCI_Table[[#This Row],[Data Set]]="all",LCI_Table[[#This Row],[Data Set]]=SelectedDataSet)</f>
        <v>0</v>
      </c>
      <c r="J1644" s="14" t="b">
        <f>OR(LCI_Table[[#This Row],[Technology]]="All",LCI_Table[[#This Row],[Technology]]=SelectedTechnology)</f>
        <v>0</v>
      </c>
      <c r="K1644" s="14" t="b">
        <f>OR(LCI_Table[[#This Row],[Data Source]]="All",LCI_Table[[#This Row],[Data Source]]=SelectedDataSource)</f>
        <v>0</v>
      </c>
      <c r="L1644" s="14" t="b">
        <f>TRUE</f>
        <v>1</v>
      </c>
      <c r="M1644" s="14" t="b">
        <f>(LCI_Table[[#This Row],[Dev Notes]]="Do not display")</f>
        <v>0</v>
      </c>
      <c r="N1644" s="14" t="b">
        <f>AND(LCI_Table[[#This Row],[Show Feedstock]:[Conditional]],NOT(LCI_Table[[#This Row],[Hide Row]]))</f>
        <v>0</v>
      </c>
      <c r="O1644" s="14" t="b">
        <f>LCI_Table[[#This Row],[GREET1 Name Range]]=""</f>
        <v>0</v>
      </c>
      <c r="P1644" s="14" t="s">
        <v>428</v>
      </c>
      <c r="Q1644" s="14" t="s">
        <v>622</v>
      </c>
      <c r="R1644" s="14" t="s">
        <v>386</v>
      </c>
      <c r="S1644" s="37" cm="1">
        <f t="array" aca="1" ref="S16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0.29005400000000059</v>
      </c>
      <c r="T1644" s="346" t="s">
        <v>2133</v>
      </c>
      <c r="U1644" s="347">
        <f t="shared" ref="U1644" ca="1" si="28">S1644/g2lb</f>
        <v>131.56628128798002</v>
      </c>
      <c r="V1644" s="347">
        <v>0.29005400000000059</v>
      </c>
      <c r="W1644" s="347">
        <v>131.56628128798002</v>
      </c>
      <c r="X1644" s="14" t="s">
        <v>12</v>
      </c>
      <c r="Y1644" s="346" t="s">
        <v>892</v>
      </c>
      <c r="Z1644" s="14" t="str">
        <f>IF(ISBLANK(LCI_Table[[#This Row],[Notes for user]])," ",LCI_Table[[#This Row],[Notes for user]])</f>
        <v xml:space="preserve"> </v>
      </c>
      <c r="AA1644" s="14"/>
      <c r="AB1644" s="14"/>
      <c r="AC1644" s="346">
        <f ca="1">LCI_Table[[#This Row],[Default Calculated Value]]-LCI_Table[[#This Row],[Calculated Value]]</f>
        <v>0</v>
      </c>
    </row>
    <row r="1645" spans="1:29" x14ac:dyDescent="0.3">
      <c r="A16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stoverATJ-ethanolICAOConsensusStandalone_CornStover_Fermentation_DAPDAP</v>
      </c>
      <c r="B1645" s="14" t="s">
        <v>135</v>
      </c>
      <c r="C1645" s="14" t="s">
        <v>1964</v>
      </c>
      <c r="D1645" s="14" t="s">
        <v>194</v>
      </c>
      <c r="E1645" s="48" t="s">
        <v>1399</v>
      </c>
      <c r="F1645" s="48" t="s">
        <v>137</v>
      </c>
      <c r="G1645" s="14" t="b">
        <f>OR(LCI_Table[[#This Row],[Feedstock]]="All",LCI_Table[[#This Row],[Feedstock]]=SelectedFeedstock)</f>
        <v>0</v>
      </c>
      <c r="H1645" s="14" t="b">
        <f>OR(LCI_Table[[#This Row],[Conversion]]="All",LCI_Table[[#This Row],[Conversion]]=SelectedConversion)</f>
        <v>0</v>
      </c>
      <c r="I1645" s="14" t="b">
        <f>OR(LCI_Table[[#This Row],[Data Set]]="all",LCI_Table[[#This Row],[Data Set]]=SelectedDataSet)</f>
        <v>0</v>
      </c>
      <c r="J1645" s="14" t="b">
        <f>OR(LCI_Table[[#This Row],[Technology]]="All",LCI_Table[[#This Row],[Technology]]=SelectedTechnology)</f>
        <v>0</v>
      </c>
      <c r="K1645" s="14" t="b">
        <f>OR(LCI_Table[[#This Row],[Data Source]]="All",LCI_Table[[#This Row],[Data Source]]=SelectedDataSource)</f>
        <v>0</v>
      </c>
      <c r="L1645" s="14" t="b">
        <f>TRUE</f>
        <v>1</v>
      </c>
      <c r="M1645" s="14" t="b">
        <f>(LCI_Table[[#This Row],[Dev Notes]]="Do not display")</f>
        <v>0</v>
      </c>
      <c r="N1645" s="14" t="b">
        <f>AND(LCI_Table[[#This Row],[Show Feedstock]:[Conditional]],NOT(LCI_Table[[#This Row],[Hide Row]]))</f>
        <v>0</v>
      </c>
      <c r="O1645" s="14" t="b">
        <f>LCI_Table[[#This Row],[GREET1 Name Range]]=""</f>
        <v>0</v>
      </c>
      <c r="P1645" s="14" t="s">
        <v>428</v>
      </c>
      <c r="Q1645" s="14" t="s">
        <v>624</v>
      </c>
      <c r="R1645" s="14" t="s">
        <v>383</v>
      </c>
      <c r="S1645" s="37" cm="1">
        <f t="array" aca="1" ref="S16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3.053200000000007E-2</v>
      </c>
      <c r="T1645" s="346" t="s">
        <v>2133</v>
      </c>
      <c r="U1645" s="347">
        <f t="shared" ref="U1645" ca="1" si="29">S1645/g2lb</f>
        <v>13.849082240840003</v>
      </c>
      <c r="V1645" s="347">
        <v>3.053200000000007E-2</v>
      </c>
      <c r="W1645" s="347">
        <v>13.849082240840003</v>
      </c>
      <c r="X1645" s="14" t="s">
        <v>12</v>
      </c>
      <c r="Y1645" s="346" t="s">
        <v>892</v>
      </c>
      <c r="Z1645" s="14" t="str">
        <f>IF(ISBLANK(LCI_Table[[#This Row],[Notes for user]])," ",LCI_Table[[#This Row],[Notes for user]])</f>
        <v xml:space="preserve"> </v>
      </c>
      <c r="AA1645" s="14"/>
      <c r="AB1645" s="14"/>
      <c r="AC1645" s="346">
        <f ca="1">LCI_Table[[#This Row],[Default Calculated Value]]-LCI_Table[[#This Row],[Calculated Value]]</f>
        <v>0</v>
      </c>
    </row>
    <row r="1646" spans="1:29" x14ac:dyDescent="0.3">
      <c r="A16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stoverATJ-ethanolICAOConsensusStandalone_CornStover_Fermentation_NaOHNaOH</v>
      </c>
      <c r="B1646" s="14" t="s">
        <v>135</v>
      </c>
      <c r="C1646" s="14" t="s">
        <v>1964</v>
      </c>
      <c r="D1646" s="14" t="s">
        <v>194</v>
      </c>
      <c r="E1646" s="48" t="s">
        <v>1399</v>
      </c>
      <c r="F1646" s="48" t="s">
        <v>137</v>
      </c>
      <c r="G1646" s="14" t="b">
        <f>OR(LCI_Table[[#This Row],[Feedstock]]="All",LCI_Table[[#This Row],[Feedstock]]=SelectedFeedstock)</f>
        <v>0</v>
      </c>
      <c r="H1646" s="14" t="b">
        <f>OR(LCI_Table[[#This Row],[Conversion]]="All",LCI_Table[[#This Row],[Conversion]]=SelectedConversion)</f>
        <v>0</v>
      </c>
      <c r="I1646" s="14" t="b">
        <f>OR(LCI_Table[[#This Row],[Data Set]]="all",LCI_Table[[#This Row],[Data Set]]=SelectedDataSet)</f>
        <v>0</v>
      </c>
      <c r="J1646" s="14" t="b">
        <f>OR(LCI_Table[[#This Row],[Technology]]="All",LCI_Table[[#This Row],[Technology]]=SelectedTechnology)</f>
        <v>0</v>
      </c>
      <c r="K1646" s="14" t="b">
        <f>OR(LCI_Table[[#This Row],[Data Source]]="All",LCI_Table[[#This Row],[Data Source]]=SelectedDataSource)</f>
        <v>0</v>
      </c>
      <c r="L1646" s="14" t="b">
        <f>TRUE</f>
        <v>1</v>
      </c>
      <c r="M1646" s="14" t="b">
        <f>(LCI_Table[[#This Row],[Dev Notes]]="Do not display")</f>
        <v>0</v>
      </c>
      <c r="N1646" s="14" t="b">
        <f>AND(LCI_Table[[#This Row],[Show Feedstock]:[Conditional]],NOT(LCI_Table[[#This Row],[Hide Row]]))</f>
        <v>0</v>
      </c>
      <c r="O1646" s="14" t="b">
        <f>LCI_Table[[#This Row],[GREET1 Name Range]]=""</f>
        <v>0</v>
      </c>
      <c r="P1646" s="14" t="s">
        <v>428</v>
      </c>
      <c r="Q1646" s="14" t="s">
        <v>631</v>
      </c>
      <c r="R1646" s="14" t="s">
        <v>403</v>
      </c>
      <c r="S1646" s="37" cm="1">
        <f t="array" aca="1" ref="S16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0.25952200000000047</v>
      </c>
      <c r="T1646" s="346" t="s">
        <v>2133</v>
      </c>
      <c r="U1646" s="347">
        <f t="shared" ref="U1646" ca="1" si="30">S1646/g2lb</f>
        <v>117.71719904713999</v>
      </c>
      <c r="V1646" s="347">
        <v>0.25952200000000047</v>
      </c>
      <c r="W1646" s="347">
        <v>117.71719904713999</v>
      </c>
      <c r="X1646" s="14" t="s">
        <v>12</v>
      </c>
      <c r="Y1646" s="346" t="s">
        <v>892</v>
      </c>
      <c r="Z1646" s="14" t="str">
        <f>IF(ISBLANK(LCI_Table[[#This Row],[Notes for user]])," ",LCI_Table[[#This Row],[Notes for user]])</f>
        <v xml:space="preserve"> </v>
      </c>
      <c r="AA1646" s="14"/>
      <c r="AB1646" s="14"/>
      <c r="AC1646" s="346">
        <f ca="1">LCI_Table[[#This Row],[Default Calculated Value]]-LCI_Table[[#This Row],[Calculated Value]]</f>
        <v>0</v>
      </c>
    </row>
    <row r="1647" spans="1:29" x14ac:dyDescent="0.3">
      <c r="A16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stoverATJ-ethanolICAOConsensusStandalone_CornStover_Fermentation_CaOQuicklime (CaO)</v>
      </c>
      <c r="B1647" s="14" t="s">
        <v>135</v>
      </c>
      <c r="C1647" s="14" t="s">
        <v>1964</v>
      </c>
      <c r="D1647" s="14" t="s">
        <v>194</v>
      </c>
      <c r="E1647" s="48" t="s">
        <v>1399</v>
      </c>
      <c r="F1647" s="48" t="s">
        <v>137</v>
      </c>
      <c r="G1647" s="14" t="b">
        <f>OR(LCI_Table[[#This Row],[Feedstock]]="All",LCI_Table[[#This Row],[Feedstock]]=SelectedFeedstock)</f>
        <v>0</v>
      </c>
      <c r="H1647" s="14" t="b">
        <f>OR(LCI_Table[[#This Row],[Conversion]]="All",LCI_Table[[#This Row],[Conversion]]=SelectedConversion)</f>
        <v>0</v>
      </c>
      <c r="I1647" s="14" t="b">
        <f>OR(LCI_Table[[#This Row],[Data Set]]="all",LCI_Table[[#This Row],[Data Set]]=SelectedDataSet)</f>
        <v>0</v>
      </c>
      <c r="J1647" s="14" t="b">
        <f>OR(LCI_Table[[#This Row],[Technology]]="All",LCI_Table[[#This Row],[Technology]]=SelectedTechnology)</f>
        <v>0</v>
      </c>
      <c r="K1647" s="14" t="b">
        <f>OR(LCI_Table[[#This Row],[Data Source]]="All",LCI_Table[[#This Row],[Data Source]]=SelectedDataSource)</f>
        <v>0</v>
      </c>
      <c r="L1647" s="14" t="b">
        <f>TRUE</f>
        <v>1</v>
      </c>
      <c r="M1647" s="14" t="b">
        <f>(LCI_Table[[#This Row],[Dev Notes]]="Do not display")</f>
        <v>0</v>
      </c>
      <c r="N1647" s="14" t="b">
        <f>AND(LCI_Table[[#This Row],[Show Feedstock]:[Conditional]],NOT(LCI_Table[[#This Row],[Hide Row]]))</f>
        <v>0</v>
      </c>
      <c r="O1647" s="14" t="b">
        <f>LCI_Table[[#This Row],[GREET1 Name Range]]=""</f>
        <v>0</v>
      </c>
      <c r="P1647" s="14" t="s">
        <v>428</v>
      </c>
      <c r="Q1647" s="14" t="s">
        <v>619</v>
      </c>
      <c r="R1647" s="14" t="s">
        <v>404</v>
      </c>
      <c r="S1647" s="37" cm="1">
        <f t="array" aca="1" ref="S16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0.16792600000000041</v>
      </c>
      <c r="T1647" s="346" t="s">
        <v>2133</v>
      </c>
      <c r="U1647" s="347">
        <f t="shared" ref="U1647" ca="1" si="31">S1647/g2lb</f>
        <v>76.169952324620027</v>
      </c>
      <c r="V1647" s="347">
        <v>0.16792600000000041</v>
      </c>
      <c r="W1647" s="347">
        <v>76.169952324620027</v>
      </c>
      <c r="X1647" s="14" t="s">
        <v>12</v>
      </c>
      <c r="Y1647" s="346" t="s">
        <v>892</v>
      </c>
      <c r="Z1647" s="14" t="str">
        <f>IF(ISBLANK(LCI_Table[[#This Row],[Notes for user]])," ",LCI_Table[[#This Row],[Notes for user]])</f>
        <v xml:space="preserve"> </v>
      </c>
      <c r="AA1647" s="14"/>
      <c r="AB1647" s="14"/>
      <c r="AC1647" s="346">
        <f ca="1">LCI_Table[[#This Row],[Default Calculated Value]]-LCI_Table[[#This Row],[Calculated Value]]</f>
        <v>0</v>
      </c>
    </row>
    <row r="1648" spans="1:29" x14ac:dyDescent="0.3">
      <c r="A16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stoverATJ-ethanolICAOConsensusStandalone_CornStover_Fermentation_UreaUrea</v>
      </c>
      <c r="B1648" s="14" t="s">
        <v>135</v>
      </c>
      <c r="C1648" s="14" t="s">
        <v>1964</v>
      </c>
      <c r="D1648" s="14" t="s">
        <v>194</v>
      </c>
      <c r="E1648" s="48" t="s">
        <v>1399</v>
      </c>
      <c r="F1648" s="48" t="s">
        <v>137</v>
      </c>
      <c r="G1648" s="14" t="b">
        <f>OR(LCI_Table[[#This Row],[Feedstock]]="All",LCI_Table[[#This Row],[Feedstock]]=SelectedFeedstock)</f>
        <v>0</v>
      </c>
      <c r="H1648" s="14" t="b">
        <f>OR(LCI_Table[[#This Row],[Conversion]]="All",LCI_Table[[#This Row],[Conversion]]=SelectedConversion)</f>
        <v>0</v>
      </c>
      <c r="I1648" s="14" t="b">
        <f>OR(LCI_Table[[#This Row],[Data Set]]="all",LCI_Table[[#This Row],[Data Set]]=SelectedDataSet)</f>
        <v>0</v>
      </c>
      <c r="J1648" s="14" t="b">
        <f>OR(LCI_Table[[#This Row],[Technology]]="All",LCI_Table[[#This Row],[Technology]]=SelectedTechnology)</f>
        <v>0</v>
      </c>
      <c r="K1648" s="14" t="b">
        <f>OR(LCI_Table[[#This Row],[Data Source]]="All",LCI_Table[[#This Row],[Data Source]]=SelectedDataSource)</f>
        <v>0</v>
      </c>
      <c r="L1648" s="14" t="b">
        <f>TRUE</f>
        <v>1</v>
      </c>
      <c r="M1648" s="14" t="b">
        <f>(LCI_Table[[#This Row],[Dev Notes]]="Do not display")</f>
        <v>0</v>
      </c>
      <c r="N1648" s="14" t="b">
        <f>AND(LCI_Table[[#This Row],[Show Feedstock]:[Conditional]],NOT(LCI_Table[[#This Row],[Hide Row]]))</f>
        <v>0</v>
      </c>
      <c r="O1648" s="14" t="b">
        <f>LCI_Table[[#This Row],[GREET1 Name Range]]=""</f>
        <v>0</v>
      </c>
      <c r="P1648" s="14" t="s">
        <v>428</v>
      </c>
      <c r="Q1648" s="14" t="s">
        <v>636</v>
      </c>
      <c r="R1648" s="14" t="s">
        <v>144</v>
      </c>
      <c r="S1648" s="37" cm="1">
        <f t="array" aca="1" ref="S16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4.5798000000000082E-2</v>
      </c>
      <c r="T1648" s="346" t="s">
        <v>2133</v>
      </c>
      <c r="U1648" s="347">
        <f t="shared" ref="U1648" ca="1" si="32">S1648/g2lb</f>
        <v>20.773623361259997</v>
      </c>
      <c r="V1648" s="347">
        <v>4.5798000000000082E-2</v>
      </c>
      <c r="W1648" s="347">
        <v>20.773623361259997</v>
      </c>
      <c r="X1648" s="14" t="s">
        <v>12</v>
      </c>
      <c r="Y1648" s="346" t="s">
        <v>892</v>
      </c>
      <c r="Z1648" s="14" t="str">
        <f>IF(ISBLANK(LCI_Table[[#This Row],[Notes for user]])," ",LCI_Table[[#This Row],[Notes for user]])</f>
        <v xml:space="preserve"> </v>
      </c>
      <c r="AA1648" s="14"/>
      <c r="AB1648" s="14"/>
      <c r="AC1648" s="346">
        <f ca="1">LCI_Table[[#This Row],[Default Calculated Value]]-LCI_Table[[#This Row],[Calculated Value]]</f>
        <v>0</v>
      </c>
    </row>
    <row r="1649" spans="1:29" x14ac:dyDescent="0.3">
      <c r="A16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stoverATJ-ethanolICAOConsensusStandalone_CornStover_Fermentation_Residual_oilResidual oil</v>
      </c>
      <c r="B1649" s="14" t="s">
        <v>135</v>
      </c>
      <c r="C1649" s="14" t="s">
        <v>1964</v>
      </c>
      <c r="D1649" s="14" t="s">
        <v>194</v>
      </c>
      <c r="E1649" s="48" t="s">
        <v>1399</v>
      </c>
      <c r="F1649" s="48" t="s">
        <v>137</v>
      </c>
      <c r="G1649" s="14" t="b">
        <f>OR(LCI_Table[[#This Row],[Feedstock]]="All",LCI_Table[[#This Row],[Feedstock]]=SelectedFeedstock)</f>
        <v>0</v>
      </c>
      <c r="H1649" s="14" t="b">
        <f>OR(LCI_Table[[#This Row],[Conversion]]="All",LCI_Table[[#This Row],[Conversion]]=SelectedConversion)</f>
        <v>0</v>
      </c>
      <c r="I1649" s="14" t="b">
        <f>OR(LCI_Table[[#This Row],[Data Set]]="all",LCI_Table[[#This Row],[Data Set]]=SelectedDataSet)</f>
        <v>0</v>
      </c>
      <c r="J1649" s="14" t="b">
        <f>OR(LCI_Table[[#This Row],[Technology]]="All",LCI_Table[[#This Row],[Technology]]=SelectedTechnology)</f>
        <v>0</v>
      </c>
      <c r="K1649" s="14" t="b">
        <f>OR(LCI_Table[[#This Row],[Data Source]]="All",LCI_Table[[#This Row],[Data Source]]=SelectedDataSource)</f>
        <v>0</v>
      </c>
      <c r="L1649" s="14" t="b">
        <f>TRUE</f>
        <v>1</v>
      </c>
      <c r="M1649" s="14" t="b">
        <f>(LCI_Table[[#This Row],[Dev Notes]]="Do not display")</f>
        <v>0</v>
      </c>
      <c r="N1649" s="14" t="b">
        <f>AND(LCI_Table[[#This Row],[Show Feedstock]:[Conditional]],NOT(LCI_Table[[#This Row],[Hide Row]]))</f>
        <v>0</v>
      </c>
      <c r="O1649" s="14" t="b">
        <f>LCI_Table[[#This Row],[GREET1 Name Range]]=""</f>
        <v>0</v>
      </c>
      <c r="P1649" s="14" t="s">
        <v>428</v>
      </c>
      <c r="Q1649" s="14" t="s">
        <v>633</v>
      </c>
      <c r="R1649" s="14" t="s">
        <v>115</v>
      </c>
      <c r="S1649" s="37" cm="1">
        <f t="array" aca="1" ref="S16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49" s="346" t="s">
        <v>2134</v>
      </c>
      <c r="U1649" s="347">
        <f ca="1">S1649*Fuel_Specs!$B$28/Fuel_Specs!$B$31/BTU2MJ</f>
        <v>0</v>
      </c>
      <c r="V1649" s="347">
        <v>0</v>
      </c>
      <c r="W1649" s="347">
        <v>0</v>
      </c>
      <c r="X1649" s="14" t="s">
        <v>5</v>
      </c>
      <c r="Y1649" s="346" t="s">
        <v>892</v>
      </c>
      <c r="Z1649" s="14" t="str">
        <f>IF(ISBLANK(LCI_Table[[#This Row],[Notes for user]])," ",LCI_Table[[#This Row],[Notes for user]])</f>
        <v xml:space="preserve"> </v>
      </c>
      <c r="AA1649" s="14"/>
      <c r="AB1649" s="14"/>
      <c r="AC1649" s="346">
        <f ca="1">LCI_Table[[#This Row],[Default Calculated Value]]-LCI_Table[[#This Row],[Calculated Value]]</f>
        <v>0</v>
      </c>
    </row>
    <row r="1650" spans="1:29" x14ac:dyDescent="0.3">
      <c r="A16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stoverATJ-ethanolICAOConsensusStandalone_CornStover_Fermentation_DieselDiesel</v>
      </c>
      <c r="B1650" s="14" t="s">
        <v>135</v>
      </c>
      <c r="C1650" s="14" t="s">
        <v>1964</v>
      </c>
      <c r="D1650" s="14" t="s">
        <v>194</v>
      </c>
      <c r="E1650" s="48" t="s">
        <v>1399</v>
      </c>
      <c r="F1650" s="48" t="s">
        <v>137</v>
      </c>
      <c r="G1650" s="14" t="b">
        <f>OR(LCI_Table[[#This Row],[Feedstock]]="All",LCI_Table[[#This Row],[Feedstock]]=SelectedFeedstock)</f>
        <v>0</v>
      </c>
      <c r="H1650" s="14" t="b">
        <f>OR(LCI_Table[[#This Row],[Conversion]]="All",LCI_Table[[#This Row],[Conversion]]=SelectedConversion)</f>
        <v>0</v>
      </c>
      <c r="I1650" s="14" t="b">
        <f>OR(LCI_Table[[#This Row],[Data Set]]="all",LCI_Table[[#This Row],[Data Set]]=SelectedDataSet)</f>
        <v>0</v>
      </c>
      <c r="J1650" s="14" t="b">
        <f>OR(LCI_Table[[#This Row],[Technology]]="All",LCI_Table[[#This Row],[Technology]]=SelectedTechnology)</f>
        <v>0</v>
      </c>
      <c r="K1650" s="14" t="b">
        <f>OR(LCI_Table[[#This Row],[Data Source]]="All",LCI_Table[[#This Row],[Data Source]]=SelectedDataSource)</f>
        <v>0</v>
      </c>
      <c r="L1650" s="14" t="b">
        <f>TRUE</f>
        <v>1</v>
      </c>
      <c r="M1650" s="14" t="b">
        <f>(LCI_Table[[#This Row],[Dev Notes]]="Do not display")</f>
        <v>0</v>
      </c>
      <c r="N1650" s="14" t="b">
        <f>AND(LCI_Table[[#This Row],[Show Feedstock]:[Conditional]],NOT(LCI_Table[[#This Row],[Hide Row]]))</f>
        <v>0</v>
      </c>
      <c r="O1650" s="14" t="b">
        <f>LCI_Table[[#This Row],[GREET1 Name Range]]=""</f>
        <v>0</v>
      </c>
      <c r="P1650" s="14" t="s">
        <v>428</v>
      </c>
      <c r="Q1650" s="14" t="s">
        <v>625</v>
      </c>
      <c r="R1650" s="14" t="s">
        <v>106</v>
      </c>
      <c r="S1650" s="37" cm="1">
        <f t="array" aca="1" ref="S16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1.3873102374464771E-3</v>
      </c>
      <c r="T1650" s="346" t="s">
        <v>2134</v>
      </c>
      <c r="U1650" s="347">
        <f ca="1">S1650*Fuel_Specs!$B$19/Fuel_Specs!$B$31/BTU2MJ</f>
        <v>2.2127736310659212</v>
      </c>
      <c r="V1650" s="347">
        <v>1.3873102374464771E-3</v>
      </c>
      <c r="W1650" s="347">
        <v>2.2127736310659212</v>
      </c>
      <c r="X1650" s="14" t="s">
        <v>5</v>
      </c>
      <c r="Y1650" s="346" t="s">
        <v>892</v>
      </c>
      <c r="Z1650" s="14" t="str">
        <f>IF(ISBLANK(LCI_Table[[#This Row],[Notes for user]])," ",LCI_Table[[#This Row],[Notes for user]])</f>
        <v xml:space="preserve"> </v>
      </c>
      <c r="AA1650" s="14"/>
      <c r="AB1650" s="14"/>
      <c r="AC1650" s="346">
        <f ca="1">LCI_Table[[#This Row],[Default Calculated Value]]-LCI_Table[[#This Row],[Calculated Value]]</f>
        <v>0</v>
      </c>
    </row>
    <row r="1651" spans="1:29" x14ac:dyDescent="0.3">
      <c r="A16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stoverATJ-ethanolICAOConsensusStandalone_CornStover_Fermentation_GasolineGasoline</v>
      </c>
      <c r="B1651" s="14" t="s">
        <v>135</v>
      </c>
      <c r="C1651" s="14" t="s">
        <v>1964</v>
      </c>
      <c r="D1651" s="14" t="s">
        <v>194</v>
      </c>
      <c r="E1651" s="48" t="s">
        <v>1399</v>
      </c>
      <c r="F1651" s="48" t="s">
        <v>137</v>
      </c>
      <c r="G1651" s="14" t="b">
        <f>OR(LCI_Table[[#This Row],[Feedstock]]="All",LCI_Table[[#This Row],[Feedstock]]=SelectedFeedstock)</f>
        <v>0</v>
      </c>
      <c r="H1651" s="14" t="b">
        <f>OR(LCI_Table[[#This Row],[Conversion]]="All",LCI_Table[[#This Row],[Conversion]]=SelectedConversion)</f>
        <v>0</v>
      </c>
      <c r="I1651" s="14" t="b">
        <f>OR(LCI_Table[[#This Row],[Data Set]]="all",LCI_Table[[#This Row],[Data Set]]=SelectedDataSet)</f>
        <v>0</v>
      </c>
      <c r="J1651" s="14" t="b">
        <f>OR(LCI_Table[[#This Row],[Technology]]="All",LCI_Table[[#This Row],[Technology]]=SelectedTechnology)</f>
        <v>0</v>
      </c>
      <c r="K1651" s="14" t="b">
        <f>OR(LCI_Table[[#This Row],[Data Source]]="All",LCI_Table[[#This Row],[Data Source]]=SelectedDataSource)</f>
        <v>0</v>
      </c>
      <c r="L1651" s="14" t="b">
        <f>TRUE</f>
        <v>1</v>
      </c>
      <c r="M1651" s="14" t="b">
        <f>(LCI_Table[[#This Row],[Dev Notes]]="Do not display")</f>
        <v>0</v>
      </c>
      <c r="N1651" s="14" t="b">
        <f>AND(LCI_Table[[#This Row],[Show Feedstock]:[Conditional]],NOT(LCI_Table[[#This Row],[Hide Row]]))</f>
        <v>0</v>
      </c>
      <c r="O1651" s="14" t="b">
        <f>LCI_Table[[#This Row],[GREET1 Name Range]]=""</f>
        <v>0</v>
      </c>
      <c r="P1651" s="14" t="s">
        <v>428</v>
      </c>
      <c r="Q1651" s="14" t="s">
        <v>627</v>
      </c>
      <c r="R1651" s="14" t="s">
        <v>107</v>
      </c>
      <c r="S1651" s="37" cm="1">
        <f t="array" aca="1" ref="S16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51" s="346" t="s">
        <v>2134</v>
      </c>
      <c r="U1651" s="347">
        <f ca="1">S1651*Fuel_Specs!$B$15/Fuel_Specs!$B$31/BTU2MJ</f>
        <v>0</v>
      </c>
      <c r="V1651" s="347">
        <v>0</v>
      </c>
      <c r="W1651" s="347">
        <v>0</v>
      </c>
      <c r="X1651" s="37" t="s">
        <v>5</v>
      </c>
      <c r="Y1651" s="346" t="s">
        <v>892</v>
      </c>
      <c r="Z1651" s="14" t="str">
        <f>IF(ISBLANK(LCI_Table[[#This Row],[Notes for user]])," ",LCI_Table[[#This Row],[Notes for user]])</f>
        <v xml:space="preserve"> </v>
      </c>
      <c r="AA1651" s="14"/>
      <c r="AB1651" s="14"/>
      <c r="AC1651" s="346">
        <f ca="1">LCI_Table[[#This Row],[Default Calculated Value]]-LCI_Table[[#This Row],[Calculated Value]]</f>
        <v>0</v>
      </c>
    </row>
    <row r="1652" spans="1:29" x14ac:dyDescent="0.3">
      <c r="A16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stoverATJ-ethanolICAOConsensusStandalone_CornStover_Fermentation_Natural_gasNatural gas</v>
      </c>
      <c r="B1652" s="14" t="s">
        <v>135</v>
      </c>
      <c r="C1652" s="14" t="s">
        <v>1964</v>
      </c>
      <c r="D1652" s="14" t="s">
        <v>194</v>
      </c>
      <c r="E1652" s="48" t="s">
        <v>1399</v>
      </c>
      <c r="F1652" s="48" t="s">
        <v>137</v>
      </c>
      <c r="G1652" s="14" t="b">
        <f>OR(LCI_Table[[#This Row],[Feedstock]]="All",LCI_Table[[#This Row],[Feedstock]]=SelectedFeedstock)</f>
        <v>0</v>
      </c>
      <c r="H1652" s="14" t="b">
        <f>OR(LCI_Table[[#This Row],[Conversion]]="All",LCI_Table[[#This Row],[Conversion]]=SelectedConversion)</f>
        <v>0</v>
      </c>
      <c r="I1652" s="14" t="b">
        <f>OR(LCI_Table[[#This Row],[Data Set]]="all",LCI_Table[[#This Row],[Data Set]]=SelectedDataSet)</f>
        <v>0</v>
      </c>
      <c r="J1652" s="14" t="b">
        <f>OR(LCI_Table[[#This Row],[Technology]]="All",LCI_Table[[#This Row],[Technology]]=SelectedTechnology)</f>
        <v>0</v>
      </c>
      <c r="K1652" s="14" t="b">
        <f>OR(LCI_Table[[#This Row],[Data Source]]="All",LCI_Table[[#This Row],[Data Source]]=SelectedDataSource)</f>
        <v>0</v>
      </c>
      <c r="L1652" s="14" t="b">
        <f>TRUE</f>
        <v>1</v>
      </c>
      <c r="M1652" s="14" t="b">
        <f>(LCI_Table[[#This Row],[Dev Notes]]="Do not display")</f>
        <v>0</v>
      </c>
      <c r="N1652" s="14" t="b">
        <f>AND(LCI_Table[[#This Row],[Show Feedstock]:[Conditional]],NOT(LCI_Table[[#This Row],[Hide Row]]))</f>
        <v>0</v>
      </c>
      <c r="O1652" s="14" t="b">
        <f>LCI_Table[[#This Row],[GREET1 Name Range]]=""</f>
        <v>0</v>
      </c>
      <c r="P1652" s="14" t="s">
        <v>428</v>
      </c>
      <c r="Q1652" s="14" t="s">
        <v>632</v>
      </c>
      <c r="R1652" s="14" t="s">
        <v>108</v>
      </c>
      <c r="S1652" s="37" cm="1">
        <f t="array" aca="1" ref="S16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52" s="346" t="s">
        <v>2135</v>
      </c>
      <c r="U1652" s="347">
        <f ca="1">S1652*Fuel_Specs!$B$79/Fuel_Specs!$B$31/BTU2MJ</f>
        <v>0</v>
      </c>
      <c r="V1652" s="347">
        <v>0</v>
      </c>
      <c r="W1652" s="347">
        <v>0</v>
      </c>
      <c r="X1652" s="14" t="s">
        <v>351</v>
      </c>
      <c r="Y1652" s="346" t="s">
        <v>892</v>
      </c>
      <c r="Z1652" s="14" t="str">
        <f>IF(ISBLANK(LCI_Table[[#This Row],[Notes for user]])," ",LCI_Table[[#This Row],[Notes for user]])</f>
        <v xml:space="preserve"> </v>
      </c>
      <c r="AA1652" s="14"/>
      <c r="AB1652" s="14"/>
      <c r="AC1652" s="346">
        <f ca="1">LCI_Table[[#This Row],[Default Calculated Value]]-LCI_Table[[#This Row],[Calculated Value]]</f>
        <v>0</v>
      </c>
    </row>
    <row r="1653" spans="1:29" x14ac:dyDescent="0.3">
      <c r="A16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stoverATJ-ethanolICAOConsensusStandalone_CornStover_Fermentation_CoalCoal</v>
      </c>
      <c r="B1653" s="14" t="s">
        <v>135</v>
      </c>
      <c r="C1653" s="14" t="s">
        <v>1964</v>
      </c>
      <c r="D1653" s="14" t="s">
        <v>194</v>
      </c>
      <c r="E1653" s="48" t="s">
        <v>1399</v>
      </c>
      <c r="F1653" s="48" t="s">
        <v>137</v>
      </c>
      <c r="G1653" s="14" t="b">
        <f>OR(LCI_Table[[#This Row],[Feedstock]]="All",LCI_Table[[#This Row],[Feedstock]]=SelectedFeedstock)</f>
        <v>0</v>
      </c>
      <c r="H1653" s="14" t="b">
        <f>OR(LCI_Table[[#This Row],[Conversion]]="All",LCI_Table[[#This Row],[Conversion]]=SelectedConversion)</f>
        <v>0</v>
      </c>
      <c r="I1653" s="14" t="b">
        <f>OR(LCI_Table[[#This Row],[Data Set]]="all",LCI_Table[[#This Row],[Data Set]]=SelectedDataSet)</f>
        <v>0</v>
      </c>
      <c r="J1653" s="14" t="b">
        <f>OR(LCI_Table[[#This Row],[Technology]]="All",LCI_Table[[#This Row],[Technology]]=SelectedTechnology)</f>
        <v>0</v>
      </c>
      <c r="K1653" s="14" t="b">
        <f>OR(LCI_Table[[#This Row],[Data Source]]="All",LCI_Table[[#This Row],[Data Source]]=SelectedDataSource)</f>
        <v>0</v>
      </c>
      <c r="L1653" s="14" t="b">
        <f>TRUE</f>
        <v>1</v>
      </c>
      <c r="M1653" s="14" t="b">
        <f>(LCI_Table[[#This Row],[Dev Notes]]="Do not display")</f>
        <v>0</v>
      </c>
      <c r="N1653" s="14" t="b">
        <f>AND(LCI_Table[[#This Row],[Show Feedstock]:[Conditional]],NOT(LCI_Table[[#This Row],[Hide Row]]))</f>
        <v>0</v>
      </c>
      <c r="O1653" s="14" t="b">
        <f>LCI_Table[[#This Row],[GREET1 Name Range]]=""</f>
        <v>0</v>
      </c>
      <c r="P1653" s="14" t="s">
        <v>428</v>
      </c>
      <c r="Q1653" s="14" t="s">
        <v>621</v>
      </c>
      <c r="R1653" s="14" t="s">
        <v>9</v>
      </c>
      <c r="S1653" s="37" cm="1">
        <f t="array" aca="1" ref="S16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53" s="346" t="s">
        <v>2136</v>
      </c>
      <c r="U1653" s="347">
        <f ca="1">S1653/Fuel_Specs!$B$31/BTU2MJ</f>
        <v>0</v>
      </c>
      <c r="V1653" s="347">
        <v>0</v>
      </c>
      <c r="W1653" s="347">
        <v>0</v>
      </c>
      <c r="X1653" s="37" t="s">
        <v>117</v>
      </c>
      <c r="Y1653" s="346" t="s">
        <v>892</v>
      </c>
      <c r="Z1653" s="14" t="str">
        <f>IF(ISBLANK(LCI_Table[[#This Row],[Notes for user]])," ",LCI_Table[[#This Row],[Notes for user]])</f>
        <v xml:space="preserve"> </v>
      </c>
      <c r="AA1653" s="14"/>
      <c r="AB1653" s="14"/>
      <c r="AC1653" s="346">
        <f ca="1">LCI_Table[[#This Row],[Default Calculated Value]]-LCI_Table[[#This Row],[Calculated Value]]</f>
        <v>0</v>
      </c>
    </row>
    <row r="1654" spans="1:29" x14ac:dyDescent="0.3">
      <c r="A16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stoverATJ-ethanolICAOConsensusStandalone_CornStover_Fermentation_LPGLPG</v>
      </c>
      <c r="B1654" s="14" t="s">
        <v>135</v>
      </c>
      <c r="C1654" s="14" t="s">
        <v>1964</v>
      </c>
      <c r="D1654" s="14" t="s">
        <v>194</v>
      </c>
      <c r="E1654" s="48" t="s">
        <v>1399</v>
      </c>
      <c r="F1654" s="48" t="s">
        <v>137</v>
      </c>
      <c r="G1654" s="14" t="b">
        <f>OR(LCI_Table[[#This Row],[Feedstock]]="All",LCI_Table[[#This Row],[Feedstock]]=SelectedFeedstock)</f>
        <v>0</v>
      </c>
      <c r="H1654" s="14" t="b">
        <f>OR(LCI_Table[[#This Row],[Conversion]]="All",LCI_Table[[#This Row],[Conversion]]=SelectedConversion)</f>
        <v>0</v>
      </c>
      <c r="I1654" s="14" t="b">
        <f>OR(LCI_Table[[#This Row],[Data Set]]="all",LCI_Table[[#This Row],[Data Set]]=SelectedDataSet)</f>
        <v>0</v>
      </c>
      <c r="J1654" s="14" t="b">
        <f>OR(LCI_Table[[#This Row],[Technology]]="All",LCI_Table[[#This Row],[Technology]]=SelectedTechnology)</f>
        <v>0</v>
      </c>
      <c r="K1654" s="14" t="b">
        <f>OR(LCI_Table[[#This Row],[Data Source]]="All",LCI_Table[[#This Row],[Data Source]]=SelectedDataSource)</f>
        <v>0</v>
      </c>
      <c r="L1654" s="14" t="b">
        <f>TRUE</f>
        <v>1</v>
      </c>
      <c r="M1654" s="14" t="b">
        <f>(LCI_Table[[#This Row],[Dev Notes]]="Do not display")</f>
        <v>0</v>
      </c>
      <c r="N1654" s="14" t="b">
        <f>AND(LCI_Table[[#This Row],[Show Feedstock]:[Conditional]],NOT(LCI_Table[[#This Row],[Hide Row]]))</f>
        <v>0</v>
      </c>
      <c r="O1654" s="14" t="b">
        <f>LCI_Table[[#This Row],[GREET1 Name Range]]=""</f>
        <v>0</v>
      </c>
      <c r="P1654" s="14" t="s">
        <v>428</v>
      </c>
      <c r="Q1654" s="14" t="s">
        <v>630</v>
      </c>
      <c r="R1654" s="14" t="s">
        <v>109</v>
      </c>
      <c r="S1654" s="37" cm="1">
        <f t="array" aca="1" ref="S16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54" s="346" t="s">
        <v>2134</v>
      </c>
      <c r="U1654" s="347">
        <f ca="1">S1654*Fuel_Specs!$B$35/Fuel_Specs!$B$31/BTU2MJ</f>
        <v>0</v>
      </c>
      <c r="V1654" s="347">
        <v>0</v>
      </c>
      <c r="W1654" s="347">
        <v>0</v>
      </c>
      <c r="X1654" s="37" t="s">
        <v>5</v>
      </c>
      <c r="Y1654" s="346" t="s">
        <v>892</v>
      </c>
      <c r="Z1654" s="14" t="str">
        <f>IF(ISBLANK(LCI_Table[[#This Row],[Notes for user]])," ",LCI_Table[[#This Row],[Notes for user]])</f>
        <v xml:space="preserve"> </v>
      </c>
      <c r="AA1654" s="14"/>
      <c r="AB1654" s="14"/>
      <c r="AC1654" s="346">
        <f ca="1">LCI_Table[[#This Row],[Default Calculated Value]]-LCI_Table[[#This Row],[Calculated Value]]</f>
        <v>0</v>
      </c>
    </row>
    <row r="1655" spans="1:29" x14ac:dyDescent="0.3">
      <c r="A16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stoverATJ-ethanolICAOConsensusStandalone_CornStover_Fermentation_BiomassBiomass</v>
      </c>
      <c r="B1655" s="14" t="s">
        <v>135</v>
      </c>
      <c r="C1655" s="14" t="s">
        <v>1964</v>
      </c>
      <c r="D1655" s="14" t="s">
        <v>194</v>
      </c>
      <c r="E1655" s="48" t="s">
        <v>1399</v>
      </c>
      <c r="F1655" s="48" t="s">
        <v>137</v>
      </c>
      <c r="G1655" s="14" t="b">
        <f>OR(LCI_Table[[#This Row],[Feedstock]]="All",LCI_Table[[#This Row],[Feedstock]]=SelectedFeedstock)</f>
        <v>0</v>
      </c>
      <c r="H1655" s="14" t="b">
        <f>OR(LCI_Table[[#This Row],[Conversion]]="All",LCI_Table[[#This Row],[Conversion]]=SelectedConversion)</f>
        <v>0</v>
      </c>
      <c r="I1655" s="14" t="b">
        <f>OR(LCI_Table[[#This Row],[Data Set]]="all",LCI_Table[[#This Row],[Data Set]]=SelectedDataSet)</f>
        <v>0</v>
      </c>
      <c r="J1655" s="14" t="b">
        <f>OR(LCI_Table[[#This Row],[Technology]]="All",LCI_Table[[#This Row],[Technology]]=SelectedTechnology)</f>
        <v>0</v>
      </c>
      <c r="K1655" s="14" t="b">
        <f>OR(LCI_Table[[#This Row],[Data Source]]="All",LCI_Table[[#This Row],[Data Source]]=SelectedDataSource)</f>
        <v>0</v>
      </c>
      <c r="L1655" s="14" t="b">
        <f>TRUE</f>
        <v>1</v>
      </c>
      <c r="M1655" s="14" t="b">
        <f>(LCI_Table[[#This Row],[Dev Notes]]="Do not display")</f>
        <v>0</v>
      </c>
      <c r="N1655" s="14" t="b">
        <f>AND(LCI_Table[[#This Row],[Show Feedstock]:[Conditional]],NOT(LCI_Table[[#This Row],[Hide Row]]))</f>
        <v>0</v>
      </c>
      <c r="O1655" s="14" t="b">
        <f>LCI_Table[[#This Row],[GREET1 Name Range]]=""</f>
        <v>0</v>
      </c>
      <c r="P1655" s="14" t="s">
        <v>428</v>
      </c>
      <c r="Q1655" s="14" t="s">
        <v>1408</v>
      </c>
      <c r="R1655" s="14" t="s">
        <v>1410</v>
      </c>
      <c r="S1655" s="37" cm="1">
        <f t="array" aca="1" ref="S16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55" s="346" t="s">
        <v>2133</v>
      </c>
      <c r="U1655" s="347">
        <f ca="1">S1655*Fuel_Specs!$B$100*ton2lb/Fuel_Specs!$B$31/BTU2MJ</f>
        <v>0</v>
      </c>
      <c r="V1655" s="347">
        <v>0</v>
      </c>
      <c r="W1655" s="347">
        <v>0</v>
      </c>
      <c r="X1655" s="37" t="s">
        <v>12</v>
      </c>
      <c r="Y1655" s="346" t="s">
        <v>892</v>
      </c>
      <c r="Z1655" s="14" t="str">
        <f>IF(ISBLANK(LCI_Table[[#This Row],[Notes for user]])," ",LCI_Table[[#This Row],[Notes for user]])</f>
        <v xml:space="preserve"> </v>
      </c>
      <c r="AA1655" s="14"/>
      <c r="AB1655" s="14"/>
      <c r="AC1655" s="346">
        <f ca="1">LCI_Table[[#This Row],[Default Calculated Value]]-LCI_Table[[#This Row],[Calculated Value]]</f>
        <v>0</v>
      </c>
    </row>
    <row r="1656" spans="1:29" x14ac:dyDescent="0.3">
      <c r="A16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stoverATJ-ethanolICAOConsensusStandalone_CornStover_Fermentation_ElectricityElectricity</v>
      </c>
      <c r="B1656" s="14" t="s">
        <v>135</v>
      </c>
      <c r="C1656" s="14" t="s">
        <v>1964</v>
      </c>
      <c r="D1656" s="14" t="s">
        <v>194</v>
      </c>
      <c r="E1656" s="48" t="s">
        <v>1399</v>
      </c>
      <c r="F1656" s="48" t="s">
        <v>137</v>
      </c>
      <c r="G1656" s="14" t="b">
        <f>OR(LCI_Table[[#This Row],[Feedstock]]="All",LCI_Table[[#This Row],[Feedstock]]=SelectedFeedstock)</f>
        <v>0</v>
      </c>
      <c r="H1656" s="14" t="b">
        <f>OR(LCI_Table[[#This Row],[Conversion]]="All",LCI_Table[[#This Row],[Conversion]]=SelectedConversion)</f>
        <v>0</v>
      </c>
      <c r="I1656" s="14" t="b">
        <f>OR(LCI_Table[[#This Row],[Data Set]]="all",LCI_Table[[#This Row],[Data Set]]=SelectedDataSet)</f>
        <v>0</v>
      </c>
      <c r="J1656" s="14" t="b">
        <f>OR(LCI_Table[[#This Row],[Technology]]="All",LCI_Table[[#This Row],[Technology]]=SelectedTechnology)</f>
        <v>0</v>
      </c>
      <c r="K1656" s="14" t="b">
        <f>OR(LCI_Table[[#This Row],[Data Source]]="All",LCI_Table[[#This Row],[Data Source]]=SelectedDataSource)</f>
        <v>0</v>
      </c>
      <c r="L1656" s="14" t="b">
        <f>TRUE</f>
        <v>1</v>
      </c>
      <c r="M1656" s="14" t="b">
        <f>(LCI_Table[[#This Row],[Dev Notes]]="Do not display")</f>
        <v>0</v>
      </c>
      <c r="N1656" s="14" t="b">
        <f>AND(LCI_Table[[#This Row],[Show Feedstock]:[Conditional]],NOT(LCI_Table[[#This Row],[Hide Row]]))</f>
        <v>0</v>
      </c>
      <c r="O1656" s="14" t="b">
        <f>LCI_Table[[#This Row],[GREET1 Name Range]]=""</f>
        <v>0</v>
      </c>
      <c r="P1656" s="14" t="s">
        <v>428</v>
      </c>
      <c r="Q1656" s="14" t="s">
        <v>626</v>
      </c>
      <c r="R1656" s="348" t="s">
        <v>110</v>
      </c>
      <c r="S1656" s="37" cm="1">
        <f t="array" aca="1" ref="S16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56" s="346" t="s">
        <v>2137</v>
      </c>
      <c r="U1656" s="347">
        <f ca="1">S1656/BTU2kWh/Fuel_Specs!$B$31/BTU2MJ</f>
        <v>0</v>
      </c>
      <c r="V1656" s="347">
        <v>0</v>
      </c>
      <c r="W1656" s="347">
        <v>0</v>
      </c>
      <c r="X1656" s="14" t="s">
        <v>51</v>
      </c>
      <c r="Y1656" s="346" t="s">
        <v>892</v>
      </c>
      <c r="Z1656" s="14" t="str">
        <f>IF(ISBLANK(LCI_Table[[#This Row],[Notes for user]])," ",LCI_Table[[#This Row],[Notes for user]])</f>
        <v xml:space="preserve"> </v>
      </c>
      <c r="AA1656" s="14"/>
      <c r="AB1656" s="14"/>
      <c r="AC1656" s="346">
        <f ca="1">LCI_Table[[#This Row],[Default Calculated Value]]-LCI_Table[[#This Row],[Calculated Value]]</f>
        <v>0</v>
      </c>
    </row>
    <row r="1657" spans="1:29" x14ac:dyDescent="0.3">
      <c r="A16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stoverATJ-ethanolICAOConsensusStandalone_CornStover_Fermentation_RNGRenewable natural gas</v>
      </c>
      <c r="B1657" s="14" t="s">
        <v>135</v>
      </c>
      <c r="C1657" s="14" t="s">
        <v>1964</v>
      </c>
      <c r="D1657" s="14" t="s">
        <v>194</v>
      </c>
      <c r="E1657" s="48" t="s">
        <v>1399</v>
      </c>
      <c r="F1657" s="48" t="s">
        <v>137</v>
      </c>
      <c r="G1657" s="14" t="b">
        <f>OR(LCI_Table[[#This Row],[Feedstock]]="All",LCI_Table[[#This Row],[Feedstock]]=SelectedFeedstock)</f>
        <v>0</v>
      </c>
      <c r="H1657" s="14" t="b">
        <f>OR(LCI_Table[[#This Row],[Conversion]]="All",LCI_Table[[#This Row],[Conversion]]=SelectedConversion)</f>
        <v>0</v>
      </c>
      <c r="I1657" s="14" t="b">
        <f>OR(LCI_Table[[#This Row],[Data Set]]="all",LCI_Table[[#This Row],[Data Set]]=SelectedDataSet)</f>
        <v>0</v>
      </c>
      <c r="J1657" s="14" t="b">
        <f>OR(LCI_Table[[#This Row],[Technology]]="All",LCI_Table[[#This Row],[Technology]]=SelectedTechnology)</f>
        <v>0</v>
      </c>
      <c r="K1657" s="14" t="b">
        <f>OR(LCI_Table[[#This Row],[Data Source]]="All",LCI_Table[[#This Row],[Data Source]]=SelectedDataSource)</f>
        <v>0</v>
      </c>
      <c r="L1657" s="14" t="b">
        <f>TRUE</f>
        <v>1</v>
      </c>
      <c r="M1657" s="14" t="b">
        <f>(LCI_Table[[#This Row],[Dev Notes]]="Do not display")</f>
        <v>0</v>
      </c>
      <c r="N1657" s="14" t="b">
        <f>AND(LCI_Table[[#This Row],[Show Feedstock]:[Conditional]],NOT(LCI_Table[[#This Row],[Hide Row]]))</f>
        <v>0</v>
      </c>
      <c r="O1657" s="14" t="b">
        <f>LCI_Table[[#This Row],[GREET1 Name Range]]=""</f>
        <v>0</v>
      </c>
      <c r="P1657" s="14" t="s">
        <v>428</v>
      </c>
      <c r="Q1657" s="14" t="s">
        <v>634</v>
      </c>
      <c r="R1657" s="348" t="s">
        <v>352</v>
      </c>
      <c r="S1657" s="37" cm="1">
        <f t="array" aca="1" ref="S16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57" s="346" t="s">
        <v>2135</v>
      </c>
      <c r="U1657" s="347">
        <f ca="1">S1657*Fuel_Specs!$B$79/Fuel_Specs!$B$31/BTU2MJ</f>
        <v>0</v>
      </c>
      <c r="V1657" s="347">
        <v>0</v>
      </c>
      <c r="W1657" s="347">
        <v>0</v>
      </c>
      <c r="X1657" s="14" t="s">
        <v>351</v>
      </c>
      <c r="Y1657" s="346" t="s">
        <v>892</v>
      </c>
      <c r="Z1657" s="14" t="str">
        <f>IF(ISBLANK(LCI_Table[[#This Row],[Notes for user]])," ",LCI_Table[[#This Row],[Notes for user]])</f>
        <v xml:space="preserve"> </v>
      </c>
      <c r="AA1657" s="14"/>
      <c r="AB1657" s="14"/>
      <c r="AC1657" s="346">
        <f ca="1">LCI_Table[[#This Row],[Default Calculated Value]]-LCI_Table[[#This Row],[Calculated Value]]</f>
        <v>0</v>
      </c>
    </row>
    <row r="1658" spans="1:29" x14ac:dyDescent="0.3">
      <c r="A16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stoverATJ-ethanolICAOConsensusStandalone_Corn_stover_EtOH_Fermentation_AllocationAllocation factor</v>
      </c>
      <c r="B1658" s="14" t="s">
        <v>135</v>
      </c>
      <c r="C1658" s="14" t="s">
        <v>1964</v>
      </c>
      <c r="D1658" s="14" t="s">
        <v>194</v>
      </c>
      <c r="E1658" s="48" t="s">
        <v>1399</v>
      </c>
      <c r="F1658" s="48" t="s">
        <v>137</v>
      </c>
      <c r="G1658" s="14" t="b">
        <f>OR(LCI_Table[[#This Row],[Feedstock]]="All",LCI_Table[[#This Row],[Feedstock]]=SelectedFeedstock)</f>
        <v>0</v>
      </c>
      <c r="H1658" s="14" t="b">
        <f>OR(LCI_Table[[#This Row],[Conversion]]="All",LCI_Table[[#This Row],[Conversion]]=SelectedConversion)</f>
        <v>0</v>
      </c>
      <c r="I1658" s="14" t="b">
        <f>OR(LCI_Table[[#This Row],[Data Set]]="all",LCI_Table[[#This Row],[Data Set]]=SelectedDataSet)</f>
        <v>0</v>
      </c>
      <c r="J1658" s="14" t="b">
        <f>OR(LCI_Table[[#This Row],[Technology]]="All",LCI_Table[[#This Row],[Technology]]=SelectedTechnology)</f>
        <v>0</v>
      </c>
      <c r="K1658" s="14" t="b">
        <f>OR(LCI_Table[[#This Row],[Data Source]]="All",LCI_Table[[#This Row],[Data Source]]=SelectedDataSource)</f>
        <v>0</v>
      </c>
      <c r="L1658" s="14" t="b">
        <f>TRUE</f>
        <v>1</v>
      </c>
      <c r="M1658" s="14" t="b">
        <f>(LCI_Table[[#This Row],[Dev Notes]]="Do not display")</f>
        <v>0</v>
      </c>
      <c r="N1658" s="14" t="b">
        <f>AND(LCI_Table[[#This Row],[Show Feedstock]:[Conditional]],NOT(LCI_Table[[#This Row],[Hide Row]]))</f>
        <v>0</v>
      </c>
      <c r="O1658" s="14" t="b">
        <f>LCI_Table[[#This Row],[GREET1 Name Range]]=""</f>
        <v>0</v>
      </c>
      <c r="P1658" s="14" t="s">
        <v>428</v>
      </c>
      <c r="Q1658" s="14" t="s">
        <v>1104</v>
      </c>
      <c r="R1658" s="348" t="s">
        <v>1344</v>
      </c>
      <c r="S1658" s="37" cm="1">
        <f t="array" aca="1" ref="S16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91.911764705882348</v>
      </c>
      <c r="T1658" s="346" t="s">
        <v>1345</v>
      </c>
      <c r="U1658" s="347">
        <f ca="1">S1658/100</f>
        <v>0.91911764705882348</v>
      </c>
      <c r="V1658" s="347">
        <v>91.911764705882348</v>
      </c>
      <c r="W1658" s="347">
        <v>0.91911764705882348</v>
      </c>
      <c r="X1658" s="14"/>
      <c r="Y1658" s="346"/>
      <c r="Z1658" s="14" t="str">
        <f>IF(ISBLANK(LCI_Table[[#This Row],[Notes for user]])," ",LCI_Table[[#This Row],[Notes for user]])</f>
        <v>Co-produced electricity</v>
      </c>
      <c r="AA1658" s="14" t="s">
        <v>1407</v>
      </c>
      <c r="AB1658" s="14"/>
      <c r="AC1658" s="346">
        <f ca="1">LCI_Table[[#This Row],[Default Calculated Value]]-LCI_Table[[#This Row],[Calculated Value]]</f>
        <v>0</v>
      </c>
    </row>
    <row r="1659" spans="1:29" x14ac:dyDescent="0.3">
      <c r="A16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stoverATJ-ethanolICAOConsensusStandalone_JetFuel_ETJet_EthanolFeedstockSelector</v>
      </c>
      <c r="B1659" s="14" t="s">
        <v>135</v>
      </c>
      <c r="C1659" s="14" t="s">
        <v>1964</v>
      </c>
      <c r="D1659" s="14" t="s">
        <v>194</v>
      </c>
      <c r="E1659" s="48" t="s">
        <v>1399</v>
      </c>
      <c r="F1659" s="48" t="s">
        <v>137</v>
      </c>
      <c r="G1659" s="14" t="b">
        <f>OR(LCI_Table[[#This Row],[Feedstock]]="All",LCI_Table[[#This Row],[Feedstock]]=SelectedFeedstock)</f>
        <v>0</v>
      </c>
      <c r="H1659" s="14" t="b">
        <f>OR(LCI_Table[[#This Row],[Conversion]]="All",LCI_Table[[#This Row],[Conversion]]=SelectedConversion)</f>
        <v>0</v>
      </c>
      <c r="I1659" s="14" t="b">
        <f>OR(LCI_Table[[#This Row],[Data Set]]="all",LCI_Table[[#This Row],[Data Set]]=SelectedDataSet)</f>
        <v>0</v>
      </c>
      <c r="J1659" s="14" t="b">
        <f>OR(LCI_Table[[#This Row],[Technology]]="All",LCI_Table[[#This Row],[Technology]]=SelectedTechnology)</f>
        <v>0</v>
      </c>
      <c r="K1659" s="14" t="b">
        <f>OR(LCI_Table[[#This Row],[Data Source]]="All",LCI_Table[[#This Row],[Data Source]]=SelectedDataSource)</f>
        <v>0</v>
      </c>
      <c r="L1659" s="14" t="b">
        <f>TRUE</f>
        <v>1</v>
      </c>
      <c r="M1659" s="14" t="b">
        <f>(LCI_Table[[#This Row],[Dev Notes]]="Do not display")</f>
        <v>1</v>
      </c>
      <c r="N1659" s="14" t="b">
        <f>AND(LCI_Table[[#This Row],[Show Feedstock]:[Conditional]],NOT(LCI_Table[[#This Row],[Hide Row]]))</f>
        <v>0</v>
      </c>
      <c r="O1659" s="14" t="b">
        <f>LCI_Table[[#This Row],[GREET1 Name Range]]=""</f>
        <v>0</v>
      </c>
      <c r="P1659" s="14" t="s">
        <v>1448</v>
      </c>
      <c r="Q1659" s="14" t="s">
        <v>87</v>
      </c>
      <c r="R1659" s="14" t="s">
        <v>902</v>
      </c>
      <c r="S1659" s="37" cm="1">
        <f t="array" aca="1" ref="S16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v>
      </c>
      <c r="T1659" s="346" t="s">
        <v>2132</v>
      </c>
      <c r="U1659" s="352">
        <v>9</v>
      </c>
      <c r="V1659" s="352">
        <v>9</v>
      </c>
      <c r="W1659" s="352">
        <v>9</v>
      </c>
      <c r="X1659" s="356"/>
      <c r="Y1659" s="346" t="s">
        <v>416</v>
      </c>
      <c r="Z1659" s="14" t="str">
        <f>IF(ISBLANK(LCI_Table[[#This Row],[Notes for user]])," ",LCI_Table[[#This Row],[Notes for user]])</f>
        <v xml:space="preserve"> </v>
      </c>
      <c r="AA1659" s="14"/>
      <c r="AB1659" s="14" t="s">
        <v>1138</v>
      </c>
      <c r="AC1659" s="346">
        <f>LCI_Table[[#This Row],[Default Calculated Value]]-LCI_Table[[#This Row],[Calculated Value]]</f>
        <v>0</v>
      </c>
    </row>
    <row r="1660" spans="1:29" x14ac:dyDescent="0.3">
      <c r="A16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stoverATJ-ethanolICAOConsensusStandalone_Ethanol_ETJ_distributed_EthanolEthanol</v>
      </c>
      <c r="B1660" s="14" t="s">
        <v>135</v>
      </c>
      <c r="C1660" s="14" t="s">
        <v>1964</v>
      </c>
      <c r="D1660" s="14" t="s">
        <v>194</v>
      </c>
      <c r="E1660" s="48" t="s">
        <v>1399</v>
      </c>
      <c r="F1660" s="48" t="s">
        <v>137</v>
      </c>
      <c r="G1660" s="14" t="b">
        <f>OR(LCI_Table[[#This Row],[Feedstock]]="All",LCI_Table[[#This Row],[Feedstock]]=SelectedFeedstock)</f>
        <v>0</v>
      </c>
      <c r="H1660" s="14" t="b">
        <f>OR(LCI_Table[[#This Row],[Conversion]]="All",LCI_Table[[#This Row],[Conversion]]=SelectedConversion)</f>
        <v>0</v>
      </c>
      <c r="I1660" s="14" t="b">
        <f>OR(LCI_Table[[#This Row],[Data Set]]="all",LCI_Table[[#This Row],[Data Set]]=SelectedDataSet)</f>
        <v>0</v>
      </c>
      <c r="J1660" s="14" t="b">
        <f>OR(LCI_Table[[#This Row],[Technology]]="All",LCI_Table[[#This Row],[Technology]]=SelectedTechnology)</f>
        <v>0</v>
      </c>
      <c r="K1660" s="14" t="b">
        <f>OR(LCI_Table[[#This Row],[Data Source]]="All",LCI_Table[[#This Row],[Data Source]]=SelectedDataSource)</f>
        <v>0</v>
      </c>
      <c r="L1660" s="14" t="b">
        <f>TRUE</f>
        <v>1</v>
      </c>
      <c r="M1660" s="14" t="b">
        <f>(LCI_Table[[#This Row],[Dev Notes]]="Do not display")</f>
        <v>0</v>
      </c>
      <c r="N1660" s="14" t="b">
        <f>AND(LCI_Table[[#This Row],[Show Feedstock]:[Conditional]],NOT(LCI_Table[[#This Row],[Hide Row]]))</f>
        <v>0</v>
      </c>
      <c r="O1660" s="14" t="b">
        <f>LCI_Table[[#This Row],[GREET1 Name Range]]=""</f>
        <v>0</v>
      </c>
      <c r="P1660" s="14" t="s">
        <v>1448</v>
      </c>
      <c r="Q1660" s="14" t="s">
        <v>641</v>
      </c>
      <c r="R1660" s="14" t="s">
        <v>138</v>
      </c>
      <c r="S1660" s="37" cm="1">
        <f t="array" aca="1" ref="S16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13.818264556327076</v>
      </c>
      <c r="T1660" s="346" t="s">
        <v>2128</v>
      </c>
      <c r="U1660" s="357">
        <f ca="1">S1660/mmBTU2MJ*Fuel_Specs!$E$31*g2kg</f>
        <v>3.9134397003064154E-2</v>
      </c>
      <c r="V1660" s="347">
        <v>13.818264556327076</v>
      </c>
      <c r="W1660" s="365">
        <v>3.9134397003064154E-2</v>
      </c>
      <c r="X1660" s="37" t="s">
        <v>5</v>
      </c>
      <c r="Y1660" s="346" t="s">
        <v>416</v>
      </c>
      <c r="Z1660" s="14" t="str">
        <f>IF(ISBLANK(LCI_Table[[#This Row],[Notes for user]])," ",LCI_Table[[#This Row],[Notes for user]])</f>
        <v xml:space="preserve"> </v>
      </c>
      <c r="AA1660" s="14"/>
      <c r="AB1660" s="14"/>
      <c r="AC1660" s="346">
        <f ca="1">LCI_Table[[#This Row],[Default Calculated Value]]-LCI_Table[[#This Row],[Calculated Value]]</f>
        <v>0</v>
      </c>
    </row>
    <row r="1661" spans="1:29" x14ac:dyDescent="0.3">
      <c r="A16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stoverATJ-ethanolICAOConsensusStandalone_Ethanol_ETJ_distributed_HydrogenHydrogen</v>
      </c>
      <c r="B1661" s="358" t="s">
        <v>135</v>
      </c>
      <c r="C1661" s="358" t="s">
        <v>1964</v>
      </c>
      <c r="D1661" s="358" t="s">
        <v>194</v>
      </c>
      <c r="E1661" s="48" t="s">
        <v>1399</v>
      </c>
      <c r="F1661" s="48" t="s">
        <v>137</v>
      </c>
      <c r="G1661" s="14" t="b">
        <f>OR(LCI_Table[[#This Row],[Feedstock]]="All",LCI_Table[[#This Row],[Feedstock]]=SelectedFeedstock)</f>
        <v>0</v>
      </c>
      <c r="H1661" s="14" t="b">
        <f>OR(LCI_Table[[#This Row],[Conversion]]="All",LCI_Table[[#This Row],[Conversion]]=SelectedConversion)</f>
        <v>0</v>
      </c>
      <c r="I1661" s="14" t="b">
        <f>OR(LCI_Table[[#This Row],[Data Set]]="all",LCI_Table[[#This Row],[Data Set]]=SelectedDataSet)</f>
        <v>0</v>
      </c>
      <c r="J1661" s="14" t="b">
        <f>OR(LCI_Table[[#This Row],[Technology]]="All",LCI_Table[[#This Row],[Technology]]=SelectedTechnology)</f>
        <v>0</v>
      </c>
      <c r="K1661" s="14" t="b">
        <f>OR(LCI_Table[[#This Row],[Data Source]]="All",LCI_Table[[#This Row],[Data Source]]=SelectedDataSource)</f>
        <v>0</v>
      </c>
      <c r="L1661" s="14" t="b">
        <f>TRUE</f>
        <v>1</v>
      </c>
      <c r="M1661" s="14" t="b">
        <f>(LCI_Table[[#This Row],[Dev Notes]]="Do not display")</f>
        <v>0</v>
      </c>
      <c r="N1661" s="14" t="b">
        <f>AND(LCI_Table[[#This Row],[Show Feedstock]:[Conditional]],NOT(LCI_Table[[#This Row],[Hide Row]]))</f>
        <v>0</v>
      </c>
      <c r="O1661" s="14" t="b">
        <f>LCI_Table[[#This Row],[GREET1 Name Range]]=""</f>
        <v>0</v>
      </c>
      <c r="P1661" s="358" t="s">
        <v>1448</v>
      </c>
      <c r="Q1661" s="14" t="s">
        <v>642</v>
      </c>
      <c r="R1661" s="358" t="s">
        <v>73</v>
      </c>
      <c r="S1661" s="37" cm="1">
        <f t="array" aca="1" ref="S16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215.31199228878901</v>
      </c>
      <c r="T1661" s="346" t="s">
        <v>2120</v>
      </c>
      <c r="U1661" s="362">
        <f ca="1">S1661/kg2g*Fuel_Specs!$E$81*MJ2mmBTU</f>
        <v>5.2039480216749842E-4</v>
      </c>
      <c r="V1661" s="359">
        <v>215.31199228878901</v>
      </c>
      <c r="W1661" s="360">
        <v>5.2039480216749842E-4</v>
      </c>
      <c r="X1661" s="360" t="s">
        <v>351</v>
      </c>
      <c r="Y1661" s="346" t="s">
        <v>416</v>
      </c>
      <c r="Z1661" s="14" t="str">
        <f>IF(ISBLANK(LCI_Table[[#This Row],[Notes for user]])," ",LCI_Table[[#This Row],[Notes for user]])</f>
        <v xml:space="preserve"> </v>
      </c>
      <c r="AA1661" s="358"/>
      <c r="AB1661" s="358"/>
      <c r="AC1661" s="346">
        <f ca="1">LCI_Table[[#This Row],[Default Calculated Value]]-LCI_Table[[#This Row],[Calculated Value]]</f>
        <v>0</v>
      </c>
    </row>
    <row r="1662" spans="1:29" x14ac:dyDescent="0.3">
      <c r="A16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stoverATJ-ethanolICAOConsensusStandalone_Ethanol_ETJ_distributed_Natural_gasNatural gas</v>
      </c>
      <c r="B1662" s="358" t="s">
        <v>135</v>
      </c>
      <c r="C1662" s="358" t="s">
        <v>1964</v>
      </c>
      <c r="D1662" s="358" t="s">
        <v>194</v>
      </c>
      <c r="E1662" s="48" t="s">
        <v>1399</v>
      </c>
      <c r="F1662" s="48" t="s">
        <v>137</v>
      </c>
      <c r="G1662" s="14" t="b">
        <f>OR(LCI_Table[[#This Row],[Feedstock]]="All",LCI_Table[[#This Row],[Feedstock]]=SelectedFeedstock)</f>
        <v>0</v>
      </c>
      <c r="H1662" s="14" t="b">
        <f>OR(LCI_Table[[#This Row],[Conversion]]="All",LCI_Table[[#This Row],[Conversion]]=SelectedConversion)</f>
        <v>0</v>
      </c>
      <c r="I1662" s="14" t="b">
        <f>OR(LCI_Table[[#This Row],[Data Set]]="all",LCI_Table[[#This Row],[Data Set]]=SelectedDataSet)</f>
        <v>0</v>
      </c>
      <c r="J1662" s="14" t="b">
        <f>OR(LCI_Table[[#This Row],[Technology]]="All",LCI_Table[[#This Row],[Technology]]=SelectedTechnology)</f>
        <v>0</v>
      </c>
      <c r="K1662" s="14" t="b">
        <f>OR(LCI_Table[[#This Row],[Data Source]]="All",LCI_Table[[#This Row],[Data Source]]=SelectedDataSource)</f>
        <v>0</v>
      </c>
      <c r="L1662" s="14" t="b">
        <f>TRUE</f>
        <v>1</v>
      </c>
      <c r="M1662" s="14" t="b">
        <f>(LCI_Table[[#This Row],[Dev Notes]]="Do not display")</f>
        <v>0</v>
      </c>
      <c r="N1662" s="14" t="b">
        <f>AND(LCI_Table[[#This Row],[Show Feedstock]:[Conditional]],NOT(LCI_Table[[#This Row],[Hide Row]]))</f>
        <v>0</v>
      </c>
      <c r="O1662" s="14" t="b">
        <f>LCI_Table[[#This Row],[GREET1 Name Range]]=""</f>
        <v>0</v>
      </c>
      <c r="P1662" s="358" t="s">
        <v>1448</v>
      </c>
      <c r="Q1662" s="14" t="s">
        <v>643</v>
      </c>
      <c r="R1662" s="358" t="s">
        <v>108</v>
      </c>
      <c r="S1662" s="37" cm="1">
        <f t="array" aca="1" ref="S16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196.87078679193201</v>
      </c>
      <c r="T1662" s="346" t="s">
        <v>2120</v>
      </c>
      <c r="U1662" s="362">
        <f ca="1">S1662/kg2g*Fuel_Specs!$E$79*MJ2mmBTU</f>
        <v>4.1051450588350412E-3</v>
      </c>
      <c r="V1662" s="359">
        <v>196.87078679193201</v>
      </c>
      <c r="W1662" s="360">
        <v>4.1051450588350412E-3</v>
      </c>
      <c r="X1662" s="358" t="s">
        <v>351</v>
      </c>
      <c r="Y1662" s="346" t="s">
        <v>416</v>
      </c>
      <c r="Z1662" s="14" t="str">
        <f>IF(ISBLANK(LCI_Table[[#This Row],[Notes for user]])," ",LCI_Table[[#This Row],[Notes for user]])</f>
        <v xml:space="preserve"> </v>
      </c>
      <c r="AA1662" s="358"/>
      <c r="AB1662" s="358"/>
      <c r="AC1662" s="346">
        <f ca="1">LCI_Table[[#This Row],[Default Calculated Value]]-LCI_Table[[#This Row],[Calculated Value]]</f>
        <v>0</v>
      </c>
    </row>
    <row r="1663" spans="1:29" x14ac:dyDescent="0.3">
      <c r="A16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stoverATJ-ethanolICAOConsensusStandalone_Ethanol_ETJ_distributed_ElectricityGrid Electricity</v>
      </c>
      <c r="B1663" s="14" t="s">
        <v>135</v>
      </c>
      <c r="C1663" s="14" t="s">
        <v>1964</v>
      </c>
      <c r="D1663" s="14" t="s">
        <v>194</v>
      </c>
      <c r="E1663" s="48" t="s">
        <v>1399</v>
      </c>
      <c r="F1663" s="48" t="s">
        <v>137</v>
      </c>
      <c r="G1663" s="14" t="b">
        <f>OR(LCI_Table[[#This Row],[Feedstock]]="All",LCI_Table[[#This Row],[Feedstock]]=SelectedFeedstock)</f>
        <v>0</v>
      </c>
      <c r="H1663" s="14" t="b">
        <f>OR(LCI_Table[[#This Row],[Conversion]]="All",LCI_Table[[#This Row],[Conversion]]=SelectedConversion)</f>
        <v>0</v>
      </c>
      <c r="I1663" s="14" t="b">
        <f>OR(LCI_Table[[#This Row],[Data Set]]="all",LCI_Table[[#This Row],[Data Set]]=SelectedDataSet)</f>
        <v>0</v>
      </c>
      <c r="J1663" s="14" t="b">
        <f>OR(LCI_Table[[#This Row],[Technology]]="All",LCI_Table[[#This Row],[Technology]]=SelectedTechnology)</f>
        <v>0</v>
      </c>
      <c r="K1663" s="14" t="b">
        <f>OR(LCI_Table[[#This Row],[Data Source]]="All",LCI_Table[[#This Row],[Data Source]]=SelectedDataSource)</f>
        <v>0</v>
      </c>
      <c r="L1663" s="14" t="b">
        <f>TRUE</f>
        <v>1</v>
      </c>
      <c r="M1663" s="14" t="b">
        <f>(LCI_Table[[#This Row],[Dev Notes]]="Do not display")</f>
        <v>0</v>
      </c>
      <c r="N1663" s="14" t="b">
        <f>AND(LCI_Table[[#This Row],[Show Feedstock]:[Conditional]],NOT(LCI_Table[[#This Row],[Hide Row]]))</f>
        <v>0</v>
      </c>
      <c r="O1663" s="14" t="b">
        <f>LCI_Table[[#This Row],[GREET1 Name Range]]=""</f>
        <v>0</v>
      </c>
      <c r="P1663" s="14" t="s">
        <v>1448</v>
      </c>
      <c r="Q1663" s="14" t="s">
        <v>640</v>
      </c>
      <c r="R1663" s="14" t="s">
        <v>1684</v>
      </c>
      <c r="S1663" s="37" cm="1">
        <f t="array" aca="1" ref="S16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2.23713437610824E-2</v>
      </c>
      <c r="T1663" s="346" t="s">
        <v>2121</v>
      </c>
      <c r="U1663" s="357">
        <f ca="1">S1663*MJ2mmBTU</f>
        <v>2.120394267382376E-5</v>
      </c>
      <c r="V1663" s="347">
        <v>2.23713437610824E-2</v>
      </c>
      <c r="W1663" s="365">
        <v>2.120394267382376E-5</v>
      </c>
      <c r="X1663" s="37" t="s">
        <v>51</v>
      </c>
      <c r="Y1663" s="346" t="s">
        <v>416</v>
      </c>
      <c r="Z1663" s="14" t="str">
        <f>IF(ISBLANK(LCI_Table[[#This Row],[Notes for user]])," ",LCI_Table[[#This Row],[Notes for user]])</f>
        <v xml:space="preserve"> </v>
      </c>
      <c r="AA1663" s="14"/>
      <c r="AB1663" s="14"/>
      <c r="AC1663" s="346">
        <f ca="1">LCI_Table[[#This Row],[Default Calculated Value]]-LCI_Table[[#This Row],[Calculated Value]]</f>
        <v>0</v>
      </c>
    </row>
    <row r="1664" spans="1:29" x14ac:dyDescent="0.3">
      <c r="A16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stoverATJ-ethanolICAOConsensusStandalone_Ethanol_ETJ_distributed_CatalystsCatalysts</v>
      </c>
      <c r="B1664" s="14" t="s">
        <v>135</v>
      </c>
      <c r="C1664" s="14" t="s">
        <v>1964</v>
      </c>
      <c r="D1664" s="14" t="s">
        <v>194</v>
      </c>
      <c r="E1664" s="48" t="s">
        <v>1399</v>
      </c>
      <c r="F1664" s="48" t="s">
        <v>137</v>
      </c>
      <c r="G1664" s="14" t="b">
        <f>OR(LCI_Table[[#This Row],[Feedstock]]="All",LCI_Table[[#This Row],[Feedstock]]=SelectedFeedstock)</f>
        <v>0</v>
      </c>
      <c r="H1664" s="14" t="b">
        <f>OR(LCI_Table[[#This Row],[Conversion]]="All",LCI_Table[[#This Row],[Conversion]]=SelectedConversion)</f>
        <v>0</v>
      </c>
      <c r="I1664" s="14" t="b">
        <f>OR(LCI_Table[[#This Row],[Data Set]]="all",LCI_Table[[#This Row],[Data Set]]=SelectedDataSet)</f>
        <v>0</v>
      </c>
      <c r="J1664" s="14" t="b">
        <f>OR(LCI_Table[[#This Row],[Technology]]="All",LCI_Table[[#This Row],[Technology]]=SelectedTechnology)</f>
        <v>0</v>
      </c>
      <c r="K1664" s="14" t="b">
        <f>OR(LCI_Table[[#This Row],[Data Source]]="All",LCI_Table[[#This Row],[Data Source]]=SelectedDataSource)</f>
        <v>0</v>
      </c>
      <c r="L1664" s="14" t="b">
        <f>TRUE</f>
        <v>1</v>
      </c>
      <c r="M1664" s="14" t="b">
        <f>(LCI_Table[[#This Row],[Dev Notes]]="Do not display")</f>
        <v>0</v>
      </c>
      <c r="N1664" s="14" t="b">
        <f>AND(LCI_Table[[#This Row],[Show Feedstock]:[Conditional]],NOT(LCI_Table[[#This Row],[Hide Row]]))</f>
        <v>0</v>
      </c>
      <c r="O1664" s="14" t="b">
        <f>LCI_Table[[#This Row],[GREET1 Name Range]]=""</f>
        <v>0</v>
      </c>
      <c r="P1664" s="14" t="s">
        <v>1448</v>
      </c>
      <c r="Q1664" s="14" t="s">
        <v>639</v>
      </c>
      <c r="R1664" s="14" t="s">
        <v>142</v>
      </c>
      <c r="S1664" s="37" cm="1">
        <f t="array" aca="1" ref="S16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64" s="346" t="s">
        <v>2119</v>
      </c>
      <c r="U1664" s="347">
        <f ca="1">S1664/kg2lb*MJ2mmBTU</f>
        <v>0</v>
      </c>
      <c r="V1664" s="347">
        <v>0</v>
      </c>
      <c r="W1664" s="347">
        <v>0</v>
      </c>
      <c r="X1664" s="37" t="s">
        <v>12</v>
      </c>
      <c r="Y1664" s="346" t="s">
        <v>416</v>
      </c>
      <c r="Z1664" s="14" t="str">
        <f>IF(ISBLANK(LCI_Table[[#This Row],[Notes for user]])," ",LCI_Table[[#This Row],[Notes for user]])</f>
        <v xml:space="preserve"> </v>
      </c>
      <c r="AA1664" s="14"/>
      <c r="AB1664" s="14"/>
      <c r="AC1664" s="346">
        <f ca="1">LCI_Table[[#This Row],[Default Calculated Value]]-LCI_Table[[#This Row],[Calculated Value]]</f>
        <v>0</v>
      </c>
    </row>
    <row r="1665" spans="1:29" x14ac:dyDescent="0.3">
      <c r="A16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stoverATJ-ethanolICAOConsensusStandalone_Ethanol_ETJ_distributed_WaterWater</v>
      </c>
      <c r="B1665" s="14" t="s">
        <v>135</v>
      </c>
      <c r="C1665" s="14" t="s">
        <v>1964</v>
      </c>
      <c r="D1665" s="14" t="s">
        <v>194</v>
      </c>
      <c r="E1665" s="48" t="s">
        <v>1399</v>
      </c>
      <c r="F1665" s="48" t="s">
        <v>137</v>
      </c>
      <c r="G1665" s="14" t="b">
        <f>OR(LCI_Table[[#This Row],[Feedstock]]="All",LCI_Table[[#This Row],[Feedstock]]=SelectedFeedstock)</f>
        <v>0</v>
      </c>
      <c r="H1665" s="14" t="b">
        <f>OR(LCI_Table[[#This Row],[Conversion]]="All",LCI_Table[[#This Row],[Conversion]]=SelectedConversion)</f>
        <v>0</v>
      </c>
      <c r="I1665" s="14" t="b">
        <f>OR(LCI_Table[[#This Row],[Data Set]]="all",LCI_Table[[#This Row],[Data Set]]=SelectedDataSet)</f>
        <v>0</v>
      </c>
      <c r="J1665" s="14" t="b">
        <f>OR(LCI_Table[[#This Row],[Technology]]="All",LCI_Table[[#This Row],[Technology]]=SelectedTechnology)</f>
        <v>0</v>
      </c>
      <c r="K1665" s="14" t="b">
        <f>OR(LCI_Table[[#This Row],[Data Source]]="All",LCI_Table[[#This Row],[Data Source]]=SelectedDataSource)</f>
        <v>0</v>
      </c>
      <c r="L1665" s="14" t="b">
        <f>TRUE</f>
        <v>1</v>
      </c>
      <c r="M1665" s="14" t="b">
        <f>(LCI_Table[[#This Row],[Dev Notes]]="Do not display")</f>
        <v>0</v>
      </c>
      <c r="N1665" s="14" t="b">
        <f>AND(LCI_Table[[#This Row],[Show Feedstock]:[Conditional]],NOT(LCI_Table[[#This Row],[Hide Row]]))</f>
        <v>0</v>
      </c>
      <c r="O1665" s="14" t="b">
        <f>LCI_Table[[#This Row],[GREET1 Name Range]]=""</f>
        <v>0</v>
      </c>
      <c r="P1665" s="14" t="s">
        <v>1448</v>
      </c>
      <c r="Q1665" s="14" t="s">
        <v>644</v>
      </c>
      <c r="R1665" s="14" t="s">
        <v>146</v>
      </c>
      <c r="S1665" s="37" cm="1">
        <f t="array" aca="1" ref="S16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65" s="346" t="s">
        <v>2128</v>
      </c>
      <c r="U1665" s="347">
        <f ca="1">S1665/kg2lb*Fuel_Specs!$K$4*MJ2mmBTU</f>
        <v>0</v>
      </c>
      <c r="V1665" s="347">
        <v>0</v>
      </c>
      <c r="W1665" s="347">
        <v>0</v>
      </c>
      <c r="X1665" s="37" t="s">
        <v>5</v>
      </c>
      <c r="Y1665" s="346" t="s">
        <v>416</v>
      </c>
      <c r="Z1665" s="14" t="str">
        <f>IF(ISBLANK(LCI_Table[[#This Row],[Notes for user]])," ",LCI_Table[[#This Row],[Notes for user]])</f>
        <v xml:space="preserve"> </v>
      </c>
      <c r="AA1665" s="14"/>
      <c r="AB1665" s="14"/>
      <c r="AC1665" s="346">
        <f ca="1">LCI_Table[[#This Row],[Default Calculated Value]]-LCI_Table[[#This Row],[Calculated Value]]</f>
        <v>0</v>
      </c>
    </row>
    <row r="1666" spans="1:29" x14ac:dyDescent="0.3">
      <c r="A16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stoverATJ-ethanolICAOConsensusStandalone_Ethanol_ETJ_distributed_Allocation_FactorAllocation factor</v>
      </c>
      <c r="B1666" s="14" t="s">
        <v>135</v>
      </c>
      <c r="C1666" s="14" t="s">
        <v>1964</v>
      </c>
      <c r="D1666" s="14" t="s">
        <v>194</v>
      </c>
      <c r="E1666" s="48" t="s">
        <v>1399</v>
      </c>
      <c r="F1666" s="48" t="s">
        <v>137</v>
      </c>
      <c r="G1666" s="14" t="b">
        <f>OR(LCI_Table[[#This Row],[Feedstock]]="All",LCI_Table[[#This Row],[Feedstock]]=SelectedFeedstock)</f>
        <v>0</v>
      </c>
      <c r="H1666" s="14" t="b">
        <f>OR(LCI_Table[[#This Row],[Conversion]]="All",LCI_Table[[#This Row],[Conversion]]=SelectedConversion)</f>
        <v>0</v>
      </c>
      <c r="I1666" s="14" t="b">
        <f>OR(LCI_Table[[#This Row],[Data Set]]="all",LCI_Table[[#This Row],[Data Set]]=SelectedDataSet)</f>
        <v>0</v>
      </c>
      <c r="J1666" s="14" t="b">
        <f>OR(LCI_Table[[#This Row],[Technology]]="All",LCI_Table[[#This Row],[Technology]]=SelectedTechnology)</f>
        <v>0</v>
      </c>
      <c r="K1666" s="14" t="b">
        <f>OR(LCI_Table[[#This Row],[Data Source]]="All",LCI_Table[[#This Row],[Data Source]]=SelectedDataSource)</f>
        <v>0</v>
      </c>
      <c r="L1666" s="14" t="b">
        <f>TRUE</f>
        <v>1</v>
      </c>
      <c r="M1666" s="14" t="b">
        <f>(LCI_Table[[#This Row],[Dev Notes]]="Do not display")</f>
        <v>0</v>
      </c>
      <c r="N1666" s="14" t="b">
        <f>AND(LCI_Table[[#This Row],[Show Feedstock]:[Conditional]],NOT(LCI_Table[[#This Row],[Hide Row]]))</f>
        <v>0</v>
      </c>
      <c r="O1666" s="14" t="b">
        <f>LCI_Table[[#This Row],[GREET1 Name Range]]=""</f>
        <v>0</v>
      </c>
      <c r="P1666" s="14" t="s">
        <v>1448</v>
      </c>
      <c r="Q1666" s="14" t="s">
        <v>1123</v>
      </c>
      <c r="R1666" s="14" t="s">
        <v>1344</v>
      </c>
      <c r="S1666" s="37" cm="1">
        <f t="array" aca="1" ref="S16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100</v>
      </c>
      <c r="T1666" s="346" t="s">
        <v>1345</v>
      </c>
      <c r="U1666" s="347">
        <f ca="1">S1666/100</f>
        <v>1</v>
      </c>
      <c r="V1666" s="347">
        <v>100</v>
      </c>
      <c r="W1666" s="347">
        <v>1</v>
      </c>
      <c r="X1666" s="37"/>
      <c r="Y1666" s="346"/>
      <c r="Z1666" s="14" t="str">
        <f>IF(ISBLANK(LCI_Table[[#This Row],[Notes for user]])," ",LCI_Table[[#This Row],[Notes for user]])</f>
        <v xml:space="preserve"> </v>
      </c>
      <c r="AA1666" s="14"/>
      <c r="AB1666" s="14"/>
      <c r="AC1666" s="346">
        <f ca="1">LCI_Table[[#This Row],[Default Calculated Value]]-LCI_Table[[#This Row],[Calculated Value]]</f>
        <v>0</v>
      </c>
    </row>
    <row r="1667" spans="1:29" x14ac:dyDescent="0.3">
      <c r="A16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dash_Forest residueATJ-ethanolICAOConsensusIntegrated_Yield_Collection</v>
      </c>
      <c r="B1667" s="48" t="s">
        <v>316</v>
      </c>
      <c r="C1667" s="48" t="s">
        <v>1964</v>
      </c>
      <c r="D1667" s="48" t="s">
        <v>194</v>
      </c>
      <c r="E1667" s="48" t="s">
        <v>1399</v>
      </c>
      <c r="F1667" s="48" t="s">
        <v>1398</v>
      </c>
      <c r="G1667" s="14" t="b">
        <f>OR(LCI_Table[[#This Row],[Feedstock]]="All",LCI_Table[[#This Row],[Feedstock]]=SelectedFeedstock)</f>
        <v>0</v>
      </c>
      <c r="H1667" s="14" t="b">
        <f>OR(LCI_Table[[#This Row],[Conversion]]="All",LCI_Table[[#This Row],[Conversion]]=SelectedConversion)</f>
        <v>0</v>
      </c>
      <c r="I1667" s="14" t="b">
        <f>OR(LCI_Table[[#This Row],[Data Set]]="all",LCI_Table[[#This Row],[Data Set]]=SelectedDataSet)</f>
        <v>0</v>
      </c>
      <c r="J1667" s="14" t="b">
        <f>OR(LCI_Table[[#This Row],[Technology]]="All",LCI_Table[[#This Row],[Technology]]=SelectedTechnology)</f>
        <v>0</v>
      </c>
      <c r="K1667" s="14" t="b">
        <f>OR(LCI_Table[[#This Row],[Data Source]]="All",LCI_Table[[#This Row],[Data Source]]=SelectedDataSource)</f>
        <v>0</v>
      </c>
      <c r="L1667" s="14" t="b">
        <f>TRUE</f>
        <v>1</v>
      </c>
      <c r="M1667" s="14" t="b">
        <f>(LCI_Table[[#This Row],[Dev Notes]]="Do not display")</f>
        <v>0</v>
      </c>
      <c r="N1667" s="14" t="b">
        <f>AND(LCI_Table[[#This Row],[Show Feedstock]:[Conditional]],NOT(LCI_Table[[#This Row],[Hide Row]]))</f>
        <v>0</v>
      </c>
      <c r="O1667" s="14" t="b">
        <f>LCI_Table[[#This Row],[GREET1 Name Range]]=""</f>
        <v>1</v>
      </c>
      <c r="P1667" s="48" t="s">
        <v>147</v>
      </c>
      <c r="Q1667" s="14" t="s">
        <v>361</v>
      </c>
      <c r="R1667" s="48" t="s">
        <v>200</v>
      </c>
      <c r="S1667" s="37" cm="1">
        <f t="array" aca="1" ref="S16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0.22304512472924265</v>
      </c>
      <c r="T1667" s="346" t="s">
        <v>2116</v>
      </c>
      <c r="U1667" s="344"/>
      <c r="V1667" s="344">
        <v>0.22304512472924265</v>
      </c>
      <c r="W1667" s="344"/>
      <c r="X1667" s="48" t="s">
        <v>55</v>
      </c>
      <c r="Y1667" s="346" t="s">
        <v>413</v>
      </c>
      <c r="Z1667" s="14" t="str">
        <f>IF(ISBLANK(LCI_Table[[#This Row],[Notes for user]])," ",LCI_Table[[#This Row],[Notes for user]])</f>
        <v xml:space="preserve"> </v>
      </c>
      <c r="AA1667" s="48"/>
      <c r="AB1667" s="345" t="s">
        <v>1143</v>
      </c>
      <c r="AC1667" s="346">
        <f>LCI_Table[[#This Row],[Default Calculated Value]]-LCI_Table[[#This Row],[Calculated Value]]</f>
        <v>0</v>
      </c>
    </row>
    <row r="1668" spans="1:29" x14ac:dyDescent="0.3">
      <c r="A16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residueATJ-ethanolICAOConsensusIntegrated_ForestResidue_Collection_Residual_oilResidual oil</v>
      </c>
      <c r="B1668" s="14" t="s">
        <v>316</v>
      </c>
      <c r="C1668" s="14" t="s">
        <v>1964</v>
      </c>
      <c r="D1668" s="14" t="s">
        <v>194</v>
      </c>
      <c r="E1668" s="48" t="s">
        <v>1399</v>
      </c>
      <c r="F1668" s="48" t="s">
        <v>1398</v>
      </c>
      <c r="G1668" s="14" t="b">
        <f>OR(LCI_Table[[#This Row],[Feedstock]]="All",LCI_Table[[#This Row],[Feedstock]]=SelectedFeedstock)</f>
        <v>0</v>
      </c>
      <c r="H1668" s="14" t="b">
        <f>OR(LCI_Table[[#This Row],[Conversion]]="All",LCI_Table[[#This Row],[Conversion]]=SelectedConversion)</f>
        <v>0</v>
      </c>
      <c r="I1668" s="14" t="b">
        <f>OR(LCI_Table[[#This Row],[Data Set]]="all",LCI_Table[[#This Row],[Data Set]]=SelectedDataSet)</f>
        <v>0</v>
      </c>
      <c r="J1668" s="14" t="b">
        <f>OR(LCI_Table[[#This Row],[Technology]]="All",LCI_Table[[#This Row],[Technology]]=SelectedTechnology)</f>
        <v>0</v>
      </c>
      <c r="K1668" s="14" t="b">
        <f>OR(LCI_Table[[#This Row],[Data Source]]="All",LCI_Table[[#This Row],[Data Source]]=SelectedDataSource)</f>
        <v>0</v>
      </c>
      <c r="L1668" s="14" t="b">
        <f>TRUE</f>
        <v>1</v>
      </c>
      <c r="M1668" s="14" t="b">
        <f>(LCI_Table[[#This Row],[Dev Notes]]="Do not display")</f>
        <v>0</v>
      </c>
      <c r="N1668" s="14" t="b">
        <f>AND(LCI_Table[[#This Row],[Show Feedstock]:[Conditional]],NOT(LCI_Table[[#This Row],[Hide Row]]))</f>
        <v>0</v>
      </c>
      <c r="O1668" s="14" t="b">
        <f>LCI_Table[[#This Row],[GREET1 Name Range]]=""</f>
        <v>0</v>
      </c>
      <c r="P1668" s="14" t="s">
        <v>147</v>
      </c>
      <c r="Q1668" s="14" t="s">
        <v>651</v>
      </c>
      <c r="R1668" s="14" t="s">
        <v>115</v>
      </c>
      <c r="S1668" s="37" cm="1">
        <f t="array" aca="1" ref="S16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68" s="346" t="s">
        <v>1484</v>
      </c>
      <c r="U1668" s="347">
        <f ca="1">S1668*Fuel_Specs!$B$28/S1667</f>
        <v>0</v>
      </c>
      <c r="V1668" s="347">
        <v>0</v>
      </c>
      <c r="W1668" s="347">
        <v>0</v>
      </c>
      <c r="X1668" s="14" t="s">
        <v>5</v>
      </c>
      <c r="Y1668" s="346" t="s">
        <v>413</v>
      </c>
      <c r="Z1668" s="14" t="str">
        <f>IF(ISBLANK(LCI_Table[[#This Row],[Notes for user]])," ",LCI_Table[[#This Row],[Notes for user]])</f>
        <v xml:space="preserve"> </v>
      </c>
      <c r="AA1668" s="14"/>
      <c r="AB1668" s="14"/>
      <c r="AC1668" s="346">
        <f ca="1">LCI_Table[[#This Row],[Default Calculated Value]]-LCI_Table[[#This Row],[Calculated Value]]</f>
        <v>0</v>
      </c>
    </row>
    <row r="1669" spans="1:29" x14ac:dyDescent="0.3">
      <c r="A16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residueATJ-ethanolICAOConsensusIntegrated_ForestResidue_Collection_DieselDiesel</v>
      </c>
      <c r="B1669" s="14" t="s">
        <v>316</v>
      </c>
      <c r="C1669" s="14" t="s">
        <v>1964</v>
      </c>
      <c r="D1669" s="14" t="s">
        <v>194</v>
      </c>
      <c r="E1669" s="48" t="s">
        <v>1399</v>
      </c>
      <c r="F1669" s="48" t="s">
        <v>1398</v>
      </c>
      <c r="G1669" s="14" t="b">
        <f>OR(LCI_Table[[#This Row],[Feedstock]]="All",LCI_Table[[#This Row],[Feedstock]]=SelectedFeedstock)</f>
        <v>0</v>
      </c>
      <c r="H1669" s="14" t="b">
        <f>OR(LCI_Table[[#This Row],[Conversion]]="All",LCI_Table[[#This Row],[Conversion]]=SelectedConversion)</f>
        <v>0</v>
      </c>
      <c r="I1669" s="14" t="b">
        <f>OR(LCI_Table[[#This Row],[Data Set]]="all",LCI_Table[[#This Row],[Data Set]]=SelectedDataSet)</f>
        <v>0</v>
      </c>
      <c r="J1669" s="14" t="b">
        <f>OR(LCI_Table[[#This Row],[Technology]]="All",LCI_Table[[#This Row],[Technology]]=SelectedTechnology)</f>
        <v>0</v>
      </c>
      <c r="K1669" s="14" t="b">
        <f>OR(LCI_Table[[#This Row],[Data Source]]="All",LCI_Table[[#This Row],[Data Source]]=SelectedDataSource)</f>
        <v>0</v>
      </c>
      <c r="L1669" s="14" t="b">
        <f>TRUE</f>
        <v>1</v>
      </c>
      <c r="M1669" s="14" t="b">
        <f>(LCI_Table[[#This Row],[Dev Notes]]="Do not display")</f>
        <v>0</v>
      </c>
      <c r="N1669" s="14" t="b">
        <f>AND(LCI_Table[[#This Row],[Show Feedstock]:[Conditional]],NOT(LCI_Table[[#This Row],[Hide Row]]))</f>
        <v>0</v>
      </c>
      <c r="O1669" s="14" t="b">
        <f>LCI_Table[[#This Row],[GREET1 Name Range]]=""</f>
        <v>0</v>
      </c>
      <c r="P1669" s="14" t="s">
        <v>147</v>
      </c>
      <c r="Q1669" s="14" t="s">
        <v>646</v>
      </c>
      <c r="R1669" s="14" t="s">
        <v>106</v>
      </c>
      <c r="S1669" s="37" cm="1">
        <f t="array" aca="1" ref="S16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0.40163750369695378</v>
      </c>
      <c r="T1669" s="346" t="s">
        <v>1484</v>
      </c>
      <c r="U1669" s="347">
        <f ca="1">S1669*Fuel_Specs!$B$19/S1667</f>
        <v>231299.99999999951</v>
      </c>
      <c r="V1669" s="347">
        <v>0.40163750369695378</v>
      </c>
      <c r="W1669" s="347">
        <v>231299.99999999951</v>
      </c>
      <c r="X1669" s="14" t="s">
        <v>5</v>
      </c>
      <c r="Y1669" s="346" t="s">
        <v>413</v>
      </c>
      <c r="Z1669" s="14" t="str">
        <f>IF(ISBLANK(LCI_Table[[#This Row],[Notes for user]])," ",LCI_Table[[#This Row],[Notes for user]])</f>
        <v xml:space="preserve"> </v>
      </c>
      <c r="AA1669" s="14"/>
      <c r="AB1669" s="14"/>
      <c r="AC1669" s="346">
        <f ca="1">LCI_Table[[#This Row],[Default Calculated Value]]-LCI_Table[[#This Row],[Calculated Value]]</f>
        <v>0</v>
      </c>
    </row>
    <row r="1670" spans="1:29" x14ac:dyDescent="0.3">
      <c r="A16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residueATJ-ethanolICAOConsensusIntegrated_ForestResidue_Collection_GasolineGasoline</v>
      </c>
      <c r="B1670" s="14" t="s">
        <v>316</v>
      </c>
      <c r="C1670" s="14" t="s">
        <v>1964</v>
      </c>
      <c r="D1670" s="14" t="s">
        <v>194</v>
      </c>
      <c r="E1670" s="48" t="s">
        <v>1399</v>
      </c>
      <c r="F1670" s="48" t="s">
        <v>1398</v>
      </c>
      <c r="G1670" s="14" t="b">
        <f>OR(LCI_Table[[#This Row],[Feedstock]]="All",LCI_Table[[#This Row],[Feedstock]]=SelectedFeedstock)</f>
        <v>0</v>
      </c>
      <c r="H1670" s="14" t="b">
        <f>OR(LCI_Table[[#This Row],[Conversion]]="All",LCI_Table[[#This Row],[Conversion]]=SelectedConversion)</f>
        <v>0</v>
      </c>
      <c r="I1670" s="14" t="b">
        <f>OR(LCI_Table[[#This Row],[Data Set]]="all",LCI_Table[[#This Row],[Data Set]]=SelectedDataSet)</f>
        <v>0</v>
      </c>
      <c r="J1670" s="14" t="b">
        <f>OR(LCI_Table[[#This Row],[Technology]]="All",LCI_Table[[#This Row],[Technology]]=SelectedTechnology)</f>
        <v>0</v>
      </c>
      <c r="K1670" s="14" t="b">
        <f>OR(LCI_Table[[#This Row],[Data Source]]="All",LCI_Table[[#This Row],[Data Source]]=SelectedDataSource)</f>
        <v>0</v>
      </c>
      <c r="L1670" s="14" t="b">
        <f>TRUE</f>
        <v>1</v>
      </c>
      <c r="M1670" s="14" t="b">
        <f>(LCI_Table[[#This Row],[Dev Notes]]="Do not display")</f>
        <v>0</v>
      </c>
      <c r="N1670" s="14" t="b">
        <f>AND(LCI_Table[[#This Row],[Show Feedstock]:[Conditional]],NOT(LCI_Table[[#This Row],[Hide Row]]))</f>
        <v>0</v>
      </c>
      <c r="O1670" s="14" t="b">
        <f>LCI_Table[[#This Row],[GREET1 Name Range]]=""</f>
        <v>0</v>
      </c>
      <c r="P1670" s="14" t="s">
        <v>147</v>
      </c>
      <c r="Q1670" s="14" t="s">
        <v>648</v>
      </c>
      <c r="R1670" s="14" t="s">
        <v>107</v>
      </c>
      <c r="S1670" s="37" cm="1">
        <f t="array" aca="1" ref="S16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70" s="346" t="s">
        <v>1484</v>
      </c>
      <c r="U1670" s="347">
        <f ca="1">S1670*Fuel_Specs!$B$15/S1667</f>
        <v>0</v>
      </c>
      <c r="V1670" s="347">
        <v>0</v>
      </c>
      <c r="W1670" s="347">
        <v>0</v>
      </c>
      <c r="X1670" s="14" t="s">
        <v>5</v>
      </c>
      <c r="Y1670" s="346" t="s">
        <v>413</v>
      </c>
      <c r="Z1670" s="14" t="str">
        <f>IF(ISBLANK(LCI_Table[[#This Row],[Notes for user]])," ",LCI_Table[[#This Row],[Notes for user]])</f>
        <v xml:space="preserve"> </v>
      </c>
      <c r="AA1670" s="14"/>
      <c r="AB1670" s="14"/>
      <c r="AC1670" s="346">
        <f ca="1">LCI_Table[[#This Row],[Default Calculated Value]]-LCI_Table[[#This Row],[Calculated Value]]</f>
        <v>0</v>
      </c>
    </row>
    <row r="1671" spans="1:29" x14ac:dyDescent="0.3">
      <c r="A16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residueATJ-ethanolICAOConsensusIntegrated_ForestResidue_Collection_Natural_gasNatural gas</v>
      </c>
      <c r="B1671" s="14" t="s">
        <v>316</v>
      </c>
      <c r="C1671" s="14" t="s">
        <v>1964</v>
      </c>
      <c r="D1671" s="14" t="s">
        <v>194</v>
      </c>
      <c r="E1671" s="48" t="s">
        <v>1399</v>
      </c>
      <c r="F1671" s="48" t="s">
        <v>1398</v>
      </c>
      <c r="G1671" s="14" t="b">
        <f>OR(LCI_Table[[#This Row],[Feedstock]]="All",LCI_Table[[#This Row],[Feedstock]]=SelectedFeedstock)</f>
        <v>0</v>
      </c>
      <c r="H1671" s="14" t="b">
        <f>OR(LCI_Table[[#This Row],[Conversion]]="All",LCI_Table[[#This Row],[Conversion]]=SelectedConversion)</f>
        <v>0</v>
      </c>
      <c r="I1671" s="14" t="b">
        <f>OR(LCI_Table[[#This Row],[Data Set]]="all",LCI_Table[[#This Row],[Data Set]]=SelectedDataSet)</f>
        <v>0</v>
      </c>
      <c r="J1671" s="14" t="b">
        <f>OR(LCI_Table[[#This Row],[Technology]]="All",LCI_Table[[#This Row],[Technology]]=SelectedTechnology)</f>
        <v>0</v>
      </c>
      <c r="K1671" s="14" t="b">
        <f>OR(LCI_Table[[#This Row],[Data Source]]="All",LCI_Table[[#This Row],[Data Source]]=SelectedDataSource)</f>
        <v>0</v>
      </c>
      <c r="L1671" s="14" t="b">
        <f>TRUE</f>
        <v>1</v>
      </c>
      <c r="M1671" s="14" t="b">
        <f>(LCI_Table[[#This Row],[Dev Notes]]="Do not display")</f>
        <v>0</v>
      </c>
      <c r="N1671" s="14" t="b">
        <f>AND(LCI_Table[[#This Row],[Show Feedstock]:[Conditional]],NOT(LCI_Table[[#This Row],[Hide Row]]))</f>
        <v>0</v>
      </c>
      <c r="O1671" s="14" t="b">
        <f>LCI_Table[[#This Row],[GREET1 Name Range]]=""</f>
        <v>0</v>
      </c>
      <c r="P1671" s="14" t="s">
        <v>147</v>
      </c>
      <c r="Q1671" s="14" t="s">
        <v>650</v>
      </c>
      <c r="R1671" s="14" t="s">
        <v>108</v>
      </c>
      <c r="S1671" s="37" cm="1">
        <f t="array" aca="1" ref="S16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71" s="346" t="s">
        <v>2109</v>
      </c>
      <c r="U1671" s="347">
        <f ca="1">S1671*Fuel_Specs!$B$79/S1667</f>
        <v>0</v>
      </c>
      <c r="V1671" s="347">
        <v>0</v>
      </c>
      <c r="W1671" s="347">
        <v>0</v>
      </c>
      <c r="X1671" s="14" t="s">
        <v>351</v>
      </c>
      <c r="Y1671" s="346" t="s">
        <v>413</v>
      </c>
      <c r="Z1671" s="14" t="str">
        <f>IF(ISBLANK(LCI_Table[[#This Row],[Notes for user]])," ",LCI_Table[[#This Row],[Notes for user]])</f>
        <v xml:space="preserve"> </v>
      </c>
      <c r="AA1671" s="14"/>
      <c r="AB1671" s="14"/>
      <c r="AC1671" s="346">
        <f ca="1">LCI_Table[[#This Row],[Default Calculated Value]]-LCI_Table[[#This Row],[Calculated Value]]</f>
        <v>0</v>
      </c>
    </row>
    <row r="1672" spans="1:29" x14ac:dyDescent="0.3">
      <c r="A16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residueATJ-ethanolICAOConsensusIntegrated_ForestResidue_Collection_CoalCoal</v>
      </c>
      <c r="B1672" s="14" t="s">
        <v>316</v>
      </c>
      <c r="C1672" s="14" t="s">
        <v>1964</v>
      </c>
      <c r="D1672" s="14" t="s">
        <v>194</v>
      </c>
      <c r="E1672" s="48" t="s">
        <v>1399</v>
      </c>
      <c r="F1672" s="48" t="s">
        <v>1398</v>
      </c>
      <c r="G1672" s="14" t="b">
        <f>OR(LCI_Table[[#This Row],[Feedstock]]="All",LCI_Table[[#This Row],[Feedstock]]=SelectedFeedstock)</f>
        <v>0</v>
      </c>
      <c r="H1672" s="14" t="b">
        <f>OR(LCI_Table[[#This Row],[Conversion]]="All",LCI_Table[[#This Row],[Conversion]]=SelectedConversion)</f>
        <v>0</v>
      </c>
      <c r="I1672" s="14" t="b">
        <f>OR(LCI_Table[[#This Row],[Data Set]]="all",LCI_Table[[#This Row],[Data Set]]=SelectedDataSet)</f>
        <v>0</v>
      </c>
      <c r="J1672" s="14" t="b">
        <f>OR(LCI_Table[[#This Row],[Technology]]="All",LCI_Table[[#This Row],[Technology]]=SelectedTechnology)</f>
        <v>0</v>
      </c>
      <c r="K1672" s="14" t="b">
        <f>OR(LCI_Table[[#This Row],[Data Source]]="All",LCI_Table[[#This Row],[Data Source]]=SelectedDataSource)</f>
        <v>0</v>
      </c>
      <c r="L1672" s="14" t="b">
        <f>TRUE</f>
        <v>1</v>
      </c>
      <c r="M1672" s="14" t="b">
        <f>(LCI_Table[[#This Row],[Dev Notes]]="Do not display")</f>
        <v>0</v>
      </c>
      <c r="N1672" s="14" t="b">
        <f>AND(LCI_Table[[#This Row],[Show Feedstock]:[Conditional]],NOT(LCI_Table[[#This Row],[Hide Row]]))</f>
        <v>0</v>
      </c>
      <c r="O1672" s="14" t="b">
        <f>LCI_Table[[#This Row],[GREET1 Name Range]]=""</f>
        <v>0</v>
      </c>
      <c r="P1672" s="14" t="s">
        <v>147</v>
      </c>
      <c r="Q1672" s="14" t="s">
        <v>645</v>
      </c>
      <c r="R1672" s="14" t="s">
        <v>9</v>
      </c>
      <c r="S1672" s="37" cm="1">
        <f t="array" aca="1" ref="S16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72" s="346" t="s">
        <v>2110</v>
      </c>
      <c r="U1672" s="347">
        <f ca="1">S1672/S1667</f>
        <v>0</v>
      </c>
      <c r="V1672" s="347">
        <v>0</v>
      </c>
      <c r="W1672" s="347">
        <v>0</v>
      </c>
      <c r="X1672" s="14" t="s">
        <v>117</v>
      </c>
      <c r="Y1672" s="346" t="s">
        <v>413</v>
      </c>
      <c r="Z1672" s="14" t="str">
        <f>IF(ISBLANK(LCI_Table[[#This Row],[Notes for user]])," ",LCI_Table[[#This Row],[Notes for user]])</f>
        <v xml:space="preserve"> </v>
      </c>
      <c r="AA1672" s="14"/>
      <c r="AB1672" s="14"/>
      <c r="AC1672" s="346">
        <f ca="1">LCI_Table[[#This Row],[Default Calculated Value]]-LCI_Table[[#This Row],[Calculated Value]]</f>
        <v>0</v>
      </c>
    </row>
    <row r="1673" spans="1:29" x14ac:dyDescent="0.3">
      <c r="A16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residueATJ-ethanolICAOConsensusIntegrated_ForestResidue_Collection_LPGLPG</v>
      </c>
      <c r="B1673" s="14" t="s">
        <v>316</v>
      </c>
      <c r="C1673" s="14" t="s">
        <v>1964</v>
      </c>
      <c r="D1673" s="14" t="s">
        <v>194</v>
      </c>
      <c r="E1673" s="48" t="s">
        <v>1399</v>
      </c>
      <c r="F1673" s="48" t="s">
        <v>1398</v>
      </c>
      <c r="G1673" s="14" t="b">
        <f>OR(LCI_Table[[#This Row],[Feedstock]]="All",LCI_Table[[#This Row],[Feedstock]]=SelectedFeedstock)</f>
        <v>0</v>
      </c>
      <c r="H1673" s="14" t="b">
        <f>OR(LCI_Table[[#This Row],[Conversion]]="All",LCI_Table[[#This Row],[Conversion]]=SelectedConversion)</f>
        <v>0</v>
      </c>
      <c r="I1673" s="14" t="b">
        <f>OR(LCI_Table[[#This Row],[Data Set]]="all",LCI_Table[[#This Row],[Data Set]]=SelectedDataSet)</f>
        <v>0</v>
      </c>
      <c r="J1673" s="14" t="b">
        <f>OR(LCI_Table[[#This Row],[Technology]]="All",LCI_Table[[#This Row],[Technology]]=SelectedTechnology)</f>
        <v>0</v>
      </c>
      <c r="K1673" s="14" t="b">
        <f>OR(LCI_Table[[#This Row],[Data Source]]="All",LCI_Table[[#This Row],[Data Source]]=SelectedDataSource)</f>
        <v>0</v>
      </c>
      <c r="L1673" s="14" t="b">
        <f>TRUE</f>
        <v>1</v>
      </c>
      <c r="M1673" s="14" t="b">
        <f>(LCI_Table[[#This Row],[Dev Notes]]="Do not display")</f>
        <v>0</v>
      </c>
      <c r="N1673" s="14" t="b">
        <f>AND(LCI_Table[[#This Row],[Show Feedstock]:[Conditional]],NOT(LCI_Table[[#This Row],[Hide Row]]))</f>
        <v>0</v>
      </c>
      <c r="O1673" s="14" t="b">
        <f>LCI_Table[[#This Row],[GREET1 Name Range]]=""</f>
        <v>0</v>
      </c>
      <c r="P1673" s="14" t="s">
        <v>147</v>
      </c>
      <c r="Q1673" s="14" t="s">
        <v>649</v>
      </c>
      <c r="R1673" s="14" t="s">
        <v>109</v>
      </c>
      <c r="S1673" s="37" cm="1">
        <f t="array" aca="1" ref="S16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73" s="346" t="s">
        <v>1484</v>
      </c>
      <c r="U1673" s="347">
        <f ca="1">S1673*Fuel_Specs!$B$35/S1667</f>
        <v>0</v>
      </c>
      <c r="V1673" s="347">
        <v>0</v>
      </c>
      <c r="W1673" s="347">
        <v>0</v>
      </c>
      <c r="X1673" s="14" t="s">
        <v>5</v>
      </c>
      <c r="Y1673" s="346" t="s">
        <v>413</v>
      </c>
      <c r="Z1673" s="14" t="str">
        <f>IF(ISBLANK(LCI_Table[[#This Row],[Notes for user]])," ",LCI_Table[[#This Row],[Notes for user]])</f>
        <v xml:space="preserve"> </v>
      </c>
      <c r="AA1673" s="14"/>
      <c r="AB1673" s="14"/>
      <c r="AC1673" s="346">
        <f ca="1">LCI_Table[[#This Row],[Default Calculated Value]]-LCI_Table[[#This Row],[Calculated Value]]</f>
        <v>0</v>
      </c>
    </row>
    <row r="1674" spans="1:29" x14ac:dyDescent="0.3">
      <c r="A16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residueATJ-ethanolICAOConsensusIntegrated_ForestResidue_Collection_ElectricityElectricity</v>
      </c>
      <c r="B1674" s="14" t="s">
        <v>316</v>
      </c>
      <c r="C1674" s="14" t="s">
        <v>1964</v>
      </c>
      <c r="D1674" s="14" t="s">
        <v>194</v>
      </c>
      <c r="E1674" s="48" t="s">
        <v>1399</v>
      </c>
      <c r="F1674" s="48" t="s">
        <v>1398</v>
      </c>
      <c r="G1674" s="14" t="b">
        <f>OR(LCI_Table[[#This Row],[Feedstock]]="All",LCI_Table[[#This Row],[Feedstock]]=SelectedFeedstock)</f>
        <v>0</v>
      </c>
      <c r="H1674" s="14" t="b">
        <f>OR(LCI_Table[[#This Row],[Conversion]]="All",LCI_Table[[#This Row],[Conversion]]=SelectedConversion)</f>
        <v>0</v>
      </c>
      <c r="I1674" s="14" t="b">
        <f>OR(LCI_Table[[#This Row],[Data Set]]="all",LCI_Table[[#This Row],[Data Set]]=SelectedDataSet)</f>
        <v>0</v>
      </c>
      <c r="J1674" s="14" t="b">
        <f>OR(LCI_Table[[#This Row],[Technology]]="All",LCI_Table[[#This Row],[Technology]]=SelectedTechnology)</f>
        <v>0</v>
      </c>
      <c r="K1674" s="14" t="b">
        <f>OR(LCI_Table[[#This Row],[Data Source]]="All",LCI_Table[[#This Row],[Data Source]]=SelectedDataSource)</f>
        <v>0</v>
      </c>
      <c r="L1674" s="14" t="b">
        <f>TRUE</f>
        <v>1</v>
      </c>
      <c r="M1674" s="14" t="b">
        <f>(LCI_Table[[#This Row],[Dev Notes]]="Do not display")</f>
        <v>0</v>
      </c>
      <c r="N1674" s="14" t="b">
        <f>AND(LCI_Table[[#This Row],[Show Feedstock]:[Conditional]],NOT(LCI_Table[[#This Row],[Hide Row]]))</f>
        <v>0</v>
      </c>
      <c r="O1674" s="14" t="b">
        <f>LCI_Table[[#This Row],[GREET1 Name Range]]=""</f>
        <v>0</v>
      </c>
      <c r="P1674" s="14" t="s">
        <v>147</v>
      </c>
      <c r="Q1674" s="14" t="s">
        <v>647</v>
      </c>
      <c r="R1674" s="348" t="s">
        <v>110</v>
      </c>
      <c r="S1674" s="37" cm="1">
        <f t="array" aca="1" ref="S16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74" s="346" t="s">
        <v>1561</v>
      </c>
      <c r="U1674" s="347">
        <f ca="1">S1674/BTU2kWh/S1667</f>
        <v>0</v>
      </c>
      <c r="V1674" s="347">
        <v>0</v>
      </c>
      <c r="W1674" s="347">
        <v>0</v>
      </c>
      <c r="X1674" s="14" t="s">
        <v>51</v>
      </c>
      <c r="Y1674" s="346" t="s">
        <v>413</v>
      </c>
      <c r="Z1674" s="14" t="str">
        <f>IF(ISBLANK(LCI_Table[[#This Row],[Notes for user]])," ",LCI_Table[[#This Row],[Notes for user]])</f>
        <v xml:space="preserve"> </v>
      </c>
      <c r="AA1674" s="14"/>
      <c r="AB1674" s="14"/>
      <c r="AC1674" s="346">
        <f ca="1">LCI_Table[[#This Row],[Default Calculated Value]]-LCI_Table[[#This Row],[Calculated Value]]</f>
        <v>0</v>
      </c>
    </row>
    <row r="1675" spans="1:29" x14ac:dyDescent="0.3">
      <c r="A16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residueATJ-ethanolICAOConsensusIntegrated_JetFuel_ETJet_BiomassFeedstockSelector</v>
      </c>
      <c r="B1675" s="14" t="s">
        <v>316</v>
      </c>
      <c r="C1675" s="14" t="s">
        <v>1964</v>
      </c>
      <c r="D1675" s="14" t="s">
        <v>194</v>
      </c>
      <c r="E1675" s="48" t="s">
        <v>1399</v>
      </c>
      <c r="F1675" s="48" t="s">
        <v>1398</v>
      </c>
      <c r="G1675" s="14" t="b">
        <f>OR(LCI_Table[[#This Row],[Feedstock]]="All",LCI_Table[[#This Row],[Feedstock]]=SelectedFeedstock)</f>
        <v>0</v>
      </c>
      <c r="H1675" s="14" t="b">
        <f>OR(LCI_Table[[#This Row],[Conversion]]="All",LCI_Table[[#This Row],[Conversion]]=SelectedConversion)</f>
        <v>0</v>
      </c>
      <c r="I1675" s="14" t="b">
        <f>OR(LCI_Table[[#This Row],[Data Set]]="all",LCI_Table[[#This Row],[Data Set]]=SelectedDataSet)</f>
        <v>0</v>
      </c>
      <c r="J1675" s="14" t="b">
        <f>OR(LCI_Table[[#This Row],[Technology]]="All",LCI_Table[[#This Row],[Technology]]=SelectedTechnology)</f>
        <v>0</v>
      </c>
      <c r="K1675" s="14" t="b">
        <f>OR(LCI_Table[[#This Row],[Data Source]]="All",LCI_Table[[#This Row],[Data Source]]=SelectedDataSource)</f>
        <v>0</v>
      </c>
      <c r="L1675" s="14" t="b">
        <f>TRUE</f>
        <v>1</v>
      </c>
      <c r="M1675" s="14" t="b">
        <f>(LCI_Table[[#This Row],[Dev Notes]]="Do not display")</f>
        <v>1</v>
      </c>
      <c r="N1675" s="14" t="b">
        <f>AND(LCI_Table[[#This Row],[Show Feedstock]:[Conditional]],NOT(LCI_Table[[#This Row],[Hide Row]]))</f>
        <v>0</v>
      </c>
      <c r="O1675" s="14" t="b">
        <f>LCI_Table[[#This Row],[GREET1 Name Range]]=""</f>
        <v>0</v>
      </c>
      <c r="P1675" s="14" t="s">
        <v>1448</v>
      </c>
      <c r="Q1675" s="14" t="s">
        <v>86</v>
      </c>
      <c r="R1675" s="348" t="s">
        <v>902</v>
      </c>
      <c r="S1675" s="37" cm="1">
        <f t="array" aca="1" ref="S16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v>
      </c>
      <c r="T1675" s="346" t="s">
        <v>2132</v>
      </c>
      <c r="U1675" s="352">
        <v>6</v>
      </c>
      <c r="V1675" s="352">
        <v>6</v>
      </c>
      <c r="W1675" s="352">
        <v>6</v>
      </c>
      <c r="X1675" s="356"/>
      <c r="Y1675" s="346" t="s">
        <v>416</v>
      </c>
      <c r="Z1675" s="14" t="str">
        <f>IF(ISBLANK(LCI_Table[[#This Row],[Notes for user]])," ",LCI_Table[[#This Row],[Notes for user]])</f>
        <v xml:space="preserve"> </v>
      </c>
      <c r="AA1675" s="14"/>
      <c r="AB1675" s="348" t="s">
        <v>1138</v>
      </c>
      <c r="AC1675" s="346">
        <f>LCI_Table[[#This Row],[Default Calculated Value]]-LCI_Table[[#This Row],[Calculated Value]]</f>
        <v>0</v>
      </c>
    </row>
    <row r="1676" spans="1:29" x14ac:dyDescent="0.3">
      <c r="A16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residueATJ-ethanolICAOConsensusIntegrated_Cellulosic_ETJ_FeedForest residue</v>
      </c>
      <c r="B1676" s="14" t="s">
        <v>316</v>
      </c>
      <c r="C1676" s="14" t="s">
        <v>1964</v>
      </c>
      <c r="D1676" s="14" t="s">
        <v>194</v>
      </c>
      <c r="E1676" s="48" t="s">
        <v>1399</v>
      </c>
      <c r="F1676" s="48" t="s">
        <v>1398</v>
      </c>
      <c r="G1676" s="14" t="b">
        <f>OR(LCI_Table[[#This Row],[Feedstock]]="All",LCI_Table[[#This Row],[Feedstock]]=SelectedFeedstock)</f>
        <v>0</v>
      </c>
      <c r="H1676" s="14" t="b">
        <f>OR(LCI_Table[[#This Row],[Conversion]]="All",LCI_Table[[#This Row],[Conversion]]=SelectedConversion)</f>
        <v>0</v>
      </c>
      <c r="I1676" s="14" t="b">
        <f>OR(LCI_Table[[#This Row],[Data Set]]="all",LCI_Table[[#This Row],[Data Set]]=SelectedDataSet)</f>
        <v>0</v>
      </c>
      <c r="J1676" s="14" t="b">
        <f>OR(LCI_Table[[#This Row],[Technology]]="All",LCI_Table[[#This Row],[Technology]]=SelectedTechnology)</f>
        <v>0</v>
      </c>
      <c r="K1676" s="14" t="b">
        <f>OR(LCI_Table[[#This Row],[Data Source]]="All",LCI_Table[[#This Row],[Data Source]]=SelectedDataSource)</f>
        <v>0</v>
      </c>
      <c r="L1676" s="14" t="b">
        <f>TRUE</f>
        <v>1</v>
      </c>
      <c r="M1676" s="14" t="b">
        <f>(LCI_Table[[#This Row],[Dev Notes]]="Do not display")</f>
        <v>0</v>
      </c>
      <c r="N1676" s="14" t="b">
        <f>AND(LCI_Table[[#This Row],[Show Feedstock]:[Conditional]],NOT(LCI_Table[[#This Row],[Hide Row]]))</f>
        <v>0</v>
      </c>
      <c r="O1676" s="14" t="b">
        <f>LCI_Table[[#This Row],[GREET1 Name Range]]=""</f>
        <v>0</v>
      </c>
      <c r="P1676" s="14" t="s">
        <v>1448</v>
      </c>
      <c r="Q1676" s="14" t="s">
        <v>562</v>
      </c>
      <c r="R1676" s="14" t="s">
        <v>316</v>
      </c>
      <c r="S1676" s="37" cm="1">
        <f t="array" aca="1" ref="S16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325.13563661946142</v>
      </c>
      <c r="T1676" s="346" t="s">
        <v>2119</v>
      </c>
      <c r="U1676" s="363">
        <f t="shared" ref="U1676" ca="1" si="33">S1676*lb2kg/mmBTU2MJ</f>
        <v>0.1397831631241894</v>
      </c>
      <c r="V1676" s="347">
        <v>325.13563661946142</v>
      </c>
      <c r="W1676" s="362">
        <v>0.1397831631241894</v>
      </c>
      <c r="X1676" s="14" t="s">
        <v>12</v>
      </c>
      <c r="Y1676" s="346" t="s">
        <v>416</v>
      </c>
      <c r="Z1676" s="14" t="str">
        <f>IF(ISBLANK(LCI_Table[[#This Row],[Notes for user]])," ",LCI_Table[[#This Row],[Notes for user]])</f>
        <v xml:space="preserve"> </v>
      </c>
      <c r="AA1676" s="358"/>
      <c r="AB1676" s="358" t="s">
        <v>921</v>
      </c>
      <c r="AC1676" s="346">
        <f ca="1">LCI_Table[[#This Row],[Default Calculated Value]]-LCI_Table[[#This Row],[Calculated Value]]</f>
        <v>0</v>
      </c>
    </row>
    <row r="1677" spans="1:29" x14ac:dyDescent="0.3">
      <c r="A16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residueATJ-ethanolICAOConsensusIntegrated_Cellulosic_ETJ_AlphaAmylaseAlpha-amylase</v>
      </c>
      <c r="B1677" s="14" t="s">
        <v>316</v>
      </c>
      <c r="C1677" s="14" t="s">
        <v>1964</v>
      </c>
      <c r="D1677" s="14" t="s">
        <v>194</v>
      </c>
      <c r="E1677" s="48" t="s">
        <v>1399</v>
      </c>
      <c r="F1677" s="48" t="s">
        <v>1398</v>
      </c>
      <c r="G1677" s="14" t="b">
        <f>OR(LCI_Table[[#This Row],[Feedstock]]="All",LCI_Table[[#This Row],[Feedstock]]=SelectedFeedstock)</f>
        <v>0</v>
      </c>
      <c r="H1677" s="14" t="b">
        <f>OR(LCI_Table[[#This Row],[Conversion]]="All",LCI_Table[[#This Row],[Conversion]]=SelectedConversion)</f>
        <v>0</v>
      </c>
      <c r="I1677" s="14" t="b">
        <f>OR(LCI_Table[[#This Row],[Data Set]]="all",LCI_Table[[#This Row],[Data Set]]=SelectedDataSet)</f>
        <v>0</v>
      </c>
      <c r="J1677" s="14" t="b">
        <f>OR(LCI_Table[[#This Row],[Technology]]="All",LCI_Table[[#This Row],[Technology]]=SelectedTechnology)</f>
        <v>0</v>
      </c>
      <c r="K1677" s="14" t="b">
        <f>OR(LCI_Table[[#This Row],[Data Source]]="All",LCI_Table[[#This Row],[Data Source]]=SelectedDataSource)</f>
        <v>0</v>
      </c>
      <c r="L1677" s="14" t="b">
        <f>TRUE</f>
        <v>1</v>
      </c>
      <c r="M1677" s="14" t="b">
        <f>(LCI_Table[[#This Row],[Dev Notes]]="Do not display")</f>
        <v>0</v>
      </c>
      <c r="N1677" s="14" t="b">
        <f>AND(LCI_Table[[#This Row],[Show Feedstock]:[Conditional]],NOT(LCI_Table[[#This Row],[Hide Row]]))</f>
        <v>0</v>
      </c>
      <c r="O1677" s="14" t="b">
        <f>LCI_Table[[#This Row],[GREET1 Name Range]]=""</f>
        <v>0</v>
      </c>
      <c r="P1677" s="14" t="s">
        <v>1448</v>
      </c>
      <c r="Q1677" s="14" t="s">
        <v>942</v>
      </c>
      <c r="R1677" s="14" t="s">
        <v>353</v>
      </c>
      <c r="S1677" s="37" cm="1">
        <f t="array" aca="1" ref="S16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77" s="346" t="s">
        <v>2119</v>
      </c>
      <c r="U1677" s="357">
        <f t="shared" ref="U1677" ca="1" si="34">S1677*lb2kg/mmBTU2MJ</f>
        <v>0</v>
      </c>
      <c r="V1677" s="347">
        <v>0</v>
      </c>
      <c r="W1677" s="357">
        <v>0</v>
      </c>
      <c r="X1677" s="14" t="s">
        <v>12</v>
      </c>
      <c r="Y1677" s="346" t="s">
        <v>416</v>
      </c>
      <c r="Z1677" s="14" t="str">
        <f>IF(ISBLANK(LCI_Table[[#This Row],[Notes for user]])," ",LCI_Table[[#This Row],[Notes for user]])</f>
        <v xml:space="preserve"> </v>
      </c>
      <c r="AA1677" s="14"/>
      <c r="AB1677" s="14"/>
      <c r="AC1677" s="346">
        <f ca="1">LCI_Table[[#This Row],[Default Calculated Value]]-LCI_Table[[#This Row],[Calculated Value]]</f>
        <v>0</v>
      </c>
    </row>
    <row r="1678" spans="1:29" x14ac:dyDescent="0.3">
      <c r="A16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residueATJ-ethanolICAOConsensusIntegrated_Cellulosic_ETJ_GlucoAmylaseGluco-amylase</v>
      </c>
      <c r="B1678" s="14" t="s">
        <v>316</v>
      </c>
      <c r="C1678" s="14" t="s">
        <v>1964</v>
      </c>
      <c r="D1678" s="14" t="s">
        <v>194</v>
      </c>
      <c r="E1678" s="48" t="s">
        <v>1399</v>
      </c>
      <c r="F1678" s="48" t="s">
        <v>1398</v>
      </c>
      <c r="G1678" s="14" t="b">
        <f>OR(LCI_Table[[#This Row],[Feedstock]]="All",LCI_Table[[#This Row],[Feedstock]]=SelectedFeedstock)</f>
        <v>0</v>
      </c>
      <c r="H1678" s="14" t="b">
        <f>OR(LCI_Table[[#This Row],[Conversion]]="All",LCI_Table[[#This Row],[Conversion]]=SelectedConversion)</f>
        <v>0</v>
      </c>
      <c r="I1678" s="14" t="b">
        <f>OR(LCI_Table[[#This Row],[Data Set]]="all",LCI_Table[[#This Row],[Data Set]]=SelectedDataSet)</f>
        <v>0</v>
      </c>
      <c r="J1678" s="14" t="b">
        <f>OR(LCI_Table[[#This Row],[Technology]]="All",LCI_Table[[#This Row],[Technology]]=SelectedTechnology)</f>
        <v>0</v>
      </c>
      <c r="K1678" s="14" t="b">
        <f>OR(LCI_Table[[#This Row],[Data Source]]="All",LCI_Table[[#This Row],[Data Source]]=SelectedDataSource)</f>
        <v>0</v>
      </c>
      <c r="L1678" s="14" t="b">
        <f>TRUE</f>
        <v>1</v>
      </c>
      <c r="M1678" s="14" t="b">
        <f>(LCI_Table[[#This Row],[Dev Notes]]="Do not display")</f>
        <v>0</v>
      </c>
      <c r="N1678" s="14" t="b">
        <f>AND(LCI_Table[[#This Row],[Show Feedstock]:[Conditional]],NOT(LCI_Table[[#This Row],[Hide Row]]))</f>
        <v>0</v>
      </c>
      <c r="O1678" s="14" t="b">
        <f>LCI_Table[[#This Row],[GREET1 Name Range]]=""</f>
        <v>0</v>
      </c>
      <c r="P1678" s="14" t="s">
        <v>1448</v>
      </c>
      <c r="Q1678" s="14" t="s">
        <v>943</v>
      </c>
      <c r="R1678" s="14" t="s">
        <v>354</v>
      </c>
      <c r="S1678" s="37" cm="1">
        <f t="array" aca="1" ref="S16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78" s="346" t="s">
        <v>2119</v>
      </c>
      <c r="U1678" s="357">
        <f t="shared" ref="U1678" ca="1" si="35">S1678*lb2kg/mmBTU2MJ</f>
        <v>0</v>
      </c>
      <c r="V1678" s="347">
        <v>0</v>
      </c>
      <c r="W1678" s="357">
        <v>0</v>
      </c>
      <c r="X1678" s="14" t="s">
        <v>12</v>
      </c>
      <c r="Y1678" s="346" t="s">
        <v>416</v>
      </c>
      <c r="Z1678" s="14" t="str">
        <f>IF(ISBLANK(LCI_Table[[#This Row],[Notes for user]])," ",LCI_Table[[#This Row],[Notes for user]])</f>
        <v xml:space="preserve"> </v>
      </c>
      <c r="AA1678" s="14"/>
      <c r="AB1678" s="14"/>
      <c r="AC1678" s="346">
        <f ca="1">LCI_Table[[#This Row],[Default Calculated Value]]-LCI_Table[[#This Row],[Calculated Value]]</f>
        <v>0</v>
      </c>
    </row>
    <row r="1679" spans="1:29" x14ac:dyDescent="0.3">
      <c r="A16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residueATJ-ethanolICAOConsensusIntegrated_Cellulosic_ETJ_YeastYeast</v>
      </c>
      <c r="B1679" s="14" t="s">
        <v>316</v>
      </c>
      <c r="C1679" s="14" t="s">
        <v>1964</v>
      </c>
      <c r="D1679" s="14" t="s">
        <v>194</v>
      </c>
      <c r="E1679" s="48" t="s">
        <v>1399</v>
      </c>
      <c r="F1679" s="48" t="s">
        <v>1398</v>
      </c>
      <c r="G1679" s="14" t="b">
        <f>OR(LCI_Table[[#This Row],[Feedstock]]="All",LCI_Table[[#This Row],[Feedstock]]=SelectedFeedstock)</f>
        <v>0</v>
      </c>
      <c r="H1679" s="14" t="b">
        <f>OR(LCI_Table[[#This Row],[Conversion]]="All",LCI_Table[[#This Row],[Conversion]]=SelectedConversion)</f>
        <v>0</v>
      </c>
      <c r="I1679" s="14" t="b">
        <f>OR(LCI_Table[[#This Row],[Data Set]]="all",LCI_Table[[#This Row],[Data Set]]=SelectedDataSet)</f>
        <v>0</v>
      </c>
      <c r="J1679" s="14" t="b">
        <f>OR(LCI_Table[[#This Row],[Technology]]="All",LCI_Table[[#This Row],[Technology]]=SelectedTechnology)</f>
        <v>0</v>
      </c>
      <c r="K1679" s="14" t="b">
        <f>OR(LCI_Table[[#This Row],[Data Source]]="All",LCI_Table[[#This Row],[Data Source]]=SelectedDataSource)</f>
        <v>0</v>
      </c>
      <c r="L1679" s="14" t="b">
        <f>TRUE</f>
        <v>1</v>
      </c>
      <c r="M1679" s="14" t="b">
        <f>(LCI_Table[[#This Row],[Dev Notes]]="Do not display")</f>
        <v>0</v>
      </c>
      <c r="N1679" s="14" t="b">
        <f>AND(LCI_Table[[#This Row],[Show Feedstock]:[Conditional]],NOT(LCI_Table[[#This Row],[Hide Row]]))</f>
        <v>0</v>
      </c>
      <c r="O1679" s="14" t="b">
        <f>LCI_Table[[#This Row],[GREET1 Name Range]]=""</f>
        <v>0</v>
      </c>
      <c r="P1679" s="14" t="s">
        <v>1448</v>
      </c>
      <c r="Q1679" s="14" t="s">
        <v>944</v>
      </c>
      <c r="R1679" s="14" t="s">
        <v>145</v>
      </c>
      <c r="S1679" s="37" cm="1">
        <f t="array" aca="1" ref="S16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0.80958773518245875</v>
      </c>
      <c r="T1679" s="346" t="s">
        <v>2119</v>
      </c>
      <c r="U1679" s="357">
        <f t="shared" ref="U1679" ca="1" si="36">S1679*lb2kg/mmBTU2MJ</f>
        <v>3.4806007617923157E-4</v>
      </c>
      <c r="V1679" s="347">
        <v>0.80958773518245875</v>
      </c>
      <c r="W1679" s="357">
        <v>3.4806007617923157E-4</v>
      </c>
      <c r="X1679" s="14" t="s">
        <v>12</v>
      </c>
      <c r="Y1679" s="346" t="s">
        <v>416</v>
      </c>
      <c r="Z1679" s="14" t="str">
        <f>IF(ISBLANK(LCI_Table[[#This Row],[Notes for user]])," ",LCI_Table[[#This Row],[Notes for user]])</f>
        <v xml:space="preserve"> </v>
      </c>
      <c r="AA1679" s="14"/>
      <c r="AB1679" s="14"/>
      <c r="AC1679" s="346">
        <f ca="1">LCI_Table[[#This Row],[Default Calculated Value]]-LCI_Table[[#This Row],[Calculated Value]]</f>
        <v>0</v>
      </c>
    </row>
    <row r="1680" spans="1:29" x14ac:dyDescent="0.3">
      <c r="A16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residueATJ-ethanolICAOConsensusIntegrated_Cellulosic_ETJ_GlucoseGlucose</v>
      </c>
      <c r="B1680" s="14" t="s">
        <v>316</v>
      </c>
      <c r="C1680" s="14" t="s">
        <v>1964</v>
      </c>
      <c r="D1680" s="14" t="s">
        <v>194</v>
      </c>
      <c r="E1680" s="48" t="s">
        <v>1399</v>
      </c>
      <c r="F1680" s="48" t="s">
        <v>1398</v>
      </c>
      <c r="G1680" s="14" t="b">
        <f>OR(LCI_Table[[#This Row],[Feedstock]]="All",LCI_Table[[#This Row],[Feedstock]]=SelectedFeedstock)</f>
        <v>0</v>
      </c>
      <c r="H1680" s="14" t="b">
        <f>OR(LCI_Table[[#This Row],[Conversion]]="All",LCI_Table[[#This Row],[Conversion]]=SelectedConversion)</f>
        <v>0</v>
      </c>
      <c r="I1680" s="14" t="b">
        <f>OR(LCI_Table[[#This Row],[Data Set]]="all",LCI_Table[[#This Row],[Data Set]]=SelectedDataSet)</f>
        <v>0</v>
      </c>
      <c r="J1680" s="14" t="b">
        <f>OR(LCI_Table[[#This Row],[Technology]]="All",LCI_Table[[#This Row],[Technology]]=SelectedTechnology)</f>
        <v>0</v>
      </c>
      <c r="K1680" s="14" t="b">
        <f>OR(LCI_Table[[#This Row],[Data Source]]="All",LCI_Table[[#This Row],[Data Source]]=SelectedDataSource)</f>
        <v>0</v>
      </c>
      <c r="L1680" s="14" t="b">
        <f>TRUE</f>
        <v>1</v>
      </c>
      <c r="M1680" s="14" t="b">
        <f>(LCI_Table[[#This Row],[Dev Notes]]="Do not display")</f>
        <v>0</v>
      </c>
      <c r="N1680" s="14" t="b">
        <f>AND(LCI_Table[[#This Row],[Show Feedstock]:[Conditional]],NOT(LCI_Table[[#This Row],[Hide Row]]))</f>
        <v>0</v>
      </c>
      <c r="O1680" s="14" t="b">
        <f>LCI_Table[[#This Row],[GREET1 Name Range]]=""</f>
        <v>0</v>
      </c>
      <c r="P1680" s="14" t="s">
        <v>1448</v>
      </c>
      <c r="Q1680" s="14" t="s">
        <v>563</v>
      </c>
      <c r="R1680" s="14" t="s">
        <v>387</v>
      </c>
      <c r="S1680" s="37" cm="1">
        <f t="array" aca="1" ref="S16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80" s="346" t="s">
        <v>2119</v>
      </c>
      <c r="U1680" s="357">
        <f t="shared" ref="U1680" ca="1" si="37">S1680*lb2kg/mmBTU2MJ</f>
        <v>0</v>
      </c>
      <c r="V1680" s="347">
        <v>0</v>
      </c>
      <c r="W1680" s="357">
        <v>0</v>
      </c>
      <c r="X1680" s="14" t="s">
        <v>12</v>
      </c>
      <c r="Y1680" s="346" t="s">
        <v>416</v>
      </c>
      <c r="Z1680" s="14" t="str">
        <f>IF(ISBLANK(LCI_Table[[#This Row],[Notes for user]])," ",LCI_Table[[#This Row],[Notes for user]])</f>
        <v xml:space="preserve"> </v>
      </c>
      <c r="AA1680" s="14"/>
      <c r="AB1680" s="14"/>
      <c r="AC1680" s="346">
        <f ca="1">LCI_Table[[#This Row],[Default Calculated Value]]-LCI_Table[[#This Row],[Calculated Value]]</f>
        <v>0</v>
      </c>
    </row>
    <row r="1681" spans="1:29" x14ac:dyDescent="0.3">
      <c r="A16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residueATJ-ethanolICAOConsensusIntegrated_Cellulosic_ETJ_Sulfuric_acidSulfuric acid</v>
      </c>
      <c r="B1681" s="14" t="s">
        <v>316</v>
      </c>
      <c r="C1681" s="14" t="s">
        <v>1964</v>
      </c>
      <c r="D1681" s="14" t="s">
        <v>194</v>
      </c>
      <c r="E1681" s="48" t="s">
        <v>1399</v>
      </c>
      <c r="F1681" s="48" t="s">
        <v>1398</v>
      </c>
      <c r="G1681" s="14" t="b">
        <f>OR(LCI_Table[[#This Row],[Feedstock]]="All",LCI_Table[[#This Row],[Feedstock]]=SelectedFeedstock)</f>
        <v>0</v>
      </c>
      <c r="H1681" s="14" t="b">
        <f>OR(LCI_Table[[#This Row],[Conversion]]="All",LCI_Table[[#This Row],[Conversion]]=SelectedConversion)</f>
        <v>0</v>
      </c>
      <c r="I1681" s="14" t="b">
        <f>OR(LCI_Table[[#This Row],[Data Set]]="all",LCI_Table[[#This Row],[Data Set]]=SelectedDataSet)</f>
        <v>0</v>
      </c>
      <c r="J1681" s="14" t="b">
        <f>OR(LCI_Table[[#This Row],[Technology]]="All",LCI_Table[[#This Row],[Technology]]=SelectedTechnology)</f>
        <v>0</v>
      </c>
      <c r="K1681" s="14" t="b">
        <f>OR(LCI_Table[[#This Row],[Data Source]]="All",LCI_Table[[#This Row],[Data Source]]=SelectedDataSource)</f>
        <v>0</v>
      </c>
      <c r="L1681" s="14" t="b">
        <f>TRUE</f>
        <v>1</v>
      </c>
      <c r="M1681" s="14" t="b">
        <f>(LCI_Table[[#This Row],[Dev Notes]]="Do not display")</f>
        <v>0</v>
      </c>
      <c r="N1681" s="14" t="b">
        <f>AND(LCI_Table[[#This Row],[Show Feedstock]:[Conditional]],NOT(LCI_Table[[#This Row],[Hide Row]]))</f>
        <v>0</v>
      </c>
      <c r="O1681" s="14" t="b">
        <f>LCI_Table[[#This Row],[GREET1 Name Range]]=""</f>
        <v>0</v>
      </c>
      <c r="P1681" s="14" t="s">
        <v>1448</v>
      </c>
      <c r="Q1681" s="14" t="s">
        <v>567</v>
      </c>
      <c r="R1681" s="14" t="s">
        <v>384</v>
      </c>
      <c r="S1681" s="37" cm="1">
        <f t="array" aca="1" ref="S16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10.547481335844481</v>
      </c>
      <c r="T1681" s="346" t="s">
        <v>2119</v>
      </c>
      <c r="U1681" s="357">
        <f t="shared" ref="U1681" ca="1" si="38">S1681*lb2kg/mmBTU2MJ</f>
        <v>4.534600757539484E-3</v>
      </c>
      <c r="V1681" s="347">
        <v>10.547481335844481</v>
      </c>
      <c r="W1681" s="357">
        <v>4.534600757539484E-3</v>
      </c>
      <c r="X1681" s="14" t="s">
        <v>12</v>
      </c>
      <c r="Y1681" s="346" t="s">
        <v>416</v>
      </c>
      <c r="Z1681" s="14" t="str">
        <f>IF(ISBLANK(LCI_Table[[#This Row],[Notes for user]])," ",LCI_Table[[#This Row],[Notes for user]])</f>
        <v xml:space="preserve"> </v>
      </c>
      <c r="AA1681" s="14"/>
      <c r="AB1681" s="14"/>
      <c r="AC1681" s="346">
        <f ca="1">LCI_Table[[#This Row],[Default Calculated Value]]-LCI_Table[[#This Row],[Calculated Value]]</f>
        <v>0</v>
      </c>
    </row>
    <row r="1682" spans="1:29" x14ac:dyDescent="0.3">
      <c r="A16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residueATJ-ethanolICAOConsensusIntegrated_Cellulosic_ETJ_AmmoniaAmmonia</v>
      </c>
      <c r="B1682" s="14" t="s">
        <v>316</v>
      </c>
      <c r="C1682" s="14" t="s">
        <v>1964</v>
      </c>
      <c r="D1682" s="14" t="s">
        <v>194</v>
      </c>
      <c r="E1682" s="48" t="s">
        <v>1399</v>
      </c>
      <c r="F1682" s="48" t="s">
        <v>1398</v>
      </c>
      <c r="G1682" s="14" t="b">
        <f>OR(LCI_Table[[#This Row],[Feedstock]]="All",LCI_Table[[#This Row],[Feedstock]]=SelectedFeedstock)</f>
        <v>0</v>
      </c>
      <c r="H1682" s="14" t="b">
        <f>OR(LCI_Table[[#This Row],[Conversion]]="All",LCI_Table[[#This Row],[Conversion]]=SelectedConversion)</f>
        <v>0</v>
      </c>
      <c r="I1682" s="14" t="b">
        <f>OR(LCI_Table[[#This Row],[Data Set]]="all",LCI_Table[[#This Row],[Data Set]]=SelectedDataSet)</f>
        <v>0</v>
      </c>
      <c r="J1682" s="14" t="b">
        <f>OR(LCI_Table[[#This Row],[Technology]]="All",LCI_Table[[#This Row],[Technology]]=SelectedTechnology)</f>
        <v>0</v>
      </c>
      <c r="K1682" s="14" t="b">
        <f>OR(LCI_Table[[#This Row],[Data Source]]="All",LCI_Table[[#This Row],[Data Source]]=SelectedDataSource)</f>
        <v>0</v>
      </c>
      <c r="L1682" s="14" t="b">
        <f>TRUE</f>
        <v>1</v>
      </c>
      <c r="M1682" s="14" t="b">
        <f>(LCI_Table[[#This Row],[Dev Notes]]="Do not display")</f>
        <v>0</v>
      </c>
      <c r="N1682" s="14" t="b">
        <f>AND(LCI_Table[[#This Row],[Show Feedstock]:[Conditional]],NOT(LCI_Table[[#This Row],[Hide Row]]))</f>
        <v>0</v>
      </c>
      <c r="O1682" s="14" t="b">
        <f>LCI_Table[[#This Row],[GREET1 Name Range]]=""</f>
        <v>0</v>
      </c>
      <c r="P1682" s="14" t="s">
        <v>1448</v>
      </c>
      <c r="Q1682" s="14" t="s">
        <v>557</v>
      </c>
      <c r="R1682" s="14" t="s">
        <v>382</v>
      </c>
      <c r="S1682" s="37" cm="1">
        <f t="array" aca="1" ref="S16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1.2656977603013373</v>
      </c>
      <c r="T1682" s="346" t="s">
        <v>2119</v>
      </c>
      <c r="U1682" s="357">
        <f t="shared" ref="U1682" ca="1" si="39">S1682*lb2kg/mmBTU2MJ</f>
        <v>5.4415209090473795E-4</v>
      </c>
      <c r="V1682" s="347">
        <v>1.2656977603013373</v>
      </c>
      <c r="W1682" s="357">
        <v>5.4415209090473795E-4</v>
      </c>
      <c r="X1682" s="14" t="s">
        <v>12</v>
      </c>
      <c r="Y1682" s="346" t="s">
        <v>416</v>
      </c>
      <c r="Z1682" s="14" t="str">
        <f>IF(ISBLANK(LCI_Table[[#This Row],[Notes for user]])," ",LCI_Table[[#This Row],[Notes for user]])</f>
        <v xml:space="preserve"> </v>
      </c>
      <c r="AA1682" s="14"/>
      <c r="AB1682" s="14"/>
      <c r="AC1682" s="346">
        <f ca="1">LCI_Table[[#This Row],[Default Calculated Value]]-LCI_Table[[#This Row],[Calculated Value]]</f>
        <v>0</v>
      </c>
    </row>
    <row r="1683" spans="1:29" x14ac:dyDescent="0.3">
      <c r="A16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residueATJ-ethanolICAOConsensusIntegrated_Cellulosic_ETJ_Corn_steep_liquorCorn steep liquor</v>
      </c>
      <c r="B1683" s="14" t="s">
        <v>316</v>
      </c>
      <c r="C1683" s="14" t="s">
        <v>1964</v>
      </c>
      <c r="D1683" s="14" t="s">
        <v>194</v>
      </c>
      <c r="E1683" s="48" t="s">
        <v>1399</v>
      </c>
      <c r="F1683" s="48" t="s">
        <v>1398</v>
      </c>
      <c r="G1683" s="14" t="b">
        <f>OR(LCI_Table[[#This Row],[Feedstock]]="All",LCI_Table[[#This Row],[Feedstock]]=SelectedFeedstock)</f>
        <v>0</v>
      </c>
      <c r="H1683" s="14" t="b">
        <f>OR(LCI_Table[[#This Row],[Conversion]]="All",LCI_Table[[#This Row],[Conversion]]=SelectedConversion)</f>
        <v>0</v>
      </c>
      <c r="I1683" s="14" t="b">
        <f>OR(LCI_Table[[#This Row],[Data Set]]="all",LCI_Table[[#This Row],[Data Set]]=SelectedDataSet)</f>
        <v>0</v>
      </c>
      <c r="J1683" s="14" t="b">
        <f>OR(LCI_Table[[#This Row],[Technology]]="All",LCI_Table[[#This Row],[Technology]]=SelectedTechnology)</f>
        <v>0</v>
      </c>
      <c r="K1683" s="14" t="b">
        <f>OR(LCI_Table[[#This Row],[Data Source]]="All",LCI_Table[[#This Row],[Data Source]]=SelectedDataSource)</f>
        <v>0</v>
      </c>
      <c r="L1683" s="14" t="b">
        <f>TRUE</f>
        <v>1</v>
      </c>
      <c r="M1683" s="14" t="b">
        <f>(LCI_Table[[#This Row],[Dev Notes]]="Do not display")</f>
        <v>0</v>
      </c>
      <c r="N1683" s="14" t="b">
        <f>AND(LCI_Table[[#This Row],[Show Feedstock]:[Conditional]],NOT(LCI_Table[[#This Row],[Hide Row]]))</f>
        <v>0</v>
      </c>
      <c r="O1683" s="14" t="b">
        <f>LCI_Table[[#This Row],[GREET1 Name Range]]=""</f>
        <v>0</v>
      </c>
      <c r="P1683" s="14" t="s">
        <v>1448</v>
      </c>
      <c r="Q1683" s="14" t="s">
        <v>559</v>
      </c>
      <c r="R1683" s="14" t="s">
        <v>386</v>
      </c>
      <c r="S1683" s="37" cm="1">
        <f t="array" aca="1" ref="S16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4.0080429076209025</v>
      </c>
      <c r="T1683" s="346" t="s">
        <v>2119</v>
      </c>
      <c r="U1683" s="357">
        <f t="shared" ref="U1683" ca="1" si="40">S1683*lb2kg/mmBTU2MJ</f>
        <v>1.7231482878650041E-3</v>
      </c>
      <c r="V1683" s="347">
        <v>4.0080429076209025</v>
      </c>
      <c r="W1683" s="357">
        <v>1.7231482878650041E-3</v>
      </c>
      <c r="X1683" s="14" t="s">
        <v>12</v>
      </c>
      <c r="Y1683" s="346" t="s">
        <v>416</v>
      </c>
      <c r="Z1683" s="14" t="str">
        <f>IF(ISBLANK(LCI_Table[[#This Row],[Notes for user]])," ",LCI_Table[[#This Row],[Notes for user]])</f>
        <v xml:space="preserve"> </v>
      </c>
      <c r="AA1683" s="14"/>
      <c r="AB1683" s="14"/>
      <c r="AC1683" s="346">
        <f ca="1">LCI_Table[[#This Row],[Default Calculated Value]]-LCI_Table[[#This Row],[Calculated Value]]</f>
        <v>0</v>
      </c>
    </row>
    <row r="1684" spans="1:29" x14ac:dyDescent="0.3">
      <c r="A16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residueATJ-ethanolICAOConsensusIntegrated_Cellulosic_ETJ_DAPDAP</v>
      </c>
      <c r="B1684" s="14" t="s">
        <v>316</v>
      </c>
      <c r="C1684" s="14" t="s">
        <v>1964</v>
      </c>
      <c r="D1684" s="14" t="s">
        <v>194</v>
      </c>
      <c r="E1684" s="48" t="s">
        <v>1399</v>
      </c>
      <c r="F1684" s="48" t="s">
        <v>1398</v>
      </c>
      <c r="G1684" s="14" t="b">
        <f>OR(LCI_Table[[#This Row],[Feedstock]]="All",LCI_Table[[#This Row],[Feedstock]]=SelectedFeedstock)</f>
        <v>0</v>
      </c>
      <c r="H1684" s="14" t="b">
        <f>OR(LCI_Table[[#This Row],[Conversion]]="All",LCI_Table[[#This Row],[Conversion]]=SelectedConversion)</f>
        <v>0</v>
      </c>
      <c r="I1684" s="14" t="b">
        <f>OR(LCI_Table[[#This Row],[Data Set]]="all",LCI_Table[[#This Row],[Data Set]]=SelectedDataSet)</f>
        <v>0</v>
      </c>
      <c r="J1684" s="14" t="b">
        <f>OR(LCI_Table[[#This Row],[Technology]]="All",LCI_Table[[#This Row],[Technology]]=SelectedTechnology)</f>
        <v>0</v>
      </c>
      <c r="K1684" s="14" t="b">
        <f>OR(LCI_Table[[#This Row],[Data Source]]="All",LCI_Table[[#This Row],[Data Source]]=SelectedDataSource)</f>
        <v>0</v>
      </c>
      <c r="L1684" s="14" t="b">
        <f>TRUE</f>
        <v>1</v>
      </c>
      <c r="M1684" s="14" t="b">
        <f>(LCI_Table[[#This Row],[Dev Notes]]="Do not display")</f>
        <v>0</v>
      </c>
      <c r="N1684" s="14" t="b">
        <f>AND(LCI_Table[[#This Row],[Show Feedstock]:[Conditional]],NOT(LCI_Table[[#This Row],[Hide Row]]))</f>
        <v>0</v>
      </c>
      <c r="O1684" s="14" t="b">
        <f>LCI_Table[[#This Row],[GREET1 Name Range]]=""</f>
        <v>0</v>
      </c>
      <c r="P1684" s="14" t="s">
        <v>1448</v>
      </c>
      <c r="Q1684" s="14" t="s">
        <v>560</v>
      </c>
      <c r="R1684" s="14" t="s">
        <v>383</v>
      </c>
      <c r="S1684" s="37" cm="1">
        <f t="array" aca="1" ref="S16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0.42189925343377932</v>
      </c>
      <c r="T1684" s="346" t="s">
        <v>2119</v>
      </c>
      <c r="U1684" s="357">
        <f t="shared" ref="U1684" ca="1" si="41">S1684*lb2kg/mmBTU2MJ</f>
        <v>1.813840303015794E-4</v>
      </c>
      <c r="V1684" s="347">
        <v>0.42189925343377932</v>
      </c>
      <c r="W1684" s="357">
        <v>1.813840303015794E-4</v>
      </c>
      <c r="X1684" s="14" t="s">
        <v>12</v>
      </c>
      <c r="Y1684" s="346" t="s">
        <v>416</v>
      </c>
      <c r="Z1684" s="14" t="str">
        <f>IF(ISBLANK(LCI_Table[[#This Row],[Notes for user]])," ",LCI_Table[[#This Row],[Notes for user]])</f>
        <v xml:space="preserve"> </v>
      </c>
      <c r="AA1684" s="14"/>
      <c r="AB1684" s="14"/>
      <c r="AC1684" s="346">
        <f ca="1">LCI_Table[[#This Row],[Default Calculated Value]]-LCI_Table[[#This Row],[Calculated Value]]</f>
        <v>0</v>
      </c>
    </row>
    <row r="1685" spans="1:29" x14ac:dyDescent="0.3">
      <c r="A16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residueATJ-ethanolICAOConsensusIntegrated_Cellulosic_ETJ_NaOHNaOH</v>
      </c>
      <c r="B1685" s="14" t="s">
        <v>316</v>
      </c>
      <c r="C1685" s="14" t="s">
        <v>1964</v>
      </c>
      <c r="D1685" s="14" t="s">
        <v>194</v>
      </c>
      <c r="E1685" s="48" t="s">
        <v>1399</v>
      </c>
      <c r="F1685" s="48" t="s">
        <v>1398</v>
      </c>
      <c r="G1685" s="14" t="b">
        <f>OR(LCI_Table[[#This Row],[Feedstock]]="All",LCI_Table[[#This Row],[Feedstock]]=SelectedFeedstock)</f>
        <v>0</v>
      </c>
      <c r="H1685" s="14" t="b">
        <f>OR(LCI_Table[[#This Row],[Conversion]]="All",LCI_Table[[#This Row],[Conversion]]=SelectedConversion)</f>
        <v>0</v>
      </c>
      <c r="I1685" s="14" t="b">
        <f>OR(LCI_Table[[#This Row],[Data Set]]="all",LCI_Table[[#This Row],[Data Set]]=SelectedDataSet)</f>
        <v>0</v>
      </c>
      <c r="J1685" s="14" t="b">
        <f>OR(LCI_Table[[#This Row],[Technology]]="All",LCI_Table[[#This Row],[Technology]]=SelectedTechnology)</f>
        <v>0</v>
      </c>
      <c r="K1685" s="14" t="b">
        <f>OR(LCI_Table[[#This Row],[Data Source]]="All",LCI_Table[[#This Row],[Data Source]]=SelectedDataSource)</f>
        <v>0</v>
      </c>
      <c r="L1685" s="14" t="b">
        <f>TRUE</f>
        <v>1</v>
      </c>
      <c r="M1685" s="14" t="b">
        <f>(LCI_Table[[#This Row],[Dev Notes]]="Do not display")</f>
        <v>0</v>
      </c>
      <c r="N1685" s="14" t="b">
        <f>AND(LCI_Table[[#This Row],[Show Feedstock]:[Conditional]],NOT(LCI_Table[[#This Row],[Hide Row]]))</f>
        <v>0</v>
      </c>
      <c r="O1685" s="14" t="b">
        <f>LCI_Table[[#This Row],[GREET1 Name Range]]=""</f>
        <v>0</v>
      </c>
      <c r="P1685" s="14" t="s">
        <v>1448</v>
      </c>
      <c r="Q1685" s="14" t="s">
        <v>1401</v>
      </c>
      <c r="R1685" s="14" t="s">
        <v>403</v>
      </c>
      <c r="S1685" s="37" cm="1">
        <f t="array" aca="1" ref="S16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3.5861436541871234</v>
      </c>
      <c r="T1685" s="346" t="s">
        <v>2119</v>
      </c>
      <c r="U1685" s="357">
        <f t="shared" ref="U1685" ca="1" si="42">S1685*lb2kg/mmBTU2MJ</f>
        <v>1.5417642575634245E-3</v>
      </c>
      <c r="V1685" s="347">
        <v>3.5861436541871234</v>
      </c>
      <c r="W1685" s="357">
        <v>1.5417642575634245E-3</v>
      </c>
      <c r="X1685" s="14" t="s">
        <v>12</v>
      </c>
      <c r="Y1685" s="346" t="s">
        <v>416</v>
      </c>
      <c r="Z1685" s="14" t="str">
        <f>IF(ISBLANK(LCI_Table[[#This Row],[Notes for user]])," ",LCI_Table[[#This Row],[Notes for user]])</f>
        <v xml:space="preserve"> </v>
      </c>
      <c r="AA1685" s="14"/>
      <c r="AB1685" s="14"/>
      <c r="AC1685" s="346">
        <f ca="1">LCI_Table[[#This Row],[Default Calculated Value]]-LCI_Table[[#This Row],[Calculated Value]]</f>
        <v>0</v>
      </c>
    </row>
    <row r="1686" spans="1:29" x14ac:dyDescent="0.3">
      <c r="A16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residueATJ-ethanolICAOConsensusIntegrated_Cellulosic_ETJ_LimeQuicklime (CaO)</v>
      </c>
      <c r="B1686" s="14" t="s">
        <v>316</v>
      </c>
      <c r="C1686" s="14" t="s">
        <v>1964</v>
      </c>
      <c r="D1686" s="14" t="s">
        <v>194</v>
      </c>
      <c r="E1686" s="48" t="s">
        <v>1399</v>
      </c>
      <c r="F1686" s="48" t="s">
        <v>1398</v>
      </c>
      <c r="G1686" s="14" t="b">
        <f>OR(LCI_Table[[#This Row],[Feedstock]]="All",LCI_Table[[#This Row],[Feedstock]]=SelectedFeedstock)</f>
        <v>0</v>
      </c>
      <c r="H1686" s="14" t="b">
        <f>OR(LCI_Table[[#This Row],[Conversion]]="All",LCI_Table[[#This Row],[Conversion]]=SelectedConversion)</f>
        <v>0</v>
      </c>
      <c r="I1686" s="14" t="b">
        <f>OR(LCI_Table[[#This Row],[Data Set]]="all",LCI_Table[[#This Row],[Data Set]]=SelectedDataSet)</f>
        <v>0</v>
      </c>
      <c r="J1686" s="14" t="b">
        <f>OR(LCI_Table[[#This Row],[Technology]]="All",LCI_Table[[#This Row],[Technology]]=SelectedTechnology)</f>
        <v>0</v>
      </c>
      <c r="K1686" s="14" t="b">
        <f>OR(LCI_Table[[#This Row],[Data Source]]="All",LCI_Table[[#This Row],[Data Source]]=SelectedDataSource)</f>
        <v>0</v>
      </c>
      <c r="L1686" s="14" t="b">
        <f>TRUE</f>
        <v>1</v>
      </c>
      <c r="M1686" s="14" t="b">
        <f>(LCI_Table[[#This Row],[Dev Notes]]="Do not display")</f>
        <v>0</v>
      </c>
      <c r="N1686" s="14" t="b">
        <f>AND(LCI_Table[[#This Row],[Show Feedstock]:[Conditional]],NOT(LCI_Table[[#This Row],[Hide Row]]))</f>
        <v>0</v>
      </c>
      <c r="O1686" s="14" t="b">
        <f>LCI_Table[[#This Row],[GREET1 Name Range]]=""</f>
        <v>0</v>
      </c>
      <c r="P1686" s="14" t="s">
        <v>1448</v>
      </c>
      <c r="Q1686" s="14" t="s">
        <v>566</v>
      </c>
      <c r="R1686" s="14" t="s">
        <v>404</v>
      </c>
      <c r="S1686" s="37" cm="1">
        <f t="array" aca="1" ref="S16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2.3204458938857866</v>
      </c>
      <c r="T1686" s="346" t="s">
        <v>2119</v>
      </c>
      <c r="U1686" s="357">
        <f t="shared" ref="U1686" ca="1" si="43">S1686*lb2kg/mmBTU2MJ</f>
        <v>9.97612166658687E-4</v>
      </c>
      <c r="V1686" s="347">
        <v>2.3204458938857866</v>
      </c>
      <c r="W1686" s="357">
        <v>9.97612166658687E-4</v>
      </c>
      <c r="X1686" s="14" t="s">
        <v>12</v>
      </c>
      <c r="Y1686" s="346" t="s">
        <v>416</v>
      </c>
      <c r="Z1686" s="14" t="str">
        <f>IF(ISBLANK(LCI_Table[[#This Row],[Notes for user]])," ",LCI_Table[[#This Row],[Notes for user]])</f>
        <v xml:space="preserve"> </v>
      </c>
      <c r="AA1686" s="14"/>
      <c r="AB1686" s="14"/>
      <c r="AC1686" s="346">
        <f ca="1">LCI_Table[[#This Row],[Default Calculated Value]]-LCI_Table[[#This Row],[Calculated Value]]</f>
        <v>0</v>
      </c>
    </row>
    <row r="1687" spans="1:29" x14ac:dyDescent="0.3">
      <c r="A16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residueATJ-ethanolICAOConsensusIntegrated_Cellulosic_ETJ_UreaUrea</v>
      </c>
      <c r="B1687" s="14" t="s">
        <v>316</v>
      </c>
      <c r="C1687" s="14" t="s">
        <v>1964</v>
      </c>
      <c r="D1687" s="14" t="s">
        <v>194</v>
      </c>
      <c r="E1687" s="48" t="s">
        <v>1399</v>
      </c>
      <c r="F1687" s="48" t="s">
        <v>1398</v>
      </c>
      <c r="G1687" s="14" t="b">
        <f>OR(LCI_Table[[#This Row],[Feedstock]]="All",LCI_Table[[#This Row],[Feedstock]]=SelectedFeedstock)</f>
        <v>0</v>
      </c>
      <c r="H1687" s="14" t="b">
        <f>OR(LCI_Table[[#This Row],[Conversion]]="All",LCI_Table[[#This Row],[Conversion]]=SelectedConversion)</f>
        <v>0</v>
      </c>
      <c r="I1687" s="14" t="b">
        <f>OR(LCI_Table[[#This Row],[Data Set]]="all",LCI_Table[[#This Row],[Data Set]]=SelectedDataSet)</f>
        <v>0</v>
      </c>
      <c r="J1687" s="14" t="b">
        <f>OR(LCI_Table[[#This Row],[Technology]]="All",LCI_Table[[#This Row],[Technology]]=SelectedTechnology)</f>
        <v>0</v>
      </c>
      <c r="K1687" s="14" t="b">
        <f>OR(LCI_Table[[#This Row],[Data Source]]="All",LCI_Table[[#This Row],[Data Source]]=SelectedDataSource)</f>
        <v>0</v>
      </c>
      <c r="L1687" s="14" t="b">
        <f>TRUE</f>
        <v>1</v>
      </c>
      <c r="M1687" s="14" t="b">
        <f>(LCI_Table[[#This Row],[Dev Notes]]="Do not display")</f>
        <v>0</v>
      </c>
      <c r="N1687" s="14" t="b">
        <f>AND(LCI_Table[[#This Row],[Show Feedstock]:[Conditional]],NOT(LCI_Table[[#This Row],[Hide Row]]))</f>
        <v>0</v>
      </c>
      <c r="O1687" s="14" t="b">
        <f>LCI_Table[[#This Row],[GREET1 Name Range]]=""</f>
        <v>0</v>
      </c>
      <c r="P1687" s="14" t="s">
        <v>1448</v>
      </c>
      <c r="Q1687" s="14" t="s">
        <v>568</v>
      </c>
      <c r="R1687" s="14" t="s">
        <v>144</v>
      </c>
      <c r="S1687" s="37" cm="1">
        <f t="array" aca="1" ref="S16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0.63284888015066865</v>
      </c>
      <c r="T1687" s="346" t="s">
        <v>2119</v>
      </c>
      <c r="U1687" s="357">
        <f t="shared" ref="U1687" ca="1" si="44">S1687*lb2kg/mmBTU2MJ</f>
        <v>2.7207604545236898E-4</v>
      </c>
      <c r="V1687" s="347">
        <v>0.63284888015066865</v>
      </c>
      <c r="W1687" s="357">
        <v>2.7207604545236898E-4</v>
      </c>
      <c r="X1687" s="14" t="s">
        <v>12</v>
      </c>
      <c r="Y1687" s="346" t="s">
        <v>416</v>
      </c>
      <c r="Z1687" s="14" t="str">
        <f>IF(ISBLANK(LCI_Table[[#This Row],[Notes for user]])," ",LCI_Table[[#This Row],[Notes for user]])</f>
        <v xml:space="preserve"> </v>
      </c>
      <c r="AA1687" s="14"/>
      <c r="AB1687" s="14"/>
      <c r="AC1687" s="346">
        <f ca="1">LCI_Table[[#This Row],[Default Calculated Value]]-LCI_Table[[#This Row],[Calculated Value]]</f>
        <v>0</v>
      </c>
    </row>
    <row r="1688" spans="1:29" x14ac:dyDescent="0.3">
      <c r="A16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residueATJ-ethanolICAOConsensusIntegrated_Cellulosic_ETJ_Host_nutrientsHost nutrients</v>
      </c>
      <c r="B1688" s="14" t="s">
        <v>316</v>
      </c>
      <c r="C1688" s="14" t="s">
        <v>1964</v>
      </c>
      <c r="D1688" s="14" t="s">
        <v>194</v>
      </c>
      <c r="E1688" s="48" t="s">
        <v>1399</v>
      </c>
      <c r="F1688" s="48" t="s">
        <v>1398</v>
      </c>
      <c r="G1688" s="14" t="b">
        <f>OR(LCI_Table[[#This Row],[Feedstock]]="All",LCI_Table[[#This Row],[Feedstock]]=SelectedFeedstock)</f>
        <v>0</v>
      </c>
      <c r="H1688" s="14" t="b">
        <f>OR(LCI_Table[[#This Row],[Conversion]]="All",LCI_Table[[#This Row],[Conversion]]=SelectedConversion)</f>
        <v>0</v>
      </c>
      <c r="I1688" s="14" t="b">
        <f>OR(LCI_Table[[#This Row],[Data Set]]="all",LCI_Table[[#This Row],[Data Set]]=SelectedDataSet)</f>
        <v>0</v>
      </c>
      <c r="J1688" s="14" t="b">
        <f>OR(LCI_Table[[#This Row],[Technology]]="All",LCI_Table[[#This Row],[Technology]]=SelectedTechnology)</f>
        <v>0</v>
      </c>
      <c r="K1688" s="14" t="b">
        <f>OR(LCI_Table[[#This Row],[Data Source]]="All",LCI_Table[[#This Row],[Data Source]]=SelectedDataSource)</f>
        <v>0</v>
      </c>
      <c r="L1688" s="14" t="b">
        <f>TRUE</f>
        <v>1</v>
      </c>
      <c r="M1688" s="14" t="b">
        <f>(LCI_Table[[#This Row],[Dev Notes]]="Do not display")</f>
        <v>0</v>
      </c>
      <c r="N1688" s="14" t="b">
        <f>AND(LCI_Table[[#This Row],[Show Feedstock]:[Conditional]],NOT(LCI_Table[[#This Row],[Hide Row]]))</f>
        <v>0</v>
      </c>
      <c r="O1688" s="14" t="b">
        <f>LCI_Table[[#This Row],[GREET1 Name Range]]=""</f>
        <v>0</v>
      </c>
      <c r="P1688" s="14" t="s">
        <v>1448</v>
      </c>
      <c r="Q1688" s="14" t="s">
        <v>564</v>
      </c>
      <c r="R1688" s="14" t="s">
        <v>388</v>
      </c>
      <c r="S1688" s="37" cm="1">
        <f t="array" aca="1" ref="S16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88" s="346" t="s">
        <v>2119</v>
      </c>
      <c r="U1688" s="357">
        <f t="shared" ref="U1688" ca="1" si="45">S1688*lb2kg/mmBTU2MJ</f>
        <v>0</v>
      </c>
      <c r="V1688" s="347">
        <v>0</v>
      </c>
      <c r="W1688" s="357">
        <v>0</v>
      </c>
      <c r="X1688" s="14" t="s">
        <v>12</v>
      </c>
      <c r="Y1688" s="346" t="s">
        <v>416</v>
      </c>
      <c r="Z1688" s="14" t="str">
        <f>IF(ISBLANK(LCI_Table[[#This Row],[Notes for user]])," ",LCI_Table[[#This Row],[Notes for user]])</f>
        <v xml:space="preserve"> </v>
      </c>
      <c r="AA1688" s="14"/>
      <c r="AB1688" s="14"/>
      <c r="AC1688" s="346">
        <f ca="1">LCI_Table[[#This Row],[Default Calculated Value]]-LCI_Table[[#This Row],[Calculated Value]]</f>
        <v>0</v>
      </c>
    </row>
    <row r="1689" spans="1:29" x14ac:dyDescent="0.3">
      <c r="A16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residueATJ-ethanolICAOConsensusIntegrated_Cellulosic_ETJ_DieselDiesel</v>
      </c>
      <c r="B1689" s="14" t="s">
        <v>316</v>
      </c>
      <c r="C1689" s="14" t="s">
        <v>1964</v>
      </c>
      <c r="D1689" s="14" t="s">
        <v>194</v>
      </c>
      <c r="E1689" s="48" t="s">
        <v>1399</v>
      </c>
      <c r="F1689" s="48" t="s">
        <v>1398</v>
      </c>
      <c r="G1689" s="14" t="b">
        <f>OR(LCI_Table[[#This Row],[Feedstock]]="All",LCI_Table[[#This Row],[Feedstock]]=SelectedFeedstock)</f>
        <v>0</v>
      </c>
      <c r="H1689" s="14" t="b">
        <f>OR(LCI_Table[[#This Row],[Conversion]]="All",LCI_Table[[#This Row],[Conversion]]=SelectedConversion)</f>
        <v>0</v>
      </c>
      <c r="I1689" s="14" t="b">
        <f>OR(LCI_Table[[#This Row],[Data Set]]="all",LCI_Table[[#This Row],[Data Set]]=SelectedDataSet)</f>
        <v>0</v>
      </c>
      <c r="J1689" s="14" t="b">
        <f>OR(LCI_Table[[#This Row],[Technology]]="All",LCI_Table[[#This Row],[Technology]]=SelectedTechnology)</f>
        <v>0</v>
      </c>
      <c r="K1689" s="14" t="b">
        <f>OR(LCI_Table[[#This Row],[Data Source]]="All",LCI_Table[[#This Row],[Data Source]]=SelectedDataSource)</f>
        <v>0</v>
      </c>
      <c r="L1689" s="14" t="b">
        <f>TRUE</f>
        <v>1</v>
      </c>
      <c r="M1689" s="14" t="b">
        <f>(LCI_Table[[#This Row],[Dev Notes]]="Do not display")</f>
        <v>0</v>
      </c>
      <c r="N1689" s="14" t="b">
        <f>AND(LCI_Table[[#This Row],[Show Feedstock]:[Conditional]],NOT(LCI_Table[[#This Row],[Hide Row]]))</f>
        <v>0</v>
      </c>
      <c r="O1689" s="14" t="b">
        <f>LCI_Table[[#This Row],[GREET1 Name Range]]=""</f>
        <v>0</v>
      </c>
      <c r="P1689" s="14" t="s">
        <v>1448</v>
      </c>
      <c r="Q1689" s="14" t="s">
        <v>945</v>
      </c>
      <c r="R1689" s="14" t="s">
        <v>106</v>
      </c>
      <c r="S1689" s="37" cm="1">
        <f t="array" aca="1" ref="S16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1.9170219882736358E-2</v>
      </c>
      <c r="T1689" s="346" t="s">
        <v>2128</v>
      </c>
      <c r="U1689" s="357">
        <f ca="1">S1689*Fuel_Specs!$B$19*BTU2MJ/mmBTU2MJ</f>
        <v>2.462414743937485E-3</v>
      </c>
      <c r="V1689" s="347">
        <v>1.9170219882736358E-2</v>
      </c>
      <c r="W1689" s="357">
        <v>2.462414743937485E-3</v>
      </c>
      <c r="X1689" s="14" t="s">
        <v>5</v>
      </c>
      <c r="Y1689" s="346" t="s">
        <v>416</v>
      </c>
      <c r="Z1689" s="14" t="str">
        <f>IF(ISBLANK(LCI_Table[[#This Row],[Notes for user]])," ",LCI_Table[[#This Row],[Notes for user]])</f>
        <v xml:space="preserve"> </v>
      </c>
      <c r="AA1689" s="14"/>
      <c r="AB1689" s="14"/>
      <c r="AC1689" s="346">
        <f ca="1">LCI_Table[[#This Row],[Default Calculated Value]]-LCI_Table[[#This Row],[Calculated Value]]</f>
        <v>0</v>
      </c>
    </row>
    <row r="1690" spans="1:29" x14ac:dyDescent="0.3">
      <c r="A16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residueATJ-ethanolICAOConsensusIntegrated_Cellulosic_ETJ_HydrogenHydrogen</v>
      </c>
      <c r="B1690" s="358" t="s">
        <v>316</v>
      </c>
      <c r="C1690" s="358" t="s">
        <v>1964</v>
      </c>
      <c r="D1690" s="358" t="s">
        <v>194</v>
      </c>
      <c r="E1690" s="48" t="s">
        <v>1399</v>
      </c>
      <c r="F1690" s="48" t="s">
        <v>1398</v>
      </c>
      <c r="G1690" s="14" t="b">
        <f>OR(LCI_Table[[#This Row],[Feedstock]]="All",LCI_Table[[#This Row],[Feedstock]]=SelectedFeedstock)</f>
        <v>0</v>
      </c>
      <c r="H1690" s="14" t="b">
        <f>OR(LCI_Table[[#This Row],[Conversion]]="All",LCI_Table[[#This Row],[Conversion]]=SelectedConversion)</f>
        <v>0</v>
      </c>
      <c r="I1690" s="14" t="b">
        <f>OR(LCI_Table[[#This Row],[Data Set]]="all",LCI_Table[[#This Row],[Data Set]]=SelectedDataSet)</f>
        <v>0</v>
      </c>
      <c r="J1690" s="14" t="b">
        <f>OR(LCI_Table[[#This Row],[Technology]]="All",LCI_Table[[#This Row],[Technology]]=SelectedTechnology)</f>
        <v>0</v>
      </c>
      <c r="K1690" s="14" t="b">
        <f>OR(LCI_Table[[#This Row],[Data Source]]="All",LCI_Table[[#This Row],[Data Source]]=SelectedDataSource)</f>
        <v>0</v>
      </c>
      <c r="L1690" s="14" t="b">
        <f>TRUE</f>
        <v>1</v>
      </c>
      <c r="M1690" s="14" t="b">
        <f>(LCI_Table[[#This Row],[Dev Notes]]="Do not display")</f>
        <v>0</v>
      </c>
      <c r="N1690" s="14" t="b">
        <f>AND(LCI_Table[[#This Row],[Show Feedstock]:[Conditional]],NOT(LCI_Table[[#This Row],[Hide Row]]))</f>
        <v>0</v>
      </c>
      <c r="O1690" s="14" t="b">
        <f>LCI_Table[[#This Row],[GREET1 Name Range]]=""</f>
        <v>0</v>
      </c>
      <c r="P1690" s="358" t="s">
        <v>1448</v>
      </c>
      <c r="Q1690" s="14" t="s">
        <v>565</v>
      </c>
      <c r="R1690" s="358" t="s">
        <v>73</v>
      </c>
      <c r="S1690" s="37" cm="1">
        <f t="array" aca="1" ref="S16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234.03477422694456</v>
      </c>
      <c r="T1690" s="346" t="s">
        <v>2120</v>
      </c>
      <c r="U1690" s="362">
        <f ca="1">S1690*Fuel_Specs!$E$81*g2kg/mmBTU2MJ</f>
        <v>5.656465240951071E-4</v>
      </c>
      <c r="V1690" s="359">
        <v>234.03477422694456</v>
      </c>
      <c r="W1690" s="362">
        <v>5.656465240951071E-4</v>
      </c>
      <c r="X1690" s="360" t="s">
        <v>351</v>
      </c>
      <c r="Y1690" s="346" t="s">
        <v>416</v>
      </c>
      <c r="Z1690" s="14" t="str">
        <f>IF(ISBLANK(LCI_Table[[#This Row],[Notes for user]])," ",LCI_Table[[#This Row],[Notes for user]])</f>
        <v xml:space="preserve"> </v>
      </c>
      <c r="AA1690" s="358"/>
      <c r="AB1690" s="358"/>
      <c r="AC1690" s="346">
        <f ca="1">LCI_Table[[#This Row],[Default Calculated Value]]-LCI_Table[[#This Row],[Calculated Value]]</f>
        <v>0</v>
      </c>
    </row>
    <row r="1691" spans="1:29" x14ac:dyDescent="0.3">
      <c r="A16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residueATJ-ethanolICAOConsensusIntegrated_Cellulosic_ETJ_Natural_gasNatural gas</v>
      </c>
      <c r="B1691" s="14" t="s">
        <v>316</v>
      </c>
      <c r="C1691" s="14" t="s">
        <v>1964</v>
      </c>
      <c r="D1691" s="14" t="s">
        <v>194</v>
      </c>
      <c r="E1691" s="48" t="s">
        <v>1399</v>
      </c>
      <c r="F1691" s="48" t="s">
        <v>1398</v>
      </c>
      <c r="G1691" s="14" t="b">
        <f>OR(LCI_Table[[#This Row],[Feedstock]]="All",LCI_Table[[#This Row],[Feedstock]]=SelectedFeedstock)</f>
        <v>0</v>
      </c>
      <c r="H1691" s="14" t="b">
        <f>OR(LCI_Table[[#This Row],[Conversion]]="All",LCI_Table[[#This Row],[Conversion]]=SelectedConversion)</f>
        <v>0</v>
      </c>
      <c r="I1691" s="14" t="b">
        <f>OR(LCI_Table[[#This Row],[Data Set]]="all",LCI_Table[[#This Row],[Data Set]]=SelectedDataSet)</f>
        <v>0</v>
      </c>
      <c r="J1691" s="14" t="b">
        <f>OR(LCI_Table[[#This Row],[Technology]]="All",LCI_Table[[#This Row],[Technology]]=SelectedTechnology)</f>
        <v>0</v>
      </c>
      <c r="K1691" s="14" t="b">
        <f>OR(LCI_Table[[#This Row],[Data Source]]="All",LCI_Table[[#This Row],[Data Source]]=SelectedDataSource)</f>
        <v>0</v>
      </c>
      <c r="L1691" s="14" t="b">
        <f>TRUE</f>
        <v>1</v>
      </c>
      <c r="M1691" s="14" t="b">
        <f>(LCI_Table[[#This Row],[Dev Notes]]="Do not display")</f>
        <v>0</v>
      </c>
      <c r="N1691" s="14" t="b">
        <f>AND(LCI_Table[[#This Row],[Show Feedstock]:[Conditional]],NOT(LCI_Table[[#This Row],[Hide Row]]))</f>
        <v>0</v>
      </c>
      <c r="O1691" s="14" t="b">
        <f>LCI_Table[[#This Row],[GREET1 Name Range]]=""</f>
        <v>0</v>
      </c>
      <c r="P1691" s="14" t="s">
        <v>1448</v>
      </c>
      <c r="Q1691" s="14" t="s">
        <v>946</v>
      </c>
      <c r="R1691" s="14" t="s">
        <v>108</v>
      </c>
      <c r="S1691" s="37" cm="1">
        <f t="array" aca="1" ref="S16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45.289928789420152</v>
      </c>
      <c r="T1691" s="346" t="s">
        <v>2120</v>
      </c>
      <c r="U1691" s="347">
        <f ca="1">S1691*Fuel_Specs!$E$79*g2kg/mmBTU2MJ</f>
        <v>9.443845398016071E-4</v>
      </c>
      <c r="V1691" s="347">
        <v>45.289928789420152</v>
      </c>
      <c r="W1691" s="357">
        <v>9.443845398016071E-4</v>
      </c>
      <c r="X1691" s="14" t="s">
        <v>351</v>
      </c>
      <c r="Y1691" s="346" t="s">
        <v>416</v>
      </c>
      <c r="Z1691" s="14" t="str">
        <f>IF(ISBLANK(LCI_Table[[#This Row],[Notes for user]])," ",LCI_Table[[#This Row],[Notes for user]])</f>
        <v xml:space="preserve"> </v>
      </c>
      <c r="AA1691" s="14"/>
      <c r="AB1691" s="14"/>
      <c r="AC1691" s="346">
        <f ca="1">LCI_Table[[#This Row],[Default Calculated Value]]-LCI_Table[[#This Row],[Calculated Value]]</f>
        <v>0</v>
      </c>
    </row>
    <row r="1692" spans="1:29" x14ac:dyDescent="0.3">
      <c r="A16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residueATJ-ethanolICAOConsensusIntegrated_Cellulosic_ETJ_ElectricityGrid Electricity</v>
      </c>
      <c r="B1692" s="14" t="s">
        <v>316</v>
      </c>
      <c r="C1692" s="14" t="s">
        <v>1964</v>
      </c>
      <c r="D1692" s="14" t="s">
        <v>194</v>
      </c>
      <c r="E1692" s="48" t="s">
        <v>1399</v>
      </c>
      <c r="F1692" s="48" t="s">
        <v>1398</v>
      </c>
      <c r="G1692" s="14" t="b">
        <f>OR(LCI_Table[[#This Row],[Feedstock]]="All",LCI_Table[[#This Row],[Feedstock]]=SelectedFeedstock)</f>
        <v>0</v>
      </c>
      <c r="H1692" s="14" t="b">
        <f>OR(LCI_Table[[#This Row],[Conversion]]="All",LCI_Table[[#This Row],[Conversion]]=SelectedConversion)</f>
        <v>0</v>
      </c>
      <c r="I1692" s="14" t="b">
        <f>OR(LCI_Table[[#This Row],[Data Set]]="all",LCI_Table[[#This Row],[Data Set]]=SelectedDataSet)</f>
        <v>0</v>
      </c>
      <c r="J1692" s="14" t="b">
        <f>OR(LCI_Table[[#This Row],[Technology]]="All",LCI_Table[[#This Row],[Technology]]=SelectedTechnology)</f>
        <v>0</v>
      </c>
      <c r="K1692" s="14" t="b">
        <f>OR(LCI_Table[[#This Row],[Data Source]]="All",LCI_Table[[#This Row],[Data Source]]=SelectedDataSource)</f>
        <v>0</v>
      </c>
      <c r="L1692" s="14" t="b">
        <f>TRUE</f>
        <v>1</v>
      </c>
      <c r="M1692" s="14" t="b">
        <f>(LCI_Table[[#This Row],[Dev Notes]]="Do not display")</f>
        <v>0</v>
      </c>
      <c r="N1692" s="14" t="b">
        <f>AND(LCI_Table[[#This Row],[Show Feedstock]:[Conditional]],NOT(LCI_Table[[#This Row],[Hide Row]]))</f>
        <v>0</v>
      </c>
      <c r="O1692" s="14" t="b">
        <f>LCI_Table[[#This Row],[GREET1 Name Range]]=""</f>
        <v>0</v>
      </c>
      <c r="P1692" s="14" t="s">
        <v>1448</v>
      </c>
      <c r="Q1692" s="14" t="s">
        <v>947</v>
      </c>
      <c r="R1692" s="14" t="s">
        <v>1684</v>
      </c>
      <c r="S1692" s="37" cm="1">
        <f t="array" aca="1" ref="S16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92" s="346" t="s">
        <v>2121</v>
      </c>
      <c r="U1692" s="347">
        <f ca="1">S1692/mmBTU2MJ</f>
        <v>0</v>
      </c>
      <c r="V1692" s="347">
        <v>0</v>
      </c>
      <c r="W1692" s="357">
        <v>0</v>
      </c>
      <c r="X1692" s="37" t="s">
        <v>51</v>
      </c>
      <c r="Y1692" s="346" t="s">
        <v>416</v>
      </c>
      <c r="Z1692" s="14" t="str">
        <f>IF(ISBLANK(LCI_Table[[#This Row],[Notes for user]])," ",LCI_Table[[#This Row],[Notes for user]])</f>
        <v xml:space="preserve"> </v>
      </c>
      <c r="AA1692" s="14"/>
      <c r="AB1692" s="14"/>
      <c r="AC1692" s="346">
        <f ca="1">LCI_Table[[#This Row],[Default Calculated Value]]-LCI_Table[[#This Row],[Calculated Value]]</f>
        <v>0</v>
      </c>
    </row>
    <row r="1693" spans="1:29" x14ac:dyDescent="0.3">
      <c r="A16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residueATJ-ethanolICAOConsensusIntegrated_Cellulosic_ETJ_CatalystsCatalysts</v>
      </c>
      <c r="B1693" s="14" t="s">
        <v>316</v>
      </c>
      <c r="C1693" s="14" t="s">
        <v>1964</v>
      </c>
      <c r="D1693" s="14" t="s">
        <v>194</v>
      </c>
      <c r="E1693" s="48" t="s">
        <v>1399</v>
      </c>
      <c r="F1693" s="48" t="s">
        <v>1398</v>
      </c>
      <c r="G1693" s="14" t="b">
        <f>OR(LCI_Table[[#This Row],[Feedstock]]="All",LCI_Table[[#This Row],[Feedstock]]=SelectedFeedstock)</f>
        <v>0</v>
      </c>
      <c r="H1693" s="14" t="b">
        <f>OR(LCI_Table[[#This Row],[Conversion]]="All",LCI_Table[[#This Row],[Conversion]]=SelectedConversion)</f>
        <v>0</v>
      </c>
      <c r="I1693" s="14" t="b">
        <f>OR(LCI_Table[[#This Row],[Data Set]]="all",LCI_Table[[#This Row],[Data Set]]=SelectedDataSet)</f>
        <v>0</v>
      </c>
      <c r="J1693" s="14" t="b">
        <f>OR(LCI_Table[[#This Row],[Technology]]="All",LCI_Table[[#This Row],[Technology]]=SelectedTechnology)</f>
        <v>0</v>
      </c>
      <c r="K1693" s="14" t="b">
        <f>OR(LCI_Table[[#This Row],[Data Source]]="All",LCI_Table[[#This Row],[Data Source]]=SelectedDataSource)</f>
        <v>0</v>
      </c>
      <c r="L1693" s="14" t="b">
        <f>TRUE</f>
        <v>1</v>
      </c>
      <c r="M1693" s="14" t="b">
        <f>(LCI_Table[[#This Row],[Dev Notes]]="Do not display")</f>
        <v>0</v>
      </c>
      <c r="N1693" s="14" t="b">
        <f>AND(LCI_Table[[#This Row],[Show Feedstock]:[Conditional]],NOT(LCI_Table[[#This Row],[Hide Row]]))</f>
        <v>0</v>
      </c>
      <c r="O1693" s="14" t="b">
        <f>LCI_Table[[#This Row],[GREET1 Name Range]]=""</f>
        <v>0</v>
      </c>
      <c r="P1693" s="14" t="s">
        <v>1448</v>
      </c>
      <c r="Q1693" s="14" t="s">
        <v>558</v>
      </c>
      <c r="R1693" s="14" t="s">
        <v>142</v>
      </c>
      <c r="S1693" s="37" cm="1">
        <f t="array" aca="1" ref="S16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93" s="346" t="s">
        <v>2119</v>
      </c>
      <c r="U1693" s="357">
        <f ca="1">S1693*lb2kg/mmBTU2MJ</f>
        <v>0</v>
      </c>
      <c r="V1693" s="347">
        <v>0</v>
      </c>
      <c r="W1693" s="357">
        <v>0</v>
      </c>
      <c r="X1693" s="37" t="s">
        <v>12</v>
      </c>
      <c r="Y1693" s="346" t="s">
        <v>416</v>
      </c>
      <c r="Z1693" s="14" t="str">
        <f>IF(ISBLANK(LCI_Table[[#This Row],[Notes for user]])," ",LCI_Table[[#This Row],[Notes for user]])</f>
        <v xml:space="preserve"> </v>
      </c>
      <c r="AA1693" s="14"/>
      <c r="AB1693" s="14"/>
      <c r="AC1693" s="346">
        <f ca="1">LCI_Table[[#This Row],[Default Calculated Value]]-LCI_Table[[#This Row],[Calculated Value]]</f>
        <v>0</v>
      </c>
    </row>
    <row r="1694" spans="1:29" x14ac:dyDescent="0.3">
      <c r="A16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residueATJ-ethanolICAOConsensusIntegrated_Cellulosic_ETJ_WaterWater</v>
      </c>
      <c r="B1694" s="14" t="s">
        <v>316</v>
      </c>
      <c r="C1694" s="14" t="s">
        <v>1964</v>
      </c>
      <c r="D1694" s="14" t="s">
        <v>194</v>
      </c>
      <c r="E1694" s="48" t="s">
        <v>1399</v>
      </c>
      <c r="F1694" s="48" t="s">
        <v>1398</v>
      </c>
      <c r="G1694" s="14" t="b">
        <f>OR(LCI_Table[[#This Row],[Feedstock]]="All",LCI_Table[[#This Row],[Feedstock]]=SelectedFeedstock)</f>
        <v>0</v>
      </c>
      <c r="H1694" s="14" t="b">
        <f>OR(LCI_Table[[#This Row],[Conversion]]="All",LCI_Table[[#This Row],[Conversion]]=SelectedConversion)</f>
        <v>0</v>
      </c>
      <c r="I1694" s="14" t="b">
        <f>OR(LCI_Table[[#This Row],[Data Set]]="all",LCI_Table[[#This Row],[Data Set]]=SelectedDataSet)</f>
        <v>0</v>
      </c>
      <c r="J1694" s="14" t="b">
        <f>OR(LCI_Table[[#This Row],[Technology]]="All",LCI_Table[[#This Row],[Technology]]=SelectedTechnology)</f>
        <v>0</v>
      </c>
      <c r="K1694" s="14" t="b">
        <f>OR(LCI_Table[[#This Row],[Data Source]]="All",LCI_Table[[#This Row],[Data Source]]=SelectedDataSource)</f>
        <v>0</v>
      </c>
      <c r="L1694" s="14" t="b">
        <f>TRUE</f>
        <v>1</v>
      </c>
      <c r="M1694" s="14" t="b">
        <f>(LCI_Table[[#This Row],[Dev Notes]]="Do not display")</f>
        <v>0</v>
      </c>
      <c r="N1694" s="14" t="b">
        <f>AND(LCI_Table[[#This Row],[Show Feedstock]:[Conditional]],NOT(LCI_Table[[#This Row],[Hide Row]]))</f>
        <v>0</v>
      </c>
      <c r="O1694" s="14" t="b">
        <f>LCI_Table[[#This Row],[GREET1 Name Range]]=""</f>
        <v>0</v>
      </c>
      <c r="P1694" s="14" t="s">
        <v>1448</v>
      </c>
      <c r="Q1694" s="14" t="s">
        <v>569</v>
      </c>
      <c r="R1694" s="14" t="s">
        <v>146</v>
      </c>
      <c r="S1694" s="37" cm="1">
        <f t="array" aca="1" ref="S16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94" s="346" t="s">
        <v>2128</v>
      </c>
      <c r="U1694" s="347">
        <f ca="1">S1694/mmBTU2MJ</f>
        <v>0</v>
      </c>
      <c r="V1694" s="347">
        <v>0</v>
      </c>
      <c r="W1694" s="357">
        <v>0</v>
      </c>
      <c r="X1694" s="37" t="s">
        <v>5</v>
      </c>
      <c r="Y1694" s="346" t="s">
        <v>416</v>
      </c>
      <c r="Z1694" s="14" t="str">
        <f>IF(ISBLANK(LCI_Table[[#This Row],[Notes for user]])," ",LCI_Table[[#This Row],[Notes for user]])</f>
        <v xml:space="preserve"> </v>
      </c>
      <c r="AA1694" s="14"/>
      <c r="AB1694" s="14"/>
      <c r="AC1694" s="346">
        <f ca="1">LCI_Table[[#This Row],[Default Calculated Value]]-LCI_Table[[#This Row],[Calculated Value]]</f>
        <v>0</v>
      </c>
    </row>
    <row r="1695" spans="1:29" x14ac:dyDescent="0.3">
      <c r="A16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residueATJ-ethanolICAOConsensusIntegrated_Cellulosic_ETJ_Allocation_FactorAllocation factor</v>
      </c>
      <c r="B1695" s="14" t="s">
        <v>316</v>
      </c>
      <c r="C1695" s="14" t="s">
        <v>1964</v>
      </c>
      <c r="D1695" s="14" t="s">
        <v>194</v>
      </c>
      <c r="E1695" s="48" t="s">
        <v>1399</v>
      </c>
      <c r="F1695" s="48" t="s">
        <v>1398</v>
      </c>
      <c r="G1695" s="14" t="b">
        <f>OR(LCI_Table[[#This Row],[Feedstock]]="All",LCI_Table[[#This Row],[Feedstock]]=SelectedFeedstock)</f>
        <v>0</v>
      </c>
      <c r="H1695" s="14" t="b">
        <f>OR(LCI_Table[[#This Row],[Conversion]]="All",LCI_Table[[#This Row],[Conversion]]=SelectedConversion)</f>
        <v>0</v>
      </c>
      <c r="I1695" s="14" t="b">
        <f>OR(LCI_Table[[#This Row],[Data Set]]="all",LCI_Table[[#This Row],[Data Set]]=SelectedDataSet)</f>
        <v>0</v>
      </c>
      <c r="J1695" s="14" t="b">
        <f>OR(LCI_Table[[#This Row],[Technology]]="All",LCI_Table[[#This Row],[Technology]]=SelectedTechnology)</f>
        <v>0</v>
      </c>
      <c r="K1695" s="14" t="b">
        <f>OR(LCI_Table[[#This Row],[Data Source]]="All",LCI_Table[[#This Row],[Data Source]]=SelectedDataSource)</f>
        <v>0</v>
      </c>
      <c r="L1695" s="14" t="b">
        <f>TRUE</f>
        <v>1</v>
      </c>
      <c r="M1695" s="14" t="b">
        <f>(LCI_Table[[#This Row],[Dev Notes]]="Do not display")</f>
        <v>0</v>
      </c>
      <c r="N1695" s="14" t="b">
        <f>AND(LCI_Table[[#This Row],[Show Feedstock]:[Conditional]],NOT(LCI_Table[[#This Row],[Hide Row]]))</f>
        <v>0</v>
      </c>
      <c r="O1695" s="14" t="b">
        <f>LCI_Table[[#This Row],[GREET1 Name Range]]=""</f>
        <v>0</v>
      </c>
      <c r="P1695" s="14" t="s">
        <v>1448</v>
      </c>
      <c r="Q1695" s="14" t="s">
        <v>1122</v>
      </c>
      <c r="R1695" s="14" t="s">
        <v>1344</v>
      </c>
      <c r="S1695" s="37" cm="1">
        <f t="array" aca="1" ref="S16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92</v>
      </c>
      <c r="T1695" s="346" t="s">
        <v>1345</v>
      </c>
      <c r="U1695" s="347">
        <f ca="1">S1695/100</f>
        <v>0.92</v>
      </c>
      <c r="V1695" s="347">
        <v>92</v>
      </c>
      <c r="W1695" s="347">
        <v>0.92</v>
      </c>
      <c r="X1695" s="37" t="s">
        <v>5</v>
      </c>
      <c r="Y1695" s="346" t="s">
        <v>416</v>
      </c>
      <c r="Z1695" s="14" t="str">
        <f>IF(ISBLANK(LCI_Table[[#This Row],[Notes for user]])," ",LCI_Table[[#This Row],[Notes for user]])</f>
        <v xml:space="preserve"> </v>
      </c>
      <c r="AA1695" s="14"/>
      <c r="AB1695" s="14"/>
      <c r="AC1695" s="346">
        <f ca="1">LCI_Table[[#This Row],[Default Calculated Value]]-LCI_Table[[#This Row],[Calculated Value]]</f>
        <v>0</v>
      </c>
    </row>
    <row r="1696" spans="1:29" x14ac:dyDescent="0.3">
      <c r="A16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dash_Forest residueATJ-ethanolICAOConsensusStandalone_Yield_Collection</v>
      </c>
      <c r="B1696" s="48" t="s">
        <v>316</v>
      </c>
      <c r="C1696" s="48" t="s">
        <v>1964</v>
      </c>
      <c r="D1696" s="48" t="s">
        <v>194</v>
      </c>
      <c r="E1696" s="48" t="s">
        <v>1399</v>
      </c>
      <c r="F1696" s="48" t="s">
        <v>137</v>
      </c>
      <c r="G1696" s="14" t="b">
        <f>OR(LCI_Table[[#This Row],[Feedstock]]="All",LCI_Table[[#This Row],[Feedstock]]=SelectedFeedstock)</f>
        <v>0</v>
      </c>
      <c r="H1696" s="14" t="b">
        <f>OR(LCI_Table[[#This Row],[Conversion]]="All",LCI_Table[[#This Row],[Conversion]]=SelectedConversion)</f>
        <v>0</v>
      </c>
      <c r="I1696" s="14" t="b">
        <f>OR(LCI_Table[[#This Row],[Data Set]]="all",LCI_Table[[#This Row],[Data Set]]=SelectedDataSet)</f>
        <v>0</v>
      </c>
      <c r="J1696" s="14" t="b">
        <f>OR(LCI_Table[[#This Row],[Technology]]="All",LCI_Table[[#This Row],[Technology]]=SelectedTechnology)</f>
        <v>0</v>
      </c>
      <c r="K1696" s="14" t="b">
        <f>OR(LCI_Table[[#This Row],[Data Source]]="All",LCI_Table[[#This Row],[Data Source]]=SelectedDataSource)</f>
        <v>0</v>
      </c>
      <c r="L1696" s="14" t="b">
        <f>TRUE</f>
        <v>1</v>
      </c>
      <c r="M1696" s="14" t="b">
        <f>(LCI_Table[[#This Row],[Dev Notes]]="Do not display")</f>
        <v>0</v>
      </c>
      <c r="N1696" s="14" t="b">
        <f>AND(LCI_Table[[#This Row],[Show Feedstock]:[Conditional]],NOT(LCI_Table[[#This Row],[Hide Row]]))</f>
        <v>0</v>
      </c>
      <c r="O1696" s="14" t="b">
        <f>LCI_Table[[#This Row],[GREET1 Name Range]]=""</f>
        <v>1</v>
      </c>
      <c r="P1696" s="48" t="s">
        <v>147</v>
      </c>
      <c r="Q1696" s="14" t="s">
        <v>361</v>
      </c>
      <c r="R1696" s="48" t="s">
        <v>200</v>
      </c>
      <c r="S1696" s="37" cm="1">
        <f t="array" aca="1" ref="S16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0.22304512472924265</v>
      </c>
      <c r="T1696" s="346" t="s">
        <v>2116</v>
      </c>
      <c r="U1696" s="344"/>
      <c r="V1696" s="344">
        <v>0.22304512472924265</v>
      </c>
      <c r="W1696" s="344"/>
      <c r="X1696" s="48" t="s">
        <v>55</v>
      </c>
      <c r="Y1696" s="346" t="s">
        <v>413</v>
      </c>
      <c r="Z1696" s="14" t="str">
        <f>IF(ISBLANK(LCI_Table[[#This Row],[Notes for user]])," ",LCI_Table[[#This Row],[Notes for user]])</f>
        <v xml:space="preserve"> </v>
      </c>
      <c r="AA1696" s="48"/>
      <c r="AB1696" s="345" t="s">
        <v>1143</v>
      </c>
      <c r="AC1696" s="346">
        <f>LCI_Table[[#This Row],[Default Calculated Value]]-LCI_Table[[#This Row],[Calculated Value]]</f>
        <v>0</v>
      </c>
    </row>
    <row r="1697" spans="1:29" x14ac:dyDescent="0.3">
      <c r="A16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residueATJ-ethanolICAOConsensusStandalone_ForestResidue_Collection_Residual_oilResidual oil</v>
      </c>
      <c r="B1697" s="14" t="s">
        <v>316</v>
      </c>
      <c r="C1697" s="14" t="s">
        <v>1964</v>
      </c>
      <c r="D1697" s="14" t="s">
        <v>194</v>
      </c>
      <c r="E1697" s="48" t="s">
        <v>1399</v>
      </c>
      <c r="F1697" s="48" t="s">
        <v>137</v>
      </c>
      <c r="G1697" s="14" t="b">
        <f>OR(LCI_Table[[#This Row],[Feedstock]]="All",LCI_Table[[#This Row],[Feedstock]]=SelectedFeedstock)</f>
        <v>0</v>
      </c>
      <c r="H1697" s="14" t="b">
        <f>OR(LCI_Table[[#This Row],[Conversion]]="All",LCI_Table[[#This Row],[Conversion]]=SelectedConversion)</f>
        <v>0</v>
      </c>
      <c r="I1697" s="14" t="b">
        <f>OR(LCI_Table[[#This Row],[Data Set]]="all",LCI_Table[[#This Row],[Data Set]]=SelectedDataSet)</f>
        <v>0</v>
      </c>
      <c r="J1697" s="14" t="b">
        <f>OR(LCI_Table[[#This Row],[Technology]]="All",LCI_Table[[#This Row],[Technology]]=SelectedTechnology)</f>
        <v>0</v>
      </c>
      <c r="K1697" s="14" t="b">
        <f>OR(LCI_Table[[#This Row],[Data Source]]="All",LCI_Table[[#This Row],[Data Source]]=SelectedDataSource)</f>
        <v>0</v>
      </c>
      <c r="L1697" s="14" t="b">
        <f>TRUE</f>
        <v>1</v>
      </c>
      <c r="M1697" s="14" t="b">
        <f>(LCI_Table[[#This Row],[Dev Notes]]="Do not display")</f>
        <v>0</v>
      </c>
      <c r="N1697" s="14" t="b">
        <f>AND(LCI_Table[[#This Row],[Show Feedstock]:[Conditional]],NOT(LCI_Table[[#This Row],[Hide Row]]))</f>
        <v>0</v>
      </c>
      <c r="O1697" s="14" t="b">
        <f>LCI_Table[[#This Row],[GREET1 Name Range]]=""</f>
        <v>0</v>
      </c>
      <c r="P1697" s="14" t="s">
        <v>147</v>
      </c>
      <c r="Q1697" s="14" t="s">
        <v>651</v>
      </c>
      <c r="R1697" s="14" t="s">
        <v>115</v>
      </c>
      <c r="S1697" s="37" cm="1">
        <f t="array" aca="1" ref="S16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97" s="346" t="s">
        <v>1484</v>
      </c>
      <c r="U1697" s="347">
        <f ca="1">S1697*Fuel_Specs!$B$28/S1696</f>
        <v>0</v>
      </c>
      <c r="V1697" s="347">
        <v>0</v>
      </c>
      <c r="W1697" s="347">
        <v>0</v>
      </c>
      <c r="X1697" s="14" t="s">
        <v>5</v>
      </c>
      <c r="Y1697" s="346" t="s">
        <v>413</v>
      </c>
      <c r="Z1697" s="14" t="str">
        <f>IF(ISBLANK(LCI_Table[[#This Row],[Notes for user]])," ",LCI_Table[[#This Row],[Notes for user]])</f>
        <v xml:space="preserve"> </v>
      </c>
      <c r="AA1697" s="14"/>
      <c r="AB1697" s="14"/>
      <c r="AC1697" s="346">
        <f ca="1">LCI_Table[[#This Row],[Default Calculated Value]]-LCI_Table[[#This Row],[Calculated Value]]</f>
        <v>0</v>
      </c>
    </row>
    <row r="1698" spans="1:29" x14ac:dyDescent="0.3">
      <c r="A16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residueATJ-ethanolICAOConsensusStandalone_ForestResidue_Collection_DieselDiesel</v>
      </c>
      <c r="B1698" s="14" t="s">
        <v>316</v>
      </c>
      <c r="C1698" s="14" t="s">
        <v>1964</v>
      </c>
      <c r="D1698" s="14" t="s">
        <v>194</v>
      </c>
      <c r="E1698" s="48" t="s">
        <v>1399</v>
      </c>
      <c r="F1698" s="48" t="s">
        <v>137</v>
      </c>
      <c r="G1698" s="14" t="b">
        <f>OR(LCI_Table[[#This Row],[Feedstock]]="All",LCI_Table[[#This Row],[Feedstock]]=SelectedFeedstock)</f>
        <v>0</v>
      </c>
      <c r="H1698" s="14" t="b">
        <f>OR(LCI_Table[[#This Row],[Conversion]]="All",LCI_Table[[#This Row],[Conversion]]=SelectedConversion)</f>
        <v>0</v>
      </c>
      <c r="I1698" s="14" t="b">
        <f>OR(LCI_Table[[#This Row],[Data Set]]="all",LCI_Table[[#This Row],[Data Set]]=SelectedDataSet)</f>
        <v>0</v>
      </c>
      <c r="J1698" s="14" t="b">
        <f>OR(LCI_Table[[#This Row],[Technology]]="All",LCI_Table[[#This Row],[Technology]]=SelectedTechnology)</f>
        <v>0</v>
      </c>
      <c r="K1698" s="14" t="b">
        <f>OR(LCI_Table[[#This Row],[Data Source]]="All",LCI_Table[[#This Row],[Data Source]]=SelectedDataSource)</f>
        <v>0</v>
      </c>
      <c r="L1698" s="14" t="b">
        <f>TRUE</f>
        <v>1</v>
      </c>
      <c r="M1698" s="14" t="b">
        <f>(LCI_Table[[#This Row],[Dev Notes]]="Do not display")</f>
        <v>0</v>
      </c>
      <c r="N1698" s="14" t="b">
        <f>AND(LCI_Table[[#This Row],[Show Feedstock]:[Conditional]],NOT(LCI_Table[[#This Row],[Hide Row]]))</f>
        <v>0</v>
      </c>
      <c r="O1698" s="14" t="b">
        <f>LCI_Table[[#This Row],[GREET1 Name Range]]=""</f>
        <v>0</v>
      </c>
      <c r="P1698" s="14" t="s">
        <v>147</v>
      </c>
      <c r="Q1698" s="14" t="s">
        <v>646</v>
      </c>
      <c r="R1698" s="14" t="s">
        <v>106</v>
      </c>
      <c r="S1698" s="37" cm="1">
        <f t="array" aca="1" ref="S16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0.40163750369695378</v>
      </c>
      <c r="T1698" s="346" t="s">
        <v>1484</v>
      </c>
      <c r="U1698" s="347">
        <f ca="1">S1698*Fuel_Specs!$B$19/S1696</f>
        <v>231299.99999999951</v>
      </c>
      <c r="V1698" s="347">
        <v>0.40163750369695378</v>
      </c>
      <c r="W1698" s="347">
        <v>231299.99999999951</v>
      </c>
      <c r="X1698" s="14" t="s">
        <v>5</v>
      </c>
      <c r="Y1698" s="346" t="s">
        <v>413</v>
      </c>
      <c r="Z1698" s="14" t="str">
        <f>IF(ISBLANK(LCI_Table[[#This Row],[Notes for user]])," ",LCI_Table[[#This Row],[Notes for user]])</f>
        <v xml:space="preserve"> </v>
      </c>
      <c r="AA1698" s="14"/>
      <c r="AB1698" s="14"/>
      <c r="AC1698" s="346">
        <f ca="1">LCI_Table[[#This Row],[Default Calculated Value]]-LCI_Table[[#This Row],[Calculated Value]]</f>
        <v>0</v>
      </c>
    </row>
    <row r="1699" spans="1:29" x14ac:dyDescent="0.3">
      <c r="A16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residueATJ-ethanolICAOConsensusStandalone_ForestResidue_Collection_GasolineGasoline</v>
      </c>
      <c r="B1699" s="14" t="s">
        <v>316</v>
      </c>
      <c r="C1699" s="14" t="s">
        <v>1964</v>
      </c>
      <c r="D1699" s="14" t="s">
        <v>194</v>
      </c>
      <c r="E1699" s="48" t="s">
        <v>1399</v>
      </c>
      <c r="F1699" s="48" t="s">
        <v>137</v>
      </c>
      <c r="G1699" s="14" t="b">
        <f>OR(LCI_Table[[#This Row],[Feedstock]]="All",LCI_Table[[#This Row],[Feedstock]]=SelectedFeedstock)</f>
        <v>0</v>
      </c>
      <c r="H1699" s="14" t="b">
        <f>OR(LCI_Table[[#This Row],[Conversion]]="All",LCI_Table[[#This Row],[Conversion]]=SelectedConversion)</f>
        <v>0</v>
      </c>
      <c r="I1699" s="14" t="b">
        <f>OR(LCI_Table[[#This Row],[Data Set]]="all",LCI_Table[[#This Row],[Data Set]]=SelectedDataSet)</f>
        <v>0</v>
      </c>
      <c r="J1699" s="14" t="b">
        <f>OR(LCI_Table[[#This Row],[Technology]]="All",LCI_Table[[#This Row],[Technology]]=SelectedTechnology)</f>
        <v>0</v>
      </c>
      <c r="K1699" s="14" t="b">
        <f>OR(LCI_Table[[#This Row],[Data Source]]="All",LCI_Table[[#This Row],[Data Source]]=SelectedDataSource)</f>
        <v>0</v>
      </c>
      <c r="L1699" s="14" t="b">
        <f>TRUE</f>
        <v>1</v>
      </c>
      <c r="M1699" s="14" t="b">
        <f>(LCI_Table[[#This Row],[Dev Notes]]="Do not display")</f>
        <v>0</v>
      </c>
      <c r="N1699" s="14" t="b">
        <f>AND(LCI_Table[[#This Row],[Show Feedstock]:[Conditional]],NOT(LCI_Table[[#This Row],[Hide Row]]))</f>
        <v>0</v>
      </c>
      <c r="O1699" s="14" t="b">
        <f>LCI_Table[[#This Row],[GREET1 Name Range]]=""</f>
        <v>0</v>
      </c>
      <c r="P1699" s="14" t="s">
        <v>147</v>
      </c>
      <c r="Q1699" s="14" t="s">
        <v>648</v>
      </c>
      <c r="R1699" s="14" t="s">
        <v>107</v>
      </c>
      <c r="S1699" s="37" cm="1">
        <f t="array" aca="1" ref="S16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699" s="346" t="s">
        <v>1484</v>
      </c>
      <c r="U1699" s="347">
        <f ca="1">S1699*Fuel_Specs!$B$15/S1696</f>
        <v>0</v>
      </c>
      <c r="V1699" s="347">
        <v>0</v>
      </c>
      <c r="W1699" s="347">
        <v>0</v>
      </c>
      <c r="X1699" s="14" t="s">
        <v>5</v>
      </c>
      <c r="Y1699" s="346" t="s">
        <v>413</v>
      </c>
      <c r="Z1699" s="14" t="str">
        <f>IF(ISBLANK(LCI_Table[[#This Row],[Notes for user]])," ",LCI_Table[[#This Row],[Notes for user]])</f>
        <v xml:space="preserve"> </v>
      </c>
      <c r="AA1699" s="14"/>
      <c r="AB1699" s="14"/>
      <c r="AC1699" s="346">
        <f ca="1">LCI_Table[[#This Row],[Default Calculated Value]]-LCI_Table[[#This Row],[Calculated Value]]</f>
        <v>0</v>
      </c>
    </row>
    <row r="1700" spans="1:29" x14ac:dyDescent="0.3">
      <c r="A17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residueATJ-ethanolICAOConsensusStandalone_ForestResidue_Collection_Natural_gasNatural gas</v>
      </c>
      <c r="B1700" s="14" t="s">
        <v>316</v>
      </c>
      <c r="C1700" s="14" t="s">
        <v>1964</v>
      </c>
      <c r="D1700" s="14" t="s">
        <v>194</v>
      </c>
      <c r="E1700" s="48" t="s">
        <v>1399</v>
      </c>
      <c r="F1700" s="48" t="s">
        <v>137</v>
      </c>
      <c r="G1700" s="14" t="b">
        <f>OR(LCI_Table[[#This Row],[Feedstock]]="All",LCI_Table[[#This Row],[Feedstock]]=SelectedFeedstock)</f>
        <v>0</v>
      </c>
      <c r="H1700" s="14" t="b">
        <f>OR(LCI_Table[[#This Row],[Conversion]]="All",LCI_Table[[#This Row],[Conversion]]=SelectedConversion)</f>
        <v>0</v>
      </c>
      <c r="I1700" s="14" t="b">
        <f>OR(LCI_Table[[#This Row],[Data Set]]="all",LCI_Table[[#This Row],[Data Set]]=SelectedDataSet)</f>
        <v>0</v>
      </c>
      <c r="J1700" s="14" t="b">
        <f>OR(LCI_Table[[#This Row],[Technology]]="All",LCI_Table[[#This Row],[Technology]]=SelectedTechnology)</f>
        <v>0</v>
      </c>
      <c r="K1700" s="14" t="b">
        <f>OR(LCI_Table[[#This Row],[Data Source]]="All",LCI_Table[[#This Row],[Data Source]]=SelectedDataSource)</f>
        <v>0</v>
      </c>
      <c r="L1700" s="14" t="b">
        <f>TRUE</f>
        <v>1</v>
      </c>
      <c r="M1700" s="14" t="b">
        <f>(LCI_Table[[#This Row],[Dev Notes]]="Do not display")</f>
        <v>0</v>
      </c>
      <c r="N1700" s="14" t="b">
        <f>AND(LCI_Table[[#This Row],[Show Feedstock]:[Conditional]],NOT(LCI_Table[[#This Row],[Hide Row]]))</f>
        <v>0</v>
      </c>
      <c r="O1700" s="14" t="b">
        <f>LCI_Table[[#This Row],[GREET1 Name Range]]=""</f>
        <v>0</v>
      </c>
      <c r="P1700" s="14" t="s">
        <v>147</v>
      </c>
      <c r="Q1700" s="14" t="s">
        <v>650</v>
      </c>
      <c r="R1700" s="14" t="s">
        <v>108</v>
      </c>
      <c r="S1700" s="37" cm="1">
        <f t="array" aca="1" ref="S17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00" s="346" t="s">
        <v>2109</v>
      </c>
      <c r="U1700" s="347">
        <f ca="1">S1700*Fuel_Specs!$B$79/S1696</f>
        <v>0</v>
      </c>
      <c r="V1700" s="347">
        <v>0</v>
      </c>
      <c r="W1700" s="347">
        <v>0</v>
      </c>
      <c r="X1700" s="14" t="s">
        <v>351</v>
      </c>
      <c r="Y1700" s="346" t="s">
        <v>413</v>
      </c>
      <c r="Z1700" s="14" t="str">
        <f>IF(ISBLANK(LCI_Table[[#This Row],[Notes for user]])," ",LCI_Table[[#This Row],[Notes for user]])</f>
        <v xml:space="preserve"> </v>
      </c>
      <c r="AA1700" s="14"/>
      <c r="AB1700" s="14"/>
      <c r="AC1700" s="346">
        <f ca="1">LCI_Table[[#This Row],[Default Calculated Value]]-LCI_Table[[#This Row],[Calculated Value]]</f>
        <v>0</v>
      </c>
    </row>
    <row r="1701" spans="1:29" x14ac:dyDescent="0.3">
      <c r="A17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residueATJ-ethanolICAOConsensusStandalone_ForestResidue_Collection_CoalCoal</v>
      </c>
      <c r="B1701" s="14" t="s">
        <v>316</v>
      </c>
      <c r="C1701" s="14" t="s">
        <v>1964</v>
      </c>
      <c r="D1701" s="14" t="s">
        <v>194</v>
      </c>
      <c r="E1701" s="48" t="s">
        <v>1399</v>
      </c>
      <c r="F1701" s="48" t="s">
        <v>137</v>
      </c>
      <c r="G1701" s="14" t="b">
        <f>OR(LCI_Table[[#This Row],[Feedstock]]="All",LCI_Table[[#This Row],[Feedstock]]=SelectedFeedstock)</f>
        <v>0</v>
      </c>
      <c r="H1701" s="14" t="b">
        <f>OR(LCI_Table[[#This Row],[Conversion]]="All",LCI_Table[[#This Row],[Conversion]]=SelectedConversion)</f>
        <v>0</v>
      </c>
      <c r="I1701" s="14" t="b">
        <f>OR(LCI_Table[[#This Row],[Data Set]]="all",LCI_Table[[#This Row],[Data Set]]=SelectedDataSet)</f>
        <v>0</v>
      </c>
      <c r="J1701" s="14" t="b">
        <f>OR(LCI_Table[[#This Row],[Technology]]="All",LCI_Table[[#This Row],[Technology]]=SelectedTechnology)</f>
        <v>0</v>
      </c>
      <c r="K1701" s="14" t="b">
        <f>OR(LCI_Table[[#This Row],[Data Source]]="All",LCI_Table[[#This Row],[Data Source]]=SelectedDataSource)</f>
        <v>0</v>
      </c>
      <c r="L1701" s="14" t="b">
        <f>TRUE</f>
        <v>1</v>
      </c>
      <c r="M1701" s="14" t="b">
        <f>(LCI_Table[[#This Row],[Dev Notes]]="Do not display")</f>
        <v>0</v>
      </c>
      <c r="N1701" s="14" t="b">
        <f>AND(LCI_Table[[#This Row],[Show Feedstock]:[Conditional]],NOT(LCI_Table[[#This Row],[Hide Row]]))</f>
        <v>0</v>
      </c>
      <c r="O1701" s="14" t="b">
        <f>LCI_Table[[#This Row],[GREET1 Name Range]]=""</f>
        <v>0</v>
      </c>
      <c r="P1701" s="14" t="s">
        <v>147</v>
      </c>
      <c r="Q1701" s="14" t="s">
        <v>645</v>
      </c>
      <c r="R1701" s="14" t="s">
        <v>9</v>
      </c>
      <c r="S1701" s="37" cm="1">
        <f t="array" aca="1" ref="S17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01" s="346" t="s">
        <v>2110</v>
      </c>
      <c r="U1701" s="347">
        <f ca="1">S1701/S1696</f>
        <v>0</v>
      </c>
      <c r="V1701" s="347">
        <v>0</v>
      </c>
      <c r="W1701" s="347">
        <v>0</v>
      </c>
      <c r="X1701" s="14" t="s">
        <v>117</v>
      </c>
      <c r="Y1701" s="346" t="s">
        <v>413</v>
      </c>
      <c r="Z1701" s="14" t="str">
        <f>IF(ISBLANK(LCI_Table[[#This Row],[Notes for user]])," ",LCI_Table[[#This Row],[Notes for user]])</f>
        <v xml:space="preserve"> </v>
      </c>
      <c r="AA1701" s="14"/>
      <c r="AB1701" s="14"/>
      <c r="AC1701" s="346">
        <f ca="1">LCI_Table[[#This Row],[Default Calculated Value]]-LCI_Table[[#This Row],[Calculated Value]]</f>
        <v>0</v>
      </c>
    </row>
    <row r="1702" spans="1:29" x14ac:dyDescent="0.3">
      <c r="A17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residueATJ-ethanolICAOConsensusStandalone_ForestResidue_Collection_LPGLPG</v>
      </c>
      <c r="B1702" s="14" t="s">
        <v>316</v>
      </c>
      <c r="C1702" s="14" t="s">
        <v>1964</v>
      </c>
      <c r="D1702" s="14" t="s">
        <v>194</v>
      </c>
      <c r="E1702" s="48" t="s">
        <v>1399</v>
      </c>
      <c r="F1702" s="48" t="s">
        <v>137</v>
      </c>
      <c r="G1702" s="14" t="b">
        <f>OR(LCI_Table[[#This Row],[Feedstock]]="All",LCI_Table[[#This Row],[Feedstock]]=SelectedFeedstock)</f>
        <v>0</v>
      </c>
      <c r="H1702" s="14" t="b">
        <f>OR(LCI_Table[[#This Row],[Conversion]]="All",LCI_Table[[#This Row],[Conversion]]=SelectedConversion)</f>
        <v>0</v>
      </c>
      <c r="I1702" s="14" t="b">
        <f>OR(LCI_Table[[#This Row],[Data Set]]="all",LCI_Table[[#This Row],[Data Set]]=SelectedDataSet)</f>
        <v>0</v>
      </c>
      <c r="J1702" s="14" t="b">
        <f>OR(LCI_Table[[#This Row],[Technology]]="All",LCI_Table[[#This Row],[Technology]]=SelectedTechnology)</f>
        <v>0</v>
      </c>
      <c r="K1702" s="14" t="b">
        <f>OR(LCI_Table[[#This Row],[Data Source]]="All",LCI_Table[[#This Row],[Data Source]]=SelectedDataSource)</f>
        <v>0</v>
      </c>
      <c r="L1702" s="14" t="b">
        <f>TRUE</f>
        <v>1</v>
      </c>
      <c r="M1702" s="14" t="b">
        <f>(LCI_Table[[#This Row],[Dev Notes]]="Do not display")</f>
        <v>0</v>
      </c>
      <c r="N1702" s="14" t="b">
        <f>AND(LCI_Table[[#This Row],[Show Feedstock]:[Conditional]],NOT(LCI_Table[[#This Row],[Hide Row]]))</f>
        <v>0</v>
      </c>
      <c r="O1702" s="14" t="b">
        <f>LCI_Table[[#This Row],[GREET1 Name Range]]=""</f>
        <v>0</v>
      </c>
      <c r="P1702" s="14" t="s">
        <v>147</v>
      </c>
      <c r="Q1702" s="14" t="s">
        <v>649</v>
      </c>
      <c r="R1702" s="14" t="s">
        <v>109</v>
      </c>
      <c r="S1702" s="37" cm="1">
        <f t="array" aca="1" ref="S17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02" s="346" t="s">
        <v>1484</v>
      </c>
      <c r="U1702" s="347">
        <f ca="1">S1702*Fuel_Specs!$B$35/S1696</f>
        <v>0</v>
      </c>
      <c r="V1702" s="347">
        <v>0</v>
      </c>
      <c r="W1702" s="347">
        <v>0</v>
      </c>
      <c r="X1702" s="14" t="s">
        <v>5</v>
      </c>
      <c r="Y1702" s="346" t="s">
        <v>413</v>
      </c>
      <c r="Z1702" s="14" t="str">
        <f>IF(ISBLANK(LCI_Table[[#This Row],[Notes for user]])," ",LCI_Table[[#This Row],[Notes for user]])</f>
        <v xml:space="preserve"> </v>
      </c>
      <c r="AA1702" s="14"/>
      <c r="AB1702" s="14"/>
      <c r="AC1702" s="346">
        <f ca="1">LCI_Table[[#This Row],[Default Calculated Value]]-LCI_Table[[#This Row],[Calculated Value]]</f>
        <v>0</v>
      </c>
    </row>
    <row r="1703" spans="1:29" x14ac:dyDescent="0.3">
      <c r="A17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residueATJ-ethanolICAOConsensusStandalone_ForestResidue_Collection_ElectricityElectricity</v>
      </c>
      <c r="B1703" s="14" t="s">
        <v>316</v>
      </c>
      <c r="C1703" s="14" t="s">
        <v>1964</v>
      </c>
      <c r="D1703" s="14" t="s">
        <v>194</v>
      </c>
      <c r="E1703" s="48" t="s">
        <v>1399</v>
      </c>
      <c r="F1703" s="48" t="s">
        <v>137</v>
      </c>
      <c r="G1703" s="14" t="b">
        <f>OR(LCI_Table[[#This Row],[Feedstock]]="All",LCI_Table[[#This Row],[Feedstock]]=SelectedFeedstock)</f>
        <v>0</v>
      </c>
      <c r="H1703" s="14" t="b">
        <f>OR(LCI_Table[[#This Row],[Conversion]]="All",LCI_Table[[#This Row],[Conversion]]=SelectedConversion)</f>
        <v>0</v>
      </c>
      <c r="I1703" s="14" t="b">
        <f>OR(LCI_Table[[#This Row],[Data Set]]="all",LCI_Table[[#This Row],[Data Set]]=SelectedDataSet)</f>
        <v>0</v>
      </c>
      <c r="J1703" s="14" t="b">
        <f>OR(LCI_Table[[#This Row],[Technology]]="All",LCI_Table[[#This Row],[Technology]]=SelectedTechnology)</f>
        <v>0</v>
      </c>
      <c r="K1703" s="14" t="b">
        <f>OR(LCI_Table[[#This Row],[Data Source]]="All",LCI_Table[[#This Row],[Data Source]]=SelectedDataSource)</f>
        <v>0</v>
      </c>
      <c r="L1703" s="14" t="b">
        <f>TRUE</f>
        <v>1</v>
      </c>
      <c r="M1703" s="14" t="b">
        <f>(LCI_Table[[#This Row],[Dev Notes]]="Do not display")</f>
        <v>0</v>
      </c>
      <c r="N1703" s="14" t="b">
        <f>AND(LCI_Table[[#This Row],[Show Feedstock]:[Conditional]],NOT(LCI_Table[[#This Row],[Hide Row]]))</f>
        <v>0</v>
      </c>
      <c r="O1703" s="14" t="b">
        <f>LCI_Table[[#This Row],[GREET1 Name Range]]=""</f>
        <v>0</v>
      </c>
      <c r="P1703" s="14" t="s">
        <v>147</v>
      </c>
      <c r="Q1703" s="14" t="s">
        <v>647</v>
      </c>
      <c r="R1703" s="348" t="s">
        <v>110</v>
      </c>
      <c r="S1703" s="37" cm="1">
        <f t="array" aca="1" ref="S17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03" s="346" t="s">
        <v>1561</v>
      </c>
      <c r="U1703" s="347">
        <f ca="1">S1703/BTU2kWh/S1696</f>
        <v>0</v>
      </c>
      <c r="V1703" s="347">
        <v>0</v>
      </c>
      <c r="W1703" s="347">
        <v>0</v>
      </c>
      <c r="X1703" s="14" t="s">
        <v>51</v>
      </c>
      <c r="Y1703" s="346" t="s">
        <v>413</v>
      </c>
      <c r="Z1703" s="14" t="str">
        <f>IF(ISBLANK(LCI_Table[[#This Row],[Notes for user]])," ",LCI_Table[[#This Row],[Notes for user]])</f>
        <v xml:space="preserve"> </v>
      </c>
      <c r="AA1703" s="14"/>
      <c r="AB1703" s="14"/>
      <c r="AC1703" s="346">
        <f ca="1">LCI_Table[[#This Row],[Default Calculated Value]]-LCI_Table[[#This Row],[Calculated Value]]</f>
        <v>0</v>
      </c>
    </row>
    <row r="1704" spans="1:29" x14ac:dyDescent="0.3">
      <c r="A17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residueATJ-ethanolICAOConsensusStandalone_ForestResidue_Fermentation_Forest_residueForest residue</v>
      </c>
      <c r="B1704" s="14" t="s">
        <v>316</v>
      </c>
      <c r="C1704" s="14" t="s">
        <v>1964</v>
      </c>
      <c r="D1704" s="14" t="s">
        <v>194</v>
      </c>
      <c r="E1704" s="48" t="s">
        <v>1399</v>
      </c>
      <c r="F1704" s="48" t="s">
        <v>137</v>
      </c>
      <c r="G1704" s="14" t="b">
        <f>OR(LCI_Table[[#This Row],[Feedstock]]="All",LCI_Table[[#This Row],[Feedstock]]=SelectedFeedstock)</f>
        <v>0</v>
      </c>
      <c r="H1704" s="14" t="b">
        <f>OR(LCI_Table[[#This Row],[Conversion]]="All",LCI_Table[[#This Row],[Conversion]]=SelectedConversion)</f>
        <v>0</v>
      </c>
      <c r="I1704" s="14" t="b">
        <f>OR(LCI_Table[[#This Row],[Data Set]]="all",LCI_Table[[#This Row],[Data Set]]=SelectedDataSet)</f>
        <v>0</v>
      </c>
      <c r="J1704" s="14" t="b">
        <f>OR(LCI_Table[[#This Row],[Technology]]="All",LCI_Table[[#This Row],[Technology]]=SelectedTechnology)</f>
        <v>0</v>
      </c>
      <c r="K1704" s="14" t="b">
        <f>OR(LCI_Table[[#This Row],[Data Source]]="All",LCI_Table[[#This Row],[Data Source]]=SelectedDataSource)</f>
        <v>0</v>
      </c>
      <c r="L1704" s="14" t="b">
        <f>TRUE</f>
        <v>1</v>
      </c>
      <c r="M1704" s="14" t="b">
        <f>(LCI_Table[[#This Row],[Dev Notes]]="Do not display")</f>
        <v>0</v>
      </c>
      <c r="N1704" s="14" t="b">
        <f>AND(LCI_Table[[#This Row],[Show Feedstock]:[Conditional]],NOT(LCI_Table[[#This Row],[Hide Row]]))</f>
        <v>0</v>
      </c>
      <c r="O1704" s="14" t="b">
        <f>LCI_Table[[#This Row],[GREET1 Name Range]]=""</f>
        <v>0</v>
      </c>
      <c r="P1704" s="14" t="s">
        <v>428</v>
      </c>
      <c r="Q1704" s="14" t="s">
        <v>661</v>
      </c>
      <c r="R1704" s="14" t="s">
        <v>316</v>
      </c>
      <c r="S1704" s="37" cm="1">
        <f t="array" aca="1" ref="S17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23.529411764705934</v>
      </c>
      <c r="T1704" s="346" t="s">
        <v>2133</v>
      </c>
      <c r="U1704" s="359">
        <f ca="1">1/S1704/lb2ton</f>
        <v>84.999999999999815</v>
      </c>
      <c r="V1704" s="347">
        <v>23.529411764705934</v>
      </c>
      <c r="W1704" s="359">
        <v>84.999999999999815</v>
      </c>
      <c r="X1704" s="14" t="s">
        <v>12</v>
      </c>
      <c r="Y1704" s="346" t="s">
        <v>892</v>
      </c>
      <c r="Z1704" s="14" t="str">
        <f>IF(ISBLANK(LCI_Table[[#This Row],[Notes for user]])," ",LCI_Table[[#This Row],[Notes for user]])</f>
        <v xml:space="preserve"> </v>
      </c>
      <c r="AA1704" s="358"/>
      <c r="AB1704" s="358" t="s">
        <v>921</v>
      </c>
      <c r="AC1704" s="346">
        <f ca="1">LCI_Table[[#This Row],[Default Calculated Value]]-LCI_Table[[#This Row],[Calculated Value]]</f>
        <v>0</v>
      </c>
    </row>
    <row r="1705" spans="1:29" x14ac:dyDescent="0.3">
      <c r="A17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residueATJ-ethanolICAOConsensusStandalone_ForestResidue_Fermentation_Alpha_amylaseAlpha-amylase</v>
      </c>
      <c r="B1705" s="14" t="s">
        <v>316</v>
      </c>
      <c r="C1705" s="14" t="s">
        <v>1964</v>
      </c>
      <c r="D1705" s="14" t="s">
        <v>194</v>
      </c>
      <c r="E1705" s="48" t="s">
        <v>1399</v>
      </c>
      <c r="F1705" s="48" t="s">
        <v>137</v>
      </c>
      <c r="G1705" s="14" t="b">
        <f>OR(LCI_Table[[#This Row],[Feedstock]]="All",LCI_Table[[#This Row],[Feedstock]]=SelectedFeedstock)</f>
        <v>0</v>
      </c>
      <c r="H1705" s="14" t="b">
        <f>OR(LCI_Table[[#This Row],[Conversion]]="All",LCI_Table[[#This Row],[Conversion]]=SelectedConversion)</f>
        <v>0</v>
      </c>
      <c r="I1705" s="14" t="b">
        <f>OR(LCI_Table[[#This Row],[Data Set]]="all",LCI_Table[[#This Row],[Data Set]]=SelectedDataSet)</f>
        <v>0</v>
      </c>
      <c r="J1705" s="14" t="b">
        <f>OR(LCI_Table[[#This Row],[Technology]]="All",LCI_Table[[#This Row],[Technology]]=SelectedTechnology)</f>
        <v>0</v>
      </c>
      <c r="K1705" s="14" t="b">
        <f>OR(LCI_Table[[#This Row],[Data Source]]="All",LCI_Table[[#This Row],[Data Source]]=SelectedDataSource)</f>
        <v>0</v>
      </c>
      <c r="L1705" s="14" t="b">
        <f>TRUE</f>
        <v>1</v>
      </c>
      <c r="M1705" s="14" t="b">
        <f>(LCI_Table[[#This Row],[Dev Notes]]="Do not display")</f>
        <v>0</v>
      </c>
      <c r="N1705" s="14" t="b">
        <f>AND(LCI_Table[[#This Row],[Show Feedstock]:[Conditional]],NOT(LCI_Table[[#This Row],[Hide Row]]))</f>
        <v>0</v>
      </c>
      <c r="O1705" s="14" t="b">
        <f>LCI_Table[[#This Row],[GREET1 Name Range]]=""</f>
        <v>0</v>
      </c>
      <c r="P1705" s="14" t="s">
        <v>428</v>
      </c>
      <c r="Q1705" s="14" t="s">
        <v>652</v>
      </c>
      <c r="R1705" s="14" t="s">
        <v>353</v>
      </c>
      <c r="S1705" s="37" cm="1">
        <f t="array" aca="1" ref="S17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05" s="346" t="s">
        <v>2133</v>
      </c>
      <c r="U1705" s="347">
        <f t="shared" ref="U1705" ca="1" si="46">S1705/g2lb</f>
        <v>0</v>
      </c>
      <c r="V1705" s="347">
        <v>0</v>
      </c>
      <c r="W1705" s="347">
        <v>0</v>
      </c>
      <c r="X1705" s="14" t="s">
        <v>12</v>
      </c>
      <c r="Y1705" s="346" t="s">
        <v>892</v>
      </c>
      <c r="Z1705" s="14" t="str">
        <f>IF(ISBLANK(LCI_Table[[#This Row],[Notes for user]])," ",LCI_Table[[#This Row],[Notes for user]])</f>
        <v xml:space="preserve"> </v>
      </c>
      <c r="AA1705" s="14"/>
      <c r="AB1705" s="14"/>
      <c r="AC1705" s="346">
        <f ca="1">LCI_Table[[#This Row],[Default Calculated Value]]-LCI_Table[[#This Row],[Calculated Value]]</f>
        <v>0</v>
      </c>
    </row>
    <row r="1706" spans="1:29" x14ac:dyDescent="0.3">
      <c r="A17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residueATJ-ethanolICAOConsensusStandalone_ForestResidue_Fermentation_Gluco_amylaseGluco-amylase</v>
      </c>
      <c r="B1706" s="14" t="s">
        <v>316</v>
      </c>
      <c r="C1706" s="14" t="s">
        <v>1964</v>
      </c>
      <c r="D1706" s="14" t="s">
        <v>194</v>
      </c>
      <c r="E1706" s="48" t="s">
        <v>1399</v>
      </c>
      <c r="F1706" s="48" t="s">
        <v>137</v>
      </c>
      <c r="G1706" s="14" t="b">
        <f>OR(LCI_Table[[#This Row],[Feedstock]]="All",LCI_Table[[#This Row],[Feedstock]]=SelectedFeedstock)</f>
        <v>0</v>
      </c>
      <c r="H1706" s="14" t="b">
        <f>OR(LCI_Table[[#This Row],[Conversion]]="All",LCI_Table[[#This Row],[Conversion]]=SelectedConversion)</f>
        <v>0</v>
      </c>
      <c r="I1706" s="14" t="b">
        <f>OR(LCI_Table[[#This Row],[Data Set]]="all",LCI_Table[[#This Row],[Data Set]]=SelectedDataSet)</f>
        <v>0</v>
      </c>
      <c r="J1706" s="14" t="b">
        <f>OR(LCI_Table[[#This Row],[Technology]]="All",LCI_Table[[#This Row],[Technology]]=SelectedTechnology)</f>
        <v>0</v>
      </c>
      <c r="K1706" s="14" t="b">
        <f>OR(LCI_Table[[#This Row],[Data Source]]="All",LCI_Table[[#This Row],[Data Source]]=SelectedDataSource)</f>
        <v>0</v>
      </c>
      <c r="L1706" s="14" t="b">
        <f>TRUE</f>
        <v>1</v>
      </c>
      <c r="M1706" s="14" t="b">
        <f>(LCI_Table[[#This Row],[Dev Notes]]="Do not display")</f>
        <v>0</v>
      </c>
      <c r="N1706" s="14" t="b">
        <f>AND(LCI_Table[[#This Row],[Show Feedstock]:[Conditional]],NOT(LCI_Table[[#This Row],[Hide Row]]))</f>
        <v>0</v>
      </c>
      <c r="O1706" s="14" t="b">
        <f>LCI_Table[[#This Row],[GREET1 Name Range]]=""</f>
        <v>0</v>
      </c>
      <c r="P1706" s="14" t="s">
        <v>428</v>
      </c>
      <c r="Q1706" s="14" t="s">
        <v>663</v>
      </c>
      <c r="R1706" s="14" t="s">
        <v>354</v>
      </c>
      <c r="S1706" s="37" cm="1">
        <f t="array" aca="1" ref="S17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06" s="346" t="s">
        <v>2133</v>
      </c>
      <c r="U1706" s="347">
        <f t="shared" ref="U1706" ca="1" si="47">S1706/g2lb</f>
        <v>0</v>
      </c>
      <c r="V1706" s="347">
        <v>0</v>
      </c>
      <c r="W1706" s="347">
        <v>0</v>
      </c>
      <c r="X1706" s="14" t="s">
        <v>12</v>
      </c>
      <c r="Y1706" s="346" t="s">
        <v>892</v>
      </c>
      <c r="Z1706" s="14" t="str">
        <f>IF(ISBLANK(LCI_Table[[#This Row],[Notes for user]])," ",LCI_Table[[#This Row],[Notes for user]])</f>
        <v xml:space="preserve"> </v>
      </c>
      <c r="AA1706" s="14"/>
      <c r="AB1706" s="14"/>
      <c r="AC1706" s="346">
        <f ca="1">LCI_Table[[#This Row],[Default Calculated Value]]-LCI_Table[[#This Row],[Calculated Value]]</f>
        <v>0</v>
      </c>
    </row>
    <row r="1707" spans="1:29" x14ac:dyDescent="0.3">
      <c r="A17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residueATJ-ethanolICAOConsensusStandalone_ForestResidue_Fermentation_CellulaseCellulase</v>
      </c>
      <c r="B1707" s="14" t="s">
        <v>316</v>
      </c>
      <c r="C1707" s="14" t="s">
        <v>1964</v>
      </c>
      <c r="D1707" s="14" t="s">
        <v>194</v>
      </c>
      <c r="E1707" s="48" t="s">
        <v>1399</v>
      </c>
      <c r="F1707" s="48" t="s">
        <v>137</v>
      </c>
      <c r="G1707" s="14" t="b">
        <f>OR(LCI_Table[[#This Row],[Feedstock]]="All",LCI_Table[[#This Row],[Feedstock]]=SelectedFeedstock)</f>
        <v>0</v>
      </c>
      <c r="H1707" s="14" t="b">
        <f>OR(LCI_Table[[#This Row],[Conversion]]="All",LCI_Table[[#This Row],[Conversion]]=SelectedConversion)</f>
        <v>0</v>
      </c>
      <c r="I1707" s="14" t="b">
        <f>OR(LCI_Table[[#This Row],[Data Set]]="all",LCI_Table[[#This Row],[Data Set]]=SelectedDataSet)</f>
        <v>0</v>
      </c>
      <c r="J1707" s="14" t="b">
        <f>OR(LCI_Table[[#This Row],[Technology]]="All",LCI_Table[[#This Row],[Technology]]=SelectedTechnology)</f>
        <v>0</v>
      </c>
      <c r="K1707" s="14" t="b">
        <f>OR(LCI_Table[[#This Row],[Data Source]]="All",LCI_Table[[#This Row],[Data Source]]=SelectedDataSource)</f>
        <v>0</v>
      </c>
      <c r="L1707" s="14" t="b">
        <f>TRUE</f>
        <v>1</v>
      </c>
      <c r="M1707" s="14" t="b">
        <f>(LCI_Table[[#This Row],[Dev Notes]]="Do not display")</f>
        <v>0</v>
      </c>
      <c r="N1707" s="14" t="b">
        <f>AND(LCI_Table[[#This Row],[Show Feedstock]:[Conditional]],NOT(LCI_Table[[#This Row],[Hide Row]]))</f>
        <v>0</v>
      </c>
      <c r="O1707" s="14" t="b">
        <f>LCI_Table[[#This Row],[GREET1 Name Range]]=""</f>
        <v>0</v>
      </c>
      <c r="P1707" s="14" t="s">
        <v>428</v>
      </c>
      <c r="Q1707" s="14" t="s">
        <v>655</v>
      </c>
      <c r="R1707" s="14" t="s">
        <v>402</v>
      </c>
      <c r="S1707" s="37" cm="1">
        <f t="array" aca="1" ref="S17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0.23529411764705932</v>
      </c>
      <c r="T1707" s="346" t="s">
        <v>2133</v>
      </c>
      <c r="U1707" s="347">
        <f t="shared" ref="U1707" ca="1" si="48">S1707/g2lb</f>
        <v>106.72761647058825</v>
      </c>
      <c r="V1707" s="347">
        <v>0.23529411764705932</v>
      </c>
      <c r="W1707" s="347">
        <v>106.72761647058825</v>
      </c>
      <c r="X1707" s="14" t="s">
        <v>12</v>
      </c>
      <c r="Y1707" s="346" t="s">
        <v>892</v>
      </c>
      <c r="Z1707" s="14" t="str">
        <f>IF(ISBLANK(LCI_Table[[#This Row],[Notes for user]])," ",LCI_Table[[#This Row],[Notes for user]])</f>
        <v xml:space="preserve"> </v>
      </c>
      <c r="AA1707" s="14"/>
      <c r="AB1707" s="14"/>
      <c r="AC1707" s="346">
        <f ca="1">LCI_Table[[#This Row],[Default Calculated Value]]-LCI_Table[[#This Row],[Calculated Value]]</f>
        <v>0</v>
      </c>
    </row>
    <row r="1708" spans="1:29" x14ac:dyDescent="0.3">
      <c r="A17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residueATJ-ethanolICAOConsensusStandalone_ForestResidue_Fermentation_YeastYeast</v>
      </c>
      <c r="B1708" s="14" t="s">
        <v>316</v>
      </c>
      <c r="C1708" s="14" t="s">
        <v>1964</v>
      </c>
      <c r="D1708" s="14" t="s">
        <v>194</v>
      </c>
      <c r="E1708" s="48" t="s">
        <v>1399</v>
      </c>
      <c r="F1708" s="48" t="s">
        <v>137</v>
      </c>
      <c r="G1708" s="14" t="b">
        <f>OR(LCI_Table[[#This Row],[Feedstock]]="All",LCI_Table[[#This Row],[Feedstock]]=SelectedFeedstock)</f>
        <v>0</v>
      </c>
      <c r="H1708" s="14" t="b">
        <f>OR(LCI_Table[[#This Row],[Conversion]]="All",LCI_Table[[#This Row],[Conversion]]=SelectedConversion)</f>
        <v>0</v>
      </c>
      <c r="I1708" s="14" t="b">
        <f>OR(LCI_Table[[#This Row],[Data Set]]="all",LCI_Table[[#This Row],[Data Set]]=SelectedDataSet)</f>
        <v>0</v>
      </c>
      <c r="J1708" s="14" t="b">
        <f>OR(LCI_Table[[#This Row],[Technology]]="All",LCI_Table[[#This Row],[Technology]]=SelectedTechnology)</f>
        <v>0</v>
      </c>
      <c r="K1708" s="14" t="b">
        <f>OR(LCI_Table[[#This Row],[Data Source]]="All",LCI_Table[[#This Row],[Data Source]]=SelectedDataSource)</f>
        <v>0</v>
      </c>
      <c r="L1708" s="14" t="b">
        <f>TRUE</f>
        <v>1</v>
      </c>
      <c r="M1708" s="14" t="b">
        <f>(LCI_Table[[#This Row],[Dev Notes]]="Do not display")</f>
        <v>0</v>
      </c>
      <c r="N1708" s="14" t="b">
        <f>AND(LCI_Table[[#This Row],[Show Feedstock]:[Conditional]],NOT(LCI_Table[[#This Row],[Hide Row]]))</f>
        <v>0</v>
      </c>
      <c r="O1708" s="14" t="b">
        <f>LCI_Table[[#This Row],[GREET1 Name Range]]=""</f>
        <v>0</v>
      </c>
      <c r="P1708" s="14" t="s">
        <v>428</v>
      </c>
      <c r="Q1708" s="14" t="s">
        <v>672</v>
      </c>
      <c r="R1708" s="14" t="s">
        <v>145</v>
      </c>
      <c r="S1708" s="37" cm="1">
        <f t="array" aca="1" ref="S17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5.8588235294117767E-2</v>
      </c>
      <c r="T1708" s="346" t="s">
        <v>2133</v>
      </c>
      <c r="U1708" s="347">
        <f t="shared" ref="U1708" ca="1" si="49">S1708/g2lb</f>
        <v>26.575176501176472</v>
      </c>
      <c r="V1708" s="347">
        <v>5.8588235294117767E-2</v>
      </c>
      <c r="W1708" s="347">
        <v>26.575176501176472</v>
      </c>
      <c r="X1708" s="14" t="s">
        <v>12</v>
      </c>
      <c r="Y1708" s="346" t="s">
        <v>892</v>
      </c>
      <c r="Z1708" s="14" t="str">
        <f>IF(ISBLANK(LCI_Table[[#This Row],[Notes for user]])," ",LCI_Table[[#This Row],[Notes for user]])</f>
        <v xml:space="preserve"> </v>
      </c>
      <c r="AA1708" s="14"/>
      <c r="AB1708" s="14"/>
      <c r="AC1708" s="346">
        <f ca="1">LCI_Table[[#This Row],[Default Calculated Value]]-LCI_Table[[#This Row],[Calculated Value]]</f>
        <v>0</v>
      </c>
    </row>
    <row r="1709" spans="1:29" x14ac:dyDescent="0.3">
      <c r="A17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residueATJ-ethanolICAOConsensusStandalone_ForestResidue_Fermentation_GlucoseGlucose</v>
      </c>
      <c r="B1709" s="14" t="s">
        <v>316</v>
      </c>
      <c r="C1709" s="14" t="s">
        <v>1964</v>
      </c>
      <c r="D1709" s="14" t="s">
        <v>194</v>
      </c>
      <c r="E1709" s="48" t="s">
        <v>1399</v>
      </c>
      <c r="F1709" s="48" t="s">
        <v>137</v>
      </c>
      <c r="G1709" s="14" t="b">
        <f>OR(LCI_Table[[#This Row],[Feedstock]]="All",LCI_Table[[#This Row],[Feedstock]]=SelectedFeedstock)</f>
        <v>0</v>
      </c>
      <c r="H1709" s="14" t="b">
        <f>OR(LCI_Table[[#This Row],[Conversion]]="All",LCI_Table[[#This Row],[Conversion]]=SelectedConversion)</f>
        <v>0</v>
      </c>
      <c r="I1709" s="14" t="b">
        <f>OR(LCI_Table[[#This Row],[Data Set]]="all",LCI_Table[[#This Row],[Data Set]]=SelectedDataSet)</f>
        <v>0</v>
      </c>
      <c r="J1709" s="14" t="b">
        <f>OR(LCI_Table[[#This Row],[Technology]]="All",LCI_Table[[#This Row],[Technology]]=SelectedTechnology)</f>
        <v>0</v>
      </c>
      <c r="K1709" s="14" t="b">
        <f>OR(LCI_Table[[#This Row],[Data Source]]="All",LCI_Table[[#This Row],[Data Source]]=SelectedDataSource)</f>
        <v>0</v>
      </c>
      <c r="L1709" s="14" t="b">
        <f>TRUE</f>
        <v>1</v>
      </c>
      <c r="M1709" s="14" t="b">
        <f>(LCI_Table[[#This Row],[Dev Notes]]="Do not display")</f>
        <v>0</v>
      </c>
      <c r="N1709" s="14" t="b">
        <f>AND(LCI_Table[[#This Row],[Show Feedstock]:[Conditional]],NOT(LCI_Table[[#This Row],[Hide Row]]))</f>
        <v>0</v>
      </c>
      <c r="O1709" s="14" t="b">
        <f>LCI_Table[[#This Row],[GREET1 Name Range]]=""</f>
        <v>0</v>
      </c>
      <c r="P1709" s="14" t="s">
        <v>428</v>
      </c>
      <c r="Q1709" s="14" t="s">
        <v>664</v>
      </c>
      <c r="R1709" s="14" t="s">
        <v>387</v>
      </c>
      <c r="S1709" s="37" cm="1">
        <f t="array" aca="1" ref="S17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09" s="346" t="s">
        <v>2133</v>
      </c>
      <c r="U1709" s="347">
        <f t="shared" ref="U1709" ca="1" si="50">S1709/g2lb</f>
        <v>0</v>
      </c>
      <c r="V1709" s="347">
        <v>0</v>
      </c>
      <c r="W1709" s="347">
        <v>0</v>
      </c>
      <c r="X1709" s="14" t="s">
        <v>12</v>
      </c>
      <c r="Y1709" s="346" t="s">
        <v>892</v>
      </c>
      <c r="Z1709" s="14" t="str">
        <f>IF(ISBLANK(LCI_Table[[#This Row],[Notes for user]])," ",LCI_Table[[#This Row],[Notes for user]])</f>
        <v xml:space="preserve"> </v>
      </c>
      <c r="AA1709" s="14"/>
      <c r="AB1709" s="14"/>
      <c r="AC1709" s="346">
        <f ca="1">LCI_Table[[#This Row],[Default Calculated Value]]-LCI_Table[[#This Row],[Calculated Value]]</f>
        <v>0</v>
      </c>
    </row>
    <row r="1710" spans="1:29" x14ac:dyDescent="0.3">
      <c r="A17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residueATJ-ethanolICAOConsensusStandalone_ForestResidue_Fermentation_Sulfuric_acidSulfuric acid</v>
      </c>
      <c r="B1710" s="14" t="s">
        <v>316</v>
      </c>
      <c r="C1710" s="14" t="s">
        <v>1964</v>
      </c>
      <c r="D1710" s="14" t="s">
        <v>194</v>
      </c>
      <c r="E1710" s="48" t="s">
        <v>1399</v>
      </c>
      <c r="F1710" s="48" t="s">
        <v>137</v>
      </c>
      <c r="G1710" s="14" t="b">
        <f>OR(LCI_Table[[#This Row],[Feedstock]]="All",LCI_Table[[#This Row],[Feedstock]]=SelectedFeedstock)</f>
        <v>0</v>
      </c>
      <c r="H1710" s="14" t="b">
        <f>OR(LCI_Table[[#This Row],[Conversion]]="All",LCI_Table[[#This Row],[Conversion]]=SelectedConversion)</f>
        <v>0</v>
      </c>
      <c r="I1710" s="14" t="b">
        <f>OR(LCI_Table[[#This Row],[Data Set]]="all",LCI_Table[[#This Row],[Data Set]]=SelectedDataSet)</f>
        <v>0</v>
      </c>
      <c r="J1710" s="14" t="b">
        <f>OR(LCI_Table[[#This Row],[Technology]]="All",LCI_Table[[#This Row],[Technology]]=SelectedTechnology)</f>
        <v>0</v>
      </c>
      <c r="K1710" s="14" t="b">
        <f>OR(LCI_Table[[#This Row],[Data Source]]="All",LCI_Table[[#This Row],[Data Source]]=SelectedDataSource)</f>
        <v>0</v>
      </c>
      <c r="L1710" s="14" t="b">
        <f>TRUE</f>
        <v>1</v>
      </c>
      <c r="M1710" s="14" t="b">
        <f>(LCI_Table[[#This Row],[Dev Notes]]="Do not display")</f>
        <v>0</v>
      </c>
      <c r="N1710" s="14" t="b">
        <f>AND(LCI_Table[[#This Row],[Show Feedstock]:[Conditional]],NOT(LCI_Table[[#This Row],[Hide Row]]))</f>
        <v>0</v>
      </c>
      <c r="O1710" s="14" t="b">
        <f>LCI_Table[[#This Row],[GREET1 Name Range]]=""</f>
        <v>0</v>
      </c>
      <c r="P1710" s="14" t="s">
        <v>428</v>
      </c>
      <c r="Q1710" s="14" t="s">
        <v>670</v>
      </c>
      <c r="R1710" s="14" t="s">
        <v>384</v>
      </c>
      <c r="S1710" s="37" cm="1">
        <f t="array" aca="1" ref="S17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0.76330000000000153</v>
      </c>
      <c r="T1710" s="346" t="s">
        <v>2133</v>
      </c>
      <c r="U1710" s="347">
        <f t="shared" ref="U1710" ca="1" si="51">S1710/g2lb</f>
        <v>346.22705602100001</v>
      </c>
      <c r="V1710" s="347">
        <v>0.76330000000000153</v>
      </c>
      <c r="W1710" s="347">
        <v>346.22705602100001</v>
      </c>
      <c r="X1710" s="14" t="s">
        <v>12</v>
      </c>
      <c r="Y1710" s="346" t="s">
        <v>892</v>
      </c>
      <c r="Z1710" s="14" t="str">
        <f>IF(ISBLANK(LCI_Table[[#This Row],[Notes for user]])," ",LCI_Table[[#This Row],[Notes for user]])</f>
        <v xml:space="preserve"> </v>
      </c>
      <c r="AA1710" s="14"/>
      <c r="AB1710" s="14"/>
      <c r="AC1710" s="346">
        <f ca="1">LCI_Table[[#This Row],[Default Calculated Value]]-LCI_Table[[#This Row],[Calculated Value]]</f>
        <v>0</v>
      </c>
    </row>
    <row r="1711" spans="1:29" x14ac:dyDescent="0.3">
      <c r="A17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residueATJ-ethanolICAOConsensusStandalone_ForestResidue_Fermentation_AmmoniaAmmonia</v>
      </c>
      <c r="B1711" s="14" t="s">
        <v>316</v>
      </c>
      <c r="C1711" s="14" t="s">
        <v>1964</v>
      </c>
      <c r="D1711" s="14" t="s">
        <v>194</v>
      </c>
      <c r="E1711" s="48" t="s">
        <v>1399</v>
      </c>
      <c r="F1711" s="48" t="s">
        <v>137</v>
      </c>
      <c r="G1711" s="14" t="b">
        <f>OR(LCI_Table[[#This Row],[Feedstock]]="All",LCI_Table[[#This Row],[Feedstock]]=SelectedFeedstock)</f>
        <v>0</v>
      </c>
      <c r="H1711" s="14" t="b">
        <f>OR(LCI_Table[[#This Row],[Conversion]]="All",LCI_Table[[#This Row],[Conversion]]=SelectedConversion)</f>
        <v>0</v>
      </c>
      <c r="I1711" s="14" t="b">
        <f>OR(LCI_Table[[#This Row],[Data Set]]="all",LCI_Table[[#This Row],[Data Set]]=SelectedDataSet)</f>
        <v>0</v>
      </c>
      <c r="J1711" s="14" t="b">
        <f>OR(LCI_Table[[#This Row],[Technology]]="All",LCI_Table[[#This Row],[Technology]]=SelectedTechnology)</f>
        <v>0</v>
      </c>
      <c r="K1711" s="14" t="b">
        <f>OR(LCI_Table[[#This Row],[Data Source]]="All",LCI_Table[[#This Row],[Data Source]]=SelectedDataSource)</f>
        <v>0</v>
      </c>
      <c r="L1711" s="14" t="b">
        <f>TRUE</f>
        <v>1</v>
      </c>
      <c r="M1711" s="14" t="b">
        <f>(LCI_Table[[#This Row],[Dev Notes]]="Do not display")</f>
        <v>0</v>
      </c>
      <c r="N1711" s="14" t="b">
        <f>AND(LCI_Table[[#This Row],[Show Feedstock]:[Conditional]],NOT(LCI_Table[[#This Row],[Hide Row]]))</f>
        <v>0</v>
      </c>
      <c r="O1711" s="14" t="b">
        <f>LCI_Table[[#This Row],[GREET1 Name Range]]=""</f>
        <v>0</v>
      </c>
      <c r="P1711" s="14" t="s">
        <v>428</v>
      </c>
      <c r="Q1711" s="14" t="s">
        <v>653</v>
      </c>
      <c r="R1711" s="14" t="s">
        <v>382</v>
      </c>
      <c r="S1711" s="37" cm="1">
        <f t="array" aca="1" ref="S17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9.1596000000000163E-2</v>
      </c>
      <c r="T1711" s="346" t="s">
        <v>2133</v>
      </c>
      <c r="U1711" s="347">
        <f t="shared" ref="U1711" ca="1" si="52">S1711/g2lb</f>
        <v>41.547246722519994</v>
      </c>
      <c r="V1711" s="347">
        <v>9.1596000000000163E-2</v>
      </c>
      <c r="W1711" s="347">
        <v>41.547246722519994</v>
      </c>
      <c r="X1711" s="14" t="s">
        <v>12</v>
      </c>
      <c r="Y1711" s="346" t="s">
        <v>892</v>
      </c>
      <c r="Z1711" s="14" t="str">
        <f>IF(ISBLANK(LCI_Table[[#This Row],[Notes for user]])," ",LCI_Table[[#This Row],[Notes for user]])</f>
        <v xml:space="preserve"> </v>
      </c>
      <c r="AA1711" s="14"/>
      <c r="AB1711" s="14"/>
      <c r="AC1711" s="346">
        <f ca="1">LCI_Table[[#This Row],[Default Calculated Value]]-LCI_Table[[#This Row],[Calculated Value]]</f>
        <v>0</v>
      </c>
    </row>
    <row r="1712" spans="1:29" x14ac:dyDescent="0.3">
      <c r="A17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residueATJ-ethanolICAOConsensusStandalone_ForestResidue_Fermentation_Corn_steep_liquorCorn steep liquor</v>
      </c>
      <c r="B1712" s="14" t="s">
        <v>316</v>
      </c>
      <c r="C1712" s="14" t="s">
        <v>1964</v>
      </c>
      <c r="D1712" s="14" t="s">
        <v>194</v>
      </c>
      <c r="E1712" s="48" t="s">
        <v>1399</v>
      </c>
      <c r="F1712" s="48" t="s">
        <v>137</v>
      </c>
      <c r="G1712" s="14" t="b">
        <f>OR(LCI_Table[[#This Row],[Feedstock]]="All",LCI_Table[[#This Row],[Feedstock]]=SelectedFeedstock)</f>
        <v>0</v>
      </c>
      <c r="H1712" s="14" t="b">
        <f>OR(LCI_Table[[#This Row],[Conversion]]="All",LCI_Table[[#This Row],[Conversion]]=SelectedConversion)</f>
        <v>0</v>
      </c>
      <c r="I1712" s="14" t="b">
        <f>OR(LCI_Table[[#This Row],[Data Set]]="all",LCI_Table[[#This Row],[Data Set]]=SelectedDataSet)</f>
        <v>0</v>
      </c>
      <c r="J1712" s="14" t="b">
        <f>OR(LCI_Table[[#This Row],[Technology]]="All",LCI_Table[[#This Row],[Technology]]=SelectedTechnology)</f>
        <v>0</v>
      </c>
      <c r="K1712" s="14" t="b">
        <f>OR(LCI_Table[[#This Row],[Data Source]]="All",LCI_Table[[#This Row],[Data Source]]=SelectedDataSource)</f>
        <v>0</v>
      </c>
      <c r="L1712" s="14" t="b">
        <f>TRUE</f>
        <v>1</v>
      </c>
      <c r="M1712" s="14" t="b">
        <f>(LCI_Table[[#This Row],[Dev Notes]]="Do not display")</f>
        <v>0</v>
      </c>
      <c r="N1712" s="14" t="b">
        <f>AND(LCI_Table[[#This Row],[Show Feedstock]:[Conditional]],NOT(LCI_Table[[#This Row],[Hide Row]]))</f>
        <v>0</v>
      </c>
      <c r="O1712" s="14" t="b">
        <f>LCI_Table[[#This Row],[GREET1 Name Range]]=""</f>
        <v>0</v>
      </c>
      <c r="P1712" s="14" t="s">
        <v>428</v>
      </c>
      <c r="Q1712" s="14" t="s">
        <v>657</v>
      </c>
      <c r="R1712" s="14" t="s">
        <v>386</v>
      </c>
      <c r="S1712" s="37" cm="1">
        <f t="array" aca="1" ref="S17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0.29005400000000059</v>
      </c>
      <c r="T1712" s="346" t="s">
        <v>2133</v>
      </c>
      <c r="U1712" s="347">
        <f t="shared" ref="U1712" ca="1" si="53">S1712/g2lb</f>
        <v>131.56628128798002</v>
      </c>
      <c r="V1712" s="347">
        <v>0.29005400000000059</v>
      </c>
      <c r="W1712" s="347">
        <v>131.56628128798002</v>
      </c>
      <c r="X1712" s="14" t="s">
        <v>12</v>
      </c>
      <c r="Y1712" s="346" t="s">
        <v>892</v>
      </c>
      <c r="Z1712" s="14" t="str">
        <f>IF(ISBLANK(LCI_Table[[#This Row],[Notes for user]])," ",LCI_Table[[#This Row],[Notes for user]])</f>
        <v xml:space="preserve"> </v>
      </c>
      <c r="AA1712" s="14"/>
      <c r="AB1712" s="14"/>
      <c r="AC1712" s="346">
        <f ca="1">LCI_Table[[#This Row],[Default Calculated Value]]-LCI_Table[[#This Row],[Calculated Value]]</f>
        <v>0</v>
      </c>
    </row>
    <row r="1713" spans="1:29" x14ac:dyDescent="0.3">
      <c r="A17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residueATJ-ethanolICAOConsensusStandalone_ForestResidue_Fermentation_DAPDAP</v>
      </c>
      <c r="B1713" s="14" t="s">
        <v>316</v>
      </c>
      <c r="C1713" s="14" t="s">
        <v>1964</v>
      </c>
      <c r="D1713" s="14" t="s">
        <v>194</v>
      </c>
      <c r="E1713" s="48" t="s">
        <v>1399</v>
      </c>
      <c r="F1713" s="48" t="s">
        <v>137</v>
      </c>
      <c r="G1713" s="14" t="b">
        <f>OR(LCI_Table[[#This Row],[Feedstock]]="All",LCI_Table[[#This Row],[Feedstock]]=SelectedFeedstock)</f>
        <v>0</v>
      </c>
      <c r="H1713" s="14" t="b">
        <f>OR(LCI_Table[[#This Row],[Conversion]]="All",LCI_Table[[#This Row],[Conversion]]=SelectedConversion)</f>
        <v>0</v>
      </c>
      <c r="I1713" s="14" t="b">
        <f>OR(LCI_Table[[#This Row],[Data Set]]="all",LCI_Table[[#This Row],[Data Set]]=SelectedDataSet)</f>
        <v>0</v>
      </c>
      <c r="J1713" s="14" t="b">
        <f>OR(LCI_Table[[#This Row],[Technology]]="All",LCI_Table[[#This Row],[Technology]]=SelectedTechnology)</f>
        <v>0</v>
      </c>
      <c r="K1713" s="14" t="b">
        <f>OR(LCI_Table[[#This Row],[Data Source]]="All",LCI_Table[[#This Row],[Data Source]]=SelectedDataSource)</f>
        <v>0</v>
      </c>
      <c r="L1713" s="14" t="b">
        <f>TRUE</f>
        <v>1</v>
      </c>
      <c r="M1713" s="14" t="b">
        <f>(LCI_Table[[#This Row],[Dev Notes]]="Do not display")</f>
        <v>0</v>
      </c>
      <c r="N1713" s="14" t="b">
        <f>AND(LCI_Table[[#This Row],[Show Feedstock]:[Conditional]],NOT(LCI_Table[[#This Row],[Hide Row]]))</f>
        <v>0</v>
      </c>
      <c r="O1713" s="14" t="b">
        <f>LCI_Table[[#This Row],[GREET1 Name Range]]=""</f>
        <v>0</v>
      </c>
      <c r="P1713" s="14" t="s">
        <v>428</v>
      </c>
      <c r="Q1713" s="14" t="s">
        <v>658</v>
      </c>
      <c r="R1713" s="14" t="s">
        <v>383</v>
      </c>
      <c r="S1713" s="37" cm="1">
        <f t="array" aca="1" ref="S17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3.053200000000007E-2</v>
      </c>
      <c r="T1713" s="346" t="s">
        <v>2133</v>
      </c>
      <c r="U1713" s="347">
        <f t="shared" ref="U1713" ca="1" si="54">S1713/g2lb</f>
        <v>13.849082240840003</v>
      </c>
      <c r="V1713" s="347">
        <v>3.053200000000007E-2</v>
      </c>
      <c r="W1713" s="347">
        <v>13.849082240840003</v>
      </c>
      <c r="X1713" s="14" t="s">
        <v>12</v>
      </c>
      <c r="Y1713" s="346" t="s">
        <v>892</v>
      </c>
      <c r="Z1713" s="14" t="str">
        <f>IF(ISBLANK(LCI_Table[[#This Row],[Notes for user]])," ",LCI_Table[[#This Row],[Notes for user]])</f>
        <v xml:space="preserve"> </v>
      </c>
      <c r="AA1713" s="14"/>
      <c r="AB1713" s="14"/>
      <c r="AC1713" s="346">
        <f ca="1">LCI_Table[[#This Row],[Default Calculated Value]]-LCI_Table[[#This Row],[Calculated Value]]</f>
        <v>0</v>
      </c>
    </row>
    <row r="1714" spans="1:29" x14ac:dyDescent="0.3">
      <c r="A17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residueATJ-ethanolICAOConsensusStandalone_ForestResidue_Fermentation_NaOHNaOH</v>
      </c>
      <c r="B1714" s="14" t="s">
        <v>316</v>
      </c>
      <c r="C1714" s="14" t="s">
        <v>1964</v>
      </c>
      <c r="D1714" s="14" t="s">
        <v>194</v>
      </c>
      <c r="E1714" s="48" t="s">
        <v>1399</v>
      </c>
      <c r="F1714" s="48" t="s">
        <v>137</v>
      </c>
      <c r="G1714" s="14" t="b">
        <f>OR(LCI_Table[[#This Row],[Feedstock]]="All",LCI_Table[[#This Row],[Feedstock]]=SelectedFeedstock)</f>
        <v>0</v>
      </c>
      <c r="H1714" s="14" t="b">
        <f>OR(LCI_Table[[#This Row],[Conversion]]="All",LCI_Table[[#This Row],[Conversion]]=SelectedConversion)</f>
        <v>0</v>
      </c>
      <c r="I1714" s="14" t="b">
        <f>OR(LCI_Table[[#This Row],[Data Set]]="all",LCI_Table[[#This Row],[Data Set]]=SelectedDataSet)</f>
        <v>0</v>
      </c>
      <c r="J1714" s="14" t="b">
        <f>OR(LCI_Table[[#This Row],[Technology]]="All",LCI_Table[[#This Row],[Technology]]=SelectedTechnology)</f>
        <v>0</v>
      </c>
      <c r="K1714" s="14" t="b">
        <f>OR(LCI_Table[[#This Row],[Data Source]]="All",LCI_Table[[#This Row],[Data Source]]=SelectedDataSource)</f>
        <v>0</v>
      </c>
      <c r="L1714" s="14" t="b">
        <f>TRUE</f>
        <v>1</v>
      </c>
      <c r="M1714" s="14" t="b">
        <f>(LCI_Table[[#This Row],[Dev Notes]]="Do not display")</f>
        <v>0</v>
      </c>
      <c r="N1714" s="14" t="b">
        <f>AND(LCI_Table[[#This Row],[Show Feedstock]:[Conditional]],NOT(LCI_Table[[#This Row],[Hide Row]]))</f>
        <v>0</v>
      </c>
      <c r="O1714" s="14" t="b">
        <f>LCI_Table[[#This Row],[GREET1 Name Range]]=""</f>
        <v>0</v>
      </c>
      <c r="P1714" s="14" t="s">
        <v>428</v>
      </c>
      <c r="Q1714" s="14" t="s">
        <v>666</v>
      </c>
      <c r="R1714" s="14" t="s">
        <v>403</v>
      </c>
      <c r="S1714" s="37" cm="1">
        <f t="array" aca="1" ref="S17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0.25952200000000047</v>
      </c>
      <c r="T1714" s="346" t="s">
        <v>2133</v>
      </c>
      <c r="U1714" s="347">
        <f t="shared" ref="U1714" ca="1" si="55">S1714/g2lb</f>
        <v>117.71719904713999</v>
      </c>
      <c r="V1714" s="347">
        <v>0.25952200000000047</v>
      </c>
      <c r="W1714" s="347">
        <v>117.71719904713999</v>
      </c>
      <c r="X1714" s="14" t="s">
        <v>12</v>
      </c>
      <c r="Y1714" s="346" t="s">
        <v>892</v>
      </c>
      <c r="Z1714" s="14" t="str">
        <f>IF(ISBLANK(LCI_Table[[#This Row],[Notes for user]])," ",LCI_Table[[#This Row],[Notes for user]])</f>
        <v xml:space="preserve"> </v>
      </c>
      <c r="AA1714" s="14"/>
      <c r="AB1714" s="14"/>
      <c r="AC1714" s="346">
        <f ca="1">LCI_Table[[#This Row],[Default Calculated Value]]-LCI_Table[[#This Row],[Calculated Value]]</f>
        <v>0</v>
      </c>
    </row>
    <row r="1715" spans="1:29" x14ac:dyDescent="0.3">
      <c r="A17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residueATJ-ethanolICAOConsensusStandalone_ForestResidue_Fermentation_CaOQuicklime (CaO)</v>
      </c>
      <c r="B1715" s="14" t="s">
        <v>316</v>
      </c>
      <c r="C1715" s="14" t="s">
        <v>1964</v>
      </c>
      <c r="D1715" s="14" t="s">
        <v>194</v>
      </c>
      <c r="E1715" s="48" t="s">
        <v>1399</v>
      </c>
      <c r="F1715" s="48" t="s">
        <v>137</v>
      </c>
      <c r="G1715" s="14" t="b">
        <f>OR(LCI_Table[[#This Row],[Feedstock]]="All",LCI_Table[[#This Row],[Feedstock]]=SelectedFeedstock)</f>
        <v>0</v>
      </c>
      <c r="H1715" s="14" t="b">
        <f>OR(LCI_Table[[#This Row],[Conversion]]="All",LCI_Table[[#This Row],[Conversion]]=SelectedConversion)</f>
        <v>0</v>
      </c>
      <c r="I1715" s="14" t="b">
        <f>OR(LCI_Table[[#This Row],[Data Set]]="all",LCI_Table[[#This Row],[Data Set]]=SelectedDataSet)</f>
        <v>0</v>
      </c>
      <c r="J1715" s="14" t="b">
        <f>OR(LCI_Table[[#This Row],[Technology]]="All",LCI_Table[[#This Row],[Technology]]=SelectedTechnology)</f>
        <v>0</v>
      </c>
      <c r="K1715" s="14" t="b">
        <f>OR(LCI_Table[[#This Row],[Data Source]]="All",LCI_Table[[#This Row],[Data Source]]=SelectedDataSource)</f>
        <v>0</v>
      </c>
      <c r="L1715" s="14" t="b">
        <f>TRUE</f>
        <v>1</v>
      </c>
      <c r="M1715" s="14" t="b">
        <f>(LCI_Table[[#This Row],[Dev Notes]]="Do not display")</f>
        <v>0</v>
      </c>
      <c r="N1715" s="14" t="b">
        <f>AND(LCI_Table[[#This Row],[Show Feedstock]:[Conditional]],NOT(LCI_Table[[#This Row],[Hide Row]]))</f>
        <v>0</v>
      </c>
      <c r="O1715" s="14" t="b">
        <f>LCI_Table[[#This Row],[GREET1 Name Range]]=""</f>
        <v>0</v>
      </c>
      <c r="P1715" s="14" t="s">
        <v>428</v>
      </c>
      <c r="Q1715" s="14" t="s">
        <v>654</v>
      </c>
      <c r="R1715" s="14" t="s">
        <v>404</v>
      </c>
      <c r="S1715" s="37" cm="1">
        <f t="array" aca="1" ref="S17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0.16792600000000041</v>
      </c>
      <c r="T1715" s="346" t="s">
        <v>2133</v>
      </c>
      <c r="U1715" s="347">
        <f t="shared" ref="U1715" ca="1" si="56">S1715/g2lb</f>
        <v>76.169952324620027</v>
      </c>
      <c r="V1715" s="347">
        <v>0.16792600000000041</v>
      </c>
      <c r="W1715" s="347">
        <v>76.169952324620027</v>
      </c>
      <c r="X1715" s="14" t="s">
        <v>12</v>
      </c>
      <c r="Y1715" s="346" t="s">
        <v>892</v>
      </c>
      <c r="Z1715" s="14" t="str">
        <f>IF(ISBLANK(LCI_Table[[#This Row],[Notes for user]])," ",LCI_Table[[#This Row],[Notes for user]])</f>
        <v xml:space="preserve"> </v>
      </c>
      <c r="AA1715" s="14"/>
      <c r="AB1715" s="14"/>
      <c r="AC1715" s="346">
        <f ca="1">LCI_Table[[#This Row],[Default Calculated Value]]-LCI_Table[[#This Row],[Calculated Value]]</f>
        <v>0</v>
      </c>
    </row>
    <row r="1716" spans="1:29" x14ac:dyDescent="0.3">
      <c r="A17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residueATJ-ethanolICAOConsensusStandalone_ForestResidue_Fermentation_UreaUrea</v>
      </c>
      <c r="B1716" s="14" t="s">
        <v>316</v>
      </c>
      <c r="C1716" s="14" t="s">
        <v>1964</v>
      </c>
      <c r="D1716" s="14" t="s">
        <v>194</v>
      </c>
      <c r="E1716" s="48" t="s">
        <v>1399</v>
      </c>
      <c r="F1716" s="48" t="s">
        <v>137</v>
      </c>
      <c r="G1716" s="14" t="b">
        <f>OR(LCI_Table[[#This Row],[Feedstock]]="All",LCI_Table[[#This Row],[Feedstock]]=SelectedFeedstock)</f>
        <v>0</v>
      </c>
      <c r="H1716" s="14" t="b">
        <f>OR(LCI_Table[[#This Row],[Conversion]]="All",LCI_Table[[#This Row],[Conversion]]=SelectedConversion)</f>
        <v>0</v>
      </c>
      <c r="I1716" s="14" t="b">
        <f>OR(LCI_Table[[#This Row],[Data Set]]="all",LCI_Table[[#This Row],[Data Set]]=SelectedDataSet)</f>
        <v>0</v>
      </c>
      <c r="J1716" s="14" t="b">
        <f>OR(LCI_Table[[#This Row],[Technology]]="All",LCI_Table[[#This Row],[Technology]]=SelectedTechnology)</f>
        <v>0</v>
      </c>
      <c r="K1716" s="14" t="b">
        <f>OR(LCI_Table[[#This Row],[Data Source]]="All",LCI_Table[[#This Row],[Data Source]]=SelectedDataSource)</f>
        <v>0</v>
      </c>
      <c r="L1716" s="14" t="b">
        <f>TRUE</f>
        <v>1</v>
      </c>
      <c r="M1716" s="14" t="b">
        <f>(LCI_Table[[#This Row],[Dev Notes]]="Do not display")</f>
        <v>0</v>
      </c>
      <c r="N1716" s="14" t="b">
        <f>AND(LCI_Table[[#This Row],[Show Feedstock]:[Conditional]],NOT(LCI_Table[[#This Row],[Hide Row]]))</f>
        <v>0</v>
      </c>
      <c r="O1716" s="14" t="b">
        <f>LCI_Table[[#This Row],[GREET1 Name Range]]=""</f>
        <v>0</v>
      </c>
      <c r="P1716" s="14" t="s">
        <v>428</v>
      </c>
      <c r="Q1716" s="14" t="s">
        <v>671</v>
      </c>
      <c r="R1716" s="14" t="s">
        <v>144</v>
      </c>
      <c r="S1716" s="37" cm="1">
        <f t="array" aca="1" ref="S17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4.5798000000000082E-2</v>
      </c>
      <c r="T1716" s="346" t="s">
        <v>2133</v>
      </c>
      <c r="U1716" s="347">
        <f ca="1">S1716/g2lb/Fuel_Specs!$B$31/BTU2MJ</f>
        <v>0.25795356899826671</v>
      </c>
      <c r="V1716" s="347">
        <v>4.5798000000000082E-2</v>
      </c>
      <c r="W1716" s="347">
        <v>0.25795356899826671</v>
      </c>
      <c r="X1716" s="14" t="s">
        <v>12</v>
      </c>
      <c r="Y1716" s="346" t="s">
        <v>892</v>
      </c>
      <c r="Z1716" s="14" t="str">
        <f>IF(ISBLANK(LCI_Table[[#This Row],[Notes for user]])," ",LCI_Table[[#This Row],[Notes for user]])</f>
        <v xml:space="preserve"> </v>
      </c>
      <c r="AA1716" s="14"/>
      <c r="AB1716" s="14"/>
      <c r="AC1716" s="346">
        <f ca="1">LCI_Table[[#This Row],[Default Calculated Value]]-LCI_Table[[#This Row],[Calculated Value]]</f>
        <v>0</v>
      </c>
    </row>
    <row r="1717" spans="1:29" x14ac:dyDescent="0.3">
      <c r="A17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residueATJ-ethanolICAOConsensusStandalone_ForestResidue_Fermentation_Residual_oilResidual oil</v>
      </c>
      <c r="B1717" s="14" t="s">
        <v>316</v>
      </c>
      <c r="C1717" s="14" t="s">
        <v>1964</v>
      </c>
      <c r="D1717" s="14" t="s">
        <v>194</v>
      </c>
      <c r="E1717" s="48" t="s">
        <v>1399</v>
      </c>
      <c r="F1717" s="48" t="s">
        <v>137</v>
      </c>
      <c r="G1717" s="14" t="b">
        <f>OR(LCI_Table[[#This Row],[Feedstock]]="All",LCI_Table[[#This Row],[Feedstock]]=SelectedFeedstock)</f>
        <v>0</v>
      </c>
      <c r="H1717" s="14" t="b">
        <f>OR(LCI_Table[[#This Row],[Conversion]]="All",LCI_Table[[#This Row],[Conversion]]=SelectedConversion)</f>
        <v>0</v>
      </c>
      <c r="I1717" s="14" t="b">
        <f>OR(LCI_Table[[#This Row],[Data Set]]="all",LCI_Table[[#This Row],[Data Set]]=SelectedDataSet)</f>
        <v>0</v>
      </c>
      <c r="J1717" s="14" t="b">
        <f>OR(LCI_Table[[#This Row],[Technology]]="All",LCI_Table[[#This Row],[Technology]]=SelectedTechnology)</f>
        <v>0</v>
      </c>
      <c r="K1717" s="14" t="b">
        <f>OR(LCI_Table[[#This Row],[Data Source]]="All",LCI_Table[[#This Row],[Data Source]]=SelectedDataSource)</f>
        <v>0</v>
      </c>
      <c r="L1717" s="14" t="b">
        <f>TRUE</f>
        <v>1</v>
      </c>
      <c r="M1717" s="14" t="b">
        <f>(LCI_Table[[#This Row],[Dev Notes]]="Do not display")</f>
        <v>0</v>
      </c>
      <c r="N1717" s="14" t="b">
        <f>AND(LCI_Table[[#This Row],[Show Feedstock]:[Conditional]],NOT(LCI_Table[[#This Row],[Hide Row]]))</f>
        <v>0</v>
      </c>
      <c r="O1717" s="14" t="b">
        <f>LCI_Table[[#This Row],[GREET1 Name Range]]=""</f>
        <v>0</v>
      </c>
      <c r="P1717" s="14" t="s">
        <v>428</v>
      </c>
      <c r="Q1717" s="14" t="s">
        <v>668</v>
      </c>
      <c r="R1717" s="14" t="s">
        <v>115</v>
      </c>
      <c r="S1717" s="37" cm="1">
        <f t="array" aca="1" ref="S17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17" s="346" t="s">
        <v>2134</v>
      </c>
      <c r="U1717" s="347">
        <f ca="1">S1717*Fuel_Specs!$B$28/Fuel_Specs!$B$31/BTU2MJ</f>
        <v>0</v>
      </c>
      <c r="V1717" s="347">
        <v>0</v>
      </c>
      <c r="W1717" s="347">
        <v>0</v>
      </c>
      <c r="X1717" s="14" t="s">
        <v>5</v>
      </c>
      <c r="Y1717" s="346" t="s">
        <v>892</v>
      </c>
      <c r="Z1717" s="14" t="str">
        <f>IF(ISBLANK(LCI_Table[[#This Row],[Notes for user]])," ",LCI_Table[[#This Row],[Notes for user]])</f>
        <v xml:space="preserve"> </v>
      </c>
      <c r="AA1717" s="14"/>
      <c r="AB1717" s="14"/>
      <c r="AC1717" s="346">
        <f ca="1">LCI_Table[[#This Row],[Default Calculated Value]]-LCI_Table[[#This Row],[Calculated Value]]</f>
        <v>0</v>
      </c>
    </row>
    <row r="1718" spans="1:29" x14ac:dyDescent="0.3">
      <c r="A17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residueATJ-ethanolICAOConsensusStandalone_ForestResidue_Fermentation_DieselDiesel</v>
      </c>
      <c r="B1718" s="14" t="s">
        <v>316</v>
      </c>
      <c r="C1718" s="14" t="s">
        <v>1964</v>
      </c>
      <c r="D1718" s="14" t="s">
        <v>194</v>
      </c>
      <c r="E1718" s="48" t="s">
        <v>1399</v>
      </c>
      <c r="F1718" s="48" t="s">
        <v>137</v>
      </c>
      <c r="G1718" s="14" t="b">
        <f>OR(LCI_Table[[#This Row],[Feedstock]]="All",LCI_Table[[#This Row],[Feedstock]]=SelectedFeedstock)</f>
        <v>0</v>
      </c>
      <c r="H1718" s="14" t="b">
        <f>OR(LCI_Table[[#This Row],[Conversion]]="All",LCI_Table[[#This Row],[Conversion]]=SelectedConversion)</f>
        <v>0</v>
      </c>
      <c r="I1718" s="14" t="b">
        <f>OR(LCI_Table[[#This Row],[Data Set]]="all",LCI_Table[[#This Row],[Data Set]]=SelectedDataSet)</f>
        <v>0</v>
      </c>
      <c r="J1718" s="14" t="b">
        <f>OR(LCI_Table[[#This Row],[Technology]]="All",LCI_Table[[#This Row],[Technology]]=SelectedTechnology)</f>
        <v>0</v>
      </c>
      <c r="K1718" s="14" t="b">
        <f>OR(LCI_Table[[#This Row],[Data Source]]="All",LCI_Table[[#This Row],[Data Source]]=SelectedDataSource)</f>
        <v>0</v>
      </c>
      <c r="L1718" s="14" t="b">
        <f>TRUE</f>
        <v>1</v>
      </c>
      <c r="M1718" s="14" t="b">
        <f>(LCI_Table[[#This Row],[Dev Notes]]="Do not display")</f>
        <v>0</v>
      </c>
      <c r="N1718" s="14" t="b">
        <f>AND(LCI_Table[[#This Row],[Show Feedstock]:[Conditional]],NOT(LCI_Table[[#This Row],[Hide Row]]))</f>
        <v>0</v>
      </c>
      <c r="O1718" s="14" t="b">
        <f>LCI_Table[[#This Row],[GREET1 Name Range]]=""</f>
        <v>0</v>
      </c>
      <c r="P1718" s="14" t="s">
        <v>428</v>
      </c>
      <c r="Q1718" s="14" t="s">
        <v>659</v>
      </c>
      <c r="R1718" s="14" t="s">
        <v>106</v>
      </c>
      <c r="S1718" s="37" cm="1">
        <f t="array" aca="1" ref="S17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1.3873102374464771E-3</v>
      </c>
      <c r="T1718" s="346" t="s">
        <v>2134</v>
      </c>
      <c r="U1718" s="347">
        <f ca="1">S1718*Fuel_Specs!$B$19/Fuel_Specs!$B$31/BTU2MJ</f>
        <v>2.2127736310659212</v>
      </c>
      <c r="V1718" s="347">
        <v>1.3873102374464771E-3</v>
      </c>
      <c r="W1718" s="347">
        <v>2.2127736310659212</v>
      </c>
      <c r="X1718" s="14" t="s">
        <v>5</v>
      </c>
      <c r="Y1718" s="346" t="s">
        <v>892</v>
      </c>
      <c r="Z1718" s="14" t="str">
        <f>IF(ISBLANK(LCI_Table[[#This Row],[Notes for user]])," ",LCI_Table[[#This Row],[Notes for user]])</f>
        <v xml:space="preserve"> </v>
      </c>
      <c r="AA1718" s="14"/>
      <c r="AB1718" s="14"/>
      <c r="AC1718" s="346">
        <f ca="1">LCI_Table[[#This Row],[Default Calculated Value]]-LCI_Table[[#This Row],[Calculated Value]]</f>
        <v>0</v>
      </c>
    </row>
    <row r="1719" spans="1:29" x14ac:dyDescent="0.3">
      <c r="A17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residueATJ-ethanolICAOConsensusStandalone_ForestResidue_Fermentation_GasolineGasoline</v>
      </c>
      <c r="B1719" s="14" t="s">
        <v>316</v>
      </c>
      <c r="C1719" s="14" t="s">
        <v>1964</v>
      </c>
      <c r="D1719" s="14" t="s">
        <v>194</v>
      </c>
      <c r="E1719" s="48" t="s">
        <v>1399</v>
      </c>
      <c r="F1719" s="48" t="s">
        <v>137</v>
      </c>
      <c r="G1719" s="14" t="b">
        <f>OR(LCI_Table[[#This Row],[Feedstock]]="All",LCI_Table[[#This Row],[Feedstock]]=SelectedFeedstock)</f>
        <v>0</v>
      </c>
      <c r="H1719" s="14" t="b">
        <f>OR(LCI_Table[[#This Row],[Conversion]]="All",LCI_Table[[#This Row],[Conversion]]=SelectedConversion)</f>
        <v>0</v>
      </c>
      <c r="I1719" s="14" t="b">
        <f>OR(LCI_Table[[#This Row],[Data Set]]="all",LCI_Table[[#This Row],[Data Set]]=SelectedDataSet)</f>
        <v>0</v>
      </c>
      <c r="J1719" s="14" t="b">
        <f>OR(LCI_Table[[#This Row],[Technology]]="All",LCI_Table[[#This Row],[Technology]]=SelectedTechnology)</f>
        <v>0</v>
      </c>
      <c r="K1719" s="14" t="b">
        <f>OR(LCI_Table[[#This Row],[Data Source]]="All",LCI_Table[[#This Row],[Data Source]]=SelectedDataSource)</f>
        <v>0</v>
      </c>
      <c r="L1719" s="14" t="b">
        <f>TRUE</f>
        <v>1</v>
      </c>
      <c r="M1719" s="14" t="b">
        <f>(LCI_Table[[#This Row],[Dev Notes]]="Do not display")</f>
        <v>0</v>
      </c>
      <c r="N1719" s="14" t="b">
        <f>AND(LCI_Table[[#This Row],[Show Feedstock]:[Conditional]],NOT(LCI_Table[[#This Row],[Hide Row]]))</f>
        <v>0</v>
      </c>
      <c r="O1719" s="14" t="b">
        <f>LCI_Table[[#This Row],[GREET1 Name Range]]=""</f>
        <v>0</v>
      </c>
      <c r="P1719" s="14" t="s">
        <v>428</v>
      </c>
      <c r="Q1719" s="14" t="s">
        <v>662</v>
      </c>
      <c r="R1719" s="14" t="s">
        <v>107</v>
      </c>
      <c r="S1719" s="37" cm="1">
        <f t="array" aca="1" ref="S17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19" s="346" t="s">
        <v>2134</v>
      </c>
      <c r="U1719" s="347">
        <f ca="1">S1719*Fuel_Specs!$B$15/Fuel_Specs!$B$31/BTU2MJ</f>
        <v>0</v>
      </c>
      <c r="V1719" s="347">
        <v>0</v>
      </c>
      <c r="W1719" s="347">
        <v>0</v>
      </c>
      <c r="X1719" s="37" t="s">
        <v>5</v>
      </c>
      <c r="Y1719" s="346" t="s">
        <v>892</v>
      </c>
      <c r="Z1719" s="14" t="str">
        <f>IF(ISBLANK(LCI_Table[[#This Row],[Notes for user]])," ",LCI_Table[[#This Row],[Notes for user]])</f>
        <v xml:space="preserve"> </v>
      </c>
      <c r="AA1719" s="14"/>
      <c r="AB1719" s="14"/>
      <c r="AC1719" s="346">
        <f ca="1">LCI_Table[[#This Row],[Default Calculated Value]]-LCI_Table[[#This Row],[Calculated Value]]</f>
        <v>0</v>
      </c>
    </row>
    <row r="1720" spans="1:29" x14ac:dyDescent="0.3">
      <c r="A17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residueATJ-ethanolICAOConsensusStandalone_ForestResidue_Fermentation_Natural_gasNatural gas</v>
      </c>
      <c r="B1720" s="14" t="s">
        <v>316</v>
      </c>
      <c r="C1720" s="14" t="s">
        <v>1964</v>
      </c>
      <c r="D1720" s="14" t="s">
        <v>194</v>
      </c>
      <c r="E1720" s="48" t="s">
        <v>1399</v>
      </c>
      <c r="F1720" s="48" t="s">
        <v>137</v>
      </c>
      <c r="G1720" s="14" t="b">
        <f>OR(LCI_Table[[#This Row],[Feedstock]]="All",LCI_Table[[#This Row],[Feedstock]]=SelectedFeedstock)</f>
        <v>0</v>
      </c>
      <c r="H1720" s="14" t="b">
        <f>OR(LCI_Table[[#This Row],[Conversion]]="All",LCI_Table[[#This Row],[Conversion]]=SelectedConversion)</f>
        <v>0</v>
      </c>
      <c r="I1720" s="14" t="b">
        <f>OR(LCI_Table[[#This Row],[Data Set]]="all",LCI_Table[[#This Row],[Data Set]]=SelectedDataSet)</f>
        <v>0</v>
      </c>
      <c r="J1720" s="14" t="b">
        <f>OR(LCI_Table[[#This Row],[Technology]]="All",LCI_Table[[#This Row],[Technology]]=SelectedTechnology)</f>
        <v>0</v>
      </c>
      <c r="K1720" s="14" t="b">
        <f>OR(LCI_Table[[#This Row],[Data Source]]="All",LCI_Table[[#This Row],[Data Source]]=SelectedDataSource)</f>
        <v>0</v>
      </c>
      <c r="L1720" s="14" t="b">
        <f>TRUE</f>
        <v>1</v>
      </c>
      <c r="M1720" s="14" t="b">
        <f>(LCI_Table[[#This Row],[Dev Notes]]="Do not display")</f>
        <v>0</v>
      </c>
      <c r="N1720" s="14" t="b">
        <f>AND(LCI_Table[[#This Row],[Show Feedstock]:[Conditional]],NOT(LCI_Table[[#This Row],[Hide Row]]))</f>
        <v>0</v>
      </c>
      <c r="O1720" s="14" t="b">
        <f>LCI_Table[[#This Row],[GREET1 Name Range]]=""</f>
        <v>0</v>
      </c>
      <c r="P1720" s="14" t="s">
        <v>428</v>
      </c>
      <c r="Q1720" s="14" t="s">
        <v>667</v>
      </c>
      <c r="R1720" s="14" t="s">
        <v>108</v>
      </c>
      <c r="S1720" s="37" cm="1">
        <f t="array" aca="1" ref="S17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20" s="346" t="s">
        <v>2135</v>
      </c>
      <c r="U1720" s="347">
        <f ca="1">S1720*Fuel_Specs!$B$79/Fuel_Specs!$B$31/BTU2MJ</f>
        <v>0</v>
      </c>
      <c r="V1720" s="347">
        <v>0</v>
      </c>
      <c r="W1720" s="347">
        <v>0</v>
      </c>
      <c r="X1720" s="14" t="s">
        <v>351</v>
      </c>
      <c r="Y1720" s="346" t="s">
        <v>892</v>
      </c>
      <c r="Z1720" s="14" t="str">
        <f>IF(ISBLANK(LCI_Table[[#This Row],[Notes for user]])," ",LCI_Table[[#This Row],[Notes for user]])</f>
        <v xml:space="preserve"> </v>
      </c>
      <c r="AA1720" s="14"/>
      <c r="AB1720" s="14"/>
      <c r="AC1720" s="346">
        <f ca="1">LCI_Table[[#This Row],[Default Calculated Value]]-LCI_Table[[#This Row],[Calculated Value]]</f>
        <v>0</v>
      </c>
    </row>
    <row r="1721" spans="1:29" x14ac:dyDescent="0.3">
      <c r="A17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residueATJ-ethanolICAOConsensusStandalone_ForestResidue_Fermentation_CoalCoal</v>
      </c>
      <c r="B1721" s="14" t="s">
        <v>316</v>
      </c>
      <c r="C1721" s="14" t="s">
        <v>1964</v>
      </c>
      <c r="D1721" s="14" t="s">
        <v>194</v>
      </c>
      <c r="E1721" s="48" t="s">
        <v>1399</v>
      </c>
      <c r="F1721" s="48" t="s">
        <v>137</v>
      </c>
      <c r="G1721" s="14" t="b">
        <f>OR(LCI_Table[[#This Row],[Feedstock]]="All",LCI_Table[[#This Row],[Feedstock]]=SelectedFeedstock)</f>
        <v>0</v>
      </c>
      <c r="H1721" s="14" t="b">
        <f>OR(LCI_Table[[#This Row],[Conversion]]="All",LCI_Table[[#This Row],[Conversion]]=SelectedConversion)</f>
        <v>0</v>
      </c>
      <c r="I1721" s="14" t="b">
        <f>OR(LCI_Table[[#This Row],[Data Set]]="all",LCI_Table[[#This Row],[Data Set]]=SelectedDataSet)</f>
        <v>0</v>
      </c>
      <c r="J1721" s="14" t="b">
        <f>OR(LCI_Table[[#This Row],[Technology]]="All",LCI_Table[[#This Row],[Technology]]=SelectedTechnology)</f>
        <v>0</v>
      </c>
      <c r="K1721" s="14" t="b">
        <f>OR(LCI_Table[[#This Row],[Data Source]]="All",LCI_Table[[#This Row],[Data Source]]=SelectedDataSource)</f>
        <v>0</v>
      </c>
      <c r="L1721" s="14" t="b">
        <f>TRUE</f>
        <v>1</v>
      </c>
      <c r="M1721" s="14" t="b">
        <f>(LCI_Table[[#This Row],[Dev Notes]]="Do not display")</f>
        <v>0</v>
      </c>
      <c r="N1721" s="14" t="b">
        <f>AND(LCI_Table[[#This Row],[Show Feedstock]:[Conditional]],NOT(LCI_Table[[#This Row],[Hide Row]]))</f>
        <v>0</v>
      </c>
      <c r="O1721" s="14" t="b">
        <f>LCI_Table[[#This Row],[GREET1 Name Range]]=""</f>
        <v>0</v>
      </c>
      <c r="P1721" s="14" t="s">
        <v>428</v>
      </c>
      <c r="Q1721" s="14" t="s">
        <v>656</v>
      </c>
      <c r="R1721" s="14" t="s">
        <v>9</v>
      </c>
      <c r="S1721" s="37" cm="1">
        <f t="array" aca="1" ref="S17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21" s="346" t="s">
        <v>2136</v>
      </c>
      <c r="U1721" s="347">
        <f ca="1">S1721/Fuel_Specs!$B$31/BTU2MJ</f>
        <v>0</v>
      </c>
      <c r="V1721" s="347">
        <v>0</v>
      </c>
      <c r="W1721" s="347">
        <v>0</v>
      </c>
      <c r="X1721" s="37" t="s">
        <v>117</v>
      </c>
      <c r="Y1721" s="346" t="s">
        <v>892</v>
      </c>
      <c r="Z1721" s="14" t="str">
        <f>IF(ISBLANK(LCI_Table[[#This Row],[Notes for user]])," ",LCI_Table[[#This Row],[Notes for user]])</f>
        <v xml:space="preserve"> </v>
      </c>
      <c r="AA1721" s="14"/>
      <c r="AB1721" s="14"/>
      <c r="AC1721" s="346">
        <f ca="1">LCI_Table[[#This Row],[Default Calculated Value]]-LCI_Table[[#This Row],[Calculated Value]]</f>
        <v>0</v>
      </c>
    </row>
    <row r="1722" spans="1:29" x14ac:dyDescent="0.3">
      <c r="A17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residueATJ-ethanolICAOConsensusStandalone_ForestResidue_Fermentation_LPGLPG</v>
      </c>
      <c r="B1722" s="14" t="s">
        <v>316</v>
      </c>
      <c r="C1722" s="14" t="s">
        <v>1964</v>
      </c>
      <c r="D1722" s="14" t="s">
        <v>194</v>
      </c>
      <c r="E1722" s="48" t="s">
        <v>1399</v>
      </c>
      <c r="F1722" s="48" t="s">
        <v>137</v>
      </c>
      <c r="G1722" s="14" t="b">
        <f>OR(LCI_Table[[#This Row],[Feedstock]]="All",LCI_Table[[#This Row],[Feedstock]]=SelectedFeedstock)</f>
        <v>0</v>
      </c>
      <c r="H1722" s="14" t="b">
        <f>OR(LCI_Table[[#This Row],[Conversion]]="All",LCI_Table[[#This Row],[Conversion]]=SelectedConversion)</f>
        <v>0</v>
      </c>
      <c r="I1722" s="14" t="b">
        <f>OR(LCI_Table[[#This Row],[Data Set]]="all",LCI_Table[[#This Row],[Data Set]]=SelectedDataSet)</f>
        <v>0</v>
      </c>
      <c r="J1722" s="14" t="b">
        <f>OR(LCI_Table[[#This Row],[Technology]]="All",LCI_Table[[#This Row],[Technology]]=SelectedTechnology)</f>
        <v>0</v>
      </c>
      <c r="K1722" s="14" t="b">
        <f>OR(LCI_Table[[#This Row],[Data Source]]="All",LCI_Table[[#This Row],[Data Source]]=SelectedDataSource)</f>
        <v>0</v>
      </c>
      <c r="L1722" s="14" t="b">
        <f>TRUE</f>
        <v>1</v>
      </c>
      <c r="M1722" s="14" t="b">
        <f>(LCI_Table[[#This Row],[Dev Notes]]="Do not display")</f>
        <v>0</v>
      </c>
      <c r="N1722" s="14" t="b">
        <f>AND(LCI_Table[[#This Row],[Show Feedstock]:[Conditional]],NOT(LCI_Table[[#This Row],[Hide Row]]))</f>
        <v>0</v>
      </c>
      <c r="O1722" s="14" t="b">
        <f>LCI_Table[[#This Row],[GREET1 Name Range]]=""</f>
        <v>0</v>
      </c>
      <c r="P1722" s="14" t="s">
        <v>428</v>
      </c>
      <c r="Q1722" s="14" t="s">
        <v>665</v>
      </c>
      <c r="R1722" s="14" t="s">
        <v>109</v>
      </c>
      <c r="S1722" s="37" cm="1">
        <f t="array" aca="1" ref="S17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22" s="346" t="s">
        <v>2134</v>
      </c>
      <c r="U1722" s="347">
        <f ca="1">S1722*Fuel_Specs!$B$35/Fuel_Specs!$B$31/BTU2MJ</f>
        <v>0</v>
      </c>
      <c r="V1722" s="347">
        <v>0</v>
      </c>
      <c r="W1722" s="347">
        <v>0</v>
      </c>
      <c r="X1722" s="37" t="s">
        <v>5</v>
      </c>
      <c r="Y1722" s="346" t="s">
        <v>892</v>
      </c>
      <c r="Z1722" s="14" t="str">
        <f>IF(ISBLANK(LCI_Table[[#This Row],[Notes for user]])," ",LCI_Table[[#This Row],[Notes for user]])</f>
        <v xml:space="preserve"> </v>
      </c>
      <c r="AA1722" s="14"/>
      <c r="AB1722" s="14"/>
      <c r="AC1722" s="346">
        <f ca="1">LCI_Table[[#This Row],[Default Calculated Value]]-LCI_Table[[#This Row],[Calculated Value]]</f>
        <v>0</v>
      </c>
    </row>
    <row r="1723" spans="1:29" x14ac:dyDescent="0.3">
      <c r="A17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residueATJ-ethanolICAOConsensusStandalone_ForestResidue_Fermentation_BiomassBiomass</v>
      </c>
      <c r="B1723" s="14" t="s">
        <v>316</v>
      </c>
      <c r="C1723" s="14" t="s">
        <v>1964</v>
      </c>
      <c r="D1723" s="14" t="s">
        <v>194</v>
      </c>
      <c r="E1723" s="48" t="s">
        <v>1399</v>
      </c>
      <c r="F1723" s="48" t="s">
        <v>137</v>
      </c>
      <c r="G1723" s="14" t="b">
        <f>OR(LCI_Table[[#This Row],[Feedstock]]="All",LCI_Table[[#This Row],[Feedstock]]=SelectedFeedstock)</f>
        <v>0</v>
      </c>
      <c r="H1723" s="14" t="b">
        <f>OR(LCI_Table[[#This Row],[Conversion]]="All",LCI_Table[[#This Row],[Conversion]]=SelectedConversion)</f>
        <v>0</v>
      </c>
      <c r="I1723" s="14" t="b">
        <f>OR(LCI_Table[[#This Row],[Data Set]]="all",LCI_Table[[#This Row],[Data Set]]=SelectedDataSet)</f>
        <v>0</v>
      </c>
      <c r="J1723" s="14" t="b">
        <f>OR(LCI_Table[[#This Row],[Technology]]="All",LCI_Table[[#This Row],[Technology]]=SelectedTechnology)</f>
        <v>0</v>
      </c>
      <c r="K1723" s="14" t="b">
        <f>OR(LCI_Table[[#This Row],[Data Source]]="All",LCI_Table[[#This Row],[Data Source]]=SelectedDataSource)</f>
        <v>0</v>
      </c>
      <c r="L1723" s="14" t="b">
        <f>TRUE</f>
        <v>1</v>
      </c>
      <c r="M1723" s="14" t="b">
        <f>(LCI_Table[[#This Row],[Dev Notes]]="Do not display")</f>
        <v>0</v>
      </c>
      <c r="N1723" s="14" t="b">
        <f>AND(LCI_Table[[#This Row],[Show Feedstock]:[Conditional]],NOT(LCI_Table[[#This Row],[Hide Row]]))</f>
        <v>0</v>
      </c>
      <c r="O1723" s="14" t="b">
        <f>LCI_Table[[#This Row],[GREET1 Name Range]]=""</f>
        <v>0</v>
      </c>
      <c r="P1723" s="14" t="s">
        <v>428</v>
      </c>
      <c r="Q1723" s="14" t="s">
        <v>1409</v>
      </c>
      <c r="R1723" s="14" t="s">
        <v>1410</v>
      </c>
      <c r="S1723" s="37" cm="1">
        <f t="array" aca="1" ref="S17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23" s="346" t="s">
        <v>2134</v>
      </c>
      <c r="U1723" s="347">
        <f ca="1">S1723*Fuel_Specs!$B$100*ton2lb/Fuel_Specs!$B$31/BTU2MJ</f>
        <v>0</v>
      </c>
      <c r="V1723" s="347">
        <v>0</v>
      </c>
      <c r="W1723" s="347">
        <v>0</v>
      </c>
      <c r="X1723" s="37" t="s">
        <v>5</v>
      </c>
      <c r="Y1723" s="346" t="s">
        <v>892</v>
      </c>
      <c r="Z1723" s="14" t="str">
        <f>IF(ISBLANK(LCI_Table[[#This Row],[Notes for user]])," ",LCI_Table[[#This Row],[Notes for user]])</f>
        <v xml:space="preserve"> </v>
      </c>
      <c r="AA1723" s="14"/>
      <c r="AB1723" s="14"/>
      <c r="AC1723" s="346">
        <f ca="1">LCI_Table[[#This Row],[Default Calculated Value]]-LCI_Table[[#This Row],[Calculated Value]]</f>
        <v>0</v>
      </c>
    </row>
    <row r="1724" spans="1:29" x14ac:dyDescent="0.3">
      <c r="A17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residueATJ-ethanolICAOConsensusStandalone_ForestResidue_Fermentation_ElectricityElectricity</v>
      </c>
      <c r="B1724" s="14" t="s">
        <v>316</v>
      </c>
      <c r="C1724" s="14" t="s">
        <v>1964</v>
      </c>
      <c r="D1724" s="14" t="s">
        <v>194</v>
      </c>
      <c r="E1724" s="48" t="s">
        <v>1399</v>
      </c>
      <c r="F1724" s="48" t="s">
        <v>137</v>
      </c>
      <c r="G1724" s="14" t="b">
        <f>OR(LCI_Table[[#This Row],[Feedstock]]="All",LCI_Table[[#This Row],[Feedstock]]=SelectedFeedstock)</f>
        <v>0</v>
      </c>
      <c r="H1724" s="14" t="b">
        <f>OR(LCI_Table[[#This Row],[Conversion]]="All",LCI_Table[[#This Row],[Conversion]]=SelectedConversion)</f>
        <v>0</v>
      </c>
      <c r="I1724" s="14" t="b">
        <f>OR(LCI_Table[[#This Row],[Data Set]]="all",LCI_Table[[#This Row],[Data Set]]=SelectedDataSet)</f>
        <v>0</v>
      </c>
      <c r="J1724" s="14" t="b">
        <f>OR(LCI_Table[[#This Row],[Technology]]="All",LCI_Table[[#This Row],[Technology]]=SelectedTechnology)</f>
        <v>0</v>
      </c>
      <c r="K1724" s="14" t="b">
        <f>OR(LCI_Table[[#This Row],[Data Source]]="All",LCI_Table[[#This Row],[Data Source]]=SelectedDataSource)</f>
        <v>0</v>
      </c>
      <c r="L1724" s="14" t="b">
        <f>TRUE</f>
        <v>1</v>
      </c>
      <c r="M1724" s="14" t="b">
        <f>(LCI_Table[[#This Row],[Dev Notes]]="Do not display")</f>
        <v>0</v>
      </c>
      <c r="N1724" s="14" t="b">
        <f>AND(LCI_Table[[#This Row],[Show Feedstock]:[Conditional]],NOT(LCI_Table[[#This Row],[Hide Row]]))</f>
        <v>0</v>
      </c>
      <c r="O1724" s="14" t="b">
        <f>LCI_Table[[#This Row],[GREET1 Name Range]]=""</f>
        <v>0</v>
      </c>
      <c r="P1724" s="14" t="s">
        <v>428</v>
      </c>
      <c r="Q1724" s="14" t="s">
        <v>660</v>
      </c>
      <c r="R1724" s="348" t="s">
        <v>110</v>
      </c>
      <c r="S1724" s="37" cm="1">
        <f t="array" aca="1" ref="S17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24" s="346" t="s">
        <v>2137</v>
      </c>
      <c r="U1724" s="347">
        <f ca="1">S1724/BTU2kWh/Fuel_Specs!$B$31/BTU2MJ</f>
        <v>0</v>
      </c>
      <c r="V1724" s="347">
        <v>0</v>
      </c>
      <c r="W1724" s="347">
        <v>0</v>
      </c>
      <c r="X1724" s="14" t="s">
        <v>51</v>
      </c>
      <c r="Y1724" s="346" t="s">
        <v>892</v>
      </c>
      <c r="Z1724" s="14" t="str">
        <f>IF(ISBLANK(LCI_Table[[#This Row],[Notes for user]])," ",LCI_Table[[#This Row],[Notes for user]])</f>
        <v xml:space="preserve"> </v>
      </c>
      <c r="AA1724" s="14"/>
      <c r="AB1724" s="14"/>
      <c r="AC1724" s="346">
        <f ca="1">LCI_Table[[#This Row],[Default Calculated Value]]-LCI_Table[[#This Row],[Calculated Value]]</f>
        <v>0</v>
      </c>
    </row>
    <row r="1725" spans="1:29" x14ac:dyDescent="0.3">
      <c r="A17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residueATJ-ethanolICAOConsensusStandalone_ForestResidue_Fermentation_RNGRenewable natural gas</v>
      </c>
      <c r="B1725" s="14" t="s">
        <v>316</v>
      </c>
      <c r="C1725" s="14" t="s">
        <v>1964</v>
      </c>
      <c r="D1725" s="14" t="s">
        <v>194</v>
      </c>
      <c r="E1725" s="48" t="s">
        <v>1399</v>
      </c>
      <c r="F1725" s="48" t="s">
        <v>137</v>
      </c>
      <c r="G1725" s="14" t="b">
        <f>OR(LCI_Table[[#This Row],[Feedstock]]="All",LCI_Table[[#This Row],[Feedstock]]=SelectedFeedstock)</f>
        <v>0</v>
      </c>
      <c r="H1725" s="14" t="b">
        <f>OR(LCI_Table[[#This Row],[Conversion]]="All",LCI_Table[[#This Row],[Conversion]]=SelectedConversion)</f>
        <v>0</v>
      </c>
      <c r="I1725" s="14" t="b">
        <f>OR(LCI_Table[[#This Row],[Data Set]]="all",LCI_Table[[#This Row],[Data Set]]=SelectedDataSet)</f>
        <v>0</v>
      </c>
      <c r="J1725" s="14" t="b">
        <f>OR(LCI_Table[[#This Row],[Technology]]="All",LCI_Table[[#This Row],[Technology]]=SelectedTechnology)</f>
        <v>0</v>
      </c>
      <c r="K1725" s="14" t="b">
        <f>OR(LCI_Table[[#This Row],[Data Source]]="All",LCI_Table[[#This Row],[Data Source]]=SelectedDataSource)</f>
        <v>0</v>
      </c>
      <c r="L1725" s="14" t="b">
        <f>TRUE</f>
        <v>1</v>
      </c>
      <c r="M1725" s="14" t="b">
        <f>(LCI_Table[[#This Row],[Dev Notes]]="Do not display")</f>
        <v>0</v>
      </c>
      <c r="N1725" s="14" t="b">
        <f>AND(LCI_Table[[#This Row],[Show Feedstock]:[Conditional]],NOT(LCI_Table[[#This Row],[Hide Row]]))</f>
        <v>0</v>
      </c>
      <c r="O1725" s="14" t="b">
        <f>LCI_Table[[#This Row],[GREET1 Name Range]]=""</f>
        <v>0</v>
      </c>
      <c r="P1725" s="14" t="s">
        <v>428</v>
      </c>
      <c r="Q1725" s="14" t="s">
        <v>669</v>
      </c>
      <c r="R1725" s="348" t="s">
        <v>352</v>
      </c>
      <c r="S1725" s="37" cm="1">
        <f t="array" aca="1" ref="S17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25" s="346" t="s">
        <v>2135</v>
      </c>
      <c r="U1725" s="347">
        <f ca="1">S1725*Fuel_Specs!$B$79/Fuel_Specs!$B$31/BTU2MJ</f>
        <v>0</v>
      </c>
      <c r="V1725" s="347">
        <v>0</v>
      </c>
      <c r="W1725" s="347">
        <v>0</v>
      </c>
      <c r="X1725" s="14" t="s">
        <v>351</v>
      </c>
      <c r="Y1725" s="346" t="s">
        <v>892</v>
      </c>
      <c r="Z1725" s="14" t="str">
        <f>IF(ISBLANK(LCI_Table[[#This Row],[Notes for user]])," ",LCI_Table[[#This Row],[Notes for user]])</f>
        <v xml:space="preserve"> </v>
      </c>
      <c r="AA1725" s="14"/>
      <c r="AB1725" s="14"/>
      <c r="AC1725" s="346">
        <f ca="1">LCI_Table[[#This Row],[Default Calculated Value]]-LCI_Table[[#This Row],[Calculated Value]]</f>
        <v>0</v>
      </c>
    </row>
    <row r="1726" spans="1:29" x14ac:dyDescent="0.3">
      <c r="A17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residueATJ-ethanolICAOConsensusStandalone_Corn_stover_EtOH_Fermentation_AllocationAllocation factor</v>
      </c>
      <c r="B1726" s="14" t="s">
        <v>316</v>
      </c>
      <c r="C1726" s="14" t="s">
        <v>1964</v>
      </c>
      <c r="D1726" s="14" t="s">
        <v>194</v>
      </c>
      <c r="E1726" s="48" t="s">
        <v>1399</v>
      </c>
      <c r="F1726" s="48" t="s">
        <v>137</v>
      </c>
      <c r="G1726" s="14" t="b">
        <f>OR(LCI_Table[[#This Row],[Feedstock]]="All",LCI_Table[[#This Row],[Feedstock]]=SelectedFeedstock)</f>
        <v>0</v>
      </c>
      <c r="H1726" s="14" t="b">
        <f>OR(LCI_Table[[#This Row],[Conversion]]="All",LCI_Table[[#This Row],[Conversion]]=SelectedConversion)</f>
        <v>0</v>
      </c>
      <c r="I1726" s="14" t="b">
        <f>OR(LCI_Table[[#This Row],[Data Set]]="all",LCI_Table[[#This Row],[Data Set]]=SelectedDataSet)</f>
        <v>0</v>
      </c>
      <c r="J1726" s="14" t="b">
        <f>OR(LCI_Table[[#This Row],[Technology]]="All",LCI_Table[[#This Row],[Technology]]=SelectedTechnology)</f>
        <v>0</v>
      </c>
      <c r="K1726" s="14" t="b">
        <f>OR(LCI_Table[[#This Row],[Data Source]]="All",LCI_Table[[#This Row],[Data Source]]=SelectedDataSource)</f>
        <v>0</v>
      </c>
      <c r="L1726" s="14" t="b">
        <f>TRUE</f>
        <v>1</v>
      </c>
      <c r="M1726" s="14" t="b">
        <f>(LCI_Table[[#This Row],[Dev Notes]]="Do not display")</f>
        <v>0</v>
      </c>
      <c r="N1726" s="14" t="b">
        <f>AND(LCI_Table[[#This Row],[Show Feedstock]:[Conditional]],NOT(LCI_Table[[#This Row],[Hide Row]]))</f>
        <v>0</v>
      </c>
      <c r="O1726" s="14" t="b">
        <f>LCI_Table[[#This Row],[GREET1 Name Range]]=""</f>
        <v>0</v>
      </c>
      <c r="P1726" s="14" t="s">
        <v>428</v>
      </c>
      <c r="Q1726" s="14" t="s">
        <v>1104</v>
      </c>
      <c r="R1726" s="348" t="s">
        <v>1344</v>
      </c>
      <c r="S1726" s="37" cm="1">
        <f t="array" aca="1" ref="S17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91.911764705882348</v>
      </c>
      <c r="T1726" s="346" t="s">
        <v>1345</v>
      </c>
      <c r="U1726" s="347">
        <f ca="1">S1726/100</f>
        <v>0.91911764705882348</v>
      </c>
      <c r="V1726" s="347">
        <v>91.911764705882348</v>
      </c>
      <c r="W1726" s="347">
        <v>0.91911764705882348</v>
      </c>
      <c r="X1726" s="14"/>
      <c r="Y1726" s="346"/>
      <c r="Z1726" s="14" t="str">
        <f>IF(ISBLANK(LCI_Table[[#This Row],[Notes for user]])," ",LCI_Table[[#This Row],[Notes for user]])</f>
        <v>Co-produced electricity</v>
      </c>
      <c r="AA1726" s="14" t="s">
        <v>1407</v>
      </c>
      <c r="AB1726" s="14"/>
      <c r="AC1726" s="346">
        <f ca="1">LCI_Table[[#This Row],[Default Calculated Value]]-LCI_Table[[#This Row],[Calculated Value]]</f>
        <v>0</v>
      </c>
    </row>
    <row r="1727" spans="1:29" x14ac:dyDescent="0.3">
      <c r="A17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residueATJ-ethanolICAOConsensusStandalone_JetFuel_ETJet_EthanolFeedstockSelector</v>
      </c>
      <c r="B1727" s="14" t="s">
        <v>316</v>
      </c>
      <c r="C1727" s="14" t="s">
        <v>1964</v>
      </c>
      <c r="D1727" s="14" t="s">
        <v>194</v>
      </c>
      <c r="E1727" s="48" t="s">
        <v>1399</v>
      </c>
      <c r="F1727" s="48" t="s">
        <v>137</v>
      </c>
      <c r="G1727" s="14" t="b">
        <f>OR(LCI_Table[[#This Row],[Feedstock]]="All",LCI_Table[[#This Row],[Feedstock]]=SelectedFeedstock)</f>
        <v>0</v>
      </c>
      <c r="H1727" s="14" t="b">
        <f>OR(LCI_Table[[#This Row],[Conversion]]="All",LCI_Table[[#This Row],[Conversion]]=SelectedConversion)</f>
        <v>0</v>
      </c>
      <c r="I1727" s="14" t="b">
        <f>OR(LCI_Table[[#This Row],[Data Set]]="all",LCI_Table[[#This Row],[Data Set]]=SelectedDataSet)</f>
        <v>0</v>
      </c>
      <c r="J1727" s="14" t="b">
        <f>OR(LCI_Table[[#This Row],[Technology]]="All",LCI_Table[[#This Row],[Technology]]=SelectedTechnology)</f>
        <v>0</v>
      </c>
      <c r="K1727" s="14" t="b">
        <f>OR(LCI_Table[[#This Row],[Data Source]]="All",LCI_Table[[#This Row],[Data Source]]=SelectedDataSource)</f>
        <v>0</v>
      </c>
      <c r="L1727" s="14" t="b">
        <f>TRUE</f>
        <v>1</v>
      </c>
      <c r="M1727" s="14" t="b">
        <f>(LCI_Table[[#This Row],[Dev Notes]]="Do not display")</f>
        <v>1</v>
      </c>
      <c r="N1727" s="14" t="b">
        <f>AND(LCI_Table[[#This Row],[Show Feedstock]:[Conditional]],NOT(LCI_Table[[#This Row],[Hide Row]]))</f>
        <v>0</v>
      </c>
      <c r="O1727" s="14" t="b">
        <f>LCI_Table[[#This Row],[GREET1 Name Range]]=""</f>
        <v>0</v>
      </c>
      <c r="P1727" s="14" t="s">
        <v>1448</v>
      </c>
      <c r="Q1727" s="14" t="s">
        <v>87</v>
      </c>
      <c r="R1727" s="14" t="s">
        <v>902</v>
      </c>
      <c r="S1727" s="37" cm="1">
        <f t="array" aca="1" ref="S17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v>
      </c>
      <c r="T1727" s="346" t="s">
        <v>2132</v>
      </c>
      <c r="U1727" s="352">
        <v>10</v>
      </c>
      <c r="V1727" s="352">
        <v>10</v>
      </c>
      <c r="W1727" s="352">
        <v>10</v>
      </c>
      <c r="X1727" s="356"/>
      <c r="Y1727" s="346" t="s">
        <v>416</v>
      </c>
      <c r="Z1727" s="14" t="str">
        <f>IF(ISBLANK(LCI_Table[[#This Row],[Notes for user]])," ",LCI_Table[[#This Row],[Notes for user]])</f>
        <v xml:space="preserve"> </v>
      </c>
      <c r="AA1727" s="14"/>
      <c r="AB1727" s="14" t="s">
        <v>1138</v>
      </c>
      <c r="AC1727" s="346">
        <f>LCI_Table[[#This Row],[Default Calculated Value]]-LCI_Table[[#This Row],[Calculated Value]]</f>
        <v>0</v>
      </c>
    </row>
    <row r="1728" spans="1:29" x14ac:dyDescent="0.3">
      <c r="A17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residueATJ-ethanolICAOConsensusStandalone_Ethanol_ETJ_distributed_EthanolEthanol</v>
      </c>
      <c r="B1728" s="14" t="s">
        <v>316</v>
      </c>
      <c r="C1728" s="14" t="s">
        <v>1964</v>
      </c>
      <c r="D1728" s="14" t="s">
        <v>194</v>
      </c>
      <c r="E1728" s="48" t="s">
        <v>1399</v>
      </c>
      <c r="F1728" s="48" t="s">
        <v>137</v>
      </c>
      <c r="G1728" s="14" t="b">
        <f>OR(LCI_Table[[#This Row],[Feedstock]]="All",LCI_Table[[#This Row],[Feedstock]]=SelectedFeedstock)</f>
        <v>0</v>
      </c>
      <c r="H1728" s="14" t="b">
        <f>OR(LCI_Table[[#This Row],[Conversion]]="All",LCI_Table[[#This Row],[Conversion]]=SelectedConversion)</f>
        <v>0</v>
      </c>
      <c r="I1728" s="14" t="b">
        <f>OR(LCI_Table[[#This Row],[Data Set]]="all",LCI_Table[[#This Row],[Data Set]]=SelectedDataSet)</f>
        <v>0</v>
      </c>
      <c r="J1728" s="14" t="b">
        <f>OR(LCI_Table[[#This Row],[Technology]]="All",LCI_Table[[#This Row],[Technology]]=SelectedTechnology)</f>
        <v>0</v>
      </c>
      <c r="K1728" s="14" t="b">
        <f>OR(LCI_Table[[#This Row],[Data Source]]="All",LCI_Table[[#This Row],[Data Source]]=SelectedDataSource)</f>
        <v>0</v>
      </c>
      <c r="L1728" s="14" t="b">
        <f>TRUE</f>
        <v>1</v>
      </c>
      <c r="M1728" s="14" t="b">
        <f>(LCI_Table[[#This Row],[Dev Notes]]="Do not display")</f>
        <v>0</v>
      </c>
      <c r="N1728" s="14" t="b">
        <f>AND(LCI_Table[[#This Row],[Show Feedstock]:[Conditional]],NOT(LCI_Table[[#This Row],[Hide Row]]))</f>
        <v>0</v>
      </c>
      <c r="O1728" s="14" t="b">
        <f>LCI_Table[[#This Row],[GREET1 Name Range]]=""</f>
        <v>0</v>
      </c>
      <c r="P1728" s="14" t="s">
        <v>1448</v>
      </c>
      <c r="Q1728" s="14" t="s">
        <v>641</v>
      </c>
      <c r="R1728" s="14" t="s">
        <v>138</v>
      </c>
      <c r="S1728" s="37" cm="1">
        <f t="array" aca="1" ref="S17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13.818264556327076</v>
      </c>
      <c r="T1728" s="346" t="s">
        <v>2128</v>
      </c>
      <c r="U1728" s="357">
        <f ca="1">S1728/mmBTU2MJ/Allocations!$O$168*Fuel_Specs!$E$31*g2kg</f>
        <v>3.9134397003064154E-2</v>
      </c>
      <c r="V1728" s="347">
        <v>13.818264556327076</v>
      </c>
      <c r="W1728" s="347">
        <v>3.9134397003064154E-2</v>
      </c>
      <c r="X1728" s="37" t="s">
        <v>5</v>
      </c>
      <c r="Y1728" s="346" t="s">
        <v>416</v>
      </c>
      <c r="Z1728" s="14" t="str">
        <f>IF(ISBLANK(LCI_Table[[#This Row],[Notes for user]])," ",LCI_Table[[#This Row],[Notes for user]])</f>
        <v xml:space="preserve"> </v>
      </c>
      <c r="AA1728" s="14"/>
      <c r="AB1728" s="14"/>
      <c r="AC1728" s="346">
        <f ca="1">LCI_Table[[#This Row],[Default Calculated Value]]-LCI_Table[[#This Row],[Calculated Value]]</f>
        <v>0</v>
      </c>
    </row>
    <row r="1729" spans="1:29" x14ac:dyDescent="0.3">
      <c r="A17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residueATJ-ethanolICAOConsensusStandalone_Ethanol_ETJ_distributed_HydrogenHydrogen</v>
      </c>
      <c r="B1729" s="358" t="s">
        <v>316</v>
      </c>
      <c r="C1729" s="358" t="s">
        <v>1964</v>
      </c>
      <c r="D1729" s="358" t="s">
        <v>194</v>
      </c>
      <c r="E1729" s="48" t="s">
        <v>1399</v>
      </c>
      <c r="F1729" s="48" t="s">
        <v>137</v>
      </c>
      <c r="G1729" s="14" t="b">
        <f>OR(LCI_Table[[#This Row],[Feedstock]]="All",LCI_Table[[#This Row],[Feedstock]]=SelectedFeedstock)</f>
        <v>0</v>
      </c>
      <c r="H1729" s="14" t="b">
        <f>OR(LCI_Table[[#This Row],[Conversion]]="All",LCI_Table[[#This Row],[Conversion]]=SelectedConversion)</f>
        <v>0</v>
      </c>
      <c r="I1729" s="14" t="b">
        <f>OR(LCI_Table[[#This Row],[Data Set]]="all",LCI_Table[[#This Row],[Data Set]]=SelectedDataSet)</f>
        <v>0</v>
      </c>
      <c r="J1729" s="14" t="b">
        <f>OR(LCI_Table[[#This Row],[Technology]]="All",LCI_Table[[#This Row],[Technology]]=SelectedTechnology)</f>
        <v>0</v>
      </c>
      <c r="K1729" s="14" t="b">
        <f>OR(LCI_Table[[#This Row],[Data Source]]="All",LCI_Table[[#This Row],[Data Source]]=SelectedDataSource)</f>
        <v>0</v>
      </c>
      <c r="L1729" s="14" t="b">
        <f>TRUE</f>
        <v>1</v>
      </c>
      <c r="M1729" s="14" t="b">
        <f>(LCI_Table[[#This Row],[Dev Notes]]="Do not display")</f>
        <v>0</v>
      </c>
      <c r="N1729" s="14" t="b">
        <f>AND(LCI_Table[[#This Row],[Show Feedstock]:[Conditional]],NOT(LCI_Table[[#This Row],[Hide Row]]))</f>
        <v>0</v>
      </c>
      <c r="O1729" s="14" t="b">
        <f>LCI_Table[[#This Row],[GREET1 Name Range]]=""</f>
        <v>0</v>
      </c>
      <c r="P1729" s="358" t="s">
        <v>1448</v>
      </c>
      <c r="Q1729" s="14" t="s">
        <v>642</v>
      </c>
      <c r="R1729" s="358" t="s">
        <v>73</v>
      </c>
      <c r="S1729" s="37" cm="1">
        <f t="array" aca="1" ref="S17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215.31199228878882</v>
      </c>
      <c r="T1729" s="346" t="s">
        <v>2120</v>
      </c>
      <c r="U1729" s="362">
        <f ca="1">S1729/kg2g*Fuel_Specs!$E$81/Allocations!$O$168*MJ2mmBTU</f>
        <v>5.2039480216749788E-4</v>
      </c>
      <c r="V1729" s="359">
        <v>215.31199228878882</v>
      </c>
      <c r="W1729" s="359">
        <v>5.2039480216749788E-4</v>
      </c>
      <c r="X1729" s="360" t="s">
        <v>351</v>
      </c>
      <c r="Y1729" s="346" t="s">
        <v>416</v>
      </c>
      <c r="Z1729" s="14" t="str">
        <f>IF(ISBLANK(LCI_Table[[#This Row],[Notes for user]])," ",LCI_Table[[#This Row],[Notes for user]])</f>
        <v xml:space="preserve"> </v>
      </c>
      <c r="AA1729" s="358"/>
      <c r="AB1729" s="358"/>
      <c r="AC1729" s="346">
        <f ca="1">LCI_Table[[#This Row],[Default Calculated Value]]-LCI_Table[[#This Row],[Calculated Value]]</f>
        <v>0</v>
      </c>
    </row>
    <row r="1730" spans="1:29" x14ac:dyDescent="0.3">
      <c r="A17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residueATJ-ethanolICAOConsensusStandalone_Ethanol_ETJ_distributed_Natural_gasNatural gas</v>
      </c>
      <c r="B1730" s="358" t="s">
        <v>316</v>
      </c>
      <c r="C1730" s="358" t="s">
        <v>1964</v>
      </c>
      <c r="D1730" s="358" t="s">
        <v>194</v>
      </c>
      <c r="E1730" s="48" t="s">
        <v>1399</v>
      </c>
      <c r="F1730" s="48" t="s">
        <v>137</v>
      </c>
      <c r="G1730" s="14" t="b">
        <f>OR(LCI_Table[[#This Row],[Feedstock]]="All",LCI_Table[[#This Row],[Feedstock]]=SelectedFeedstock)</f>
        <v>0</v>
      </c>
      <c r="H1730" s="14" t="b">
        <f>OR(LCI_Table[[#This Row],[Conversion]]="All",LCI_Table[[#This Row],[Conversion]]=SelectedConversion)</f>
        <v>0</v>
      </c>
      <c r="I1730" s="14" t="b">
        <f>OR(LCI_Table[[#This Row],[Data Set]]="all",LCI_Table[[#This Row],[Data Set]]=SelectedDataSet)</f>
        <v>0</v>
      </c>
      <c r="J1730" s="14" t="b">
        <f>OR(LCI_Table[[#This Row],[Technology]]="All",LCI_Table[[#This Row],[Technology]]=SelectedTechnology)</f>
        <v>0</v>
      </c>
      <c r="K1730" s="14" t="b">
        <f>OR(LCI_Table[[#This Row],[Data Source]]="All",LCI_Table[[#This Row],[Data Source]]=SelectedDataSource)</f>
        <v>0</v>
      </c>
      <c r="L1730" s="14" t="b">
        <f>TRUE</f>
        <v>1</v>
      </c>
      <c r="M1730" s="14" t="b">
        <f>(LCI_Table[[#This Row],[Dev Notes]]="Do not display")</f>
        <v>0</v>
      </c>
      <c r="N1730" s="14" t="b">
        <f>AND(LCI_Table[[#This Row],[Show Feedstock]:[Conditional]],NOT(LCI_Table[[#This Row],[Hide Row]]))</f>
        <v>0</v>
      </c>
      <c r="O1730" s="14" t="b">
        <f>LCI_Table[[#This Row],[GREET1 Name Range]]=""</f>
        <v>0</v>
      </c>
      <c r="P1730" s="358" t="s">
        <v>1448</v>
      </c>
      <c r="Q1730" s="14" t="s">
        <v>643</v>
      </c>
      <c r="R1730" s="358" t="s">
        <v>108</v>
      </c>
      <c r="S1730" s="37" cm="1">
        <f t="array" aca="1" ref="S17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196.87078679193246</v>
      </c>
      <c r="T1730" s="346" t="s">
        <v>2120</v>
      </c>
      <c r="U1730" s="362">
        <f ca="1">S1730/kg2g*Fuel_Specs!$E$79/Allocations!$O$168*MJ2mmBTU</f>
        <v>4.1051450588350507E-3</v>
      </c>
      <c r="V1730" s="359">
        <v>196.87078679193246</v>
      </c>
      <c r="W1730" s="359">
        <v>4.1051450588350507E-3</v>
      </c>
      <c r="X1730" s="358" t="s">
        <v>351</v>
      </c>
      <c r="Y1730" s="346" t="s">
        <v>416</v>
      </c>
      <c r="Z1730" s="14" t="str">
        <f>IF(ISBLANK(LCI_Table[[#This Row],[Notes for user]])," ",LCI_Table[[#This Row],[Notes for user]])</f>
        <v xml:space="preserve"> </v>
      </c>
      <c r="AA1730" s="358"/>
      <c r="AB1730" s="358"/>
      <c r="AC1730" s="346">
        <f ca="1">LCI_Table[[#This Row],[Default Calculated Value]]-LCI_Table[[#This Row],[Calculated Value]]</f>
        <v>0</v>
      </c>
    </row>
    <row r="1731" spans="1:29" x14ac:dyDescent="0.3">
      <c r="A17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residueATJ-ethanolICAOConsensusStandalone_Ethanol_ETJ_distributed_ElectricityGrid Electricity</v>
      </c>
      <c r="B1731" s="14" t="s">
        <v>316</v>
      </c>
      <c r="C1731" s="14" t="s">
        <v>1964</v>
      </c>
      <c r="D1731" s="14" t="s">
        <v>194</v>
      </c>
      <c r="E1731" s="48" t="s">
        <v>1399</v>
      </c>
      <c r="F1731" s="48" t="s">
        <v>137</v>
      </c>
      <c r="G1731" s="14" t="b">
        <f>OR(LCI_Table[[#This Row],[Feedstock]]="All",LCI_Table[[#This Row],[Feedstock]]=SelectedFeedstock)</f>
        <v>0</v>
      </c>
      <c r="H1731" s="14" t="b">
        <f>OR(LCI_Table[[#This Row],[Conversion]]="All",LCI_Table[[#This Row],[Conversion]]=SelectedConversion)</f>
        <v>0</v>
      </c>
      <c r="I1731" s="14" t="b">
        <f>OR(LCI_Table[[#This Row],[Data Set]]="all",LCI_Table[[#This Row],[Data Set]]=SelectedDataSet)</f>
        <v>0</v>
      </c>
      <c r="J1731" s="14" t="b">
        <f>OR(LCI_Table[[#This Row],[Technology]]="All",LCI_Table[[#This Row],[Technology]]=SelectedTechnology)</f>
        <v>0</v>
      </c>
      <c r="K1731" s="14" t="b">
        <f>OR(LCI_Table[[#This Row],[Data Source]]="All",LCI_Table[[#This Row],[Data Source]]=SelectedDataSource)</f>
        <v>0</v>
      </c>
      <c r="L1731" s="14" t="b">
        <f>TRUE</f>
        <v>1</v>
      </c>
      <c r="M1731" s="14" t="b">
        <f>(LCI_Table[[#This Row],[Dev Notes]]="Do not display")</f>
        <v>0</v>
      </c>
      <c r="N1731" s="14" t="b">
        <f>AND(LCI_Table[[#This Row],[Show Feedstock]:[Conditional]],NOT(LCI_Table[[#This Row],[Hide Row]]))</f>
        <v>0</v>
      </c>
      <c r="O1731" s="14" t="b">
        <f>LCI_Table[[#This Row],[GREET1 Name Range]]=""</f>
        <v>0</v>
      </c>
      <c r="P1731" s="14" t="s">
        <v>1448</v>
      </c>
      <c r="Q1731" s="14" t="s">
        <v>640</v>
      </c>
      <c r="R1731" s="14" t="s">
        <v>1684</v>
      </c>
      <c r="S1731" s="37" cm="1">
        <f t="array" aca="1" ref="S17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2.2371343761082442E-2</v>
      </c>
      <c r="T1731" s="346" t="s">
        <v>2121</v>
      </c>
      <c r="U1731" s="357">
        <f ca="1">S1731/Allocations!$O$168*MJ2mmBTU</f>
        <v>2.12039426738238E-5</v>
      </c>
      <c r="V1731" s="347">
        <v>2.2371343761082442E-2</v>
      </c>
      <c r="W1731" s="347">
        <v>2.12039426738238E-5</v>
      </c>
      <c r="X1731" s="37" t="s">
        <v>51</v>
      </c>
      <c r="Y1731" s="346" t="s">
        <v>416</v>
      </c>
      <c r="Z1731" s="14" t="str">
        <f>IF(ISBLANK(LCI_Table[[#This Row],[Notes for user]])," ",LCI_Table[[#This Row],[Notes for user]])</f>
        <v xml:space="preserve"> </v>
      </c>
      <c r="AA1731" s="14"/>
      <c r="AB1731" s="14"/>
      <c r="AC1731" s="346">
        <f ca="1">LCI_Table[[#This Row],[Default Calculated Value]]-LCI_Table[[#This Row],[Calculated Value]]</f>
        <v>0</v>
      </c>
    </row>
    <row r="1732" spans="1:29" x14ac:dyDescent="0.3">
      <c r="A17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residueATJ-ethanolICAOConsensusStandalone_Ethanol_ETJ_distributed_CatalystsCatalysts</v>
      </c>
      <c r="B1732" s="14" t="s">
        <v>316</v>
      </c>
      <c r="C1732" s="14" t="s">
        <v>1964</v>
      </c>
      <c r="D1732" s="14" t="s">
        <v>194</v>
      </c>
      <c r="E1732" s="48" t="s">
        <v>1399</v>
      </c>
      <c r="F1732" s="48" t="s">
        <v>137</v>
      </c>
      <c r="G1732" s="14" t="b">
        <f>OR(LCI_Table[[#This Row],[Feedstock]]="All",LCI_Table[[#This Row],[Feedstock]]=SelectedFeedstock)</f>
        <v>0</v>
      </c>
      <c r="H1732" s="14" t="b">
        <f>OR(LCI_Table[[#This Row],[Conversion]]="All",LCI_Table[[#This Row],[Conversion]]=SelectedConversion)</f>
        <v>0</v>
      </c>
      <c r="I1732" s="14" t="b">
        <f>OR(LCI_Table[[#This Row],[Data Set]]="all",LCI_Table[[#This Row],[Data Set]]=SelectedDataSet)</f>
        <v>0</v>
      </c>
      <c r="J1732" s="14" t="b">
        <f>OR(LCI_Table[[#This Row],[Technology]]="All",LCI_Table[[#This Row],[Technology]]=SelectedTechnology)</f>
        <v>0</v>
      </c>
      <c r="K1732" s="14" t="b">
        <f>OR(LCI_Table[[#This Row],[Data Source]]="All",LCI_Table[[#This Row],[Data Source]]=SelectedDataSource)</f>
        <v>0</v>
      </c>
      <c r="L1732" s="14" t="b">
        <f>TRUE</f>
        <v>1</v>
      </c>
      <c r="M1732" s="14" t="b">
        <f>(LCI_Table[[#This Row],[Dev Notes]]="Do not display")</f>
        <v>0</v>
      </c>
      <c r="N1732" s="14" t="b">
        <f>AND(LCI_Table[[#This Row],[Show Feedstock]:[Conditional]],NOT(LCI_Table[[#This Row],[Hide Row]]))</f>
        <v>0</v>
      </c>
      <c r="O1732" s="14" t="b">
        <f>LCI_Table[[#This Row],[GREET1 Name Range]]=""</f>
        <v>0</v>
      </c>
      <c r="P1732" s="14" t="s">
        <v>1448</v>
      </c>
      <c r="Q1732" s="14" t="s">
        <v>639</v>
      </c>
      <c r="R1732" s="14" t="s">
        <v>142</v>
      </c>
      <c r="S1732" s="37" cm="1">
        <f t="array" aca="1" ref="S17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32" s="346" t="s">
        <v>2119</v>
      </c>
      <c r="U1732" s="347">
        <f ca="1">S1732/kg2lb/Allocations!$O$168*MJ2mmBTU</f>
        <v>0</v>
      </c>
      <c r="V1732" s="347">
        <v>0</v>
      </c>
      <c r="W1732" s="347">
        <v>0</v>
      </c>
      <c r="X1732" s="37" t="s">
        <v>12</v>
      </c>
      <c r="Y1732" s="346" t="s">
        <v>416</v>
      </c>
      <c r="Z1732" s="14" t="str">
        <f>IF(ISBLANK(LCI_Table[[#This Row],[Notes for user]])," ",LCI_Table[[#This Row],[Notes for user]])</f>
        <v xml:space="preserve"> </v>
      </c>
      <c r="AA1732" s="14"/>
      <c r="AB1732" s="14"/>
      <c r="AC1732" s="346">
        <f ca="1">LCI_Table[[#This Row],[Default Calculated Value]]-LCI_Table[[#This Row],[Calculated Value]]</f>
        <v>0</v>
      </c>
    </row>
    <row r="1733" spans="1:29" x14ac:dyDescent="0.3">
      <c r="A17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residueATJ-ethanolICAOConsensusStandalone_Ethanol_ETJ_distributed_WaterWater</v>
      </c>
      <c r="B1733" s="14" t="s">
        <v>316</v>
      </c>
      <c r="C1733" s="14" t="s">
        <v>1964</v>
      </c>
      <c r="D1733" s="14" t="s">
        <v>194</v>
      </c>
      <c r="E1733" s="48" t="s">
        <v>1399</v>
      </c>
      <c r="F1733" s="48" t="s">
        <v>137</v>
      </c>
      <c r="G1733" s="14" t="b">
        <f>OR(LCI_Table[[#This Row],[Feedstock]]="All",LCI_Table[[#This Row],[Feedstock]]=SelectedFeedstock)</f>
        <v>0</v>
      </c>
      <c r="H1733" s="14" t="b">
        <f>OR(LCI_Table[[#This Row],[Conversion]]="All",LCI_Table[[#This Row],[Conversion]]=SelectedConversion)</f>
        <v>0</v>
      </c>
      <c r="I1733" s="14" t="b">
        <f>OR(LCI_Table[[#This Row],[Data Set]]="all",LCI_Table[[#This Row],[Data Set]]=SelectedDataSet)</f>
        <v>0</v>
      </c>
      <c r="J1733" s="14" t="b">
        <f>OR(LCI_Table[[#This Row],[Technology]]="All",LCI_Table[[#This Row],[Technology]]=SelectedTechnology)</f>
        <v>0</v>
      </c>
      <c r="K1733" s="14" t="b">
        <f>OR(LCI_Table[[#This Row],[Data Source]]="All",LCI_Table[[#This Row],[Data Source]]=SelectedDataSource)</f>
        <v>0</v>
      </c>
      <c r="L1733" s="14" t="b">
        <f>TRUE</f>
        <v>1</v>
      </c>
      <c r="M1733" s="14" t="b">
        <f>(LCI_Table[[#This Row],[Dev Notes]]="Do not display")</f>
        <v>0</v>
      </c>
      <c r="N1733" s="14" t="b">
        <f>AND(LCI_Table[[#This Row],[Show Feedstock]:[Conditional]],NOT(LCI_Table[[#This Row],[Hide Row]]))</f>
        <v>0</v>
      </c>
      <c r="O1733" s="14" t="b">
        <f>LCI_Table[[#This Row],[GREET1 Name Range]]=""</f>
        <v>0</v>
      </c>
      <c r="P1733" s="14" t="s">
        <v>1448</v>
      </c>
      <c r="Q1733" s="14" t="s">
        <v>644</v>
      </c>
      <c r="R1733" s="14" t="s">
        <v>146</v>
      </c>
      <c r="S1733" s="37" cm="1">
        <f t="array" aca="1" ref="S17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33" s="346" t="s">
        <v>2128</v>
      </c>
      <c r="U1733" s="347">
        <f ca="1">S1733/kg2lb*Fuel_Specs!$K$4/Allocations!$O$168*MJ2mmBTU</f>
        <v>0</v>
      </c>
      <c r="V1733" s="347">
        <v>0</v>
      </c>
      <c r="W1733" s="347">
        <v>0</v>
      </c>
      <c r="X1733" s="37" t="s">
        <v>5</v>
      </c>
      <c r="Y1733" s="346" t="s">
        <v>416</v>
      </c>
      <c r="Z1733" s="14" t="str">
        <f>IF(ISBLANK(LCI_Table[[#This Row],[Notes for user]])," ",LCI_Table[[#This Row],[Notes for user]])</f>
        <v xml:space="preserve"> </v>
      </c>
      <c r="AA1733" s="14"/>
      <c r="AB1733" s="14"/>
      <c r="AC1733" s="346">
        <f ca="1">LCI_Table[[#This Row],[Default Calculated Value]]-LCI_Table[[#This Row],[Calculated Value]]</f>
        <v>0</v>
      </c>
    </row>
    <row r="1734" spans="1:29" x14ac:dyDescent="0.3">
      <c r="A17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residueATJ-ethanolICAOConsensusStandalone_Ethanol_ETJ_distributed_Allocation_FactorAllocation factor</v>
      </c>
      <c r="B1734" s="14" t="s">
        <v>316</v>
      </c>
      <c r="C1734" s="14" t="s">
        <v>1964</v>
      </c>
      <c r="D1734" s="14" t="s">
        <v>194</v>
      </c>
      <c r="E1734" s="48" t="s">
        <v>1399</v>
      </c>
      <c r="F1734" s="48" t="s">
        <v>137</v>
      </c>
      <c r="G1734" s="14" t="b">
        <f>OR(LCI_Table[[#This Row],[Feedstock]]="All",LCI_Table[[#This Row],[Feedstock]]=SelectedFeedstock)</f>
        <v>0</v>
      </c>
      <c r="H1734" s="14" t="b">
        <f>OR(LCI_Table[[#This Row],[Conversion]]="All",LCI_Table[[#This Row],[Conversion]]=SelectedConversion)</f>
        <v>0</v>
      </c>
      <c r="I1734" s="14" t="b">
        <f>OR(LCI_Table[[#This Row],[Data Set]]="all",LCI_Table[[#This Row],[Data Set]]=SelectedDataSet)</f>
        <v>0</v>
      </c>
      <c r="J1734" s="14" t="b">
        <f>OR(LCI_Table[[#This Row],[Technology]]="All",LCI_Table[[#This Row],[Technology]]=SelectedTechnology)</f>
        <v>0</v>
      </c>
      <c r="K1734" s="14" t="b">
        <f>OR(LCI_Table[[#This Row],[Data Source]]="All",LCI_Table[[#This Row],[Data Source]]=SelectedDataSource)</f>
        <v>0</v>
      </c>
      <c r="L1734" s="14" t="b">
        <f>TRUE</f>
        <v>1</v>
      </c>
      <c r="M1734" s="14" t="b">
        <f>(LCI_Table[[#This Row],[Dev Notes]]="Do not display")</f>
        <v>0</v>
      </c>
      <c r="N1734" s="14" t="b">
        <f>AND(LCI_Table[[#This Row],[Show Feedstock]:[Conditional]],NOT(LCI_Table[[#This Row],[Hide Row]]))</f>
        <v>0</v>
      </c>
      <c r="O1734" s="14" t="b">
        <f>LCI_Table[[#This Row],[GREET1 Name Range]]=""</f>
        <v>0</v>
      </c>
      <c r="P1734" s="14" t="s">
        <v>1448</v>
      </c>
      <c r="Q1734" s="14" t="s">
        <v>1123</v>
      </c>
      <c r="R1734" s="14" t="s">
        <v>1344</v>
      </c>
      <c r="S1734" s="37" cm="1">
        <f t="array" aca="1" ref="S17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100</v>
      </c>
      <c r="T1734" s="346" t="s">
        <v>1345</v>
      </c>
      <c r="U1734" s="347">
        <f ca="1">S1734/100</f>
        <v>1</v>
      </c>
      <c r="V1734" s="347">
        <v>100</v>
      </c>
      <c r="W1734" s="347">
        <v>1</v>
      </c>
      <c r="X1734" s="37"/>
      <c r="Y1734" s="346"/>
      <c r="Z1734" s="14" t="str">
        <f>IF(ISBLANK(LCI_Table[[#This Row],[Notes for user]])," ",LCI_Table[[#This Row],[Notes for user]])</f>
        <v xml:space="preserve"> </v>
      </c>
      <c r="AA1734" s="14"/>
      <c r="AB1734" s="14"/>
      <c r="AC1734" s="346">
        <f ca="1">LCI_Table[[#This Row],[Default Calculated Value]]-LCI_Table[[#This Row],[Calculated Value]]</f>
        <v>0</v>
      </c>
    </row>
    <row r="1735" spans="1:29" x14ac:dyDescent="0.3">
      <c r="A17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dash_MiscanthusATJ-ethanolICAOConsensusIntegrated_Yield_Farming</v>
      </c>
      <c r="B1735" s="48" t="s">
        <v>134</v>
      </c>
      <c r="C1735" s="48" t="s">
        <v>1964</v>
      </c>
      <c r="D1735" s="48" t="s">
        <v>194</v>
      </c>
      <c r="E1735" s="48" t="s">
        <v>1399</v>
      </c>
      <c r="F1735" s="48" t="s">
        <v>1398</v>
      </c>
      <c r="G1735" s="14" t="b">
        <f>OR(LCI_Table[[#This Row],[Feedstock]]="All",LCI_Table[[#This Row],[Feedstock]]=SelectedFeedstock)</f>
        <v>0</v>
      </c>
      <c r="H1735" s="14" t="b">
        <f>OR(LCI_Table[[#This Row],[Conversion]]="All",LCI_Table[[#This Row],[Conversion]]=SelectedConversion)</f>
        <v>0</v>
      </c>
      <c r="I1735" s="14" t="b">
        <f>OR(LCI_Table[[#This Row],[Data Set]]="all",LCI_Table[[#This Row],[Data Set]]=SelectedDataSet)</f>
        <v>0</v>
      </c>
      <c r="J1735" s="14" t="b">
        <f>OR(LCI_Table[[#This Row],[Technology]]="All",LCI_Table[[#This Row],[Technology]]=SelectedTechnology)</f>
        <v>0</v>
      </c>
      <c r="K1735" s="14" t="b">
        <f>OR(LCI_Table[[#This Row],[Data Source]]="All",LCI_Table[[#This Row],[Data Source]]=SelectedDataSource)</f>
        <v>0</v>
      </c>
      <c r="L1735" s="14" t="b">
        <f>TRUE</f>
        <v>1</v>
      </c>
      <c r="M1735" s="14" t="b">
        <f>(LCI_Table[[#This Row],[Dev Notes]]="Do not display")</f>
        <v>0</v>
      </c>
      <c r="N1735" s="14" t="b">
        <f>AND(LCI_Table[[#This Row],[Show Feedstock]:[Conditional]],NOT(LCI_Table[[#This Row],[Hide Row]]))</f>
        <v>0</v>
      </c>
      <c r="O1735" s="14" t="b">
        <f>LCI_Table[[#This Row],[GREET1 Name Range]]=""</f>
        <v>1</v>
      </c>
      <c r="P1735" s="48" t="s">
        <v>14</v>
      </c>
      <c r="Q1735" s="14" t="s">
        <v>361</v>
      </c>
      <c r="R1735" s="48" t="s">
        <v>200</v>
      </c>
      <c r="S1735" s="37" cm="1">
        <f t="array" aca="1" ref="S17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8.6139205449999992</v>
      </c>
      <c r="T1735" s="346" t="s">
        <v>2116</v>
      </c>
      <c r="U1735" s="344"/>
      <c r="V1735" s="344">
        <v>8.6139205449999992</v>
      </c>
      <c r="W1735" s="344"/>
      <c r="X1735" s="48" t="s">
        <v>55</v>
      </c>
      <c r="Y1735" s="346" t="s">
        <v>413</v>
      </c>
      <c r="Z1735" s="14" t="str">
        <f>IF(ISBLANK(LCI_Table[[#This Row],[Notes for user]])," ",LCI_Table[[#This Row],[Notes for user]])</f>
        <v>Default value from GREET</v>
      </c>
      <c r="AA1735" s="48" t="s">
        <v>1152</v>
      </c>
      <c r="AB1735" s="345"/>
      <c r="AC1735" s="346">
        <f>LCI_Table[[#This Row],[Default Calculated Value]]-LCI_Table[[#This Row],[Calculated Value]]</f>
        <v>0</v>
      </c>
    </row>
    <row r="1736" spans="1:29" x14ac:dyDescent="0.3">
      <c r="A17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MiscanthusATJ-ethanolICAOConsensusIntegrated_Miscanthus_Farming_Nitrogen_fertilizerNitrogen fertilizer</v>
      </c>
      <c r="B1736" s="14" t="s">
        <v>134</v>
      </c>
      <c r="C1736" s="14" t="s">
        <v>1964</v>
      </c>
      <c r="D1736" s="14" t="s">
        <v>194</v>
      </c>
      <c r="E1736" s="48" t="s">
        <v>1399</v>
      </c>
      <c r="F1736" s="48" t="s">
        <v>1398</v>
      </c>
      <c r="G1736" s="14" t="b">
        <f>OR(LCI_Table[[#This Row],[Feedstock]]="All",LCI_Table[[#This Row],[Feedstock]]=SelectedFeedstock)</f>
        <v>0</v>
      </c>
      <c r="H1736" s="14" t="b">
        <f>OR(LCI_Table[[#This Row],[Conversion]]="All",LCI_Table[[#This Row],[Conversion]]=SelectedConversion)</f>
        <v>0</v>
      </c>
      <c r="I1736" s="14" t="b">
        <f>OR(LCI_Table[[#This Row],[Data Set]]="all",LCI_Table[[#This Row],[Data Set]]=SelectedDataSet)</f>
        <v>0</v>
      </c>
      <c r="J1736" s="14" t="b">
        <f>OR(LCI_Table[[#This Row],[Technology]]="All",LCI_Table[[#This Row],[Technology]]=SelectedTechnology)</f>
        <v>0</v>
      </c>
      <c r="K1736" s="14" t="b">
        <f>OR(LCI_Table[[#This Row],[Data Source]]="All",LCI_Table[[#This Row],[Data Source]]=SelectedDataSource)</f>
        <v>0</v>
      </c>
      <c r="L1736" s="14" t="b">
        <f>TRUE</f>
        <v>1</v>
      </c>
      <c r="M1736" s="14" t="b">
        <f>(LCI_Table[[#This Row],[Dev Notes]]="Do not display")</f>
        <v>0</v>
      </c>
      <c r="N1736" s="14" t="b">
        <f>AND(LCI_Table[[#This Row],[Show Feedstock]:[Conditional]],NOT(LCI_Table[[#This Row],[Hide Row]]))</f>
        <v>0</v>
      </c>
      <c r="O1736" s="14" t="b">
        <f>LCI_Table[[#This Row],[GREET1 Name Range]]=""</f>
        <v>0</v>
      </c>
      <c r="P1736" s="14" t="s">
        <v>14</v>
      </c>
      <c r="Q1736" s="14" t="s">
        <v>713</v>
      </c>
      <c r="R1736" s="14" t="s">
        <v>111</v>
      </c>
      <c r="S1736" s="37" cm="1">
        <f t="array" aca="1" ref="S17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88.12424143099642</v>
      </c>
      <c r="T1736" s="346" t="s">
        <v>1485</v>
      </c>
      <c r="U1736" s="347">
        <f ca="1">S1736/S1735*lb2g</f>
        <v>4640.4518495750608</v>
      </c>
      <c r="V1736" s="347">
        <v>88.12424143099642</v>
      </c>
      <c r="W1736" s="347">
        <v>4640.4518495750608</v>
      </c>
      <c r="X1736" s="37" t="s">
        <v>12</v>
      </c>
      <c r="Y1736" s="346" t="s">
        <v>413</v>
      </c>
      <c r="Z1736" s="14" t="str">
        <f>IF(ISBLANK(LCI_Table[[#This Row],[Notes for user]])," ",LCI_Table[[#This Row],[Notes for user]])</f>
        <v xml:space="preserve"> </v>
      </c>
      <c r="AA1736" s="14"/>
      <c r="AB1736" s="14"/>
      <c r="AC1736" s="346">
        <f ca="1">LCI_Table[[#This Row],[Default Calculated Value]]-LCI_Table[[#This Row],[Calculated Value]]</f>
        <v>0</v>
      </c>
    </row>
    <row r="1737" spans="1:29" x14ac:dyDescent="0.3">
      <c r="A17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MiscanthusATJ-ethanolICAOConsensusIntegrated_Miscanthus_Farming_P2O5P2O5</v>
      </c>
      <c r="B1737" s="14" t="s">
        <v>134</v>
      </c>
      <c r="C1737" s="14" t="s">
        <v>1964</v>
      </c>
      <c r="D1737" s="14" t="s">
        <v>194</v>
      </c>
      <c r="E1737" s="48" t="s">
        <v>1399</v>
      </c>
      <c r="F1737" s="48" t="s">
        <v>1398</v>
      </c>
      <c r="G1737" s="14" t="b">
        <f>OR(LCI_Table[[#This Row],[Feedstock]]="All",LCI_Table[[#This Row],[Feedstock]]=SelectedFeedstock)</f>
        <v>0</v>
      </c>
      <c r="H1737" s="14" t="b">
        <f>OR(LCI_Table[[#This Row],[Conversion]]="All",LCI_Table[[#This Row],[Conversion]]=SelectedConversion)</f>
        <v>0</v>
      </c>
      <c r="I1737" s="14" t="b">
        <f>OR(LCI_Table[[#This Row],[Data Set]]="all",LCI_Table[[#This Row],[Data Set]]=SelectedDataSet)</f>
        <v>0</v>
      </c>
      <c r="J1737" s="14" t="b">
        <f>OR(LCI_Table[[#This Row],[Technology]]="All",LCI_Table[[#This Row],[Technology]]=SelectedTechnology)</f>
        <v>0</v>
      </c>
      <c r="K1737" s="14" t="b">
        <f>OR(LCI_Table[[#This Row],[Data Source]]="All",LCI_Table[[#This Row],[Data Source]]=SelectedDataSource)</f>
        <v>0</v>
      </c>
      <c r="L1737" s="14" t="b">
        <f>TRUE</f>
        <v>1</v>
      </c>
      <c r="M1737" s="14" t="b">
        <f>(LCI_Table[[#This Row],[Dev Notes]]="Do not display")</f>
        <v>0</v>
      </c>
      <c r="N1737" s="14" t="b">
        <f>AND(LCI_Table[[#This Row],[Show Feedstock]:[Conditional]],NOT(LCI_Table[[#This Row],[Hide Row]]))</f>
        <v>0</v>
      </c>
      <c r="O1737" s="14" t="b">
        <f>LCI_Table[[#This Row],[GREET1 Name Range]]=""</f>
        <v>0</v>
      </c>
      <c r="P1737" s="14" t="s">
        <v>14</v>
      </c>
      <c r="Q1737" s="14" t="s">
        <v>714</v>
      </c>
      <c r="R1737" s="14" t="s">
        <v>112</v>
      </c>
      <c r="S1737" s="37" cm="1">
        <f t="array" aca="1" ref="S17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19.884729242998635</v>
      </c>
      <c r="T1737" s="346" t="s">
        <v>1485</v>
      </c>
      <c r="U1737" s="347">
        <f ca="1">S1737/S1735*lb2g</f>
        <v>1047.0913235176654</v>
      </c>
      <c r="V1737" s="347">
        <v>19.884729242998635</v>
      </c>
      <c r="W1737" s="347">
        <v>1047.0913235176654</v>
      </c>
      <c r="X1737" s="37" t="s">
        <v>12</v>
      </c>
      <c r="Y1737" s="346" t="s">
        <v>413</v>
      </c>
      <c r="Z1737" s="14" t="str">
        <f>IF(ISBLANK(LCI_Table[[#This Row],[Notes for user]])," ",LCI_Table[[#This Row],[Notes for user]])</f>
        <v xml:space="preserve"> </v>
      </c>
      <c r="AA1737" s="14"/>
      <c r="AB1737" s="14"/>
      <c r="AC1737" s="346">
        <f ca="1">LCI_Table[[#This Row],[Default Calculated Value]]-LCI_Table[[#This Row],[Calculated Value]]</f>
        <v>0</v>
      </c>
    </row>
    <row r="1738" spans="1:29" x14ac:dyDescent="0.3">
      <c r="A17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MiscanthusATJ-ethanolICAOConsensusIntegrated_Miscanthus_Farming_K2OK2O</v>
      </c>
      <c r="B1738" s="14" t="s">
        <v>134</v>
      </c>
      <c r="C1738" s="14" t="s">
        <v>1964</v>
      </c>
      <c r="D1738" s="14" t="s">
        <v>194</v>
      </c>
      <c r="E1738" s="48" t="s">
        <v>1399</v>
      </c>
      <c r="F1738" s="48" t="s">
        <v>1398</v>
      </c>
      <c r="G1738" s="14" t="b">
        <f>OR(LCI_Table[[#This Row],[Feedstock]]="All",LCI_Table[[#This Row],[Feedstock]]=SelectedFeedstock)</f>
        <v>0</v>
      </c>
      <c r="H1738" s="14" t="b">
        <f>OR(LCI_Table[[#This Row],[Conversion]]="All",LCI_Table[[#This Row],[Conversion]]=SelectedConversion)</f>
        <v>0</v>
      </c>
      <c r="I1738" s="14" t="b">
        <f>OR(LCI_Table[[#This Row],[Data Set]]="all",LCI_Table[[#This Row],[Data Set]]=SelectedDataSet)</f>
        <v>0</v>
      </c>
      <c r="J1738" s="14" t="b">
        <f>OR(LCI_Table[[#This Row],[Technology]]="All",LCI_Table[[#This Row],[Technology]]=SelectedTechnology)</f>
        <v>0</v>
      </c>
      <c r="K1738" s="14" t="b">
        <f>OR(LCI_Table[[#This Row],[Data Source]]="All",LCI_Table[[#This Row],[Data Source]]=SelectedDataSource)</f>
        <v>0</v>
      </c>
      <c r="L1738" s="14" t="b">
        <f>TRUE</f>
        <v>1</v>
      </c>
      <c r="M1738" s="14" t="b">
        <f>(LCI_Table[[#This Row],[Dev Notes]]="Do not display")</f>
        <v>0</v>
      </c>
      <c r="N1738" s="14" t="b">
        <f>AND(LCI_Table[[#This Row],[Show Feedstock]:[Conditional]],NOT(LCI_Table[[#This Row],[Hide Row]]))</f>
        <v>0</v>
      </c>
      <c r="O1738" s="14" t="b">
        <f>LCI_Table[[#This Row],[GREET1 Name Range]]=""</f>
        <v>0</v>
      </c>
      <c r="P1738" s="14" t="s">
        <v>14</v>
      </c>
      <c r="Q1738" s="14" t="s">
        <v>710</v>
      </c>
      <c r="R1738" s="14" t="s">
        <v>113</v>
      </c>
      <c r="S1738" s="37" cm="1">
        <f t="array" aca="1" ref="S17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54.462165800867893</v>
      </c>
      <c r="T1738" s="346" t="s">
        <v>1485</v>
      </c>
      <c r="U1738" s="347">
        <f ca="1">S1738/S1735*lb2g</f>
        <v>2867.8721532076329</v>
      </c>
      <c r="V1738" s="347">
        <v>54.462165800867893</v>
      </c>
      <c r="W1738" s="347">
        <v>2867.8721532076329</v>
      </c>
      <c r="X1738" s="37" t="s">
        <v>12</v>
      </c>
      <c r="Y1738" s="346" t="s">
        <v>413</v>
      </c>
      <c r="Z1738" s="14" t="str">
        <f>IF(ISBLANK(LCI_Table[[#This Row],[Notes for user]])," ",LCI_Table[[#This Row],[Notes for user]])</f>
        <v xml:space="preserve"> </v>
      </c>
      <c r="AA1738" s="14"/>
      <c r="AB1738" s="14"/>
      <c r="AC1738" s="346">
        <f ca="1">LCI_Table[[#This Row],[Default Calculated Value]]-LCI_Table[[#This Row],[Calculated Value]]</f>
        <v>0</v>
      </c>
    </row>
    <row r="1739" spans="1:29" x14ac:dyDescent="0.3">
      <c r="A17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MiscanthusATJ-ethanolICAOConsensusIntegrated_Miscanthus_Farming_CaCO3CaCO3</v>
      </c>
      <c r="B1739" s="14" t="s">
        <v>134</v>
      </c>
      <c r="C1739" s="14" t="s">
        <v>1964</v>
      </c>
      <c r="D1739" s="14" t="s">
        <v>194</v>
      </c>
      <c r="E1739" s="48" t="s">
        <v>1399</v>
      </c>
      <c r="F1739" s="48" t="s">
        <v>1398</v>
      </c>
      <c r="G1739" s="14" t="b">
        <f>OR(LCI_Table[[#This Row],[Feedstock]]="All",LCI_Table[[#This Row],[Feedstock]]=SelectedFeedstock)</f>
        <v>0</v>
      </c>
      <c r="H1739" s="14" t="b">
        <f>OR(LCI_Table[[#This Row],[Conversion]]="All",LCI_Table[[#This Row],[Conversion]]=SelectedConversion)</f>
        <v>0</v>
      </c>
      <c r="I1739" s="14" t="b">
        <f>OR(LCI_Table[[#This Row],[Data Set]]="all",LCI_Table[[#This Row],[Data Set]]=SelectedDataSet)</f>
        <v>0</v>
      </c>
      <c r="J1739" s="14" t="b">
        <f>OR(LCI_Table[[#This Row],[Technology]]="All",LCI_Table[[#This Row],[Technology]]=SelectedTechnology)</f>
        <v>0</v>
      </c>
      <c r="K1739" s="14" t="b">
        <f>OR(LCI_Table[[#This Row],[Data Source]]="All",LCI_Table[[#This Row],[Data Source]]=SelectedDataSource)</f>
        <v>0</v>
      </c>
      <c r="L1739" s="14" t="b">
        <f>TRUE</f>
        <v>1</v>
      </c>
      <c r="M1739" s="14" t="b">
        <f>(LCI_Table[[#This Row],[Dev Notes]]="Do not display")</f>
        <v>0</v>
      </c>
      <c r="N1739" s="14" t="b">
        <f>AND(LCI_Table[[#This Row],[Show Feedstock]:[Conditional]],NOT(LCI_Table[[#This Row],[Hide Row]]))</f>
        <v>0</v>
      </c>
      <c r="O1739" s="14" t="b">
        <f>LCI_Table[[#This Row],[GREET1 Name Range]]=""</f>
        <v>0</v>
      </c>
      <c r="P1739" s="14" t="s">
        <v>14</v>
      </c>
      <c r="Q1739" s="14" t="s">
        <v>702</v>
      </c>
      <c r="R1739" s="14" t="s">
        <v>141</v>
      </c>
      <c r="S1739" s="37" cm="1">
        <f t="array" aca="1" ref="S17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98.419350248104038</v>
      </c>
      <c r="T1739" s="346" t="s">
        <v>1485</v>
      </c>
      <c r="U1739" s="347">
        <f ca="1">S1739/S1735*lb2g</f>
        <v>5182.5723373789961</v>
      </c>
      <c r="V1739" s="347">
        <v>98.419350248104038</v>
      </c>
      <c r="W1739" s="347">
        <v>5182.5723373789961</v>
      </c>
      <c r="X1739" s="37" t="s">
        <v>12</v>
      </c>
      <c r="Y1739" s="346" t="s">
        <v>413</v>
      </c>
      <c r="Z1739" s="14" t="str">
        <f>IF(ISBLANK(LCI_Table[[#This Row],[Notes for user]])," ",LCI_Table[[#This Row],[Notes for user]])</f>
        <v xml:space="preserve"> </v>
      </c>
      <c r="AA1739" s="14"/>
      <c r="AB1739" s="14"/>
      <c r="AC1739" s="346">
        <f ca="1">LCI_Table[[#This Row],[Default Calculated Value]]-LCI_Table[[#This Row],[Calculated Value]]</f>
        <v>0</v>
      </c>
    </row>
    <row r="1740" spans="1:29" x14ac:dyDescent="0.3">
      <c r="A17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MiscanthusATJ-ethanolICAOConsensusIntegrated_Miscanthus_Farming_HerbicidesHerbicides</v>
      </c>
      <c r="B1740" s="14" t="s">
        <v>134</v>
      </c>
      <c r="C1740" s="14" t="s">
        <v>1964</v>
      </c>
      <c r="D1740" s="14" t="s">
        <v>194</v>
      </c>
      <c r="E1740" s="48" t="s">
        <v>1399</v>
      </c>
      <c r="F1740" s="48" t="s">
        <v>1398</v>
      </c>
      <c r="G1740" s="14" t="b">
        <f>OR(LCI_Table[[#This Row],[Feedstock]]="All",LCI_Table[[#This Row],[Feedstock]]=SelectedFeedstock)</f>
        <v>0</v>
      </c>
      <c r="H1740" s="14" t="b">
        <f>OR(LCI_Table[[#This Row],[Conversion]]="All",LCI_Table[[#This Row],[Conversion]]=SelectedConversion)</f>
        <v>0</v>
      </c>
      <c r="I1740" s="14" t="b">
        <f>OR(LCI_Table[[#This Row],[Data Set]]="all",LCI_Table[[#This Row],[Data Set]]=SelectedDataSet)</f>
        <v>0</v>
      </c>
      <c r="J1740" s="14" t="b">
        <f>OR(LCI_Table[[#This Row],[Technology]]="All",LCI_Table[[#This Row],[Technology]]=SelectedTechnology)</f>
        <v>0</v>
      </c>
      <c r="K1740" s="14" t="b">
        <f>OR(LCI_Table[[#This Row],[Data Source]]="All",LCI_Table[[#This Row],[Data Source]]=SelectedDataSource)</f>
        <v>0</v>
      </c>
      <c r="L1740" s="14" t="b">
        <f>TRUE</f>
        <v>1</v>
      </c>
      <c r="M1740" s="14" t="b">
        <f>(LCI_Table[[#This Row],[Dev Notes]]="Do not display")</f>
        <v>0</v>
      </c>
      <c r="N1740" s="14" t="b">
        <f>AND(LCI_Table[[#This Row],[Show Feedstock]:[Conditional]],NOT(LCI_Table[[#This Row],[Hide Row]]))</f>
        <v>0</v>
      </c>
      <c r="O1740" s="14" t="b">
        <f>LCI_Table[[#This Row],[GREET1 Name Range]]=""</f>
        <v>0</v>
      </c>
      <c r="P1740" s="14" t="s">
        <v>14</v>
      </c>
      <c r="Q1740" s="14" t="s">
        <v>708</v>
      </c>
      <c r="R1740" s="14" t="s">
        <v>356</v>
      </c>
      <c r="S1740" s="37" cm="1">
        <f t="array" aca="1" ref="S17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0.54538703220331242</v>
      </c>
      <c r="T1740" s="346" t="s">
        <v>1485</v>
      </c>
      <c r="U1740" s="347">
        <f ca="1">S1740/S1735*lb2g</f>
        <v>28.719024654570553</v>
      </c>
      <c r="V1740" s="347">
        <v>0.54538703220331242</v>
      </c>
      <c r="W1740" s="347">
        <v>28.719024654570553</v>
      </c>
      <c r="X1740" s="37" t="s">
        <v>12</v>
      </c>
      <c r="Y1740" s="346" t="s">
        <v>413</v>
      </c>
      <c r="Z1740" s="14" t="str">
        <f>IF(ISBLANK(LCI_Table[[#This Row],[Notes for user]])," ",LCI_Table[[#This Row],[Notes for user]])</f>
        <v xml:space="preserve"> </v>
      </c>
      <c r="AA1740" s="14"/>
      <c r="AB1740" s="14"/>
      <c r="AC1740" s="346">
        <f ca="1">LCI_Table[[#This Row],[Default Calculated Value]]-LCI_Table[[#This Row],[Calculated Value]]</f>
        <v>0</v>
      </c>
    </row>
    <row r="1741" spans="1:29" x14ac:dyDescent="0.3">
      <c r="A17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MiscanthusATJ-ethanolICAOConsensusIntegrated_Miscanthus_Farming_InsecticideInsecticide</v>
      </c>
      <c r="B1741" s="14" t="s">
        <v>134</v>
      </c>
      <c r="C1741" s="14" t="s">
        <v>1964</v>
      </c>
      <c r="D1741" s="14" t="s">
        <v>194</v>
      </c>
      <c r="E1741" s="48" t="s">
        <v>1399</v>
      </c>
      <c r="F1741" s="48" t="s">
        <v>1398</v>
      </c>
      <c r="G1741" s="14" t="b">
        <f>OR(LCI_Table[[#This Row],[Feedstock]]="All",LCI_Table[[#This Row],[Feedstock]]=SelectedFeedstock)</f>
        <v>0</v>
      </c>
      <c r="H1741" s="14" t="b">
        <f>OR(LCI_Table[[#This Row],[Conversion]]="All",LCI_Table[[#This Row],[Conversion]]=SelectedConversion)</f>
        <v>0</v>
      </c>
      <c r="I1741" s="14" t="b">
        <f>OR(LCI_Table[[#This Row],[Data Set]]="all",LCI_Table[[#This Row],[Data Set]]=SelectedDataSet)</f>
        <v>0</v>
      </c>
      <c r="J1741" s="14" t="b">
        <f>OR(LCI_Table[[#This Row],[Technology]]="All",LCI_Table[[#This Row],[Technology]]=SelectedTechnology)</f>
        <v>0</v>
      </c>
      <c r="K1741" s="14" t="b">
        <f>OR(LCI_Table[[#This Row],[Data Source]]="All",LCI_Table[[#This Row],[Data Source]]=SelectedDataSource)</f>
        <v>0</v>
      </c>
      <c r="L1741" s="14" t="b">
        <f>TRUE</f>
        <v>1</v>
      </c>
      <c r="M1741" s="14" t="b">
        <f>(LCI_Table[[#This Row],[Dev Notes]]="Do not display")</f>
        <v>0</v>
      </c>
      <c r="N1741" s="14" t="b">
        <f>AND(LCI_Table[[#This Row],[Show Feedstock]:[Conditional]],NOT(LCI_Table[[#This Row],[Hide Row]]))</f>
        <v>0</v>
      </c>
      <c r="O1741" s="14" t="b">
        <f>LCI_Table[[#This Row],[GREET1 Name Range]]=""</f>
        <v>0</v>
      </c>
      <c r="P1741" s="14" t="s">
        <v>14</v>
      </c>
      <c r="Q1741" s="14" t="s">
        <v>709</v>
      </c>
      <c r="R1741" s="14" t="s">
        <v>114</v>
      </c>
      <c r="S1741" s="37" cm="1">
        <f t="array" aca="1" ref="S17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41" s="346" t="s">
        <v>1485</v>
      </c>
      <c r="U1741" s="347">
        <f ca="1">S1741/S1735*lb2g</f>
        <v>0</v>
      </c>
      <c r="V1741" s="347">
        <v>0</v>
      </c>
      <c r="W1741" s="347">
        <v>0</v>
      </c>
      <c r="X1741" s="37" t="s">
        <v>12</v>
      </c>
      <c r="Y1741" s="346" t="s">
        <v>413</v>
      </c>
      <c r="Z1741" s="14" t="str">
        <f>IF(ISBLANK(LCI_Table[[#This Row],[Notes for user]])," ",LCI_Table[[#This Row],[Notes for user]])</f>
        <v xml:space="preserve"> </v>
      </c>
      <c r="AA1741" s="14"/>
      <c r="AB1741" s="14"/>
      <c r="AC1741" s="346">
        <f ca="1">LCI_Table[[#This Row],[Default Calculated Value]]-LCI_Table[[#This Row],[Calculated Value]]</f>
        <v>0</v>
      </c>
    </row>
    <row r="1742" spans="1:29" x14ac:dyDescent="0.3">
      <c r="A17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MiscanthusATJ-ethanolICAOConsensusIntegrated_Miscanthus_Farming_HDPEHDPE</v>
      </c>
      <c r="B1742" s="14" t="s">
        <v>134</v>
      </c>
      <c r="C1742" s="14" t="s">
        <v>1964</v>
      </c>
      <c r="D1742" s="14" t="s">
        <v>194</v>
      </c>
      <c r="E1742" s="48" t="s">
        <v>1399</v>
      </c>
      <c r="F1742" s="48" t="s">
        <v>1398</v>
      </c>
      <c r="G1742" s="14" t="b">
        <f>OR(LCI_Table[[#This Row],[Feedstock]]="All",LCI_Table[[#This Row],[Feedstock]]=SelectedFeedstock)</f>
        <v>0</v>
      </c>
      <c r="H1742" s="14" t="b">
        <f>OR(LCI_Table[[#This Row],[Conversion]]="All",LCI_Table[[#This Row],[Conversion]]=SelectedConversion)</f>
        <v>0</v>
      </c>
      <c r="I1742" s="14" t="b">
        <f>OR(LCI_Table[[#This Row],[Data Set]]="all",LCI_Table[[#This Row],[Data Set]]=SelectedDataSet)</f>
        <v>0</v>
      </c>
      <c r="J1742" s="14" t="b">
        <f>OR(LCI_Table[[#This Row],[Technology]]="All",LCI_Table[[#This Row],[Technology]]=SelectedTechnology)</f>
        <v>0</v>
      </c>
      <c r="K1742" s="14" t="b">
        <f>OR(LCI_Table[[#This Row],[Data Source]]="All",LCI_Table[[#This Row],[Data Source]]=SelectedDataSource)</f>
        <v>0</v>
      </c>
      <c r="L1742" s="14" t="b">
        <f>TRUE</f>
        <v>1</v>
      </c>
      <c r="M1742" s="14" t="b">
        <f>(LCI_Table[[#This Row],[Dev Notes]]="Do not display")</f>
        <v>0</v>
      </c>
      <c r="N1742" s="14" t="b">
        <f>AND(LCI_Table[[#This Row],[Show Feedstock]:[Conditional]],NOT(LCI_Table[[#This Row],[Hide Row]]))</f>
        <v>0</v>
      </c>
      <c r="O1742" s="14" t="b">
        <f>LCI_Table[[#This Row],[GREET1 Name Range]]=""</f>
        <v>0</v>
      </c>
      <c r="P1742" s="14" t="s">
        <v>14</v>
      </c>
      <c r="Q1742" s="14" t="s">
        <v>707</v>
      </c>
      <c r="R1742" s="14" t="s">
        <v>357</v>
      </c>
      <c r="S1742" s="37" cm="1">
        <f t="array" aca="1" ref="S17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42" s="346" t="s">
        <v>1485</v>
      </c>
      <c r="U1742" s="347">
        <f ca="1">S1742/S1735</f>
        <v>0</v>
      </c>
      <c r="V1742" s="347">
        <v>0</v>
      </c>
      <c r="W1742" s="347">
        <v>0</v>
      </c>
      <c r="X1742" s="37" t="s">
        <v>12</v>
      </c>
      <c r="Y1742" s="346" t="s">
        <v>413</v>
      </c>
      <c r="Z1742" s="14" t="str">
        <f>IF(ISBLANK(LCI_Table[[#This Row],[Notes for user]])," ",LCI_Table[[#This Row],[Notes for user]])</f>
        <v xml:space="preserve"> </v>
      </c>
      <c r="AA1742" s="14"/>
      <c r="AB1742" s="14"/>
      <c r="AC1742" s="346">
        <f ca="1">LCI_Table[[#This Row],[Default Calculated Value]]-LCI_Table[[#This Row],[Calculated Value]]</f>
        <v>0</v>
      </c>
    </row>
    <row r="1743" spans="1:29" x14ac:dyDescent="0.3">
      <c r="A17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MiscanthusATJ-ethanolICAOConsensusIntegrated_Miscanthus_Farming_Residual_oilResidual oil</v>
      </c>
      <c r="B1743" s="14" t="s">
        <v>134</v>
      </c>
      <c r="C1743" s="14" t="s">
        <v>1964</v>
      </c>
      <c r="D1743" s="14" t="s">
        <v>194</v>
      </c>
      <c r="E1743" s="48" t="s">
        <v>1399</v>
      </c>
      <c r="F1743" s="48" t="s">
        <v>1398</v>
      </c>
      <c r="G1743" s="14" t="b">
        <f>OR(LCI_Table[[#This Row],[Feedstock]]="All",LCI_Table[[#This Row],[Feedstock]]=SelectedFeedstock)</f>
        <v>0</v>
      </c>
      <c r="H1743" s="14" t="b">
        <f>OR(LCI_Table[[#This Row],[Conversion]]="All",LCI_Table[[#This Row],[Conversion]]=SelectedConversion)</f>
        <v>0</v>
      </c>
      <c r="I1743" s="14" t="b">
        <f>OR(LCI_Table[[#This Row],[Data Set]]="all",LCI_Table[[#This Row],[Data Set]]=SelectedDataSet)</f>
        <v>0</v>
      </c>
      <c r="J1743" s="14" t="b">
        <f>OR(LCI_Table[[#This Row],[Technology]]="All",LCI_Table[[#This Row],[Technology]]=SelectedTechnology)</f>
        <v>0</v>
      </c>
      <c r="K1743" s="14" t="b">
        <f>OR(LCI_Table[[#This Row],[Data Source]]="All",LCI_Table[[#This Row],[Data Source]]=SelectedDataSource)</f>
        <v>0</v>
      </c>
      <c r="L1743" s="14" t="b">
        <f>TRUE</f>
        <v>1</v>
      </c>
      <c r="M1743" s="14" t="b">
        <f>(LCI_Table[[#This Row],[Dev Notes]]="Do not display")</f>
        <v>0</v>
      </c>
      <c r="N1743" s="14" t="b">
        <f>AND(LCI_Table[[#This Row],[Show Feedstock]:[Conditional]],NOT(LCI_Table[[#This Row],[Hide Row]]))</f>
        <v>0</v>
      </c>
      <c r="O1743" s="14" t="b">
        <f>LCI_Table[[#This Row],[GREET1 Name Range]]=""</f>
        <v>0</v>
      </c>
      <c r="P1743" s="14" t="s">
        <v>14</v>
      </c>
      <c r="Q1743" s="14" t="s">
        <v>715</v>
      </c>
      <c r="R1743" s="14" t="s">
        <v>115</v>
      </c>
      <c r="S1743" s="37" cm="1">
        <f t="array" aca="1" ref="S17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43" s="346" t="s">
        <v>1484</v>
      </c>
      <c r="U1743" s="347">
        <f ca="1">S1743*Fuel_Specs!$B$28/S1735</f>
        <v>0</v>
      </c>
      <c r="V1743" s="347">
        <v>0</v>
      </c>
      <c r="W1743" s="347">
        <v>0</v>
      </c>
      <c r="X1743" s="37" t="s">
        <v>5</v>
      </c>
      <c r="Y1743" s="346" t="s">
        <v>413</v>
      </c>
      <c r="Z1743" s="14" t="str">
        <f>IF(ISBLANK(LCI_Table[[#This Row],[Notes for user]])," ",LCI_Table[[#This Row],[Notes for user]])</f>
        <v xml:space="preserve"> </v>
      </c>
      <c r="AA1743" s="14"/>
      <c r="AB1743" s="14"/>
      <c r="AC1743" s="346">
        <f ca="1">LCI_Table[[#This Row],[Default Calculated Value]]-LCI_Table[[#This Row],[Calculated Value]]</f>
        <v>0</v>
      </c>
    </row>
    <row r="1744" spans="1:29" x14ac:dyDescent="0.3">
      <c r="A17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MiscanthusATJ-ethanolICAOConsensusIntegrated_Miscanthus_Farming_DieselDiesel</v>
      </c>
      <c r="B1744" s="14" t="s">
        <v>134</v>
      </c>
      <c r="C1744" s="14" t="s">
        <v>1964</v>
      </c>
      <c r="D1744" s="14" t="s">
        <v>194</v>
      </c>
      <c r="E1744" s="48" t="s">
        <v>1399</v>
      </c>
      <c r="F1744" s="48" t="s">
        <v>1398</v>
      </c>
      <c r="G1744" s="14" t="b">
        <f>OR(LCI_Table[[#This Row],[Feedstock]]="All",LCI_Table[[#This Row],[Feedstock]]=SelectedFeedstock)</f>
        <v>0</v>
      </c>
      <c r="H1744" s="14" t="b">
        <f>OR(LCI_Table[[#This Row],[Conversion]]="All",LCI_Table[[#This Row],[Conversion]]=SelectedConversion)</f>
        <v>0</v>
      </c>
      <c r="I1744" s="14" t="b">
        <f>OR(LCI_Table[[#This Row],[Data Set]]="all",LCI_Table[[#This Row],[Data Set]]=SelectedDataSet)</f>
        <v>0</v>
      </c>
      <c r="J1744" s="14" t="b">
        <f>OR(LCI_Table[[#This Row],[Technology]]="All",LCI_Table[[#This Row],[Technology]]=SelectedTechnology)</f>
        <v>0</v>
      </c>
      <c r="K1744" s="14" t="b">
        <f>OR(LCI_Table[[#This Row],[Data Source]]="All",LCI_Table[[#This Row],[Data Source]]=SelectedDataSource)</f>
        <v>0</v>
      </c>
      <c r="L1744" s="14" t="b">
        <f>TRUE</f>
        <v>1</v>
      </c>
      <c r="M1744" s="14" t="b">
        <f>(LCI_Table[[#This Row],[Dev Notes]]="Do not display")</f>
        <v>0</v>
      </c>
      <c r="N1744" s="14" t="b">
        <f>AND(LCI_Table[[#This Row],[Show Feedstock]:[Conditional]],NOT(LCI_Table[[#This Row],[Hide Row]]))</f>
        <v>0</v>
      </c>
      <c r="O1744" s="14" t="b">
        <f>LCI_Table[[#This Row],[GREET1 Name Range]]=""</f>
        <v>0</v>
      </c>
      <c r="P1744" s="14" t="s">
        <v>14</v>
      </c>
      <c r="Q1744" s="14" t="s">
        <v>704</v>
      </c>
      <c r="R1744" s="14" t="s">
        <v>106</v>
      </c>
      <c r="S1744" s="37" cm="1">
        <f t="array" aca="1" ref="S17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3.2139324221297465</v>
      </c>
      <c r="T1744" s="346" t="s">
        <v>1484</v>
      </c>
      <c r="U1744" s="347">
        <f ca="1">S1744*Fuel_Specs!$B$19/S1735</f>
        <v>47925.86807202387</v>
      </c>
      <c r="V1744" s="347">
        <v>3.2139324221297465</v>
      </c>
      <c r="W1744" s="347">
        <v>47925.86807202387</v>
      </c>
      <c r="X1744" s="37" t="s">
        <v>5</v>
      </c>
      <c r="Y1744" s="346" t="s">
        <v>413</v>
      </c>
      <c r="Z1744" s="14" t="str">
        <f>IF(ISBLANK(LCI_Table[[#This Row],[Notes for user]])," ",LCI_Table[[#This Row],[Notes for user]])</f>
        <v xml:space="preserve"> </v>
      </c>
      <c r="AA1744" s="14"/>
      <c r="AB1744" s="14"/>
      <c r="AC1744" s="346">
        <f ca="1">LCI_Table[[#This Row],[Default Calculated Value]]-LCI_Table[[#This Row],[Calculated Value]]</f>
        <v>0</v>
      </c>
    </row>
    <row r="1745" spans="1:29" x14ac:dyDescent="0.3">
      <c r="A17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MiscanthusATJ-ethanolICAOConsensusIntegrated_Miscanthus_Farming_GasolineGasoline</v>
      </c>
      <c r="B1745" s="14" t="s">
        <v>134</v>
      </c>
      <c r="C1745" s="14" t="s">
        <v>1964</v>
      </c>
      <c r="D1745" s="14" t="s">
        <v>194</v>
      </c>
      <c r="E1745" s="48" t="s">
        <v>1399</v>
      </c>
      <c r="F1745" s="48" t="s">
        <v>1398</v>
      </c>
      <c r="G1745" s="14" t="b">
        <f>OR(LCI_Table[[#This Row],[Feedstock]]="All",LCI_Table[[#This Row],[Feedstock]]=SelectedFeedstock)</f>
        <v>0</v>
      </c>
      <c r="H1745" s="14" t="b">
        <f>OR(LCI_Table[[#This Row],[Conversion]]="All",LCI_Table[[#This Row],[Conversion]]=SelectedConversion)</f>
        <v>0</v>
      </c>
      <c r="I1745" s="14" t="b">
        <f>OR(LCI_Table[[#This Row],[Data Set]]="all",LCI_Table[[#This Row],[Data Set]]=SelectedDataSet)</f>
        <v>0</v>
      </c>
      <c r="J1745" s="14" t="b">
        <f>OR(LCI_Table[[#This Row],[Technology]]="All",LCI_Table[[#This Row],[Technology]]=SelectedTechnology)</f>
        <v>0</v>
      </c>
      <c r="K1745" s="14" t="b">
        <f>OR(LCI_Table[[#This Row],[Data Source]]="All",LCI_Table[[#This Row],[Data Source]]=SelectedDataSource)</f>
        <v>0</v>
      </c>
      <c r="L1745" s="14" t="b">
        <f>TRUE</f>
        <v>1</v>
      </c>
      <c r="M1745" s="14" t="b">
        <f>(LCI_Table[[#This Row],[Dev Notes]]="Do not display")</f>
        <v>0</v>
      </c>
      <c r="N1745" s="14" t="b">
        <f>AND(LCI_Table[[#This Row],[Show Feedstock]:[Conditional]],NOT(LCI_Table[[#This Row],[Hide Row]]))</f>
        <v>0</v>
      </c>
      <c r="O1745" s="14" t="b">
        <f>LCI_Table[[#This Row],[GREET1 Name Range]]=""</f>
        <v>0</v>
      </c>
      <c r="P1745" s="14" t="s">
        <v>14</v>
      </c>
      <c r="Q1745" s="14" t="s">
        <v>706</v>
      </c>
      <c r="R1745" s="14" t="s">
        <v>107</v>
      </c>
      <c r="S1745" s="37" cm="1">
        <f t="array" aca="1" ref="S17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45" s="346" t="s">
        <v>1484</v>
      </c>
      <c r="U1745" s="347">
        <f ca="1">S1745*Fuel_Specs!$B$15/S1735</f>
        <v>0</v>
      </c>
      <c r="V1745" s="347">
        <v>0</v>
      </c>
      <c r="W1745" s="347">
        <v>0</v>
      </c>
      <c r="X1745" s="37" t="s">
        <v>5</v>
      </c>
      <c r="Y1745" s="346" t="s">
        <v>413</v>
      </c>
      <c r="Z1745" s="14" t="str">
        <f>IF(ISBLANK(LCI_Table[[#This Row],[Notes for user]])," ",LCI_Table[[#This Row],[Notes for user]])</f>
        <v xml:space="preserve"> </v>
      </c>
      <c r="AA1745" s="14"/>
      <c r="AB1745" s="14"/>
      <c r="AC1745" s="346">
        <f ca="1">LCI_Table[[#This Row],[Default Calculated Value]]-LCI_Table[[#This Row],[Calculated Value]]</f>
        <v>0</v>
      </c>
    </row>
    <row r="1746" spans="1:29" x14ac:dyDescent="0.3">
      <c r="A17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MiscanthusATJ-ethanolICAOConsensusIntegrated_Miscanthus_Farming_Natural_gasNatural gas</v>
      </c>
      <c r="B1746" s="14" t="s">
        <v>134</v>
      </c>
      <c r="C1746" s="14" t="s">
        <v>1964</v>
      </c>
      <c r="D1746" s="14" t="s">
        <v>194</v>
      </c>
      <c r="E1746" s="48" t="s">
        <v>1399</v>
      </c>
      <c r="F1746" s="48" t="s">
        <v>1398</v>
      </c>
      <c r="G1746" s="14" t="b">
        <f>OR(LCI_Table[[#This Row],[Feedstock]]="All",LCI_Table[[#This Row],[Feedstock]]=SelectedFeedstock)</f>
        <v>0</v>
      </c>
      <c r="H1746" s="14" t="b">
        <f>OR(LCI_Table[[#This Row],[Conversion]]="All",LCI_Table[[#This Row],[Conversion]]=SelectedConversion)</f>
        <v>0</v>
      </c>
      <c r="I1746" s="14" t="b">
        <f>OR(LCI_Table[[#This Row],[Data Set]]="all",LCI_Table[[#This Row],[Data Set]]=SelectedDataSet)</f>
        <v>0</v>
      </c>
      <c r="J1746" s="14" t="b">
        <f>OR(LCI_Table[[#This Row],[Technology]]="All",LCI_Table[[#This Row],[Technology]]=SelectedTechnology)</f>
        <v>0</v>
      </c>
      <c r="K1746" s="14" t="b">
        <f>OR(LCI_Table[[#This Row],[Data Source]]="All",LCI_Table[[#This Row],[Data Source]]=SelectedDataSource)</f>
        <v>0</v>
      </c>
      <c r="L1746" s="14" t="b">
        <f>TRUE</f>
        <v>1</v>
      </c>
      <c r="M1746" s="14" t="b">
        <f>(LCI_Table[[#This Row],[Dev Notes]]="Do not display")</f>
        <v>0</v>
      </c>
      <c r="N1746" s="14" t="b">
        <f>AND(LCI_Table[[#This Row],[Show Feedstock]:[Conditional]],NOT(LCI_Table[[#This Row],[Hide Row]]))</f>
        <v>0</v>
      </c>
      <c r="O1746" s="14" t="b">
        <f>LCI_Table[[#This Row],[GREET1 Name Range]]=""</f>
        <v>0</v>
      </c>
      <c r="P1746" s="14" t="s">
        <v>14</v>
      </c>
      <c r="Q1746" s="14" t="s">
        <v>712</v>
      </c>
      <c r="R1746" s="14" t="s">
        <v>108</v>
      </c>
      <c r="S1746" s="37" cm="1">
        <f t="array" aca="1" ref="S17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46" s="346" t="s">
        <v>2109</v>
      </c>
      <c r="U1746" s="347">
        <f ca="1">S1746*Fuel_Specs!$B$79/S1735</f>
        <v>0</v>
      </c>
      <c r="V1746" s="347">
        <v>0</v>
      </c>
      <c r="W1746" s="347">
        <v>0</v>
      </c>
      <c r="X1746" s="37" t="s">
        <v>351</v>
      </c>
      <c r="Y1746" s="346" t="s">
        <v>413</v>
      </c>
      <c r="Z1746" s="14" t="str">
        <f>IF(ISBLANK(LCI_Table[[#This Row],[Notes for user]])," ",LCI_Table[[#This Row],[Notes for user]])</f>
        <v xml:space="preserve"> </v>
      </c>
      <c r="AA1746" s="14"/>
      <c r="AB1746" s="14"/>
      <c r="AC1746" s="346">
        <f ca="1">LCI_Table[[#This Row],[Default Calculated Value]]-LCI_Table[[#This Row],[Calculated Value]]</f>
        <v>0</v>
      </c>
    </row>
    <row r="1747" spans="1:29" x14ac:dyDescent="0.3">
      <c r="A17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MiscanthusATJ-ethanolICAOConsensusIntegrated_Miscanthus_Farming_CoalCoal</v>
      </c>
      <c r="B1747" s="14" t="s">
        <v>134</v>
      </c>
      <c r="C1747" s="14" t="s">
        <v>1964</v>
      </c>
      <c r="D1747" s="14" t="s">
        <v>194</v>
      </c>
      <c r="E1747" s="48" t="s">
        <v>1399</v>
      </c>
      <c r="F1747" s="48" t="s">
        <v>1398</v>
      </c>
      <c r="G1747" s="14" t="b">
        <f>OR(LCI_Table[[#This Row],[Feedstock]]="All",LCI_Table[[#This Row],[Feedstock]]=SelectedFeedstock)</f>
        <v>0</v>
      </c>
      <c r="H1747" s="14" t="b">
        <f>OR(LCI_Table[[#This Row],[Conversion]]="All",LCI_Table[[#This Row],[Conversion]]=SelectedConversion)</f>
        <v>0</v>
      </c>
      <c r="I1747" s="14" t="b">
        <f>OR(LCI_Table[[#This Row],[Data Set]]="all",LCI_Table[[#This Row],[Data Set]]=SelectedDataSet)</f>
        <v>0</v>
      </c>
      <c r="J1747" s="14" t="b">
        <f>OR(LCI_Table[[#This Row],[Technology]]="All",LCI_Table[[#This Row],[Technology]]=SelectedTechnology)</f>
        <v>0</v>
      </c>
      <c r="K1747" s="14" t="b">
        <f>OR(LCI_Table[[#This Row],[Data Source]]="All",LCI_Table[[#This Row],[Data Source]]=SelectedDataSource)</f>
        <v>0</v>
      </c>
      <c r="L1747" s="14" t="b">
        <f>TRUE</f>
        <v>1</v>
      </c>
      <c r="M1747" s="14" t="b">
        <f>(LCI_Table[[#This Row],[Dev Notes]]="Do not display")</f>
        <v>0</v>
      </c>
      <c r="N1747" s="14" t="b">
        <f>AND(LCI_Table[[#This Row],[Show Feedstock]:[Conditional]],NOT(LCI_Table[[#This Row],[Hide Row]]))</f>
        <v>0</v>
      </c>
      <c r="O1747" s="14" t="b">
        <f>LCI_Table[[#This Row],[GREET1 Name Range]]=""</f>
        <v>0</v>
      </c>
      <c r="P1747" s="14" t="s">
        <v>14</v>
      </c>
      <c r="Q1747" s="14" t="s">
        <v>703</v>
      </c>
      <c r="R1747" s="14" t="s">
        <v>9</v>
      </c>
      <c r="S1747" s="37" cm="1">
        <f t="array" aca="1" ref="S17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47" s="346" t="s">
        <v>2110</v>
      </c>
      <c r="U1747" s="347">
        <f ca="1">S1747/S1735</f>
        <v>0</v>
      </c>
      <c r="V1747" s="347">
        <v>0</v>
      </c>
      <c r="W1747" s="347">
        <v>0</v>
      </c>
      <c r="X1747" s="37" t="s">
        <v>117</v>
      </c>
      <c r="Y1747" s="346" t="s">
        <v>413</v>
      </c>
      <c r="Z1747" s="14" t="str">
        <f>IF(ISBLANK(LCI_Table[[#This Row],[Notes for user]])," ",LCI_Table[[#This Row],[Notes for user]])</f>
        <v xml:space="preserve"> </v>
      </c>
      <c r="AA1747" s="14"/>
      <c r="AB1747" s="14"/>
      <c r="AC1747" s="346">
        <f ca="1">LCI_Table[[#This Row],[Default Calculated Value]]-LCI_Table[[#This Row],[Calculated Value]]</f>
        <v>0</v>
      </c>
    </row>
    <row r="1748" spans="1:29" x14ac:dyDescent="0.3">
      <c r="A17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MiscanthusATJ-ethanolICAOConsensusIntegrated_Miscanthus_Farming_LPGLPG</v>
      </c>
      <c r="B1748" s="14" t="s">
        <v>134</v>
      </c>
      <c r="C1748" s="14" t="s">
        <v>1964</v>
      </c>
      <c r="D1748" s="14" t="s">
        <v>194</v>
      </c>
      <c r="E1748" s="48" t="s">
        <v>1399</v>
      </c>
      <c r="F1748" s="48" t="s">
        <v>1398</v>
      </c>
      <c r="G1748" s="14" t="b">
        <f>OR(LCI_Table[[#This Row],[Feedstock]]="All",LCI_Table[[#This Row],[Feedstock]]=SelectedFeedstock)</f>
        <v>0</v>
      </c>
      <c r="H1748" s="14" t="b">
        <f>OR(LCI_Table[[#This Row],[Conversion]]="All",LCI_Table[[#This Row],[Conversion]]=SelectedConversion)</f>
        <v>0</v>
      </c>
      <c r="I1748" s="14" t="b">
        <f>OR(LCI_Table[[#This Row],[Data Set]]="all",LCI_Table[[#This Row],[Data Set]]=SelectedDataSet)</f>
        <v>0</v>
      </c>
      <c r="J1748" s="14" t="b">
        <f>OR(LCI_Table[[#This Row],[Technology]]="All",LCI_Table[[#This Row],[Technology]]=SelectedTechnology)</f>
        <v>0</v>
      </c>
      <c r="K1748" s="14" t="b">
        <f>OR(LCI_Table[[#This Row],[Data Source]]="All",LCI_Table[[#This Row],[Data Source]]=SelectedDataSource)</f>
        <v>0</v>
      </c>
      <c r="L1748" s="14" t="b">
        <f>TRUE</f>
        <v>1</v>
      </c>
      <c r="M1748" s="14" t="b">
        <f>(LCI_Table[[#This Row],[Dev Notes]]="Do not display")</f>
        <v>0</v>
      </c>
      <c r="N1748" s="14" t="b">
        <f>AND(LCI_Table[[#This Row],[Show Feedstock]:[Conditional]],NOT(LCI_Table[[#This Row],[Hide Row]]))</f>
        <v>0</v>
      </c>
      <c r="O1748" s="14" t="b">
        <f>LCI_Table[[#This Row],[GREET1 Name Range]]=""</f>
        <v>0</v>
      </c>
      <c r="P1748" s="14" t="s">
        <v>14</v>
      </c>
      <c r="Q1748" s="14" t="s">
        <v>711</v>
      </c>
      <c r="R1748" s="14" t="s">
        <v>109</v>
      </c>
      <c r="S1748" s="37" cm="1">
        <f t="array" aca="1" ref="S17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48" s="346" t="s">
        <v>1484</v>
      </c>
      <c r="U1748" s="347">
        <f ca="1">S1748*Fuel_Specs!$B$35/S1735</f>
        <v>0</v>
      </c>
      <c r="V1748" s="347">
        <v>0</v>
      </c>
      <c r="W1748" s="347">
        <v>0</v>
      </c>
      <c r="X1748" s="37" t="s">
        <v>5</v>
      </c>
      <c r="Y1748" s="346" t="s">
        <v>413</v>
      </c>
      <c r="Z1748" s="14" t="str">
        <f>IF(ISBLANK(LCI_Table[[#This Row],[Notes for user]])," ",LCI_Table[[#This Row],[Notes for user]])</f>
        <v xml:space="preserve"> </v>
      </c>
      <c r="AA1748" s="14"/>
      <c r="AB1748" s="14"/>
      <c r="AC1748" s="346">
        <f ca="1">LCI_Table[[#This Row],[Default Calculated Value]]-LCI_Table[[#This Row],[Calculated Value]]</f>
        <v>0</v>
      </c>
    </row>
    <row r="1749" spans="1:29" x14ac:dyDescent="0.3">
      <c r="A17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MiscanthusATJ-ethanolICAOConsensusIntegrated_Miscanthus_Farming_ElectricityElectricity</v>
      </c>
      <c r="B1749" s="14" t="s">
        <v>134</v>
      </c>
      <c r="C1749" s="14" t="s">
        <v>1964</v>
      </c>
      <c r="D1749" s="14" t="s">
        <v>194</v>
      </c>
      <c r="E1749" s="48" t="s">
        <v>1399</v>
      </c>
      <c r="F1749" s="48" t="s">
        <v>1398</v>
      </c>
      <c r="G1749" s="14" t="b">
        <f>OR(LCI_Table[[#This Row],[Feedstock]]="All",LCI_Table[[#This Row],[Feedstock]]=SelectedFeedstock)</f>
        <v>0</v>
      </c>
      <c r="H1749" s="14" t="b">
        <f>OR(LCI_Table[[#This Row],[Conversion]]="All",LCI_Table[[#This Row],[Conversion]]=SelectedConversion)</f>
        <v>0</v>
      </c>
      <c r="I1749" s="14" t="b">
        <f>OR(LCI_Table[[#This Row],[Data Set]]="all",LCI_Table[[#This Row],[Data Set]]=SelectedDataSet)</f>
        <v>0</v>
      </c>
      <c r="J1749" s="14" t="b">
        <f>OR(LCI_Table[[#This Row],[Technology]]="All",LCI_Table[[#This Row],[Technology]]=SelectedTechnology)</f>
        <v>0</v>
      </c>
      <c r="K1749" s="14" t="b">
        <f>OR(LCI_Table[[#This Row],[Data Source]]="All",LCI_Table[[#This Row],[Data Source]]=SelectedDataSource)</f>
        <v>0</v>
      </c>
      <c r="L1749" s="14" t="b">
        <f>TRUE</f>
        <v>1</v>
      </c>
      <c r="M1749" s="14" t="b">
        <f>(LCI_Table[[#This Row],[Dev Notes]]="Do not display")</f>
        <v>0</v>
      </c>
      <c r="N1749" s="14" t="b">
        <f>AND(LCI_Table[[#This Row],[Show Feedstock]:[Conditional]],NOT(LCI_Table[[#This Row],[Hide Row]]))</f>
        <v>0</v>
      </c>
      <c r="O1749" s="14" t="b">
        <f>LCI_Table[[#This Row],[GREET1 Name Range]]=""</f>
        <v>0</v>
      </c>
      <c r="P1749" s="14" t="s">
        <v>14</v>
      </c>
      <c r="Q1749" s="14" t="s">
        <v>705</v>
      </c>
      <c r="R1749" s="348" t="s">
        <v>110</v>
      </c>
      <c r="S1749" s="37" cm="1">
        <f t="array" aca="1" ref="S17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9.3870324404323906</v>
      </c>
      <c r="T1749" s="346" t="s">
        <v>1561</v>
      </c>
      <c r="U1749" s="347">
        <f ca="1">S1749/BTU2kWh/S1735</f>
        <v>3718.3863159328862</v>
      </c>
      <c r="V1749" s="347">
        <v>9.3870324404323906</v>
      </c>
      <c r="W1749" s="347">
        <v>3718.3863159328862</v>
      </c>
      <c r="X1749" s="37" t="s">
        <v>51</v>
      </c>
      <c r="Y1749" s="346" t="s">
        <v>413</v>
      </c>
      <c r="Z1749" s="14" t="str">
        <f>IF(ISBLANK(LCI_Table[[#This Row],[Notes for user]])," ",LCI_Table[[#This Row],[Notes for user]])</f>
        <v xml:space="preserve"> </v>
      </c>
      <c r="AA1749" s="14"/>
      <c r="AB1749" s="14"/>
      <c r="AC1749" s="346">
        <f ca="1">LCI_Table[[#This Row],[Default Calculated Value]]-LCI_Table[[#This Row],[Calculated Value]]</f>
        <v>0</v>
      </c>
    </row>
    <row r="1750" spans="1:29" x14ac:dyDescent="0.3">
      <c r="A17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MiscanthusATJ-ethanolICAOConsensusIntegrated_JetFuel_ETJet_BiomassFeedstockSelector</v>
      </c>
      <c r="B1750" s="358" t="s">
        <v>134</v>
      </c>
      <c r="C1750" s="358" t="s">
        <v>1964</v>
      </c>
      <c r="D1750" s="358" t="s">
        <v>194</v>
      </c>
      <c r="E1750" s="48" t="s">
        <v>1399</v>
      </c>
      <c r="F1750" s="48" t="s">
        <v>1398</v>
      </c>
      <c r="G1750" s="14" t="b">
        <f>OR(LCI_Table[[#This Row],[Feedstock]]="All",LCI_Table[[#This Row],[Feedstock]]=SelectedFeedstock)</f>
        <v>0</v>
      </c>
      <c r="H1750" s="14" t="b">
        <f>OR(LCI_Table[[#This Row],[Conversion]]="All",LCI_Table[[#This Row],[Conversion]]=SelectedConversion)</f>
        <v>0</v>
      </c>
      <c r="I1750" s="14" t="b">
        <f>OR(LCI_Table[[#This Row],[Data Set]]="all",LCI_Table[[#This Row],[Data Set]]=SelectedDataSet)</f>
        <v>0</v>
      </c>
      <c r="J1750" s="14" t="b">
        <f>OR(LCI_Table[[#This Row],[Technology]]="All",LCI_Table[[#This Row],[Technology]]=SelectedTechnology)</f>
        <v>0</v>
      </c>
      <c r="K1750" s="14" t="b">
        <f>OR(LCI_Table[[#This Row],[Data Source]]="All",LCI_Table[[#This Row],[Data Source]]=SelectedDataSource)</f>
        <v>0</v>
      </c>
      <c r="L1750" s="14" t="b">
        <f>TRUE</f>
        <v>1</v>
      </c>
      <c r="M1750" s="14" t="b">
        <f>(LCI_Table[[#This Row],[Dev Notes]]="Do not display")</f>
        <v>1</v>
      </c>
      <c r="N1750" s="14" t="b">
        <f>AND(LCI_Table[[#This Row],[Show Feedstock]:[Conditional]],NOT(LCI_Table[[#This Row],[Hide Row]]))</f>
        <v>0</v>
      </c>
      <c r="O1750" s="14" t="b">
        <f>LCI_Table[[#This Row],[GREET1 Name Range]]=""</f>
        <v>0</v>
      </c>
      <c r="P1750" s="358" t="s">
        <v>1448</v>
      </c>
      <c r="Q1750" s="14" t="s">
        <v>86</v>
      </c>
      <c r="R1750" s="348" t="s">
        <v>902</v>
      </c>
      <c r="S1750" s="37" cm="1">
        <f t="array" aca="1" ref="S17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v>
      </c>
      <c r="T1750" s="346" t="s">
        <v>361</v>
      </c>
      <c r="U1750" s="352">
        <v>4</v>
      </c>
      <c r="V1750" s="352">
        <v>4</v>
      </c>
      <c r="W1750" s="352">
        <v>4</v>
      </c>
      <c r="X1750" s="356"/>
      <c r="Y1750" s="346"/>
      <c r="Z1750" s="14" t="str">
        <f>IF(ISBLANK(LCI_Table[[#This Row],[Notes for user]])," ",LCI_Table[[#This Row],[Notes for user]])</f>
        <v xml:space="preserve"> </v>
      </c>
      <c r="AA1750" s="14"/>
      <c r="AB1750" s="348" t="s">
        <v>1138</v>
      </c>
      <c r="AC1750" s="346">
        <f>LCI_Table[[#This Row],[Default Calculated Value]]-LCI_Table[[#This Row],[Calculated Value]]</f>
        <v>0</v>
      </c>
    </row>
    <row r="1751" spans="1:29" x14ac:dyDescent="0.3">
      <c r="A17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MiscanthusATJ-ethanolICAOConsensusIntegrated_Cellulosic_ETJ_FeedMiscanthus</v>
      </c>
      <c r="B1751" s="358" t="s">
        <v>134</v>
      </c>
      <c r="C1751" s="358" t="s">
        <v>1964</v>
      </c>
      <c r="D1751" s="358" t="s">
        <v>194</v>
      </c>
      <c r="E1751" s="48" t="s">
        <v>1399</v>
      </c>
      <c r="F1751" s="48" t="s">
        <v>1398</v>
      </c>
      <c r="G1751" s="14" t="b">
        <f>OR(LCI_Table[[#This Row],[Feedstock]]="All",LCI_Table[[#This Row],[Feedstock]]=SelectedFeedstock)</f>
        <v>0</v>
      </c>
      <c r="H1751" s="14" t="b">
        <f>OR(LCI_Table[[#This Row],[Conversion]]="All",LCI_Table[[#This Row],[Conversion]]=SelectedConversion)</f>
        <v>0</v>
      </c>
      <c r="I1751" s="14" t="b">
        <f>OR(LCI_Table[[#This Row],[Data Set]]="all",LCI_Table[[#This Row],[Data Set]]=SelectedDataSet)</f>
        <v>0</v>
      </c>
      <c r="J1751" s="14" t="b">
        <f>OR(LCI_Table[[#This Row],[Technology]]="All",LCI_Table[[#This Row],[Technology]]=SelectedTechnology)</f>
        <v>0</v>
      </c>
      <c r="K1751" s="14" t="b">
        <f>OR(LCI_Table[[#This Row],[Data Source]]="All",LCI_Table[[#This Row],[Data Source]]=SelectedDataSource)</f>
        <v>0</v>
      </c>
      <c r="L1751" s="14" t="b">
        <f>TRUE</f>
        <v>1</v>
      </c>
      <c r="M1751" s="14" t="b">
        <f>(LCI_Table[[#This Row],[Dev Notes]]="Do not display")</f>
        <v>0</v>
      </c>
      <c r="N1751" s="14" t="b">
        <f>AND(LCI_Table[[#This Row],[Show Feedstock]:[Conditional]],NOT(LCI_Table[[#This Row],[Hide Row]]))</f>
        <v>0</v>
      </c>
      <c r="O1751" s="14" t="b">
        <f>LCI_Table[[#This Row],[GREET1 Name Range]]=""</f>
        <v>0</v>
      </c>
      <c r="P1751" s="358" t="s">
        <v>1448</v>
      </c>
      <c r="Q1751" s="14" t="s">
        <v>562</v>
      </c>
      <c r="R1751" s="14" t="s">
        <v>134</v>
      </c>
      <c r="S1751" s="37" cm="1">
        <f t="array" aca="1" ref="S17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325.13563661946142</v>
      </c>
      <c r="T1751" s="346" t="s">
        <v>2119</v>
      </c>
      <c r="U1751" s="362">
        <f t="shared" ref="U1751" ca="1" si="57">S1751*lb2kg/mmBTU2MJ</f>
        <v>0.1397831631241894</v>
      </c>
      <c r="V1751" s="347">
        <v>325.13563661946142</v>
      </c>
      <c r="W1751" s="362">
        <v>0.1397831631241894</v>
      </c>
      <c r="X1751" s="14" t="s">
        <v>12</v>
      </c>
      <c r="Y1751" s="346" t="s">
        <v>416</v>
      </c>
      <c r="Z1751" s="14" t="str">
        <f>IF(ISBLANK(LCI_Table[[#This Row],[Notes for user]])," ",LCI_Table[[#This Row],[Notes for user]])</f>
        <v xml:space="preserve"> </v>
      </c>
      <c r="AA1751" s="358"/>
      <c r="AB1751" s="358" t="s">
        <v>921</v>
      </c>
      <c r="AC1751" s="346">
        <f ca="1">LCI_Table[[#This Row],[Default Calculated Value]]-LCI_Table[[#This Row],[Calculated Value]]</f>
        <v>0</v>
      </c>
    </row>
    <row r="1752" spans="1:29" x14ac:dyDescent="0.3">
      <c r="A17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MiscanthusATJ-ethanolICAOConsensusIntegrated_Cellulosic_ETJ_AlphaAmylaseAlpha-amylase</v>
      </c>
      <c r="B1752" s="358" t="s">
        <v>134</v>
      </c>
      <c r="C1752" s="358" t="s">
        <v>1964</v>
      </c>
      <c r="D1752" s="358" t="s">
        <v>194</v>
      </c>
      <c r="E1752" s="48" t="s">
        <v>1399</v>
      </c>
      <c r="F1752" s="48" t="s">
        <v>1398</v>
      </c>
      <c r="G1752" s="14" t="b">
        <f>OR(LCI_Table[[#This Row],[Feedstock]]="All",LCI_Table[[#This Row],[Feedstock]]=SelectedFeedstock)</f>
        <v>0</v>
      </c>
      <c r="H1752" s="14" t="b">
        <f>OR(LCI_Table[[#This Row],[Conversion]]="All",LCI_Table[[#This Row],[Conversion]]=SelectedConversion)</f>
        <v>0</v>
      </c>
      <c r="I1752" s="14" t="b">
        <f>OR(LCI_Table[[#This Row],[Data Set]]="all",LCI_Table[[#This Row],[Data Set]]=SelectedDataSet)</f>
        <v>0</v>
      </c>
      <c r="J1752" s="14" t="b">
        <f>OR(LCI_Table[[#This Row],[Technology]]="All",LCI_Table[[#This Row],[Technology]]=SelectedTechnology)</f>
        <v>0</v>
      </c>
      <c r="K1752" s="14" t="b">
        <f>OR(LCI_Table[[#This Row],[Data Source]]="All",LCI_Table[[#This Row],[Data Source]]=SelectedDataSource)</f>
        <v>0</v>
      </c>
      <c r="L1752" s="14" t="b">
        <f>TRUE</f>
        <v>1</v>
      </c>
      <c r="M1752" s="14" t="b">
        <f>(LCI_Table[[#This Row],[Dev Notes]]="Do not display")</f>
        <v>0</v>
      </c>
      <c r="N1752" s="14" t="b">
        <f>AND(LCI_Table[[#This Row],[Show Feedstock]:[Conditional]],NOT(LCI_Table[[#This Row],[Hide Row]]))</f>
        <v>0</v>
      </c>
      <c r="O1752" s="14" t="b">
        <f>LCI_Table[[#This Row],[GREET1 Name Range]]=""</f>
        <v>0</v>
      </c>
      <c r="P1752" s="358" t="s">
        <v>1448</v>
      </c>
      <c r="Q1752" s="14" t="s">
        <v>942</v>
      </c>
      <c r="R1752" s="14" t="s">
        <v>353</v>
      </c>
      <c r="S1752" s="37" cm="1">
        <f t="array" aca="1" ref="S17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52" s="346" t="s">
        <v>2119</v>
      </c>
      <c r="U1752" s="357">
        <f t="shared" ref="U1752" ca="1" si="58">S1752*lb2kg/mmBTU2MJ</f>
        <v>0</v>
      </c>
      <c r="V1752" s="347">
        <v>0</v>
      </c>
      <c r="W1752" s="357">
        <v>0</v>
      </c>
      <c r="X1752" s="14" t="s">
        <v>12</v>
      </c>
      <c r="Y1752" s="346" t="s">
        <v>416</v>
      </c>
      <c r="Z1752" s="14" t="str">
        <f>IF(ISBLANK(LCI_Table[[#This Row],[Notes for user]])," ",LCI_Table[[#This Row],[Notes for user]])</f>
        <v xml:space="preserve"> </v>
      </c>
      <c r="AA1752" s="14"/>
      <c r="AB1752" s="14"/>
      <c r="AC1752" s="346">
        <f ca="1">LCI_Table[[#This Row],[Default Calculated Value]]-LCI_Table[[#This Row],[Calculated Value]]</f>
        <v>0</v>
      </c>
    </row>
    <row r="1753" spans="1:29" x14ac:dyDescent="0.3">
      <c r="A17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MiscanthusATJ-ethanolICAOConsensusIntegrated_Cellulosic_ETJ_GlucoAmylaseGluco-amylase</v>
      </c>
      <c r="B1753" s="358" t="s">
        <v>134</v>
      </c>
      <c r="C1753" s="358" t="s">
        <v>1964</v>
      </c>
      <c r="D1753" s="358" t="s">
        <v>194</v>
      </c>
      <c r="E1753" s="48" t="s">
        <v>1399</v>
      </c>
      <c r="F1753" s="48" t="s">
        <v>1398</v>
      </c>
      <c r="G1753" s="14" t="b">
        <f>OR(LCI_Table[[#This Row],[Feedstock]]="All",LCI_Table[[#This Row],[Feedstock]]=SelectedFeedstock)</f>
        <v>0</v>
      </c>
      <c r="H1753" s="14" t="b">
        <f>OR(LCI_Table[[#This Row],[Conversion]]="All",LCI_Table[[#This Row],[Conversion]]=SelectedConversion)</f>
        <v>0</v>
      </c>
      <c r="I1753" s="14" t="b">
        <f>OR(LCI_Table[[#This Row],[Data Set]]="all",LCI_Table[[#This Row],[Data Set]]=SelectedDataSet)</f>
        <v>0</v>
      </c>
      <c r="J1753" s="14" t="b">
        <f>OR(LCI_Table[[#This Row],[Technology]]="All",LCI_Table[[#This Row],[Technology]]=SelectedTechnology)</f>
        <v>0</v>
      </c>
      <c r="K1753" s="14" t="b">
        <f>OR(LCI_Table[[#This Row],[Data Source]]="All",LCI_Table[[#This Row],[Data Source]]=SelectedDataSource)</f>
        <v>0</v>
      </c>
      <c r="L1753" s="14" t="b">
        <f>TRUE</f>
        <v>1</v>
      </c>
      <c r="M1753" s="14" t="b">
        <f>(LCI_Table[[#This Row],[Dev Notes]]="Do not display")</f>
        <v>0</v>
      </c>
      <c r="N1753" s="14" t="b">
        <f>AND(LCI_Table[[#This Row],[Show Feedstock]:[Conditional]],NOT(LCI_Table[[#This Row],[Hide Row]]))</f>
        <v>0</v>
      </c>
      <c r="O1753" s="14" t="b">
        <f>LCI_Table[[#This Row],[GREET1 Name Range]]=""</f>
        <v>0</v>
      </c>
      <c r="P1753" s="358" t="s">
        <v>1448</v>
      </c>
      <c r="Q1753" s="14" t="s">
        <v>943</v>
      </c>
      <c r="R1753" s="14" t="s">
        <v>354</v>
      </c>
      <c r="S1753" s="37" cm="1">
        <f t="array" aca="1" ref="S17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53" s="346" t="s">
        <v>2119</v>
      </c>
      <c r="U1753" s="357">
        <f t="shared" ref="U1753" ca="1" si="59">S1753*lb2kg/mmBTU2MJ</f>
        <v>0</v>
      </c>
      <c r="V1753" s="347">
        <v>0</v>
      </c>
      <c r="W1753" s="357">
        <v>0</v>
      </c>
      <c r="X1753" s="14" t="s">
        <v>12</v>
      </c>
      <c r="Y1753" s="346" t="s">
        <v>416</v>
      </c>
      <c r="Z1753" s="14" t="str">
        <f>IF(ISBLANK(LCI_Table[[#This Row],[Notes for user]])," ",LCI_Table[[#This Row],[Notes for user]])</f>
        <v xml:space="preserve"> </v>
      </c>
      <c r="AA1753" s="14"/>
      <c r="AB1753" s="14"/>
      <c r="AC1753" s="346">
        <f ca="1">LCI_Table[[#This Row],[Default Calculated Value]]-LCI_Table[[#This Row],[Calculated Value]]</f>
        <v>0</v>
      </c>
    </row>
    <row r="1754" spans="1:29" x14ac:dyDescent="0.3">
      <c r="A17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MiscanthusATJ-ethanolICAOConsensusIntegrated_Cellulosic_ETJ_YeastYeast</v>
      </c>
      <c r="B1754" s="358" t="s">
        <v>134</v>
      </c>
      <c r="C1754" s="358" t="s">
        <v>1964</v>
      </c>
      <c r="D1754" s="358" t="s">
        <v>194</v>
      </c>
      <c r="E1754" s="48" t="s">
        <v>1399</v>
      </c>
      <c r="F1754" s="48" t="s">
        <v>1398</v>
      </c>
      <c r="G1754" s="14" t="b">
        <f>OR(LCI_Table[[#This Row],[Feedstock]]="All",LCI_Table[[#This Row],[Feedstock]]=SelectedFeedstock)</f>
        <v>0</v>
      </c>
      <c r="H1754" s="14" t="b">
        <f>OR(LCI_Table[[#This Row],[Conversion]]="All",LCI_Table[[#This Row],[Conversion]]=SelectedConversion)</f>
        <v>0</v>
      </c>
      <c r="I1754" s="14" t="b">
        <f>OR(LCI_Table[[#This Row],[Data Set]]="all",LCI_Table[[#This Row],[Data Set]]=SelectedDataSet)</f>
        <v>0</v>
      </c>
      <c r="J1754" s="14" t="b">
        <f>OR(LCI_Table[[#This Row],[Technology]]="All",LCI_Table[[#This Row],[Technology]]=SelectedTechnology)</f>
        <v>0</v>
      </c>
      <c r="K1754" s="14" t="b">
        <f>OR(LCI_Table[[#This Row],[Data Source]]="All",LCI_Table[[#This Row],[Data Source]]=SelectedDataSource)</f>
        <v>0</v>
      </c>
      <c r="L1754" s="14" t="b">
        <f>TRUE</f>
        <v>1</v>
      </c>
      <c r="M1754" s="14" t="b">
        <f>(LCI_Table[[#This Row],[Dev Notes]]="Do not display")</f>
        <v>0</v>
      </c>
      <c r="N1754" s="14" t="b">
        <f>AND(LCI_Table[[#This Row],[Show Feedstock]:[Conditional]],NOT(LCI_Table[[#This Row],[Hide Row]]))</f>
        <v>0</v>
      </c>
      <c r="O1754" s="14" t="b">
        <f>LCI_Table[[#This Row],[GREET1 Name Range]]=""</f>
        <v>0</v>
      </c>
      <c r="P1754" s="358" t="s">
        <v>1448</v>
      </c>
      <c r="Q1754" s="14" t="s">
        <v>944</v>
      </c>
      <c r="R1754" s="14" t="s">
        <v>145</v>
      </c>
      <c r="S1754" s="37" cm="1">
        <f t="array" aca="1" ref="S17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0.80958773518245875</v>
      </c>
      <c r="T1754" s="346" t="s">
        <v>2119</v>
      </c>
      <c r="U1754" s="357">
        <f t="shared" ref="U1754" ca="1" si="60">S1754*lb2kg/mmBTU2MJ</f>
        <v>3.4806007617923157E-4</v>
      </c>
      <c r="V1754" s="347">
        <v>0.80958773518245875</v>
      </c>
      <c r="W1754" s="357">
        <v>3.4806007617923157E-4</v>
      </c>
      <c r="X1754" s="14" t="s">
        <v>12</v>
      </c>
      <c r="Y1754" s="346" t="s">
        <v>416</v>
      </c>
      <c r="Z1754" s="14" t="str">
        <f>IF(ISBLANK(LCI_Table[[#This Row],[Notes for user]])," ",LCI_Table[[#This Row],[Notes for user]])</f>
        <v xml:space="preserve"> </v>
      </c>
      <c r="AA1754" s="14"/>
      <c r="AB1754" s="14"/>
      <c r="AC1754" s="346">
        <f ca="1">LCI_Table[[#This Row],[Default Calculated Value]]-LCI_Table[[#This Row],[Calculated Value]]</f>
        <v>0</v>
      </c>
    </row>
    <row r="1755" spans="1:29" x14ac:dyDescent="0.3">
      <c r="A17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MiscanthusATJ-ethanolICAOConsensusIntegrated_Cellulosic_ETJ_GlucoseGlucose</v>
      </c>
      <c r="B1755" s="358" t="s">
        <v>134</v>
      </c>
      <c r="C1755" s="358" t="s">
        <v>1964</v>
      </c>
      <c r="D1755" s="358" t="s">
        <v>194</v>
      </c>
      <c r="E1755" s="48" t="s">
        <v>1399</v>
      </c>
      <c r="F1755" s="48" t="s">
        <v>1398</v>
      </c>
      <c r="G1755" s="14" t="b">
        <f>OR(LCI_Table[[#This Row],[Feedstock]]="All",LCI_Table[[#This Row],[Feedstock]]=SelectedFeedstock)</f>
        <v>0</v>
      </c>
      <c r="H1755" s="14" t="b">
        <f>OR(LCI_Table[[#This Row],[Conversion]]="All",LCI_Table[[#This Row],[Conversion]]=SelectedConversion)</f>
        <v>0</v>
      </c>
      <c r="I1755" s="14" t="b">
        <f>OR(LCI_Table[[#This Row],[Data Set]]="all",LCI_Table[[#This Row],[Data Set]]=SelectedDataSet)</f>
        <v>0</v>
      </c>
      <c r="J1755" s="14" t="b">
        <f>OR(LCI_Table[[#This Row],[Technology]]="All",LCI_Table[[#This Row],[Technology]]=SelectedTechnology)</f>
        <v>0</v>
      </c>
      <c r="K1755" s="14" t="b">
        <f>OR(LCI_Table[[#This Row],[Data Source]]="All",LCI_Table[[#This Row],[Data Source]]=SelectedDataSource)</f>
        <v>0</v>
      </c>
      <c r="L1755" s="14" t="b">
        <f>TRUE</f>
        <v>1</v>
      </c>
      <c r="M1755" s="14" t="b">
        <f>(LCI_Table[[#This Row],[Dev Notes]]="Do not display")</f>
        <v>0</v>
      </c>
      <c r="N1755" s="14" t="b">
        <f>AND(LCI_Table[[#This Row],[Show Feedstock]:[Conditional]],NOT(LCI_Table[[#This Row],[Hide Row]]))</f>
        <v>0</v>
      </c>
      <c r="O1755" s="14" t="b">
        <f>LCI_Table[[#This Row],[GREET1 Name Range]]=""</f>
        <v>0</v>
      </c>
      <c r="P1755" s="358" t="s">
        <v>1448</v>
      </c>
      <c r="Q1755" s="14" t="s">
        <v>563</v>
      </c>
      <c r="R1755" s="14" t="s">
        <v>387</v>
      </c>
      <c r="S1755" s="37" cm="1">
        <f t="array" aca="1" ref="S17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55" s="346" t="s">
        <v>2119</v>
      </c>
      <c r="U1755" s="357">
        <f t="shared" ref="U1755" ca="1" si="61">S1755*lb2kg/mmBTU2MJ</f>
        <v>0</v>
      </c>
      <c r="V1755" s="347">
        <v>0</v>
      </c>
      <c r="W1755" s="357">
        <v>0</v>
      </c>
      <c r="X1755" s="14" t="s">
        <v>12</v>
      </c>
      <c r="Y1755" s="346" t="s">
        <v>416</v>
      </c>
      <c r="Z1755" s="14" t="str">
        <f>IF(ISBLANK(LCI_Table[[#This Row],[Notes for user]])," ",LCI_Table[[#This Row],[Notes for user]])</f>
        <v xml:space="preserve"> </v>
      </c>
      <c r="AA1755" s="14"/>
      <c r="AB1755" s="14"/>
      <c r="AC1755" s="346">
        <f ca="1">LCI_Table[[#This Row],[Default Calculated Value]]-LCI_Table[[#This Row],[Calculated Value]]</f>
        <v>0</v>
      </c>
    </row>
    <row r="1756" spans="1:29" x14ac:dyDescent="0.3">
      <c r="A17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MiscanthusATJ-ethanolICAOConsensusIntegrated_Cellulosic_ETJ_Sulfuric_acidSulfuric acid</v>
      </c>
      <c r="B1756" s="358" t="s">
        <v>134</v>
      </c>
      <c r="C1756" s="358" t="s">
        <v>1964</v>
      </c>
      <c r="D1756" s="358" t="s">
        <v>194</v>
      </c>
      <c r="E1756" s="48" t="s">
        <v>1399</v>
      </c>
      <c r="F1756" s="48" t="s">
        <v>1398</v>
      </c>
      <c r="G1756" s="14" t="b">
        <f>OR(LCI_Table[[#This Row],[Feedstock]]="All",LCI_Table[[#This Row],[Feedstock]]=SelectedFeedstock)</f>
        <v>0</v>
      </c>
      <c r="H1756" s="14" t="b">
        <f>OR(LCI_Table[[#This Row],[Conversion]]="All",LCI_Table[[#This Row],[Conversion]]=SelectedConversion)</f>
        <v>0</v>
      </c>
      <c r="I1756" s="14" t="b">
        <f>OR(LCI_Table[[#This Row],[Data Set]]="all",LCI_Table[[#This Row],[Data Set]]=SelectedDataSet)</f>
        <v>0</v>
      </c>
      <c r="J1756" s="14" t="b">
        <f>OR(LCI_Table[[#This Row],[Technology]]="All",LCI_Table[[#This Row],[Technology]]=SelectedTechnology)</f>
        <v>0</v>
      </c>
      <c r="K1756" s="14" t="b">
        <f>OR(LCI_Table[[#This Row],[Data Source]]="All",LCI_Table[[#This Row],[Data Source]]=SelectedDataSource)</f>
        <v>0</v>
      </c>
      <c r="L1756" s="14" t="b">
        <f>TRUE</f>
        <v>1</v>
      </c>
      <c r="M1756" s="14" t="b">
        <f>(LCI_Table[[#This Row],[Dev Notes]]="Do not display")</f>
        <v>0</v>
      </c>
      <c r="N1756" s="14" t="b">
        <f>AND(LCI_Table[[#This Row],[Show Feedstock]:[Conditional]],NOT(LCI_Table[[#This Row],[Hide Row]]))</f>
        <v>0</v>
      </c>
      <c r="O1756" s="14" t="b">
        <f>LCI_Table[[#This Row],[GREET1 Name Range]]=""</f>
        <v>0</v>
      </c>
      <c r="P1756" s="358" t="s">
        <v>1448</v>
      </c>
      <c r="Q1756" s="14" t="s">
        <v>567</v>
      </c>
      <c r="R1756" s="14" t="s">
        <v>384</v>
      </c>
      <c r="S1756" s="37" cm="1">
        <f t="array" aca="1" ref="S17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10.547481335844481</v>
      </c>
      <c r="T1756" s="346" t="s">
        <v>2119</v>
      </c>
      <c r="U1756" s="357">
        <f t="shared" ref="U1756" ca="1" si="62">S1756*lb2kg/mmBTU2MJ</f>
        <v>4.534600757539484E-3</v>
      </c>
      <c r="V1756" s="347">
        <v>10.547481335844481</v>
      </c>
      <c r="W1756" s="357">
        <v>4.534600757539484E-3</v>
      </c>
      <c r="X1756" s="14" t="s">
        <v>12</v>
      </c>
      <c r="Y1756" s="346" t="s">
        <v>416</v>
      </c>
      <c r="Z1756" s="14" t="str">
        <f>IF(ISBLANK(LCI_Table[[#This Row],[Notes for user]])," ",LCI_Table[[#This Row],[Notes for user]])</f>
        <v xml:space="preserve"> </v>
      </c>
      <c r="AA1756" s="14"/>
      <c r="AB1756" s="14"/>
      <c r="AC1756" s="346">
        <f ca="1">LCI_Table[[#This Row],[Default Calculated Value]]-LCI_Table[[#This Row],[Calculated Value]]</f>
        <v>0</v>
      </c>
    </row>
    <row r="1757" spans="1:29" x14ac:dyDescent="0.3">
      <c r="A17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MiscanthusATJ-ethanolICAOConsensusIntegrated_Cellulosic_ETJ_AmmoniaAmmonia</v>
      </c>
      <c r="B1757" s="358" t="s">
        <v>134</v>
      </c>
      <c r="C1757" s="358" t="s">
        <v>1964</v>
      </c>
      <c r="D1757" s="358" t="s">
        <v>194</v>
      </c>
      <c r="E1757" s="48" t="s">
        <v>1399</v>
      </c>
      <c r="F1757" s="48" t="s">
        <v>1398</v>
      </c>
      <c r="G1757" s="14" t="b">
        <f>OR(LCI_Table[[#This Row],[Feedstock]]="All",LCI_Table[[#This Row],[Feedstock]]=SelectedFeedstock)</f>
        <v>0</v>
      </c>
      <c r="H1757" s="14" t="b">
        <f>OR(LCI_Table[[#This Row],[Conversion]]="All",LCI_Table[[#This Row],[Conversion]]=SelectedConversion)</f>
        <v>0</v>
      </c>
      <c r="I1757" s="14" t="b">
        <f>OR(LCI_Table[[#This Row],[Data Set]]="all",LCI_Table[[#This Row],[Data Set]]=SelectedDataSet)</f>
        <v>0</v>
      </c>
      <c r="J1757" s="14" t="b">
        <f>OR(LCI_Table[[#This Row],[Technology]]="All",LCI_Table[[#This Row],[Technology]]=SelectedTechnology)</f>
        <v>0</v>
      </c>
      <c r="K1757" s="14" t="b">
        <f>OR(LCI_Table[[#This Row],[Data Source]]="All",LCI_Table[[#This Row],[Data Source]]=SelectedDataSource)</f>
        <v>0</v>
      </c>
      <c r="L1757" s="14" t="b">
        <f>TRUE</f>
        <v>1</v>
      </c>
      <c r="M1757" s="14" t="b">
        <f>(LCI_Table[[#This Row],[Dev Notes]]="Do not display")</f>
        <v>0</v>
      </c>
      <c r="N1757" s="14" t="b">
        <f>AND(LCI_Table[[#This Row],[Show Feedstock]:[Conditional]],NOT(LCI_Table[[#This Row],[Hide Row]]))</f>
        <v>0</v>
      </c>
      <c r="O1757" s="14" t="b">
        <f>LCI_Table[[#This Row],[GREET1 Name Range]]=""</f>
        <v>0</v>
      </c>
      <c r="P1757" s="358" t="s">
        <v>1448</v>
      </c>
      <c r="Q1757" s="14" t="s">
        <v>557</v>
      </c>
      <c r="R1757" s="14" t="s">
        <v>382</v>
      </c>
      <c r="S1757" s="37" cm="1">
        <f t="array" aca="1" ref="S17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1.2656977603013373</v>
      </c>
      <c r="T1757" s="346" t="s">
        <v>2119</v>
      </c>
      <c r="U1757" s="357">
        <f t="shared" ref="U1757" ca="1" si="63">S1757*lb2kg/mmBTU2MJ</f>
        <v>5.4415209090473795E-4</v>
      </c>
      <c r="V1757" s="347">
        <v>1.2656977603013373</v>
      </c>
      <c r="W1757" s="357">
        <v>5.4415209090473795E-4</v>
      </c>
      <c r="X1757" s="14" t="s">
        <v>12</v>
      </c>
      <c r="Y1757" s="346" t="s">
        <v>416</v>
      </c>
      <c r="Z1757" s="14" t="str">
        <f>IF(ISBLANK(LCI_Table[[#This Row],[Notes for user]])," ",LCI_Table[[#This Row],[Notes for user]])</f>
        <v xml:space="preserve"> </v>
      </c>
      <c r="AA1757" s="14"/>
      <c r="AB1757" s="14"/>
      <c r="AC1757" s="346">
        <f ca="1">LCI_Table[[#This Row],[Default Calculated Value]]-LCI_Table[[#This Row],[Calculated Value]]</f>
        <v>0</v>
      </c>
    </row>
    <row r="1758" spans="1:29" x14ac:dyDescent="0.3">
      <c r="A17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MiscanthusATJ-ethanolICAOConsensusIntegrated_Cellulosic_ETJ_Corn_steep_liquorCorn steep liquor</v>
      </c>
      <c r="B1758" s="358" t="s">
        <v>134</v>
      </c>
      <c r="C1758" s="358" t="s">
        <v>1964</v>
      </c>
      <c r="D1758" s="358" t="s">
        <v>194</v>
      </c>
      <c r="E1758" s="48" t="s">
        <v>1399</v>
      </c>
      <c r="F1758" s="48" t="s">
        <v>1398</v>
      </c>
      <c r="G1758" s="14" t="b">
        <f>OR(LCI_Table[[#This Row],[Feedstock]]="All",LCI_Table[[#This Row],[Feedstock]]=SelectedFeedstock)</f>
        <v>0</v>
      </c>
      <c r="H1758" s="14" t="b">
        <f>OR(LCI_Table[[#This Row],[Conversion]]="All",LCI_Table[[#This Row],[Conversion]]=SelectedConversion)</f>
        <v>0</v>
      </c>
      <c r="I1758" s="14" t="b">
        <f>OR(LCI_Table[[#This Row],[Data Set]]="all",LCI_Table[[#This Row],[Data Set]]=SelectedDataSet)</f>
        <v>0</v>
      </c>
      <c r="J1758" s="14" t="b">
        <f>OR(LCI_Table[[#This Row],[Technology]]="All",LCI_Table[[#This Row],[Technology]]=SelectedTechnology)</f>
        <v>0</v>
      </c>
      <c r="K1758" s="14" t="b">
        <f>OR(LCI_Table[[#This Row],[Data Source]]="All",LCI_Table[[#This Row],[Data Source]]=SelectedDataSource)</f>
        <v>0</v>
      </c>
      <c r="L1758" s="14" t="b">
        <f>TRUE</f>
        <v>1</v>
      </c>
      <c r="M1758" s="14" t="b">
        <f>(LCI_Table[[#This Row],[Dev Notes]]="Do not display")</f>
        <v>0</v>
      </c>
      <c r="N1758" s="14" t="b">
        <f>AND(LCI_Table[[#This Row],[Show Feedstock]:[Conditional]],NOT(LCI_Table[[#This Row],[Hide Row]]))</f>
        <v>0</v>
      </c>
      <c r="O1758" s="14" t="b">
        <f>LCI_Table[[#This Row],[GREET1 Name Range]]=""</f>
        <v>0</v>
      </c>
      <c r="P1758" s="358" t="s">
        <v>1448</v>
      </c>
      <c r="Q1758" s="14" t="s">
        <v>559</v>
      </c>
      <c r="R1758" s="14" t="s">
        <v>386</v>
      </c>
      <c r="S1758" s="37" cm="1">
        <f t="array" aca="1" ref="S17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4.0080429076209025</v>
      </c>
      <c r="T1758" s="346" t="s">
        <v>2119</v>
      </c>
      <c r="U1758" s="357">
        <f t="shared" ref="U1758" ca="1" si="64">S1758*lb2kg/mmBTU2MJ</f>
        <v>1.7231482878650041E-3</v>
      </c>
      <c r="V1758" s="347">
        <v>4.0080429076209025</v>
      </c>
      <c r="W1758" s="357">
        <v>1.7231482878650041E-3</v>
      </c>
      <c r="X1758" s="14" t="s">
        <v>12</v>
      </c>
      <c r="Y1758" s="346" t="s">
        <v>416</v>
      </c>
      <c r="Z1758" s="14" t="str">
        <f>IF(ISBLANK(LCI_Table[[#This Row],[Notes for user]])," ",LCI_Table[[#This Row],[Notes for user]])</f>
        <v xml:space="preserve"> </v>
      </c>
      <c r="AA1758" s="14"/>
      <c r="AB1758" s="14"/>
      <c r="AC1758" s="346">
        <f ca="1">LCI_Table[[#This Row],[Default Calculated Value]]-LCI_Table[[#This Row],[Calculated Value]]</f>
        <v>0</v>
      </c>
    </row>
    <row r="1759" spans="1:29" x14ac:dyDescent="0.3">
      <c r="A17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MiscanthusATJ-ethanolICAOConsensusIntegrated_Cellulosic_ETJ_DAPDAP</v>
      </c>
      <c r="B1759" s="358" t="s">
        <v>134</v>
      </c>
      <c r="C1759" s="358" t="s">
        <v>1964</v>
      </c>
      <c r="D1759" s="358" t="s">
        <v>194</v>
      </c>
      <c r="E1759" s="48" t="s">
        <v>1399</v>
      </c>
      <c r="F1759" s="48" t="s">
        <v>1398</v>
      </c>
      <c r="G1759" s="14" t="b">
        <f>OR(LCI_Table[[#This Row],[Feedstock]]="All",LCI_Table[[#This Row],[Feedstock]]=SelectedFeedstock)</f>
        <v>0</v>
      </c>
      <c r="H1759" s="14" t="b">
        <f>OR(LCI_Table[[#This Row],[Conversion]]="All",LCI_Table[[#This Row],[Conversion]]=SelectedConversion)</f>
        <v>0</v>
      </c>
      <c r="I1759" s="14" t="b">
        <f>OR(LCI_Table[[#This Row],[Data Set]]="all",LCI_Table[[#This Row],[Data Set]]=SelectedDataSet)</f>
        <v>0</v>
      </c>
      <c r="J1759" s="14" t="b">
        <f>OR(LCI_Table[[#This Row],[Technology]]="All",LCI_Table[[#This Row],[Technology]]=SelectedTechnology)</f>
        <v>0</v>
      </c>
      <c r="K1759" s="14" t="b">
        <f>OR(LCI_Table[[#This Row],[Data Source]]="All",LCI_Table[[#This Row],[Data Source]]=SelectedDataSource)</f>
        <v>0</v>
      </c>
      <c r="L1759" s="14" t="b">
        <f>TRUE</f>
        <v>1</v>
      </c>
      <c r="M1759" s="14" t="b">
        <f>(LCI_Table[[#This Row],[Dev Notes]]="Do not display")</f>
        <v>0</v>
      </c>
      <c r="N1759" s="14" t="b">
        <f>AND(LCI_Table[[#This Row],[Show Feedstock]:[Conditional]],NOT(LCI_Table[[#This Row],[Hide Row]]))</f>
        <v>0</v>
      </c>
      <c r="O1759" s="14" t="b">
        <f>LCI_Table[[#This Row],[GREET1 Name Range]]=""</f>
        <v>0</v>
      </c>
      <c r="P1759" s="358" t="s">
        <v>1448</v>
      </c>
      <c r="Q1759" s="14" t="s">
        <v>560</v>
      </c>
      <c r="R1759" s="14" t="s">
        <v>383</v>
      </c>
      <c r="S1759" s="37" cm="1">
        <f t="array" aca="1" ref="S17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0.42189925343377932</v>
      </c>
      <c r="T1759" s="346" t="s">
        <v>2119</v>
      </c>
      <c r="U1759" s="357">
        <f t="shared" ref="U1759" ca="1" si="65">S1759*lb2kg/mmBTU2MJ</f>
        <v>1.813840303015794E-4</v>
      </c>
      <c r="V1759" s="347">
        <v>0.42189925343377932</v>
      </c>
      <c r="W1759" s="357">
        <v>1.813840303015794E-4</v>
      </c>
      <c r="X1759" s="14" t="s">
        <v>12</v>
      </c>
      <c r="Y1759" s="346" t="s">
        <v>416</v>
      </c>
      <c r="Z1759" s="14" t="str">
        <f>IF(ISBLANK(LCI_Table[[#This Row],[Notes for user]])," ",LCI_Table[[#This Row],[Notes for user]])</f>
        <v xml:space="preserve"> </v>
      </c>
      <c r="AA1759" s="14"/>
      <c r="AB1759" s="14"/>
      <c r="AC1759" s="346">
        <f ca="1">LCI_Table[[#This Row],[Default Calculated Value]]-LCI_Table[[#This Row],[Calculated Value]]</f>
        <v>0</v>
      </c>
    </row>
    <row r="1760" spans="1:29" x14ac:dyDescent="0.3">
      <c r="A17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MiscanthusATJ-ethanolICAOConsensusIntegrated_Cellulosic_ETJ_NaOHNaOH</v>
      </c>
      <c r="B1760" s="358" t="s">
        <v>134</v>
      </c>
      <c r="C1760" s="358" t="s">
        <v>1964</v>
      </c>
      <c r="D1760" s="358" t="s">
        <v>194</v>
      </c>
      <c r="E1760" s="48" t="s">
        <v>1399</v>
      </c>
      <c r="F1760" s="48" t="s">
        <v>1398</v>
      </c>
      <c r="G1760" s="14" t="b">
        <f>OR(LCI_Table[[#This Row],[Feedstock]]="All",LCI_Table[[#This Row],[Feedstock]]=SelectedFeedstock)</f>
        <v>0</v>
      </c>
      <c r="H1760" s="14" t="b">
        <f>OR(LCI_Table[[#This Row],[Conversion]]="All",LCI_Table[[#This Row],[Conversion]]=SelectedConversion)</f>
        <v>0</v>
      </c>
      <c r="I1760" s="14" t="b">
        <f>OR(LCI_Table[[#This Row],[Data Set]]="all",LCI_Table[[#This Row],[Data Set]]=SelectedDataSet)</f>
        <v>0</v>
      </c>
      <c r="J1760" s="14" t="b">
        <f>OR(LCI_Table[[#This Row],[Technology]]="All",LCI_Table[[#This Row],[Technology]]=SelectedTechnology)</f>
        <v>0</v>
      </c>
      <c r="K1760" s="14" t="b">
        <f>OR(LCI_Table[[#This Row],[Data Source]]="All",LCI_Table[[#This Row],[Data Source]]=SelectedDataSource)</f>
        <v>0</v>
      </c>
      <c r="L1760" s="14" t="b">
        <f>TRUE</f>
        <v>1</v>
      </c>
      <c r="M1760" s="14" t="b">
        <f>(LCI_Table[[#This Row],[Dev Notes]]="Do not display")</f>
        <v>0</v>
      </c>
      <c r="N1760" s="14" t="b">
        <f>AND(LCI_Table[[#This Row],[Show Feedstock]:[Conditional]],NOT(LCI_Table[[#This Row],[Hide Row]]))</f>
        <v>0</v>
      </c>
      <c r="O1760" s="14" t="b">
        <f>LCI_Table[[#This Row],[GREET1 Name Range]]=""</f>
        <v>0</v>
      </c>
      <c r="P1760" s="358" t="s">
        <v>1448</v>
      </c>
      <c r="Q1760" s="14" t="s">
        <v>1401</v>
      </c>
      <c r="R1760" s="14" t="s">
        <v>403</v>
      </c>
      <c r="S1760" s="37" cm="1">
        <f t="array" aca="1" ref="S17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3.5861436541871234</v>
      </c>
      <c r="T1760" s="346" t="s">
        <v>2119</v>
      </c>
      <c r="U1760" s="357">
        <f t="shared" ref="U1760" ca="1" si="66">S1760*lb2kg/mmBTU2MJ</f>
        <v>1.5417642575634245E-3</v>
      </c>
      <c r="V1760" s="347">
        <v>3.5861436541871234</v>
      </c>
      <c r="W1760" s="357">
        <v>1.5417642575634245E-3</v>
      </c>
      <c r="X1760" s="14" t="s">
        <v>12</v>
      </c>
      <c r="Y1760" s="346" t="s">
        <v>416</v>
      </c>
      <c r="Z1760" s="14" t="str">
        <f>IF(ISBLANK(LCI_Table[[#This Row],[Notes for user]])," ",LCI_Table[[#This Row],[Notes for user]])</f>
        <v xml:space="preserve"> </v>
      </c>
      <c r="AA1760" s="14"/>
      <c r="AB1760" s="14"/>
      <c r="AC1760" s="346">
        <f ca="1">LCI_Table[[#This Row],[Default Calculated Value]]-LCI_Table[[#This Row],[Calculated Value]]</f>
        <v>0</v>
      </c>
    </row>
    <row r="1761" spans="1:29" x14ac:dyDescent="0.3">
      <c r="A17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MiscanthusATJ-ethanolICAOConsensusIntegrated_Cellulosic_ETJ_LimeQuicklime (CaO)</v>
      </c>
      <c r="B1761" s="358" t="s">
        <v>134</v>
      </c>
      <c r="C1761" s="358" t="s">
        <v>1964</v>
      </c>
      <c r="D1761" s="358" t="s">
        <v>194</v>
      </c>
      <c r="E1761" s="48" t="s">
        <v>1399</v>
      </c>
      <c r="F1761" s="48" t="s">
        <v>1398</v>
      </c>
      <c r="G1761" s="14" t="b">
        <f>OR(LCI_Table[[#This Row],[Feedstock]]="All",LCI_Table[[#This Row],[Feedstock]]=SelectedFeedstock)</f>
        <v>0</v>
      </c>
      <c r="H1761" s="14" t="b">
        <f>OR(LCI_Table[[#This Row],[Conversion]]="All",LCI_Table[[#This Row],[Conversion]]=SelectedConversion)</f>
        <v>0</v>
      </c>
      <c r="I1761" s="14" t="b">
        <f>OR(LCI_Table[[#This Row],[Data Set]]="all",LCI_Table[[#This Row],[Data Set]]=SelectedDataSet)</f>
        <v>0</v>
      </c>
      <c r="J1761" s="14" t="b">
        <f>OR(LCI_Table[[#This Row],[Technology]]="All",LCI_Table[[#This Row],[Technology]]=SelectedTechnology)</f>
        <v>0</v>
      </c>
      <c r="K1761" s="14" t="b">
        <f>OR(LCI_Table[[#This Row],[Data Source]]="All",LCI_Table[[#This Row],[Data Source]]=SelectedDataSource)</f>
        <v>0</v>
      </c>
      <c r="L1761" s="14" t="b">
        <f>TRUE</f>
        <v>1</v>
      </c>
      <c r="M1761" s="14" t="b">
        <f>(LCI_Table[[#This Row],[Dev Notes]]="Do not display")</f>
        <v>0</v>
      </c>
      <c r="N1761" s="14" t="b">
        <f>AND(LCI_Table[[#This Row],[Show Feedstock]:[Conditional]],NOT(LCI_Table[[#This Row],[Hide Row]]))</f>
        <v>0</v>
      </c>
      <c r="O1761" s="14" t="b">
        <f>LCI_Table[[#This Row],[GREET1 Name Range]]=""</f>
        <v>0</v>
      </c>
      <c r="P1761" s="358" t="s">
        <v>1448</v>
      </c>
      <c r="Q1761" s="14" t="s">
        <v>566</v>
      </c>
      <c r="R1761" s="14" t="s">
        <v>404</v>
      </c>
      <c r="S1761" s="37" cm="1">
        <f t="array" aca="1" ref="S17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2.3204458938857866</v>
      </c>
      <c r="T1761" s="346" t="s">
        <v>2119</v>
      </c>
      <c r="U1761" s="357">
        <f t="shared" ref="U1761" ca="1" si="67">S1761*lb2kg/mmBTU2MJ</f>
        <v>9.97612166658687E-4</v>
      </c>
      <c r="V1761" s="347">
        <v>2.3204458938857866</v>
      </c>
      <c r="W1761" s="357">
        <v>9.97612166658687E-4</v>
      </c>
      <c r="X1761" s="14" t="s">
        <v>12</v>
      </c>
      <c r="Y1761" s="346" t="s">
        <v>416</v>
      </c>
      <c r="Z1761" s="14" t="str">
        <f>IF(ISBLANK(LCI_Table[[#This Row],[Notes for user]])," ",LCI_Table[[#This Row],[Notes for user]])</f>
        <v xml:space="preserve"> </v>
      </c>
      <c r="AA1761" s="14"/>
      <c r="AB1761" s="14"/>
      <c r="AC1761" s="346">
        <f ca="1">LCI_Table[[#This Row],[Default Calculated Value]]-LCI_Table[[#This Row],[Calculated Value]]</f>
        <v>0</v>
      </c>
    </row>
    <row r="1762" spans="1:29" x14ac:dyDescent="0.3">
      <c r="A17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MiscanthusATJ-ethanolICAOConsensusIntegrated_Cellulosic_ETJ_UreaUrea</v>
      </c>
      <c r="B1762" s="358" t="s">
        <v>134</v>
      </c>
      <c r="C1762" s="358" t="s">
        <v>1964</v>
      </c>
      <c r="D1762" s="358" t="s">
        <v>194</v>
      </c>
      <c r="E1762" s="48" t="s">
        <v>1399</v>
      </c>
      <c r="F1762" s="48" t="s">
        <v>1398</v>
      </c>
      <c r="G1762" s="14" t="b">
        <f>OR(LCI_Table[[#This Row],[Feedstock]]="All",LCI_Table[[#This Row],[Feedstock]]=SelectedFeedstock)</f>
        <v>0</v>
      </c>
      <c r="H1762" s="14" t="b">
        <f>OR(LCI_Table[[#This Row],[Conversion]]="All",LCI_Table[[#This Row],[Conversion]]=SelectedConversion)</f>
        <v>0</v>
      </c>
      <c r="I1762" s="14" t="b">
        <f>OR(LCI_Table[[#This Row],[Data Set]]="all",LCI_Table[[#This Row],[Data Set]]=SelectedDataSet)</f>
        <v>0</v>
      </c>
      <c r="J1762" s="14" t="b">
        <f>OR(LCI_Table[[#This Row],[Technology]]="All",LCI_Table[[#This Row],[Technology]]=SelectedTechnology)</f>
        <v>0</v>
      </c>
      <c r="K1762" s="14" t="b">
        <f>OR(LCI_Table[[#This Row],[Data Source]]="All",LCI_Table[[#This Row],[Data Source]]=SelectedDataSource)</f>
        <v>0</v>
      </c>
      <c r="L1762" s="14" t="b">
        <f>TRUE</f>
        <v>1</v>
      </c>
      <c r="M1762" s="14" t="b">
        <f>(LCI_Table[[#This Row],[Dev Notes]]="Do not display")</f>
        <v>0</v>
      </c>
      <c r="N1762" s="14" t="b">
        <f>AND(LCI_Table[[#This Row],[Show Feedstock]:[Conditional]],NOT(LCI_Table[[#This Row],[Hide Row]]))</f>
        <v>0</v>
      </c>
      <c r="O1762" s="14" t="b">
        <f>LCI_Table[[#This Row],[GREET1 Name Range]]=""</f>
        <v>0</v>
      </c>
      <c r="P1762" s="358" t="s">
        <v>1448</v>
      </c>
      <c r="Q1762" s="14" t="s">
        <v>568</v>
      </c>
      <c r="R1762" s="14" t="s">
        <v>144</v>
      </c>
      <c r="S1762" s="37" cm="1">
        <f t="array" aca="1" ref="S17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0.63284888015066865</v>
      </c>
      <c r="T1762" s="346" t="s">
        <v>2119</v>
      </c>
      <c r="U1762" s="357">
        <f t="shared" ref="U1762" ca="1" si="68">S1762*lb2kg/mmBTU2MJ</f>
        <v>2.7207604545236898E-4</v>
      </c>
      <c r="V1762" s="347">
        <v>0.63284888015066865</v>
      </c>
      <c r="W1762" s="357">
        <v>2.7207604545236898E-4</v>
      </c>
      <c r="X1762" s="14" t="s">
        <v>12</v>
      </c>
      <c r="Y1762" s="346" t="s">
        <v>416</v>
      </c>
      <c r="Z1762" s="14" t="str">
        <f>IF(ISBLANK(LCI_Table[[#This Row],[Notes for user]])," ",LCI_Table[[#This Row],[Notes for user]])</f>
        <v xml:space="preserve"> </v>
      </c>
      <c r="AA1762" s="14"/>
      <c r="AB1762" s="14"/>
      <c r="AC1762" s="346">
        <f ca="1">LCI_Table[[#This Row],[Default Calculated Value]]-LCI_Table[[#This Row],[Calculated Value]]</f>
        <v>0</v>
      </c>
    </row>
    <row r="1763" spans="1:29" x14ac:dyDescent="0.3">
      <c r="A17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MiscanthusATJ-ethanolICAOConsensusIntegrated_Cellulosic_ETJ_Host_nutrientsHost nutrients</v>
      </c>
      <c r="B1763" s="14" t="s">
        <v>134</v>
      </c>
      <c r="C1763" s="14" t="s">
        <v>1964</v>
      </c>
      <c r="D1763" s="14" t="s">
        <v>194</v>
      </c>
      <c r="E1763" s="48" t="s">
        <v>1399</v>
      </c>
      <c r="F1763" s="48" t="s">
        <v>1398</v>
      </c>
      <c r="G1763" s="14" t="b">
        <f>OR(LCI_Table[[#This Row],[Feedstock]]="All",LCI_Table[[#This Row],[Feedstock]]=SelectedFeedstock)</f>
        <v>0</v>
      </c>
      <c r="H1763" s="14" t="b">
        <f>OR(LCI_Table[[#This Row],[Conversion]]="All",LCI_Table[[#This Row],[Conversion]]=SelectedConversion)</f>
        <v>0</v>
      </c>
      <c r="I1763" s="14" t="b">
        <f>OR(LCI_Table[[#This Row],[Data Set]]="all",LCI_Table[[#This Row],[Data Set]]=SelectedDataSet)</f>
        <v>0</v>
      </c>
      <c r="J1763" s="14" t="b">
        <f>OR(LCI_Table[[#This Row],[Technology]]="All",LCI_Table[[#This Row],[Technology]]=SelectedTechnology)</f>
        <v>0</v>
      </c>
      <c r="K1763" s="14" t="b">
        <f>OR(LCI_Table[[#This Row],[Data Source]]="All",LCI_Table[[#This Row],[Data Source]]=SelectedDataSource)</f>
        <v>0</v>
      </c>
      <c r="L1763" s="14" t="b">
        <f>TRUE</f>
        <v>1</v>
      </c>
      <c r="M1763" s="14" t="b">
        <f>(LCI_Table[[#This Row],[Dev Notes]]="Do not display")</f>
        <v>0</v>
      </c>
      <c r="N1763" s="14" t="b">
        <f>AND(LCI_Table[[#This Row],[Show Feedstock]:[Conditional]],NOT(LCI_Table[[#This Row],[Hide Row]]))</f>
        <v>0</v>
      </c>
      <c r="O1763" s="14" t="b">
        <f>LCI_Table[[#This Row],[GREET1 Name Range]]=""</f>
        <v>0</v>
      </c>
      <c r="P1763" s="14" t="s">
        <v>1448</v>
      </c>
      <c r="Q1763" s="14" t="s">
        <v>564</v>
      </c>
      <c r="R1763" s="14" t="s">
        <v>388</v>
      </c>
      <c r="S1763" s="37" cm="1">
        <f t="array" aca="1" ref="S17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63" s="346" t="s">
        <v>2119</v>
      </c>
      <c r="U1763" s="357">
        <f t="shared" ref="U1763" ca="1" si="69">S1763*lb2kg/mmBTU2MJ</f>
        <v>0</v>
      </c>
      <c r="V1763" s="347">
        <v>0</v>
      </c>
      <c r="W1763" s="357">
        <v>0</v>
      </c>
      <c r="X1763" s="14" t="s">
        <v>12</v>
      </c>
      <c r="Y1763" s="346" t="s">
        <v>416</v>
      </c>
      <c r="Z1763" s="14" t="str">
        <f>IF(ISBLANK(LCI_Table[[#This Row],[Notes for user]])," ",LCI_Table[[#This Row],[Notes for user]])</f>
        <v xml:space="preserve"> </v>
      </c>
      <c r="AA1763" s="14"/>
      <c r="AB1763" s="14"/>
      <c r="AC1763" s="346">
        <f ca="1">LCI_Table[[#This Row],[Default Calculated Value]]-LCI_Table[[#This Row],[Calculated Value]]</f>
        <v>0</v>
      </c>
    </row>
    <row r="1764" spans="1:29" x14ac:dyDescent="0.3">
      <c r="A17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MiscanthusATJ-ethanolICAOConsensusIntegrated_Cellulosic_ETJ_DieselDiesel</v>
      </c>
      <c r="B1764" s="358" t="s">
        <v>134</v>
      </c>
      <c r="C1764" s="358" t="s">
        <v>1964</v>
      </c>
      <c r="D1764" s="358" t="s">
        <v>194</v>
      </c>
      <c r="E1764" s="48" t="s">
        <v>1399</v>
      </c>
      <c r="F1764" s="48" t="s">
        <v>1398</v>
      </c>
      <c r="G1764" s="14" t="b">
        <f>OR(LCI_Table[[#This Row],[Feedstock]]="All",LCI_Table[[#This Row],[Feedstock]]=SelectedFeedstock)</f>
        <v>0</v>
      </c>
      <c r="H1764" s="14" t="b">
        <f>OR(LCI_Table[[#This Row],[Conversion]]="All",LCI_Table[[#This Row],[Conversion]]=SelectedConversion)</f>
        <v>0</v>
      </c>
      <c r="I1764" s="14" t="b">
        <f>OR(LCI_Table[[#This Row],[Data Set]]="all",LCI_Table[[#This Row],[Data Set]]=SelectedDataSet)</f>
        <v>0</v>
      </c>
      <c r="J1764" s="14" t="b">
        <f>OR(LCI_Table[[#This Row],[Technology]]="All",LCI_Table[[#This Row],[Technology]]=SelectedTechnology)</f>
        <v>0</v>
      </c>
      <c r="K1764" s="14" t="b">
        <f>OR(LCI_Table[[#This Row],[Data Source]]="All",LCI_Table[[#This Row],[Data Source]]=SelectedDataSource)</f>
        <v>0</v>
      </c>
      <c r="L1764" s="14" t="b">
        <f>TRUE</f>
        <v>1</v>
      </c>
      <c r="M1764" s="14" t="b">
        <f>(LCI_Table[[#This Row],[Dev Notes]]="Do not display")</f>
        <v>0</v>
      </c>
      <c r="N1764" s="14" t="b">
        <f>AND(LCI_Table[[#This Row],[Show Feedstock]:[Conditional]],NOT(LCI_Table[[#This Row],[Hide Row]]))</f>
        <v>0</v>
      </c>
      <c r="O1764" s="14" t="b">
        <f>LCI_Table[[#This Row],[GREET1 Name Range]]=""</f>
        <v>0</v>
      </c>
      <c r="P1764" s="358" t="s">
        <v>1448</v>
      </c>
      <c r="Q1764" s="14" t="s">
        <v>945</v>
      </c>
      <c r="R1764" s="14" t="s">
        <v>106</v>
      </c>
      <c r="S1764" s="37" cm="1">
        <f t="array" aca="1" ref="S17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1.9170219882736358E-2</v>
      </c>
      <c r="T1764" s="346" t="s">
        <v>2128</v>
      </c>
      <c r="U1764" s="357">
        <f ca="1">S1764*Fuel_Specs!$B$19*BTU2MJ/mmBTU2MJ</f>
        <v>2.462414743937485E-3</v>
      </c>
      <c r="V1764" s="347">
        <v>1.9170219882736358E-2</v>
      </c>
      <c r="W1764" s="357">
        <v>2.462414743937485E-3</v>
      </c>
      <c r="X1764" s="14" t="s">
        <v>5</v>
      </c>
      <c r="Y1764" s="346" t="s">
        <v>416</v>
      </c>
      <c r="Z1764" s="14" t="str">
        <f>IF(ISBLANK(LCI_Table[[#This Row],[Notes for user]])," ",LCI_Table[[#This Row],[Notes for user]])</f>
        <v xml:space="preserve"> </v>
      </c>
      <c r="AA1764" s="14"/>
      <c r="AB1764" s="14"/>
      <c r="AC1764" s="346">
        <f ca="1">LCI_Table[[#This Row],[Default Calculated Value]]-LCI_Table[[#This Row],[Calculated Value]]</f>
        <v>0</v>
      </c>
    </row>
    <row r="1765" spans="1:29" x14ac:dyDescent="0.3">
      <c r="A17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MiscanthusATJ-ethanolICAOConsensusIntegrated_Cellulosic_ETJ_HydrogenHydrogen</v>
      </c>
      <c r="B1765" s="358" t="s">
        <v>134</v>
      </c>
      <c r="C1765" s="358" t="s">
        <v>1964</v>
      </c>
      <c r="D1765" s="358" t="s">
        <v>194</v>
      </c>
      <c r="E1765" s="48" t="s">
        <v>1399</v>
      </c>
      <c r="F1765" s="48" t="s">
        <v>1398</v>
      </c>
      <c r="G1765" s="14" t="b">
        <f>OR(LCI_Table[[#This Row],[Feedstock]]="All",LCI_Table[[#This Row],[Feedstock]]=SelectedFeedstock)</f>
        <v>0</v>
      </c>
      <c r="H1765" s="14" t="b">
        <f>OR(LCI_Table[[#This Row],[Conversion]]="All",LCI_Table[[#This Row],[Conversion]]=SelectedConversion)</f>
        <v>0</v>
      </c>
      <c r="I1765" s="14" t="b">
        <f>OR(LCI_Table[[#This Row],[Data Set]]="all",LCI_Table[[#This Row],[Data Set]]=SelectedDataSet)</f>
        <v>0</v>
      </c>
      <c r="J1765" s="14" t="b">
        <f>OR(LCI_Table[[#This Row],[Technology]]="All",LCI_Table[[#This Row],[Technology]]=SelectedTechnology)</f>
        <v>0</v>
      </c>
      <c r="K1765" s="14" t="b">
        <f>OR(LCI_Table[[#This Row],[Data Source]]="All",LCI_Table[[#This Row],[Data Source]]=SelectedDataSource)</f>
        <v>0</v>
      </c>
      <c r="L1765" s="14" t="b">
        <f>TRUE</f>
        <v>1</v>
      </c>
      <c r="M1765" s="14" t="b">
        <f>(LCI_Table[[#This Row],[Dev Notes]]="Do not display")</f>
        <v>0</v>
      </c>
      <c r="N1765" s="14" t="b">
        <f>AND(LCI_Table[[#This Row],[Show Feedstock]:[Conditional]],NOT(LCI_Table[[#This Row],[Hide Row]]))</f>
        <v>0</v>
      </c>
      <c r="O1765" s="14" t="b">
        <f>LCI_Table[[#This Row],[GREET1 Name Range]]=""</f>
        <v>0</v>
      </c>
      <c r="P1765" s="358" t="s">
        <v>1448</v>
      </c>
      <c r="Q1765" s="14" t="s">
        <v>565</v>
      </c>
      <c r="R1765" s="358" t="s">
        <v>73</v>
      </c>
      <c r="S1765" s="37" cm="1">
        <f t="array" aca="1" ref="S17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234.25944761020259</v>
      </c>
      <c r="T1765" s="346" t="s">
        <v>2120</v>
      </c>
      <c r="U1765" s="362">
        <f ca="1">S1765*Fuel_Specs!$E$81*g2kg/mmBTU2MJ</f>
        <v>5.6618954475823877E-4</v>
      </c>
      <c r="V1765" s="359">
        <v>234.25944761020259</v>
      </c>
      <c r="W1765" s="362">
        <v>5.6618954475823877E-4</v>
      </c>
      <c r="X1765" s="360" t="s">
        <v>351</v>
      </c>
      <c r="Y1765" s="346" t="s">
        <v>416</v>
      </c>
      <c r="Z1765" s="14" t="str">
        <f>IF(ISBLANK(LCI_Table[[#This Row],[Notes for user]])," ",LCI_Table[[#This Row],[Notes for user]])</f>
        <v xml:space="preserve"> </v>
      </c>
      <c r="AA1765" s="358"/>
      <c r="AB1765" s="358"/>
      <c r="AC1765" s="346">
        <f ca="1">LCI_Table[[#This Row],[Default Calculated Value]]-LCI_Table[[#This Row],[Calculated Value]]</f>
        <v>0</v>
      </c>
    </row>
    <row r="1766" spans="1:29" x14ac:dyDescent="0.3">
      <c r="A17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MiscanthusATJ-ethanolICAOConsensusIntegrated_Cellulosic_ETJ_Natural_gasNatural gas</v>
      </c>
      <c r="B1766" s="14" t="s">
        <v>134</v>
      </c>
      <c r="C1766" s="14" t="s">
        <v>1964</v>
      </c>
      <c r="D1766" s="14" t="s">
        <v>194</v>
      </c>
      <c r="E1766" s="48" t="s">
        <v>1399</v>
      </c>
      <c r="F1766" s="48" t="s">
        <v>1398</v>
      </c>
      <c r="G1766" s="14" t="b">
        <f>OR(LCI_Table[[#This Row],[Feedstock]]="All",LCI_Table[[#This Row],[Feedstock]]=SelectedFeedstock)</f>
        <v>0</v>
      </c>
      <c r="H1766" s="14" t="b">
        <f>OR(LCI_Table[[#This Row],[Conversion]]="All",LCI_Table[[#This Row],[Conversion]]=SelectedConversion)</f>
        <v>0</v>
      </c>
      <c r="I1766" s="14" t="b">
        <f>OR(LCI_Table[[#This Row],[Data Set]]="all",LCI_Table[[#This Row],[Data Set]]=SelectedDataSet)</f>
        <v>0</v>
      </c>
      <c r="J1766" s="14" t="b">
        <f>OR(LCI_Table[[#This Row],[Technology]]="All",LCI_Table[[#This Row],[Technology]]=SelectedTechnology)</f>
        <v>0</v>
      </c>
      <c r="K1766" s="14" t="b">
        <f>OR(LCI_Table[[#This Row],[Data Source]]="All",LCI_Table[[#This Row],[Data Source]]=SelectedDataSource)</f>
        <v>0</v>
      </c>
      <c r="L1766" s="14" t="b">
        <f>TRUE</f>
        <v>1</v>
      </c>
      <c r="M1766" s="14" t="b">
        <f>(LCI_Table[[#This Row],[Dev Notes]]="Do not display")</f>
        <v>0</v>
      </c>
      <c r="N1766" s="14" t="b">
        <f>AND(LCI_Table[[#This Row],[Show Feedstock]:[Conditional]],NOT(LCI_Table[[#This Row],[Hide Row]]))</f>
        <v>0</v>
      </c>
      <c r="O1766" s="14" t="b">
        <f>LCI_Table[[#This Row],[GREET1 Name Range]]=""</f>
        <v>0</v>
      </c>
      <c r="P1766" s="14" t="s">
        <v>1448</v>
      </c>
      <c r="Q1766" s="14" t="s">
        <v>946</v>
      </c>
      <c r="R1766" s="14" t="s">
        <v>108</v>
      </c>
      <c r="S1766" s="37" cm="1">
        <f t="array" aca="1" ref="S17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66" s="346" t="s">
        <v>2120</v>
      </c>
      <c r="U1766" s="347">
        <f ca="1">S1766*Fuel_Specs!$E$79*g2kg/mmBTU2MJ</f>
        <v>0</v>
      </c>
      <c r="V1766" s="347">
        <v>0</v>
      </c>
      <c r="W1766" s="357">
        <v>0</v>
      </c>
      <c r="X1766" s="14" t="s">
        <v>351</v>
      </c>
      <c r="Y1766" s="346" t="s">
        <v>416</v>
      </c>
      <c r="Z1766" s="14" t="str">
        <f>IF(ISBLANK(LCI_Table[[#This Row],[Notes for user]])," ",LCI_Table[[#This Row],[Notes for user]])</f>
        <v xml:space="preserve"> </v>
      </c>
      <c r="AA1766" s="14"/>
      <c r="AB1766" s="14"/>
      <c r="AC1766" s="346">
        <f ca="1">LCI_Table[[#This Row],[Default Calculated Value]]-LCI_Table[[#This Row],[Calculated Value]]</f>
        <v>0</v>
      </c>
    </row>
    <row r="1767" spans="1:29" x14ac:dyDescent="0.3">
      <c r="A17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MiscanthusATJ-ethanolICAOConsensusIntegrated_Cellulosic_ETJ_ElectricityGrid Electricity</v>
      </c>
      <c r="B1767" s="14" t="s">
        <v>134</v>
      </c>
      <c r="C1767" s="14" t="s">
        <v>1964</v>
      </c>
      <c r="D1767" s="14" t="s">
        <v>194</v>
      </c>
      <c r="E1767" s="48" t="s">
        <v>1399</v>
      </c>
      <c r="F1767" s="48" t="s">
        <v>1398</v>
      </c>
      <c r="G1767" s="14" t="b">
        <f>OR(LCI_Table[[#This Row],[Feedstock]]="All",LCI_Table[[#This Row],[Feedstock]]=SelectedFeedstock)</f>
        <v>0</v>
      </c>
      <c r="H1767" s="14" t="b">
        <f>OR(LCI_Table[[#This Row],[Conversion]]="All",LCI_Table[[#This Row],[Conversion]]=SelectedConversion)</f>
        <v>0</v>
      </c>
      <c r="I1767" s="14" t="b">
        <f>OR(LCI_Table[[#This Row],[Data Set]]="all",LCI_Table[[#This Row],[Data Set]]=SelectedDataSet)</f>
        <v>0</v>
      </c>
      <c r="J1767" s="14" t="b">
        <f>OR(LCI_Table[[#This Row],[Technology]]="All",LCI_Table[[#This Row],[Technology]]=SelectedTechnology)</f>
        <v>0</v>
      </c>
      <c r="K1767" s="14" t="b">
        <f>OR(LCI_Table[[#This Row],[Data Source]]="All",LCI_Table[[#This Row],[Data Source]]=SelectedDataSource)</f>
        <v>0</v>
      </c>
      <c r="L1767" s="14" t="b">
        <f>TRUE</f>
        <v>1</v>
      </c>
      <c r="M1767" s="14" t="b">
        <f>(LCI_Table[[#This Row],[Dev Notes]]="Do not display")</f>
        <v>0</v>
      </c>
      <c r="N1767" s="14" t="b">
        <f>AND(LCI_Table[[#This Row],[Show Feedstock]:[Conditional]],NOT(LCI_Table[[#This Row],[Hide Row]]))</f>
        <v>0</v>
      </c>
      <c r="O1767" s="14" t="b">
        <f>LCI_Table[[#This Row],[GREET1 Name Range]]=""</f>
        <v>0</v>
      </c>
      <c r="P1767" s="14" t="s">
        <v>1448</v>
      </c>
      <c r="Q1767" s="14" t="s">
        <v>947</v>
      </c>
      <c r="R1767" s="14" t="s">
        <v>1684</v>
      </c>
      <c r="S1767" s="37" cm="1">
        <f t="array" aca="1" ref="S17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67" s="346" t="s">
        <v>2121</v>
      </c>
      <c r="U1767" s="347">
        <f ca="1">S1767/mmBTU2MJ</f>
        <v>0</v>
      </c>
      <c r="V1767" s="347">
        <v>0</v>
      </c>
      <c r="W1767" s="357">
        <v>0</v>
      </c>
      <c r="X1767" s="37" t="s">
        <v>51</v>
      </c>
      <c r="Y1767" s="346" t="s">
        <v>416</v>
      </c>
      <c r="Z1767" s="14" t="str">
        <f>IF(ISBLANK(LCI_Table[[#This Row],[Notes for user]])," ",LCI_Table[[#This Row],[Notes for user]])</f>
        <v xml:space="preserve"> </v>
      </c>
      <c r="AA1767" s="14"/>
      <c r="AB1767" s="14"/>
      <c r="AC1767" s="346">
        <f ca="1">LCI_Table[[#This Row],[Default Calculated Value]]-LCI_Table[[#This Row],[Calculated Value]]</f>
        <v>0</v>
      </c>
    </row>
    <row r="1768" spans="1:29" x14ac:dyDescent="0.3">
      <c r="A17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MiscanthusATJ-ethanolICAOConsensusIntegrated_Cellulosic_ETJ_CatalystsCatalysts</v>
      </c>
      <c r="B1768" s="14" t="s">
        <v>134</v>
      </c>
      <c r="C1768" s="14" t="s">
        <v>1964</v>
      </c>
      <c r="D1768" s="14" t="s">
        <v>194</v>
      </c>
      <c r="E1768" s="48" t="s">
        <v>1399</v>
      </c>
      <c r="F1768" s="48" t="s">
        <v>1398</v>
      </c>
      <c r="G1768" s="14" t="b">
        <f>OR(LCI_Table[[#This Row],[Feedstock]]="All",LCI_Table[[#This Row],[Feedstock]]=SelectedFeedstock)</f>
        <v>0</v>
      </c>
      <c r="H1768" s="14" t="b">
        <f>OR(LCI_Table[[#This Row],[Conversion]]="All",LCI_Table[[#This Row],[Conversion]]=SelectedConversion)</f>
        <v>0</v>
      </c>
      <c r="I1768" s="14" t="b">
        <f>OR(LCI_Table[[#This Row],[Data Set]]="all",LCI_Table[[#This Row],[Data Set]]=SelectedDataSet)</f>
        <v>0</v>
      </c>
      <c r="J1768" s="14" t="b">
        <f>OR(LCI_Table[[#This Row],[Technology]]="All",LCI_Table[[#This Row],[Technology]]=SelectedTechnology)</f>
        <v>0</v>
      </c>
      <c r="K1768" s="14" t="b">
        <f>OR(LCI_Table[[#This Row],[Data Source]]="All",LCI_Table[[#This Row],[Data Source]]=SelectedDataSource)</f>
        <v>0</v>
      </c>
      <c r="L1768" s="14" t="b">
        <f>TRUE</f>
        <v>1</v>
      </c>
      <c r="M1768" s="14" t="b">
        <f>(LCI_Table[[#This Row],[Dev Notes]]="Do not display")</f>
        <v>0</v>
      </c>
      <c r="N1768" s="14" t="b">
        <f>AND(LCI_Table[[#This Row],[Show Feedstock]:[Conditional]],NOT(LCI_Table[[#This Row],[Hide Row]]))</f>
        <v>0</v>
      </c>
      <c r="O1768" s="14" t="b">
        <f>LCI_Table[[#This Row],[GREET1 Name Range]]=""</f>
        <v>0</v>
      </c>
      <c r="P1768" s="14" t="s">
        <v>1448</v>
      </c>
      <c r="Q1768" s="14" t="s">
        <v>558</v>
      </c>
      <c r="R1768" s="14" t="s">
        <v>142</v>
      </c>
      <c r="S1768" s="37" cm="1">
        <f t="array" aca="1" ref="S17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68" s="346" t="s">
        <v>2119</v>
      </c>
      <c r="U1768" s="357">
        <f ca="1">S1768*lb2kg/mmBTU2MJ</f>
        <v>0</v>
      </c>
      <c r="V1768" s="347">
        <v>0</v>
      </c>
      <c r="W1768" s="357">
        <v>0</v>
      </c>
      <c r="X1768" s="37" t="s">
        <v>12</v>
      </c>
      <c r="Y1768" s="346" t="s">
        <v>416</v>
      </c>
      <c r="Z1768" s="14" t="str">
        <f>IF(ISBLANK(LCI_Table[[#This Row],[Notes for user]])," ",LCI_Table[[#This Row],[Notes for user]])</f>
        <v xml:space="preserve"> </v>
      </c>
      <c r="AA1768" s="14"/>
      <c r="AB1768" s="14"/>
      <c r="AC1768" s="346">
        <f ca="1">LCI_Table[[#This Row],[Default Calculated Value]]-LCI_Table[[#This Row],[Calculated Value]]</f>
        <v>0</v>
      </c>
    </row>
    <row r="1769" spans="1:29" x14ac:dyDescent="0.3">
      <c r="A17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MiscanthusATJ-ethanolICAOConsensusIntegrated_Cellulosic_ETJ_WaterWater</v>
      </c>
      <c r="B1769" s="14" t="s">
        <v>134</v>
      </c>
      <c r="C1769" s="14" t="s">
        <v>1964</v>
      </c>
      <c r="D1769" s="14" t="s">
        <v>194</v>
      </c>
      <c r="E1769" s="48" t="s">
        <v>1399</v>
      </c>
      <c r="F1769" s="48" t="s">
        <v>1398</v>
      </c>
      <c r="G1769" s="14" t="b">
        <f>OR(LCI_Table[[#This Row],[Feedstock]]="All",LCI_Table[[#This Row],[Feedstock]]=SelectedFeedstock)</f>
        <v>0</v>
      </c>
      <c r="H1769" s="14" t="b">
        <f>OR(LCI_Table[[#This Row],[Conversion]]="All",LCI_Table[[#This Row],[Conversion]]=SelectedConversion)</f>
        <v>0</v>
      </c>
      <c r="I1769" s="14" t="b">
        <f>OR(LCI_Table[[#This Row],[Data Set]]="all",LCI_Table[[#This Row],[Data Set]]=SelectedDataSet)</f>
        <v>0</v>
      </c>
      <c r="J1769" s="14" t="b">
        <f>OR(LCI_Table[[#This Row],[Technology]]="All",LCI_Table[[#This Row],[Technology]]=SelectedTechnology)</f>
        <v>0</v>
      </c>
      <c r="K1769" s="14" t="b">
        <f>OR(LCI_Table[[#This Row],[Data Source]]="All",LCI_Table[[#This Row],[Data Source]]=SelectedDataSource)</f>
        <v>0</v>
      </c>
      <c r="L1769" s="14" t="b">
        <f>TRUE</f>
        <v>1</v>
      </c>
      <c r="M1769" s="14" t="b">
        <f>(LCI_Table[[#This Row],[Dev Notes]]="Do not display")</f>
        <v>0</v>
      </c>
      <c r="N1769" s="14" t="b">
        <f>AND(LCI_Table[[#This Row],[Show Feedstock]:[Conditional]],NOT(LCI_Table[[#This Row],[Hide Row]]))</f>
        <v>0</v>
      </c>
      <c r="O1769" s="14" t="b">
        <f>LCI_Table[[#This Row],[GREET1 Name Range]]=""</f>
        <v>0</v>
      </c>
      <c r="P1769" s="14" t="s">
        <v>1448</v>
      </c>
      <c r="Q1769" s="14" t="s">
        <v>569</v>
      </c>
      <c r="R1769" s="14" t="s">
        <v>146</v>
      </c>
      <c r="S1769" s="37" cm="1">
        <f t="array" aca="1" ref="S17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69" s="346" t="s">
        <v>2128</v>
      </c>
      <c r="U1769" s="347">
        <f ca="1">S1769/mmBTU2MJ</f>
        <v>0</v>
      </c>
      <c r="V1769" s="347">
        <v>0</v>
      </c>
      <c r="W1769" s="357">
        <v>0</v>
      </c>
      <c r="X1769" s="37" t="s">
        <v>5</v>
      </c>
      <c r="Y1769" s="346" t="s">
        <v>416</v>
      </c>
      <c r="Z1769" s="14" t="str">
        <f>IF(ISBLANK(LCI_Table[[#This Row],[Notes for user]])," ",LCI_Table[[#This Row],[Notes for user]])</f>
        <v xml:space="preserve"> </v>
      </c>
      <c r="AA1769" s="14"/>
      <c r="AB1769" s="14"/>
      <c r="AC1769" s="346">
        <f ca="1">LCI_Table[[#This Row],[Default Calculated Value]]-LCI_Table[[#This Row],[Calculated Value]]</f>
        <v>0</v>
      </c>
    </row>
    <row r="1770" spans="1:29" x14ac:dyDescent="0.3">
      <c r="A17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MiscanthusATJ-ethanolICAOConsensusIntegrated_Cellulosic_ETJ_Allocation_FactorAllocation factor</v>
      </c>
      <c r="B1770" s="14" t="s">
        <v>134</v>
      </c>
      <c r="C1770" s="14" t="s">
        <v>1964</v>
      </c>
      <c r="D1770" s="14" t="s">
        <v>194</v>
      </c>
      <c r="E1770" s="48" t="s">
        <v>1399</v>
      </c>
      <c r="F1770" s="48" t="s">
        <v>1398</v>
      </c>
      <c r="G1770" s="14" t="b">
        <f>OR(LCI_Table[[#This Row],[Feedstock]]="All",LCI_Table[[#This Row],[Feedstock]]=SelectedFeedstock)</f>
        <v>0</v>
      </c>
      <c r="H1770" s="14" t="b">
        <f>OR(LCI_Table[[#This Row],[Conversion]]="All",LCI_Table[[#This Row],[Conversion]]=SelectedConversion)</f>
        <v>0</v>
      </c>
      <c r="I1770" s="14" t="b">
        <f>OR(LCI_Table[[#This Row],[Data Set]]="all",LCI_Table[[#This Row],[Data Set]]=SelectedDataSet)</f>
        <v>0</v>
      </c>
      <c r="J1770" s="14" t="b">
        <f>OR(LCI_Table[[#This Row],[Technology]]="All",LCI_Table[[#This Row],[Technology]]=SelectedTechnology)</f>
        <v>0</v>
      </c>
      <c r="K1770" s="14" t="b">
        <f>OR(LCI_Table[[#This Row],[Data Source]]="All",LCI_Table[[#This Row],[Data Source]]=SelectedDataSource)</f>
        <v>0</v>
      </c>
      <c r="L1770" s="14" t="b">
        <f>TRUE</f>
        <v>1</v>
      </c>
      <c r="M1770" s="14" t="b">
        <f>(LCI_Table[[#This Row],[Dev Notes]]="Do not display")</f>
        <v>0</v>
      </c>
      <c r="N1770" s="14" t="b">
        <f>AND(LCI_Table[[#This Row],[Show Feedstock]:[Conditional]],NOT(LCI_Table[[#This Row],[Hide Row]]))</f>
        <v>0</v>
      </c>
      <c r="O1770" s="14" t="b">
        <f>LCI_Table[[#This Row],[GREET1 Name Range]]=""</f>
        <v>0</v>
      </c>
      <c r="P1770" s="14" t="s">
        <v>1448</v>
      </c>
      <c r="Q1770" s="14" t="s">
        <v>1122</v>
      </c>
      <c r="R1770" s="14" t="s">
        <v>1344</v>
      </c>
      <c r="S1770" s="37" cm="1">
        <f t="array" aca="1" ref="S17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91.911764705882348</v>
      </c>
      <c r="T1770" s="346" t="s">
        <v>1345</v>
      </c>
      <c r="U1770" s="347">
        <f ca="1">S1770/100</f>
        <v>0.91911764705882348</v>
      </c>
      <c r="V1770" s="347">
        <v>91.911764705882348</v>
      </c>
      <c r="W1770" s="347">
        <v>0.91911764705882348</v>
      </c>
      <c r="X1770" s="37" t="s">
        <v>5</v>
      </c>
      <c r="Y1770" s="346" t="s">
        <v>416</v>
      </c>
      <c r="Z1770" s="14" t="str">
        <f>IF(ISBLANK(LCI_Table[[#This Row],[Notes for user]])," ",LCI_Table[[#This Row],[Notes for user]])</f>
        <v xml:space="preserve"> </v>
      </c>
      <c r="AA1770" s="14"/>
      <c r="AB1770" s="14"/>
      <c r="AC1770" s="346">
        <f ca="1">LCI_Table[[#This Row],[Default Calculated Value]]-LCI_Table[[#This Row],[Calculated Value]]</f>
        <v>0</v>
      </c>
    </row>
    <row r="1771" spans="1:29" x14ac:dyDescent="0.3">
      <c r="A17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dash_MiscanthusATJ-ethanolICAOConsensusStandalone_Yield_Farming</v>
      </c>
      <c r="B1771" s="48" t="s">
        <v>134</v>
      </c>
      <c r="C1771" s="48" t="s">
        <v>1964</v>
      </c>
      <c r="D1771" s="48" t="s">
        <v>194</v>
      </c>
      <c r="E1771" s="48" t="s">
        <v>1399</v>
      </c>
      <c r="F1771" s="48" t="s">
        <v>137</v>
      </c>
      <c r="G1771" s="14" t="b">
        <f>OR(LCI_Table[[#This Row],[Feedstock]]="All",LCI_Table[[#This Row],[Feedstock]]=SelectedFeedstock)</f>
        <v>0</v>
      </c>
      <c r="H1771" s="14" t="b">
        <f>OR(LCI_Table[[#This Row],[Conversion]]="All",LCI_Table[[#This Row],[Conversion]]=SelectedConversion)</f>
        <v>0</v>
      </c>
      <c r="I1771" s="14" t="b">
        <f>OR(LCI_Table[[#This Row],[Data Set]]="all",LCI_Table[[#This Row],[Data Set]]=SelectedDataSet)</f>
        <v>0</v>
      </c>
      <c r="J1771" s="14" t="b">
        <f>OR(LCI_Table[[#This Row],[Technology]]="All",LCI_Table[[#This Row],[Technology]]=SelectedTechnology)</f>
        <v>0</v>
      </c>
      <c r="K1771" s="14" t="b">
        <f>OR(LCI_Table[[#This Row],[Data Source]]="All",LCI_Table[[#This Row],[Data Source]]=SelectedDataSource)</f>
        <v>0</v>
      </c>
      <c r="L1771" s="14" t="b">
        <f>TRUE</f>
        <v>1</v>
      </c>
      <c r="M1771" s="14" t="b">
        <f>(LCI_Table[[#This Row],[Dev Notes]]="Do not display")</f>
        <v>0</v>
      </c>
      <c r="N1771" s="14" t="b">
        <f>AND(LCI_Table[[#This Row],[Show Feedstock]:[Conditional]],NOT(LCI_Table[[#This Row],[Hide Row]]))</f>
        <v>0</v>
      </c>
      <c r="O1771" s="14" t="b">
        <f>LCI_Table[[#This Row],[GREET1 Name Range]]=""</f>
        <v>1</v>
      </c>
      <c r="P1771" s="48" t="s">
        <v>14</v>
      </c>
      <c r="Q1771" s="14" t="s">
        <v>361</v>
      </c>
      <c r="R1771" s="48" t="s">
        <v>200</v>
      </c>
      <c r="S1771" s="37" cm="1">
        <f t="array" aca="1" ref="S17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8.6139205449999992</v>
      </c>
      <c r="T1771" s="346" t="s">
        <v>2116</v>
      </c>
      <c r="U1771" s="344"/>
      <c r="V1771" s="344">
        <v>8.6139205449999992</v>
      </c>
      <c r="W1771" s="344"/>
      <c r="X1771" s="48" t="s">
        <v>55</v>
      </c>
      <c r="Y1771" s="346" t="s">
        <v>413</v>
      </c>
      <c r="Z1771" s="14" t="str">
        <f>IF(ISBLANK(LCI_Table[[#This Row],[Notes for user]])," ",LCI_Table[[#This Row],[Notes for user]])</f>
        <v>Default value from GREET</v>
      </c>
      <c r="AA1771" s="48" t="s">
        <v>1152</v>
      </c>
      <c r="AB1771" s="345"/>
      <c r="AC1771" s="346">
        <f>LCI_Table[[#This Row],[Default Calculated Value]]-LCI_Table[[#This Row],[Calculated Value]]</f>
        <v>0</v>
      </c>
    </row>
    <row r="1772" spans="1:29" x14ac:dyDescent="0.3">
      <c r="A17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MiscanthusATJ-ethanolICAOConsensusStandalone_Miscanthus_Farming_Nitrogen_fertilizerNitrogen fertilizer</v>
      </c>
      <c r="B1772" s="14" t="s">
        <v>134</v>
      </c>
      <c r="C1772" s="14" t="s">
        <v>1964</v>
      </c>
      <c r="D1772" s="14" t="s">
        <v>194</v>
      </c>
      <c r="E1772" s="48" t="s">
        <v>1399</v>
      </c>
      <c r="F1772" s="48" t="s">
        <v>137</v>
      </c>
      <c r="G1772" s="14" t="b">
        <f>OR(LCI_Table[[#This Row],[Feedstock]]="All",LCI_Table[[#This Row],[Feedstock]]=SelectedFeedstock)</f>
        <v>0</v>
      </c>
      <c r="H1772" s="14" t="b">
        <f>OR(LCI_Table[[#This Row],[Conversion]]="All",LCI_Table[[#This Row],[Conversion]]=SelectedConversion)</f>
        <v>0</v>
      </c>
      <c r="I1772" s="14" t="b">
        <f>OR(LCI_Table[[#This Row],[Data Set]]="all",LCI_Table[[#This Row],[Data Set]]=SelectedDataSet)</f>
        <v>0</v>
      </c>
      <c r="J1772" s="14" t="b">
        <f>OR(LCI_Table[[#This Row],[Technology]]="All",LCI_Table[[#This Row],[Technology]]=SelectedTechnology)</f>
        <v>0</v>
      </c>
      <c r="K1772" s="14" t="b">
        <f>OR(LCI_Table[[#This Row],[Data Source]]="All",LCI_Table[[#This Row],[Data Source]]=SelectedDataSource)</f>
        <v>0</v>
      </c>
      <c r="L1772" s="14" t="b">
        <f>TRUE</f>
        <v>1</v>
      </c>
      <c r="M1772" s="14" t="b">
        <f>(LCI_Table[[#This Row],[Dev Notes]]="Do not display")</f>
        <v>0</v>
      </c>
      <c r="N1772" s="14" t="b">
        <f>AND(LCI_Table[[#This Row],[Show Feedstock]:[Conditional]],NOT(LCI_Table[[#This Row],[Hide Row]]))</f>
        <v>0</v>
      </c>
      <c r="O1772" s="14" t="b">
        <f>LCI_Table[[#This Row],[GREET1 Name Range]]=""</f>
        <v>0</v>
      </c>
      <c r="P1772" s="14" t="s">
        <v>14</v>
      </c>
      <c r="Q1772" s="14" t="s">
        <v>713</v>
      </c>
      <c r="R1772" s="14" t="s">
        <v>111</v>
      </c>
      <c r="S1772" s="37" cm="1">
        <f t="array" aca="1" ref="S17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88.12424143099642</v>
      </c>
      <c r="T1772" s="346" t="s">
        <v>1485</v>
      </c>
      <c r="U1772" s="347">
        <f ca="1">S1772/S1771*lb2g</f>
        <v>4640.4518495750608</v>
      </c>
      <c r="V1772" s="347">
        <v>88.12424143099642</v>
      </c>
      <c r="W1772" s="347">
        <v>4640.4518495750608</v>
      </c>
      <c r="X1772" s="37" t="s">
        <v>12</v>
      </c>
      <c r="Y1772" s="346" t="s">
        <v>413</v>
      </c>
      <c r="Z1772" s="14" t="str">
        <f>IF(ISBLANK(LCI_Table[[#This Row],[Notes for user]])," ",LCI_Table[[#This Row],[Notes for user]])</f>
        <v xml:space="preserve"> </v>
      </c>
      <c r="AA1772" s="14"/>
      <c r="AB1772" s="14"/>
      <c r="AC1772" s="346">
        <f ca="1">LCI_Table[[#This Row],[Default Calculated Value]]-LCI_Table[[#This Row],[Calculated Value]]</f>
        <v>0</v>
      </c>
    </row>
    <row r="1773" spans="1:29" x14ac:dyDescent="0.3">
      <c r="A17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MiscanthusATJ-ethanolICAOConsensusStandalone_Miscanthus_Farming_P2O5P2O5</v>
      </c>
      <c r="B1773" s="14" t="s">
        <v>134</v>
      </c>
      <c r="C1773" s="14" t="s">
        <v>1964</v>
      </c>
      <c r="D1773" s="14" t="s">
        <v>194</v>
      </c>
      <c r="E1773" s="48" t="s">
        <v>1399</v>
      </c>
      <c r="F1773" s="48" t="s">
        <v>137</v>
      </c>
      <c r="G1773" s="14" t="b">
        <f>OR(LCI_Table[[#This Row],[Feedstock]]="All",LCI_Table[[#This Row],[Feedstock]]=SelectedFeedstock)</f>
        <v>0</v>
      </c>
      <c r="H1773" s="14" t="b">
        <f>OR(LCI_Table[[#This Row],[Conversion]]="All",LCI_Table[[#This Row],[Conversion]]=SelectedConversion)</f>
        <v>0</v>
      </c>
      <c r="I1773" s="14" t="b">
        <f>OR(LCI_Table[[#This Row],[Data Set]]="all",LCI_Table[[#This Row],[Data Set]]=SelectedDataSet)</f>
        <v>0</v>
      </c>
      <c r="J1773" s="14" t="b">
        <f>OR(LCI_Table[[#This Row],[Technology]]="All",LCI_Table[[#This Row],[Technology]]=SelectedTechnology)</f>
        <v>0</v>
      </c>
      <c r="K1773" s="14" t="b">
        <f>OR(LCI_Table[[#This Row],[Data Source]]="All",LCI_Table[[#This Row],[Data Source]]=SelectedDataSource)</f>
        <v>0</v>
      </c>
      <c r="L1773" s="14" t="b">
        <f>TRUE</f>
        <v>1</v>
      </c>
      <c r="M1773" s="14" t="b">
        <f>(LCI_Table[[#This Row],[Dev Notes]]="Do not display")</f>
        <v>0</v>
      </c>
      <c r="N1773" s="14" t="b">
        <f>AND(LCI_Table[[#This Row],[Show Feedstock]:[Conditional]],NOT(LCI_Table[[#This Row],[Hide Row]]))</f>
        <v>0</v>
      </c>
      <c r="O1773" s="14" t="b">
        <f>LCI_Table[[#This Row],[GREET1 Name Range]]=""</f>
        <v>0</v>
      </c>
      <c r="P1773" s="14" t="s">
        <v>14</v>
      </c>
      <c r="Q1773" s="14" t="s">
        <v>714</v>
      </c>
      <c r="R1773" s="14" t="s">
        <v>112</v>
      </c>
      <c r="S1773" s="37" cm="1">
        <f t="array" aca="1" ref="S17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19.884729242998635</v>
      </c>
      <c r="T1773" s="346" t="s">
        <v>1485</v>
      </c>
      <c r="U1773" s="347">
        <f ca="1">S1773/S1771*lb2g</f>
        <v>1047.0913235176654</v>
      </c>
      <c r="V1773" s="347">
        <v>19.884729242998635</v>
      </c>
      <c r="W1773" s="347">
        <v>1047.0913235176654</v>
      </c>
      <c r="X1773" s="37" t="s">
        <v>12</v>
      </c>
      <c r="Y1773" s="346" t="s">
        <v>413</v>
      </c>
      <c r="Z1773" s="14" t="str">
        <f>IF(ISBLANK(LCI_Table[[#This Row],[Notes for user]])," ",LCI_Table[[#This Row],[Notes for user]])</f>
        <v xml:space="preserve"> </v>
      </c>
      <c r="AA1773" s="14"/>
      <c r="AB1773" s="14"/>
      <c r="AC1773" s="346">
        <f ca="1">LCI_Table[[#This Row],[Default Calculated Value]]-LCI_Table[[#This Row],[Calculated Value]]</f>
        <v>0</v>
      </c>
    </row>
    <row r="1774" spans="1:29" x14ac:dyDescent="0.3">
      <c r="A17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MiscanthusATJ-ethanolICAOConsensusStandalone_Miscanthus_Farming_K2OK2O</v>
      </c>
      <c r="B1774" s="14" t="s">
        <v>134</v>
      </c>
      <c r="C1774" s="14" t="s">
        <v>1964</v>
      </c>
      <c r="D1774" s="14" t="s">
        <v>194</v>
      </c>
      <c r="E1774" s="48" t="s">
        <v>1399</v>
      </c>
      <c r="F1774" s="48" t="s">
        <v>137</v>
      </c>
      <c r="G1774" s="14" t="b">
        <f>OR(LCI_Table[[#This Row],[Feedstock]]="All",LCI_Table[[#This Row],[Feedstock]]=SelectedFeedstock)</f>
        <v>0</v>
      </c>
      <c r="H1774" s="14" t="b">
        <f>OR(LCI_Table[[#This Row],[Conversion]]="All",LCI_Table[[#This Row],[Conversion]]=SelectedConversion)</f>
        <v>0</v>
      </c>
      <c r="I1774" s="14" t="b">
        <f>OR(LCI_Table[[#This Row],[Data Set]]="all",LCI_Table[[#This Row],[Data Set]]=SelectedDataSet)</f>
        <v>0</v>
      </c>
      <c r="J1774" s="14" t="b">
        <f>OR(LCI_Table[[#This Row],[Technology]]="All",LCI_Table[[#This Row],[Technology]]=SelectedTechnology)</f>
        <v>0</v>
      </c>
      <c r="K1774" s="14" t="b">
        <f>OR(LCI_Table[[#This Row],[Data Source]]="All",LCI_Table[[#This Row],[Data Source]]=SelectedDataSource)</f>
        <v>0</v>
      </c>
      <c r="L1774" s="14" t="b">
        <f>TRUE</f>
        <v>1</v>
      </c>
      <c r="M1774" s="14" t="b">
        <f>(LCI_Table[[#This Row],[Dev Notes]]="Do not display")</f>
        <v>0</v>
      </c>
      <c r="N1774" s="14" t="b">
        <f>AND(LCI_Table[[#This Row],[Show Feedstock]:[Conditional]],NOT(LCI_Table[[#This Row],[Hide Row]]))</f>
        <v>0</v>
      </c>
      <c r="O1774" s="14" t="b">
        <f>LCI_Table[[#This Row],[GREET1 Name Range]]=""</f>
        <v>0</v>
      </c>
      <c r="P1774" s="14" t="s">
        <v>14</v>
      </c>
      <c r="Q1774" s="14" t="s">
        <v>710</v>
      </c>
      <c r="R1774" s="14" t="s">
        <v>113</v>
      </c>
      <c r="S1774" s="37" cm="1">
        <f t="array" aca="1" ref="S17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54.462165800867893</v>
      </c>
      <c r="T1774" s="346" t="s">
        <v>1485</v>
      </c>
      <c r="U1774" s="347">
        <f ca="1">S1774/S1771*lb2g</f>
        <v>2867.8721532076329</v>
      </c>
      <c r="V1774" s="347">
        <v>54.462165800867893</v>
      </c>
      <c r="W1774" s="347">
        <v>2867.8721532076329</v>
      </c>
      <c r="X1774" s="37" t="s">
        <v>12</v>
      </c>
      <c r="Y1774" s="346" t="s">
        <v>413</v>
      </c>
      <c r="Z1774" s="14" t="str">
        <f>IF(ISBLANK(LCI_Table[[#This Row],[Notes for user]])," ",LCI_Table[[#This Row],[Notes for user]])</f>
        <v xml:space="preserve"> </v>
      </c>
      <c r="AA1774" s="14"/>
      <c r="AB1774" s="14"/>
      <c r="AC1774" s="346">
        <f ca="1">LCI_Table[[#This Row],[Default Calculated Value]]-LCI_Table[[#This Row],[Calculated Value]]</f>
        <v>0</v>
      </c>
    </row>
    <row r="1775" spans="1:29" x14ac:dyDescent="0.3">
      <c r="A17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MiscanthusATJ-ethanolICAOConsensusStandalone_Miscanthus_Farming_CaCO3CaCO3</v>
      </c>
      <c r="B1775" s="14" t="s">
        <v>134</v>
      </c>
      <c r="C1775" s="14" t="s">
        <v>1964</v>
      </c>
      <c r="D1775" s="14" t="s">
        <v>194</v>
      </c>
      <c r="E1775" s="48" t="s">
        <v>1399</v>
      </c>
      <c r="F1775" s="48" t="s">
        <v>137</v>
      </c>
      <c r="G1775" s="14" t="b">
        <f>OR(LCI_Table[[#This Row],[Feedstock]]="All",LCI_Table[[#This Row],[Feedstock]]=SelectedFeedstock)</f>
        <v>0</v>
      </c>
      <c r="H1775" s="14" t="b">
        <f>OR(LCI_Table[[#This Row],[Conversion]]="All",LCI_Table[[#This Row],[Conversion]]=SelectedConversion)</f>
        <v>0</v>
      </c>
      <c r="I1775" s="14" t="b">
        <f>OR(LCI_Table[[#This Row],[Data Set]]="all",LCI_Table[[#This Row],[Data Set]]=SelectedDataSet)</f>
        <v>0</v>
      </c>
      <c r="J1775" s="14" t="b">
        <f>OR(LCI_Table[[#This Row],[Technology]]="All",LCI_Table[[#This Row],[Technology]]=SelectedTechnology)</f>
        <v>0</v>
      </c>
      <c r="K1775" s="14" t="b">
        <f>OR(LCI_Table[[#This Row],[Data Source]]="All",LCI_Table[[#This Row],[Data Source]]=SelectedDataSource)</f>
        <v>0</v>
      </c>
      <c r="L1775" s="14" t="b">
        <f>TRUE</f>
        <v>1</v>
      </c>
      <c r="M1775" s="14" t="b">
        <f>(LCI_Table[[#This Row],[Dev Notes]]="Do not display")</f>
        <v>0</v>
      </c>
      <c r="N1775" s="14" t="b">
        <f>AND(LCI_Table[[#This Row],[Show Feedstock]:[Conditional]],NOT(LCI_Table[[#This Row],[Hide Row]]))</f>
        <v>0</v>
      </c>
      <c r="O1775" s="14" t="b">
        <f>LCI_Table[[#This Row],[GREET1 Name Range]]=""</f>
        <v>0</v>
      </c>
      <c r="P1775" s="14" t="s">
        <v>14</v>
      </c>
      <c r="Q1775" s="14" t="s">
        <v>702</v>
      </c>
      <c r="R1775" s="14" t="s">
        <v>141</v>
      </c>
      <c r="S1775" s="37" cm="1">
        <f t="array" aca="1" ref="S17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98.419350248104038</v>
      </c>
      <c r="T1775" s="346" t="s">
        <v>1485</v>
      </c>
      <c r="U1775" s="347">
        <f ca="1">S1775/S1771*lb2g</f>
        <v>5182.5723373789961</v>
      </c>
      <c r="V1775" s="347">
        <v>98.419350248104038</v>
      </c>
      <c r="W1775" s="347">
        <v>5182.5723373789961</v>
      </c>
      <c r="X1775" s="37" t="s">
        <v>12</v>
      </c>
      <c r="Y1775" s="346" t="s">
        <v>413</v>
      </c>
      <c r="Z1775" s="14" t="str">
        <f>IF(ISBLANK(LCI_Table[[#This Row],[Notes for user]])," ",LCI_Table[[#This Row],[Notes for user]])</f>
        <v xml:space="preserve"> </v>
      </c>
      <c r="AA1775" s="14"/>
      <c r="AB1775" s="14"/>
      <c r="AC1775" s="346">
        <f ca="1">LCI_Table[[#This Row],[Default Calculated Value]]-LCI_Table[[#This Row],[Calculated Value]]</f>
        <v>0</v>
      </c>
    </row>
    <row r="1776" spans="1:29" x14ac:dyDescent="0.3">
      <c r="A17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MiscanthusATJ-ethanolICAOConsensusStandalone_Miscanthus_Farming_HerbicidesHerbicides</v>
      </c>
      <c r="B1776" s="14" t="s">
        <v>134</v>
      </c>
      <c r="C1776" s="14" t="s">
        <v>1964</v>
      </c>
      <c r="D1776" s="14" t="s">
        <v>194</v>
      </c>
      <c r="E1776" s="48" t="s">
        <v>1399</v>
      </c>
      <c r="F1776" s="48" t="s">
        <v>137</v>
      </c>
      <c r="G1776" s="14" t="b">
        <f>OR(LCI_Table[[#This Row],[Feedstock]]="All",LCI_Table[[#This Row],[Feedstock]]=SelectedFeedstock)</f>
        <v>0</v>
      </c>
      <c r="H1776" s="14" t="b">
        <f>OR(LCI_Table[[#This Row],[Conversion]]="All",LCI_Table[[#This Row],[Conversion]]=SelectedConversion)</f>
        <v>0</v>
      </c>
      <c r="I1776" s="14" t="b">
        <f>OR(LCI_Table[[#This Row],[Data Set]]="all",LCI_Table[[#This Row],[Data Set]]=SelectedDataSet)</f>
        <v>0</v>
      </c>
      <c r="J1776" s="14" t="b">
        <f>OR(LCI_Table[[#This Row],[Technology]]="All",LCI_Table[[#This Row],[Technology]]=SelectedTechnology)</f>
        <v>0</v>
      </c>
      <c r="K1776" s="14" t="b">
        <f>OR(LCI_Table[[#This Row],[Data Source]]="All",LCI_Table[[#This Row],[Data Source]]=SelectedDataSource)</f>
        <v>0</v>
      </c>
      <c r="L1776" s="14" t="b">
        <f>TRUE</f>
        <v>1</v>
      </c>
      <c r="M1776" s="14" t="b">
        <f>(LCI_Table[[#This Row],[Dev Notes]]="Do not display")</f>
        <v>0</v>
      </c>
      <c r="N1776" s="14" t="b">
        <f>AND(LCI_Table[[#This Row],[Show Feedstock]:[Conditional]],NOT(LCI_Table[[#This Row],[Hide Row]]))</f>
        <v>0</v>
      </c>
      <c r="O1776" s="14" t="b">
        <f>LCI_Table[[#This Row],[GREET1 Name Range]]=""</f>
        <v>0</v>
      </c>
      <c r="P1776" s="14" t="s">
        <v>14</v>
      </c>
      <c r="Q1776" s="14" t="s">
        <v>708</v>
      </c>
      <c r="R1776" s="14" t="s">
        <v>356</v>
      </c>
      <c r="S1776" s="37" cm="1">
        <f t="array" aca="1" ref="S17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0.54538703220331242</v>
      </c>
      <c r="T1776" s="346" t="s">
        <v>1485</v>
      </c>
      <c r="U1776" s="347">
        <f ca="1">S1776/S1771*lb2g</f>
        <v>28.719024654570553</v>
      </c>
      <c r="V1776" s="347">
        <v>0.54538703220331242</v>
      </c>
      <c r="W1776" s="347">
        <v>28.719024654570553</v>
      </c>
      <c r="X1776" s="37" t="s">
        <v>12</v>
      </c>
      <c r="Y1776" s="346" t="s">
        <v>413</v>
      </c>
      <c r="Z1776" s="14" t="str">
        <f>IF(ISBLANK(LCI_Table[[#This Row],[Notes for user]])," ",LCI_Table[[#This Row],[Notes for user]])</f>
        <v xml:space="preserve"> </v>
      </c>
      <c r="AA1776" s="14"/>
      <c r="AB1776" s="14"/>
      <c r="AC1776" s="346">
        <f ca="1">LCI_Table[[#This Row],[Default Calculated Value]]-LCI_Table[[#This Row],[Calculated Value]]</f>
        <v>0</v>
      </c>
    </row>
    <row r="1777" spans="1:29" x14ac:dyDescent="0.3">
      <c r="A17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MiscanthusATJ-ethanolICAOConsensusStandalone_Miscanthus_Farming_InsecticideInsecticide</v>
      </c>
      <c r="B1777" s="14" t="s">
        <v>134</v>
      </c>
      <c r="C1777" s="14" t="s">
        <v>1964</v>
      </c>
      <c r="D1777" s="14" t="s">
        <v>194</v>
      </c>
      <c r="E1777" s="48" t="s">
        <v>1399</v>
      </c>
      <c r="F1777" s="48" t="s">
        <v>137</v>
      </c>
      <c r="G1777" s="14" t="b">
        <f>OR(LCI_Table[[#This Row],[Feedstock]]="All",LCI_Table[[#This Row],[Feedstock]]=SelectedFeedstock)</f>
        <v>0</v>
      </c>
      <c r="H1777" s="14" t="b">
        <f>OR(LCI_Table[[#This Row],[Conversion]]="All",LCI_Table[[#This Row],[Conversion]]=SelectedConversion)</f>
        <v>0</v>
      </c>
      <c r="I1777" s="14" t="b">
        <f>OR(LCI_Table[[#This Row],[Data Set]]="all",LCI_Table[[#This Row],[Data Set]]=SelectedDataSet)</f>
        <v>0</v>
      </c>
      <c r="J1777" s="14" t="b">
        <f>OR(LCI_Table[[#This Row],[Technology]]="All",LCI_Table[[#This Row],[Technology]]=SelectedTechnology)</f>
        <v>0</v>
      </c>
      <c r="K1777" s="14" t="b">
        <f>OR(LCI_Table[[#This Row],[Data Source]]="All",LCI_Table[[#This Row],[Data Source]]=SelectedDataSource)</f>
        <v>0</v>
      </c>
      <c r="L1777" s="14" t="b">
        <f>TRUE</f>
        <v>1</v>
      </c>
      <c r="M1777" s="14" t="b">
        <f>(LCI_Table[[#This Row],[Dev Notes]]="Do not display")</f>
        <v>0</v>
      </c>
      <c r="N1777" s="14" t="b">
        <f>AND(LCI_Table[[#This Row],[Show Feedstock]:[Conditional]],NOT(LCI_Table[[#This Row],[Hide Row]]))</f>
        <v>0</v>
      </c>
      <c r="O1777" s="14" t="b">
        <f>LCI_Table[[#This Row],[GREET1 Name Range]]=""</f>
        <v>0</v>
      </c>
      <c r="P1777" s="14" t="s">
        <v>14</v>
      </c>
      <c r="Q1777" s="14" t="s">
        <v>709</v>
      </c>
      <c r="R1777" s="14" t="s">
        <v>114</v>
      </c>
      <c r="S1777" s="37" cm="1">
        <f t="array" aca="1" ref="S17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77" s="346" t="s">
        <v>1485</v>
      </c>
      <c r="U1777" s="347">
        <f ca="1">S1777/S1771*lb2g</f>
        <v>0</v>
      </c>
      <c r="V1777" s="347">
        <v>0</v>
      </c>
      <c r="W1777" s="347">
        <v>0</v>
      </c>
      <c r="X1777" s="37" t="s">
        <v>12</v>
      </c>
      <c r="Y1777" s="346" t="s">
        <v>413</v>
      </c>
      <c r="Z1777" s="14" t="str">
        <f>IF(ISBLANK(LCI_Table[[#This Row],[Notes for user]])," ",LCI_Table[[#This Row],[Notes for user]])</f>
        <v xml:space="preserve"> </v>
      </c>
      <c r="AA1777" s="14"/>
      <c r="AB1777" s="14"/>
      <c r="AC1777" s="346">
        <f ca="1">LCI_Table[[#This Row],[Default Calculated Value]]-LCI_Table[[#This Row],[Calculated Value]]</f>
        <v>0</v>
      </c>
    </row>
    <row r="1778" spans="1:29" x14ac:dyDescent="0.3">
      <c r="A17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MiscanthusATJ-ethanolICAOConsensusStandalone_Miscanthus_Farming_HDPEHDPE</v>
      </c>
      <c r="B1778" s="14" t="s">
        <v>134</v>
      </c>
      <c r="C1778" s="14" t="s">
        <v>1964</v>
      </c>
      <c r="D1778" s="14" t="s">
        <v>194</v>
      </c>
      <c r="E1778" s="48" t="s">
        <v>1399</v>
      </c>
      <c r="F1778" s="48" t="s">
        <v>137</v>
      </c>
      <c r="G1778" s="14" t="b">
        <f>OR(LCI_Table[[#This Row],[Feedstock]]="All",LCI_Table[[#This Row],[Feedstock]]=SelectedFeedstock)</f>
        <v>0</v>
      </c>
      <c r="H1778" s="14" t="b">
        <f>OR(LCI_Table[[#This Row],[Conversion]]="All",LCI_Table[[#This Row],[Conversion]]=SelectedConversion)</f>
        <v>0</v>
      </c>
      <c r="I1778" s="14" t="b">
        <f>OR(LCI_Table[[#This Row],[Data Set]]="all",LCI_Table[[#This Row],[Data Set]]=SelectedDataSet)</f>
        <v>0</v>
      </c>
      <c r="J1778" s="14" t="b">
        <f>OR(LCI_Table[[#This Row],[Technology]]="All",LCI_Table[[#This Row],[Technology]]=SelectedTechnology)</f>
        <v>0</v>
      </c>
      <c r="K1778" s="14" t="b">
        <f>OR(LCI_Table[[#This Row],[Data Source]]="All",LCI_Table[[#This Row],[Data Source]]=SelectedDataSource)</f>
        <v>0</v>
      </c>
      <c r="L1778" s="14" t="b">
        <f>TRUE</f>
        <v>1</v>
      </c>
      <c r="M1778" s="14" t="b">
        <f>(LCI_Table[[#This Row],[Dev Notes]]="Do not display")</f>
        <v>0</v>
      </c>
      <c r="N1778" s="14" t="b">
        <f>AND(LCI_Table[[#This Row],[Show Feedstock]:[Conditional]],NOT(LCI_Table[[#This Row],[Hide Row]]))</f>
        <v>0</v>
      </c>
      <c r="O1778" s="14" t="b">
        <f>LCI_Table[[#This Row],[GREET1 Name Range]]=""</f>
        <v>0</v>
      </c>
      <c r="P1778" s="14" t="s">
        <v>14</v>
      </c>
      <c r="Q1778" s="14" t="s">
        <v>707</v>
      </c>
      <c r="R1778" s="14" t="s">
        <v>357</v>
      </c>
      <c r="S1778" s="37" cm="1">
        <f t="array" aca="1" ref="S17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78" s="346" t="s">
        <v>1485</v>
      </c>
      <c r="U1778" s="347">
        <f ca="1">S1778/S1771</f>
        <v>0</v>
      </c>
      <c r="V1778" s="347">
        <v>0</v>
      </c>
      <c r="W1778" s="347">
        <v>0</v>
      </c>
      <c r="X1778" s="37" t="s">
        <v>12</v>
      </c>
      <c r="Y1778" s="346" t="s">
        <v>413</v>
      </c>
      <c r="Z1778" s="14" t="str">
        <f>IF(ISBLANK(LCI_Table[[#This Row],[Notes for user]])," ",LCI_Table[[#This Row],[Notes for user]])</f>
        <v xml:space="preserve"> </v>
      </c>
      <c r="AA1778" s="14"/>
      <c r="AB1778" s="14"/>
      <c r="AC1778" s="346">
        <f ca="1">LCI_Table[[#This Row],[Default Calculated Value]]-LCI_Table[[#This Row],[Calculated Value]]</f>
        <v>0</v>
      </c>
    </row>
    <row r="1779" spans="1:29" x14ac:dyDescent="0.3">
      <c r="A17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MiscanthusATJ-ethanolICAOConsensusStandalone_Miscanthus_Farming_Residual_oilResidual oil</v>
      </c>
      <c r="B1779" s="14" t="s">
        <v>134</v>
      </c>
      <c r="C1779" s="14" t="s">
        <v>1964</v>
      </c>
      <c r="D1779" s="14" t="s">
        <v>194</v>
      </c>
      <c r="E1779" s="48" t="s">
        <v>1399</v>
      </c>
      <c r="F1779" s="48" t="s">
        <v>137</v>
      </c>
      <c r="G1779" s="14" t="b">
        <f>OR(LCI_Table[[#This Row],[Feedstock]]="All",LCI_Table[[#This Row],[Feedstock]]=SelectedFeedstock)</f>
        <v>0</v>
      </c>
      <c r="H1779" s="14" t="b">
        <f>OR(LCI_Table[[#This Row],[Conversion]]="All",LCI_Table[[#This Row],[Conversion]]=SelectedConversion)</f>
        <v>0</v>
      </c>
      <c r="I1779" s="14" t="b">
        <f>OR(LCI_Table[[#This Row],[Data Set]]="all",LCI_Table[[#This Row],[Data Set]]=SelectedDataSet)</f>
        <v>0</v>
      </c>
      <c r="J1779" s="14" t="b">
        <f>OR(LCI_Table[[#This Row],[Technology]]="All",LCI_Table[[#This Row],[Technology]]=SelectedTechnology)</f>
        <v>0</v>
      </c>
      <c r="K1779" s="14" t="b">
        <f>OR(LCI_Table[[#This Row],[Data Source]]="All",LCI_Table[[#This Row],[Data Source]]=SelectedDataSource)</f>
        <v>0</v>
      </c>
      <c r="L1779" s="14" t="b">
        <f>TRUE</f>
        <v>1</v>
      </c>
      <c r="M1779" s="14" t="b">
        <f>(LCI_Table[[#This Row],[Dev Notes]]="Do not display")</f>
        <v>0</v>
      </c>
      <c r="N1779" s="14" t="b">
        <f>AND(LCI_Table[[#This Row],[Show Feedstock]:[Conditional]],NOT(LCI_Table[[#This Row],[Hide Row]]))</f>
        <v>0</v>
      </c>
      <c r="O1779" s="14" t="b">
        <f>LCI_Table[[#This Row],[GREET1 Name Range]]=""</f>
        <v>0</v>
      </c>
      <c r="P1779" s="14" t="s">
        <v>14</v>
      </c>
      <c r="Q1779" s="14" t="s">
        <v>715</v>
      </c>
      <c r="R1779" s="14" t="s">
        <v>115</v>
      </c>
      <c r="S1779" s="37" cm="1">
        <f t="array" aca="1" ref="S17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79" s="346" t="s">
        <v>1484</v>
      </c>
      <c r="U1779" s="347">
        <f ca="1">S1779*Fuel_Specs!$B$28/S1771</f>
        <v>0</v>
      </c>
      <c r="V1779" s="347">
        <v>0</v>
      </c>
      <c r="W1779" s="347">
        <v>0</v>
      </c>
      <c r="X1779" s="37" t="s">
        <v>5</v>
      </c>
      <c r="Y1779" s="346" t="s">
        <v>413</v>
      </c>
      <c r="Z1779" s="14" t="str">
        <f>IF(ISBLANK(LCI_Table[[#This Row],[Notes for user]])," ",LCI_Table[[#This Row],[Notes for user]])</f>
        <v xml:space="preserve"> </v>
      </c>
      <c r="AA1779" s="14"/>
      <c r="AB1779" s="14"/>
      <c r="AC1779" s="346">
        <f ca="1">LCI_Table[[#This Row],[Default Calculated Value]]-LCI_Table[[#This Row],[Calculated Value]]</f>
        <v>0</v>
      </c>
    </row>
    <row r="1780" spans="1:29" x14ac:dyDescent="0.3">
      <c r="A17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MiscanthusATJ-ethanolICAOConsensusStandalone_Miscanthus_Farming_DieselDiesel</v>
      </c>
      <c r="B1780" s="14" t="s">
        <v>134</v>
      </c>
      <c r="C1780" s="14" t="s">
        <v>1964</v>
      </c>
      <c r="D1780" s="14" t="s">
        <v>194</v>
      </c>
      <c r="E1780" s="48" t="s">
        <v>1399</v>
      </c>
      <c r="F1780" s="48" t="s">
        <v>137</v>
      </c>
      <c r="G1780" s="14" t="b">
        <f>OR(LCI_Table[[#This Row],[Feedstock]]="All",LCI_Table[[#This Row],[Feedstock]]=SelectedFeedstock)</f>
        <v>0</v>
      </c>
      <c r="H1780" s="14" t="b">
        <f>OR(LCI_Table[[#This Row],[Conversion]]="All",LCI_Table[[#This Row],[Conversion]]=SelectedConversion)</f>
        <v>0</v>
      </c>
      <c r="I1780" s="14" t="b">
        <f>OR(LCI_Table[[#This Row],[Data Set]]="all",LCI_Table[[#This Row],[Data Set]]=SelectedDataSet)</f>
        <v>0</v>
      </c>
      <c r="J1780" s="14" t="b">
        <f>OR(LCI_Table[[#This Row],[Technology]]="All",LCI_Table[[#This Row],[Technology]]=SelectedTechnology)</f>
        <v>0</v>
      </c>
      <c r="K1780" s="14" t="b">
        <f>OR(LCI_Table[[#This Row],[Data Source]]="All",LCI_Table[[#This Row],[Data Source]]=SelectedDataSource)</f>
        <v>0</v>
      </c>
      <c r="L1780" s="14" t="b">
        <f>TRUE</f>
        <v>1</v>
      </c>
      <c r="M1780" s="14" t="b">
        <f>(LCI_Table[[#This Row],[Dev Notes]]="Do not display")</f>
        <v>0</v>
      </c>
      <c r="N1780" s="14" t="b">
        <f>AND(LCI_Table[[#This Row],[Show Feedstock]:[Conditional]],NOT(LCI_Table[[#This Row],[Hide Row]]))</f>
        <v>0</v>
      </c>
      <c r="O1780" s="14" t="b">
        <f>LCI_Table[[#This Row],[GREET1 Name Range]]=""</f>
        <v>0</v>
      </c>
      <c r="P1780" s="14" t="s">
        <v>14</v>
      </c>
      <c r="Q1780" s="14" t="s">
        <v>704</v>
      </c>
      <c r="R1780" s="14" t="s">
        <v>106</v>
      </c>
      <c r="S1780" s="37" cm="1">
        <f t="array" aca="1" ref="S17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3.2139324221297465</v>
      </c>
      <c r="T1780" s="346" t="s">
        <v>1484</v>
      </c>
      <c r="U1780" s="347">
        <f ca="1">S1780*Fuel_Specs!$B$19/S1771</f>
        <v>47925.86807202387</v>
      </c>
      <c r="V1780" s="347">
        <v>3.2139324221297465</v>
      </c>
      <c r="W1780" s="347">
        <v>47925.86807202387</v>
      </c>
      <c r="X1780" s="37" t="s">
        <v>5</v>
      </c>
      <c r="Y1780" s="346" t="s">
        <v>413</v>
      </c>
      <c r="Z1780" s="14" t="str">
        <f>IF(ISBLANK(LCI_Table[[#This Row],[Notes for user]])," ",LCI_Table[[#This Row],[Notes for user]])</f>
        <v xml:space="preserve"> </v>
      </c>
      <c r="AA1780" s="14"/>
      <c r="AB1780" s="14"/>
      <c r="AC1780" s="346">
        <f ca="1">LCI_Table[[#This Row],[Default Calculated Value]]-LCI_Table[[#This Row],[Calculated Value]]</f>
        <v>0</v>
      </c>
    </row>
    <row r="1781" spans="1:29" x14ac:dyDescent="0.3">
      <c r="A17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MiscanthusATJ-ethanolICAOConsensusStandalone_Miscanthus_Farming_GasolineGasoline</v>
      </c>
      <c r="B1781" s="14" t="s">
        <v>134</v>
      </c>
      <c r="C1781" s="14" t="s">
        <v>1964</v>
      </c>
      <c r="D1781" s="14" t="s">
        <v>194</v>
      </c>
      <c r="E1781" s="48" t="s">
        <v>1399</v>
      </c>
      <c r="F1781" s="48" t="s">
        <v>137</v>
      </c>
      <c r="G1781" s="14" t="b">
        <f>OR(LCI_Table[[#This Row],[Feedstock]]="All",LCI_Table[[#This Row],[Feedstock]]=SelectedFeedstock)</f>
        <v>0</v>
      </c>
      <c r="H1781" s="14" t="b">
        <f>OR(LCI_Table[[#This Row],[Conversion]]="All",LCI_Table[[#This Row],[Conversion]]=SelectedConversion)</f>
        <v>0</v>
      </c>
      <c r="I1781" s="14" t="b">
        <f>OR(LCI_Table[[#This Row],[Data Set]]="all",LCI_Table[[#This Row],[Data Set]]=SelectedDataSet)</f>
        <v>0</v>
      </c>
      <c r="J1781" s="14" t="b">
        <f>OR(LCI_Table[[#This Row],[Technology]]="All",LCI_Table[[#This Row],[Technology]]=SelectedTechnology)</f>
        <v>0</v>
      </c>
      <c r="K1781" s="14" t="b">
        <f>OR(LCI_Table[[#This Row],[Data Source]]="All",LCI_Table[[#This Row],[Data Source]]=SelectedDataSource)</f>
        <v>0</v>
      </c>
      <c r="L1781" s="14" t="b">
        <f>TRUE</f>
        <v>1</v>
      </c>
      <c r="M1781" s="14" t="b">
        <f>(LCI_Table[[#This Row],[Dev Notes]]="Do not display")</f>
        <v>0</v>
      </c>
      <c r="N1781" s="14" t="b">
        <f>AND(LCI_Table[[#This Row],[Show Feedstock]:[Conditional]],NOT(LCI_Table[[#This Row],[Hide Row]]))</f>
        <v>0</v>
      </c>
      <c r="O1781" s="14" t="b">
        <f>LCI_Table[[#This Row],[GREET1 Name Range]]=""</f>
        <v>0</v>
      </c>
      <c r="P1781" s="14" t="s">
        <v>14</v>
      </c>
      <c r="Q1781" s="14" t="s">
        <v>706</v>
      </c>
      <c r="R1781" s="14" t="s">
        <v>107</v>
      </c>
      <c r="S1781" s="37" cm="1">
        <f t="array" aca="1" ref="S17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81" s="346" t="s">
        <v>1484</v>
      </c>
      <c r="U1781" s="347">
        <f ca="1">S1781*Fuel_Specs!$B$15/S1771</f>
        <v>0</v>
      </c>
      <c r="V1781" s="347">
        <v>0</v>
      </c>
      <c r="W1781" s="347">
        <v>0</v>
      </c>
      <c r="X1781" s="37" t="s">
        <v>5</v>
      </c>
      <c r="Y1781" s="346" t="s">
        <v>413</v>
      </c>
      <c r="Z1781" s="14" t="str">
        <f>IF(ISBLANK(LCI_Table[[#This Row],[Notes for user]])," ",LCI_Table[[#This Row],[Notes for user]])</f>
        <v xml:space="preserve"> </v>
      </c>
      <c r="AA1781" s="14"/>
      <c r="AB1781" s="14"/>
      <c r="AC1781" s="346">
        <f ca="1">LCI_Table[[#This Row],[Default Calculated Value]]-LCI_Table[[#This Row],[Calculated Value]]</f>
        <v>0</v>
      </c>
    </row>
    <row r="1782" spans="1:29" x14ac:dyDescent="0.3">
      <c r="A17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MiscanthusATJ-ethanolICAOConsensusStandalone_Miscanthus_Farming_Natural_gasNatural gas</v>
      </c>
      <c r="B1782" s="14" t="s">
        <v>134</v>
      </c>
      <c r="C1782" s="14" t="s">
        <v>1964</v>
      </c>
      <c r="D1782" s="14" t="s">
        <v>194</v>
      </c>
      <c r="E1782" s="48" t="s">
        <v>1399</v>
      </c>
      <c r="F1782" s="48" t="s">
        <v>137</v>
      </c>
      <c r="G1782" s="14" t="b">
        <f>OR(LCI_Table[[#This Row],[Feedstock]]="All",LCI_Table[[#This Row],[Feedstock]]=SelectedFeedstock)</f>
        <v>0</v>
      </c>
      <c r="H1782" s="14" t="b">
        <f>OR(LCI_Table[[#This Row],[Conversion]]="All",LCI_Table[[#This Row],[Conversion]]=SelectedConversion)</f>
        <v>0</v>
      </c>
      <c r="I1782" s="14" t="b">
        <f>OR(LCI_Table[[#This Row],[Data Set]]="all",LCI_Table[[#This Row],[Data Set]]=SelectedDataSet)</f>
        <v>0</v>
      </c>
      <c r="J1782" s="14" t="b">
        <f>OR(LCI_Table[[#This Row],[Technology]]="All",LCI_Table[[#This Row],[Technology]]=SelectedTechnology)</f>
        <v>0</v>
      </c>
      <c r="K1782" s="14" t="b">
        <f>OR(LCI_Table[[#This Row],[Data Source]]="All",LCI_Table[[#This Row],[Data Source]]=SelectedDataSource)</f>
        <v>0</v>
      </c>
      <c r="L1782" s="14" t="b">
        <f>TRUE</f>
        <v>1</v>
      </c>
      <c r="M1782" s="14" t="b">
        <f>(LCI_Table[[#This Row],[Dev Notes]]="Do not display")</f>
        <v>0</v>
      </c>
      <c r="N1782" s="14" t="b">
        <f>AND(LCI_Table[[#This Row],[Show Feedstock]:[Conditional]],NOT(LCI_Table[[#This Row],[Hide Row]]))</f>
        <v>0</v>
      </c>
      <c r="O1782" s="14" t="b">
        <f>LCI_Table[[#This Row],[GREET1 Name Range]]=""</f>
        <v>0</v>
      </c>
      <c r="P1782" s="14" t="s">
        <v>14</v>
      </c>
      <c r="Q1782" s="14" t="s">
        <v>712</v>
      </c>
      <c r="R1782" s="14" t="s">
        <v>108</v>
      </c>
      <c r="S1782" s="37" cm="1">
        <f t="array" aca="1" ref="S17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82" s="346" t="s">
        <v>2109</v>
      </c>
      <c r="U1782" s="347">
        <f ca="1">S1782*Fuel_Specs!$B$79/S1771</f>
        <v>0</v>
      </c>
      <c r="V1782" s="347">
        <v>0</v>
      </c>
      <c r="W1782" s="347">
        <v>0</v>
      </c>
      <c r="X1782" s="37" t="s">
        <v>351</v>
      </c>
      <c r="Y1782" s="346" t="s">
        <v>413</v>
      </c>
      <c r="Z1782" s="14" t="str">
        <f>IF(ISBLANK(LCI_Table[[#This Row],[Notes for user]])," ",LCI_Table[[#This Row],[Notes for user]])</f>
        <v xml:space="preserve"> </v>
      </c>
      <c r="AA1782" s="14"/>
      <c r="AB1782" s="14"/>
      <c r="AC1782" s="346">
        <f ca="1">LCI_Table[[#This Row],[Default Calculated Value]]-LCI_Table[[#This Row],[Calculated Value]]</f>
        <v>0</v>
      </c>
    </row>
    <row r="1783" spans="1:29" x14ac:dyDescent="0.3">
      <c r="A17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MiscanthusATJ-ethanolICAOConsensusStandalone_Miscanthus_Farming_CoalCoal</v>
      </c>
      <c r="B1783" s="14" t="s">
        <v>134</v>
      </c>
      <c r="C1783" s="14" t="s">
        <v>1964</v>
      </c>
      <c r="D1783" s="14" t="s">
        <v>194</v>
      </c>
      <c r="E1783" s="48" t="s">
        <v>1399</v>
      </c>
      <c r="F1783" s="48" t="s">
        <v>137</v>
      </c>
      <c r="G1783" s="14" t="b">
        <f>OR(LCI_Table[[#This Row],[Feedstock]]="All",LCI_Table[[#This Row],[Feedstock]]=SelectedFeedstock)</f>
        <v>0</v>
      </c>
      <c r="H1783" s="14" t="b">
        <f>OR(LCI_Table[[#This Row],[Conversion]]="All",LCI_Table[[#This Row],[Conversion]]=SelectedConversion)</f>
        <v>0</v>
      </c>
      <c r="I1783" s="14" t="b">
        <f>OR(LCI_Table[[#This Row],[Data Set]]="all",LCI_Table[[#This Row],[Data Set]]=SelectedDataSet)</f>
        <v>0</v>
      </c>
      <c r="J1783" s="14" t="b">
        <f>OR(LCI_Table[[#This Row],[Technology]]="All",LCI_Table[[#This Row],[Technology]]=SelectedTechnology)</f>
        <v>0</v>
      </c>
      <c r="K1783" s="14" t="b">
        <f>OR(LCI_Table[[#This Row],[Data Source]]="All",LCI_Table[[#This Row],[Data Source]]=SelectedDataSource)</f>
        <v>0</v>
      </c>
      <c r="L1783" s="14" t="b">
        <f>TRUE</f>
        <v>1</v>
      </c>
      <c r="M1783" s="14" t="b">
        <f>(LCI_Table[[#This Row],[Dev Notes]]="Do not display")</f>
        <v>0</v>
      </c>
      <c r="N1783" s="14" t="b">
        <f>AND(LCI_Table[[#This Row],[Show Feedstock]:[Conditional]],NOT(LCI_Table[[#This Row],[Hide Row]]))</f>
        <v>0</v>
      </c>
      <c r="O1783" s="14" t="b">
        <f>LCI_Table[[#This Row],[GREET1 Name Range]]=""</f>
        <v>0</v>
      </c>
      <c r="P1783" s="14" t="s">
        <v>14</v>
      </c>
      <c r="Q1783" s="14" t="s">
        <v>703</v>
      </c>
      <c r="R1783" s="14" t="s">
        <v>9</v>
      </c>
      <c r="S1783" s="37" cm="1">
        <f t="array" aca="1" ref="S17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83" s="346" t="s">
        <v>2110</v>
      </c>
      <c r="U1783" s="347">
        <f ca="1">S1783/S1771</f>
        <v>0</v>
      </c>
      <c r="V1783" s="347">
        <v>0</v>
      </c>
      <c r="W1783" s="347">
        <v>0</v>
      </c>
      <c r="X1783" s="37" t="s">
        <v>117</v>
      </c>
      <c r="Y1783" s="346" t="s">
        <v>413</v>
      </c>
      <c r="Z1783" s="14" t="str">
        <f>IF(ISBLANK(LCI_Table[[#This Row],[Notes for user]])," ",LCI_Table[[#This Row],[Notes for user]])</f>
        <v xml:space="preserve"> </v>
      </c>
      <c r="AA1783" s="14"/>
      <c r="AB1783" s="14"/>
      <c r="AC1783" s="346">
        <f ca="1">LCI_Table[[#This Row],[Default Calculated Value]]-LCI_Table[[#This Row],[Calculated Value]]</f>
        <v>0</v>
      </c>
    </row>
    <row r="1784" spans="1:29" x14ac:dyDescent="0.3">
      <c r="A17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MiscanthusATJ-ethanolICAOConsensusStandalone_Miscanthus_Farming_LPGLPG</v>
      </c>
      <c r="B1784" s="14" t="s">
        <v>134</v>
      </c>
      <c r="C1784" s="14" t="s">
        <v>1964</v>
      </c>
      <c r="D1784" s="14" t="s">
        <v>194</v>
      </c>
      <c r="E1784" s="48" t="s">
        <v>1399</v>
      </c>
      <c r="F1784" s="48" t="s">
        <v>137</v>
      </c>
      <c r="G1784" s="14" t="b">
        <f>OR(LCI_Table[[#This Row],[Feedstock]]="All",LCI_Table[[#This Row],[Feedstock]]=SelectedFeedstock)</f>
        <v>0</v>
      </c>
      <c r="H1784" s="14" t="b">
        <f>OR(LCI_Table[[#This Row],[Conversion]]="All",LCI_Table[[#This Row],[Conversion]]=SelectedConversion)</f>
        <v>0</v>
      </c>
      <c r="I1784" s="14" t="b">
        <f>OR(LCI_Table[[#This Row],[Data Set]]="all",LCI_Table[[#This Row],[Data Set]]=SelectedDataSet)</f>
        <v>0</v>
      </c>
      <c r="J1784" s="14" t="b">
        <f>OR(LCI_Table[[#This Row],[Technology]]="All",LCI_Table[[#This Row],[Technology]]=SelectedTechnology)</f>
        <v>0</v>
      </c>
      <c r="K1784" s="14" t="b">
        <f>OR(LCI_Table[[#This Row],[Data Source]]="All",LCI_Table[[#This Row],[Data Source]]=SelectedDataSource)</f>
        <v>0</v>
      </c>
      <c r="L1784" s="14" t="b">
        <f>TRUE</f>
        <v>1</v>
      </c>
      <c r="M1784" s="14" t="b">
        <f>(LCI_Table[[#This Row],[Dev Notes]]="Do not display")</f>
        <v>0</v>
      </c>
      <c r="N1784" s="14" t="b">
        <f>AND(LCI_Table[[#This Row],[Show Feedstock]:[Conditional]],NOT(LCI_Table[[#This Row],[Hide Row]]))</f>
        <v>0</v>
      </c>
      <c r="O1784" s="14" t="b">
        <f>LCI_Table[[#This Row],[GREET1 Name Range]]=""</f>
        <v>0</v>
      </c>
      <c r="P1784" s="14" t="s">
        <v>14</v>
      </c>
      <c r="Q1784" s="14" t="s">
        <v>711</v>
      </c>
      <c r="R1784" s="14" t="s">
        <v>109</v>
      </c>
      <c r="S1784" s="37" cm="1">
        <f t="array" aca="1" ref="S17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84" s="346" t="s">
        <v>1484</v>
      </c>
      <c r="U1784" s="347">
        <f ca="1">S1784*Fuel_Specs!$B$35/S1771</f>
        <v>0</v>
      </c>
      <c r="V1784" s="347">
        <v>0</v>
      </c>
      <c r="W1784" s="347">
        <v>0</v>
      </c>
      <c r="X1784" s="37" t="s">
        <v>5</v>
      </c>
      <c r="Y1784" s="346" t="s">
        <v>413</v>
      </c>
      <c r="Z1784" s="14" t="str">
        <f>IF(ISBLANK(LCI_Table[[#This Row],[Notes for user]])," ",LCI_Table[[#This Row],[Notes for user]])</f>
        <v xml:space="preserve"> </v>
      </c>
      <c r="AA1784" s="14"/>
      <c r="AB1784" s="14"/>
      <c r="AC1784" s="346">
        <f ca="1">LCI_Table[[#This Row],[Default Calculated Value]]-LCI_Table[[#This Row],[Calculated Value]]</f>
        <v>0</v>
      </c>
    </row>
    <row r="1785" spans="1:29" x14ac:dyDescent="0.3">
      <c r="A17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MiscanthusATJ-ethanolICAOConsensusStandalone_Miscanthus_Farming_ElectricityElectricity</v>
      </c>
      <c r="B1785" s="14" t="s">
        <v>134</v>
      </c>
      <c r="C1785" s="14" t="s">
        <v>1964</v>
      </c>
      <c r="D1785" s="14" t="s">
        <v>194</v>
      </c>
      <c r="E1785" s="48" t="s">
        <v>1399</v>
      </c>
      <c r="F1785" s="48" t="s">
        <v>137</v>
      </c>
      <c r="G1785" s="14" t="b">
        <f>OR(LCI_Table[[#This Row],[Feedstock]]="All",LCI_Table[[#This Row],[Feedstock]]=SelectedFeedstock)</f>
        <v>0</v>
      </c>
      <c r="H1785" s="14" t="b">
        <f>OR(LCI_Table[[#This Row],[Conversion]]="All",LCI_Table[[#This Row],[Conversion]]=SelectedConversion)</f>
        <v>0</v>
      </c>
      <c r="I1785" s="14" t="b">
        <f>OR(LCI_Table[[#This Row],[Data Set]]="all",LCI_Table[[#This Row],[Data Set]]=SelectedDataSet)</f>
        <v>0</v>
      </c>
      <c r="J1785" s="14" t="b">
        <f>OR(LCI_Table[[#This Row],[Technology]]="All",LCI_Table[[#This Row],[Technology]]=SelectedTechnology)</f>
        <v>0</v>
      </c>
      <c r="K1785" s="14" t="b">
        <f>OR(LCI_Table[[#This Row],[Data Source]]="All",LCI_Table[[#This Row],[Data Source]]=SelectedDataSource)</f>
        <v>0</v>
      </c>
      <c r="L1785" s="14" t="b">
        <f>TRUE</f>
        <v>1</v>
      </c>
      <c r="M1785" s="14" t="b">
        <f>(LCI_Table[[#This Row],[Dev Notes]]="Do not display")</f>
        <v>0</v>
      </c>
      <c r="N1785" s="14" t="b">
        <f>AND(LCI_Table[[#This Row],[Show Feedstock]:[Conditional]],NOT(LCI_Table[[#This Row],[Hide Row]]))</f>
        <v>0</v>
      </c>
      <c r="O1785" s="14" t="b">
        <f>LCI_Table[[#This Row],[GREET1 Name Range]]=""</f>
        <v>0</v>
      </c>
      <c r="P1785" s="14" t="s">
        <v>14</v>
      </c>
      <c r="Q1785" s="14" t="s">
        <v>705</v>
      </c>
      <c r="R1785" s="348" t="s">
        <v>110</v>
      </c>
      <c r="S1785" s="37" cm="1">
        <f t="array" aca="1" ref="S17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9.3870324404323906</v>
      </c>
      <c r="T1785" s="346" t="s">
        <v>1561</v>
      </c>
      <c r="U1785" s="347">
        <f ca="1">S1785/BTU2kWh/S1771</f>
        <v>3718.3863159328862</v>
      </c>
      <c r="V1785" s="347">
        <v>9.3870324404323906</v>
      </c>
      <c r="W1785" s="347">
        <v>3718.3863159328862</v>
      </c>
      <c r="X1785" s="37" t="s">
        <v>51</v>
      </c>
      <c r="Y1785" s="346" t="s">
        <v>413</v>
      </c>
      <c r="Z1785" s="14" t="str">
        <f>IF(ISBLANK(LCI_Table[[#This Row],[Notes for user]])," ",LCI_Table[[#This Row],[Notes for user]])</f>
        <v xml:space="preserve"> </v>
      </c>
      <c r="AA1785" s="14"/>
      <c r="AB1785" s="14"/>
      <c r="AC1785" s="346">
        <f ca="1">LCI_Table[[#This Row],[Default Calculated Value]]-LCI_Table[[#This Row],[Calculated Value]]</f>
        <v>0</v>
      </c>
    </row>
    <row r="1786" spans="1:29" x14ac:dyDescent="0.3">
      <c r="A17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MiscanthusATJ-ethanolICAOConsensusStandalone_Miscanthus_Fermentation_MiscanthusMiscanthus</v>
      </c>
      <c r="B1786" s="14" t="s">
        <v>134</v>
      </c>
      <c r="C1786" s="14" t="s">
        <v>1964</v>
      </c>
      <c r="D1786" s="14" t="s">
        <v>194</v>
      </c>
      <c r="E1786" s="48" t="s">
        <v>1399</v>
      </c>
      <c r="F1786" s="48" t="s">
        <v>137</v>
      </c>
      <c r="G1786" s="14" t="b">
        <f>OR(LCI_Table[[#This Row],[Feedstock]]="All",LCI_Table[[#This Row],[Feedstock]]=SelectedFeedstock)</f>
        <v>0</v>
      </c>
      <c r="H1786" s="14" t="b">
        <f>OR(LCI_Table[[#This Row],[Conversion]]="All",LCI_Table[[#This Row],[Conversion]]=SelectedConversion)</f>
        <v>0</v>
      </c>
      <c r="I1786" s="14" t="b">
        <f>OR(LCI_Table[[#This Row],[Data Set]]="all",LCI_Table[[#This Row],[Data Set]]=SelectedDataSet)</f>
        <v>0</v>
      </c>
      <c r="J1786" s="14" t="b">
        <f>OR(LCI_Table[[#This Row],[Technology]]="All",LCI_Table[[#This Row],[Technology]]=SelectedTechnology)</f>
        <v>0</v>
      </c>
      <c r="K1786" s="14" t="b">
        <f>OR(LCI_Table[[#This Row],[Data Source]]="All",LCI_Table[[#This Row],[Data Source]]=SelectedDataSource)</f>
        <v>0</v>
      </c>
      <c r="L1786" s="14" t="b">
        <f>TRUE</f>
        <v>1</v>
      </c>
      <c r="M1786" s="14" t="b">
        <f>(LCI_Table[[#This Row],[Dev Notes]]="Do not display")</f>
        <v>0</v>
      </c>
      <c r="N1786" s="14" t="b">
        <f>AND(LCI_Table[[#This Row],[Show Feedstock]:[Conditional]],NOT(LCI_Table[[#This Row],[Hide Row]]))</f>
        <v>0</v>
      </c>
      <c r="O1786" s="14" t="b">
        <f>LCI_Table[[#This Row],[GREET1 Name Range]]=""</f>
        <v>0</v>
      </c>
      <c r="P1786" s="14" t="s">
        <v>428</v>
      </c>
      <c r="Q1786" s="14" t="s">
        <v>729</v>
      </c>
      <c r="R1786" s="14" t="s">
        <v>134</v>
      </c>
      <c r="S1786" s="37" cm="1">
        <f t="array" aca="1" ref="S17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23.529411764705934</v>
      </c>
      <c r="T1786" s="346" t="s">
        <v>2133</v>
      </c>
      <c r="U1786" s="359">
        <f ca="1">1/S1786/lb2ton</f>
        <v>84.999999999999815</v>
      </c>
      <c r="V1786" s="347">
        <v>23.529411764705934</v>
      </c>
      <c r="W1786" s="359">
        <v>84.999999999999815</v>
      </c>
      <c r="X1786" s="14" t="s">
        <v>12</v>
      </c>
      <c r="Y1786" s="346" t="s">
        <v>892</v>
      </c>
      <c r="Z1786" s="14" t="str">
        <f>IF(ISBLANK(LCI_Table[[#This Row],[Notes for user]])," ",LCI_Table[[#This Row],[Notes for user]])</f>
        <v xml:space="preserve"> </v>
      </c>
      <c r="AA1786" s="358"/>
      <c r="AB1786" s="358" t="s">
        <v>921</v>
      </c>
      <c r="AC1786" s="346">
        <f ca="1">LCI_Table[[#This Row],[Default Calculated Value]]-LCI_Table[[#This Row],[Calculated Value]]</f>
        <v>0</v>
      </c>
    </row>
    <row r="1787" spans="1:29" x14ac:dyDescent="0.3">
      <c r="A17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MiscanthusATJ-ethanolICAOConsensusStandalone_Miscanthus_Fermentation_Alpha_amylaseAlpha-amylase</v>
      </c>
      <c r="B1787" s="14" t="s">
        <v>134</v>
      </c>
      <c r="C1787" s="14" t="s">
        <v>1964</v>
      </c>
      <c r="D1787" s="14" t="s">
        <v>194</v>
      </c>
      <c r="E1787" s="48" t="s">
        <v>1399</v>
      </c>
      <c r="F1787" s="48" t="s">
        <v>137</v>
      </c>
      <c r="G1787" s="14" t="b">
        <f>OR(LCI_Table[[#This Row],[Feedstock]]="All",LCI_Table[[#This Row],[Feedstock]]=SelectedFeedstock)</f>
        <v>0</v>
      </c>
      <c r="H1787" s="14" t="b">
        <f>OR(LCI_Table[[#This Row],[Conversion]]="All",LCI_Table[[#This Row],[Conversion]]=SelectedConversion)</f>
        <v>0</v>
      </c>
      <c r="I1787" s="14" t="b">
        <f>OR(LCI_Table[[#This Row],[Data Set]]="all",LCI_Table[[#This Row],[Data Set]]=SelectedDataSet)</f>
        <v>0</v>
      </c>
      <c r="J1787" s="14" t="b">
        <f>OR(LCI_Table[[#This Row],[Technology]]="All",LCI_Table[[#This Row],[Technology]]=SelectedTechnology)</f>
        <v>0</v>
      </c>
      <c r="K1787" s="14" t="b">
        <f>OR(LCI_Table[[#This Row],[Data Source]]="All",LCI_Table[[#This Row],[Data Source]]=SelectedDataSource)</f>
        <v>0</v>
      </c>
      <c r="L1787" s="14" t="b">
        <f>TRUE</f>
        <v>1</v>
      </c>
      <c r="M1787" s="14" t="b">
        <f>(LCI_Table[[#This Row],[Dev Notes]]="Do not display")</f>
        <v>0</v>
      </c>
      <c r="N1787" s="14" t="b">
        <f>AND(LCI_Table[[#This Row],[Show Feedstock]:[Conditional]],NOT(LCI_Table[[#This Row],[Hide Row]]))</f>
        <v>0</v>
      </c>
      <c r="O1787" s="14" t="b">
        <f>LCI_Table[[#This Row],[GREET1 Name Range]]=""</f>
        <v>0</v>
      </c>
      <c r="P1787" s="14" t="s">
        <v>428</v>
      </c>
      <c r="Q1787" s="14" t="s">
        <v>716</v>
      </c>
      <c r="R1787" s="14" t="s">
        <v>353</v>
      </c>
      <c r="S1787" s="37" cm="1">
        <f t="array" aca="1" ref="S17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87" s="346" t="s">
        <v>2133</v>
      </c>
      <c r="U1787" s="347">
        <f t="shared" ref="U1787" ca="1" si="70">S1787/g2lb</f>
        <v>0</v>
      </c>
      <c r="V1787" s="347">
        <v>0</v>
      </c>
      <c r="W1787" s="347">
        <v>0</v>
      </c>
      <c r="X1787" s="14" t="s">
        <v>12</v>
      </c>
      <c r="Y1787" s="346" t="s">
        <v>892</v>
      </c>
      <c r="Z1787" s="14" t="str">
        <f>IF(ISBLANK(LCI_Table[[#This Row],[Notes for user]])," ",LCI_Table[[#This Row],[Notes for user]])</f>
        <v xml:space="preserve"> </v>
      </c>
      <c r="AA1787" s="14"/>
      <c r="AB1787" s="14"/>
      <c r="AC1787" s="346">
        <f ca="1">LCI_Table[[#This Row],[Default Calculated Value]]-LCI_Table[[#This Row],[Calculated Value]]</f>
        <v>0</v>
      </c>
    </row>
    <row r="1788" spans="1:29" x14ac:dyDescent="0.3">
      <c r="A17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MiscanthusATJ-ethanolICAOConsensusStandalone_Miscanthus_Fermentation_Gluco_amylaseGluco-amylase</v>
      </c>
      <c r="B1788" s="14" t="s">
        <v>134</v>
      </c>
      <c r="C1788" s="14" t="s">
        <v>1964</v>
      </c>
      <c r="D1788" s="14" t="s">
        <v>194</v>
      </c>
      <c r="E1788" s="48" t="s">
        <v>1399</v>
      </c>
      <c r="F1788" s="48" t="s">
        <v>137</v>
      </c>
      <c r="G1788" s="14" t="b">
        <f>OR(LCI_Table[[#This Row],[Feedstock]]="All",LCI_Table[[#This Row],[Feedstock]]=SelectedFeedstock)</f>
        <v>0</v>
      </c>
      <c r="H1788" s="14" t="b">
        <f>OR(LCI_Table[[#This Row],[Conversion]]="All",LCI_Table[[#This Row],[Conversion]]=SelectedConversion)</f>
        <v>0</v>
      </c>
      <c r="I1788" s="14" t="b">
        <f>OR(LCI_Table[[#This Row],[Data Set]]="all",LCI_Table[[#This Row],[Data Set]]=SelectedDataSet)</f>
        <v>0</v>
      </c>
      <c r="J1788" s="14" t="b">
        <f>OR(LCI_Table[[#This Row],[Technology]]="All",LCI_Table[[#This Row],[Technology]]=SelectedTechnology)</f>
        <v>0</v>
      </c>
      <c r="K1788" s="14" t="b">
        <f>OR(LCI_Table[[#This Row],[Data Source]]="All",LCI_Table[[#This Row],[Data Source]]=SelectedDataSource)</f>
        <v>0</v>
      </c>
      <c r="L1788" s="14" t="b">
        <f>TRUE</f>
        <v>1</v>
      </c>
      <c r="M1788" s="14" t="b">
        <f>(LCI_Table[[#This Row],[Dev Notes]]="Do not display")</f>
        <v>0</v>
      </c>
      <c r="N1788" s="14" t="b">
        <f>AND(LCI_Table[[#This Row],[Show Feedstock]:[Conditional]],NOT(LCI_Table[[#This Row],[Hide Row]]))</f>
        <v>0</v>
      </c>
      <c r="O1788" s="14" t="b">
        <f>LCI_Table[[#This Row],[GREET1 Name Range]]=""</f>
        <v>0</v>
      </c>
      <c r="P1788" s="14" t="s">
        <v>428</v>
      </c>
      <c r="Q1788" s="14" t="s">
        <v>726</v>
      </c>
      <c r="R1788" s="14" t="s">
        <v>354</v>
      </c>
      <c r="S1788" s="37" cm="1">
        <f t="array" aca="1" ref="S17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88" s="346" t="s">
        <v>2133</v>
      </c>
      <c r="U1788" s="347">
        <f t="shared" ref="U1788" ca="1" si="71">S1788/g2lb</f>
        <v>0</v>
      </c>
      <c r="V1788" s="347">
        <v>0</v>
      </c>
      <c r="W1788" s="347">
        <v>0</v>
      </c>
      <c r="X1788" s="14" t="s">
        <v>12</v>
      </c>
      <c r="Y1788" s="346" t="s">
        <v>892</v>
      </c>
      <c r="Z1788" s="14" t="str">
        <f>IF(ISBLANK(LCI_Table[[#This Row],[Notes for user]])," ",LCI_Table[[#This Row],[Notes for user]])</f>
        <v xml:space="preserve"> </v>
      </c>
      <c r="AA1788" s="14"/>
      <c r="AB1788" s="14"/>
      <c r="AC1788" s="346">
        <f ca="1">LCI_Table[[#This Row],[Default Calculated Value]]-LCI_Table[[#This Row],[Calculated Value]]</f>
        <v>0</v>
      </c>
    </row>
    <row r="1789" spans="1:29" x14ac:dyDescent="0.3">
      <c r="A17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MiscanthusATJ-ethanolICAOConsensusStandalone_Miscanthus_Fermentation_CellulaseCellulase</v>
      </c>
      <c r="B1789" s="14" t="s">
        <v>134</v>
      </c>
      <c r="C1789" s="14" t="s">
        <v>1964</v>
      </c>
      <c r="D1789" s="14" t="s">
        <v>194</v>
      </c>
      <c r="E1789" s="48" t="s">
        <v>1399</v>
      </c>
      <c r="F1789" s="48" t="s">
        <v>137</v>
      </c>
      <c r="G1789" s="14" t="b">
        <f>OR(LCI_Table[[#This Row],[Feedstock]]="All",LCI_Table[[#This Row],[Feedstock]]=SelectedFeedstock)</f>
        <v>0</v>
      </c>
      <c r="H1789" s="14" t="b">
        <f>OR(LCI_Table[[#This Row],[Conversion]]="All",LCI_Table[[#This Row],[Conversion]]=SelectedConversion)</f>
        <v>0</v>
      </c>
      <c r="I1789" s="14" t="b">
        <f>OR(LCI_Table[[#This Row],[Data Set]]="all",LCI_Table[[#This Row],[Data Set]]=SelectedDataSet)</f>
        <v>0</v>
      </c>
      <c r="J1789" s="14" t="b">
        <f>OR(LCI_Table[[#This Row],[Technology]]="All",LCI_Table[[#This Row],[Technology]]=SelectedTechnology)</f>
        <v>0</v>
      </c>
      <c r="K1789" s="14" t="b">
        <f>OR(LCI_Table[[#This Row],[Data Source]]="All",LCI_Table[[#This Row],[Data Source]]=SelectedDataSource)</f>
        <v>0</v>
      </c>
      <c r="L1789" s="14" t="b">
        <f>TRUE</f>
        <v>1</v>
      </c>
      <c r="M1789" s="14" t="b">
        <f>(LCI_Table[[#This Row],[Dev Notes]]="Do not display")</f>
        <v>0</v>
      </c>
      <c r="N1789" s="14" t="b">
        <f>AND(LCI_Table[[#This Row],[Show Feedstock]:[Conditional]],NOT(LCI_Table[[#This Row],[Hide Row]]))</f>
        <v>0</v>
      </c>
      <c r="O1789" s="14" t="b">
        <f>LCI_Table[[#This Row],[GREET1 Name Range]]=""</f>
        <v>0</v>
      </c>
      <c r="P1789" s="14" t="s">
        <v>428</v>
      </c>
      <c r="Q1789" s="14" t="s">
        <v>719</v>
      </c>
      <c r="R1789" s="14" t="s">
        <v>402</v>
      </c>
      <c r="S1789" s="37" cm="1">
        <f t="array" aca="1" ref="S17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0.23529411764705932</v>
      </c>
      <c r="T1789" s="346" t="s">
        <v>2133</v>
      </c>
      <c r="U1789" s="347">
        <f t="shared" ref="U1789" ca="1" si="72">S1789/g2lb</f>
        <v>106.72761647058825</v>
      </c>
      <c r="V1789" s="347">
        <v>0.23529411764705932</v>
      </c>
      <c r="W1789" s="347">
        <v>106.72761647058825</v>
      </c>
      <c r="X1789" s="14" t="s">
        <v>12</v>
      </c>
      <c r="Y1789" s="346" t="s">
        <v>892</v>
      </c>
      <c r="Z1789" s="14" t="str">
        <f>IF(ISBLANK(LCI_Table[[#This Row],[Notes for user]])," ",LCI_Table[[#This Row],[Notes for user]])</f>
        <v xml:space="preserve"> </v>
      </c>
      <c r="AA1789" s="14"/>
      <c r="AB1789" s="14"/>
      <c r="AC1789" s="346">
        <f ca="1">LCI_Table[[#This Row],[Default Calculated Value]]-LCI_Table[[#This Row],[Calculated Value]]</f>
        <v>0</v>
      </c>
    </row>
    <row r="1790" spans="1:29" x14ac:dyDescent="0.3">
      <c r="A17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MiscanthusATJ-ethanolICAOConsensusStandalone_Miscanthus_Fermentation_YeastYeast</v>
      </c>
      <c r="B1790" s="14" t="s">
        <v>134</v>
      </c>
      <c r="C1790" s="14" t="s">
        <v>1964</v>
      </c>
      <c r="D1790" s="14" t="s">
        <v>194</v>
      </c>
      <c r="E1790" s="48" t="s">
        <v>1399</v>
      </c>
      <c r="F1790" s="48" t="s">
        <v>137</v>
      </c>
      <c r="G1790" s="14" t="b">
        <f>OR(LCI_Table[[#This Row],[Feedstock]]="All",LCI_Table[[#This Row],[Feedstock]]=SelectedFeedstock)</f>
        <v>0</v>
      </c>
      <c r="H1790" s="14" t="b">
        <f>OR(LCI_Table[[#This Row],[Conversion]]="All",LCI_Table[[#This Row],[Conversion]]=SelectedConversion)</f>
        <v>0</v>
      </c>
      <c r="I1790" s="14" t="b">
        <f>OR(LCI_Table[[#This Row],[Data Set]]="all",LCI_Table[[#This Row],[Data Set]]=SelectedDataSet)</f>
        <v>0</v>
      </c>
      <c r="J1790" s="14" t="b">
        <f>OR(LCI_Table[[#This Row],[Technology]]="All",LCI_Table[[#This Row],[Technology]]=SelectedTechnology)</f>
        <v>0</v>
      </c>
      <c r="K1790" s="14" t="b">
        <f>OR(LCI_Table[[#This Row],[Data Source]]="All",LCI_Table[[#This Row],[Data Source]]=SelectedDataSource)</f>
        <v>0</v>
      </c>
      <c r="L1790" s="14" t="b">
        <f>TRUE</f>
        <v>1</v>
      </c>
      <c r="M1790" s="14" t="b">
        <f>(LCI_Table[[#This Row],[Dev Notes]]="Do not display")</f>
        <v>0</v>
      </c>
      <c r="N1790" s="14" t="b">
        <f>AND(LCI_Table[[#This Row],[Show Feedstock]:[Conditional]],NOT(LCI_Table[[#This Row],[Hide Row]]))</f>
        <v>0</v>
      </c>
      <c r="O1790" s="14" t="b">
        <f>LCI_Table[[#This Row],[GREET1 Name Range]]=""</f>
        <v>0</v>
      </c>
      <c r="P1790" s="14" t="s">
        <v>428</v>
      </c>
      <c r="Q1790" s="14" t="s">
        <v>736</v>
      </c>
      <c r="R1790" s="14" t="s">
        <v>145</v>
      </c>
      <c r="S1790" s="37" cm="1">
        <f t="array" aca="1" ref="S17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5.8588235294117767E-2</v>
      </c>
      <c r="T1790" s="346" t="s">
        <v>2133</v>
      </c>
      <c r="U1790" s="347">
        <f t="shared" ref="U1790" ca="1" si="73">S1790/g2lb</f>
        <v>26.575176501176472</v>
      </c>
      <c r="V1790" s="347">
        <v>5.8588235294117767E-2</v>
      </c>
      <c r="W1790" s="347">
        <v>26.575176501176472</v>
      </c>
      <c r="X1790" s="14" t="s">
        <v>12</v>
      </c>
      <c r="Y1790" s="346" t="s">
        <v>892</v>
      </c>
      <c r="Z1790" s="14" t="str">
        <f>IF(ISBLANK(LCI_Table[[#This Row],[Notes for user]])," ",LCI_Table[[#This Row],[Notes for user]])</f>
        <v xml:space="preserve"> </v>
      </c>
      <c r="AA1790" s="14"/>
      <c r="AB1790" s="14"/>
      <c r="AC1790" s="346">
        <f ca="1">LCI_Table[[#This Row],[Default Calculated Value]]-LCI_Table[[#This Row],[Calculated Value]]</f>
        <v>0</v>
      </c>
    </row>
    <row r="1791" spans="1:29" x14ac:dyDescent="0.3">
      <c r="A17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MiscanthusATJ-ethanolICAOConsensusStandalone_Miscanthus_Fermentation_GlucoseGlucose</v>
      </c>
      <c r="B1791" s="14" t="s">
        <v>134</v>
      </c>
      <c r="C1791" s="14" t="s">
        <v>1964</v>
      </c>
      <c r="D1791" s="14" t="s">
        <v>194</v>
      </c>
      <c r="E1791" s="48" t="s">
        <v>1399</v>
      </c>
      <c r="F1791" s="48" t="s">
        <v>137</v>
      </c>
      <c r="G1791" s="14" t="b">
        <f>OR(LCI_Table[[#This Row],[Feedstock]]="All",LCI_Table[[#This Row],[Feedstock]]=SelectedFeedstock)</f>
        <v>0</v>
      </c>
      <c r="H1791" s="14" t="b">
        <f>OR(LCI_Table[[#This Row],[Conversion]]="All",LCI_Table[[#This Row],[Conversion]]=SelectedConversion)</f>
        <v>0</v>
      </c>
      <c r="I1791" s="14" t="b">
        <f>OR(LCI_Table[[#This Row],[Data Set]]="all",LCI_Table[[#This Row],[Data Set]]=SelectedDataSet)</f>
        <v>0</v>
      </c>
      <c r="J1791" s="14" t="b">
        <f>OR(LCI_Table[[#This Row],[Technology]]="All",LCI_Table[[#This Row],[Technology]]=SelectedTechnology)</f>
        <v>0</v>
      </c>
      <c r="K1791" s="14" t="b">
        <f>OR(LCI_Table[[#This Row],[Data Source]]="All",LCI_Table[[#This Row],[Data Source]]=SelectedDataSource)</f>
        <v>0</v>
      </c>
      <c r="L1791" s="14" t="b">
        <f>TRUE</f>
        <v>1</v>
      </c>
      <c r="M1791" s="14" t="b">
        <f>(LCI_Table[[#This Row],[Dev Notes]]="Do not display")</f>
        <v>0</v>
      </c>
      <c r="N1791" s="14" t="b">
        <f>AND(LCI_Table[[#This Row],[Show Feedstock]:[Conditional]],NOT(LCI_Table[[#This Row],[Hide Row]]))</f>
        <v>0</v>
      </c>
      <c r="O1791" s="14" t="b">
        <f>LCI_Table[[#This Row],[GREET1 Name Range]]=""</f>
        <v>0</v>
      </c>
      <c r="P1791" s="14" t="s">
        <v>428</v>
      </c>
      <c r="Q1791" s="14" t="s">
        <v>727</v>
      </c>
      <c r="R1791" s="14" t="s">
        <v>387</v>
      </c>
      <c r="S1791" s="37" cm="1">
        <f t="array" aca="1" ref="S17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91" s="346" t="s">
        <v>2133</v>
      </c>
      <c r="U1791" s="347">
        <f t="shared" ref="U1791" ca="1" si="74">S1791/g2lb</f>
        <v>0</v>
      </c>
      <c r="V1791" s="347">
        <v>0</v>
      </c>
      <c r="W1791" s="347">
        <v>0</v>
      </c>
      <c r="X1791" s="14" t="s">
        <v>12</v>
      </c>
      <c r="Y1791" s="346" t="s">
        <v>892</v>
      </c>
      <c r="Z1791" s="14" t="str">
        <f>IF(ISBLANK(LCI_Table[[#This Row],[Notes for user]])," ",LCI_Table[[#This Row],[Notes for user]])</f>
        <v xml:space="preserve"> </v>
      </c>
      <c r="AA1791" s="14"/>
      <c r="AB1791" s="14"/>
      <c r="AC1791" s="346">
        <f ca="1">LCI_Table[[#This Row],[Default Calculated Value]]-LCI_Table[[#This Row],[Calculated Value]]</f>
        <v>0</v>
      </c>
    </row>
    <row r="1792" spans="1:29" x14ac:dyDescent="0.3">
      <c r="A17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MiscanthusATJ-ethanolICAOConsensusStandalone_Miscanthus_Fermentation_Sulfuric_acidSulfuric acid</v>
      </c>
      <c r="B1792" s="14" t="s">
        <v>134</v>
      </c>
      <c r="C1792" s="14" t="s">
        <v>1964</v>
      </c>
      <c r="D1792" s="14" t="s">
        <v>194</v>
      </c>
      <c r="E1792" s="48" t="s">
        <v>1399</v>
      </c>
      <c r="F1792" s="48" t="s">
        <v>137</v>
      </c>
      <c r="G1792" s="14" t="b">
        <f>OR(LCI_Table[[#This Row],[Feedstock]]="All",LCI_Table[[#This Row],[Feedstock]]=SelectedFeedstock)</f>
        <v>0</v>
      </c>
      <c r="H1792" s="14" t="b">
        <f>OR(LCI_Table[[#This Row],[Conversion]]="All",LCI_Table[[#This Row],[Conversion]]=SelectedConversion)</f>
        <v>0</v>
      </c>
      <c r="I1792" s="14" t="b">
        <f>OR(LCI_Table[[#This Row],[Data Set]]="all",LCI_Table[[#This Row],[Data Set]]=SelectedDataSet)</f>
        <v>0</v>
      </c>
      <c r="J1792" s="14" t="b">
        <f>OR(LCI_Table[[#This Row],[Technology]]="All",LCI_Table[[#This Row],[Technology]]=SelectedTechnology)</f>
        <v>0</v>
      </c>
      <c r="K1792" s="14" t="b">
        <f>OR(LCI_Table[[#This Row],[Data Source]]="All",LCI_Table[[#This Row],[Data Source]]=SelectedDataSource)</f>
        <v>0</v>
      </c>
      <c r="L1792" s="14" t="b">
        <f>TRUE</f>
        <v>1</v>
      </c>
      <c r="M1792" s="14" t="b">
        <f>(LCI_Table[[#This Row],[Dev Notes]]="Do not display")</f>
        <v>0</v>
      </c>
      <c r="N1792" s="14" t="b">
        <f>AND(LCI_Table[[#This Row],[Show Feedstock]:[Conditional]],NOT(LCI_Table[[#This Row],[Hide Row]]))</f>
        <v>0</v>
      </c>
      <c r="O1792" s="14" t="b">
        <f>LCI_Table[[#This Row],[GREET1 Name Range]]=""</f>
        <v>0</v>
      </c>
      <c r="P1792" s="14" t="s">
        <v>428</v>
      </c>
      <c r="Q1792" s="14" t="s">
        <v>734</v>
      </c>
      <c r="R1792" s="14" t="s">
        <v>384</v>
      </c>
      <c r="S1792" s="37" cm="1">
        <f t="array" aca="1" ref="S17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0.76330000000000153</v>
      </c>
      <c r="T1792" s="346" t="s">
        <v>2133</v>
      </c>
      <c r="U1792" s="347">
        <f t="shared" ref="U1792" ca="1" si="75">S1792/g2lb</f>
        <v>346.22705602100001</v>
      </c>
      <c r="V1792" s="347">
        <v>0.76330000000000153</v>
      </c>
      <c r="W1792" s="347">
        <v>346.22705602100001</v>
      </c>
      <c r="X1792" s="14" t="s">
        <v>12</v>
      </c>
      <c r="Y1792" s="346" t="s">
        <v>892</v>
      </c>
      <c r="Z1792" s="14" t="str">
        <f>IF(ISBLANK(LCI_Table[[#This Row],[Notes for user]])," ",LCI_Table[[#This Row],[Notes for user]])</f>
        <v xml:space="preserve"> </v>
      </c>
      <c r="AA1792" s="14"/>
      <c r="AB1792" s="14"/>
      <c r="AC1792" s="346">
        <f ca="1">LCI_Table[[#This Row],[Default Calculated Value]]-LCI_Table[[#This Row],[Calculated Value]]</f>
        <v>0</v>
      </c>
    </row>
    <row r="1793" spans="1:29" x14ac:dyDescent="0.3">
      <c r="A17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MiscanthusATJ-ethanolICAOConsensusStandalone_Miscanthus_Fermentation_AmmoniaAmmonia</v>
      </c>
      <c r="B1793" s="14" t="s">
        <v>134</v>
      </c>
      <c r="C1793" s="14" t="s">
        <v>1964</v>
      </c>
      <c r="D1793" s="14" t="s">
        <v>194</v>
      </c>
      <c r="E1793" s="48" t="s">
        <v>1399</v>
      </c>
      <c r="F1793" s="48" t="s">
        <v>137</v>
      </c>
      <c r="G1793" s="14" t="b">
        <f>OR(LCI_Table[[#This Row],[Feedstock]]="All",LCI_Table[[#This Row],[Feedstock]]=SelectedFeedstock)</f>
        <v>0</v>
      </c>
      <c r="H1793" s="14" t="b">
        <f>OR(LCI_Table[[#This Row],[Conversion]]="All",LCI_Table[[#This Row],[Conversion]]=SelectedConversion)</f>
        <v>0</v>
      </c>
      <c r="I1793" s="14" t="b">
        <f>OR(LCI_Table[[#This Row],[Data Set]]="all",LCI_Table[[#This Row],[Data Set]]=SelectedDataSet)</f>
        <v>0</v>
      </c>
      <c r="J1793" s="14" t="b">
        <f>OR(LCI_Table[[#This Row],[Technology]]="All",LCI_Table[[#This Row],[Technology]]=SelectedTechnology)</f>
        <v>0</v>
      </c>
      <c r="K1793" s="14" t="b">
        <f>OR(LCI_Table[[#This Row],[Data Source]]="All",LCI_Table[[#This Row],[Data Source]]=SelectedDataSource)</f>
        <v>0</v>
      </c>
      <c r="L1793" s="14" t="b">
        <f>TRUE</f>
        <v>1</v>
      </c>
      <c r="M1793" s="14" t="b">
        <f>(LCI_Table[[#This Row],[Dev Notes]]="Do not display")</f>
        <v>0</v>
      </c>
      <c r="N1793" s="14" t="b">
        <f>AND(LCI_Table[[#This Row],[Show Feedstock]:[Conditional]],NOT(LCI_Table[[#This Row],[Hide Row]]))</f>
        <v>0</v>
      </c>
      <c r="O1793" s="14" t="b">
        <f>LCI_Table[[#This Row],[GREET1 Name Range]]=""</f>
        <v>0</v>
      </c>
      <c r="P1793" s="14" t="s">
        <v>428</v>
      </c>
      <c r="Q1793" s="14" t="s">
        <v>717</v>
      </c>
      <c r="R1793" s="14" t="s">
        <v>382</v>
      </c>
      <c r="S1793" s="37" cm="1">
        <f t="array" aca="1" ref="S17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9.1596000000000163E-2</v>
      </c>
      <c r="T1793" s="346" t="s">
        <v>2133</v>
      </c>
      <c r="U1793" s="347">
        <f t="shared" ref="U1793" ca="1" si="76">S1793/g2lb</f>
        <v>41.547246722519994</v>
      </c>
      <c r="V1793" s="347">
        <v>9.1596000000000163E-2</v>
      </c>
      <c r="W1793" s="347">
        <v>41.547246722519994</v>
      </c>
      <c r="X1793" s="14" t="s">
        <v>12</v>
      </c>
      <c r="Y1793" s="346" t="s">
        <v>892</v>
      </c>
      <c r="Z1793" s="14" t="str">
        <f>IF(ISBLANK(LCI_Table[[#This Row],[Notes for user]])," ",LCI_Table[[#This Row],[Notes for user]])</f>
        <v xml:space="preserve"> </v>
      </c>
      <c r="AA1793" s="14"/>
      <c r="AB1793" s="14"/>
      <c r="AC1793" s="346">
        <f ca="1">LCI_Table[[#This Row],[Default Calculated Value]]-LCI_Table[[#This Row],[Calculated Value]]</f>
        <v>0</v>
      </c>
    </row>
    <row r="1794" spans="1:29" x14ac:dyDescent="0.3">
      <c r="A17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MiscanthusATJ-ethanolICAOConsensusStandalone_Miscanthus_Fermentation_Corn_steep_liquorCorn steep liquor</v>
      </c>
      <c r="B1794" s="14" t="s">
        <v>134</v>
      </c>
      <c r="C1794" s="14" t="s">
        <v>1964</v>
      </c>
      <c r="D1794" s="14" t="s">
        <v>194</v>
      </c>
      <c r="E1794" s="48" t="s">
        <v>1399</v>
      </c>
      <c r="F1794" s="48" t="s">
        <v>137</v>
      </c>
      <c r="G1794" s="14" t="b">
        <f>OR(LCI_Table[[#This Row],[Feedstock]]="All",LCI_Table[[#This Row],[Feedstock]]=SelectedFeedstock)</f>
        <v>0</v>
      </c>
      <c r="H1794" s="14" t="b">
        <f>OR(LCI_Table[[#This Row],[Conversion]]="All",LCI_Table[[#This Row],[Conversion]]=SelectedConversion)</f>
        <v>0</v>
      </c>
      <c r="I1794" s="14" t="b">
        <f>OR(LCI_Table[[#This Row],[Data Set]]="all",LCI_Table[[#This Row],[Data Set]]=SelectedDataSet)</f>
        <v>0</v>
      </c>
      <c r="J1794" s="14" t="b">
        <f>OR(LCI_Table[[#This Row],[Technology]]="All",LCI_Table[[#This Row],[Technology]]=SelectedTechnology)</f>
        <v>0</v>
      </c>
      <c r="K1794" s="14" t="b">
        <f>OR(LCI_Table[[#This Row],[Data Source]]="All",LCI_Table[[#This Row],[Data Source]]=SelectedDataSource)</f>
        <v>0</v>
      </c>
      <c r="L1794" s="14" t="b">
        <f>TRUE</f>
        <v>1</v>
      </c>
      <c r="M1794" s="14" t="b">
        <f>(LCI_Table[[#This Row],[Dev Notes]]="Do not display")</f>
        <v>0</v>
      </c>
      <c r="N1794" s="14" t="b">
        <f>AND(LCI_Table[[#This Row],[Show Feedstock]:[Conditional]],NOT(LCI_Table[[#This Row],[Hide Row]]))</f>
        <v>0</v>
      </c>
      <c r="O1794" s="14" t="b">
        <f>LCI_Table[[#This Row],[GREET1 Name Range]]=""</f>
        <v>0</v>
      </c>
      <c r="P1794" s="14" t="s">
        <v>428</v>
      </c>
      <c r="Q1794" s="14" t="s">
        <v>721</v>
      </c>
      <c r="R1794" s="14" t="s">
        <v>386</v>
      </c>
      <c r="S1794" s="37" cm="1">
        <f t="array" aca="1" ref="S17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0.29005400000000059</v>
      </c>
      <c r="T1794" s="346" t="s">
        <v>2133</v>
      </c>
      <c r="U1794" s="347">
        <f t="shared" ref="U1794" ca="1" si="77">S1794/g2lb</f>
        <v>131.56628128798002</v>
      </c>
      <c r="V1794" s="347">
        <v>0.29005400000000059</v>
      </c>
      <c r="W1794" s="347">
        <v>131.56628128798002</v>
      </c>
      <c r="X1794" s="14" t="s">
        <v>12</v>
      </c>
      <c r="Y1794" s="346" t="s">
        <v>892</v>
      </c>
      <c r="Z1794" s="14" t="str">
        <f>IF(ISBLANK(LCI_Table[[#This Row],[Notes for user]])," ",LCI_Table[[#This Row],[Notes for user]])</f>
        <v xml:space="preserve"> </v>
      </c>
      <c r="AA1794" s="14"/>
      <c r="AB1794" s="14"/>
      <c r="AC1794" s="346">
        <f ca="1">LCI_Table[[#This Row],[Default Calculated Value]]-LCI_Table[[#This Row],[Calculated Value]]</f>
        <v>0</v>
      </c>
    </row>
    <row r="1795" spans="1:29" x14ac:dyDescent="0.3">
      <c r="A17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MiscanthusATJ-ethanolICAOConsensusStandalone_Miscanthus_Fermentation_DAPDAP</v>
      </c>
      <c r="B1795" s="14" t="s">
        <v>134</v>
      </c>
      <c r="C1795" s="14" t="s">
        <v>1964</v>
      </c>
      <c r="D1795" s="14" t="s">
        <v>194</v>
      </c>
      <c r="E1795" s="48" t="s">
        <v>1399</v>
      </c>
      <c r="F1795" s="48" t="s">
        <v>137</v>
      </c>
      <c r="G1795" s="14" t="b">
        <f>OR(LCI_Table[[#This Row],[Feedstock]]="All",LCI_Table[[#This Row],[Feedstock]]=SelectedFeedstock)</f>
        <v>0</v>
      </c>
      <c r="H1795" s="14" t="b">
        <f>OR(LCI_Table[[#This Row],[Conversion]]="All",LCI_Table[[#This Row],[Conversion]]=SelectedConversion)</f>
        <v>0</v>
      </c>
      <c r="I1795" s="14" t="b">
        <f>OR(LCI_Table[[#This Row],[Data Set]]="all",LCI_Table[[#This Row],[Data Set]]=SelectedDataSet)</f>
        <v>0</v>
      </c>
      <c r="J1795" s="14" t="b">
        <f>OR(LCI_Table[[#This Row],[Technology]]="All",LCI_Table[[#This Row],[Technology]]=SelectedTechnology)</f>
        <v>0</v>
      </c>
      <c r="K1795" s="14" t="b">
        <f>OR(LCI_Table[[#This Row],[Data Source]]="All",LCI_Table[[#This Row],[Data Source]]=SelectedDataSource)</f>
        <v>0</v>
      </c>
      <c r="L1795" s="14" t="b">
        <f>TRUE</f>
        <v>1</v>
      </c>
      <c r="M1795" s="14" t="b">
        <f>(LCI_Table[[#This Row],[Dev Notes]]="Do not display")</f>
        <v>0</v>
      </c>
      <c r="N1795" s="14" t="b">
        <f>AND(LCI_Table[[#This Row],[Show Feedstock]:[Conditional]],NOT(LCI_Table[[#This Row],[Hide Row]]))</f>
        <v>0</v>
      </c>
      <c r="O1795" s="14" t="b">
        <f>LCI_Table[[#This Row],[GREET1 Name Range]]=""</f>
        <v>0</v>
      </c>
      <c r="P1795" s="14" t="s">
        <v>428</v>
      </c>
      <c r="Q1795" s="14" t="s">
        <v>722</v>
      </c>
      <c r="R1795" s="14" t="s">
        <v>383</v>
      </c>
      <c r="S1795" s="37" cm="1">
        <f t="array" aca="1" ref="S17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3.053200000000007E-2</v>
      </c>
      <c r="T1795" s="346" t="s">
        <v>2133</v>
      </c>
      <c r="U1795" s="347">
        <f t="shared" ref="U1795" ca="1" si="78">S1795/g2lb</f>
        <v>13.849082240840003</v>
      </c>
      <c r="V1795" s="347">
        <v>3.053200000000007E-2</v>
      </c>
      <c r="W1795" s="347">
        <v>13.849082240840003</v>
      </c>
      <c r="X1795" s="14" t="s">
        <v>12</v>
      </c>
      <c r="Y1795" s="346" t="s">
        <v>892</v>
      </c>
      <c r="Z1795" s="14" t="str">
        <f>IF(ISBLANK(LCI_Table[[#This Row],[Notes for user]])," ",LCI_Table[[#This Row],[Notes for user]])</f>
        <v xml:space="preserve"> </v>
      </c>
      <c r="AA1795" s="14"/>
      <c r="AB1795" s="14"/>
      <c r="AC1795" s="346">
        <f ca="1">LCI_Table[[#This Row],[Default Calculated Value]]-LCI_Table[[#This Row],[Calculated Value]]</f>
        <v>0</v>
      </c>
    </row>
    <row r="1796" spans="1:29" x14ac:dyDescent="0.3">
      <c r="A17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MiscanthusATJ-ethanolICAOConsensusStandalone_Miscanthus_Fermentation_NaOHNaOH</v>
      </c>
      <c r="B1796" s="14" t="s">
        <v>134</v>
      </c>
      <c r="C1796" s="14" t="s">
        <v>1964</v>
      </c>
      <c r="D1796" s="14" t="s">
        <v>194</v>
      </c>
      <c r="E1796" s="48" t="s">
        <v>1399</v>
      </c>
      <c r="F1796" s="48" t="s">
        <v>137</v>
      </c>
      <c r="G1796" s="14" t="b">
        <f>OR(LCI_Table[[#This Row],[Feedstock]]="All",LCI_Table[[#This Row],[Feedstock]]=SelectedFeedstock)</f>
        <v>0</v>
      </c>
      <c r="H1796" s="14" t="b">
        <f>OR(LCI_Table[[#This Row],[Conversion]]="All",LCI_Table[[#This Row],[Conversion]]=SelectedConversion)</f>
        <v>0</v>
      </c>
      <c r="I1796" s="14" t="b">
        <f>OR(LCI_Table[[#This Row],[Data Set]]="all",LCI_Table[[#This Row],[Data Set]]=SelectedDataSet)</f>
        <v>0</v>
      </c>
      <c r="J1796" s="14" t="b">
        <f>OR(LCI_Table[[#This Row],[Technology]]="All",LCI_Table[[#This Row],[Technology]]=SelectedTechnology)</f>
        <v>0</v>
      </c>
      <c r="K1796" s="14" t="b">
        <f>OR(LCI_Table[[#This Row],[Data Source]]="All",LCI_Table[[#This Row],[Data Source]]=SelectedDataSource)</f>
        <v>0</v>
      </c>
      <c r="L1796" s="14" t="b">
        <f>TRUE</f>
        <v>1</v>
      </c>
      <c r="M1796" s="14" t="b">
        <f>(LCI_Table[[#This Row],[Dev Notes]]="Do not display")</f>
        <v>0</v>
      </c>
      <c r="N1796" s="14" t="b">
        <f>AND(LCI_Table[[#This Row],[Show Feedstock]:[Conditional]],NOT(LCI_Table[[#This Row],[Hide Row]]))</f>
        <v>0</v>
      </c>
      <c r="O1796" s="14" t="b">
        <f>LCI_Table[[#This Row],[GREET1 Name Range]]=""</f>
        <v>0</v>
      </c>
      <c r="P1796" s="14" t="s">
        <v>428</v>
      </c>
      <c r="Q1796" s="14" t="s">
        <v>730</v>
      </c>
      <c r="R1796" s="14" t="s">
        <v>403</v>
      </c>
      <c r="S1796" s="37" cm="1">
        <f t="array" aca="1" ref="S17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0.25952200000000047</v>
      </c>
      <c r="T1796" s="346" t="s">
        <v>2133</v>
      </c>
      <c r="U1796" s="347">
        <f t="shared" ref="U1796" ca="1" si="79">S1796/g2lb</f>
        <v>117.71719904713999</v>
      </c>
      <c r="V1796" s="347">
        <v>0.25952200000000047</v>
      </c>
      <c r="W1796" s="347">
        <v>117.71719904713999</v>
      </c>
      <c r="X1796" s="14" t="s">
        <v>12</v>
      </c>
      <c r="Y1796" s="346" t="s">
        <v>892</v>
      </c>
      <c r="Z1796" s="14" t="str">
        <f>IF(ISBLANK(LCI_Table[[#This Row],[Notes for user]])," ",LCI_Table[[#This Row],[Notes for user]])</f>
        <v xml:space="preserve"> </v>
      </c>
      <c r="AA1796" s="14"/>
      <c r="AB1796" s="14"/>
      <c r="AC1796" s="346">
        <f ca="1">LCI_Table[[#This Row],[Default Calculated Value]]-LCI_Table[[#This Row],[Calculated Value]]</f>
        <v>0</v>
      </c>
    </row>
    <row r="1797" spans="1:29" x14ac:dyDescent="0.3">
      <c r="A17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MiscanthusATJ-ethanolICAOConsensusStandalone_Miscanthus_Fermentation_CaOQuicklime (CaO)</v>
      </c>
      <c r="B1797" s="14" t="s">
        <v>134</v>
      </c>
      <c r="C1797" s="14" t="s">
        <v>1964</v>
      </c>
      <c r="D1797" s="14" t="s">
        <v>194</v>
      </c>
      <c r="E1797" s="48" t="s">
        <v>1399</v>
      </c>
      <c r="F1797" s="48" t="s">
        <v>137</v>
      </c>
      <c r="G1797" s="14" t="b">
        <f>OR(LCI_Table[[#This Row],[Feedstock]]="All",LCI_Table[[#This Row],[Feedstock]]=SelectedFeedstock)</f>
        <v>0</v>
      </c>
      <c r="H1797" s="14" t="b">
        <f>OR(LCI_Table[[#This Row],[Conversion]]="All",LCI_Table[[#This Row],[Conversion]]=SelectedConversion)</f>
        <v>0</v>
      </c>
      <c r="I1797" s="14" t="b">
        <f>OR(LCI_Table[[#This Row],[Data Set]]="all",LCI_Table[[#This Row],[Data Set]]=SelectedDataSet)</f>
        <v>0</v>
      </c>
      <c r="J1797" s="14" t="b">
        <f>OR(LCI_Table[[#This Row],[Technology]]="All",LCI_Table[[#This Row],[Technology]]=SelectedTechnology)</f>
        <v>0</v>
      </c>
      <c r="K1797" s="14" t="b">
        <f>OR(LCI_Table[[#This Row],[Data Source]]="All",LCI_Table[[#This Row],[Data Source]]=SelectedDataSource)</f>
        <v>0</v>
      </c>
      <c r="L1797" s="14" t="b">
        <f>TRUE</f>
        <v>1</v>
      </c>
      <c r="M1797" s="14" t="b">
        <f>(LCI_Table[[#This Row],[Dev Notes]]="Do not display")</f>
        <v>0</v>
      </c>
      <c r="N1797" s="14" t="b">
        <f>AND(LCI_Table[[#This Row],[Show Feedstock]:[Conditional]],NOT(LCI_Table[[#This Row],[Hide Row]]))</f>
        <v>0</v>
      </c>
      <c r="O1797" s="14" t="b">
        <f>LCI_Table[[#This Row],[GREET1 Name Range]]=""</f>
        <v>0</v>
      </c>
      <c r="P1797" s="14" t="s">
        <v>428</v>
      </c>
      <c r="Q1797" s="14" t="s">
        <v>718</v>
      </c>
      <c r="R1797" s="14" t="s">
        <v>404</v>
      </c>
      <c r="S1797" s="37" cm="1">
        <f t="array" aca="1" ref="S17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0.16792600000000041</v>
      </c>
      <c r="T1797" s="346" t="s">
        <v>2133</v>
      </c>
      <c r="U1797" s="347">
        <f t="shared" ref="U1797" ca="1" si="80">S1797/g2lb</f>
        <v>76.169952324620027</v>
      </c>
      <c r="V1797" s="347">
        <v>0.16792600000000041</v>
      </c>
      <c r="W1797" s="347">
        <v>76.169952324620027</v>
      </c>
      <c r="X1797" s="14" t="s">
        <v>12</v>
      </c>
      <c r="Y1797" s="346" t="s">
        <v>892</v>
      </c>
      <c r="Z1797" s="14" t="str">
        <f>IF(ISBLANK(LCI_Table[[#This Row],[Notes for user]])," ",LCI_Table[[#This Row],[Notes for user]])</f>
        <v xml:space="preserve"> </v>
      </c>
      <c r="AA1797" s="14"/>
      <c r="AB1797" s="14"/>
      <c r="AC1797" s="346">
        <f ca="1">LCI_Table[[#This Row],[Default Calculated Value]]-LCI_Table[[#This Row],[Calculated Value]]</f>
        <v>0</v>
      </c>
    </row>
    <row r="1798" spans="1:29" x14ac:dyDescent="0.3">
      <c r="A17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MiscanthusATJ-ethanolICAOConsensusStandalone_Miscanthus_Fermentation_UreaUrea</v>
      </c>
      <c r="B1798" s="14" t="s">
        <v>134</v>
      </c>
      <c r="C1798" s="14" t="s">
        <v>1964</v>
      </c>
      <c r="D1798" s="14" t="s">
        <v>194</v>
      </c>
      <c r="E1798" s="48" t="s">
        <v>1399</v>
      </c>
      <c r="F1798" s="48" t="s">
        <v>137</v>
      </c>
      <c r="G1798" s="14" t="b">
        <f>OR(LCI_Table[[#This Row],[Feedstock]]="All",LCI_Table[[#This Row],[Feedstock]]=SelectedFeedstock)</f>
        <v>0</v>
      </c>
      <c r="H1798" s="14" t="b">
        <f>OR(LCI_Table[[#This Row],[Conversion]]="All",LCI_Table[[#This Row],[Conversion]]=SelectedConversion)</f>
        <v>0</v>
      </c>
      <c r="I1798" s="14" t="b">
        <f>OR(LCI_Table[[#This Row],[Data Set]]="all",LCI_Table[[#This Row],[Data Set]]=SelectedDataSet)</f>
        <v>0</v>
      </c>
      <c r="J1798" s="14" t="b">
        <f>OR(LCI_Table[[#This Row],[Technology]]="All",LCI_Table[[#This Row],[Technology]]=SelectedTechnology)</f>
        <v>0</v>
      </c>
      <c r="K1798" s="14" t="b">
        <f>OR(LCI_Table[[#This Row],[Data Source]]="All",LCI_Table[[#This Row],[Data Source]]=SelectedDataSource)</f>
        <v>0</v>
      </c>
      <c r="L1798" s="14" t="b">
        <f>TRUE</f>
        <v>1</v>
      </c>
      <c r="M1798" s="14" t="b">
        <f>(LCI_Table[[#This Row],[Dev Notes]]="Do not display")</f>
        <v>0</v>
      </c>
      <c r="N1798" s="14" t="b">
        <f>AND(LCI_Table[[#This Row],[Show Feedstock]:[Conditional]],NOT(LCI_Table[[#This Row],[Hide Row]]))</f>
        <v>0</v>
      </c>
      <c r="O1798" s="14" t="b">
        <f>LCI_Table[[#This Row],[GREET1 Name Range]]=""</f>
        <v>0</v>
      </c>
      <c r="P1798" s="14" t="s">
        <v>428</v>
      </c>
      <c r="Q1798" s="14" t="s">
        <v>735</v>
      </c>
      <c r="R1798" s="14" t="s">
        <v>144</v>
      </c>
      <c r="S1798" s="37" cm="1">
        <f t="array" aca="1" ref="S17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4.5798000000000082E-2</v>
      </c>
      <c r="T1798" s="346" t="s">
        <v>2133</v>
      </c>
      <c r="U1798" s="347">
        <f t="shared" ref="U1798" ca="1" si="81">S1798/g2lb</f>
        <v>20.773623361259997</v>
      </c>
      <c r="V1798" s="347">
        <v>4.5798000000000082E-2</v>
      </c>
      <c r="W1798" s="347">
        <v>20.773623361259997</v>
      </c>
      <c r="X1798" s="14" t="s">
        <v>12</v>
      </c>
      <c r="Y1798" s="346" t="s">
        <v>892</v>
      </c>
      <c r="Z1798" s="14" t="str">
        <f>IF(ISBLANK(LCI_Table[[#This Row],[Notes for user]])," ",LCI_Table[[#This Row],[Notes for user]])</f>
        <v xml:space="preserve"> </v>
      </c>
      <c r="AA1798" s="14"/>
      <c r="AB1798" s="14"/>
      <c r="AC1798" s="346">
        <f ca="1">LCI_Table[[#This Row],[Default Calculated Value]]-LCI_Table[[#This Row],[Calculated Value]]</f>
        <v>0</v>
      </c>
    </row>
    <row r="1799" spans="1:29" x14ac:dyDescent="0.3">
      <c r="A17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MiscanthusATJ-ethanolICAOConsensusStandalone_Miscanthus_Fermentation_Residual_oilResidual oil</v>
      </c>
      <c r="B1799" s="14" t="s">
        <v>134</v>
      </c>
      <c r="C1799" s="14" t="s">
        <v>1964</v>
      </c>
      <c r="D1799" s="14" t="s">
        <v>194</v>
      </c>
      <c r="E1799" s="48" t="s">
        <v>1399</v>
      </c>
      <c r="F1799" s="48" t="s">
        <v>137</v>
      </c>
      <c r="G1799" s="14" t="b">
        <f>OR(LCI_Table[[#This Row],[Feedstock]]="All",LCI_Table[[#This Row],[Feedstock]]=SelectedFeedstock)</f>
        <v>0</v>
      </c>
      <c r="H1799" s="14" t="b">
        <f>OR(LCI_Table[[#This Row],[Conversion]]="All",LCI_Table[[#This Row],[Conversion]]=SelectedConversion)</f>
        <v>0</v>
      </c>
      <c r="I1799" s="14" t="b">
        <f>OR(LCI_Table[[#This Row],[Data Set]]="all",LCI_Table[[#This Row],[Data Set]]=SelectedDataSet)</f>
        <v>0</v>
      </c>
      <c r="J1799" s="14" t="b">
        <f>OR(LCI_Table[[#This Row],[Technology]]="All",LCI_Table[[#This Row],[Technology]]=SelectedTechnology)</f>
        <v>0</v>
      </c>
      <c r="K1799" s="14" t="b">
        <f>OR(LCI_Table[[#This Row],[Data Source]]="All",LCI_Table[[#This Row],[Data Source]]=SelectedDataSource)</f>
        <v>0</v>
      </c>
      <c r="L1799" s="14" t="b">
        <f>TRUE</f>
        <v>1</v>
      </c>
      <c r="M1799" s="14" t="b">
        <f>(LCI_Table[[#This Row],[Dev Notes]]="Do not display")</f>
        <v>0</v>
      </c>
      <c r="N1799" s="14" t="b">
        <f>AND(LCI_Table[[#This Row],[Show Feedstock]:[Conditional]],NOT(LCI_Table[[#This Row],[Hide Row]]))</f>
        <v>0</v>
      </c>
      <c r="O1799" s="14" t="b">
        <f>LCI_Table[[#This Row],[GREET1 Name Range]]=""</f>
        <v>0</v>
      </c>
      <c r="P1799" s="14" t="s">
        <v>428</v>
      </c>
      <c r="Q1799" s="14" t="s">
        <v>732</v>
      </c>
      <c r="R1799" s="14" t="s">
        <v>115</v>
      </c>
      <c r="S1799" s="37" cm="1">
        <f t="array" aca="1" ref="S17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799" s="346" t="s">
        <v>2134</v>
      </c>
      <c r="U1799" s="347">
        <f ca="1">S1799*Fuel_Specs!$B$28/Fuel_Specs!$B$31/BTU2MJ</f>
        <v>0</v>
      </c>
      <c r="V1799" s="347">
        <v>0</v>
      </c>
      <c r="W1799" s="347">
        <v>0</v>
      </c>
      <c r="X1799" s="14" t="s">
        <v>5</v>
      </c>
      <c r="Y1799" s="346" t="s">
        <v>892</v>
      </c>
      <c r="Z1799" s="14" t="str">
        <f>IF(ISBLANK(LCI_Table[[#This Row],[Notes for user]])," ",LCI_Table[[#This Row],[Notes for user]])</f>
        <v xml:space="preserve"> </v>
      </c>
      <c r="AA1799" s="14"/>
      <c r="AB1799" s="14"/>
      <c r="AC1799" s="346">
        <f ca="1">LCI_Table[[#This Row],[Default Calculated Value]]-LCI_Table[[#This Row],[Calculated Value]]</f>
        <v>0</v>
      </c>
    </row>
    <row r="1800" spans="1:29" x14ac:dyDescent="0.3">
      <c r="A18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MiscanthusATJ-ethanolICAOConsensusStandalone_Miscanthus_Fermentation_DieselDiesel</v>
      </c>
      <c r="B1800" s="14" t="s">
        <v>134</v>
      </c>
      <c r="C1800" s="14" t="s">
        <v>1964</v>
      </c>
      <c r="D1800" s="14" t="s">
        <v>194</v>
      </c>
      <c r="E1800" s="48" t="s">
        <v>1399</v>
      </c>
      <c r="F1800" s="48" t="s">
        <v>137</v>
      </c>
      <c r="G1800" s="14" t="b">
        <f>OR(LCI_Table[[#This Row],[Feedstock]]="All",LCI_Table[[#This Row],[Feedstock]]=SelectedFeedstock)</f>
        <v>0</v>
      </c>
      <c r="H1800" s="14" t="b">
        <f>OR(LCI_Table[[#This Row],[Conversion]]="All",LCI_Table[[#This Row],[Conversion]]=SelectedConversion)</f>
        <v>0</v>
      </c>
      <c r="I1800" s="14" t="b">
        <f>OR(LCI_Table[[#This Row],[Data Set]]="all",LCI_Table[[#This Row],[Data Set]]=SelectedDataSet)</f>
        <v>0</v>
      </c>
      <c r="J1800" s="14" t="b">
        <f>OR(LCI_Table[[#This Row],[Technology]]="All",LCI_Table[[#This Row],[Technology]]=SelectedTechnology)</f>
        <v>0</v>
      </c>
      <c r="K1800" s="14" t="b">
        <f>OR(LCI_Table[[#This Row],[Data Source]]="All",LCI_Table[[#This Row],[Data Source]]=SelectedDataSource)</f>
        <v>0</v>
      </c>
      <c r="L1800" s="14" t="b">
        <f>TRUE</f>
        <v>1</v>
      </c>
      <c r="M1800" s="14" t="b">
        <f>(LCI_Table[[#This Row],[Dev Notes]]="Do not display")</f>
        <v>0</v>
      </c>
      <c r="N1800" s="14" t="b">
        <f>AND(LCI_Table[[#This Row],[Show Feedstock]:[Conditional]],NOT(LCI_Table[[#This Row],[Hide Row]]))</f>
        <v>0</v>
      </c>
      <c r="O1800" s="14" t="b">
        <f>LCI_Table[[#This Row],[GREET1 Name Range]]=""</f>
        <v>0</v>
      </c>
      <c r="P1800" s="14" t="s">
        <v>428</v>
      </c>
      <c r="Q1800" s="14" t="s">
        <v>723</v>
      </c>
      <c r="R1800" s="14" t="s">
        <v>106</v>
      </c>
      <c r="S1800" s="37" cm="1">
        <f t="array" aca="1" ref="S18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1.4013234721681588E-3</v>
      </c>
      <c r="T1800" s="346" t="s">
        <v>2134</v>
      </c>
      <c r="U1800" s="347">
        <f ca="1">S1800*Fuel_Specs!$B$19</f>
        <v>180</v>
      </c>
      <c r="V1800" s="347">
        <v>1.4013234721681588E-3</v>
      </c>
      <c r="W1800" s="347">
        <v>180</v>
      </c>
      <c r="X1800" s="14" t="s">
        <v>5</v>
      </c>
      <c r="Y1800" s="346" t="s">
        <v>892</v>
      </c>
      <c r="Z1800" s="14" t="str">
        <f>IF(ISBLANK(LCI_Table[[#This Row],[Notes for user]])," ",LCI_Table[[#This Row],[Notes for user]])</f>
        <v xml:space="preserve"> </v>
      </c>
      <c r="AA1800" s="14"/>
      <c r="AB1800" s="14"/>
      <c r="AC1800" s="346">
        <f ca="1">LCI_Table[[#This Row],[Default Calculated Value]]-LCI_Table[[#This Row],[Calculated Value]]</f>
        <v>0</v>
      </c>
    </row>
    <row r="1801" spans="1:29" x14ac:dyDescent="0.3">
      <c r="A18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MiscanthusATJ-ethanolICAOConsensusStandalone_Miscanthus_Fermentation_GasolineGasoline</v>
      </c>
      <c r="B1801" s="14" t="s">
        <v>134</v>
      </c>
      <c r="C1801" s="14" t="s">
        <v>1964</v>
      </c>
      <c r="D1801" s="14" t="s">
        <v>194</v>
      </c>
      <c r="E1801" s="48" t="s">
        <v>1399</v>
      </c>
      <c r="F1801" s="48" t="s">
        <v>137</v>
      </c>
      <c r="G1801" s="14" t="b">
        <f>OR(LCI_Table[[#This Row],[Feedstock]]="All",LCI_Table[[#This Row],[Feedstock]]=SelectedFeedstock)</f>
        <v>0</v>
      </c>
      <c r="H1801" s="14" t="b">
        <f>OR(LCI_Table[[#This Row],[Conversion]]="All",LCI_Table[[#This Row],[Conversion]]=SelectedConversion)</f>
        <v>0</v>
      </c>
      <c r="I1801" s="14" t="b">
        <f>OR(LCI_Table[[#This Row],[Data Set]]="all",LCI_Table[[#This Row],[Data Set]]=SelectedDataSet)</f>
        <v>0</v>
      </c>
      <c r="J1801" s="14" t="b">
        <f>OR(LCI_Table[[#This Row],[Technology]]="All",LCI_Table[[#This Row],[Technology]]=SelectedTechnology)</f>
        <v>0</v>
      </c>
      <c r="K1801" s="14" t="b">
        <f>OR(LCI_Table[[#This Row],[Data Source]]="All",LCI_Table[[#This Row],[Data Source]]=SelectedDataSource)</f>
        <v>0</v>
      </c>
      <c r="L1801" s="14" t="b">
        <f>TRUE</f>
        <v>1</v>
      </c>
      <c r="M1801" s="14" t="b">
        <f>(LCI_Table[[#This Row],[Dev Notes]]="Do not display")</f>
        <v>0</v>
      </c>
      <c r="N1801" s="14" t="b">
        <f>AND(LCI_Table[[#This Row],[Show Feedstock]:[Conditional]],NOT(LCI_Table[[#This Row],[Hide Row]]))</f>
        <v>0</v>
      </c>
      <c r="O1801" s="14" t="b">
        <f>LCI_Table[[#This Row],[GREET1 Name Range]]=""</f>
        <v>0</v>
      </c>
      <c r="P1801" s="14" t="s">
        <v>428</v>
      </c>
      <c r="Q1801" s="14" t="s">
        <v>725</v>
      </c>
      <c r="R1801" s="14" t="s">
        <v>107</v>
      </c>
      <c r="S1801" s="37" cm="1">
        <f t="array" aca="1" ref="S18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01" s="346" t="s">
        <v>2134</v>
      </c>
      <c r="U1801" s="347">
        <f ca="1">S1801*Fuel_Specs!$B$15/Fuel_Specs!$B$31/BTU2MJ</f>
        <v>0</v>
      </c>
      <c r="V1801" s="347">
        <v>0</v>
      </c>
      <c r="W1801" s="347">
        <v>0</v>
      </c>
      <c r="X1801" s="37" t="s">
        <v>5</v>
      </c>
      <c r="Y1801" s="346" t="s">
        <v>892</v>
      </c>
      <c r="Z1801" s="14" t="str">
        <f>IF(ISBLANK(LCI_Table[[#This Row],[Notes for user]])," ",LCI_Table[[#This Row],[Notes for user]])</f>
        <v xml:space="preserve"> </v>
      </c>
      <c r="AA1801" s="14"/>
      <c r="AB1801" s="14"/>
      <c r="AC1801" s="346">
        <f ca="1">LCI_Table[[#This Row],[Default Calculated Value]]-LCI_Table[[#This Row],[Calculated Value]]</f>
        <v>0</v>
      </c>
    </row>
    <row r="1802" spans="1:29" x14ac:dyDescent="0.3">
      <c r="A18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MiscanthusATJ-ethanolICAOConsensusStandalone_Miscanthus_Fermentation_Natural_gasNatural gas</v>
      </c>
      <c r="B1802" s="14" t="s">
        <v>134</v>
      </c>
      <c r="C1802" s="14" t="s">
        <v>1964</v>
      </c>
      <c r="D1802" s="14" t="s">
        <v>194</v>
      </c>
      <c r="E1802" s="48" t="s">
        <v>1399</v>
      </c>
      <c r="F1802" s="48" t="s">
        <v>137</v>
      </c>
      <c r="G1802" s="14" t="b">
        <f>OR(LCI_Table[[#This Row],[Feedstock]]="All",LCI_Table[[#This Row],[Feedstock]]=SelectedFeedstock)</f>
        <v>0</v>
      </c>
      <c r="H1802" s="14" t="b">
        <f>OR(LCI_Table[[#This Row],[Conversion]]="All",LCI_Table[[#This Row],[Conversion]]=SelectedConversion)</f>
        <v>0</v>
      </c>
      <c r="I1802" s="14" t="b">
        <f>OR(LCI_Table[[#This Row],[Data Set]]="all",LCI_Table[[#This Row],[Data Set]]=SelectedDataSet)</f>
        <v>0</v>
      </c>
      <c r="J1802" s="14" t="b">
        <f>OR(LCI_Table[[#This Row],[Technology]]="All",LCI_Table[[#This Row],[Technology]]=SelectedTechnology)</f>
        <v>0</v>
      </c>
      <c r="K1802" s="14" t="b">
        <f>OR(LCI_Table[[#This Row],[Data Source]]="All",LCI_Table[[#This Row],[Data Source]]=SelectedDataSource)</f>
        <v>0</v>
      </c>
      <c r="L1802" s="14" t="b">
        <f>TRUE</f>
        <v>1</v>
      </c>
      <c r="M1802" s="14" t="b">
        <f>(LCI_Table[[#This Row],[Dev Notes]]="Do not display")</f>
        <v>0</v>
      </c>
      <c r="N1802" s="14" t="b">
        <f>AND(LCI_Table[[#This Row],[Show Feedstock]:[Conditional]],NOT(LCI_Table[[#This Row],[Hide Row]]))</f>
        <v>0</v>
      </c>
      <c r="O1802" s="14" t="b">
        <f>LCI_Table[[#This Row],[GREET1 Name Range]]=""</f>
        <v>0</v>
      </c>
      <c r="P1802" s="14" t="s">
        <v>428</v>
      </c>
      <c r="Q1802" s="14" t="s">
        <v>731</v>
      </c>
      <c r="R1802" s="14" t="s">
        <v>108</v>
      </c>
      <c r="S1802" s="37" cm="1">
        <f t="array" aca="1" ref="S18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02" s="346" t="s">
        <v>2135</v>
      </c>
      <c r="U1802" s="347">
        <f ca="1">S1802*Fuel_Specs!$B$79/Fuel_Specs!$B$31/BTU2MJ</f>
        <v>0</v>
      </c>
      <c r="V1802" s="347">
        <v>0</v>
      </c>
      <c r="W1802" s="347">
        <v>0</v>
      </c>
      <c r="X1802" s="14" t="s">
        <v>351</v>
      </c>
      <c r="Y1802" s="346" t="s">
        <v>892</v>
      </c>
      <c r="Z1802" s="14" t="str">
        <f>IF(ISBLANK(LCI_Table[[#This Row],[Notes for user]])," ",LCI_Table[[#This Row],[Notes for user]])</f>
        <v xml:space="preserve"> </v>
      </c>
      <c r="AA1802" s="14"/>
      <c r="AB1802" s="14"/>
      <c r="AC1802" s="346">
        <f ca="1">LCI_Table[[#This Row],[Default Calculated Value]]-LCI_Table[[#This Row],[Calculated Value]]</f>
        <v>0</v>
      </c>
    </row>
    <row r="1803" spans="1:29" x14ac:dyDescent="0.3">
      <c r="A18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MiscanthusATJ-ethanolICAOConsensusStandalone_Miscanthus_Fermentation_CoalCoal</v>
      </c>
      <c r="B1803" s="14" t="s">
        <v>134</v>
      </c>
      <c r="C1803" s="14" t="s">
        <v>1964</v>
      </c>
      <c r="D1803" s="14" t="s">
        <v>194</v>
      </c>
      <c r="E1803" s="48" t="s">
        <v>1399</v>
      </c>
      <c r="F1803" s="48" t="s">
        <v>137</v>
      </c>
      <c r="G1803" s="14" t="b">
        <f>OR(LCI_Table[[#This Row],[Feedstock]]="All",LCI_Table[[#This Row],[Feedstock]]=SelectedFeedstock)</f>
        <v>0</v>
      </c>
      <c r="H1803" s="14" t="b">
        <f>OR(LCI_Table[[#This Row],[Conversion]]="All",LCI_Table[[#This Row],[Conversion]]=SelectedConversion)</f>
        <v>0</v>
      </c>
      <c r="I1803" s="14" t="b">
        <f>OR(LCI_Table[[#This Row],[Data Set]]="all",LCI_Table[[#This Row],[Data Set]]=SelectedDataSet)</f>
        <v>0</v>
      </c>
      <c r="J1803" s="14" t="b">
        <f>OR(LCI_Table[[#This Row],[Technology]]="All",LCI_Table[[#This Row],[Technology]]=SelectedTechnology)</f>
        <v>0</v>
      </c>
      <c r="K1803" s="14" t="b">
        <f>OR(LCI_Table[[#This Row],[Data Source]]="All",LCI_Table[[#This Row],[Data Source]]=SelectedDataSource)</f>
        <v>0</v>
      </c>
      <c r="L1803" s="14" t="b">
        <f>TRUE</f>
        <v>1</v>
      </c>
      <c r="M1803" s="14" t="b">
        <f>(LCI_Table[[#This Row],[Dev Notes]]="Do not display")</f>
        <v>0</v>
      </c>
      <c r="N1803" s="14" t="b">
        <f>AND(LCI_Table[[#This Row],[Show Feedstock]:[Conditional]],NOT(LCI_Table[[#This Row],[Hide Row]]))</f>
        <v>0</v>
      </c>
      <c r="O1803" s="14" t="b">
        <f>LCI_Table[[#This Row],[GREET1 Name Range]]=""</f>
        <v>0</v>
      </c>
      <c r="P1803" s="14" t="s">
        <v>428</v>
      </c>
      <c r="Q1803" s="14" t="s">
        <v>720</v>
      </c>
      <c r="R1803" s="14" t="s">
        <v>9</v>
      </c>
      <c r="S1803" s="37" cm="1">
        <f t="array" aca="1" ref="S18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03" s="346" t="s">
        <v>2136</v>
      </c>
      <c r="U1803" s="347">
        <f ca="1">S1803/Fuel_Specs!$B$31/BTU2MJ</f>
        <v>0</v>
      </c>
      <c r="V1803" s="347">
        <v>0</v>
      </c>
      <c r="W1803" s="347">
        <v>0</v>
      </c>
      <c r="X1803" s="37" t="s">
        <v>117</v>
      </c>
      <c r="Y1803" s="346" t="s">
        <v>892</v>
      </c>
      <c r="Z1803" s="14" t="str">
        <f>IF(ISBLANK(LCI_Table[[#This Row],[Notes for user]])," ",LCI_Table[[#This Row],[Notes for user]])</f>
        <v xml:space="preserve"> </v>
      </c>
      <c r="AA1803" s="14"/>
      <c r="AB1803" s="14"/>
      <c r="AC1803" s="346">
        <f ca="1">LCI_Table[[#This Row],[Default Calculated Value]]-LCI_Table[[#This Row],[Calculated Value]]</f>
        <v>0</v>
      </c>
    </row>
    <row r="1804" spans="1:29" x14ac:dyDescent="0.3">
      <c r="A18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MiscanthusATJ-ethanolICAOConsensusStandalone_Miscanthus_Fermentation_LPGLPG</v>
      </c>
      <c r="B1804" s="14" t="s">
        <v>134</v>
      </c>
      <c r="C1804" s="14" t="s">
        <v>1964</v>
      </c>
      <c r="D1804" s="14" t="s">
        <v>194</v>
      </c>
      <c r="E1804" s="48" t="s">
        <v>1399</v>
      </c>
      <c r="F1804" s="48" t="s">
        <v>137</v>
      </c>
      <c r="G1804" s="14" t="b">
        <f>OR(LCI_Table[[#This Row],[Feedstock]]="All",LCI_Table[[#This Row],[Feedstock]]=SelectedFeedstock)</f>
        <v>0</v>
      </c>
      <c r="H1804" s="14" t="b">
        <f>OR(LCI_Table[[#This Row],[Conversion]]="All",LCI_Table[[#This Row],[Conversion]]=SelectedConversion)</f>
        <v>0</v>
      </c>
      <c r="I1804" s="14" t="b">
        <f>OR(LCI_Table[[#This Row],[Data Set]]="all",LCI_Table[[#This Row],[Data Set]]=SelectedDataSet)</f>
        <v>0</v>
      </c>
      <c r="J1804" s="14" t="b">
        <f>OR(LCI_Table[[#This Row],[Technology]]="All",LCI_Table[[#This Row],[Technology]]=SelectedTechnology)</f>
        <v>0</v>
      </c>
      <c r="K1804" s="14" t="b">
        <f>OR(LCI_Table[[#This Row],[Data Source]]="All",LCI_Table[[#This Row],[Data Source]]=SelectedDataSource)</f>
        <v>0</v>
      </c>
      <c r="L1804" s="14" t="b">
        <f>TRUE</f>
        <v>1</v>
      </c>
      <c r="M1804" s="14" t="b">
        <f>(LCI_Table[[#This Row],[Dev Notes]]="Do not display")</f>
        <v>0</v>
      </c>
      <c r="N1804" s="14" t="b">
        <f>AND(LCI_Table[[#This Row],[Show Feedstock]:[Conditional]],NOT(LCI_Table[[#This Row],[Hide Row]]))</f>
        <v>0</v>
      </c>
      <c r="O1804" s="14" t="b">
        <f>LCI_Table[[#This Row],[GREET1 Name Range]]=""</f>
        <v>0</v>
      </c>
      <c r="P1804" s="14" t="s">
        <v>428</v>
      </c>
      <c r="Q1804" s="14" t="s">
        <v>728</v>
      </c>
      <c r="R1804" s="14" t="s">
        <v>109</v>
      </c>
      <c r="S1804" s="37" cm="1">
        <f t="array" aca="1" ref="S18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04" s="346" t="s">
        <v>2134</v>
      </c>
      <c r="U1804" s="347">
        <f ca="1">S1804*Fuel_Specs!$B$35/Fuel_Specs!$B$31/BTU2MJ</f>
        <v>0</v>
      </c>
      <c r="V1804" s="347">
        <v>0</v>
      </c>
      <c r="W1804" s="347">
        <v>0</v>
      </c>
      <c r="X1804" s="37" t="s">
        <v>5</v>
      </c>
      <c r="Y1804" s="346" t="s">
        <v>892</v>
      </c>
      <c r="Z1804" s="14" t="str">
        <f>IF(ISBLANK(LCI_Table[[#This Row],[Notes for user]])," ",LCI_Table[[#This Row],[Notes for user]])</f>
        <v xml:space="preserve"> </v>
      </c>
      <c r="AA1804" s="14"/>
      <c r="AB1804" s="14"/>
      <c r="AC1804" s="346">
        <f ca="1">LCI_Table[[#This Row],[Default Calculated Value]]-LCI_Table[[#This Row],[Calculated Value]]</f>
        <v>0</v>
      </c>
    </row>
    <row r="1805" spans="1:29" x14ac:dyDescent="0.3">
      <c r="A18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MiscanthusATJ-ethanolICAOConsensusStandalone_Miscanthus_Fermentation_BiomassBiomass</v>
      </c>
      <c r="B1805" s="14" t="s">
        <v>134</v>
      </c>
      <c r="C1805" s="14" t="s">
        <v>1964</v>
      </c>
      <c r="D1805" s="14" t="s">
        <v>194</v>
      </c>
      <c r="E1805" s="48" t="s">
        <v>1399</v>
      </c>
      <c r="F1805" s="48" t="s">
        <v>137</v>
      </c>
      <c r="G1805" s="14" t="b">
        <f>OR(LCI_Table[[#This Row],[Feedstock]]="All",LCI_Table[[#This Row],[Feedstock]]=SelectedFeedstock)</f>
        <v>0</v>
      </c>
      <c r="H1805" s="14" t="b">
        <f>OR(LCI_Table[[#This Row],[Conversion]]="All",LCI_Table[[#This Row],[Conversion]]=SelectedConversion)</f>
        <v>0</v>
      </c>
      <c r="I1805" s="14" t="b">
        <f>OR(LCI_Table[[#This Row],[Data Set]]="all",LCI_Table[[#This Row],[Data Set]]=SelectedDataSet)</f>
        <v>0</v>
      </c>
      <c r="J1805" s="14" t="b">
        <f>OR(LCI_Table[[#This Row],[Technology]]="All",LCI_Table[[#This Row],[Technology]]=SelectedTechnology)</f>
        <v>0</v>
      </c>
      <c r="K1805" s="14" t="b">
        <f>OR(LCI_Table[[#This Row],[Data Source]]="All",LCI_Table[[#This Row],[Data Source]]=SelectedDataSource)</f>
        <v>0</v>
      </c>
      <c r="L1805" s="14" t="b">
        <f>TRUE</f>
        <v>1</v>
      </c>
      <c r="M1805" s="14" t="b">
        <f>(LCI_Table[[#This Row],[Dev Notes]]="Do not display")</f>
        <v>0</v>
      </c>
      <c r="N1805" s="14" t="b">
        <f>AND(LCI_Table[[#This Row],[Show Feedstock]:[Conditional]],NOT(LCI_Table[[#This Row],[Hide Row]]))</f>
        <v>0</v>
      </c>
      <c r="O1805" s="14" t="b">
        <f>LCI_Table[[#This Row],[GREET1 Name Range]]=""</f>
        <v>0</v>
      </c>
      <c r="P1805" s="14" t="s">
        <v>428</v>
      </c>
      <c r="Q1805" s="14" t="s">
        <v>1411</v>
      </c>
      <c r="R1805" s="14" t="s">
        <v>1410</v>
      </c>
      <c r="S1805" s="37" cm="1">
        <f t="array" aca="1" ref="S18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05" s="346" t="s">
        <v>2133</v>
      </c>
      <c r="U1805" s="347">
        <f ca="1">S1805*Fuel_Specs!$B$100*ton2lb/Fuel_Specs!$B$31/BTU2MJ</f>
        <v>0</v>
      </c>
      <c r="V1805" s="347">
        <v>0</v>
      </c>
      <c r="W1805" s="347">
        <v>0</v>
      </c>
      <c r="X1805" s="37" t="s">
        <v>12</v>
      </c>
      <c r="Y1805" s="346" t="s">
        <v>892</v>
      </c>
      <c r="Z1805" s="14" t="str">
        <f>IF(ISBLANK(LCI_Table[[#This Row],[Notes for user]])," ",LCI_Table[[#This Row],[Notes for user]])</f>
        <v xml:space="preserve"> </v>
      </c>
      <c r="AA1805" s="14"/>
      <c r="AB1805" s="14"/>
      <c r="AC1805" s="346">
        <f ca="1">LCI_Table[[#This Row],[Default Calculated Value]]-LCI_Table[[#This Row],[Calculated Value]]</f>
        <v>0</v>
      </c>
    </row>
    <row r="1806" spans="1:29" x14ac:dyDescent="0.3">
      <c r="A18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MiscanthusATJ-ethanolICAOConsensusStandalone_Miscanthus_Fermentation_ElectricityElectricity</v>
      </c>
      <c r="B1806" s="14" t="s">
        <v>134</v>
      </c>
      <c r="C1806" s="14" t="s">
        <v>1964</v>
      </c>
      <c r="D1806" s="14" t="s">
        <v>194</v>
      </c>
      <c r="E1806" s="48" t="s">
        <v>1399</v>
      </c>
      <c r="F1806" s="48" t="s">
        <v>137</v>
      </c>
      <c r="G1806" s="14" t="b">
        <f>OR(LCI_Table[[#This Row],[Feedstock]]="All",LCI_Table[[#This Row],[Feedstock]]=SelectedFeedstock)</f>
        <v>0</v>
      </c>
      <c r="H1806" s="14" t="b">
        <f>OR(LCI_Table[[#This Row],[Conversion]]="All",LCI_Table[[#This Row],[Conversion]]=SelectedConversion)</f>
        <v>0</v>
      </c>
      <c r="I1806" s="14" t="b">
        <f>OR(LCI_Table[[#This Row],[Data Set]]="all",LCI_Table[[#This Row],[Data Set]]=SelectedDataSet)</f>
        <v>0</v>
      </c>
      <c r="J1806" s="14" t="b">
        <f>OR(LCI_Table[[#This Row],[Technology]]="All",LCI_Table[[#This Row],[Technology]]=SelectedTechnology)</f>
        <v>0</v>
      </c>
      <c r="K1806" s="14" t="b">
        <f>OR(LCI_Table[[#This Row],[Data Source]]="All",LCI_Table[[#This Row],[Data Source]]=SelectedDataSource)</f>
        <v>0</v>
      </c>
      <c r="L1806" s="14" t="b">
        <f>TRUE</f>
        <v>1</v>
      </c>
      <c r="M1806" s="14" t="b">
        <f>(LCI_Table[[#This Row],[Dev Notes]]="Do not display")</f>
        <v>0</v>
      </c>
      <c r="N1806" s="14" t="b">
        <f>AND(LCI_Table[[#This Row],[Show Feedstock]:[Conditional]],NOT(LCI_Table[[#This Row],[Hide Row]]))</f>
        <v>0</v>
      </c>
      <c r="O1806" s="14" t="b">
        <f>LCI_Table[[#This Row],[GREET1 Name Range]]=""</f>
        <v>0</v>
      </c>
      <c r="P1806" s="14" t="s">
        <v>428</v>
      </c>
      <c r="Q1806" s="14" t="s">
        <v>724</v>
      </c>
      <c r="R1806" s="348" t="s">
        <v>110</v>
      </c>
      <c r="S1806" s="37" cm="1">
        <f t="array" aca="1" ref="S18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06" s="346" t="s">
        <v>2137</v>
      </c>
      <c r="U1806" s="347">
        <f ca="1">S1806/BTU2kWh/Fuel_Specs!$B$31/BTU2MJ</f>
        <v>0</v>
      </c>
      <c r="V1806" s="347">
        <v>0</v>
      </c>
      <c r="W1806" s="347">
        <v>0</v>
      </c>
      <c r="X1806" s="14" t="s">
        <v>51</v>
      </c>
      <c r="Y1806" s="346" t="s">
        <v>892</v>
      </c>
      <c r="Z1806" s="14" t="str">
        <f>IF(ISBLANK(LCI_Table[[#This Row],[Notes for user]])," ",LCI_Table[[#This Row],[Notes for user]])</f>
        <v xml:space="preserve"> </v>
      </c>
      <c r="AA1806" s="14"/>
      <c r="AB1806" s="14"/>
      <c r="AC1806" s="346">
        <f ca="1">LCI_Table[[#This Row],[Default Calculated Value]]-LCI_Table[[#This Row],[Calculated Value]]</f>
        <v>0</v>
      </c>
    </row>
    <row r="1807" spans="1:29" x14ac:dyDescent="0.3">
      <c r="A18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MiscanthusATJ-ethanolICAOConsensusStandalone_Miscanthus_Fermentation_RNGRenewable natural gas</v>
      </c>
      <c r="B1807" s="14" t="s">
        <v>134</v>
      </c>
      <c r="C1807" s="14" t="s">
        <v>1964</v>
      </c>
      <c r="D1807" s="14" t="s">
        <v>194</v>
      </c>
      <c r="E1807" s="48" t="s">
        <v>1399</v>
      </c>
      <c r="F1807" s="48" t="s">
        <v>137</v>
      </c>
      <c r="G1807" s="14" t="b">
        <f>OR(LCI_Table[[#This Row],[Feedstock]]="All",LCI_Table[[#This Row],[Feedstock]]=SelectedFeedstock)</f>
        <v>0</v>
      </c>
      <c r="H1807" s="14" t="b">
        <f>OR(LCI_Table[[#This Row],[Conversion]]="All",LCI_Table[[#This Row],[Conversion]]=SelectedConversion)</f>
        <v>0</v>
      </c>
      <c r="I1807" s="14" t="b">
        <f>OR(LCI_Table[[#This Row],[Data Set]]="all",LCI_Table[[#This Row],[Data Set]]=SelectedDataSet)</f>
        <v>0</v>
      </c>
      <c r="J1807" s="14" t="b">
        <f>OR(LCI_Table[[#This Row],[Technology]]="All",LCI_Table[[#This Row],[Technology]]=SelectedTechnology)</f>
        <v>0</v>
      </c>
      <c r="K1807" s="14" t="b">
        <f>OR(LCI_Table[[#This Row],[Data Source]]="All",LCI_Table[[#This Row],[Data Source]]=SelectedDataSource)</f>
        <v>0</v>
      </c>
      <c r="L1807" s="14" t="b">
        <f>TRUE</f>
        <v>1</v>
      </c>
      <c r="M1807" s="14" t="b">
        <f>(LCI_Table[[#This Row],[Dev Notes]]="Do not display")</f>
        <v>0</v>
      </c>
      <c r="N1807" s="14" t="b">
        <f>AND(LCI_Table[[#This Row],[Show Feedstock]:[Conditional]],NOT(LCI_Table[[#This Row],[Hide Row]]))</f>
        <v>0</v>
      </c>
      <c r="O1807" s="14" t="b">
        <f>LCI_Table[[#This Row],[GREET1 Name Range]]=""</f>
        <v>0</v>
      </c>
      <c r="P1807" s="14" t="s">
        <v>428</v>
      </c>
      <c r="Q1807" s="14" t="s">
        <v>733</v>
      </c>
      <c r="R1807" s="348" t="s">
        <v>352</v>
      </c>
      <c r="S1807" s="37" cm="1">
        <f t="array" aca="1" ref="S18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07" s="346" t="s">
        <v>2135</v>
      </c>
      <c r="U1807" s="347">
        <f ca="1">S1807*Fuel_Specs!$B$79/Fuel_Specs!$B$31/BTU2MJ</f>
        <v>0</v>
      </c>
      <c r="V1807" s="347">
        <v>0</v>
      </c>
      <c r="W1807" s="347">
        <v>0</v>
      </c>
      <c r="X1807" s="14" t="s">
        <v>351</v>
      </c>
      <c r="Y1807" s="346" t="s">
        <v>892</v>
      </c>
      <c r="Z1807" s="14" t="str">
        <f>IF(ISBLANK(LCI_Table[[#This Row],[Notes for user]])," ",LCI_Table[[#This Row],[Notes for user]])</f>
        <v xml:space="preserve"> </v>
      </c>
      <c r="AA1807" s="14"/>
      <c r="AB1807" s="14"/>
      <c r="AC1807" s="346">
        <f ca="1">LCI_Table[[#This Row],[Default Calculated Value]]-LCI_Table[[#This Row],[Calculated Value]]</f>
        <v>0</v>
      </c>
    </row>
    <row r="1808" spans="1:29" x14ac:dyDescent="0.3">
      <c r="A18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MiscanthusATJ-ethanolICAOConsensusStandalone_Corn_stover_EtOH_Fermentation_AllocationAllocation factor</v>
      </c>
      <c r="B1808" s="14" t="s">
        <v>134</v>
      </c>
      <c r="C1808" s="14" t="s">
        <v>1964</v>
      </c>
      <c r="D1808" s="14" t="s">
        <v>194</v>
      </c>
      <c r="E1808" s="48" t="s">
        <v>1399</v>
      </c>
      <c r="F1808" s="48" t="s">
        <v>137</v>
      </c>
      <c r="G1808" s="14" t="b">
        <f>OR(LCI_Table[[#This Row],[Feedstock]]="All",LCI_Table[[#This Row],[Feedstock]]=SelectedFeedstock)</f>
        <v>0</v>
      </c>
      <c r="H1808" s="14" t="b">
        <f>OR(LCI_Table[[#This Row],[Conversion]]="All",LCI_Table[[#This Row],[Conversion]]=SelectedConversion)</f>
        <v>0</v>
      </c>
      <c r="I1808" s="14" t="b">
        <f>OR(LCI_Table[[#This Row],[Data Set]]="all",LCI_Table[[#This Row],[Data Set]]=SelectedDataSet)</f>
        <v>0</v>
      </c>
      <c r="J1808" s="14" t="b">
        <f>OR(LCI_Table[[#This Row],[Technology]]="All",LCI_Table[[#This Row],[Technology]]=SelectedTechnology)</f>
        <v>0</v>
      </c>
      <c r="K1808" s="14" t="b">
        <f>OR(LCI_Table[[#This Row],[Data Source]]="All",LCI_Table[[#This Row],[Data Source]]=SelectedDataSource)</f>
        <v>0</v>
      </c>
      <c r="L1808" s="14" t="b">
        <f>TRUE</f>
        <v>1</v>
      </c>
      <c r="M1808" s="14" t="b">
        <f>(LCI_Table[[#This Row],[Dev Notes]]="Do not display")</f>
        <v>0</v>
      </c>
      <c r="N1808" s="14" t="b">
        <f>AND(LCI_Table[[#This Row],[Show Feedstock]:[Conditional]],NOT(LCI_Table[[#This Row],[Hide Row]]))</f>
        <v>0</v>
      </c>
      <c r="O1808" s="14" t="b">
        <f>LCI_Table[[#This Row],[GREET1 Name Range]]=""</f>
        <v>0</v>
      </c>
      <c r="P1808" s="14" t="s">
        <v>428</v>
      </c>
      <c r="Q1808" s="14" t="s">
        <v>1104</v>
      </c>
      <c r="R1808" s="348" t="s">
        <v>1344</v>
      </c>
      <c r="S1808" s="37" cm="1">
        <f t="array" aca="1" ref="S18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91.911764705882348</v>
      </c>
      <c r="T1808" s="346" t="s">
        <v>1345</v>
      </c>
      <c r="U1808" s="347">
        <f ca="1">S1808/100</f>
        <v>0.91911764705882348</v>
      </c>
      <c r="V1808" s="347">
        <v>91.911764705882348</v>
      </c>
      <c r="W1808" s="347">
        <v>0.91911764705882348</v>
      </c>
      <c r="X1808" s="14"/>
      <c r="Y1808" s="346"/>
      <c r="Z1808" s="14" t="str">
        <f>IF(ISBLANK(LCI_Table[[#This Row],[Notes for user]])," ",LCI_Table[[#This Row],[Notes for user]])</f>
        <v>Co-produced electricity</v>
      </c>
      <c r="AA1808" s="14" t="s">
        <v>1407</v>
      </c>
      <c r="AB1808" s="14"/>
      <c r="AC1808" s="346">
        <f ca="1">LCI_Table[[#This Row],[Default Calculated Value]]-LCI_Table[[#This Row],[Calculated Value]]</f>
        <v>0</v>
      </c>
    </row>
    <row r="1809" spans="1:29" x14ac:dyDescent="0.3">
      <c r="A18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MiscanthusATJ-ethanolICAOConsensusStandalone_JetFuel_ETJet_EthanolFeedstockSelector</v>
      </c>
      <c r="B1809" s="14" t="s">
        <v>134</v>
      </c>
      <c r="C1809" s="14" t="s">
        <v>1964</v>
      </c>
      <c r="D1809" s="14" t="s">
        <v>194</v>
      </c>
      <c r="E1809" s="48" t="s">
        <v>1399</v>
      </c>
      <c r="F1809" s="48" t="s">
        <v>137</v>
      </c>
      <c r="G1809" s="14" t="b">
        <f>OR(LCI_Table[[#This Row],[Feedstock]]="All",LCI_Table[[#This Row],[Feedstock]]=SelectedFeedstock)</f>
        <v>0</v>
      </c>
      <c r="H1809" s="14" t="b">
        <f>OR(LCI_Table[[#This Row],[Conversion]]="All",LCI_Table[[#This Row],[Conversion]]=SelectedConversion)</f>
        <v>0</v>
      </c>
      <c r="I1809" s="14" t="b">
        <f>OR(LCI_Table[[#This Row],[Data Set]]="all",LCI_Table[[#This Row],[Data Set]]=SelectedDataSet)</f>
        <v>0</v>
      </c>
      <c r="J1809" s="14" t="b">
        <f>OR(LCI_Table[[#This Row],[Technology]]="All",LCI_Table[[#This Row],[Technology]]=SelectedTechnology)</f>
        <v>0</v>
      </c>
      <c r="K1809" s="14" t="b">
        <f>OR(LCI_Table[[#This Row],[Data Source]]="All",LCI_Table[[#This Row],[Data Source]]=SelectedDataSource)</f>
        <v>0</v>
      </c>
      <c r="L1809" s="14" t="b">
        <f>TRUE</f>
        <v>1</v>
      </c>
      <c r="M1809" s="14" t="b">
        <f>(LCI_Table[[#This Row],[Dev Notes]]="Do not display")</f>
        <v>1</v>
      </c>
      <c r="N1809" s="14" t="b">
        <f>AND(LCI_Table[[#This Row],[Show Feedstock]:[Conditional]],NOT(LCI_Table[[#This Row],[Hide Row]]))</f>
        <v>0</v>
      </c>
      <c r="O1809" s="14" t="b">
        <f>LCI_Table[[#This Row],[GREET1 Name Range]]=""</f>
        <v>0</v>
      </c>
      <c r="P1809" s="14" t="s">
        <v>1448</v>
      </c>
      <c r="Q1809" s="14" t="s">
        <v>87</v>
      </c>
      <c r="R1809" s="14" t="s">
        <v>902</v>
      </c>
      <c r="S1809" s="37" cm="1">
        <f t="array" aca="1" ref="S18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v>
      </c>
      <c r="T1809" s="346" t="s">
        <v>2132</v>
      </c>
      <c r="U1809" s="352">
        <v>8</v>
      </c>
      <c r="V1809" s="352">
        <v>8</v>
      </c>
      <c r="W1809" s="352">
        <v>8</v>
      </c>
      <c r="X1809" s="356"/>
      <c r="Y1809" s="346" t="s">
        <v>416</v>
      </c>
      <c r="Z1809" s="14" t="str">
        <f>IF(ISBLANK(LCI_Table[[#This Row],[Notes for user]])," ",LCI_Table[[#This Row],[Notes for user]])</f>
        <v xml:space="preserve"> </v>
      </c>
      <c r="AA1809" s="14"/>
      <c r="AB1809" s="14" t="s">
        <v>1138</v>
      </c>
      <c r="AC1809" s="346">
        <f>LCI_Table[[#This Row],[Default Calculated Value]]-LCI_Table[[#This Row],[Calculated Value]]</f>
        <v>0</v>
      </c>
    </row>
    <row r="1810" spans="1:29" x14ac:dyDescent="0.3">
      <c r="A18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MiscanthusATJ-ethanolICAOConsensusStandalone_Ethanol_ETJ_distributed_EthanolEthanol</v>
      </c>
      <c r="B1810" s="14" t="s">
        <v>134</v>
      </c>
      <c r="C1810" s="14" t="s">
        <v>1964</v>
      </c>
      <c r="D1810" s="14" t="s">
        <v>194</v>
      </c>
      <c r="E1810" s="48" t="s">
        <v>1399</v>
      </c>
      <c r="F1810" s="48" t="s">
        <v>137</v>
      </c>
      <c r="G1810" s="14" t="b">
        <f>OR(LCI_Table[[#This Row],[Feedstock]]="All",LCI_Table[[#This Row],[Feedstock]]=SelectedFeedstock)</f>
        <v>0</v>
      </c>
      <c r="H1810" s="14" t="b">
        <f>OR(LCI_Table[[#This Row],[Conversion]]="All",LCI_Table[[#This Row],[Conversion]]=SelectedConversion)</f>
        <v>0</v>
      </c>
      <c r="I1810" s="14" t="b">
        <f>OR(LCI_Table[[#This Row],[Data Set]]="all",LCI_Table[[#This Row],[Data Set]]=SelectedDataSet)</f>
        <v>0</v>
      </c>
      <c r="J1810" s="14" t="b">
        <f>OR(LCI_Table[[#This Row],[Technology]]="All",LCI_Table[[#This Row],[Technology]]=SelectedTechnology)</f>
        <v>0</v>
      </c>
      <c r="K1810" s="14" t="b">
        <f>OR(LCI_Table[[#This Row],[Data Source]]="All",LCI_Table[[#This Row],[Data Source]]=SelectedDataSource)</f>
        <v>0</v>
      </c>
      <c r="L1810" s="14" t="b">
        <f>TRUE</f>
        <v>1</v>
      </c>
      <c r="M1810" s="14" t="b">
        <f>(LCI_Table[[#This Row],[Dev Notes]]="Do not display")</f>
        <v>0</v>
      </c>
      <c r="N1810" s="14" t="b">
        <f>AND(LCI_Table[[#This Row],[Show Feedstock]:[Conditional]],NOT(LCI_Table[[#This Row],[Hide Row]]))</f>
        <v>0</v>
      </c>
      <c r="O1810" s="14" t="b">
        <f>LCI_Table[[#This Row],[GREET1 Name Range]]=""</f>
        <v>0</v>
      </c>
      <c r="P1810" s="14" t="s">
        <v>1448</v>
      </c>
      <c r="Q1810" s="14" t="s">
        <v>641</v>
      </c>
      <c r="R1810" s="14" t="s">
        <v>138</v>
      </c>
      <c r="S1810" s="37" cm="1">
        <f t="array" aca="1" ref="S18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13.818264556327076</v>
      </c>
      <c r="T1810" s="346" t="s">
        <v>2128</v>
      </c>
      <c r="U1810" s="347">
        <f ca="1">S1810/mmBTU2MJ*Fuel_Specs!$E$31*g2kg</f>
        <v>3.9134397003064154E-2</v>
      </c>
      <c r="V1810" s="347">
        <v>13.818264556327076</v>
      </c>
      <c r="W1810" s="347">
        <v>3.9134397003064154E-2</v>
      </c>
      <c r="X1810" s="37" t="s">
        <v>5</v>
      </c>
      <c r="Y1810" s="346" t="s">
        <v>416</v>
      </c>
      <c r="Z1810" s="14" t="str">
        <f>IF(ISBLANK(LCI_Table[[#This Row],[Notes for user]])," ",LCI_Table[[#This Row],[Notes for user]])</f>
        <v xml:space="preserve"> </v>
      </c>
      <c r="AA1810" s="14"/>
      <c r="AB1810" s="14"/>
      <c r="AC1810" s="346">
        <f ca="1">LCI_Table[[#This Row],[Default Calculated Value]]-LCI_Table[[#This Row],[Calculated Value]]</f>
        <v>0</v>
      </c>
    </row>
    <row r="1811" spans="1:29" x14ac:dyDescent="0.3">
      <c r="A18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MiscanthusATJ-ethanolICAOConsensusStandalone_Ethanol_ETJ_distributed_HydrogenHydrogen</v>
      </c>
      <c r="B1811" s="358" t="s">
        <v>134</v>
      </c>
      <c r="C1811" s="358" t="s">
        <v>1964</v>
      </c>
      <c r="D1811" s="358" t="s">
        <v>194</v>
      </c>
      <c r="E1811" s="48" t="s">
        <v>1399</v>
      </c>
      <c r="F1811" s="48" t="s">
        <v>137</v>
      </c>
      <c r="G1811" s="14" t="b">
        <f>OR(LCI_Table[[#This Row],[Feedstock]]="All",LCI_Table[[#This Row],[Feedstock]]=SelectedFeedstock)</f>
        <v>0</v>
      </c>
      <c r="H1811" s="14" t="b">
        <f>OR(LCI_Table[[#This Row],[Conversion]]="All",LCI_Table[[#This Row],[Conversion]]=SelectedConversion)</f>
        <v>0</v>
      </c>
      <c r="I1811" s="14" t="b">
        <f>OR(LCI_Table[[#This Row],[Data Set]]="all",LCI_Table[[#This Row],[Data Set]]=SelectedDataSet)</f>
        <v>0</v>
      </c>
      <c r="J1811" s="14" t="b">
        <f>OR(LCI_Table[[#This Row],[Technology]]="All",LCI_Table[[#This Row],[Technology]]=SelectedTechnology)</f>
        <v>0</v>
      </c>
      <c r="K1811" s="14" t="b">
        <f>OR(LCI_Table[[#This Row],[Data Source]]="All",LCI_Table[[#This Row],[Data Source]]=SelectedDataSource)</f>
        <v>0</v>
      </c>
      <c r="L1811" s="14" t="b">
        <f>TRUE</f>
        <v>1</v>
      </c>
      <c r="M1811" s="14" t="b">
        <f>(LCI_Table[[#This Row],[Dev Notes]]="Do not display")</f>
        <v>0</v>
      </c>
      <c r="N1811" s="14" t="b">
        <f>AND(LCI_Table[[#This Row],[Show Feedstock]:[Conditional]],NOT(LCI_Table[[#This Row],[Hide Row]]))</f>
        <v>0</v>
      </c>
      <c r="O1811" s="14" t="b">
        <f>LCI_Table[[#This Row],[GREET1 Name Range]]=""</f>
        <v>0</v>
      </c>
      <c r="P1811" s="358" t="s">
        <v>1448</v>
      </c>
      <c r="Q1811" s="14" t="s">
        <v>642</v>
      </c>
      <c r="R1811" s="358" t="s">
        <v>73</v>
      </c>
      <c r="S1811" s="37" cm="1">
        <f t="array" aca="1" ref="S18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215.31199228878882</v>
      </c>
      <c r="T1811" s="346" t="s">
        <v>2120</v>
      </c>
      <c r="U1811" s="362">
        <f ca="1">S1811/kg2g*Fuel_Specs!$E$81*MJ2mmBTU</f>
        <v>5.2039480216749788E-4</v>
      </c>
      <c r="V1811" s="359">
        <v>215.31199228878882</v>
      </c>
      <c r="W1811" s="359">
        <v>5.2039480216749788E-4</v>
      </c>
      <c r="X1811" s="360" t="s">
        <v>351</v>
      </c>
      <c r="Y1811" s="346" t="s">
        <v>416</v>
      </c>
      <c r="Z1811" s="14" t="str">
        <f>IF(ISBLANK(LCI_Table[[#This Row],[Notes for user]])," ",LCI_Table[[#This Row],[Notes for user]])</f>
        <v xml:space="preserve"> </v>
      </c>
      <c r="AA1811" s="358"/>
      <c r="AB1811" s="358"/>
      <c r="AC1811" s="346">
        <f ca="1">LCI_Table[[#This Row],[Default Calculated Value]]-LCI_Table[[#This Row],[Calculated Value]]</f>
        <v>0</v>
      </c>
    </row>
    <row r="1812" spans="1:29" x14ac:dyDescent="0.3">
      <c r="A18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MiscanthusATJ-ethanolICAOConsensusStandalone_Ethanol_ETJ_distributed_Natural_gasNatural gas</v>
      </c>
      <c r="B1812" s="358" t="s">
        <v>134</v>
      </c>
      <c r="C1812" s="358" t="s">
        <v>1964</v>
      </c>
      <c r="D1812" s="358" t="s">
        <v>194</v>
      </c>
      <c r="E1812" s="48" t="s">
        <v>1399</v>
      </c>
      <c r="F1812" s="48" t="s">
        <v>137</v>
      </c>
      <c r="G1812" s="14" t="b">
        <f>OR(LCI_Table[[#This Row],[Feedstock]]="All",LCI_Table[[#This Row],[Feedstock]]=SelectedFeedstock)</f>
        <v>0</v>
      </c>
      <c r="H1812" s="14" t="b">
        <f>OR(LCI_Table[[#This Row],[Conversion]]="All",LCI_Table[[#This Row],[Conversion]]=SelectedConversion)</f>
        <v>0</v>
      </c>
      <c r="I1812" s="14" t="b">
        <f>OR(LCI_Table[[#This Row],[Data Set]]="all",LCI_Table[[#This Row],[Data Set]]=SelectedDataSet)</f>
        <v>0</v>
      </c>
      <c r="J1812" s="14" t="b">
        <f>OR(LCI_Table[[#This Row],[Technology]]="All",LCI_Table[[#This Row],[Technology]]=SelectedTechnology)</f>
        <v>0</v>
      </c>
      <c r="K1812" s="14" t="b">
        <f>OR(LCI_Table[[#This Row],[Data Source]]="All",LCI_Table[[#This Row],[Data Source]]=SelectedDataSource)</f>
        <v>0</v>
      </c>
      <c r="L1812" s="14" t="b">
        <f>TRUE</f>
        <v>1</v>
      </c>
      <c r="M1812" s="14" t="b">
        <f>(LCI_Table[[#This Row],[Dev Notes]]="Do not display")</f>
        <v>0</v>
      </c>
      <c r="N1812" s="14" t="b">
        <f>AND(LCI_Table[[#This Row],[Show Feedstock]:[Conditional]],NOT(LCI_Table[[#This Row],[Hide Row]]))</f>
        <v>0</v>
      </c>
      <c r="O1812" s="14" t="b">
        <f>LCI_Table[[#This Row],[GREET1 Name Range]]=""</f>
        <v>0</v>
      </c>
      <c r="P1812" s="358" t="s">
        <v>1448</v>
      </c>
      <c r="Q1812" s="14" t="s">
        <v>643</v>
      </c>
      <c r="R1812" s="358" t="s">
        <v>108</v>
      </c>
      <c r="S1812" s="37" cm="1">
        <f t="array" aca="1" ref="S18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196.87078679193246</v>
      </c>
      <c r="T1812" s="346" t="s">
        <v>2120</v>
      </c>
      <c r="U1812" s="359">
        <f ca="1">S1812/kg2g*Fuel_Specs!$E$79*MJ2mmBTU</f>
        <v>4.1051450588350507E-3</v>
      </c>
      <c r="V1812" s="359">
        <v>196.87078679193246</v>
      </c>
      <c r="W1812" s="359">
        <v>4.1051450588350507E-3</v>
      </c>
      <c r="X1812" s="358" t="s">
        <v>351</v>
      </c>
      <c r="Y1812" s="346" t="s">
        <v>416</v>
      </c>
      <c r="Z1812" s="14" t="str">
        <f>IF(ISBLANK(LCI_Table[[#This Row],[Notes for user]])," ",LCI_Table[[#This Row],[Notes for user]])</f>
        <v xml:space="preserve"> </v>
      </c>
      <c r="AA1812" s="358"/>
      <c r="AB1812" s="358"/>
      <c r="AC1812" s="346">
        <f ca="1">LCI_Table[[#This Row],[Default Calculated Value]]-LCI_Table[[#This Row],[Calculated Value]]</f>
        <v>0</v>
      </c>
    </row>
    <row r="1813" spans="1:29" x14ac:dyDescent="0.3">
      <c r="A18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MiscanthusATJ-ethanolICAOConsensusStandalone_Ethanol_ETJ_distributed_ElectricityGrid Electricity</v>
      </c>
      <c r="B1813" s="14" t="s">
        <v>134</v>
      </c>
      <c r="C1813" s="14" t="s">
        <v>1964</v>
      </c>
      <c r="D1813" s="14" t="s">
        <v>194</v>
      </c>
      <c r="E1813" s="48" t="s">
        <v>1399</v>
      </c>
      <c r="F1813" s="48" t="s">
        <v>137</v>
      </c>
      <c r="G1813" s="14" t="b">
        <f>OR(LCI_Table[[#This Row],[Feedstock]]="All",LCI_Table[[#This Row],[Feedstock]]=SelectedFeedstock)</f>
        <v>0</v>
      </c>
      <c r="H1813" s="14" t="b">
        <f>OR(LCI_Table[[#This Row],[Conversion]]="All",LCI_Table[[#This Row],[Conversion]]=SelectedConversion)</f>
        <v>0</v>
      </c>
      <c r="I1813" s="14" t="b">
        <f>OR(LCI_Table[[#This Row],[Data Set]]="all",LCI_Table[[#This Row],[Data Set]]=SelectedDataSet)</f>
        <v>0</v>
      </c>
      <c r="J1813" s="14" t="b">
        <f>OR(LCI_Table[[#This Row],[Technology]]="All",LCI_Table[[#This Row],[Technology]]=SelectedTechnology)</f>
        <v>0</v>
      </c>
      <c r="K1813" s="14" t="b">
        <f>OR(LCI_Table[[#This Row],[Data Source]]="All",LCI_Table[[#This Row],[Data Source]]=SelectedDataSource)</f>
        <v>0</v>
      </c>
      <c r="L1813" s="14" t="b">
        <f>TRUE</f>
        <v>1</v>
      </c>
      <c r="M1813" s="14" t="b">
        <f>(LCI_Table[[#This Row],[Dev Notes]]="Do not display")</f>
        <v>0</v>
      </c>
      <c r="N1813" s="14" t="b">
        <f>AND(LCI_Table[[#This Row],[Show Feedstock]:[Conditional]],NOT(LCI_Table[[#This Row],[Hide Row]]))</f>
        <v>0</v>
      </c>
      <c r="O1813" s="14" t="b">
        <f>LCI_Table[[#This Row],[GREET1 Name Range]]=""</f>
        <v>0</v>
      </c>
      <c r="P1813" s="14" t="s">
        <v>1448</v>
      </c>
      <c r="Q1813" s="14" t="s">
        <v>640</v>
      </c>
      <c r="R1813" s="14" t="s">
        <v>1684</v>
      </c>
      <c r="S1813" s="37" cm="1">
        <f t="array" aca="1" ref="S18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2.2371343761082442E-2</v>
      </c>
      <c r="T1813" s="346" t="s">
        <v>2121</v>
      </c>
      <c r="U1813" s="347">
        <f ca="1">S1813*MJ2mmBTU</f>
        <v>2.12039426738238E-5</v>
      </c>
      <c r="V1813" s="347">
        <v>2.2371343761082442E-2</v>
      </c>
      <c r="W1813" s="347">
        <v>2.12039426738238E-5</v>
      </c>
      <c r="X1813" s="37" t="s">
        <v>51</v>
      </c>
      <c r="Y1813" s="346" t="s">
        <v>416</v>
      </c>
      <c r="Z1813" s="14" t="str">
        <f>IF(ISBLANK(LCI_Table[[#This Row],[Notes for user]])," ",LCI_Table[[#This Row],[Notes for user]])</f>
        <v xml:space="preserve"> </v>
      </c>
      <c r="AA1813" s="14"/>
      <c r="AB1813" s="14"/>
      <c r="AC1813" s="346">
        <f ca="1">LCI_Table[[#This Row],[Default Calculated Value]]-LCI_Table[[#This Row],[Calculated Value]]</f>
        <v>0</v>
      </c>
    </row>
    <row r="1814" spans="1:29" x14ac:dyDescent="0.3">
      <c r="A18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MiscanthusATJ-ethanolICAOConsensusStandalone_Ethanol_ETJ_distributed_CatalystsCatalysts</v>
      </c>
      <c r="B1814" s="14" t="s">
        <v>134</v>
      </c>
      <c r="C1814" s="14" t="s">
        <v>1964</v>
      </c>
      <c r="D1814" s="14" t="s">
        <v>194</v>
      </c>
      <c r="E1814" s="48" t="s">
        <v>1399</v>
      </c>
      <c r="F1814" s="48" t="s">
        <v>137</v>
      </c>
      <c r="G1814" s="14" t="b">
        <f>OR(LCI_Table[[#This Row],[Feedstock]]="All",LCI_Table[[#This Row],[Feedstock]]=SelectedFeedstock)</f>
        <v>0</v>
      </c>
      <c r="H1814" s="14" t="b">
        <f>OR(LCI_Table[[#This Row],[Conversion]]="All",LCI_Table[[#This Row],[Conversion]]=SelectedConversion)</f>
        <v>0</v>
      </c>
      <c r="I1814" s="14" t="b">
        <f>OR(LCI_Table[[#This Row],[Data Set]]="all",LCI_Table[[#This Row],[Data Set]]=SelectedDataSet)</f>
        <v>0</v>
      </c>
      <c r="J1814" s="14" t="b">
        <f>OR(LCI_Table[[#This Row],[Technology]]="All",LCI_Table[[#This Row],[Technology]]=SelectedTechnology)</f>
        <v>0</v>
      </c>
      <c r="K1814" s="14" t="b">
        <f>OR(LCI_Table[[#This Row],[Data Source]]="All",LCI_Table[[#This Row],[Data Source]]=SelectedDataSource)</f>
        <v>0</v>
      </c>
      <c r="L1814" s="14" t="b">
        <f>TRUE</f>
        <v>1</v>
      </c>
      <c r="M1814" s="14" t="b">
        <f>(LCI_Table[[#This Row],[Dev Notes]]="Do not display")</f>
        <v>0</v>
      </c>
      <c r="N1814" s="14" t="b">
        <f>AND(LCI_Table[[#This Row],[Show Feedstock]:[Conditional]],NOT(LCI_Table[[#This Row],[Hide Row]]))</f>
        <v>0</v>
      </c>
      <c r="O1814" s="14" t="b">
        <f>LCI_Table[[#This Row],[GREET1 Name Range]]=""</f>
        <v>0</v>
      </c>
      <c r="P1814" s="14" t="s">
        <v>1448</v>
      </c>
      <c r="Q1814" s="14" t="s">
        <v>639</v>
      </c>
      <c r="R1814" s="14" t="s">
        <v>142</v>
      </c>
      <c r="S1814" s="37" cm="1">
        <f t="array" aca="1" ref="S18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14" s="346" t="s">
        <v>2119</v>
      </c>
      <c r="U1814" s="347">
        <f ca="1">S1814/kg2lb*MJ2mmBTU</f>
        <v>0</v>
      </c>
      <c r="V1814" s="347">
        <v>0</v>
      </c>
      <c r="W1814" s="347">
        <v>0</v>
      </c>
      <c r="X1814" s="37" t="s">
        <v>12</v>
      </c>
      <c r="Y1814" s="346" t="s">
        <v>416</v>
      </c>
      <c r="Z1814" s="14" t="str">
        <f>IF(ISBLANK(LCI_Table[[#This Row],[Notes for user]])," ",LCI_Table[[#This Row],[Notes for user]])</f>
        <v xml:space="preserve"> </v>
      </c>
      <c r="AA1814" s="14"/>
      <c r="AB1814" s="14"/>
      <c r="AC1814" s="346">
        <f ca="1">LCI_Table[[#This Row],[Default Calculated Value]]-LCI_Table[[#This Row],[Calculated Value]]</f>
        <v>0</v>
      </c>
    </row>
    <row r="1815" spans="1:29" x14ac:dyDescent="0.3">
      <c r="A18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MiscanthusATJ-ethanolICAOConsensusStandalone_Ethanol_ETJ_distributed_WaterWater</v>
      </c>
      <c r="B1815" s="14" t="s">
        <v>134</v>
      </c>
      <c r="C1815" s="14" t="s">
        <v>1964</v>
      </c>
      <c r="D1815" s="14" t="s">
        <v>194</v>
      </c>
      <c r="E1815" s="48" t="s">
        <v>1399</v>
      </c>
      <c r="F1815" s="48" t="s">
        <v>137</v>
      </c>
      <c r="G1815" s="14" t="b">
        <f>OR(LCI_Table[[#This Row],[Feedstock]]="All",LCI_Table[[#This Row],[Feedstock]]=SelectedFeedstock)</f>
        <v>0</v>
      </c>
      <c r="H1815" s="14" t="b">
        <f>OR(LCI_Table[[#This Row],[Conversion]]="All",LCI_Table[[#This Row],[Conversion]]=SelectedConversion)</f>
        <v>0</v>
      </c>
      <c r="I1815" s="14" t="b">
        <f>OR(LCI_Table[[#This Row],[Data Set]]="all",LCI_Table[[#This Row],[Data Set]]=SelectedDataSet)</f>
        <v>0</v>
      </c>
      <c r="J1815" s="14" t="b">
        <f>OR(LCI_Table[[#This Row],[Technology]]="All",LCI_Table[[#This Row],[Technology]]=SelectedTechnology)</f>
        <v>0</v>
      </c>
      <c r="K1815" s="14" t="b">
        <f>OR(LCI_Table[[#This Row],[Data Source]]="All",LCI_Table[[#This Row],[Data Source]]=SelectedDataSource)</f>
        <v>0</v>
      </c>
      <c r="L1815" s="14" t="b">
        <f>TRUE</f>
        <v>1</v>
      </c>
      <c r="M1815" s="14" t="b">
        <f>(LCI_Table[[#This Row],[Dev Notes]]="Do not display")</f>
        <v>0</v>
      </c>
      <c r="N1815" s="14" t="b">
        <f>AND(LCI_Table[[#This Row],[Show Feedstock]:[Conditional]],NOT(LCI_Table[[#This Row],[Hide Row]]))</f>
        <v>0</v>
      </c>
      <c r="O1815" s="14" t="b">
        <f>LCI_Table[[#This Row],[GREET1 Name Range]]=""</f>
        <v>0</v>
      </c>
      <c r="P1815" s="14" t="s">
        <v>1448</v>
      </c>
      <c r="Q1815" s="14" t="s">
        <v>644</v>
      </c>
      <c r="R1815" s="14" t="s">
        <v>146</v>
      </c>
      <c r="S1815" s="37" cm="1">
        <f t="array" aca="1" ref="S18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15" s="346" t="s">
        <v>2128</v>
      </c>
      <c r="U1815" s="347">
        <f ca="1">S1815/kg2lb*Fuel_Specs!$K$4*MJ2mmBTU</f>
        <v>0</v>
      </c>
      <c r="V1815" s="347">
        <v>0</v>
      </c>
      <c r="W1815" s="347">
        <v>0</v>
      </c>
      <c r="X1815" s="37" t="s">
        <v>5</v>
      </c>
      <c r="Y1815" s="346" t="s">
        <v>416</v>
      </c>
      <c r="Z1815" s="14" t="str">
        <f>IF(ISBLANK(LCI_Table[[#This Row],[Notes for user]])," ",LCI_Table[[#This Row],[Notes for user]])</f>
        <v xml:space="preserve"> </v>
      </c>
      <c r="AA1815" s="14"/>
      <c r="AB1815" s="14"/>
      <c r="AC1815" s="346">
        <f ca="1">LCI_Table[[#This Row],[Default Calculated Value]]-LCI_Table[[#This Row],[Calculated Value]]</f>
        <v>0</v>
      </c>
    </row>
    <row r="1816" spans="1:29" x14ac:dyDescent="0.3">
      <c r="A18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MiscanthusATJ-ethanolICAOConsensusStandalone_Ethanol_ETJ_distributed_Allocation_FactorAllocation factor</v>
      </c>
      <c r="B1816" s="14" t="s">
        <v>134</v>
      </c>
      <c r="C1816" s="14" t="s">
        <v>1964</v>
      </c>
      <c r="D1816" s="14" t="s">
        <v>194</v>
      </c>
      <c r="E1816" s="48" t="s">
        <v>1399</v>
      </c>
      <c r="F1816" s="48" t="s">
        <v>137</v>
      </c>
      <c r="G1816" s="14" t="b">
        <f>OR(LCI_Table[[#This Row],[Feedstock]]="All",LCI_Table[[#This Row],[Feedstock]]=SelectedFeedstock)</f>
        <v>0</v>
      </c>
      <c r="H1816" s="14" t="b">
        <f>OR(LCI_Table[[#This Row],[Conversion]]="All",LCI_Table[[#This Row],[Conversion]]=SelectedConversion)</f>
        <v>0</v>
      </c>
      <c r="I1816" s="14" t="b">
        <f>OR(LCI_Table[[#This Row],[Data Set]]="all",LCI_Table[[#This Row],[Data Set]]=SelectedDataSet)</f>
        <v>0</v>
      </c>
      <c r="J1816" s="14" t="b">
        <f>OR(LCI_Table[[#This Row],[Technology]]="All",LCI_Table[[#This Row],[Technology]]=SelectedTechnology)</f>
        <v>0</v>
      </c>
      <c r="K1816" s="14" t="b">
        <f>OR(LCI_Table[[#This Row],[Data Source]]="All",LCI_Table[[#This Row],[Data Source]]=SelectedDataSource)</f>
        <v>0</v>
      </c>
      <c r="L1816" s="14" t="b">
        <f>TRUE</f>
        <v>1</v>
      </c>
      <c r="M1816" s="14" t="b">
        <f>(LCI_Table[[#This Row],[Dev Notes]]="Do not display")</f>
        <v>0</v>
      </c>
      <c r="N1816" s="14" t="b">
        <f>AND(LCI_Table[[#This Row],[Show Feedstock]:[Conditional]],NOT(LCI_Table[[#This Row],[Hide Row]]))</f>
        <v>0</v>
      </c>
      <c r="O1816" s="14" t="b">
        <f>LCI_Table[[#This Row],[GREET1 Name Range]]=""</f>
        <v>0</v>
      </c>
      <c r="P1816" s="14" t="s">
        <v>1448</v>
      </c>
      <c r="Q1816" s="14" t="s">
        <v>1123</v>
      </c>
      <c r="R1816" s="14" t="s">
        <v>1344</v>
      </c>
      <c r="S1816" s="37" cm="1">
        <f t="array" aca="1" ref="S18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100</v>
      </c>
      <c r="T1816" s="346" t="s">
        <v>1345</v>
      </c>
      <c r="U1816" s="347">
        <f ca="1">S1816/100</f>
        <v>1</v>
      </c>
      <c r="V1816" s="347">
        <v>100</v>
      </c>
      <c r="W1816" s="347">
        <v>1</v>
      </c>
      <c r="X1816" s="37"/>
      <c r="Y1816" s="346"/>
      <c r="Z1816" s="14" t="str">
        <f>IF(ISBLANK(LCI_Table[[#This Row],[Notes for user]])," ",LCI_Table[[#This Row],[Notes for user]])</f>
        <v xml:space="preserve"> </v>
      </c>
      <c r="AA1816" s="14"/>
      <c r="AB1816" s="14"/>
      <c r="AC1816" s="346">
        <f ca="1">LCI_Table[[#This Row],[Default Calculated Value]]-LCI_Table[[#This Row],[Calculated Value]]</f>
        <v>0</v>
      </c>
    </row>
    <row r="1817" spans="1:29" x14ac:dyDescent="0.3">
      <c r="A18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dash_SwitchgrassATJ-ethanolICAOConsensusIntegrated_Yield_Farming</v>
      </c>
      <c r="B1817" s="48" t="s">
        <v>133</v>
      </c>
      <c r="C1817" s="48" t="s">
        <v>1964</v>
      </c>
      <c r="D1817" s="48" t="s">
        <v>194</v>
      </c>
      <c r="E1817" s="48" t="s">
        <v>1399</v>
      </c>
      <c r="F1817" s="48" t="s">
        <v>1398</v>
      </c>
      <c r="G1817" s="14" t="b">
        <f>OR(LCI_Table[[#This Row],[Feedstock]]="All",LCI_Table[[#This Row],[Feedstock]]=SelectedFeedstock)</f>
        <v>0</v>
      </c>
      <c r="H1817" s="14" t="b">
        <f>OR(LCI_Table[[#This Row],[Conversion]]="All",LCI_Table[[#This Row],[Conversion]]=SelectedConversion)</f>
        <v>0</v>
      </c>
      <c r="I1817" s="14" t="b">
        <f>OR(LCI_Table[[#This Row],[Data Set]]="all",LCI_Table[[#This Row],[Data Set]]=SelectedDataSet)</f>
        <v>0</v>
      </c>
      <c r="J1817" s="14" t="b">
        <f>OR(LCI_Table[[#This Row],[Technology]]="All",LCI_Table[[#This Row],[Technology]]=SelectedTechnology)</f>
        <v>0</v>
      </c>
      <c r="K1817" s="14" t="b">
        <f>OR(LCI_Table[[#This Row],[Data Source]]="All",LCI_Table[[#This Row],[Data Source]]=SelectedDataSource)</f>
        <v>0</v>
      </c>
      <c r="L1817" s="14" t="b">
        <f>TRUE</f>
        <v>1</v>
      </c>
      <c r="M1817" s="14" t="b">
        <f>(LCI_Table[[#This Row],[Dev Notes]]="Do not display")</f>
        <v>0</v>
      </c>
      <c r="N1817" s="14" t="b">
        <f>AND(LCI_Table[[#This Row],[Show Feedstock]:[Conditional]],NOT(LCI_Table[[#This Row],[Hide Row]]))</f>
        <v>0</v>
      </c>
      <c r="O1817" s="14" t="b">
        <f>LCI_Table[[#This Row],[GREET1 Name Range]]=""</f>
        <v>1</v>
      </c>
      <c r="P1817" s="48" t="s">
        <v>14</v>
      </c>
      <c r="Q1817" s="14" t="s">
        <v>361</v>
      </c>
      <c r="R1817" s="48" t="s">
        <v>200</v>
      </c>
      <c r="S1817" s="37" cm="1">
        <f t="array" aca="1" ref="S18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5.8</v>
      </c>
      <c r="T1817" s="346" t="s">
        <v>2116</v>
      </c>
      <c r="U1817" s="344"/>
      <c r="V1817" s="344">
        <v>5.8</v>
      </c>
      <c r="W1817" s="344"/>
      <c r="X1817" s="48" t="s">
        <v>55</v>
      </c>
      <c r="Y1817" s="346" t="s">
        <v>413</v>
      </c>
      <c r="Z1817" s="14" t="str">
        <f>IF(ISBLANK(LCI_Table[[#This Row],[Notes for user]])," ",LCI_Table[[#This Row],[Notes for user]])</f>
        <v>Default value from GREET</v>
      </c>
      <c r="AA1817" s="48" t="s">
        <v>1152</v>
      </c>
      <c r="AB1817" s="345"/>
      <c r="AC1817" s="346">
        <f>LCI_Table[[#This Row],[Default Calculated Value]]-LCI_Table[[#This Row],[Calculated Value]]</f>
        <v>0</v>
      </c>
    </row>
    <row r="1818" spans="1:29" x14ac:dyDescent="0.3">
      <c r="A18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SwitchgrassATJ-ethanolICAOConsensusIntegrated_Switchgrass_Farming_Nitrogen_fertilizerNitrogen fertilizer</v>
      </c>
      <c r="B1818" s="14" t="s">
        <v>133</v>
      </c>
      <c r="C1818" s="14" t="s">
        <v>1964</v>
      </c>
      <c r="D1818" s="14" t="s">
        <v>194</v>
      </c>
      <c r="E1818" s="48" t="s">
        <v>1399</v>
      </c>
      <c r="F1818" s="48" t="s">
        <v>1398</v>
      </c>
      <c r="G1818" s="14" t="b">
        <f>OR(LCI_Table[[#This Row],[Feedstock]]="All",LCI_Table[[#This Row],[Feedstock]]=SelectedFeedstock)</f>
        <v>0</v>
      </c>
      <c r="H1818" s="14" t="b">
        <f>OR(LCI_Table[[#This Row],[Conversion]]="All",LCI_Table[[#This Row],[Conversion]]=SelectedConversion)</f>
        <v>0</v>
      </c>
      <c r="I1818" s="14" t="b">
        <f>OR(LCI_Table[[#This Row],[Data Set]]="all",LCI_Table[[#This Row],[Data Set]]=SelectedDataSet)</f>
        <v>0</v>
      </c>
      <c r="J1818" s="14" t="b">
        <f>OR(LCI_Table[[#This Row],[Technology]]="All",LCI_Table[[#This Row],[Technology]]=SelectedTechnology)</f>
        <v>0</v>
      </c>
      <c r="K1818" s="14" t="b">
        <f>OR(LCI_Table[[#This Row],[Data Source]]="All",LCI_Table[[#This Row],[Data Source]]=SelectedDataSource)</f>
        <v>0</v>
      </c>
      <c r="L1818" s="14" t="b">
        <f>TRUE</f>
        <v>1</v>
      </c>
      <c r="M1818" s="14" t="b">
        <f>(LCI_Table[[#This Row],[Dev Notes]]="Do not display")</f>
        <v>0</v>
      </c>
      <c r="N1818" s="14" t="b">
        <f>AND(LCI_Table[[#This Row],[Show Feedstock]:[Conditional]],NOT(LCI_Table[[#This Row],[Hide Row]]))</f>
        <v>0</v>
      </c>
      <c r="O1818" s="14" t="b">
        <f>LCI_Table[[#This Row],[GREET1 Name Range]]=""</f>
        <v>0</v>
      </c>
      <c r="P1818" s="14" t="s">
        <v>14</v>
      </c>
      <c r="Q1818" s="14" t="s">
        <v>818</v>
      </c>
      <c r="R1818" s="14" t="s">
        <v>111</v>
      </c>
      <c r="S1818" s="37" cm="1">
        <f t="array" aca="1" ref="S18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62.36577657670108</v>
      </c>
      <c r="T1818" s="346" t="s">
        <v>1485</v>
      </c>
      <c r="U1818" s="347">
        <f ca="1">S1818/S1817*lb2g</f>
        <v>4877.3517938476434</v>
      </c>
      <c r="V1818" s="347">
        <v>62.36577657670108</v>
      </c>
      <c r="W1818" s="347">
        <v>4877.3517938476434</v>
      </c>
      <c r="X1818" s="37" t="s">
        <v>12</v>
      </c>
      <c r="Y1818" s="346" t="s">
        <v>413</v>
      </c>
      <c r="Z1818" s="14" t="str">
        <f>IF(ISBLANK(LCI_Table[[#This Row],[Notes for user]])," ",LCI_Table[[#This Row],[Notes for user]])</f>
        <v xml:space="preserve"> </v>
      </c>
      <c r="AA1818" s="14"/>
      <c r="AB1818" s="14"/>
      <c r="AC1818" s="346">
        <f ca="1">LCI_Table[[#This Row],[Default Calculated Value]]-LCI_Table[[#This Row],[Calculated Value]]</f>
        <v>0</v>
      </c>
    </row>
    <row r="1819" spans="1:29" x14ac:dyDescent="0.3">
      <c r="A18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SwitchgrassATJ-ethanolICAOConsensusIntegrated_Switchgrass_Farming_P2O5P2O5</v>
      </c>
      <c r="B1819" s="14" t="s">
        <v>133</v>
      </c>
      <c r="C1819" s="14" t="s">
        <v>1964</v>
      </c>
      <c r="D1819" s="14" t="s">
        <v>194</v>
      </c>
      <c r="E1819" s="48" t="s">
        <v>1399</v>
      </c>
      <c r="F1819" s="48" t="s">
        <v>1398</v>
      </c>
      <c r="G1819" s="14" t="b">
        <f>OR(LCI_Table[[#This Row],[Feedstock]]="All",LCI_Table[[#This Row],[Feedstock]]=SelectedFeedstock)</f>
        <v>0</v>
      </c>
      <c r="H1819" s="14" t="b">
        <f>OR(LCI_Table[[#This Row],[Conversion]]="All",LCI_Table[[#This Row],[Conversion]]=SelectedConversion)</f>
        <v>0</v>
      </c>
      <c r="I1819" s="14" t="b">
        <f>OR(LCI_Table[[#This Row],[Data Set]]="all",LCI_Table[[#This Row],[Data Set]]=SelectedDataSet)</f>
        <v>0</v>
      </c>
      <c r="J1819" s="14" t="b">
        <f>OR(LCI_Table[[#This Row],[Technology]]="All",LCI_Table[[#This Row],[Technology]]=SelectedTechnology)</f>
        <v>0</v>
      </c>
      <c r="K1819" s="14" t="b">
        <f>OR(LCI_Table[[#This Row],[Data Source]]="All",LCI_Table[[#This Row],[Data Source]]=SelectedDataSource)</f>
        <v>0</v>
      </c>
      <c r="L1819" s="14" t="b">
        <f>TRUE</f>
        <v>1</v>
      </c>
      <c r="M1819" s="14" t="b">
        <f>(LCI_Table[[#This Row],[Dev Notes]]="Do not display")</f>
        <v>0</v>
      </c>
      <c r="N1819" s="14" t="b">
        <f>AND(LCI_Table[[#This Row],[Show Feedstock]:[Conditional]],NOT(LCI_Table[[#This Row],[Hide Row]]))</f>
        <v>0</v>
      </c>
      <c r="O1819" s="14" t="b">
        <f>LCI_Table[[#This Row],[GREET1 Name Range]]=""</f>
        <v>0</v>
      </c>
      <c r="P1819" s="14" t="s">
        <v>14</v>
      </c>
      <c r="Q1819" s="14" t="s">
        <v>819</v>
      </c>
      <c r="R1819" s="14" t="s">
        <v>112</v>
      </c>
      <c r="S1819" s="37" cm="1">
        <f t="array" aca="1" ref="S18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29.509463992754071</v>
      </c>
      <c r="T1819" s="346" t="s">
        <v>1485</v>
      </c>
      <c r="U1819" s="347">
        <f ca="1">S1819/S1817*lb2g</f>
        <v>2307.8047775694799</v>
      </c>
      <c r="V1819" s="347">
        <v>29.509463992754071</v>
      </c>
      <c r="W1819" s="347">
        <v>2307.8047775694799</v>
      </c>
      <c r="X1819" s="37" t="s">
        <v>12</v>
      </c>
      <c r="Y1819" s="346" t="s">
        <v>413</v>
      </c>
      <c r="Z1819" s="14" t="str">
        <f>IF(ISBLANK(LCI_Table[[#This Row],[Notes for user]])," ",LCI_Table[[#This Row],[Notes for user]])</f>
        <v xml:space="preserve"> </v>
      </c>
      <c r="AA1819" s="14"/>
      <c r="AB1819" s="14"/>
      <c r="AC1819" s="346">
        <f ca="1">LCI_Table[[#This Row],[Default Calculated Value]]-LCI_Table[[#This Row],[Calculated Value]]</f>
        <v>0</v>
      </c>
    </row>
    <row r="1820" spans="1:29" x14ac:dyDescent="0.3">
      <c r="A18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SwitchgrassATJ-ethanolICAOConsensusIntegrated_Switchgrass_Farming_K2OK2O</v>
      </c>
      <c r="B1820" s="14" t="s">
        <v>133</v>
      </c>
      <c r="C1820" s="14" t="s">
        <v>1964</v>
      </c>
      <c r="D1820" s="14" t="s">
        <v>194</v>
      </c>
      <c r="E1820" s="48" t="s">
        <v>1399</v>
      </c>
      <c r="F1820" s="48" t="s">
        <v>1398</v>
      </c>
      <c r="G1820" s="14" t="b">
        <f>OR(LCI_Table[[#This Row],[Feedstock]]="All",LCI_Table[[#This Row],[Feedstock]]=SelectedFeedstock)</f>
        <v>0</v>
      </c>
      <c r="H1820" s="14" t="b">
        <f>OR(LCI_Table[[#This Row],[Conversion]]="All",LCI_Table[[#This Row],[Conversion]]=SelectedConversion)</f>
        <v>0</v>
      </c>
      <c r="I1820" s="14" t="b">
        <f>OR(LCI_Table[[#This Row],[Data Set]]="all",LCI_Table[[#This Row],[Data Set]]=SelectedDataSet)</f>
        <v>0</v>
      </c>
      <c r="J1820" s="14" t="b">
        <f>OR(LCI_Table[[#This Row],[Technology]]="All",LCI_Table[[#This Row],[Technology]]=SelectedTechnology)</f>
        <v>0</v>
      </c>
      <c r="K1820" s="14" t="b">
        <f>OR(LCI_Table[[#This Row],[Data Source]]="All",LCI_Table[[#This Row],[Data Source]]=SelectedDataSource)</f>
        <v>0</v>
      </c>
      <c r="L1820" s="14" t="b">
        <f>TRUE</f>
        <v>1</v>
      </c>
      <c r="M1820" s="14" t="b">
        <f>(LCI_Table[[#This Row],[Dev Notes]]="Do not display")</f>
        <v>0</v>
      </c>
      <c r="N1820" s="14" t="b">
        <f>AND(LCI_Table[[#This Row],[Show Feedstock]:[Conditional]],NOT(LCI_Table[[#This Row],[Hide Row]]))</f>
        <v>0</v>
      </c>
      <c r="O1820" s="14" t="b">
        <f>LCI_Table[[#This Row],[GREET1 Name Range]]=""</f>
        <v>0</v>
      </c>
      <c r="P1820" s="14" t="s">
        <v>14</v>
      </c>
      <c r="Q1820" s="14" t="s">
        <v>815</v>
      </c>
      <c r="R1820" s="14" t="s">
        <v>113</v>
      </c>
      <c r="S1820" s="37" cm="1">
        <f t="array" aca="1" ref="S18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40.923203330301966</v>
      </c>
      <c r="T1820" s="346" t="s">
        <v>1485</v>
      </c>
      <c r="U1820" s="347">
        <f ca="1">S1820/S1817*lb2g</f>
        <v>3200.4228942385453</v>
      </c>
      <c r="V1820" s="347">
        <v>40.923203330301966</v>
      </c>
      <c r="W1820" s="347">
        <v>3200.4228942385453</v>
      </c>
      <c r="X1820" s="37" t="s">
        <v>12</v>
      </c>
      <c r="Y1820" s="346" t="s">
        <v>413</v>
      </c>
      <c r="Z1820" s="14" t="str">
        <f>IF(ISBLANK(LCI_Table[[#This Row],[Notes for user]])," ",LCI_Table[[#This Row],[Notes for user]])</f>
        <v xml:space="preserve"> </v>
      </c>
      <c r="AA1820" s="14"/>
      <c r="AB1820" s="14"/>
      <c r="AC1820" s="346">
        <f ca="1">LCI_Table[[#This Row],[Default Calculated Value]]-LCI_Table[[#This Row],[Calculated Value]]</f>
        <v>0</v>
      </c>
    </row>
    <row r="1821" spans="1:29" x14ac:dyDescent="0.3">
      <c r="A18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SwitchgrassATJ-ethanolICAOConsensusIntegrated_Switchgrass_Farming_CaCO3CaCO3</v>
      </c>
      <c r="B1821" s="14" t="s">
        <v>133</v>
      </c>
      <c r="C1821" s="14" t="s">
        <v>1964</v>
      </c>
      <c r="D1821" s="14" t="s">
        <v>194</v>
      </c>
      <c r="E1821" s="48" t="s">
        <v>1399</v>
      </c>
      <c r="F1821" s="48" t="s">
        <v>1398</v>
      </c>
      <c r="G1821" s="14" t="b">
        <f>OR(LCI_Table[[#This Row],[Feedstock]]="All",LCI_Table[[#This Row],[Feedstock]]=SelectedFeedstock)</f>
        <v>0</v>
      </c>
      <c r="H1821" s="14" t="b">
        <f>OR(LCI_Table[[#This Row],[Conversion]]="All",LCI_Table[[#This Row],[Conversion]]=SelectedConversion)</f>
        <v>0</v>
      </c>
      <c r="I1821" s="14" t="b">
        <f>OR(LCI_Table[[#This Row],[Data Set]]="all",LCI_Table[[#This Row],[Data Set]]=SelectedDataSet)</f>
        <v>0</v>
      </c>
      <c r="J1821" s="14" t="b">
        <f>OR(LCI_Table[[#This Row],[Technology]]="All",LCI_Table[[#This Row],[Technology]]=SelectedTechnology)</f>
        <v>0</v>
      </c>
      <c r="K1821" s="14" t="b">
        <f>OR(LCI_Table[[#This Row],[Data Source]]="All",LCI_Table[[#This Row],[Data Source]]=SelectedDataSource)</f>
        <v>0</v>
      </c>
      <c r="L1821" s="14" t="b">
        <f>TRUE</f>
        <v>1</v>
      </c>
      <c r="M1821" s="14" t="b">
        <f>(LCI_Table[[#This Row],[Dev Notes]]="Do not display")</f>
        <v>0</v>
      </c>
      <c r="N1821" s="14" t="b">
        <f>AND(LCI_Table[[#This Row],[Show Feedstock]:[Conditional]],NOT(LCI_Table[[#This Row],[Hide Row]]))</f>
        <v>0</v>
      </c>
      <c r="O1821" s="14" t="b">
        <f>LCI_Table[[#This Row],[GREET1 Name Range]]=""</f>
        <v>0</v>
      </c>
      <c r="P1821" s="14" t="s">
        <v>14</v>
      </c>
      <c r="Q1821" s="14" t="s">
        <v>807</v>
      </c>
      <c r="R1821" s="14" t="s">
        <v>141</v>
      </c>
      <c r="S1821" s="37" cm="1">
        <f t="array" aca="1" ref="S18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74.763553146278284</v>
      </c>
      <c r="T1821" s="346" t="s">
        <v>1485</v>
      </c>
      <c r="U1821" s="347">
        <f ca="1">S1821/S1817*lb2g</f>
        <v>5846.9271140071251</v>
      </c>
      <c r="V1821" s="347">
        <v>74.763553146278284</v>
      </c>
      <c r="W1821" s="347">
        <v>5846.9271140071251</v>
      </c>
      <c r="X1821" s="37" t="s">
        <v>12</v>
      </c>
      <c r="Y1821" s="346" t="s">
        <v>413</v>
      </c>
      <c r="Z1821" s="14" t="str">
        <f>IF(ISBLANK(LCI_Table[[#This Row],[Notes for user]])," ",LCI_Table[[#This Row],[Notes for user]])</f>
        <v xml:space="preserve"> </v>
      </c>
      <c r="AA1821" s="14"/>
      <c r="AB1821" s="14"/>
      <c r="AC1821" s="346">
        <f ca="1">LCI_Table[[#This Row],[Default Calculated Value]]-LCI_Table[[#This Row],[Calculated Value]]</f>
        <v>0</v>
      </c>
    </row>
    <row r="1822" spans="1:29" x14ac:dyDescent="0.3">
      <c r="A18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SwitchgrassATJ-ethanolICAOConsensusIntegrated_Switchgrass_Farming_HerbicidesHerbicides</v>
      </c>
      <c r="B1822" s="14" t="s">
        <v>133</v>
      </c>
      <c r="C1822" s="14" t="s">
        <v>1964</v>
      </c>
      <c r="D1822" s="14" t="s">
        <v>194</v>
      </c>
      <c r="E1822" s="48" t="s">
        <v>1399</v>
      </c>
      <c r="F1822" s="48" t="s">
        <v>1398</v>
      </c>
      <c r="G1822" s="14" t="b">
        <f>OR(LCI_Table[[#This Row],[Feedstock]]="All",LCI_Table[[#This Row],[Feedstock]]=SelectedFeedstock)</f>
        <v>0</v>
      </c>
      <c r="H1822" s="14" t="b">
        <f>OR(LCI_Table[[#This Row],[Conversion]]="All",LCI_Table[[#This Row],[Conversion]]=SelectedConversion)</f>
        <v>0</v>
      </c>
      <c r="I1822" s="14" t="b">
        <f>OR(LCI_Table[[#This Row],[Data Set]]="all",LCI_Table[[#This Row],[Data Set]]=SelectedDataSet)</f>
        <v>0</v>
      </c>
      <c r="J1822" s="14" t="b">
        <f>OR(LCI_Table[[#This Row],[Technology]]="All",LCI_Table[[#This Row],[Technology]]=SelectedTechnology)</f>
        <v>0</v>
      </c>
      <c r="K1822" s="14" t="b">
        <f>OR(LCI_Table[[#This Row],[Data Source]]="All",LCI_Table[[#This Row],[Data Source]]=SelectedDataSource)</f>
        <v>0</v>
      </c>
      <c r="L1822" s="14" t="b">
        <f>TRUE</f>
        <v>1</v>
      </c>
      <c r="M1822" s="14" t="b">
        <f>(LCI_Table[[#This Row],[Dev Notes]]="Do not display")</f>
        <v>0</v>
      </c>
      <c r="N1822" s="14" t="b">
        <f>AND(LCI_Table[[#This Row],[Show Feedstock]:[Conditional]],NOT(LCI_Table[[#This Row],[Hide Row]]))</f>
        <v>0</v>
      </c>
      <c r="O1822" s="14" t="b">
        <f>LCI_Table[[#This Row],[GREET1 Name Range]]=""</f>
        <v>0</v>
      </c>
      <c r="P1822" s="14" t="s">
        <v>14</v>
      </c>
      <c r="Q1822" s="14" t="s">
        <v>813</v>
      </c>
      <c r="R1822" s="14" t="s">
        <v>356</v>
      </c>
      <c r="S1822" s="37" cm="1">
        <f t="array" aca="1" ref="S18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0.67899722027655518</v>
      </c>
      <c r="T1822" s="346" t="s">
        <v>1485</v>
      </c>
      <c r="U1822" s="347">
        <f ca="1">S1822/S1817*lb2g</f>
        <v>53.101372132526677</v>
      </c>
      <c r="V1822" s="347">
        <v>0.67899722027655518</v>
      </c>
      <c r="W1822" s="347">
        <v>53.101372132526677</v>
      </c>
      <c r="X1822" s="37" t="s">
        <v>12</v>
      </c>
      <c r="Y1822" s="346" t="s">
        <v>413</v>
      </c>
      <c r="Z1822" s="14" t="str">
        <f>IF(ISBLANK(LCI_Table[[#This Row],[Notes for user]])," ",LCI_Table[[#This Row],[Notes for user]])</f>
        <v xml:space="preserve"> </v>
      </c>
      <c r="AA1822" s="14"/>
      <c r="AB1822" s="14"/>
      <c r="AC1822" s="346">
        <f ca="1">LCI_Table[[#This Row],[Default Calculated Value]]-LCI_Table[[#This Row],[Calculated Value]]</f>
        <v>0</v>
      </c>
    </row>
    <row r="1823" spans="1:29" x14ac:dyDescent="0.3">
      <c r="A18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SwitchgrassATJ-ethanolICAOConsensusIntegrated_Switchgrass_Farming_InsecticideInsecticide</v>
      </c>
      <c r="B1823" s="14" t="s">
        <v>133</v>
      </c>
      <c r="C1823" s="14" t="s">
        <v>1964</v>
      </c>
      <c r="D1823" s="14" t="s">
        <v>194</v>
      </c>
      <c r="E1823" s="48" t="s">
        <v>1399</v>
      </c>
      <c r="F1823" s="48" t="s">
        <v>1398</v>
      </c>
      <c r="G1823" s="14" t="b">
        <f>OR(LCI_Table[[#This Row],[Feedstock]]="All",LCI_Table[[#This Row],[Feedstock]]=SelectedFeedstock)</f>
        <v>0</v>
      </c>
      <c r="H1823" s="14" t="b">
        <f>OR(LCI_Table[[#This Row],[Conversion]]="All",LCI_Table[[#This Row],[Conversion]]=SelectedConversion)</f>
        <v>0</v>
      </c>
      <c r="I1823" s="14" t="b">
        <f>OR(LCI_Table[[#This Row],[Data Set]]="all",LCI_Table[[#This Row],[Data Set]]=SelectedDataSet)</f>
        <v>0</v>
      </c>
      <c r="J1823" s="14" t="b">
        <f>OR(LCI_Table[[#This Row],[Technology]]="All",LCI_Table[[#This Row],[Technology]]=SelectedTechnology)</f>
        <v>0</v>
      </c>
      <c r="K1823" s="14" t="b">
        <f>OR(LCI_Table[[#This Row],[Data Source]]="All",LCI_Table[[#This Row],[Data Source]]=SelectedDataSource)</f>
        <v>0</v>
      </c>
      <c r="L1823" s="14" t="b">
        <f>TRUE</f>
        <v>1</v>
      </c>
      <c r="M1823" s="14" t="b">
        <f>(LCI_Table[[#This Row],[Dev Notes]]="Do not display")</f>
        <v>0</v>
      </c>
      <c r="N1823" s="14" t="b">
        <f>AND(LCI_Table[[#This Row],[Show Feedstock]:[Conditional]],NOT(LCI_Table[[#This Row],[Hide Row]]))</f>
        <v>0</v>
      </c>
      <c r="O1823" s="14" t="b">
        <f>LCI_Table[[#This Row],[GREET1 Name Range]]=""</f>
        <v>0</v>
      </c>
      <c r="P1823" s="14" t="s">
        <v>14</v>
      </c>
      <c r="Q1823" s="14" t="s">
        <v>814</v>
      </c>
      <c r="R1823" s="14" t="s">
        <v>114</v>
      </c>
      <c r="S1823" s="37" cm="1">
        <f t="array" aca="1" ref="S18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23" s="346" t="s">
        <v>1485</v>
      </c>
      <c r="U1823" s="347">
        <f ca="1">S1823/S1817*lb2g</f>
        <v>0</v>
      </c>
      <c r="V1823" s="347">
        <v>0</v>
      </c>
      <c r="W1823" s="347">
        <v>0</v>
      </c>
      <c r="X1823" s="37" t="s">
        <v>12</v>
      </c>
      <c r="Y1823" s="346" t="s">
        <v>413</v>
      </c>
      <c r="Z1823" s="14" t="str">
        <f>IF(ISBLANK(LCI_Table[[#This Row],[Notes for user]])," ",LCI_Table[[#This Row],[Notes for user]])</f>
        <v xml:space="preserve"> </v>
      </c>
      <c r="AA1823" s="14"/>
      <c r="AB1823" s="14"/>
      <c r="AC1823" s="346">
        <f ca="1">LCI_Table[[#This Row],[Default Calculated Value]]-LCI_Table[[#This Row],[Calculated Value]]</f>
        <v>0</v>
      </c>
    </row>
    <row r="1824" spans="1:29" x14ac:dyDescent="0.3">
      <c r="A18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SwitchgrassATJ-ethanolICAOConsensusIntegrated_Switchgrass_Farming_HDPEHDPE</v>
      </c>
      <c r="B1824" s="14" t="s">
        <v>133</v>
      </c>
      <c r="C1824" s="14" t="s">
        <v>1964</v>
      </c>
      <c r="D1824" s="14" t="s">
        <v>194</v>
      </c>
      <c r="E1824" s="48" t="s">
        <v>1399</v>
      </c>
      <c r="F1824" s="48" t="s">
        <v>1398</v>
      </c>
      <c r="G1824" s="14" t="b">
        <f>OR(LCI_Table[[#This Row],[Feedstock]]="All",LCI_Table[[#This Row],[Feedstock]]=SelectedFeedstock)</f>
        <v>0</v>
      </c>
      <c r="H1824" s="14" t="b">
        <f>OR(LCI_Table[[#This Row],[Conversion]]="All",LCI_Table[[#This Row],[Conversion]]=SelectedConversion)</f>
        <v>0</v>
      </c>
      <c r="I1824" s="14" t="b">
        <f>OR(LCI_Table[[#This Row],[Data Set]]="all",LCI_Table[[#This Row],[Data Set]]=SelectedDataSet)</f>
        <v>0</v>
      </c>
      <c r="J1824" s="14" t="b">
        <f>OR(LCI_Table[[#This Row],[Technology]]="All",LCI_Table[[#This Row],[Technology]]=SelectedTechnology)</f>
        <v>0</v>
      </c>
      <c r="K1824" s="14" t="b">
        <f>OR(LCI_Table[[#This Row],[Data Source]]="All",LCI_Table[[#This Row],[Data Source]]=SelectedDataSource)</f>
        <v>0</v>
      </c>
      <c r="L1824" s="14" t="b">
        <f>TRUE</f>
        <v>1</v>
      </c>
      <c r="M1824" s="14" t="b">
        <f>(LCI_Table[[#This Row],[Dev Notes]]="Do not display")</f>
        <v>0</v>
      </c>
      <c r="N1824" s="14" t="b">
        <f>AND(LCI_Table[[#This Row],[Show Feedstock]:[Conditional]],NOT(LCI_Table[[#This Row],[Hide Row]]))</f>
        <v>0</v>
      </c>
      <c r="O1824" s="14" t="b">
        <f>LCI_Table[[#This Row],[GREET1 Name Range]]=""</f>
        <v>0</v>
      </c>
      <c r="P1824" s="14" t="s">
        <v>14</v>
      </c>
      <c r="Q1824" s="14" t="s">
        <v>812</v>
      </c>
      <c r="R1824" s="14" t="s">
        <v>357</v>
      </c>
      <c r="S1824" s="37" cm="1">
        <f t="array" aca="1" ref="S18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24" s="346" t="s">
        <v>1485</v>
      </c>
      <c r="U1824" s="347">
        <f ca="1">S1824/S1817</f>
        <v>0</v>
      </c>
      <c r="V1824" s="347">
        <v>0</v>
      </c>
      <c r="W1824" s="347">
        <v>0</v>
      </c>
      <c r="X1824" s="37" t="s">
        <v>12</v>
      </c>
      <c r="Y1824" s="346" t="s">
        <v>413</v>
      </c>
      <c r="Z1824" s="14" t="str">
        <f>IF(ISBLANK(LCI_Table[[#This Row],[Notes for user]])," ",LCI_Table[[#This Row],[Notes for user]])</f>
        <v xml:space="preserve"> </v>
      </c>
      <c r="AA1824" s="14"/>
      <c r="AB1824" s="14"/>
      <c r="AC1824" s="346">
        <f ca="1">LCI_Table[[#This Row],[Default Calculated Value]]-LCI_Table[[#This Row],[Calculated Value]]</f>
        <v>0</v>
      </c>
    </row>
    <row r="1825" spans="1:29" x14ac:dyDescent="0.3">
      <c r="A18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SwitchgrassATJ-ethanolICAOConsensusIntegrated_Switchgrass_Farming_Residual_oilResidual oil</v>
      </c>
      <c r="B1825" s="14" t="s">
        <v>133</v>
      </c>
      <c r="C1825" s="14" t="s">
        <v>1964</v>
      </c>
      <c r="D1825" s="14" t="s">
        <v>194</v>
      </c>
      <c r="E1825" s="48" t="s">
        <v>1399</v>
      </c>
      <c r="F1825" s="48" t="s">
        <v>1398</v>
      </c>
      <c r="G1825" s="14" t="b">
        <f>OR(LCI_Table[[#This Row],[Feedstock]]="All",LCI_Table[[#This Row],[Feedstock]]=SelectedFeedstock)</f>
        <v>0</v>
      </c>
      <c r="H1825" s="14" t="b">
        <f>OR(LCI_Table[[#This Row],[Conversion]]="All",LCI_Table[[#This Row],[Conversion]]=SelectedConversion)</f>
        <v>0</v>
      </c>
      <c r="I1825" s="14" t="b">
        <f>OR(LCI_Table[[#This Row],[Data Set]]="all",LCI_Table[[#This Row],[Data Set]]=SelectedDataSet)</f>
        <v>0</v>
      </c>
      <c r="J1825" s="14" t="b">
        <f>OR(LCI_Table[[#This Row],[Technology]]="All",LCI_Table[[#This Row],[Technology]]=SelectedTechnology)</f>
        <v>0</v>
      </c>
      <c r="K1825" s="14" t="b">
        <f>OR(LCI_Table[[#This Row],[Data Source]]="All",LCI_Table[[#This Row],[Data Source]]=SelectedDataSource)</f>
        <v>0</v>
      </c>
      <c r="L1825" s="14" t="b">
        <f>TRUE</f>
        <v>1</v>
      </c>
      <c r="M1825" s="14" t="b">
        <f>(LCI_Table[[#This Row],[Dev Notes]]="Do not display")</f>
        <v>0</v>
      </c>
      <c r="N1825" s="14" t="b">
        <f>AND(LCI_Table[[#This Row],[Show Feedstock]:[Conditional]],NOT(LCI_Table[[#This Row],[Hide Row]]))</f>
        <v>0</v>
      </c>
      <c r="O1825" s="14" t="b">
        <f>LCI_Table[[#This Row],[GREET1 Name Range]]=""</f>
        <v>0</v>
      </c>
      <c r="P1825" s="14" t="s">
        <v>14</v>
      </c>
      <c r="Q1825" s="14" t="s">
        <v>820</v>
      </c>
      <c r="R1825" s="14" t="s">
        <v>115</v>
      </c>
      <c r="S1825" s="37" cm="1">
        <f t="array" aca="1" ref="S18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25" s="346" t="s">
        <v>1484</v>
      </c>
      <c r="U1825" s="347">
        <f ca="1">S1825*Fuel_Specs!$B$28/S1817</f>
        <v>0</v>
      </c>
      <c r="V1825" s="347">
        <v>0</v>
      </c>
      <c r="W1825" s="347">
        <v>0</v>
      </c>
      <c r="X1825" s="37" t="s">
        <v>5</v>
      </c>
      <c r="Y1825" s="346" t="s">
        <v>413</v>
      </c>
      <c r="Z1825" s="14" t="str">
        <f>IF(ISBLANK(LCI_Table[[#This Row],[Notes for user]])," ",LCI_Table[[#This Row],[Notes for user]])</f>
        <v xml:space="preserve"> </v>
      </c>
      <c r="AA1825" s="14"/>
      <c r="AB1825" s="14"/>
      <c r="AC1825" s="346">
        <f ca="1">LCI_Table[[#This Row],[Default Calculated Value]]-LCI_Table[[#This Row],[Calculated Value]]</f>
        <v>0</v>
      </c>
    </row>
    <row r="1826" spans="1:29" x14ac:dyDescent="0.3">
      <c r="A18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SwitchgrassATJ-ethanolICAOConsensusIntegrated_Switchgrass_Farming_DieselDiesel</v>
      </c>
      <c r="B1826" s="14" t="s">
        <v>133</v>
      </c>
      <c r="C1826" s="14" t="s">
        <v>1964</v>
      </c>
      <c r="D1826" s="14" t="s">
        <v>194</v>
      </c>
      <c r="E1826" s="48" t="s">
        <v>1399</v>
      </c>
      <c r="F1826" s="48" t="s">
        <v>1398</v>
      </c>
      <c r="G1826" s="14" t="b">
        <f>OR(LCI_Table[[#This Row],[Feedstock]]="All",LCI_Table[[#This Row],[Feedstock]]=SelectedFeedstock)</f>
        <v>0</v>
      </c>
      <c r="H1826" s="14" t="b">
        <f>OR(LCI_Table[[#This Row],[Conversion]]="All",LCI_Table[[#This Row],[Conversion]]=SelectedConversion)</f>
        <v>0</v>
      </c>
      <c r="I1826" s="14" t="b">
        <f>OR(LCI_Table[[#This Row],[Data Set]]="all",LCI_Table[[#This Row],[Data Set]]=SelectedDataSet)</f>
        <v>0</v>
      </c>
      <c r="J1826" s="14" t="b">
        <f>OR(LCI_Table[[#This Row],[Technology]]="All",LCI_Table[[#This Row],[Technology]]=SelectedTechnology)</f>
        <v>0</v>
      </c>
      <c r="K1826" s="14" t="b">
        <f>OR(LCI_Table[[#This Row],[Data Source]]="All",LCI_Table[[#This Row],[Data Source]]=SelectedDataSource)</f>
        <v>0</v>
      </c>
      <c r="L1826" s="14" t="b">
        <f>TRUE</f>
        <v>1</v>
      </c>
      <c r="M1826" s="14" t="b">
        <f>(LCI_Table[[#This Row],[Dev Notes]]="Do not display")</f>
        <v>0</v>
      </c>
      <c r="N1826" s="14" t="b">
        <f>AND(LCI_Table[[#This Row],[Show Feedstock]:[Conditional]],NOT(LCI_Table[[#This Row],[Hide Row]]))</f>
        <v>0</v>
      </c>
      <c r="O1826" s="14" t="b">
        <f>LCI_Table[[#This Row],[GREET1 Name Range]]=""</f>
        <v>0</v>
      </c>
      <c r="P1826" s="14" t="s">
        <v>14</v>
      </c>
      <c r="Q1826" s="14" t="s">
        <v>809</v>
      </c>
      <c r="R1826" s="14" t="s">
        <v>106</v>
      </c>
      <c r="S1826" s="37" cm="1">
        <f t="array" aca="1" ref="S18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2.8274499772238171</v>
      </c>
      <c r="T1826" s="346" t="s">
        <v>1484</v>
      </c>
      <c r="U1826" s="347">
        <f ca="1">S1826*Fuel_Specs!$B$19/S1817</f>
        <v>62618.267167999889</v>
      </c>
      <c r="V1826" s="347">
        <v>2.8274499772238171</v>
      </c>
      <c r="W1826" s="347">
        <v>62618.267167999889</v>
      </c>
      <c r="X1826" s="37" t="s">
        <v>5</v>
      </c>
      <c r="Y1826" s="346" t="s">
        <v>413</v>
      </c>
      <c r="Z1826" s="14" t="str">
        <f>IF(ISBLANK(LCI_Table[[#This Row],[Notes for user]])," ",LCI_Table[[#This Row],[Notes for user]])</f>
        <v xml:space="preserve"> </v>
      </c>
      <c r="AA1826" s="14"/>
      <c r="AB1826" s="14"/>
      <c r="AC1826" s="346">
        <f ca="1">LCI_Table[[#This Row],[Default Calculated Value]]-LCI_Table[[#This Row],[Calculated Value]]</f>
        <v>0</v>
      </c>
    </row>
    <row r="1827" spans="1:29" x14ac:dyDescent="0.3">
      <c r="A18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SwitchgrassATJ-ethanolICAOConsensusIntegrated_Switchgrass_Farming_GasolineGasoline</v>
      </c>
      <c r="B1827" s="14" t="s">
        <v>133</v>
      </c>
      <c r="C1827" s="14" t="s">
        <v>1964</v>
      </c>
      <c r="D1827" s="14" t="s">
        <v>194</v>
      </c>
      <c r="E1827" s="48" t="s">
        <v>1399</v>
      </c>
      <c r="F1827" s="48" t="s">
        <v>1398</v>
      </c>
      <c r="G1827" s="14" t="b">
        <f>OR(LCI_Table[[#This Row],[Feedstock]]="All",LCI_Table[[#This Row],[Feedstock]]=SelectedFeedstock)</f>
        <v>0</v>
      </c>
      <c r="H1827" s="14" t="b">
        <f>OR(LCI_Table[[#This Row],[Conversion]]="All",LCI_Table[[#This Row],[Conversion]]=SelectedConversion)</f>
        <v>0</v>
      </c>
      <c r="I1827" s="14" t="b">
        <f>OR(LCI_Table[[#This Row],[Data Set]]="all",LCI_Table[[#This Row],[Data Set]]=SelectedDataSet)</f>
        <v>0</v>
      </c>
      <c r="J1827" s="14" t="b">
        <f>OR(LCI_Table[[#This Row],[Technology]]="All",LCI_Table[[#This Row],[Technology]]=SelectedTechnology)</f>
        <v>0</v>
      </c>
      <c r="K1827" s="14" t="b">
        <f>OR(LCI_Table[[#This Row],[Data Source]]="All",LCI_Table[[#This Row],[Data Source]]=SelectedDataSource)</f>
        <v>0</v>
      </c>
      <c r="L1827" s="14" t="b">
        <f>TRUE</f>
        <v>1</v>
      </c>
      <c r="M1827" s="14" t="b">
        <f>(LCI_Table[[#This Row],[Dev Notes]]="Do not display")</f>
        <v>0</v>
      </c>
      <c r="N1827" s="14" t="b">
        <f>AND(LCI_Table[[#This Row],[Show Feedstock]:[Conditional]],NOT(LCI_Table[[#This Row],[Hide Row]]))</f>
        <v>0</v>
      </c>
      <c r="O1827" s="14" t="b">
        <f>LCI_Table[[#This Row],[GREET1 Name Range]]=""</f>
        <v>0</v>
      </c>
      <c r="P1827" s="14" t="s">
        <v>14</v>
      </c>
      <c r="Q1827" s="14" t="s">
        <v>811</v>
      </c>
      <c r="R1827" s="14" t="s">
        <v>107</v>
      </c>
      <c r="S1827" s="37" cm="1">
        <f t="array" aca="1" ref="S18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27" s="346" t="s">
        <v>1484</v>
      </c>
      <c r="U1827" s="347">
        <f ca="1">S1827*Fuel_Specs!$B$15/S1817</f>
        <v>0</v>
      </c>
      <c r="V1827" s="347">
        <v>0</v>
      </c>
      <c r="W1827" s="347">
        <v>0</v>
      </c>
      <c r="X1827" s="37" t="s">
        <v>5</v>
      </c>
      <c r="Y1827" s="346" t="s">
        <v>413</v>
      </c>
      <c r="Z1827" s="14" t="str">
        <f>IF(ISBLANK(LCI_Table[[#This Row],[Notes for user]])," ",LCI_Table[[#This Row],[Notes for user]])</f>
        <v xml:space="preserve"> </v>
      </c>
      <c r="AA1827" s="14"/>
      <c r="AB1827" s="14"/>
      <c r="AC1827" s="346">
        <f ca="1">LCI_Table[[#This Row],[Default Calculated Value]]-LCI_Table[[#This Row],[Calculated Value]]</f>
        <v>0</v>
      </c>
    </row>
    <row r="1828" spans="1:29" x14ac:dyDescent="0.3">
      <c r="A18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SwitchgrassATJ-ethanolICAOConsensusIntegrated_Switchgrass_Farming_Natural_gasNatural gas</v>
      </c>
      <c r="B1828" s="14" t="s">
        <v>133</v>
      </c>
      <c r="C1828" s="14" t="s">
        <v>1964</v>
      </c>
      <c r="D1828" s="14" t="s">
        <v>194</v>
      </c>
      <c r="E1828" s="48" t="s">
        <v>1399</v>
      </c>
      <c r="F1828" s="48" t="s">
        <v>1398</v>
      </c>
      <c r="G1828" s="14" t="b">
        <f>OR(LCI_Table[[#This Row],[Feedstock]]="All",LCI_Table[[#This Row],[Feedstock]]=SelectedFeedstock)</f>
        <v>0</v>
      </c>
      <c r="H1828" s="14" t="b">
        <f>OR(LCI_Table[[#This Row],[Conversion]]="All",LCI_Table[[#This Row],[Conversion]]=SelectedConversion)</f>
        <v>0</v>
      </c>
      <c r="I1828" s="14" t="b">
        <f>OR(LCI_Table[[#This Row],[Data Set]]="all",LCI_Table[[#This Row],[Data Set]]=SelectedDataSet)</f>
        <v>0</v>
      </c>
      <c r="J1828" s="14" t="b">
        <f>OR(LCI_Table[[#This Row],[Technology]]="All",LCI_Table[[#This Row],[Technology]]=SelectedTechnology)</f>
        <v>0</v>
      </c>
      <c r="K1828" s="14" t="b">
        <f>OR(LCI_Table[[#This Row],[Data Source]]="All",LCI_Table[[#This Row],[Data Source]]=SelectedDataSource)</f>
        <v>0</v>
      </c>
      <c r="L1828" s="14" t="b">
        <f>TRUE</f>
        <v>1</v>
      </c>
      <c r="M1828" s="14" t="b">
        <f>(LCI_Table[[#This Row],[Dev Notes]]="Do not display")</f>
        <v>0</v>
      </c>
      <c r="N1828" s="14" t="b">
        <f>AND(LCI_Table[[#This Row],[Show Feedstock]:[Conditional]],NOT(LCI_Table[[#This Row],[Hide Row]]))</f>
        <v>0</v>
      </c>
      <c r="O1828" s="14" t="b">
        <f>LCI_Table[[#This Row],[GREET1 Name Range]]=""</f>
        <v>0</v>
      </c>
      <c r="P1828" s="14" t="s">
        <v>14</v>
      </c>
      <c r="Q1828" s="14" t="s">
        <v>817</v>
      </c>
      <c r="R1828" s="14" t="s">
        <v>108</v>
      </c>
      <c r="S1828" s="37" cm="1">
        <f t="array" aca="1" ref="S18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28" s="346" t="s">
        <v>2109</v>
      </c>
      <c r="U1828" s="347">
        <f ca="1">S1828*Fuel_Specs!$B$79/S1817</f>
        <v>0</v>
      </c>
      <c r="V1828" s="347">
        <v>0</v>
      </c>
      <c r="W1828" s="347">
        <v>0</v>
      </c>
      <c r="X1828" s="37" t="s">
        <v>351</v>
      </c>
      <c r="Y1828" s="346" t="s">
        <v>413</v>
      </c>
      <c r="Z1828" s="14" t="str">
        <f>IF(ISBLANK(LCI_Table[[#This Row],[Notes for user]])," ",LCI_Table[[#This Row],[Notes for user]])</f>
        <v xml:space="preserve"> </v>
      </c>
      <c r="AA1828" s="14"/>
      <c r="AB1828" s="14"/>
      <c r="AC1828" s="346">
        <f ca="1">LCI_Table[[#This Row],[Default Calculated Value]]-LCI_Table[[#This Row],[Calculated Value]]</f>
        <v>0</v>
      </c>
    </row>
    <row r="1829" spans="1:29" x14ac:dyDescent="0.3">
      <c r="A18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SwitchgrassATJ-ethanolICAOConsensusIntegrated_Switchgrass_Farming_CoalCoal</v>
      </c>
      <c r="B1829" s="14" t="s">
        <v>133</v>
      </c>
      <c r="C1829" s="14" t="s">
        <v>1964</v>
      </c>
      <c r="D1829" s="14" t="s">
        <v>194</v>
      </c>
      <c r="E1829" s="48" t="s">
        <v>1399</v>
      </c>
      <c r="F1829" s="48" t="s">
        <v>1398</v>
      </c>
      <c r="G1829" s="14" t="b">
        <f>OR(LCI_Table[[#This Row],[Feedstock]]="All",LCI_Table[[#This Row],[Feedstock]]=SelectedFeedstock)</f>
        <v>0</v>
      </c>
      <c r="H1829" s="14" t="b">
        <f>OR(LCI_Table[[#This Row],[Conversion]]="All",LCI_Table[[#This Row],[Conversion]]=SelectedConversion)</f>
        <v>0</v>
      </c>
      <c r="I1829" s="14" t="b">
        <f>OR(LCI_Table[[#This Row],[Data Set]]="all",LCI_Table[[#This Row],[Data Set]]=SelectedDataSet)</f>
        <v>0</v>
      </c>
      <c r="J1829" s="14" t="b">
        <f>OR(LCI_Table[[#This Row],[Technology]]="All",LCI_Table[[#This Row],[Technology]]=SelectedTechnology)</f>
        <v>0</v>
      </c>
      <c r="K1829" s="14" t="b">
        <f>OR(LCI_Table[[#This Row],[Data Source]]="All",LCI_Table[[#This Row],[Data Source]]=SelectedDataSource)</f>
        <v>0</v>
      </c>
      <c r="L1829" s="14" t="b">
        <f>TRUE</f>
        <v>1</v>
      </c>
      <c r="M1829" s="14" t="b">
        <f>(LCI_Table[[#This Row],[Dev Notes]]="Do not display")</f>
        <v>0</v>
      </c>
      <c r="N1829" s="14" t="b">
        <f>AND(LCI_Table[[#This Row],[Show Feedstock]:[Conditional]],NOT(LCI_Table[[#This Row],[Hide Row]]))</f>
        <v>0</v>
      </c>
      <c r="O1829" s="14" t="b">
        <f>LCI_Table[[#This Row],[GREET1 Name Range]]=""</f>
        <v>0</v>
      </c>
      <c r="P1829" s="14" t="s">
        <v>14</v>
      </c>
      <c r="Q1829" s="14" t="s">
        <v>808</v>
      </c>
      <c r="R1829" s="14" t="s">
        <v>9</v>
      </c>
      <c r="S1829" s="37" cm="1">
        <f t="array" aca="1" ref="S18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29" s="346" t="s">
        <v>2110</v>
      </c>
      <c r="U1829" s="347">
        <f ca="1">S1829/S1817</f>
        <v>0</v>
      </c>
      <c r="V1829" s="347">
        <v>0</v>
      </c>
      <c r="W1829" s="347">
        <v>0</v>
      </c>
      <c r="X1829" s="37" t="s">
        <v>117</v>
      </c>
      <c r="Y1829" s="346" t="s">
        <v>413</v>
      </c>
      <c r="Z1829" s="14" t="str">
        <f>IF(ISBLANK(LCI_Table[[#This Row],[Notes for user]])," ",LCI_Table[[#This Row],[Notes for user]])</f>
        <v xml:space="preserve"> </v>
      </c>
      <c r="AA1829" s="14"/>
      <c r="AB1829" s="14"/>
      <c r="AC1829" s="346">
        <f ca="1">LCI_Table[[#This Row],[Default Calculated Value]]-LCI_Table[[#This Row],[Calculated Value]]</f>
        <v>0</v>
      </c>
    </row>
    <row r="1830" spans="1:29" x14ac:dyDescent="0.3">
      <c r="A18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SwitchgrassATJ-ethanolICAOConsensusIntegrated_Switchgrass_Farming_LPGLPG</v>
      </c>
      <c r="B1830" s="14" t="s">
        <v>133</v>
      </c>
      <c r="C1830" s="14" t="s">
        <v>1964</v>
      </c>
      <c r="D1830" s="14" t="s">
        <v>194</v>
      </c>
      <c r="E1830" s="48" t="s">
        <v>1399</v>
      </c>
      <c r="F1830" s="48" t="s">
        <v>1398</v>
      </c>
      <c r="G1830" s="14" t="b">
        <f>OR(LCI_Table[[#This Row],[Feedstock]]="All",LCI_Table[[#This Row],[Feedstock]]=SelectedFeedstock)</f>
        <v>0</v>
      </c>
      <c r="H1830" s="14" t="b">
        <f>OR(LCI_Table[[#This Row],[Conversion]]="All",LCI_Table[[#This Row],[Conversion]]=SelectedConversion)</f>
        <v>0</v>
      </c>
      <c r="I1830" s="14" t="b">
        <f>OR(LCI_Table[[#This Row],[Data Set]]="all",LCI_Table[[#This Row],[Data Set]]=SelectedDataSet)</f>
        <v>0</v>
      </c>
      <c r="J1830" s="14" t="b">
        <f>OR(LCI_Table[[#This Row],[Technology]]="All",LCI_Table[[#This Row],[Technology]]=SelectedTechnology)</f>
        <v>0</v>
      </c>
      <c r="K1830" s="14" t="b">
        <f>OR(LCI_Table[[#This Row],[Data Source]]="All",LCI_Table[[#This Row],[Data Source]]=SelectedDataSource)</f>
        <v>0</v>
      </c>
      <c r="L1830" s="14" t="b">
        <f>TRUE</f>
        <v>1</v>
      </c>
      <c r="M1830" s="14" t="b">
        <f>(LCI_Table[[#This Row],[Dev Notes]]="Do not display")</f>
        <v>0</v>
      </c>
      <c r="N1830" s="14" t="b">
        <f>AND(LCI_Table[[#This Row],[Show Feedstock]:[Conditional]],NOT(LCI_Table[[#This Row],[Hide Row]]))</f>
        <v>0</v>
      </c>
      <c r="O1830" s="14" t="b">
        <f>LCI_Table[[#This Row],[GREET1 Name Range]]=""</f>
        <v>0</v>
      </c>
      <c r="P1830" s="14" t="s">
        <v>14</v>
      </c>
      <c r="Q1830" s="14" t="s">
        <v>816</v>
      </c>
      <c r="R1830" s="14" t="s">
        <v>109</v>
      </c>
      <c r="S1830" s="37" cm="1">
        <f t="array" aca="1" ref="S18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30" s="346" t="s">
        <v>1484</v>
      </c>
      <c r="U1830" s="347">
        <f ca="1">S1830*Fuel_Specs!$B$35/S1817</f>
        <v>0</v>
      </c>
      <c r="V1830" s="347">
        <v>0</v>
      </c>
      <c r="W1830" s="347">
        <v>0</v>
      </c>
      <c r="X1830" s="37" t="s">
        <v>5</v>
      </c>
      <c r="Y1830" s="346" t="s">
        <v>413</v>
      </c>
      <c r="Z1830" s="14" t="str">
        <f>IF(ISBLANK(LCI_Table[[#This Row],[Notes for user]])," ",LCI_Table[[#This Row],[Notes for user]])</f>
        <v xml:space="preserve"> </v>
      </c>
      <c r="AA1830" s="14"/>
      <c r="AB1830" s="14"/>
      <c r="AC1830" s="346">
        <f ca="1">LCI_Table[[#This Row],[Default Calculated Value]]-LCI_Table[[#This Row],[Calculated Value]]</f>
        <v>0</v>
      </c>
    </row>
    <row r="1831" spans="1:29" x14ac:dyDescent="0.3">
      <c r="A18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SwitchgrassATJ-ethanolICAOConsensusIntegrated_Switchgrass_Farming_ElectricityElectricity</v>
      </c>
      <c r="B1831" s="14" t="s">
        <v>133</v>
      </c>
      <c r="C1831" s="14" t="s">
        <v>1964</v>
      </c>
      <c r="D1831" s="14" t="s">
        <v>194</v>
      </c>
      <c r="E1831" s="48" t="s">
        <v>1399</v>
      </c>
      <c r="F1831" s="48" t="s">
        <v>1398</v>
      </c>
      <c r="G1831" s="14" t="b">
        <f>OR(LCI_Table[[#This Row],[Feedstock]]="All",LCI_Table[[#This Row],[Feedstock]]=SelectedFeedstock)</f>
        <v>0</v>
      </c>
      <c r="H1831" s="14" t="b">
        <f>OR(LCI_Table[[#This Row],[Conversion]]="All",LCI_Table[[#This Row],[Conversion]]=SelectedConversion)</f>
        <v>0</v>
      </c>
      <c r="I1831" s="14" t="b">
        <f>OR(LCI_Table[[#This Row],[Data Set]]="all",LCI_Table[[#This Row],[Data Set]]=SelectedDataSet)</f>
        <v>0</v>
      </c>
      <c r="J1831" s="14" t="b">
        <f>OR(LCI_Table[[#This Row],[Technology]]="All",LCI_Table[[#This Row],[Technology]]=SelectedTechnology)</f>
        <v>0</v>
      </c>
      <c r="K1831" s="14" t="b">
        <f>OR(LCI_Table[[#This Row],[Data Source]]="All",LCI_Table[[#This Row],[Data Source]]=SelectedDataSource)</f>
        <v>0</v>
      </c>
      <c r="L1831" s="14" t="b">
        <f>TRUE</f>
        <v>1</v>
      </c>
      <c r="M1831" s="14" t="b">
        <f>(LCI_Table[[#This Row],[Dev Notes]]="Do not display")</f>
        <v>0</v>
      </c>
      <c r="N1831" s="14" t="b">
        <f>AND(LCI_Table[[#This Row],[Show Feedstock]:[Conditional]],NOT(LCI_Table[[#This Row],[Hide Row]]))</f>
        <v>0</v>
      </c>
      <c r="O1831" s="14" t="b">
        <f>LCI_Table[[#This Row],[GREET1 Name Range]]=""</f>
        <v>0</v>
      </c>
      <c r="P1831" s="14" t="s">
        <v>14</v>
      </c>
      <c r="Q1831" s="14" t="s">
        <v>810</v>
      </c>
      <c r="R1831" s="348" t="s">
        <v>110</v>
      </c>
      <c r="S1831" s="37" cm="1">
        <f t="array" aca="1" ref="S18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8.2582211365576494</v>
      </c>
      <c r="T1831" s="346" t="s">
        <v>1561</v>
      </c>
      <c r="U1831" s="347">
        <f ca="1">S1831/BTU2kWh/S1817</f>
        <v>4858.3138319999898</v>
      </c>
      <c r="V1831" s="347">
        <v>8.2582211365576494</v>
      </c>
      <c r="W1831" s="347">
        <v>4858.3138319999898</v>
      </c>
      <c r="X1831" s="37" t="s">
        <v>51</v>
      </c>
      <c r="Y1831" s="346" t="s">
        <v>413</v>
      </c>
      <c r="Z1831" s="14" t="str">
        <f>IF(ISBLANK(LCI_Table[[#This Row],[Notes for user]])," ",LCI_Table[[#This Row],[Notes for user]])</f>
        <v xml:space="preserve"> </v>
      </c>
      <c r="AA1831" s="14"/>
      <c r="AB1831" s="14"/>
      <c r="AC1831" s="346">
        <f ca="1">LCI_Table[[#This Row],[Default Calculated Value]]-LCI_Table[[#This Row],[Calculated Value]]</f>
        <v>0</v>
      </c>
    </row>
    <row r="1832" spans="1:29" x14ac:dyDescent="0.3">
      <c r="A18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SwitchgrassATJ-ethanolICAOConsensusIntegrated_JetFuel_ETJet_BiomassFeedstockSelector</v>
      </c>
      <c r="B1832" s="14" t="s">
        <v>133</v>
      </c>
      <c r="C1832" s="14" t="s">
        <v>1964</v>
      </c>
      <c r="D1832" s="14" t="s">
        <v>194</v>
      </c>
      <c r="E1832" s="48" t="s">
        <v>1399</v>
      </c>
      <c r="F1832" s="48" t="s">
        <v>1398</v>
      </c>
      <c r="G1832" s="14" t="b">
        <f>OR(LCI_Table[[#This Row],[Feedstock]]="All",LCI_Table[[#This Row],[Feedstock]]=SelectedFeedstock)</f>
        <v>0</v>
      </c>
      <c r="H1832" s="14" t="b">
        <f>OR(LCI_Table[[#This Row],[Conversion]]="All",LCI_Table[[#This Row],[Conversion]]=SelectedConversion)</f>
        <v>0</v>
      </c>
      <c r="I1832" s="14" t="b">
        <f>OR(LCI_Table[[#This Row],[Data Set]]="all",LCI_Table[[#This Row],[Data Set]]=SelectedDataSet)</f>
        <v>0</v>
      </c>
      <c r="J1832" s="14" t="b">
        <f>OR(LCI_Table[[#This Row],[Technology]]="All",LCI_Table[[#This Row],[Technology]]=SelectedTechnology)</f>
        <v>0</v>
      </c>
      <c r="K1832" s="14" t="b">
        <f>OR(LCI_Table[[#This Row],[Data Source]]="All",LCI_Table[[#This Row],[Data Source]]=SelectedDataSource)</f>
        <v>0</v>
      </c>
      <c r="L1832" s="14" t="b">
        <f>TRUE</f>
        <v>1</v>
      </c>
      <c r="M1832" s="14" t="b">
        <f>(LCI_Table[[#This Row],[Dev Notes]]="Do not display")</f>
        <v>1</v>
      </c>
      <c r="N1832" s="14" t="b">
        <f>AND(LCI_Table[[#This Row],[Show Feedstock]:[Conditional]],NOT(LCI_Table[[#This Row],[Hide Row]]))</f>
        <v>0</v>
      </c>
      <c r="O1832" s="14" t="b">
        <f>LCI_Table[[#This Row],[GREET1 Name Range]]=""</f>
        <v>0</v>
      </c>
      <c r="P1832" s="14" t="s">
        <v>1448</v>
      </c>
      <c r="Q1832" s="14" t="s">
        <v>86</v>
      </c>
      <c r="R1832" s="348" t="s">
        <v>902</v>
      </c>
      <c r="S1832" s="37" cm="1">
        <f t="array" aca="1" ref="S18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v>
      </c>
      <c r="T1832" s="346" t="s">
        <v>2132</v>
      </c>
      <c r="U1832" s="352">
        <v>3</v>
      </c>
      <c r="V1832" s="352">
        <v>3</v>
      </c>
      <c r="W1832" s="352">
        <v>3</v>
      </c>
      <c r="X1832" s="356"/>
      <c r="Y1832" s="346" t="s">
        <v>416</v>
      </c>
      <c r="Z1832" s="14" t="str">
        <f>IF(ISBLANK(LCI_Table[[#This Row],[Notes for user]])," ",LCI_Table[[#This Row],[Notes for user]])</f>
        <v xml:space="preserve"> </v>
      </c>
      <c r="AA1832" s="14"/>
      <c r="AB1832" s="348" t="s">
        <v>1138</v>
      </c>
      <c r="AC1832" s="346">
        <f>LCI_Table[[#This Row],[Default Calculated Value]]-LCI_Table[[#This Row],[Calculated Value]]</f>
        <v>0</v>
      </c>
    </row>
    <row r="1833" spans="1:29" x14ac:dyDescent="0.3">
      <c r="A18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SwitchgrassATJ-ethanolICAOConsensusIntegrated_Cellulosic_ETJ_FeedSwitchgrass</v>
      </c>
      <c r="B1833" s="14" t="s">
        <v>133</v>
      </c>
      <c r="C1833" s="14" t="s">
        <v>1964</v>
      </c>
      <c r="D1833" s="14" t="s">
        <v>194</v>
      </c>
      <c r="E1833" s="48" t="s">
        <v>1399</v>
      </c>
      <c r="F1833" s="48" t="s">
        <v>1398</v>
      </c>
      <c r="G1833" s="14" t="b">
        <f>OR(LCI_Table[[#This Row],[Feedstock]]="All",LCI_Table[[#This Row],[Feedstock]]=SelectedFeedstock)</f>
        <v>0</v>
      </c>
      <c r="H1833" s="14" t="b">
        <f>OR(LCI_Table[[#This Row],[Conversion]]="All",LCI_Table[[#This Row],[Conversion]]=SelectedConversion)</f>
        <v>0</v>
      </c>
      <c r="I1833" s="14" t="b">
        <f>OR(LCI_Table[[#This Row],[Data Set]]="all",LCI_Table[[#This Row],[Data Set]]=SelectedDataSet)</f>
        <v>0</v>
      </c>
      <c r="J1833" s="14" t="b">
        <f>OR(LCI_Table[[#This Row],[Technology]]="All",LCI_Table[[#This Row],[Technology]]=SelectedTechnology)</f>
        <v>0</v>
      </c>
      <c r="K1833" s="14" t="b">
        <f>OR(LCI_Table[[#This Row],[Data Source]]="All",LCI_Table[[#This Row],[Data Source]]=SelectedDataSource)</f>
        <v>0</v>
      </c>
      <c r="L1833" s="14" t="b">
        <f>TRUE</f>
        <v>1</v>
      </c>
      <c r="M1833" s="14" t="b">
        <f>(LCI_Table[[#This Row],[Dev Notes]]="Do not display")</f>
        <v>0</v>
      </c>
      <c r="N1833" s="14" t="b">
        <f>AND(LCI_Table[[#This Row],[Show Feedstock]:[Conditional]],NOT(LCI_Table[[#This Row],[Hide Row]]))</f>
        <v>0</v>
      </c>
      <c r="O1833" s="14" t="b">
        <f>LCI_Table[[#This Row],[GREET1 Name Range]]=""</f>
        <v>0</v>
      </c>
      <c r="P1833" s="14" t="s">
        <v>1448</v>
      </c>
      <c r="Q1833" s="14" t="s">
        <v>562</v>
      </c>
      <c r="R1833" s="14" t="s">
        <v>133</v>
      </c>
      <c r="S1833" s="37" cm="1">
        <f t="array" aca="1" ref="S18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325.13563661946142</v>
      </c>
      <c r="T1833" s="346" t="s">
        <v>2119</v>
      </c>
      <c r="U1833" s="362">
        <f ca="1">S1833/kg2lb/mmBTU2MJ</f>
        <v>0.13978316312418912</v>
      </c>
      <c r="V1833" s="347">
        <v>325.13563661946142</v>
      </c>
      <c r="W1833" s="362">
        <v>0.13978316312418912</v>
      </c>
      <c r="X1833" s="14" t="s">
        <v>12</v>
      </c>
      <c r="Y1833" s="346" t="s">
        <v>416</v>
      </c>
      <c r="Z1833" s="14" t="str">
        <f>IF(ISBLANK(LCI_Table[[#This Row],[Notes for user]])," ",LCI_Table[[#This Row],[Notes for user]])</f>
        <v xml:space="preserve"> </v>
      </c>
      <c r="AA1833" s="358"/>
      <c r="AB1833" s="358" t="s">
        <v>921</v>
      </c>
      <c r="AC1833" s="346">
        <f ca="1">LCI_Table[[#This Row],[Default Calculated Value]]-LCI_Table[[#This Row],[Calculated Value]]</f>
        <v>0</v>
      </c>
    </row>
    <row r="1834" spans="1:29" x14ac:dyDescent="0.3">
      <c r="A18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SwitchgrassATJ-ethanolICAOConsensusIntegrated_Cellulosic_ETJ_AlphaAmylaseAlpha-amylase</v>
      </c>
      <c r="B1834" s="14" t="s">
        <v>133</v>
      </c>
      <c r="C1834" s="14" t="s">
        <v>1964</v>
      </c>
      <c r="D1834" s="14" t="s">
        <v>194</v>
      </c>
      <c r="E1834" s="48" t="s">
        <v>1399</v>
      </c>
      <c r="F1834" s="48" t="s">
        <v>1398</v>
      </c>
      <c r="G1834" s="14" t="b">
        <f>OR(LCI_Table[[#This Row],[Feedstock]]="All",LCI_Table[[#This Row],[Feedstock]]=SelectedFeedstock)</f>
        <v>0</v>
      </c>
      <c r="H1834" s="14" t="b">
        <f>OR(LCI_Table[[#This Row],[Conversion]]="All",LCI_Table[[#This Row],[Conversion]]=SelectedConversion)</f>
        <v>0</v>
      </c>
      <c r="I1834" s="14" t="b">
        <f>OR(LCI_Table[[#This Row],[Data Set]]="all",LCI_Table[[#This Row],[Data Set]]=SelectedDataSet)</f>
        <v>0</v>
      </c>
      <c r="J1834" s="14" t="b">
        <f>OR(LCI_Table[[#This Row],[Technology]]="All",LCI_Table[[#This Row],[Technology]]=SelectedTechnology)</f>
        <v>0</v>
      </c>
      <c r="K1834" s="14" t="b">
        <f>OR(LCI_Table[[#This Row],[Data Source]]="All",LCI_Table[[#This Row],[Data Source]]=SelectedDataSource)</f>
        <v>0</v>
      </c>
      <c r="L1834" s="14" t="b">
        <f>TRUE</f>
        <v>1</v>
      </c>
      <c r="M1834" s="14" t="b">
        <f>(LCI_Table[[#This Row],[Dev Notes]]="Do not display")</f>
        <v>0</v>
      </c>
      <c r="N1834" s="14" t="b">
        <f>AND(LCI_Table[[#This Row],[Show Feedstock]:[Conditional]],NOT(LCI_Table[[#This Row],[Hide Row]]))</f>
        <v>0</v>
      </c>
      <c r="O1834" s="14" t="b">
        <f>LCI_Table[[#This Row],[GREET1 Name Range]]=""</f>
        <v>0</v>
      </c>
      <c r="P1834" s="14" t="s">
        <v>1448</v>
      </c>
      <c r="Q1834" s="14" t="s">
        <v>942</v>
      </c>
      <c r="R1834" s="14" t="s">
        <v>353</v>
      </c>
      <c r="S1834" s="37" cm="1">
        <f t="array" aca="1" ref="S18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34" s="346" t="s">
        <v>2119</v>
      </c>
      <c r="U1834" s="357">
        <f ca="1">S1834/kg2lb/mmBTU2MJ/mmBTU2MJ</f>
        <v>0</v>
      </c>
      <c r="V1834" s="347">
        <v>0</v>
      </c>
      <c r="W1834" s="357">
        <v>0</v>
      </c>
      <c r="X1834" s="14" t="s">
        <v>12</v>
      </c>
      <c r="Y1834" s="346" t="s">
        <v>416</v>
      </c>
      <c r="Z1834" s="14" t="str">
        <f>IF(ISBLANK(LCI_Table[[#This Row],[Notes for user]])," ",LCI_Table[[#This Row],[Notes for user]])</f>
        <v xml:space="preserve"> </v>
      </c>
      <c r="AA1834" s="14"/>
      <c r="AB1834" s="14"/>
      <c r="AC1834" s="346">
        <f ca="1">LCI_Table[[#This Row],[Default Calculated Value]]-LCI_Table[[#This Row],[Calculated Value]]</f>
        <v>0</v>
      </c>
    </row>
    <row r="1835" spans="1:29" x14ac:dyDescent="0.3">
      <c r="A18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SwitchgrassATJ-ethanolICAOConsensusIntegrated_Cellulosic_ETJ_GlucoAmylaseGluco-amylase</v>
      </c>
      <c r="B1835" s="14" t="s">
        <v>133</v>
      </c>
      <c r="C1835" s="14" t="s">
        <v>1964</v>
      </c>
      <c r="D1835" s="14" t="s">
        <v>194</v>
      </c>
      <c r="E1835" s="48" t="s">
        <v>1399</v>
      </c>
      <c r="F1835" s="48" t="s">
        <v>1398</v>
      </c>
      <c r="G1835" s="14" t="b">
        <f>OR(LCI_Table[[#This Row],[Feedstock]]="All",LCI_Table[[#This Row],[Feedstock]]=SelectedFeedstock)</f>
        <v>0</v>
      </c>
      <c r="H1835" s="14" t="b">
        <f>OR(LCI_Table[[#This Row],[Conversion]]="All",LCI_Table[[#This Row],[Conversion]]=SelectedConversion)</f>
        <v>0</v>
      </c>
      <c r="I1835" s="14" t="b">
        <f>OR(LCI_Table[[#This Row],[Data Set]]="all",LCI_Table[[#This Row],[Data Set]]=SelectedDataSet)</f>
        <v>0</v>
      </c>
      <c r="J1835" s="14" t="b">
        <f>OR(LCI_Table[[#This Row],[Technology]]="All",LCI_Table[[#This Row],[Technology]]=SelectedTechnology)</f>
        <v>0</v>
      </c>
      <c r="K1835" s="14" t="b">
        <f>OR(LCI_Table[[#This Row],[Data Source]]="All",LCI_Table[[#This Row],[Data Source]]=SelectedDataSource)</f>
        <v>0</v>
      </c>
      <c r="L1835" s="14" t="b">
        <f>TRUE</f>
        <v>1</v>
      </c>
      <c r="M1835" s="14" t="b">
        <f>(LCI_Table[[#This Row],[Dev Notes]]="Do not display")</f>
        <v>0</v>
      </c>
      <c r="N1835" s="14" t="b">
        <f>AND(LCI_Table[[#This Row],[Show Feedstock]:[Conditional]],NOT(LCI_Table[[#This Row],[Hide Row]]))</f>
        <v>0</v>
      </c>
      <c r="O1835" s="14" t="b">
        <f>LCI_Table[[#This Row],[GREET1 Name Range]]=""</f>
        <v>0</v>
      </c>
      <c r="P1835" s="14" t="s">
        <v>1448</v>
      </c>
      <c r="Q1835" s="14" t="s">
        <v>943</v>
      </c>
      <c r="R1835" s="14" t="s">
        <v>354</v>
      </c>
      <c r="S1835" s="37" cm="1">
        <f t="array" aca="1" ref="S18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35" s="346" t="s">
        <v>2119</v>
      </c>
      <c r="U1835" s="357">
        <f t="shared" ref="U1835" ca="1" si="82">S1835/kg2lb/mmBTU2MJ</f>
        <v>0</v>
      </c>
      <c r="V1835" s="347">
        <v>0</v>
      </c>
      <c r="W1835" s="357">
        <v>0</v>
      </c>
      <c r="X1835" s="14" t="s">
        <v>12</v>
      </c>
      <c r="Y1835" s="346" t="s">
        <v>416</v>
      </c>
      <c r="Z1835" s="14" t="str">
        <f>IF(ISBLANK(LCI_Table[[#This Row],[Notes for user]])," ",LCI_Table[[#This Row],[Notes for user]])</f>
        <v xml:space="preserve"> </v>
      </c>
      <c r="AA1835" s="14"/>
      <c r="AB1835" s="14"/>
      <c r="AC1835" s="346">
        <f ca="1">LCI_Table[[#This Row],[Default Calculated Value]]-LCI_Table[[#This Row],[Calculated Value]]</f>
        <v>0</v>
      </c>
    </row>
    <row r="1836" spans="1:29" x14ac:dyDescent="0.3">
      <c r="A18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SwitchgrassATJ-ethanolICAOConsensusIntegrated_Cellulosic_ETJ_YeastYeast</v>
      </c>
      <c r="B1836" s="14" t="s">
        <v>133</v>
      </c>
      <c r="C1836" s="14" t="s">
        <v>1964</v>
      </c>
      <c r="D1836" s="14" t="s">
        <v>194</v>
      </c>
      <c r="E1836" s="48" t="s">
        <v>1399</v>
      </c>
      <c r="F1836" s="48" t="s">
        <v>1398</v>
      </c>
      <c r="G1836" s="14" t="b">
        <f>OR(LCI_Table[[#This Row],[Feedstock]]="All",LCI_Table[[#This Row],[Feedstock]]=SelectedFeedstock)</f>
        <v>0</v>
      </c>
      <c r="H1836" s="14" t="b">
        <f>OR(LCI_Table[[#This Row],[Conversion]]="All",LCI_Table[[#This Row],[Conversion]]=SelectedConversion)</f>
        <v>0</v>
      </c>
      <c r="I1836" s="14" t="b">
        <f>OR(LCI_Table[[#This Row],[Data Set]]="all",LCI_Table[[#This Row],[Data Set]]=SelectedDataSet)</f>
        <v>0</v>
      </c>
      <c r="J1836" s="14" t="b">
        <f>OR(LCI_Table[[#This Row],[Technology]]="All",LCI_Table[[#This Row],[Technology]]=SelectedTechnology)</f>
        <v>0</v>
      </c>
      <c r="K1836" s="14" t="b">
        <f>OR(LCI_Table[[#This Row],[Data Source]]="All",LCI_Table[[#This Row],[Data Source]]=SelectedDataSource)</f>
        <v>0</v>
      </c>
      <c r="L1836" s="14" t="b">
        <f>TRUE</f>
        <v>1</v>
      </c>
      <c r="M1836" s="14" t="b">
        <f>(LCI_Table[[#This Row],[Dev Notes]]="Do not display")</f>
        <v>0</v>
      </c>
      <c r="N1836" s="14" t="b">
        <f>AND(LCI_Table[[#This Row],[Show Feedstock]:[Conditional]],NOT(LCI_Table[[#This Row],[Hide Row]]))</f>
        <v>0</v>
      </c>
      <c r="O1836" s="14" t="b">
        <f>LCI_Table[[#This Row],[GREET1 Name Range]]=""</f>
        <v>0</v>
      </c>
      <c r="P1836" s="14" t="s">
        <v>1448</v>
      </c>
      <c r="Q1836" s="14" t="s">
        <v>944</v>
      </c>
      <c r="R1836" s="14" t="s">
        <v>145</v>
      </c>
      <c r="S1836" s="37" cm="1">
        <f t="array" aca="1" ref="S18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0.80958773518245875</v>
      </c>
      <c r="T1836" s="346" t="s">
        <v>2119</v>
      </c>
      <c r="U1836" s="357">
        <f t="shared" ref="U1836" ca="1" si="83">S1836/kg2lb/mmBTU2MJ</f>
        <v>3.4806007617923081E-4</v>
      </c>
      <c r="V1836" s="347">
        <v>0.80958773518245875</v>
      </c>
      <c r="W1836" s="357">
        <v>3.4806007617923081E-4</v>
      </c>
      <c r="X1836" s="14" t="s">
        <v>12</v>
      </c>
      <c r="Y1836" s="346" t="s">
        <v>416</v>
      </c>
      <c r="Z1836" s="14" t="str">
        <f>IF(ISBLANK(LCI_Table[[#This Row],[Notes for user]])," ",LCI_Table[[#This Row],[Notes for user]])</f>
        <v xml:space="preserve"> </v>
      </c>
      <c r="AA1836" s="14"/>
      <c r="AB1836" s="14"/>
      <c r="AC1836" s="346">
        <f ca="1">LCI_Table[[#This Row],[Default Calculated Value]]-LCI_Table[[#This Row],[Calculated Value]]</f>
        <v>0</v>
      </c>
    </row>
    <row r="1837" spans="1:29" x14ac:dyDescent="0.3">
      <c r="A18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SwitchgrassATJ-ethanolICAOConsensusIntegrated_Cellulosic_ETJ_GlucoseGlucose</v>
      </c>
      <c r="B1837" s="14" t="s">
        <v>133</v>
      </c>
      <c r="C1837" s="14" t="s">
        <v>1964</v>
      </c>
      <c r="D1837" s="14" t="s">
        <v>194</v>
      </c>
      <c r="E1837" s="48" t="s">
        <v>1399</v>
      </c>
      <c r="F1837" s="48" t="s">
        <v>1398</v>
      </c>
      <c r="G1837" s="14" t="b">
        <f>OR(LCI_Table[[#This Row],[Feedstock]]="All",LCI_Table[[#This Row],[Feedstock]]=SelectedFeedstock)</f>
        <v>0</v>
      </c>
      <c r="H1837" s="14" t="b">
        <f>OR(LCI_Table[[#This Row],[Conversion]]="All",LCI_Table[[#This Row],[Conversion]]=SelectedConversion)</f>
        <v>0</v>
      </c>
      <c r="I1837" s="14" t="b">
        <f>OR(LCI_Table[[#This Row],[Data Set]]="all",LCI_Table[[#This Row],[Data Set]]=SelectedDataSet)</f>
        <v>0</v>
      </c>
      <c r="J1837" s="14" t="b">
        <f>OR(LCI_Table[[#This Row],[Technology]]="All",LCI_Table[[#This Row],[Technology]]=SelectedTechnology)</f>
        <v>0</v>
      </c>
      <c r="K1837" s="14" t="b">
        <f>OR(LCI_Table[[#This Row],[Data Source]]="All",LCI_Table[[#This Row],[Data Source]]=SelectedDataSource)</f>
        <v>0</v>
      </c>
      <c r="L1837" s="14" t="b">
        <f>TRUE</f>
        <v>1</v>
      </c>
      <c r="M1837" s="14" t="b">
        <f>(LCI_Table[[#This Row],[Dev Notes]]="Do not display")</f>
        <v>0</v>
      </c>
      <c r="N1837" s="14" t="b">
        <f>AND(LCI_Table[[#This Row],[Show Feedstock]:[Conditional]],NOT(LCI_Table[[#This Row],[Hide Row]]))</f>
        <v>0</v>
      </c>
      <c r="O1837" s="14" t="b">
        <f>LCI_Table[[#This Row],[GREET1 Name Range]]=""</f>
        <v>0</v>
      </c>
      <c r="P1837" s="14" t="s">
        <v>1448</v>
      </c>
      <c r="Q1837" s="14" t="s">
        <v>563</v>
      </c>
      <c r="R1837" s="14" t="s">
        <v>387</v>
      </c>
      <c r="S1837" s="37" cm="1">
        <f t="array" aca="1" ref="S18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37" s="346" t="s">
        <v>2119</v>
      </c>
      <c r="U1837" s="357">
        <f t="shared" ref="U1837" ca="1" si="84">S1837/kg2lb/mmBTU2MJ</f>
        <v>0</v>
      </c>
      <c r="V1837" s="347">
        <v>0</v>
      </c>
      <c r="W1837" s="357">
        <v>0</v>
      </c>
      <c r="X1837" s="14" t="s">
        <v>12</v>
      </c>
      <c r="Y1837" s="346" t="s">
        <v>416</v>
      </c>
      <c r="Z1837" s="14" t="str">
        <f>IF(ISBLANK(LCI_Table[[#This Row],[Notes for user]])," ",LCI_Table[[#This Row],[Notes for user]])</f>
        <v xml:space="preserve"> </v>
      </c>
      <c r="AA1837" s="14"/>
      <c r="AB1837" s="14"/>
      <c r="AC1837" s="346">
        <f ca="1">LCI_Table[[#This Row],[Default Calculated Value]]-LCI_Table[[#This Row],[Calculated Value]]</f>
        <v>0</v>
      </c>
    </row>
    <row r="1838" spans="1:29" x14ac:dyDescent="0.3">
      <c r="A18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SwitchgrassATJ-ethanolICAOConsensusIntegrated_Cellulosic_ETJ_Sulfuric_acidSulfuric acid</v>
      </c>
      <c r="B1838" s="14" t="s">
        <v>133</v>
      </c>
      <c r="C1838" s="14" t="s">
        <v>1964</v>
      </c>
      <c r="D1838" s="14" t="s">
        <v>194</v>
      </c>
      <c r="E1838" s="48" t="s">
        <v>1399</v>
      </c>
      <c r="F1838" s="48" t="s">
        <v>1398</v>
      </c>
      <c r="G1838" s="14" t="b">
        <f>OR(LCI_Table[[#This Row],[Feedstock]]="All",LCI_Table[[#This Row],[Feedstock]]=SelectedFeedstock)</f>
        <v>0</v>
      </c>
      <c r="H1838" s="14" t="b">
        <f>OR(LCI_Table[[#This Row],[Conversion]]="All",LCI_Table[[#This Row],[Conversion]]=SelectedConversion)</f>
        <v>0</v>
      </c>
      <c r="I1838" s="14" t="b">
        <f>OR(LCI_Table[[#This Row],[Data Set]]="all",LCI_Table[[#This Row],[Data Set]]=SelectedDataSet)</f>
        <v>0</v>
      </c>
      <c r="J1838" s="14" t="b">
        <f>OR(LCI_Table[[#This Row],[Technology]]="All",LCI_Table[[#This Row],[Technology]]=SelectedTechnology)</f>
        <v>0</v>
      </c>
      <c r="K1838" s="14" t="b">
        <f>OR(LCI_Table[[#This Row],[Data Source]]="All",LCI_Table[[#This Row],[Data Source]]=SelectedDataSource)</f>
        <v>0</v>
      </c>
      <c r="L1838" s="14" t="b">
        <f>TRUE</f>
        <v>1</v>
      </c>
      <c r="M1838" s="14" t="b">
        <f>(LCI_Table[[#This Row],[Dev Notes]]="Do not display")</f>
        <v>0</v>
      </c>
      <c r="N1838" s="14" t="b">
        <f>AND(LCI_Table[[#This Row],[Show Feedstock]:[Conditional]],NOT(LCI_Table[[#This Row],[Hide Row]]))</f>
        <v>0</v>
      </c>
      <c r="O1838" s="14" t="b">
        <f>LCI_Table[[#This Row],[GREET1 Name Range]]=""</f>
        <v>0</v>
      </c>
      <c r="P1838" s="14" t="s">
        <v>1448</v>
      </c>
      <c r="Q1838" s="14" t="s">
        <v>567</v>
      </c>
      <c r="R1838" s="14" t="s">
        <v>384</v>
      </c>
      <c r="S1838" s="37" cm="1">
        <f t="array" aca="1" ref="S18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10.547481335844481</v>
      </c>
      <c r="T1838" s="346" t="s">
        <v>2119</v>
      </c>
      <c r="U1838" s="357">
        <f t="shared" ref="U1838" ca="1" si="85">S1838/kg2lb/mmBTU2MJ</f>
        <v>4.5346007575394753E-3</v>
      </c>
      <c r="V1838" s="347">
        <v>10.547481335844481</v>
      </c>
      <c r="W1838" s="357">
        <v>4.5346007575394753E-3</v>
      </c>
      <c r="X1838" s="14" t="s">
        <v>12</v>
      </c>
      <c r="Y1838" s="346" t="s">
        <v>416</v>
      </c>
      <c r="Z1838" s="14" t="str">
        <f>IF(ISBLANK(LCI_Table[[#This Row],[Notes for user]])," ",LCI_Table[[#This Row],[Notes for user]])</f>
        <v xml:space="preserve"> </v>
      </c>
      <c r="AA1838" s="14"/>
      <c r="AB1838" s="14"/>
      <c r="AC1838" s="346">
        <f ca="1">LCI_Table[[#This Row],[Default Calculated Value]]-LCI_Table[[#This Row],[Calculated Value]]</f>
        <v>0</v>
      </c>
    </row>
    <row r="1839" spans="1:29" x14ac:dyDescent="0.3">
      <c r="A18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SwitchgrassATJ-ethanolICAOConsensusIntegrated_Cellulosic_ETJ_AmmoniaAmmonia</v>
      </c>
      <c r="B1839" s="14" t="s">
        <v>133</v>
      </c>
      <c r="C1839" s="14" t="s">
        <v>1964</v>
      </c>
      <c r="D1839" s="14" t="s">
        <v>194</v>
      </c>
      <c r="E1839" s="48" t="s">
        <v>1399</v>
      </c>
      <c r="F1839" s="48" t="s">
        <v>1398</v>
      </c>
      <c r="G1839" s="14" t="b">
        <f>OR(LCI_Table[[#This Row],[Feedstock]]="All",LCI_Table[[#This Row],[Feedstock]]=SelectedFeedstock)</f>
        <v>0</v>
      </c>
      <c r="H1839" s="14" t="b">
        <f>OR(LCI_Table[[#This Row],[Conversion]]="All",LCI_Table[[#This Row],[Conversion]]=SelectedConversion)</f>
        <v>0</v>
      </c>
      <c r="I1839" s="14" t="b">
        <f>OR(LCI_Table[[#This Row],[Data Set]]="all",LCI_Table[[#This Row],[Data Set]]=SelectedDataSet)</f>
        <v>0</v>
      </c>
      <c r="J1839" s="14" t="b">
        <f>OR(LCI_Table[[#This Row],[Technology]]="All",LCI_Table[[#This Row],[Technology]]=SelectedTechnology)</f>
        <v>0</v>
      </c>
      <c r="K1839" s="14" t="b">
        <f>OR(LCI_Table[[#This Row],[Data Source]]="All",LCI_Table[[#This Row],[Data Source]]=SelectedDataSource)</f>
        <v>0</v>
      </c>
      <c r="L1839" s="14" t="b">
        <f>TRUE</f>
        <v>1</v>
      </c>
      <c r="M1839" s="14" t="b">
        <f>(LCI_Table[[#This Row],[Dev Notes]]="Do not display")</f>
        <v>0</v>
      </c>
      <c r="N1839" s="14" t="b">
        <f>AND(LCI_Table[[#This Row],[Show Feedstock]:[Conditional]],NOT(LCI_Table[[#This Row],[Hide Row]]))</f>
        <v>0</v>
      </c>
      <c r="O1839" s="14" t="b">
        <f>LCI_Table[[#This Row],[GREET1 Name Range]]=""</f>
        <v>0</v>
      </c>
      <c r="P1839" s="14" t="s">
        <v>1448</v>
      </c>
      <c r="Q1839" s="14" t="s">
        <v>557</v>
      </c>
      <c r="R1839" s="14" t="s">
        <v>382</v>
      </c>
      <c r="S1839" s="37" cm="1">
        <f t="array" aca="1" ref="S18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1.2656977603013373</v>
      </c>
      <c r="T1839" s="346" t="s">
        <v>2119</v>
      </c>
      <c r="U1839" s="357">
        <f t="shared" ref="U1839" ca="1" si="86">S1839/kg2lb/mmBTU2MJ</f>
        <v>5.4415209090473676E-4</v>
      </c>
      <c r="V1839" s="347">
        <v>1.2656977603013373</v>
      </c>
      <c r="W1839" s="357">
        <v>5.4415209090473676E-4</v>
      </c>
      <c r="X1839" s="14" t="s">
        <v>12</v>
      </c>
      <c r="Y1839" s="346" t="s">
        <v>416</v>
      </c>
      <c r="Z1839" s="14" t="str">
        <f>IF(ISBLANK(LCI_Table[[#This Row],[Notes for user]])," ",LCI_Table[[#This Row],[Notes for user]])</f>
        <v xml:space="preserve"> </v>
      </c>
      <c r="AA1839" s="14"/>
      <c r="AB1839" s="14"/>
      <c r="AC1839" s="346">
        <f ca="1">LCI_Table[[#This Row],[Default Calculated Value]]-LCI_Table[[#This Row],[Calculated Value]]</f>
        <v>0</v>
      </c>
    </row>
    <row r="1840" spans="1:29" x14ac:dyDescent="0.3">
      <c r="A18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SwitchgrassATJ-ethanolICAOConsensusIntegrated_Cellulosic_ETJ_Corn_steep_liquorCorn steep liquor</v>
      </c>
      <c r="B1840" s="14" t="s">
        <v>133</v>
      </c>
      <c r="C1840" s="14" t="s">
        <v>1964</v>
      </c>
      <c r="D1840" s="14" t="s">
        <v>194</v>
      </c>
      <c r="E1840" s="48" t="s">
        <v>1399</v>
      </c>
      <c r="F1840" s="48" t="s">
        <v>1398</v>
      </c>
      <c r="G1840" s="14" t="b">
        <f>OR(LCI_Table[[#This Row],[Feedstock]]="All",LCI_Table[[#This Row],[Feedstock]]=SelectedFeedstock)</f>
        <v>0</v>
      </c>
      <c r="H1840" s="14" t="b">
        <f>OR(LCI_Table[[#This Row],[Conversion]]="All",LCI_Table[[#This Row],[Conversion]]=SelectedConversion)</f>
        <v>0</v>
      </c>
      <c r="I1840" s="14" t="b">
        <f>OR(LCI_Table[[#This Row],[Data Set]]="all",LCI_Table[[#This Row],[Data Set]]=SelectedDataSet)</f>
        <v>0</v>
      </c>
      <c r="J1840" s="14" t="b">
        <f>OR(LCI_Table[[#This Row],[Technology]]="All",LCI_Table[[#This Row],[Technology]]=SelectedTechnology)</f>
        <v>0</v>
      </c>
      <c r="K1840" s="14" t="b">
        <f>OR(LCI_Table[[#This Row],[Data Source]]="All",LCI_Table[[#This Row],[Data Source]]=SelectedDataSource)</f>
        <v>0</v>
      </c>
      <c r="L1840" s="14" t="b">
        <f>TRUE</f>
        <v>1</v>
      </c>
      <c r="M1840" s="14" t="b">
        <f>(LCI_Table[[#This Row],[Dev Notes]]="Do not display")</f>
        <v>0</v>
      </c>
      <c r="N1840" s="14" t="b">
        <f>AND(LCI_Table[[#This Row],[Show Feedstock]:[Conditional]],NOT(LCI_Table[[#This Row],[Hide Row]]))</f>
        <v>0</v>
      </c>
      <c r="O1840" s="14" t="b">
        <f>LCI_Table[[#This Row],[GREET1 Name Range]]=""</f>
        <v>0</v>
      </c>
      <c r="P1840" s="14" t="s">
        <v>1448</v>
      </c>
      <c r="Q1840" s="14" t="s">
        <v>559</v>
      </c>
      <c r="R1840" s="14" t="s">
        <v>386</v>
      </c>
      <c r="S1840" s="37" cm="1">
        <f t="array" aca="1" ref="S18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4.0080429076209025</v>
      </c>
      <c r="T1840" s="346" t="s">
        <v>2119</v>
      </c>
      <c r="U1840" s="357">
        <f t="shared" ref="U1840" ca="1" si="87">S1840/kg2lb/mmBTU2MJ</f>
        <v>1.7231482878650004E-3</v>
      </c>
      <c r="V1840" s="347">
        <v>4.0080429076209025</v>
      </c>
      <c r="W1840" s="357">
        <v>1.7231482878650004E-3</v>
      </c>
      <c r="X1840" s="14" t="s">
        <v>12</v>
      </c>
      <c r="Y1840" s="346" t="s">
        <v>416</v>
      </c>
      <c r="Z1840" s="14" t="str">
        <f>IF(ISBLANK(LCI_Table[[#This Row],[Notes for user]])," ",LCI_Table[[#This Row],[Notes for user]])</f>
        <v xml:space="preserve"> </v>
      </c>
      <c r="AA1840" s="14"/>
      <c r="AB1840" s="14"/>
      <c r="AC1840" s="346">
        <f ca="1">LCI_Table[[#This Row],[Default Calculated Value]]-LCI_Table[[#This Row],[Calculated Value]]</f>
        <v>0</v>
      </c>
    </row>
    <row r="1841" spans="1:29" x14ac:dyDescent="0.3">
      <c r="A18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SwitchgrassATJ-ethanolICAOConsensusIntegrated_Cellulosic_ETJ_DAPDAP</v>
      </c>
      <c r="B1841" s="14" t="s">
        <v>133</v>
      </c>
      <c r="C1841" s="14" t="s">
        <v>1964</v>
      </c>
      <c r="D1841" s="14" t="s">
        <v>194</v>
      </c>
      <c r="E1841" s="48" t="s">
        <v>1399</v>
      </c>
      <c r="F1841" s="48" t="s">
        <v>1398</v>
      </c>
      <c r="G1841" s="14" t="b">
        <f>OR(LCI_Table[[#This Row],[Feedstock]]="All",LCI_Table[[#This Row],[Feedstock]]=SelectedFeedstock)</f>
        <v>0</v>
      </c>
      <c r="H1841" s="14" t="b">
        <f>OR(LCI_Table[[#This Row],[Conversion]]="All",LCI_Table[[#This Row],[Conversion]]=SelectedConversion)</f>
        <v>0</v>
      </c>
      <c r="I1841" s="14" t="b">
        <f>OR(LCI_Table[[#This Row],[Data Set]]="all",LCI_Table[[#This Row],[Data Set]]=SelectedDataSet)</f>
        <v>0</v>
      </c>
      <c r="J1841" s="14" t="b">
        <f>OR(LCI_Table[[#This Row],[Technology]]="All",LCI_Table[[#This Row],[Technology]]=SelectedTechnology)</f>
        <v>0</v>
      </c>
      <c r="K1841" s="14" t="b">
        <f>OR(LCI_Table[[#This Row],[Data Source]]="All",LCI_Table[[#This Row],[Data Source]]=SelectedDataSource)</f>
        <v>0</v>
      </c>
      <c r="L1841" s="14" t="b">
        <f>TRUE</f>
        <v>1</v>
      </c>
      <c r="M1841" s="14" t="b">
        <f>(LCI_Table[[#This Row],[Dev Notes]]="Do not display")</f>
        <v>0</v>
      </c>
      <c r="N1841" s="14" t="b">
        <f>AND(LCI_Table[[#This Row],[Show Feedstock]:[Conditional]],NOT(LCI_Table[[#This Row],[Hide Row]]))</f>
        <v>0</v>
      </c>
      <c r="O1841" s="14" t="b">
        <f>LCI_Table[[#This Row],[GREET1 Name Range]]=""</f>
        <v>0</v>
      </c>
      <c r="P1841" s="14" t="s">
        <v>1448</v>
      </c>
      <c r="Q1841" s="14" t="s">
        <v>560</v>
      </c>
      <c r="R1841" s="14" t="s">
        <v>383</v>
      </c>
      <c r="S1841" s="37" cm="1">
        <f t="array" aca="1" ref="S18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0.42189925343377932</v>
      </c>
      <c r="T1841" s="346" t="s">
        <v>2119</v>
      </c>
      <c r="U1841" s="357">
        <f t="shared" ref="U1841" ca="1" si="88">S1841/kg2lb/mmBTU2MJ</f>
        <v>1.8138403030157905E-4</v>
      </c>
      <c r="V1841" s="347">
        <v>0.42189925343377932</v>
      </c>
      <c r="W1841" s="357">
        <v>1.8138403030157905E-4</v>
      </c>
      <c r="X1841" s="14" t="s">
        <v>12</v>
      </c>
      <c r="Y1841" s="346" t="s">
        <v>416</v>
      </c>
      <c r="Z1841" s="14" t="str">
        <f>IF(ISBLANK(LCI_Table[[#This Row],[Notes for user]])," ",LCI_Table[[#This Row],[Notes for user]])</f>
        <v xml:space="preserve"> </v>
      </c>
      <c r="AA1841" s="14"/>
      <c r="AB1841" s="14"/>
      <c r="AC1841" s="346">
        <f ca="1">LCI_Table[[#This Row],[Default Calculated Value]]-LCI_Table[[#This Row],[Calculated Value]]</f>
        <v>0</v>
      </c>
    </row>
    <row r="1842" spans="1:29" x14ac:dyDescent="0.3">
      <c r="A18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SwitchgrassATJ-ethanolICAOConsensusIntegrated_Cellulosic_ETJ_NaOHNaOH</v>
      </c>
      <c r="B1842" s="14" t="s">
        <v>133</v>
      </c>
      <c r="C1842" s="14" t="s">
        <v>1964</v>
      </c>
      <c r="D1842" s="14" t="s">
        <v>194</v>
      </c>
      <c r="E1842" s="48" t="s">
        <v>1399</v>
      </c>
      <c r="F1842" s="48" t="s">
        <v>1398</v>
      </c>
      <c r="G1842" s="14" t="b">
        <f>OR(LCI_Table[[#This Row],[Feedstock]]="All",LCI_Table[[#This Row],[Feedstock]]=SelectedFeedstock)</f>
        <v>0</v>
      </c>
      <c r="H1842" s="14" t="b">
        <f>OR(LCI_Table[[#This Row],[Conversion]]="All",LCI_Table[[#This Row],[Conversion]]=SelectedConversion)</f>
        <v>0</v>
      </c>
      <c r="I1842" s="14" t="b">
        <f>OR(LCI_Table[[#This Row],[Data Set]]="all",LCI_Table[[#This Row],[Data Set]]=SelectedDataSet)</f>
        <v>0</v>
      </c>
      <c r="J1842" s="14" t="b">
        <f>OR(LCI_Table[[#This Row],[Technology]]="All",LCI_Table[[#This Row],[Technology]]=SelectedTechnology)</f>
        <v>0</v>
      </c>
      <c r="K1842" s="14" t="b">
        <f>OR(LCI_Table[[#This Row],[Data Source]]="All",LCI_Table[[#This Row],[Data Source]]=SelectedDataSource)</f>
        <v>0</v>
      </c>
      <c r="L1842" s="14" t="b">
        <f>TRUE</f>
        <v>1</v>
      </c>
      <c r="M1842" s="14" t="b">
        <f>(LCI_Table[[#This Row],[Dev Notes]]="Do not display")</f>
        <v>0</v>
      </c>
      <c r="N1842" s="14" t="b">
        <f>AND(LCI_Table[[#This Row],[Show Feedstock]:[Conditional]],NOT(LCI_Table[[#This Row],[Hide Row]]))</f>
        <v>0</v>
      </c>
      <c r="O1842" s="14" t="b">
        <f>LCI_Table[[#This Row],[GREET1 Name Range]]=""</f>
        <v>0</v>
      </c>
      <c r="P1842" s="14" t="s">
        <v>1448</v>
      </c>
      <c r="Q1842" s="14" t="s">
        <v>1401</v>
      </c>
      <c r="R1842" s="14" t="s">
        <v>403</v>
      </c>
      <c r="S1842" s="37" cm="1">
        <f t="array" aca="1" ref="S18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3.5861436541871234</v>
      </c>
      <c r="T1842" s="346" t="s">
        <v>2119</v>
      </c>
      <c r="U1842" s="357">
        <f t="shared" ref="U1842" ca="1" si="89">S1842/kg2lb/mmBTU2MJ</f>
        <v>1.5417642575634217E-3</v>
      </c>
      <c r="V1842" s="347">
        <v>3.5861436541871234</v>
      </c>
      <c r="W1842" s="357">
        <v>1.5417642575634217E-3</v>
      </c>
      <c r="X1842" s="14" t="s">
        <v>12</v>
      </c>
      <c r="Y1842" s="346" t="s">
        <v>416</v>
      </c>
      <c r="Z1842" s="14" t="str">
        <f>IF(ISBLANK(LCI_Table[[#This Row],[Notes for user]])," ",LCI_Table[[#This Row],[Notes for user]])</f>
        <v xml:space="preserve"> </v>
      </c>
      <c r="AA1842" s="14"/>
      <c r="AB1842" s="14"/>
      <c r="AC1842" s="346">
        <f ca="1">LCI_Table[[#This Row],[Default Calculated Value]]-LCI_Table[[#This Row],[Calculated Value]]</f>
        <v>0</v>
      </c>
    </row>
    <row r="1843" spans="1:29" x14ac:dyDescent="0.3">
      <c r="A18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SwitchgrassATJ-ethanolICAOConsensusIntegrated_Cellulosic_ETJ_LimeQuicklime (CaO)</v>
      </c>
      <c r="B1843" s="14" t="s">
        <v>133</v>
      </c>
      <c r="C1843" s="14" t="s">
        <v>1964</v>
      </c>
      <c r="D1843" s="14" t="s">
        <v>194</v>
      </c>
      <c r="E1843" s="48" t="s">
        <v>1399</v>
      </c>
      <c r="F1843" s="48" t="s">
        <v>1398</v>
      </c>
      <c r="G1843" s="14" t="b">
        <f>OR(LCI_Table[[#This Row],[Feedstock]]="All",LCI_Table[[#This Row],[Feedstock]]=SelectedFeedstock)</f>
        <v>0</v>
      </c>
      <c r="H1843" s="14" t="b">
        <f>OR(LCI_Table[[#This Row],[Conversion]]="All",LCI_Table[[#This Row],[Conversion]]=SelectedConversion)</f>
        <v>0</v>
      </c>
      <c r="I1843" s="14" t="b">
        <f>OR(LCI_Table[[#This Row],[Data Set]]="all",LCI_Table[[#This Row],[Data Set]]=SelectedDataSet)</f>
        <v>0</v>
      </c>
      <c r="J1843" s="14" t="b">
        <f>OR(LCI_Table[[#This Row],[Technology]]="All",LCI_Table[[#This Row],[Technology]]=SelectedTechnology)</f>
        <v>0</v>
      </c>
      <c r="K1843" s="14" t="b">
        <f>OR(LCI_Table[[#This Row],[Data Source]]="All",LCI_Table[[#This Row],[Data Source]]=SelectedDataSource)</f>
        <v>0</v>
      </c>
      <c r="L1843" s="14" t="b">
        <f>TRUE</f>
        <v>1</v>
      </c>
      <c r="M1843" s="14" t="b">
        <f>(LCI_Table[[#This Row],[Dev Notes]]="Do not display")</f>
        <v>0</v>
      </c>
      <c r="N1843" s="14" t="b">
        <f>AND(LCI_Table[[#This Row],[Show Feedstock]:[Conditional]],NOT(LCI_Table[[#This Row],[Hide Row]]))</f>
        <v>0</v>
      </c>
      <c r="O1843" s="14" t="b">
        <f>LCI_Table[[#This Row],[GREET1 Name Range]]=""</f>
        <v>0</v>
      </c>
      <c r="P1843" s="14" t="s">
        <v>1448</v>
      </c>
      <c r="Q1843" s="14" t="s">
        <v>566</v>
      </c>
      <c r="R1843" s="14" t="s">
        <v>404</v>
      </c>
      <c r="S1843" s="37" cm="1">
        <f t="array" aca="1" ref="S18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2.3204458938857866</v>
      </c>
      <c r="T1843" s="346" t="s">
        <v>2119</v>
      </c>
      <c r="U1843" s="357">
        <f t="shared" ref="U1843" ca="1" si="90">S1843/kg2lb/mmBTU2MJ</f>
        <v>9.9761216665868483E-4</v>
      </c>
      <c r="V1843" s="347">
        <v>2.3204458938857866</v>
      </c>
      <c r="W1843" s="357">
        <v>9.9761216665868483E-4</v>
      </c>
      <c r="X1843" s="14" t="s">
        <v>12</v>
      </c>
      <c r="Y1843" s="346" t="s">
        <v>416</v>
      </c>
      <c r="Z1843" s="14" t="str">
        <f>IF(ISBLANK(LCI_Table[[#This Row],[Notes for user]])," ",LCI_Table[[#This Row],[Notes for user]])</f>
        <v xml:space="preserve"> </v>
      </c>
      <c r="AA1843" s="14"/>
      <c r="AB1843" s="14"/>
      <c r="AC1843" s="346">
        <f ca="1">LCI_Table[[#This Row],[Default Calculated Value]]-LCI_Table[[#This Row],[Calculated Value]]</f>
        <v>0</v>
      </c>
    </row>
    <row r="1844" spans="1:29" x14ac:dyDescent="0.3">
      <c r="A18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SwitchgrassATJ-ethanolICAOConsensusIntegrated_Cellulosic_ETJ_UreaUrea</v>
      </c>
      <c r="B1844" s="14" t="s">
        <v>133</v>
      </c>
      <c r="C1844" s="14" t="s">
        <v>1964</v>
      </c>
      <c r="D1844" s="14" t="s">
        <v>194</v>
      </c>
      <c r="E1844" s="48" t="s">
        <v>1399</v>
      </c>
      <c r="F1844" s="48" t="s">
        <v>1398</v>
      </c>
      <c r="G1844" s="14" t="b">
        <f>OR(LCI_Table[[#This Row],[Feedstock]]="All",LCI_Table[[#This Row],[Feedstock]]=SelectedFeedstock)</f>
        <v>0</v>
      </c>
      <c r="H1844" s="14" t="b">
        <f>OR(LCI_Table[[#This Row],[Conversion]]="All",LCI_Table[[#This Row],[Conversion]]=SelectedConversion)</f>
        <v>0</v>
      </c>
      <c r="I1844" s="14" t="b">
        <f>OR(LCI_Table[[#This Row],[Data Set]]="all",LCI_Table[[#This Row],[Data Set]]=SelectedDataSet)</f>
        <v>0</v>
      </c>
      <c r="J1844" s="14" t="b">
        <f>OR(LCI_Table[[#This Row],[Technology]]="All",LCI_Table[[#This Row],[Technology]]=SelectedTechnology)</f>
        <v>0</v>
      </c>
      <c r="K1844" s="14" t="b">
        <f>OR(LCI_Table[[#This Row],[Data Source]]="All",LCI_Table[[#This Row],[Data Source]]=SelectedDataSource)</f>
        <v>0</v>
      </c>
      <c r="L1844" s="14" t="b">
        <f>TRUE</f>
        <v>1</v>
      </c>
      <c r="M1844" s="14" t="b">
        <f>(LCI_Table[[#This Row],[Dev Notes]]="Do not display")</f>
        <v>0</v>
      </c>
      <c r="N1844" s="14" t="b">
        <f>AND(LCI_Table[[#This Row],[Show Feedstock]:[Conditional]],NOT(LCI_Table[[#This Row],[Hide Row]]))</f>
        <v>0</v>
      </c>
      <c r="O1844" s="14" t="b">
        <f>LCI_Table[[#This Row],[GREET1 Name Range]]=""</f>
        <v>0</v>
      </c>
      <c r="P1844" s="14" t="s">
        <v>1448</v>
      </c>
      <c r="Q1844" s="14" t="s">
        <v>568</v>
      </c>
      <c r="R1844" s="14" t="s">
        <v>144</v>
      </c>
      <c r="S1844" s="37" cm="1">
        <f t="array" aca="1" ref="S18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0.63284888015066865</v>
      </c>
      <c r="T1844" s="346" t="s">
        <v>2119</v>
      </c>
      <c r="U1844" s="357">
        <f t="shared" ref="U1844" ca="1" si="91">S1844/kg2lb/mmBTU2MJ</f>
        <v>2.7207604545236838E-4</v>
      </c>
      <c r="V1844" s="347">
        <v>0.63284888015066865</v>
      </c>
      <c r="W1844" s="357">
        <v>2.7207604545236838E-4</v>
      </c>
      <c r="X1844" s="14" t="s">
        <v>12</v>
      </c>
      <c r="Y1844" s="346" t="s">
        <v>416</v>
      </c>
      <c r="Z1844" s="14" t="str">
        <f>IF(ISBLANK(LCI_Table[[#This Row],[Notes for user]])," ",LCI_Table[[#This Row],[Notes for user]])</f>
        <v xml:space="preserve"> </v>
      </c>
      <c r="AA1844" s="14"/>
      <c r="AB1844" s="14"/>
      <c r="AC1844" s="346">
        <f ca="1">LCI_Table[[#This Row],[Default Calculated Value]]-LCI_Table[[#This Row],[Calculated Value]]</f>
        <v>0</v>
      </c>
    </row>
    <row r="1845" spans="1:29" x14ac:dyDescent="0.3">
      <c r="A18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SwitchgrassATJ-ethanolICAOConsensusIntegrated_Cellulosic_ETJ_Host_nutrientsHost nutrients</v>
      </c>
      <c r="B1845" s="14" t="s">
        <v>133</v>
      </c>
      <c r="C1845" s="14" t="s">
        <v>1964</v>
      </c>
      <c r="D1845" s="14" t="s">
        <v>194</v>
      </c>
      <c r="E1845" s="48" t="s">
        <v>1399</v>
      </c>
      <c r="F1845" s="48" t="s">
        <v>1398</v>
      </c>
      <c r="G1845" s="14" t="b">
        <f>OR(LCI_Table[[#This Row],[Feedstock]]="All",LCI_Table[[#This Row],[Feedstock]]=SelectedFeedstock)</f>
        <v>0</v>
      </c>
      <c r="H1845" s="14" t="b">
        <f>OR(LCI_Table[[#This Row],[Conversion]]="All",LCI_Table[[#This Row],[Conversion]]=SelectedConversion)</f>
        <v>0</v>
      </c>
      <c r="I1845" s="14" t="b">
        <f>OR(LCI_Table[[#This Row],[Data Set]]="all",LCI_Table[[#This Row],[Data Set]]=SelectedDataSet)</f>
        <v>0</v>
      </c>
      <c r="J1845" s="14" t="b">
        <f>OR(LCI_Table[[#This Row],[Technology]]="All",LCI_Table[[#This Row],[Technology]]=SelectedTechnology)</f>
        <v>0</v>
      </c>
      <c r="K1845" s="14" t="b">
        <f>OR(LCI_Table[[#This Row],[Data Source]]="All",LCI_Table[[#This Row],[Data Source]]=SelectedDataSource)</f>
        <v>0</v>
      </c>
      <c r="L1845" s="14" t="b">
        <f>TRUE</f>
        <v>1</v>
      </c>
      <c r="M1845" s="14" t="b">
        <f>(LCI_Table[[#This Row],[Dev Notes]]="Do not display")</f>
        <v>0</v>
      </c>
      <c r="N1845" s="14" t="b">
        <f>AND(LCI_Table[[#This Row],[Show Feedstock]:[Conditional]],NOT(LCI_Table[[#This Row],[Hide Row]]))</f>
        <v>0</v>
      </c>
      <c r="O1845" s="14" t="b">
        <f>LCI_Table[[#This Row],[GREET1 Name Range]]=""</f>
        <v>0</v>
      </c>
      <c r="P1845" s="14" t="s">
        <v>1448</v>
      </c>
      <c r="Q1845" s="14" t="s">
        <v>564</v>
      </c>
      <c r="R1845" s="14" t="s">
        <v>388</v>
      </c>
      <c r="S1845" s="37" cm="1">
        <f t="array" aca="1" ref="S18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45" s="346" t="s">
        <v>2119</v>
      </c>
      <c r="U1845" s="357">
        <f t="shared" ref="U1845" ca="1" si="92">S1845/kg2lb/mmBTU2MJ</f>
        <v>0</v>
      </c>
      <c r="V1845" s="347">
        <v>0</v>
      </c>
      <c r="W1845" s="357">
        <v>0</v>
      </c>
      <c r="X1845" s="14" t="s">
        <v>12</v>
      </c>
      <c r="Y1845" s="346" t="s">
        <v>416</v>
      </c>
      <c r="Z1845" s="14" t="str">
        <f>IF(ISBLANK(LCI_Table[[#This Row],[Notes for user]])," ",LCI_Table[[#This Row],[Notes for user]])</f>
        <v xml:space="preserve"> </v>
      </c>
      <c r="AA1845" s="14"/>
      <c r="AB1845" s="14"/>
      <c r="AC1845" s="346">
        <f ca="1">LCI_Table[[#This Row],[Default Calculated Value]]-LCI_Table[[#This Row],[Calculated Value]]</f>
        <v>0</v>
      </c>
    </row>
    <row r="1846" spans="1:29" x14ac:dyDescent="0.3">
      <c r="A18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SwitchgrassATJ-ethanolICAOConsensusIntegrated_Cellulosic_ETJ_DieselDiesel</v>
      </c>
      <c r="B1846" s="14" t="s">
        <v>133</v>
      </c>
      <c r="C1846" s="14" t="s">
        <v>1964</v>
      </c>
      <c r="D1846" s="14" t="s">
        <v>194</v>
      </c>
      <c r="E1846" s="48" t="s">
        <v>1399</v>
      </c>
      <c r="F1846" s="48" t="s">
        <v>1398</v>
      </c>
      <c r="G1846" s="14" t="b">
        <f>OR(LCI_Table[[#This Row],[Feedstock]]="All",LCI_Table[[#This Row],[Feedstock]]=SelectedFeedstock)</f>
        <v>0</v>
      </c>
      <c r="H1846" s="14" t="b">
        <f>OR(LCI_Table[[#This Row],[Conversion]]="All",LCI_Table[[#This Row],[Conversion]]=SelectedConversion)</f>
        <v>0</v>
      </c>
      <c r="I1846" s="14" t="b">
        <f>OR(LCI_Table[[#This Row],[Data Set]]="all",LCI_Table[[#This Row],[Data Set]]=SelectedDataSet)</f>
        <v>0</v>
      </c>
      <c r="J1846" s="14" t="b">
        <f>OR(LCI_Table[[#This Row],[Technology]]="All",LCI_Table[[#This Row],[Technology]]=SelectedTechnology)</f>
        <v>0</v>
      </c>
      <c r="K1846" s="14" t="b">
        <f>OR(LCI_Table[[#This Row],[Data Source]]="All",LCI_Table[[#This Row],[Data Source]]=SelectedDataSource)</f>
        <v>0</v>
      </c>
      <c r="L1846" s="14" t="b">
        <f>TRUE</f>
        <v>1</v>
      </c>
      <c r="M1846" s="14" t="b">
        <f>(LCI_Table[[#This Row],[Dev Notes]]="Do not display")</f>
        <v>0</v>
      </c>
      <c r="N1846" s="14" t="b">
        <f>AND(LCI_Table[[#This Row],[Show Feedstock]:[Conditional]],NOT(LCI_Table[[#This Row],[Hide Row]]))</f>
        <v>0</v>
      </c>
      <c r="O1846" s="14" t="b">
        <f>LCI_Table[[#This Row],[GREET1 Name Range]]=""</f>
        <v>0</v>
      </c>
      <c r="P1846" s="14" t="s">
        <v>1448</v>
      </c>
      <c r="Q1846" s="14" t="s">
        <v>945</v>
      </c>
      <c r="R1846" s="14" t="s">
        <v>106</v>
      </c>
      <c r="S1846" s="37" cm="1">
        <f t="array" aca="1" ref="S18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1.9170219882736358E-2</v>
      </c>
      <c r="T1846" s="346" t="s">
        <v>2128</v>
      </c>
      <c r="U1846" s="357">
        <f ca="1">S1846*Fuel_Specs!$B$19/Fuel_Specs!$B$31</f>
        <v>3.2260117174603496E-2</v>
      </c>
      <c r="V1846" s="347">
        <v>1.9170219882736358E-2</v>
      </c>
      <c r="W1846" s="357">
        <v>3.2260117174603496E-2</v>
      </c>
      <c r="X1846" s="14" t="s">
        <v>5</v>
      </c>
      <c r="Y1846" s="346" t="s">
        <v>416</v>
      </c>
      <c r="Z1846" s="14" t="str">
        <f>IF(ISBLANK(LCI_Table[[#This Row],[Notes for user]])," ",LCI_Table[[#This Row],[Notes for user]])</f>
        <v xml:space="preserve"> </v>
      </c>
      <c r="AA1846" s="14"/>
      <c r="AB1846" s="14"/>
      <c r="AC1846" s="346">
        <f ca="1">LCI_Table[[#This Row],[Default Calculated Value]]-LCI_Table[[#This Row],[Calculated Value]]</f>
        <v>0</v>
      </c>
    </row>
    <row r="1847" spans="1:29" x14ac:dyDescent="0.3">
      <c r="A18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SwitchgrassATJ-ethanolICAOConsensusIntegrated_Cellulosic_ETJ_HydrogenHydrogen</v>
      </c>
      <c r="B1847" s="358" t="s">
        <v>133</v>
      </c>
      <c r="C1847" s="358" t="s">
        <v>1964</v>
      </c>
      <c r="D1847" s="358" t="s">
        <v>194</v>
      </c>
      <c r="E1847" s="48" t="s">
        <v>1399</v>
      </c>
      <c r="F1847" s="48" t="s">
        <v>1398</v>
      </c>
      <c r="G1847" s="14" t="b">
        <f>OR(LCI_Table[[#This Row],[Feedstock]]="All",LCI_Table[[#This Row],[Feedstock]]=SelectedFeedstock)</f>
        <v>0</v>
      </c>
      <c r="H1847" s="14" t="b">
        <f>OR(LCI_Table[[#This Row],[Conversion]]="All",LCI_Table[[#This Row],[Conversion]]=SelectedConversion)</f>
        <v>0</v>
      </c>
      <c r="I1847" s="14" t="b">
        <f>OR(LCI_Table[[#This Row],[Data Set]]="all",LCI_Table[[#This Row],[Data Set]]=SelectedDataSet)</f>
        <v>0</v>
      </c>
      <c r="J1847" s="14" t="b">
        <f>OR(LCI_Table[[#This Row],[Technology]]="All",LCI_Table[[#This Row],[Technology]]=SelectedTechnology)</f>
        <v>0</v>
      </c>
      <c r="K1847" s="14" t="b">
        <f>OR(LCI_Table[[#This Row],[Data Source]]="All",LCI_Table[[#This Row],[Data Source]]=SelectedDataSource)</f>
        <v>0</v>
      </c>
      <c r="L1847" s="14" t="b">
        <f>TRUE</f>
        <v>1</v>
      </c>
      <c r="M1847" s="14" t="b">
        <f>(LCI_Table[[#This Row],[Dev Notes]]="Do not display")</f>
        <v>0</v>
      </c>
      <c r="N1847" s="14" t="b">
        <f>AND(LCI_Table[[#This Row],[Show Feedstock]:[Conditional]],NOT(LCI_Table[[#This Row],[Hide Row]]))</f>
        <v>0</v>
      </c>
      <c r="O1847" s="14" t="b">
        <f>LCI_Table[[#This Row],[GREET1 Name Range]]=""</f>
        <v>0</v>
      </c>
      <c r="P1847" s="358" t="s">
        <v>1448</v>
      </c>
      <c r="Q1847" s="14" t="s">
        <v>565</v>
      </c>
      <c r="R1847" s="358" t="s">
        <v>73</v>
      </c>
      <c r="S1847" s="37" cm="1">
        <f t="array" aca="1" ref="S18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234.25944761020259</v>
      </c>
      <c r="T1847" s="346" t="s">
        <v>2120</v>
      </c>
      <c r="U1847" s="362">
        <f ca="1">S1847/kg2g*Fuel_Specs!$E$81*MJ2mmBTU</f>
        <v>5.6618954475823866E-4</v>
      </c>
      <c r="V1847" s="359">
        <v>234.25944761020259</v>
      </c>
      <c r="W1847" s="362">
        <v>5.6618954475823866E-4</v>
      </c>
      <c r="X1847" s="360" t="s">
        <v>351</v>
      </c>
      <c r="Y1847" s="346" t="s">
        <v>416</v>
      </c>
      <c r="Z1847" s="14" t="str">
        <f>IF(ISBLANK(LCI_Table[[#This Row],[Notes for user]])," ",LCI_Table[[#This Row],[Notes for user]])</f>
        <v xml:space="preserve"> </v>
      </c>
      <c r="AA1847" s="358"/>
      <c r="AB1847" s="358"/>
      <c r="AC1847" s="346">
        <f ca="1">LCI_Table[[#This Row],[Default Calculated Value]]-LCI_Table[[#This Row],[Calculated Value]]</f>
        <v>0</v>
      </c>
    </row>
    <row r="1848" spans="1:29" x14ac:dyDescent="0.3">
      <c r="A18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SwitchgrassATJ-ethanolICAOConsensusIntegrated_Cellulosic_ETJ_Natural_gasNatural gas</v>
      </c>
      <c r="B1848" s="14" t="s">
        <v>133</v>
      </c>
      <c r="C1848" s="14" t="s">
        <v>1964</v>
      </c>
      <c r="D1848" s="14" t="s">
        <v>194</v>
      </c>
      <c r="E1848" s="48" t="s">
        <v>1399</v>
      </c>
      <c r="F1848" s="48" t="s">
        <v>1398</v>
      </c>
      <c r="G1848" s="14" t="b">
        <f>OR(LCI_Table[[#This Row],[Feedstock]]="All",LCI_Table[[#This Row],[Feedstock]]=SelectedFeedstock)</f>
        <v>0</v>
      </c>
      <c r="H1848" s="14" t="b">
        <f>OR(LCI_Table[[#This Row],[Conversion]]="All",LCI_Table[[#This Row],[Conversion]]=SelectedConversion)</f>
        <v>0</v>
      </c>
      <c r="I1848" s="14" t="b">
        <f>OR(LCI_Table[[#This Row],[Data Set]]="all",LCI_Table[[#This Row],[Data Set]]=SelectedDataSet)</f>
        <v>0</v>
      </c>
      <c r="J1848" s="14" t="b">
        <f>OR(LCI_Table[[#This Row],[Technology]]="All",LCI_Table[[#This Row],[Technology]]=SelectedTechnology)</f>
        <v>0</v>
      </c>
      <c r="K1848" s="14" t="b">
        <f>OR(LCI_Table[[#This Row],[Data Source]]="All",LCI_Table[[#This Row],[Data Source]]=SelectedDataSource)</f>
        <v>0</v>
      </c>
      <c r="L1848" s="14" t="b">
        <f>TRUE</f>
        <v>1</v>
      </c>
      <c r="M1848" s="14" t="b">
        <f>(LCI_Table[[#This Row],[Dev Notes]]="Do not display")</f>
        <v>0</v>
      </c>
      <c r="N1848" s="14" t="b">
        <f>AND(LCI_Table[[#This Row],[Show Feedstock]:[Conditional]],NOT(LCI_Table[[#This Row],[Hide Row]]))</f>
        <v>0</v>
      </c>
      <c r="O1848" s="14" t="b">
        <f>LCI_Table[[#This Row],[GREET1 Name Range]]=""</f>
        <v>0</v>
      </c>
      <c r="P1848" s="14" t="s">
        <v>1448</v>
      </c>
      <c r="Q1848" s="14" t="s">
        <v>946</v>
      </c>
      <c r="R1848" s="14" t="s">
        <v>108</v>
      </c>
      <c r="S1848" s="37" cm="1">
        <f t="array" aca="1" ref="S18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48" s="346" t="s">
        <v>2120</v>
      </c>
      <c r="U1848" s="357">
        <f ca="1">S1848/kg2g*Fuel_Specs!$E$79*MJ2mmBTU</f>
        <v>0</v>
      </c>
      <c r="V1848" s="347">
        <v>0</v>
      </c>
      <c r="W1848" s="357">
        <v>0</v>
      </c>
      <c r="X1848" s="14" t="s">
        <v>351</v>
      </c>
      <c r="Y1848" s="346" t="s">
        <v>416</v>
      </c>
      <c r="Z1848" s="14" t="str">
        <f>IF(ISBLANK(LCI_Table[[#This Row],[Notes for user]])," ",LCI_Table[[#This Row],[Notes for user]])</f>
        <v xml:space="preserve"> </v>
      </c>
      <c r="AA1848" s="14"/>
      <c r="AB1848" s="14"/>
      <c r="AC1848" s="346">
        <f ca="1">LCI_Table[[#This Row],[Default Calculated Value]]-LCI_Table[[#This Row],[Calculated Value]]</f>
        <v>0</v>
      </c>
    </row>
    <row r="1849" spans="1:29" x14ac:dyDescent="0.3">
      <c r="A18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SwitchgrassATJ-ethanolICAOConsensusIntegrated_Cellulosic_ETJ_ElectricityGrid Electricity</v>
      </c>
      <c r="B1849" s="14" t="s">
        <v>133</v>
      </c>
      <c r="C1849" s="14" t="s">
        <v>1964</v>
      </c>
      <c r="D1849" s="14" t="s">
        <v>194</v>
      </c>
      <c r="E1849" s="48" t="s">
        <v>1399</v>
      </c>
      <c r="F1849" s="48" t="s">
        <v>1398</v>
      </c>
      <c r="G1849" s="14" t="b">
        <f>OR(LCI_Table[[#This Row],[Feedstock]]="All",LCI_Table[[#This Row],[Feedstock]]=SelectedFeedstock)</f>
        <v>0</v>
      </c>
      <c r="H1849" s="14" t="b">
        <f>OR(LCI_Table[[#This Row],[Conversion]]="All",LCI_Table[[#This Row],[Conversion]]=SelectedConversion)</f>
        <v>0</v>
      </c>
      <c r="I1849" s="14" t="b">
        <f>OR(LCI_Table[[#This Row],[Data Set]]="all",LCI_Table[[#This Row],[Data Set]]=SelectedDataSet)</f>
        <v>0</v>
      </c>
      <c r="J1849" s="14" t="b">
        <f>OR(LCI_Table[[#This Row],[Technology]]="All",LCI_Table[[#This Row],[Technology]]=SelectedTechnology)</f>
        <v>0</v>
      </c>
      <c r="K1849" s="14" t="b">
        <f>OR(LCI_Table[[#This Row],[Data Source]]="All",LCI_Table[[#This Row],[Data Source]]=SelectedDataSource)</f>
        <v>0</v>
      </c>
      <c r="L1849" s="14" t="b">
        <f>TRUE</f>
        <v>1</v>
      </c>
      <c r="M1849" s="14" t="b">
        <f>(LCI_Table[[#This Row],[Dev Notes]]="Do not display")</f>
        <v>0</v>
      </c>
      <c r="N1849" s="14" t="b">
        <f>AND(LCI_Table[[#This Row],[Show Feedstock]:[Conditional]],NOT(LCI_Table[[#This Row],[Hide Row]]))</f>
        <v>0</v>
      </c>
      <c r="O1849" s="14" t="b">
        <f>LCI_Table[[#This Row],[GREET1 Name Range]]=""</f>
        <v>0</v>
      </c>
      <c r="P1849" s="14" t="s">
        <v>1448</v>
      </c>
      <c r="Q1849" s="14" t="s">
        <v>947</v>
      </c>
      <c r="R1849" s="14" t="s">
        <v>1684</v>
      </c>
      <c r="S1849" s="37" cm="1">
        <f t="array" aca="1" ref="S18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49" s="346" t="s">
        <v>2121</v>
      </c>
      <c r="U1849" s="357">
        <f ca="1">S1849*MJ2mmBTU</f>
        <v>0</v>
      </c>
      <c r="V1849" s="347">
        <v>0</v>
      </c>
      <c r="W1849" s="357">
        <v>0</v>
      </c>
      <c r="X1849" s="37" t="s">
        <v>51</v>
      </c>
      <c r="Y1849" s="346" t="s">
        <v>416</v>
      </c>
      <c r="Z1849" s="14" t="str">
        <f>IF(ISBLANK(LCI_Table[[#This Row],[Notes for user]])," ",LCI_Table[[#This Row],[Notes for user]])</f>
        <v xml:space="preserve"> </v>
      </c>
      <c r="AA1849" s="14"/>
      <c r="AB1849" s="14"/>
      <c r="AC1849" s="346">
        <f ca="1">LCI_Table[[#This Row],[Default Calculated Value]]-LCI_Table[[#This Row],[Calculated Value]]</f>
        <v>0</v>
      </c>
    </row>
    <row r="1850" spans="1:29" x14ac:dyDescent="0.3">
      <c r="A18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SwitchgrassATJ-ethanolICAOConsensusIntegrated_Cellulosic_ETJ_CatalystsCatalysts</v>
      </c>
      <c r="B1850" s="14" t="s">
        <v>133</v>
      </c>
      <c r="C1850" s="14" t="s">
        <v>1964</v>
      </c>
      <c r="D1850" s="14" t="s">
        <v>194</v>
      </c>
      <c r="E1850" s="48" t="s">
        <v>1399</v>
      </c>
      <c r="F1850" s="48" t="s">
        <v>1398</v>
      </c>
      <c r="G1850" s="14" t="b">
        <f>OR(LCI_Table[[#This Row],[Feedstock]]="All",LCI_Table[[#This Row],[Feedstock]]=SelectedFeedstock)</f>
        <v>0</v>
      </c>
      <c r="H1850" s="14" t="b">
        <f>OR(LCI_Table[[#This Row],[Conversion]]="All",LCI_Table[[#This Row],[Conversion]]=SelectedConversion)</f>
        <v>0</v>
      </c>
      <c r="I1850" s="14" t="b">
        <f>OR(LCI_Table[[#This Row],[Data Set]]="all",LCI_Table[[#This Row],[Data Set]]=SelectedDataSet)</f>
        <v>0</v>
      </c>
      <c r="J1850" s="14" t="b">
        <f>OR(LCI_Table[[#This Row],[Technology]]="All",LCI_Table[[#This Row],[Technology]]=SelectedTechnology)</f>
        <v>0</v>
      </c>
      <c r="K1850" s="14" t="b">
        <f>OR(LCI_Table[[#This Row],[Data Source]]="All",LCI_Table[[#This Row],[Data Source]]=SelectedDataSource)</f>
        <v>0</v>
      </c>
      <c r="L1850" s="14" t="b">
        <f>TRUE</f>
        <v>1</v>
      </c>
      <c r="M1850" s="14" t="b">
        <f>(LCI_Table[[#This Row],[Dev Notes]]="Do not display")</f>
        <v>0</v>
      </c>
      <c r="N1850" s="14" t="b">
        <f>AND(LCI_Table[[#This Row],[Show Feedstock]:[Conditional]],NOT(LCI_Table[[#This Row],[Hide Row]]))</f>
        <v>0</v>
      </c>
      <c r="O1850" s="14" t="b">
        <f>LCI_Table[[#This Row],[GREET1 Name Range]]=""</f>
        <v>0</v>
      </c>
      <c r="P1850" s="14" t="s">
        <v>1448</v>
      </c>
      <c r="Q1850" s="14" t="s">
        <v>558</v>
      </c>
      <c r="R1850" s="14" t="s">
        <v>142</v>
      </c>
      <c r="S1850" s="37" cm="1">
        <f t="array" aca="1" ref="S18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50" s="346" t="s">
        <v>2119</v>
      </c>
      <c r="U1850" s="357">
        <f ca="1">S1850/kg2lb*MJ2mmBTU</f>
        <v>0</v>
      </c>
      <c r="V1850" s="347">
        <v>0</v>
      </c>
      <c r="W1850" s="357">
        <v>0</v>
      </c>
      <c r="X1850" s="37" t="s">
        <v>12</v>
      </c>
      <c r="Y1850" s="346" t="s">
        <v>416</v>
      </c>
      <c r="Z1850" s="14" t="str">
        <f>IF(ISBLANK(LCI_Table[[#This Row],[Notes for user]])," ",LCI_Table[[#This Row],[Notes for user]])</f>
        <v xml:space="preserve"> </v>
      </c>
      <c r="AA1850" s="14"/>
      <c r="AB1850" s="14"/>
      <c r="AC1850" s="346">
        <f ca="1">LCI_Table[[#This Row],[Default Calculated Value]]-LCI_Table[[#This Row],[Calculated Value]]</f>
        <v>0</v>
      </c>
    </row>
    <row r="1851" spans="1:29" x14ac:dyDescent="0.3">
      <c r="A18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SwitchgrassATJ-ethanolICAOConsensusIntegrated_Cellulosic_ETJ_WaterWater</v>
      </c>
      <c r="B1851" s="14" t="s">
        <v>133</v>
      </c>
      <c r="C1851" s="14" t="s">
        <v>1964</v>
      </c>
      <c r="D1851" s="14" t="s">
        <v>194</v>
      </c>
      <c r="E1851" s="48" t="s">
        <v>1399</v>
      </c>
      <c r="F1851" s="48" t="s">
        <v>1398</v>
      </c>
      <c r="G1851" s="14" t="b">
        <f>OR(LCI_Table[[#This Row],[Feedstock]]="All",LCI_Table[[#This Row],[Feedstock]]=SelectedFeedstock)</f>
        <v>0</v>
      </c>
      <c r="H1851" s="14" t="b">
        <f>OR(LCI_Table[[#This Row],[Conversion]]="All",LCI_Table[[#This Row],[Conversion]]=SelectedConversion)</f>
        <v>0</v>
      </c>
      <c r="I1851" s="14" t="b">
        <f>OR(LCI_Table[[#This Row],[Data Set]]="all",LCI_Table[[#This Row],[Data Set]]=SelectedDataSet)</f>
        <v>0</v>
      </c>
      <c r="J1851" s="14" t="b">
        <f>OR(LCI_Table[[#This Row],[Technology]]="All",LCI_Table[[#This Row],[Technology]]=SelectedTechnology)</f>
        <v>0</v>
      </c>
      <c r="K1851" s="14" t="b">
        <f>OR(LCI_Table[[#This Row],[Data Source]]="All",LCI_Table[[#This Row],[Data Source]]=SelectedDataSource)</f>
        <v>0</v>
      </c>
      <c r="L1851" s="14" t="b">
        <f>TRUE</f>
        <v>1</v>
      </c>
      <c r="M1851" s="14" t="b">
        <f>(LCI_Table[[#This Row],[Dev Notes]]="Do not display")</f>
        <v>0</v>
      </c>
      <c r="N1851" s="14" t="b">
        <f>AND(LCI_Table[[#This Row],[Show Feedstock]:[Conditional]],NOT(LCI_Table[[#This Row],[Hide Row]]))</f>
        <v>0</v>
      </c>
      <c r="O1851" s="14" t="b">
        <f>LCI_Table[[#This Row],[GREET1 Name Range]]=""</f>
        <v>0</v>
      </c>
      <c r="P1851" s="14" t="s">
        <v>1448</v>
      </c>
      <c r="Q1851" s="14" t="s">
        <v>569</v>
      </c>
      <c r="R1851" s="14" t="s">
        <v>146</v>
      </c>
      <c r="S1851" s="37" cm="1">
        <f t="array" aca="1" ref="S18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51" s="346" t="s">
        <v>2128</v>
      </c>
      <c r="U1851" s="357">
        <f ca="1">S1851/kg2lb*Fuel_Specs!$K$4*MJ2mmBTU</f>
        <v>0</v>
      </c>
      <c r="V1851" s="347">
        <v>0</v>
      </c>
      <c r="W1851" s="357">
        <v>0</v>
      </c>
      <c r="X1851" s="37" t="s">
        <v>5</v>
      </c>
      <c r="Y1851" s="346" t="s">
        <v>416</v>
      </c>
      <c r="Z1851" s="14" t="str">
        <f>IF(ISBLANK(LCI_Table[[#This Row],[Notes for user]])," ",LCI_Table[[#This Row],[Notes for user]])</f>
        <v xml:space="preserve"> </v>
      </c>
      <c r="AA1851" s="14"/>
      <c r="AB1851" s="14"/>
      <c r="AC1851" s="346">
        <f ca="1">LCI_Table[[#This Row],[Default Calculated Value]]-LCI_Table[[#This Row],[Calculated Value]]</f>
        <v>0</v>
      </c>
    </row>
    <row r="1852" spans="1:29" x14ac:dyDescent="0.3">
      <c r="A18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SwitchgrassATJ-ethanolICAOConsensusIntegrated_Cellulosic_ETJ_Allocation_FactorAllocation factor</v>
      </c>
      <c r="B1852" s="14" t="s">
        <v>133</v>
      </c>
      <c r="C1852" s="14" t="s">
        <v>1964</v>
      </c>
      <c r="D1852" s="14" t="s">
        <v>194</v>
      </c>
      <c r="E1852" s="48" t="s">
        <v>1399</v>
      </c>
      <c r="F1852" s="48" t="s">
        <v>1398</v>
      </c>
      <c r="G1852" s="14" t="b">
        <f>OR(LCI_Table[[#This Row],[Feedstock]]="All",LCI_Table[[#This Row],[Feedstock]]=SelectedFeedstock)</f>
        <v>0</v>
      </c>
      <c r="H1852" s="14" t="b">
        <f>OR(LCI_Table[[#This Row],[Conversion]]="All",LCI_Table[[#This Row],[Conversion]]=SelectedConversion)</f>
        <v>0</v>
      </c>
      <c r="I1852" s="14" t="b">
        <f>OR(LCI_Table[[#This Row],[Data Set]]="all",LCI_Table[[#This Row],[Data Set]]=SelectedDataSet)</f>
        <v>0</v>
      </c>
      <c r="J1852" s="14" t="b">
        <f>OR(LCI_Table[[#This Row],[Technology]]="All",LCI_Table[[#This Row],[Technology]]=SelectedTechnology)</f>
        <v>0</v>
      </c>
      <c r="K1852" s="14" t="b">
        <f>OR(LCI_Table[[#This Row],[Data Source]]="All",LCI_Table[[#This Row],[Data Source]]=SelectedDataSource)</f>
        <v>0</v>
      </c>
      <c r="L1852" s="14" t="b">
        <f>TRUE</f>
        <v>1</v>
      </c>
      <c r="M1852" s="14" t="b">
        <f>(LCI_Table[[#This Row],[Dev Notes]]="Do not display")</f>
        <v>0</v>
      </c>
      <c r="N1852" s="14" t="b">
        <f>AND(LCI_Table[[#This Row],[Show Feedstock]:[Conditional]],NOT(LCI_Table[[#This Row],[Hide Row]]))</f>
        <v>0</v>
      </c>
      <c r="O1852" s="14" t="b">
        <f>LCI_Table[[#This Row],[GREET1 Name Range]]=""</f>
        <v>0</v>
      </c>
      <c r="P1852" s="14" t="s">
        <v>1448</v>
      </c>
      <c r="Q1852" s="14" t="s">
        <v>1122</v>
      </c>
      <c r="R1852" s="14" t="s">
        <v>1344</v>
      </c>
      <c r="S1852" s="37" cm="1">
        <f t="array" aca="1" ref="S18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91.911764705882348</v>
      </c>
      <c r="T1852" s="346" t="s">
        <v>1345</v>
      </c>
      <c r="U1852" s="347">
        <f ca="1">S1852/100</f>
        <v>0.91911764705882348</v>
      </c>
      <c r="V1852" s="347">
        <v>91.911764705882348</v>
      </c>
      <c r="W1852" s="347">
        <v>0.91911764705882348</v>
      </c>
      <c r="X1852" s="37"/>
      <c r="Y1852" s="346"/>
      <c r="Z1852" s="14" t="str">
        <f>IF(ISBLANK(LCI_Table[[#This Row],[Notes for user]])," ",LCI_Table[[#This Row],[Notes for user]])</f>
        <v xml:space="preserve"> </v>
      </c>
      <c r="AA1852" s="14"/>
      <c r="AB1852" s="14"/>
      <c r="AC1852" s="346">
        <f ca="1">LCI_Table[[#This Row],[Default Calculated Value]]-LCI_Table[[#This Row],[Calculated Value]]</f>
        <v>0</v>
      </c>
    </row>
    <row r="1853" spans="1:29" x14ac:dyDescent="0.3">
      <c r="A18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dash_SwitchgrassATJ-ethanolICAOConsensusStandalone_Yield_Farming</v>
      </c>
      <c r="B1853" s="48" t="s">
        <v>133</v>
      </c>
      <c r="C1853" s="48" t="s">
        <v>1964</v>
      </c>
      <c r="D1853" s="48" t="s">
        <v>194</v>
      </c>
      <c r="E1853" s="48" t="s">
        <v>1399</v>
      </c>
      <c r="F1853" s="48" t="s">
        <v>137</v>
      </c>
      <c r="G1853" s="14" t="b">
        <f>OR(LCI_Table[[#This Row],[Feedstock]]="All",LCI_Table[[#This Row],[Feedstock]]=SelectedFeedstock)</f>
        <v>0</v>
      </c>
      <c r="H1853" s="14" t="b">
        <f>OR(LCI_Table[[#This Row],[Conversion]]="All",LCI_Table[[#This Row],[Conversion]]=SelectedConversion)</f>
        <v>0</v>
      </c>
      <c r="I1853" s="14" t="b">
        <f>OR(LCI_Table[[#This Row],[Data Set]]="all",LCI_Table[[#This Row],[Data Set]]=SelectedDataSet)</f>
        <v>0</v>
      </c>
      <c r="J1853" s="14" t="b">
        <f>OR(LCI_Table[[#This Row],[Technology]]="All",LCI_Table[[#This Row],[Technology]]=SelectedTechnology)</f>
        <v>0</v>
      </c>
      <c r="K1853" s="14" t="b">
        <f>OR(LCI_Table[[#This Row],[Data Source]]="All",LCI_Table[[#This Row],[Data Source]]=SelectedDataSource)</f>
        <v>0</v>
      </c>
      <c r="L1853" s="14" t="b">
        <f>TRUE</f>
        <v>1</v>
      </c>
      <c r="M1853" s="14" t="b">
        <f>(LCI_Table[[#This Row],[Dev Notes]]="Do not display")</f>
        <v>0</v>
      </c>
      <c r="N1853" s="14" t="b">
        <f>AND(LCI_Table[[#This Row],[Show Feedstock]:[Conditional]],NOT(LCI_Table[[#This Row],[Hide Row]]))</f>
        <v>0</v>
      </c>
      <c r="O1853" s="14" t="b">
        <f>LCI_Table[[#This Row],[GREET1 Name Range]]=""</f>
        <v>1</v>
      </c>
      <c r="P1853" s="48" t="s">
        <v>14</v>
      </c>
      <c r="Q1853" s="14" t="s">
        <v>361</v>
      </c>
      <c r="R1853" s="48" t="s">
        <v>200</v>
      </c>
      <c r="S1853" s="37" cm="1">
        <f t="array" aca="1" ref="S18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5.8</v>
      </c>
      <c r="T1853" s="346" t="s">
        <v>2116</v>
      </c>
      <c r="U1853" s="344"/>
      <c r="V1853" s="344">
        <v>5.8</v>
      </c>
      <c r="W1853" s="344"/>
      <c r="X1853" s="48" t="s">
        <v>55</v>
      </c>
      <c r="Y1853" s="346" t="s">
        <v>413</v>
      </c>
      <c r="Z1853" s="14" t="str">
        <f>IF(ISBLANK(LCI_Table[[#This Row],[Notes for user]])," ",LCI_Table[[#This Row],[Notes for user]])</f>
        <v>Default value from GREET</v>
      </c>
      <c r="AA1853" s="48" t="s">
        <v>1152</v>
      </c>
      <c r="AB1853" s="345"/>
      <c r="AC1853" s="346">
        <f>LCI_Table[[#This Row],[Default Calculated Value]]-LCI_Table[[#This Row],[Calculated Value]]</f>
        <v>0</v>
      </c>
    </row>
    <row r="1854" spans="1:29" x14ac:dyDescent="0.3">
      <c r="A18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SwitchgrassATJ-ethanolICAOConsensusStandalone_Switchgrass_Farming_Nitrogen_fertilizerNitrogen fertilizer</v>
      </c>
      <c r="B1854" s="14" t="s">
        <v>133</v>
      </c>
      <c r="C1854" s="14" t="s">
        <v>1964</v>
      </c>
      <c r="D1854" s="14" t="s">
        <v>194</v>
      </c>
      <c r="E1854" s="48" t="s">
        <v>1399</v>
      </c>
      <c r="F1854" s="48" t="s">
        <v>137</v>
      </c>
      <c r="G1854" s="14" t="b">
        <f>OR(LCI_Table[[#This Row],[Feedstock]]="All",LCI_Table[[#This Row],[Feedstock]]=SelectedFeedstock)</f>
        <v>0</v>
      </c>
      <c r="H1854" s="14" t="b">
        <f>OR(LCI_Table[[#This Row],[Conversion]]="All",LCI_Table[[#This Row],[Conversion]]=SelectedConversion)</f>
        <v>0</v>
      </c>
      <c r="I1854" s="14" t="b">
        <f>OR(LCI_Table[[#This Row],[Data Set]]="all",LCI_Table[[#This Row],[Data Set]]=SelectedDataSet)</f>
        <v>0</v>
      </c>
      <c r="J1854" s="14" t="b">
        <f>OR(LCI_Table[[#This Row],[Technology]]="All",LCI_Table[[#This Row],[Technology]]=SelectedTechnology)</f>
        <v>0</v>
      </c>
      <c r="K1854" s="14" t="b">
        <f>OR(LCI_Table[[#This Row],[Data Source]]="All",LCI_Table[[#This Row],[Data Source]]=SelectedDataSource)</f>
        <v>0</v>
      </c>
      <c r="L1854" s="14" t="b">
        <f>TRUE</f>
        <v>1</v>
      </c>
      <c r="M1854" s="14" t="b">
        <f>(LCI_Table[[#This Row],[Dev Notes]]="Do not display")</f>
        <v>0</v>
      </c>
      <c r="N1854" s="14" t="b">
        <f>AND(LCI_Table[[#This Row],[Show Feedstock]:[Conditional]],NOT(LCI_Table[[#This Row],[Hide Row]]))</f>
        <v>0</v>
      </c>
      <c r="O1854" s="14" t="b">
        <f>LCI_Table[[#This Row],[GREET1 Name Range]]=""</f>
        <v>0</v>
      </c>
      <c r="P1854" s="14" t="s">
        <v>14</v>
      </c>
      <c r="Q1854" s="14" t="s">
        <v>818</v>
      </c>
      <c r="R1854" s="14" t="s">
        <v>111</v>
      </c>
      <c r="S1854" s="37" cm="1">
        <f t="array" aca="1" ref="S18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62.36577657670108</v>
      </c>
      <c r="T1854" s="346" t="s">
        <v>1485</v>
      </c>
      <c r="U1854" s="347">
        <f ca="1">S1854/S1853*lb2g</f>
        <v>4877.3517938476434</v>
      </c>
      <c r="V1854" s="347">
        <v>62.36577657670108</v>
      </c>
      <c r="W1854" s="347">
        <v>4877.3517938476434</v>
      </c>
      <c r="X1854" s="37" t="s">
        <v>12</v>
      </c>
      <c r="Y1854" s="346" t="s">
        <v>413</v>
      </c>
      <c r="Z1854" s="14" t="str">
        <f>IF(ISBLANK(LCI_Table[[#This Row],[Notes for user]])," ",LCI_Table[[#This Row],[Notes for user]])</f>
        <v xml:space="preserve"> </v>
      </c>
      <c r="AA1854" s="14"/>
      <c r="AB1854" s="14"/>
      <c r="AC1854" s="346">
        <f ca="1">LCI_Table[[#This Row],[Default Calculated Value]]-LCI_Table[[#This Row],[Calculated Value]]</f>
        <v>0</v>
      </c>
    </row>
    <row r="1855" spans="1:29" x14ac:dyDescent="0.3">
      <c r="A18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SwitchgrassATJ-ethanolICAOConsensusStandalone_Switchgrass_Farming_P2O5P2O5</v>
      </c>
      <c r="B1855" s="14" t="s">
        <v>133</v>
      </c>
      <c r="C1855" s="14" t="s">
        <v>1964</v>
      </c>
      <c r="D1855" s="14" t="s">
        <v>194</v>
      </c>
      <c r="E1855" s="48" t="s">
        <v>1399</v>
      </c>
      <c r="F1855" s="48" t="s">
        <v>137</v>
      </c>
      <c r="G1855" s="14" t="b">
        <f>OR(LCI_Table[[#This Row],[Feedstock]]="All",LCI_Table[[#This Row],[Feedstock]]=SelectedFeedstock)</f>
        <v>0</v>
      </c>
      <c r="H1855" s="14" t="b">
        <f>OR(LCI_Table[[#This Row],[Conversion]]="All",LCI_Table[[#This Row],[Conversion]]=SelectedConversion)</f>
        <v>0</v>
      </c>
      <c r="I1855" s="14" t="b">
        <f>OR(LCI_Table[[#This Row],[Data Set]]="all",LCI_Table[[#This Row],[Data Set]]=SelectedDataSet)</f>
        <v>0</v>
      </c>
      <c r="J1855" s="14" t="b">
        <f>OR(LCI_Table[[#This Row],[Technology]]="All",LCI_Table[[#This Row],[Technology]]=SelectedTechnology)</f>
        <v>0</v>
      </c>
      <c r="K1855" s="14" t="b">
        <f>OR(LCI_Table[[#This Row],[Data Source]]="All",LCI_Table[[#This Row],[Data Source]]=SelectedDataSource)</f>
        <v>0</v>
      </c>
      <c r="L1855" s="14" t="b">
        <f>TRUE</f>
        <v>1</v>
      </c>
      <c r="M1855" s="14" t="b">
        <f>(LCI_Table[[#This Row],[Dev Notes]]="Do not display")</f>
        <v>0</v>
      </c>
      <c r="N1855" s="14" t="b">
        <f>AND(LCI_Table[[#This Row],[Show Feedstock]:[Conditional]],NOT(LCI_Table[[#This Row],[Hide Row]]))</f>
        <v>0</v>
      </c>
      <c r="O1855" s="14" t="b">
        <f>LCI_Table[[#This Row],[GREET1 Name Range]]=""</f>
        <v>0</v>
      </c>
      <c r="P1855" s="14" t="s">
        <v>14</v>
      </c>
      <c r="Q1855" s="14" t="s">
        <v>819</v>
      </c>
      <c r="R1855" s="14" t="s">
        <v>112</v>
      </c>
      <c r="S1855" s="37" cm="1">
        <f t="array" aca="1" ref="S18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29.509463992754071</v>
      </c>
      <c r="T1855" s="346" t="s">
        <v>1485</v>
      </c>
      <c r="U1855" s="347">
        <f ca="1">S1855/S1853*lb2g</f>
        <v>2307.8047775694799</v>
      </c>
      <c r="V1855" s="347">
        <v>29.509463992754071</v>
      </c>
      <c r="W1855" s="347">
        <v>2307.8047775694799</v>
      </c>
      <c r="X1855" s="37" t="s">
        <v>12</v>
      </c>
      <c r="Y1855" s="346" t="s">
        <v>413</v>
      </c>
      <c r="Z1855" s="14" t="str">
        <f>IF(ISBLANK(LCI_Table[[#This Row],[Notes for user]])," ",LCI_Table[[#This Row],[Notes for user]])</f>
        <v xml:space="preserve"> </v>
      </c>
      <c r="AA1855" s="14"/>
      <c r="AB1855" s="14"/>
      <c r="AC1855" s="346">
        <f ca="1">LCI_Table[[#This Row],[Default Calculated Value]]-LCI_Table[[#This Row],[Calculated Value]]</f>
        <v>0</v>
      </c>
    </row>
    <row r="1856" spans="1:29" x14ac:dyDescent="0.3">
      <c r="A18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SwitchgrassATJ-ethanolICAOConsensusStandalone_Switchgrass_Farming_K2OK2O</v>
      </c>
      <c r="B1856" s="14" t="s">
        <v>133</v>
      </c>
      <c r="C1856" s="14" t="s">
        <v>1964</v>
      </c>
      <c r="D1856" s="14" t="s">
        <v>194</v>
      </c>
      <c r="E1856" s="48" t="s">
        <v>1399</v>
      </c>
      <c r="F1856" s="48" t="s">
        <v>137</v>
      </c>
      <c r="G1856" s="14" t="b">
        <f>OR(LCI_Table[[#This Row],[Feedstock]]="All",LCI_Table[[#This Row],[Feedstock]]=SelectedFeedstock)</f>
        <v>0</v>
      </c>
      <c r="H1856" s="14" t="b">
        <f>OR(LCI_Table[[#This Row],[Conversion]]="All",LCI_Table[[#This Row],[Conversion]]=SelectedConversion)</f>
        <v>0</v>
      </c>
      <c r="I1856" s="14" t="b">
        <f>OR(LCI_Table[[#This Row],[Data Set]]="all",LCI_Table[[#This Row],[Data Set]]=SelectedDataSet)</f>
        <v>0</v>
      </c>
      <c r="J1856" s="14" t="b">
        <f>OR(LCI_Table[[#This Row],[Technology]]="All",LCI_Table[[#This Row],[Technology]]=SelectedTechnology)</f>
        <v>0</v>
      </c>
      <c r="K1856" s="14" t="b">
        <f>OR(LCI_Table[[#This Row],[Data Source]]="All",LCI_Table[[#This Row],[Data Source]]=SelectedDataSource)</f>
        <v>0</v>
      </c>
      <c r="L1856" s="14" t="b">
        <f>TRUE</f>
        <v>1</v>
      </c>
      <c r="M1856" s="14" t="b">
        <f>(LCI_Table[[#This Row],[Dev Notes]]="Do not display")</f>
        <v>0</v>
      </c>
      <c r="N1856" s="14" t="b">
        <f>AND(LCI_Table[[#This Row],[Show Feedstock]:[Conditional]],NOT(LCI_Table[[#This Row],[Hide Row]]))</f>
        <v>0</v>
      </c>
      <c r="O1856" s="14" t="b">
        <f>LCI_Table[[#This Row],[GREET1 Name Range]]=""</f>
        <v>0</v>
      </c>
      <c r="P1856" s="14" t="s">
        <v>14</v>
      </c>
      <c r="Q1856" s="14" t="s">
        <v>815</v>
      </c>
      <c r="R1856" s="14" t="s">
        <v>113</v>
      </c>
      <c r="S1856" s="37" cm="1">
        <f t="array" aca="1" ref="S18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40.923203330301966</v>
      </c>
      <c r="T1856" s="346" t="s">
        <v>1485</v>
      </c>
      <c r="U1856" s="347">
        <f ca="1">S1856/S1853*lb2g</f>
        <v>3200.4228942385453</v>
      </c>
      <c r="V1856" s="347">
        <v>40.923203330301966</v>
      </c>
      <c r="W1856" s="347">
        <v>3200.4228942385453</v>
      </c>
      <c r="X1856" s="37" t="s">
        <v>12</v>
      </c>
      <c r="Y1856" s="346" t="s">
        <v>413</v>
      </c>
      <c r="Z1856" s="14" t="str">
        <f>IF(ISBLANK(LCI_Table[[#This Row],[Notes for user]])," ",LCI_Table[[#This Row],[Notes for user]])</f>
        <v xml:space="preserve"> </v>
      </c>
      <c r="AA1856" s="14"/>
      <c r="AB1856" s="14"/>
      <c r="AC1856" s="346">
        <f ca="1">LCI_Table[[#This Row],[Default Calculated Value]]-LCI_Table[[#This Row],[Calculated Value]]</f>
        <v>0</v>
      </c>
    </row>
    <row r="1857" spans="1:29" x14ac:dyDescent="0.3">
      <c r="A18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SwitchgrassATJ-ethanolICAOConsensusStandalone_Switchgrass_Farming_CaCO3CaCO3</v>
      </c>
      <c r="B1857" s="14" t="s">
        <v>133</v>
      </c>
      <c r="C1857" s="14" t="s">
        <v>1964</v>
      </c>
      <c r="D1857" s="14" t="s">
        <v>194</v>
      </c>
      <c r="E1857" s="48" t="s">
        <v>1399</v>
      </c>
      <c r="F1857" s="48" t="s">
        <v>137</v>
      </c>
      <c r="G1857" s="14" t="b">
        <f>OR(LCI_Table[[#This Row],[Feedstock]]="All",LCI_Table[[#This Row],[Feedstock]]=SelectedFeedstock)</f>
        <v>0</v>
      </c>
      <c r="H1857" s="14" t="b">
        <f>OR(LCI_Table[[#This Row],[Conversion]]="All",LCI_Table[[#This Row],[Conversion]]=SelectedConversion)</f>
        <v>0</v>
      </c>
      <c r="I1857" s="14" t="b">
        <f>OR(LCI_Table[[#This Row],[Data Set]]="all",LCI_Table[[#This Row],[Data Set]]=SelectedDataSet)</f>
        <v>0</v>
      </c>
      <c r="J1857" s="14" t="b">
        <f>OR(LCI_Table[[#This Row],[Technology]]="All",LCI_Table[[#This Row],[Technology]]=SelectedTechnology)</f>
        <v>0</v>
      </c>
      <c r="K1857" s="14" t="b">
        <f>OR(LCI_Table[[#This Row],[Data Source]]="All",LCI_Table[[#This Row],[Data Source]]=SelectedDataSource)</f>
        <v>0</v>
      </c>
      <c r="L1857" s="14" t="b">
        <f>TRUE</f>
        <v>1</v>
      </c>
      <c r="M1857" s="14" t="b">
        <f>(LCI_Table[[#This Row],[Dev Notes]]="Do not display")</f>
        <v>0</v>
      </c>
      <c r="N1857" s="14" t="b">
        <f>AND(LCI_Table[[#This Row],[Show Feedstock]:[Conditional]],NOT(LCI_Table[[#This Row],[Hide Row]]))</f>
        <v>0</v>
      </c>
      <c r="O1857" s="14" t="b">
        <f>LCI_Table[[#This Row],[GREET1 Name Range]]=""</f>
        <v>0</v>
      </c>
      <c r="P1857" s="14" t="s">
        <v>14</v>
      </c>
      <c r="Q1857" s="14" t="s">
        <v>807</v>
      </c>
      <c r="R1857" s="14" t="s">
        <v>141</v>
      </c>
      <c r="S1857" s="37" cm="1">
        <f t="array" aca="1" ref="S18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74.763553146278284</v>
      </c>
      <c r="T1857" s="346" t="s">
        <v>1485</v>
      </c>
      <c r="U1857" s="347">
        <f ca="1">S1857/S1853*lb2g</f>
        <v>5846.9271140071251</v>
      </c>
      <c r="V1857" s="347">
        <v>74.763553146278284</v>
      </c>
      <c r="W1857" s="347">
        <v>5846.9271140071251</v>
      </c>
      <c r="X1857" s="37" t="s">
        <v>12</v>
      </c>
      <c r="Y1857" s="346" t="s">
        <v>413</v>
      </c>
      <c r="Z1857" s="14" t="str">
        <f>IF(ISBLANK(LCI_Table[[#This Row],[Notes for user]])," ",LCI_Table[[#This Row],[Notes for user]])</f>
        <v xml:space="preserve"> </v>
      </c>
      <c r="AA1857" s="14"/>
      <c r="AB1857" s="14"/>
      <c r="AC1857" s="346">
        <f ca="1">LCI_Table[[#This Row],[Default Calculated Value]]-LCI_Table[[#This Row],[Calculated Value]]</f>
        <v>0</v>
      </c>
    </row>
    <row r="1858" spans="1:29" x14ac:dyDescent="0.3">
      <c r="A18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SwitchgrassATJ-ethanolICAOConsensusStandalone_Switchgrass_Farming_HerbicidesHerbicides</v>
      </c>
      <c r="B1858" s="14" t="s">
        <v>133</v>
      </c>
      <c r="C1858" s="14" t="s">
        <v>1964</v>
      </c>
      <c r="D1858" s="14" t="s">
        <v>194</v>
      </c>
      <c r="E1858" s="48" t="s">
        <v>1399</v>
      </c>
      <c r="F1858" s="48" t="s">
        <v>137</v>
      </c>
      <c r="G1858" s="14" t="b">
        <f>OR(LCI_Table[[#This Row],[Feedstock]]="All",LCI_Table[[#This Row],[Feedstock]]=SelectedFeedstock)</f>
        <v>0</v>
      </c>
      <c r="H1858" s="14" t="b">
        <f>OR(LCI_Table[[#This Row],[Conversion]]="All",LCI_Table[[#This Row],[Conversion]]=SelectedConversion)</f>
        <v>0</v>
      </c>
      <c r="I1858" s="14" t="b">
        <f>OR(LCI_Table[[#This Row],[Data Set]]="all",LCI_Table[[#This Row],[Data Set]]=SelectedDataSet)</f>
        <v>0</v>
      </c>
      <c r="J1858" s="14" t="b">
        <f>OR(LCI_Table[[#This Row],[Technology]]="All",LCI_Table[[#This Row],[Technology]]=SelectedTechnology)</f>
        <v>0</v>
      </c>
      <c r="K1858" s="14" t="b">
        <f>OR(LCI_Table[[#This Row],[Data Source]]="All",LCI_Table[[#This Row],[Data Source]]=SelectedDataSource)</f>
        <v>0</v>
      </c>
      <c r="L1858" s="14" t="b">
        <f>TRUE</f>
        <v>1</v>
      </c>
      <c r="M1858" s="14" t="b">
        <f>(LCI_Table[[#This Row],[Dev Notes]]="Do not display")</f>
        <v>0</v>
      </c>
      <c r="N1858" s="14" t="b">
        <f>AND(LCI_Table[[#This Row],[Show Feedstock]:[Conditional]],NOT(LCI_Table[[#This Row],[Hide Row]]))</f>
        <v>0</v>
      </c>
      <c r="O1858" s="14" t="b">
        <f>LCI_Table[[#This Row],[GREET1 Name Range]]=""</f>
        <v>0</v>
      </c>
      <c r="P1858" s="14" t="s">
        <v>14</v>
      </c>
      <c r="Q1858" s="14" t="s">
        <v>813</v>
      </c>
      <c r="R1858" s="14" t="s">
        <v>356</v>
      </c>
      <c r="S1858" s="37" cm="1">
        <f t="array" aca="1" ref="S18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0.67899722027655518</v>
      </c>
      <c r="T1858" s="346" t="s">
        <v>1485</v>
      </c>
      <c r="U1858" s="347">
        <f ca="1">S1858/S1853*lb2g</f>
        <v>53.101372132526677</v>
      </c>
      <c r="V1858" s="347">
        <v>0.67899722027655518</v>
      </c>
      <c r="W1858" s="347">
        <v>53.101372132526677</v>
      </c>
      <c r="X1858" s="37" t="s">
        <v>12</v>
      </c>
      <c r="Y1858" s="346" t="s">
        <v>413</v>
      </c>
      <c r="Z1858" s="14" t="str">
        <f>IF(ISBLANK(LCI_Table[[#This Row],[Notes for user]])," ",LCI_Table[[#This Row],[Notes for user]])</f>
        <v xml:space="preserve"> </v>
      </c>
      <c r="AA1858" s="14"/>
      <c r="AB1858" s="14"/>
      <c r="AC1858" s="346">
        <f ca="1">LCI_Table[[#This Row],[Default Calculated Value]]-LCI_Table[[#This Row],[Calculated Value]]</f>
        <v>0</v>
      </c>
    </row>
    <row r="1859" spans="1:29" x14ac:dyDescent="0.3">
      <c r="A18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SwitchgrassATJ-ethanolICAOConsensusStandalone_Switchgrass_Farming_InsecticideInsecticide</v>
      </c>
      <c r="B1859" s="14" t="s">
        <v>133</v>
      </c>
      <c r="C1859" s="14" t="s">
        <v>1964</v>
      </c>
      <c r="D1859" s="14" t="s">
        <v>194</v>
      </c>
      <c r="E1859" s="48" t="s">
        <v>1399</v>
      </c>
      <c r="F1859" s="48" t="s">
        <v>137</v>
      </c>
      <c r="G1859" s="14" t="b">
        <f>OR(LCI_Table[[#This Row],[Feedstock]]="All",LCI_Table[[#This Row],[Feedstock]]=SelectedFeedstock)</f>
        <v>0</v>
      </c>
      <c r="H1859" s="14" t="b">
        <f>OR(LCI_Table[[#This Row],[Conversion]]="All",LCI_Table[[#This Row],[Conversion]]=SelectedConversion)</f>
        <v>0</v>
      </c>
      <c r="I1859" s="14" t="b">
        <f>OR(LCI_Table[[#This Row],[Data Set]]="all",LCI_Table[[#This Row],[Data Set]]=SelectedDataSet)</f>
        <v>0</v>
      </c>
      <c r="J1859" s="14" t="b">
        <f>OR(LCI_Table[[#This Row],[Technology]]="All",LCI_Table[[#This Row],[Technology]]=SelectedTechnology)</f>
        <v>0</v>
      </c>
      <c r="K1859" s="14" t="b">
        <f>OR(LCI_Table[[#This Row],[Data Source]]="All",LCI_Table[[#This Row],[Data Source]]=SelectedDataSource)</f>
        <v>0</v>
      </c>
      <c r="L1859" s="14" t="b">
        <f>TRUE</f>
        <v>1</v>
      </c>
      <c r="M1859" s="14" t="b">
        <f>(LCI_Table[[#This Row],[Dev Notes]]="Do not display")</f>
        <v>0</v>
      </c>
      <c r="N1859" s="14" t="b">
        <f>AND(LCI_Table[[#This Row],[Show Feedstock]:[Conditional]],NOT(LCI_Table[[#This Row],[Hide Row]]))</f>
        <v>0</v>
      </c>
      <c r="O1859" s="14" t="b">
        <f>LCI_Table[[#This Row],[GREET1 Name Range]]=""</f>
        <v>0</v>
      </c>
      <c r="P1859" s="14" t="s">
        <v>14</v>
      </c>
      <c r="Q1859" s="14" t="s">
        <v>814</v>
      </c>
      <c r="R1859" s="14" t="s">
        <v>114</v>
      </c>
      <c r="S1859" s="37" cm="1">
        <f t="array" aca="1" ref="S18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59" s="346" t="s">
        <v>1485</v>
      </c>
      <c r="U1859" s="347">
        <f ca="1">S1859/S1853*lb2g</f>
        <v>0</v>
      </c>
      <c r="V1859" s="347">
        <v>0</v>
      </c>
      <c r="W1859" s="347">
        <v>0</v>
      </c>
      <c r="X1859" s="37" t="s">
        <v>12</v>
      </c>
      <c r="Y1859" s="346" t="s">
        <v>413</v>
      </c>
      <c r="Z1859" s="14" t="str">
        <f>IF(ISBLANK(LCI_Table[[#This Row],[Notes for user]])," ",LCI_Table[[#This Row],[Notes for user]])</f>
        <v xml:space="preserve"> </v>
      </c>
      <c r="AA1859" s="14"/>
      <c r="AB1859" s="14"/>
      <c r="AC1859" s="346">
        <f ca="1">LCI_Table[[#This Row],[Default Calculated Value]]-LCI_Table[[#This Row],[Calculated Value]]</f>
        <v>0</v>
      </c>
    </row>
    <row r="1860" spans="1:29" x14ac:dyDescent="0.3">
      <c r="A18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SwitchgrassATJ-ethanolICAOConsensusStandalone_Switchgrass_Farming_HDPEHDPE</v>
      </c>
      <c r="B1860" s="14" t="s">
        <v>133</v>
      </c>
      <c r="C1860" s="14" t="s">
        <v>1964</v>
      </c>
      <c r="D1860" s="14" t="s">
        <v>194</v>
      </c>
      <c r="E1860" s="48" t="s">
        <v>1399</v>
      </c>
      <c r="F1860" s="48" t="s">
        <v>137</v>
      </c>
      <c r="G1860" s="14" t="b">
        <f>OR(LCI_Table[[#This Row],[Feedstock]]="All",LCI_Table[[#This Row],[Feedstock]]=SelectedFeedstock)</f>
        <v>0</v>
      </c>
      <c r="H1860" s="14" t="b">
        <f>OR(LCI_Table[[#This Row],[Conversion]]="All",LCI_Table[[#This Row],[Conversion]]=SelectedConversion)</f>
        <v>0</v>
      </c>
      <c r="I1860" s="14" t="b">
        <f>OR(LCI_Table[[#This Row],[Data Set]]="all",LCI_Table[[#This Row],[Data Set]]=SelectedDataSet)</f>
        <v>0</v>
      </c>
      <c r="J1860" s="14" t="b">
        <f>OR(LCI_Table[[#This Row],[Technology]]="All",LCI_Table[[#This Row],[Technology]]=SelectedTechnology)</f>
        <v>0</v>
      </c>
      <c r="K1860" s="14" t="b">
        <f>OR(LCI_Table[[#This Row],[Data Source]]="All",LCI_Table[[#This Row],[Data Source]]=SelectedDataSource)</f>
        <v>0</v>
      </c>
      <c r="L1860" s="14" t="b">
        <f>TRUE</f>
        <v>1</v>
      </c>
      <c r="M1860" s="14" t="b">
        <f>(LCI_Table[[#This Row],[Dev Notes]]="Do not display")</f>
        <v>0</v>
      </c>
      <c r="N1860" s="14" t="b">
        <f>AND(LCI_Table[[#This Row],[Show Feedstock]:[Conditional]],NOT(LCI_Table[[#This Row],[Hide Row]]))</f>
        <v>0</v>
      </c>
      <c r="O1860" s="14" t="b">
        <f>LCI_Table[[#This Row],[GREET1 Name Range]]=""</f>
        <v>0</v>
      </c>
      <c r="P1860" s="14" t="s">
        <v>14</v>
      </c>
      <c r="Q1860" s="14" t="s">
        <v>812</v>
      </c>
      <c r="R1860" s="14" t="s">
        <v>357</v>
      </c>
      <c r="S1860" s="37" cm="1">
        <f t="array" aca="1" ref="S18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60" s="346" t="s">
        <v>1485</v>
      </c>
      <c r="U1860" s="347">
        <f ca="1">S1860/S1853</f>
        <v>0</v>
      </c>
      <c r="V1860" s="347">
        <v>0</v>
      </c>
      <c r="W1860" s="347">
        <v>0</v>
      </c>
      <c r="X1860" s="37" t="s">
        <v>12</v>
      </c>
      <c r="Y1860" s="346" t="s">
        <v>413</v>
      </c>
      <c r="Z1860" s="14" t="str">
        <f>IF(ISBLANK(LCI_Table[[#This Row],[Notes for user]])," ",LCI_Table[[#This Row],[Notes for user]])</f>
        <v xml:space="preserve"> </v>
      </c>
      <c r="AA1860" s="14"/>
      <c r="AB1860" s="14"/>
      <c r="AC1860" s="346">
        <f ca="1">LCI_Table[[#This Row],[Default Calculated Value]]-LCI_Table[[#This Row],[Calculated Value]]</f>
        <v>0</v>
      </c>
    </row>
    <row r="1861" spans="1:29" x14ac:dyDescent="0.3">
      <c r="A18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SwitchgrassATJ-ethanolICAOConsensusStandalone_Switchgrass_Farming_Residual_oilResidual oil</v>
      </c>
      <c r="B1861" s="14" t="s">
        <v>133</v>
      </c>
      <c r="C1861" s="14" t="s">
        <v>1964</v>
      </c>
      <c r="D1861" s="14" t="s">
        <v>194</v>
      </c>
      <c r="E1861" s="48" t="s">
        <v>1399</v>
      </c>
      <c r="F1861" s="48" t="s">
        <v>137</v>
      </c>
      <c r="G1861" s="14" t="b">
        <f>OR(LCI_Table[[#This Row],[Feedstock]]="All",LCI_Table[[#This Row],[Feedstock]]=SelectedFeedstock)</f>
        <v>0</v>
      </c>
      <c r="H1861" s="14" t="b">
        <f>OR(LCI_Table[[#This Row],[Conversion]]="All",LCI_Table[[#This Row],[Conversion]]=SelectedConversion)</f>
        <v>0</v>
      </c>
      <c r="I1861" s="14" t="b">
        <f>OR(LCI_Table[[#This Row],[Data Set]]="all",LCI_Table[[#This Row],[Data Set]]=SelectedDataSet)</f>
        <v>0</v>
      </c>
      <c r="J1861" s="14" t="b">
        <f>OR(LCI_Table[[#This Row],[Technology]]="All",LCI_Table[[#This Row],[Technology]]=SelectedTechnology)</f>
        <v>0</v>
      </c>
      <c r="K1861" s="14" t="b">
        <f>OR(LCI_Table[[#This Row],[Data Source]]="All",LCI_Table[[#This Row],[Data Source]]=SelectedDataSource)</f>
        <v>0</v>
      </c>
      <c r="L1861" s="14" t="b">
        <f>TRUE</f>
        <v>1</v>
      </c>
      <c r="M1861" s="14" t="b">
        <f>(LCI_Table[[#This Row],[Dev Notes]]="Do not display")</f>
        <v>0</v>
      </c>
      <c r="N1861" s="14" t="b">
        <f>AND(LCI_Table[[#This Row],[Show Feedstock]:[Conditional]],NOT(LCI_Table[[#This Row],[Hide Row]]))</f>
        <v>0</v>
      </c>
      <c r="O1861" s="14" t="b">
        <f>LCI_Table[[#This Row],[GREET1 Name Range]]=""</f>
        <v>0</v>
      </c>
      <c r="P1861" s="14" t="s">
        <v>14</v>
      </c>
      <c r="Q1861" s="14" t="s">
        <v>820</v>
      </c>
      <c r="R1861" s="14" t="s">
        <v>115</v>
      </c>
      <c r="S1861" s="37" cm="1">
        <f t="array" aca="1" ref="S18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61" s="346" t="s">
        <v>1484</v>
      </c>
      <c r="U1861" s="347">
        <f ca="1">S1861*Fuel_Specs!$B$28/S1853</f>
        <v>0</v>
      </c>
      <c r="V1861" s="347">
        <v>0</v>
      </c>
      <c r="W1861" s="347">
        <v>0</v>
      </c>
      <c r="X1861" s="37" t="s">
        <v>5</v>
      </c>
      <c r="Y1861" s="346" t="s">
        <v>413</v>
      </c>
      <c r="Z1861" s="14" t="str">
        <f>IF(ISBLANK(LCI_Table[[#This Row],[Notes for user]])," ",LCI_Table[[#This Row],[Notes for user]])</f>
        <v xml:space="preserve"> </v>
      </c>
      <c r="AA1861" s="14"/>
      <c r="AB1861" s="14"/>
      <c r="AC1861" s="346">
        <f ca="1">LCI_Table[[#This Row],[Default Calculated Value]]-LCI_Table[[#This Row],[Calculated Value]]</f>
        <v>0</v>
      </c>
    </row>
    <row r="1862" spans="1:29" x14ac:dyDescent="0.3">
      <c r="A18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SwitchgrassATJ-ethanolICAOConsensusStandalone_Switchgrass_Farming_DieselDiesel</v>
      </c>
      <c r="B1862" s="14" t="s">
        <v>133</v>
      </c>
      <c r="C1862" s="14" t="s">
        <v>1964</v>
      </c>
      <c r="D1862" s="14" t="s">
        <v>194</v>
      </c>
      <c r="E1862" s="48" t="s">
        <v>1399</v>
      </c>
      <c r="F1862" s="48" t="s">
        <v>137</v>
      </c>
      <c r="G1862" s="14" t="b">
        <f>OR(LCI_Table[[#This Row],[Feedstock]]="All",LCI_Table[[#This Row],[Feedstock]]=SelectedFeedstock)</f>
        <v>0</v>
      </c>
      <c r="H1862" s="14" t="b">
        <f>OR(LCI_Table[[#This Row],[Conversion]]="All",LCI_Table[[#This Row],[Conversion]]=SelectedConversion)</f>
        <v>0</v>
      </c>
      <c r="I1862" s="14" t="b">
        <f>OR(LCI_Table[[#This Row],[Data Set]]="all",LCI_Table[[#This Row],[Data Set]]=SelectedDataSet)</f>
        <v>0</v>
      </c>
      <c r="J1862" s="14" t="b">
        <f>OR(LCI_Table[[#This Row],[Technology]]="All",LCI_Table[[#This Row],[Technology]]=SelectedTechnology)</f>
        <v>0</v>
      </c>
      <c r="K1862" s="14" t="b">
        <f>OR(LCI_Table[[#This Row],[Data Source]]="All",LCI_Table[[#This Row],[Data Source]]=SelectedDataSource)</f>
        <v>0</v>
      </c>
      <c r="L1862" s="14" t="b">
        <f>TRUE</f>
        <v>1</v>
      </c>
      <c r="M1862" s="14" t="b">
        <f>(LCI_Table[[#This Row],[Dev Notes]]="Do not display")</f>
        <v>0</v>
      </c>
      <c r="N1862" s="14" t="b">
        <f>AND(LCI_Table[[#This Row],[Show Feedstock]:[Conditional]],NOT(LCI_Table[[#This Row],[Hide Row]]))</f>
        <v>0</v>
      </c>
      <c r="O1862" s="14" t="b">
        <f>LCI_Table[[#This Row],[GREET1 Name Range]]=""</f>
        <v>0</v>
      </c>
      <c r="P1862" s="14" t="s">
        <v>14</v>
      </c>
      <c r="Q1862" s="14" t="s">
        <v>809</v>
      </c>
      <c r="R1862" s="14" t="s">
        <v>106</v>
      </c>
      <c r="S1862" s="37" cm="1">
        <f t="array" aca="1" ref="S18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2.8274499772238171</v>
      </c>
      <c r="T1862" s="346" t="s">
        <v>1484</v>
      </c>
      <c r="U1862" s="347">
        <f ca="1">S1862*Fuel_Specs!$B$19/S1853</f>
        <v>62618.267167999889</v>
      </c>
      <c r="V1862" s="347">
        <v>2.8274499772238171</v>
      </c>
      <c r="W1862" s="347">
        <v>62618.267167999889</v>
      </c>
      <c r="X1862" s="37" t="s">
        <v>5</v>
      </c>
      <c r="Y1862" s="346" t="s">
        <v>413</v>
      </c>
      <c r="Z1862" s="14" t="str">
        <f>IF(ISBLANK(LCI_Table[[#This Row],[Notes for user]])," ",LCI_Table[[#This Row],[Notes for user]])</f>
        <v xml:space="preserve"> </v>
      </c>
      <c r="AA1862" s="14"/>
      <c r="AB1862" s="14"/>
      <c r="AC1862" s="346">
        <f ca="1">LCI_Table[[#This Row],[Default Calculated Value]]-LCI_Table[[#This Row],[Calculated Value]]</f>
        <v>0</v>
      </c>
    </row>
    <row r="1863" spans="1:29" x14ac:dyDescent="0.3">
      <c r="A18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SwitchgrassATJ-ethanolICAOConsensusStandalone_Switchgrass_Farming_GasolineGasoline</v>
      </c>
      <c r="B1863" s="14" t="s">
        <v>133</v>
      </c>
      <c r="C1863" s="14" t="s">
        <v>1964</v>
      </c>
      <c r="D1863" s="14" t="s">
        <v>194</v>
      </c>
      <c r="E1863" s="48" t="s">
        <v>1399</v>
      </c>
      <c r="F1863" s="48" t="s">
        <v>137</v>
      </c>
      <c r="G1863" s="14" t="b">
        <f>OR(LCI_Table[[#This Row],[Feedstock]]="All",LCI_Table[[#This Row],[Feedstock]]=SelectedFeedstock)</f>
        <v>0</v>
      </c>
      <c r="H1863" s="14" t="b">
        <f>OR(LCI_Table[[#This Row],[Conversion]]="All",LCI_Table[[#This Row],[Conversion]]=SelectedConversion)</f>
        <v>0</v>
      </c>
      <c r="I1863" s="14" t="b">
        <f>OR(LCI_Table[[#This Row],[Data Set]]="all",LCI_Table[[#This Row],[Data Set]]=SelectedDataSet)</f>
        <v>0</v>
      </c>
      <c r="J1863" s="14" t="b">
        <f>OR(LCI_Table[[#This Row],[Technology]]="All",LCI_Table[[#This Row],[Technology]]=SelectedTechnology)</f>
        <v>0</v>
      </c>
      <c r="K1863" s="14" t="b">
        <f>OR(LCI_Table[[#This Row],[Data Source]]="All",LCI_Table[[#This Row],[Data Source]]=SelectedDataSource)</f>
        <v>0</v>
      </c>
      <c r="L1863" s="14" t="b">
        <f>TRUE</f>
        <v>1</v>
      </c>
      <c r="M1863" s="14" t="b">
        <f>(LCI_Table[[#This Row],[Dev Notes]]="Do not display")</f>
        <v>0</v>
      </c>
      <c r="N1863" s="14" t="b">
        <f>AND(LCI_Table[[#This Row],[Show Feedstock]:[Conditional]],NOT(LCI_Table[[#This Row],[Hide Row]]))</f>
        <v>0</v>
      </c>
      <c r="O1863" s="14" t="b">
        <f>LCI_Table[[#This Row],[GREET1 Name Range]]=""</f>
        <v>0</v>
      </c>
      <c r="P1863" s="14" t="s">
        <v>14</v>
      </c>
      <c r="Q1863" s="14" t="s">
        <v>811</v>
      </c>
      <c r="R1863" s="14" t="s">
        <v>107</v>
      </c>
      <c r="S1863" s="37" cm="1">
        <f t="array" aca="1" ref="S18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63" s="346" t="s">
        <v>1484</v>
      </c>
      <c r="U1863" s="347">
        <f ca="1">S1863*Fuel_Specs!$B$15/S1853</f>
        <v>0</v>
      </c>
      <c r="V1863" s="347">
        <v>0</v>
      </c>
      <c r="W1863" s="347">
        <v>0</v>
      </c>
      <c r="X1863" s="37" t="s">
        <v>5</v>
      </c>
      <c r="Y1863" s="346" t="s">
        <v>413</v>
      </c>
      <c r="Z1863" s="14" t="str">
        <f>IF(ISBLANK(LCI_Table[[#This Row],[Notes for user]])," ",LCI_Table[[#This Row],[Notes for user]])</f>
        <v xml:space="preserve"> </v>
      </c>
      <c r="AA1863" s="14"/>
      <c r="AB1863" s="14"/>
      <c r="AC1863" s="346">
        <f ca="1">LCI_Table[[#This Row],[Default Calculated Value]]-LCI_Table[[#This Row],[Calculated Value]]</f>
        <v>0</v>
      </c>
    </row>
    <row r="1864" spans="1:29" x14ac:dyDescent="0.3">
      <c r="A18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SwitchgrassATJ-ethanolICAOConsensusStandalone_Switchgrass_Farming_Natural_gasNatural gas</v>
      </c>
      <c r="B1864" s="14" t="s">
        <v>133</v>
      </c>
      <c r="C1864" s="14" t="s">
        <v>1964</v>
      </c>
      <c r="D1864" s="14" t="s">
        <v>194</v>
      </c>
      <c r="E1864" s="48" t="s">
        <v>1399</v>
      </c>
      <c r="F1864" s="48" t="s">
        <v>137</v>
      </c>
      <c r="G1864" s="14" t="b">
        <f>OR(LCI_Table[[#This Row],[Feedstock]]="All",LCI_Table[[#This Row],[Feedstock]]=SelectedFeedstock)</f>
        <v>0</v>
      </c>
      <c r="H1864" s="14" t="b">
        <f>OR(LCI_Table[[#This Row],[Conversion]]="All",LCI_Table[[#This Row],[Conversion]]=SelectedConversion)</f>
        <v>0</v>
      </c>
      <c r="I1864" s="14" t="b">
        <f>OR(LCI_Table[[#This Row],[Data Set]]="all",LCI_Table[[#This Row],[Data Set]]=SelectedDataSet)</f>
        <v>0</v>
      </c>
      <c r="J1864" s="14" t="b">
        <f>OR(LCI_Table[[#This Row],[Technology]]="All",LCI_Table[[#This Row],[Technology]]=SelectedTechnology)</f>
        <v>0</v>
      </c>
      <c r="K1864" s="14" t="b">
        <f>OR(LCI_Table[[#This Row],[Data Source]]="All",LCI_Table[[#This Row],[Data Source]]=SelectedDataSource)</f>
        <v>0</v>
      </c>
      <c r="L1864" s="14" t="b">
        <f>TRUE</f>
        <v>1</v>
      </c>
      <c r="M1864" s="14" t="b">
        <f>(LCI_Table[[#This Row],[Dev Notes]]="Do not display")</f>
        <v>0</v>
      </c>
      <c r="N1864" s="14" t="b">
        <f>AND(LCI_Table[[#This Row],[Show Feedstock]:[Conditional]],NOT(LCI_Table[[#This Row],[Hide Row]]))</f>
        <v>0</v>
      </c>
      <c r="O1864" s="14" t="b">
        <f>LCI_Table[[#This Row],[GREET1 Name Range]]=""</f>
        <v>0</v>
      </c>
      <c r="P1864" s="14" t="s">
        <v>14</v>
      </c>
      <c r="Q1864" s="14" t="s">
        <v>817</v>
      </c>
      <c r="R1864" s="14" t="s">
        <v>108</v>
      </c>
      <c r="S1864" s="37" cm="1">
        <f t="array" aca="1" ref="S18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64" s="346" t="s">
        <v>2109</v>
      </c>
      <c r="U1864" s="347">
        <f ca="1">S1864*Fuel_Specs!$B$79/S1853</f>
        <v>0</v>
      </c>
      <c r="V1864" s="347">
        <v>0</v>
      </c>
      <c r="W1864" s="347">
        <v>0</v>
      </c>
      <c r="X1864" s="37" t="s">
        <v>351</v>
      </c>
      <c r="Y1864" s="346" t="s">
        <v>413</v>
      </c>
      <c r="Z1864" s="14" t="str">
        <f>IF(ISBLANK(LCI_Table[[#This Row],[Notes for user]])," ",LCI_Table[[#This Row],[Notes for user]])</f>
        <v xml:space="preserve"> </v>
      </c>
      <c r="AA1864" s="14"/>
      <c r="AB1864" s="14"/>
      <c r="AC1864" s="346">
        <f ca="1">LCI_Table[[#This Row],[Default Calculated Value]]-LCI_Table[[#This Row],[Calculated Value]]</f>
        <v>0</v>
      </c>
    </row>
    <row r="1865" spans="1:29" x14ac:dyDescent="0.3">
      <c r="A18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SwitchgrassATJ-ethanolICAOConsensusStandalone_Switchgrass_Farming_CoalCoal</v>
      </c>
      <c r="B1865" s="14" t="s">
        <v>133</v>
      </c>
      <c r="C1865" s="14" t="s">
        <v>1964</v>
      </c>
      <c r="D1865" s="14" t="s">
        <v>194</v>
      </c>
      <c r="E1865" s="48" t="s">
        <v>1399</v>
      </c>
      <c r="F1865" s="48" t="s">
        <v>137</v>
      </c>
      <c r="G1865" s="14" t="b">
        <f>OR(LCI_Table[[#This Row],[Feedstock]]="All",LCI_Table[[#This Row],[Feedstock]]=SelectedFeedstock)</f>
        <v>0</v>
      </c>
      <c r="H1865" s="14" t="b">
        <f>OR(LCI_Table[[#This Row],[Conversion]]="All",LCI_Table[[#This Row],[Conversion]]=SelectedConversion)</f>
        <v>0</v>
      </c>
      <c r="I1865" s="14" t="b">
        <f>OR(LCI_Table[[#This Row],[Data Set]]="all",LCI_Table[[#This Row],[Data Set]]=SelectedDataSet)</f>
        <v>0</v>
      </c>
      <c r="J1865" s="14" t="b">
        <f>OR(LCI_Table[[#This Row],[Technology]]="All",LCI_Table[[#This Row],[Technology]]=SelectedTechnology)</f>
        <v>0</v>
      </c>
      <c r="K1865" s="14" t="b">
        <f>OR(LCI_Table[[#This Row],[Data Source]]="All",LCI_Table[[#This Row],[Data Source]]=SelectedDataSource)</f>
        <v>0</v>
      </c>
      <c r="L1865" s="14" t="b">
        <f>TRUE</f>
        <v>1</v>
      </c>
      <c r="M1865" s="14" t="b">
        <f>(LCI_Table[[#This Row],[Dev Notes]]="Do not display")</f>
        <v>0</v>
      </c>
      <c r="N1865" s="14" t="b">
        <f>AND(LCI_Table[[#This Row],[Show Feedstock]:[Conditional]],NOT(LCI_Table[[#This Row],[Hide Row]]))</f>
        <v>0</v>
      </c>
      <c r="O1865" s="14" t="b">
        <f>LCI_Table[[#This Row],[GREET1 Name Range]]=""</f>
        <v>0</v>
      </c>
      <c r="P1865" s="14" t="s">
        <v>14</v>
      </c>
      <c r="Q1865" s="14" t="s">
        <v>808</v>
      </c>
      <c r="R1865" s="14" t="s">
        <v>9</v>
      </c>
      <c r="S1865" s="37" cm="1">
        <f t="array" aca="1" ref="S18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65" s="346" t="s">
        <v>2110</v>
      </c>
      <c r="U1865" s="347">
        <f ca="1">S1865/S1853</f>
        <v>0</v>
      </c>
      <c r="V1865" s="347">
        <v>0</v>
      </c>
      <c r="W1865" s="347">
        <v>0</v>
      </c>
      <c r="X1865" s="37" t="s">
        <v>117</v>
      </c>
      <c r="Y1865" s="346" t="s">
        <v>413</v>
      </c>
      <c r="Z1865" s="14" t="str">
        <f>IF(ISBLANK(LCI_Table[[#This Row],[Notes for user]])," ",LCI_Table[[#This Row],[Notes for user]])</f>
        <v xml:space="preserve"> </v>
      </c>
      <c r="AA1865" s="14"/>
      <c r="AB1865" s="14"/>
      <c r="AC1865" s="346">
        <f ca="1">LCI_Table[[#This Row],[Default Calculated Value]]-LCI_Table[[#This Row],[Calculated Value]]</f>
        <v>0</v>
      </c>
    </row>
    <row r="1866" spans="1:29" x14ac:dyDescent="0.3">
      <c r="A18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SwitchgrassATJ-ethanolICAOConsensusStandalone_Switchgrass_Farming_LPGLPG</v>
      </c>
      <c r="B1866" s="14" t="s">
        <v>133</v>
      </c>
      <c r="C1866" s="14" t="s">
        <v>1964</v>
      </c>
      <c r="D1866" s="14" t="s">
        <v>194</v>
      </c>
      <c r="E1866" s="48" t="s">
        <v>1399</v>
      </c>
      <c r="F1866" s="48" t="s">
        <v>137</v>
      </c>
      <c r="G1866" s="14" t="b">
        <f>OR(LCI_Table[[#This Row],[Feedstock]]="All",LCI_Table[[#This Row],[Feedstock]]=SelectedFeedstock)</f>
        <v>0</v>
      </c>
      <c r="H1866" s="14" t="b">
        <f>OR(LCI_Table[[#This Row],[Conversion]]="All",LCI_Table[[#This Row],[Conversion]]=SelectedConversion)</f>
        <v>0</v>
      </c>
      <c r="I1866" s="14" t="b">
        <f>OR(LCI_Table[[#This Row],[Data Set]]="all",LCI_Table[[#This Row],[Data Set]]=SelectedDataSet)</f>
        <v>0</v>
      </c>
      <c r="J1866" s="14" t="b">
        <f>OR(LCI_Table[[#This Row],[Technology]]="All",LCI_Table[[#This Row],[Technology]]=SelectedTechnology)</f>
        <v>0</v>
      </c>
      <c r="K1866" s="14" t="b">
        <f>OR(LCI_Table[[#This Row],[Data Source]]="All",LCI_Table[[#This Row],[Data Source]]=SelectedDataSource)</f>
        <v>0</v>
      </c>
      <c r="L1866" s="14" t="b">
        <f>TRUE</f>
        <v>1</v>
      </c>
      <c r="M1866" s="14" t="b">
        <f>(LCI_Table[[#This Row],[Dev Notes]]="Do not display")</f>
        <v>0</v>
      </c>
      <c r="N1866" s="14" t="b">
        <f>AND(LCI_Table[[#This Row],[Show Feedstock]:[Conditional]],NOT(LCI_Table[[#This Row],[Hide Row]]))</f>
        <v>0</v>
      </c>
      <c r="O1866" s="14" t="b">
        <f>LCI_Table[[#This Row],[GREET1 Name Range]]=""</f>
        <v>0</v>
      </c>
      <c r="P1866" s="14" t="s">
        <v>14</v>
      </c>
      <c r="Q1866" s="14" t="s">
        <v>816</v>
      </c>
      <c r="R1866" s="14" t="s">
        <v>109</v>
      </c>
      <c r="S1866" s="37" cm="1">
        <f t="array" aca="1" ref="S18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66" s="346" t="s">
        <v>1484</v>
      </c>
      <c r="U1866" s="347">
        <f ca="1">S1866*Fuel_Specs!$B$35/S1853</f>
        <v>0</v>
      </c>
      <c r="V1866" s="347">
        <v>0</v>
      </c>
      <c r="W1866" s="347">
        <v>0</v>
      </c>
      <c r="X1866" s="37" t="s">
        <v>5</v>
      </c>
      <c r="Y1866" s="346" t="s">
        <v>413</v>
      </c>
      <c r="Z1866" s="14" t="str">
        <f>IF(ISBLANK(LCI_Table[[#This Row],[Notes for user]])," ",LCI_Table[[#This Row],[Notes for user]])</f>
        <v xml:space="preserve"> </v>
      </c>
      <c r="AA1866" s="14"/>
      <c r="AB1866" s="14"/>
      <c r="AC1866" s="346">
        <f ca="1">LCI_Table[[#This Row],[Default Calculated Value]]-LCI_Table[[#This Row],[Calculated Value]]</f>
        <v>0</v>
      </c>
    </row>
    <row r="1867" spans="1:29" x14ac:dyDescent="0.3">
      <c r="A18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SwitchgrassATJ-ethanolICAOConsensusStandalone_Switchgrass_Farming_ElectricityElectricity</v>
      </c>
      <c r="B1867" s="14" t="s">
        <v>133</v>
      </c>
      <c r="C1867" s="14" t="s">
        <v>1964</v>
      </c>
      <c r="D1867" s="14" t="s">
        <v>194</v>
      </c>
      <c r="E1867" s="48" t="s">
        <v>1399</v>
      </c>
      <c r="F1867" s="48" t="s">
        <v>137</v>
      </c>
      <c r="G1867" s="14" t="b">
        <f>OR(LCI_Table[[#This Row],[Feedstock]]="All",LCI_Table[[#This Row],[Feedstock]]=SelectedFeedstock)</f>
        <v>0</v>
      </c>
      <c r="H1867" s="14" t="b">
        <f>OR(LCI_Table[[#This Row],[Conversion]]="All",LCI_Table[[#This Row],[Conversion]]=SelectedConversion)</f>
        <v>0</v>
      </c>
      <c r="I1867" s="14" t="b">
        <f>OR(LCI_Table[[#This Row],[Data Set]]="all",LCI_Table[[#This Row],[Data Set]]=SelectedDataSet)</f>
        <v>0</v>
      </c>
      <c r="J1867" s="14" t="b">
        <f>OR(LCI_Table[[#This Row],[Technology]]="All",LCI_Table[[#This Row],[Technology]]=SelectedTechnology)</f>
        <v>0</v>
      </c>
      <c r="K1867" s="14" t="b">
        <f>OR(LCI_Table[[#This Row],[Data Source]]="All",LCI_Table[[#This Row],[Data Source]]=SelectedDataSource)</f>
        <v>0</v>
      </c>
      <c r="L1867" s="14" t="b">
        <f>TRUE</f>
        <v>1</v>
      </c>
      <c r="M1867" s="14" t="b">
        <f>(LCI_Table[[#This Row],[Dev Notes]]="Do not display")</f>
        <v>0</v>
      </c>
      <c r="N1867" s="14" t="b">
        <f>AND(LCI_Table[[#This Row],[Show Feedstock]:[Conditional]],NOT(LCI_Table[[#This Row],[Hide Row]]))</f>
        <v>0</v>
      </c>
      <c r="O1867" s="14" t="b">
        <f>LCI_Table[[#This Row],[GREET1 Name Range]]=""</f>
        <v>0</v>
      </c>
      <c r="P1867" s="14" t="s">
        <v>14</v>
      </c>
      <c r="Q1867" s="14" t="s">
        <v>810</v>
      </c>
      <c r="R1867" s="348" t="s">
        <v>110</v>
      </c>
      <c r="S1867" s="37" cm="1">
        <f t="array" aca="1" ref="S18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8.2582211365576494</v>
      </c>
      <c r="T1867" s="346" t="s">
        <v>1561</v>
      </c>
      <c r="U1867" s="347">
        <f ca="1">S1867/BTU2kWh/S1853</f>
        <v>4858.3138319999898</v>
      </c>
      <c r="V1867" s="347">
        <v>8.2582211365576494</v>
      </c>
      <c r="W1867" s="347">
        <v>4858.3138319999898</v>
      </c>
      <c r="X1867" s="37" t="s">
        <v>51</v>
      </c>
      <c r="Y1867" s="346" t="s">
        <v>413</v>
      </c>
      <c r="Z1867" s="14" t="str">
        <f>IF(ISBLANK(LCI_Table[[#This Row],[Notes for user]])," ",LCI_Table[[#This Row],[Notes for user]])</f>
        <v xml:space="preserve"> </v>
      </c>
      <c r="AA1867" s="14"/>
      <c r="AB1867" s="14"/>
      <c r="AC1867" s="346">
        <f ca="1">LCI_Table[[#This Row],[Default Calculated Value]]-LCI_Table[[#This Row],[Calculated Value]]</f>
        <v>0</v>
      </c>
    </row>
    <row r="1868" spans="1:29" x14ac:dyDescent="0.3">
      <c r="A18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SwitchgrassATJ-ethanolICAOConsensusStandalone_Switchgrass_Fermentation_SwitchgrassSwitchgrass</v>
      </c>
      <c r="B1868" s="14" t="s">
        <v>133</v>
      </c>
      <c r="C1868" s="14" t="s">
        <v>1964</v>
      </c>
      <c r="D1868" s="14" t="s">
        <v>194</v>
      </c>
      <c r="E1868" s="48" t="s">
        <v>1399</v>
      </c>
      <c r="F1868" s="48" t="s">
        <v>137</v>
      </c>
      <c r="G1868" s="14" t="b">
        <f>OR(LCI_Table[[#This Row],[Feedstock]]="All",LCI_Table[[#This Row],[Feedstock]]=SelectedFeedstock)</f>
        <v>0</v>
      </c>
      <c r="H1868" s="14" t="b">
        <f>OR(LCI_Table[[#This Row],[Conversion]]="All",LCI_Table[[#This Row],[Conversion]]=SelectedConversion)</f>
        <v>0</v>
      </c>
      <c r="I1868" s="14" t="b">
        <f>OR(LCI_Table[[#This Row],[Data Set]]="all",LCI_Table[[#This Row],[Data Set]]=SelectedDataSet)</f>
        <v>0</v>
      </c>
      <c r="J1868" s="14" t="b">
        <f>OR(LCI_Table[[#This Row],[Technology]]="All",LCI_Table[[#This Row],[Technology]]=SelectedTechnology)</f>
        <v>0</v>
      </c>
      <c r="K1868" s="14" t="b">
        <f>OR(LCI_Table[[#This Row],[Data Source]]="All",LCI_Table[[#This Row],[Data Source]]=SelectedDataSource)</f>
        <v>0</v>
      </c>
      <c r="L1868" s="14" t="b">
        <f>TRUE</f>
        <v>1</v>
      </c>
      <c r="M1868" s="14" t="b">
        <f>(LCI_Table[[#This Row],[Dev Notes]]="Do not display")</f>
        <v>0</v>
      </c>
      <c r="N1868" s="14" t="b">
        <f>AND(LCI_Table[[#This Row],[Show Feedstock]:[Conditional]],NOT(LCI_Table[[#This Row],[Hide Row]]))</f>
        <v>0</v>
      </c>
      <c r="O1868" s="14" t="b">
        <f>LCI_Table[[#This Row],[GREET1 Name Range]]=""</f>
        <v>0</v>
      </c>
      <c r="P1868" s="14" t="s">
        <v>428</v>
      </c>
      <c r="Q1868" s="14" t="s">
        <v>839</v>
      </c>
      <c r="R1868" s="14" t="s">
        <v>133</v>
      </c>
      <c r="S1868" s="37" cm="1">
        <f t="array" aca="1" ref="S18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23.529411764705934</v>
      </c>
      <c r="T1868" s="346" t="s">
        <v>2133</v>
      </c>
      <c r="U1868" s="359">
        <f ca="1">1/S1868/lb2ton</f>
        <v>84.999999999999815</v>
      </c>
      <c r="V1868" s="347">
        <v>23.529411764705934</v>
      </c>
      <c r="W1868" s="359">
        <v>84.999999999999815</v>
      </c>
      <c r="X1868" s="14" t="s">
        <v>12</v>
      </c>
      <c r="Y1868" s="346" t="s">
        <v>892</v>
      </c>
      <c r="Z1868" s="14" t="str">
        <f>IF(ISBLANK(LCI_Table[[#This Row],[Notes for user]])," ",LCI_Table[[#This Row],[Notes for user]])</f>
        <v xml:space="preserve"> </v>
      </c>
      <c r="AA1868" s="358"/>
      <c r="AB1868" s="358" t="s">
        <v>921</v>
      </c>
      <c r="AC1868" s="346">
        <f ca="1">LCI_Table[[#This Row],[Default Calculated Value]]-LCI_Table[[#This Row],[Calculated Value]]</f>
        <v>0</v>
      </c>
    </row>
    <row r="1869" spans="1:29" x14ac:dyDescent="0.3">
      <c r="A18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SwitchgrassATJ-ethanolICAOConsensusStandalone_Switchgrass_Fermentation_Alpha_amylaseAlpha-amylase</v>
      </c>
      <c r="B1869" s="14" t="s">
        <v>133</v>
      </c>
      <c r="C1869" s="14" t="s">
        <v>1964</v>
      </c>
      <c r="D1869" s="14" t="s">
        <v>194</v>
      </c>
      <c r="E1869" s="48" t="s">
        <v>1399</v>
      </c>
      <c r="F1869" s="48" t="s">
        <v>137</v>
      </c>
      <c r="G1869" s="14" t="b">
        <f>OR(LCI_Table[[#This Row],[Feedstock]]="All",LCI_Table[[#This Row],[Feedstock]]=SelectedFeedstock)</f>
        <v>0</v>
      </c>
      <c r="H1869" s="14" t="b">
        <f>OR(LCI_Table[[#This Row],[Conversion]]="All",LCI_Table[[#This Row],[Conversion]]=SelectedConversion)</f>
        <v>0</v>
      </c>
      <c r="I1869" s="14" t="b">
        <f>OR(LCI_Table[[#This Row],[Data Set]]="all",LCI_Table[[#This Row],[Data Set]]=SelectedDataSet)</f>
        <v>0</v>
      </c>
      <c r="J1869" s="14" t="b">
        <f>OR(LCI_Table[[#This Row],[Technology]]="All",LCI_Table[[#This Row],[Technology]]=SelectedTechnology)</f>
        <v>0</v>
      </c>
      <c r="K1869" s="14" t="b">
        <f>OR(LCI_Table[[#This Row],[Data Source]]="All",LCI_Table[[#This Row],[Data Source]]=SelectedDataSource)</f>
        <v>0</v>
      </c>
      <c r="L1869" s="14" t="b">
        <f>TRUE</f>
        <v>1</v>
      </c>
      <c r="M1869" s="14" t="b">
        <f>(LCI_Table[[#This Row],[Dev Notes]]="Do not display")</f>
        <v>0</v>
      </c>
      <c r="N1869" s="14" t="b">
        <f>AND(LCI_Table[[#This Row],[Show Feedstock]:[Conditional]],NOT(LCI_Table[[#This Row],[Hide Row]]))</f>
        <v>0</v>
      </c>
      <c r="O1869" s="14" t="b">
        <f>LCI_Table[[#This Row],[GREET1 Name Range]]=""</f>
        <v>0</v>
      </c>
      <c r="P1869" s="14" t="s">
        <v>428</v>
      </c>
      <c r="Q1869" s="14" t="s">
        <v>821</v>
      </c>
      <c r="R1869" s="14" t="s">
        <v>353</v>
      </c>
      <c r="S1869" s="37" cm="1">
        <f t="array" aca="1" ref="S18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69" s="346" t="s">
        <v>2133</v>
      </c>
      <c r="U1869" s="347">
        <f t="shared" ref="U1869" ca="1" si="93">S1869/g2lb</f>
        <v>0</v>
      </c>
      <c r="V1869" s="347">
        <v>0</v>
      </c>
      <c r="W1869" s="347">
        <v>0</v>
      </c>
      <c r="X1869" s="14" t="s">
        <v>12</v>
      </c>
      <c r="Y1869" s="346" t="s">
        <v>892</v>
      </c>
      <c r="Z1869" s="14" t="str">
        <f>IF(ISBLANK(LCI_Table[[#This Row],[Notes for user]])," ",LCI_Table[[#This Row],[Notes for user]])</f>
        <v xml:space="preserve"> </v>
      </c>
      <c r="AA1869" s="14"/>
      <c r="AB1869" s="14"/>
      <c r="AC1869" s="346">
        <f ca="1">LCI_Table[[#This Row],[Default Calculated Value]]-LCI_Table[[#This Row],[Calculated Value]]</f>
        <v>0</v>
      </c>
    </row>
    <row r="1870" spans="1:29" x14ac:dyDescent="0.3">
      <c r="A18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SwitchgrassATJ-ethanolICAOConsensusStandalone_Switchgrass_Fermentation_Gluco_amylaseGluco-amylase</v>
      </c>
      <c r="B1870" s="14" t="s">
        <v>133</v>
      </c>
      <c r="C1870" s="14" t="s">
        <v>1964</v>
      </c>
      <c r="D1870" s="14" t="s">
        <v>194</v>
      </c>
      <c r="E1870" s="48" t="s">
        <v>1399</v>
      </c>
      <c r="F1870" s="48" t="s">
        <v>137</v>
      </c>
      <c r="G1870" s="14" t="b">
        <f>OR(LCI_Table[[#This Row],[Feedstock]]="All",LCI_Table[[#This Row],[Feedstock]]=SelectedFeedstock)</f>
        <v>0</v>
      </c>
      <c r="H1870" s="14" t="b">
        <f>OR(LCI_Table[[#This Row],[Conversion]]="All",LCI_Table[[#This Row],[Conversion]]=SelectedConversion)</f>
        <v>0</v>
      </c>
      <c r="I1870" s="14" t="b">
        <f>OR(LCI_Table[[#This Row],[Data Set]]="all",LCI_Table[[#This Row],[Data Set]]=SelectedDataSet)</f>
        <v>0</v>
      </c>
      <c r="J1870" s="14" t="b">
        <f>OR(LCI_Table[[#This Row],[Technology]]="All",LCI_Table[[#This Row],[Technology]]=SelectedTechnology)</f>
        <v>0</v>
      </c>
      <c r="K1870" s="14" t="b">
        <f>OR(LCI_Table[[#This Row],[Data Source]]="All",LCI_Table[[#This Row],[Data Source]]=SelectedDataSource)</f>
        <v>0</v>
      </c>
      <c r="L1870" s="14" t="b">
        <f>TRUE</f>
        <v>1</v>
      </c>
      <c r="M1870" s="14" t="b">
        <f>(LCI_Table[[#This Row],[Dev Notes]]="Do not display")</f>
        <v>0</v>
      </c>
      <c r="N1870" s="14" t="b">
        <f>AND(LCI_Table[[#This Row],[Show Feedstock]:[Conditional]],NOT(LCI_Table[[#This Row],[Hide Row]]))</f>
        <v>0</v>
      </c>
      <c r="O1870" s="14" t="b">
        <f>LCI_Table[[#This Row],[GREET1 Name Range]]=""</f>
        <v>0</v>
      </c>
      <c r="P1870" s="14" t="s">
        <v>428</v>
      </c>
      <c r="Q1870" s="14" t="s">
        <v>831</v>
      </c>
      <c r="R1870" s="14" t="s">
        <v>354</v>
      </c>
      <c r="S1870" s="37" cm="1">
        <f t="array" aca="1" ref="S18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70" s="346" t="s">
        <v>2133</v>
      </c>
      <c r="U1870" s="347">
        <f t="shared" ref="U1870" ca="1" si="94">S1870/g2lb</f>
        <v>0</v>
      </c>
      <c r="V1870" s="347">
        <v>0</v>
      </c>
      <c r="W1870" s="347">
        <v>0</v>
      </c>
      <c r="X1870" s="14" t="s">
        <v>12</v>
      </c>
      <c r="Y1870" s="346" t="s">
        <v>892</v>
      </c>
      <c r="Z1870" s="14" t="str">
        <f>IF(ISBLANK(LCI_Table[[#This Row],[Notes for user]])," ",LCI_Table[[#This Row],[Notes for user]])</f>
        <v xml:space="preserve"> </v>
      </c>
      <c r="AA1870" s="14"/>
      <c r="AB1870" s="14"/>
      <c r="AC1870" s="346">
        <f ca="1">LCI_Table[[#This Row],[Default Calculated Value]]-LCI_Table[[#This Row],[Calculated Value]]</f>
        <v>0</v>
      </c>
    </row>
    <row r="1871" spans="1:29" x14ac:dyDescent="0.3">
      <c r="A18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SwitchgrassATJ-ethanolICAOConsensusStandalone_Switchgrass_Fermentation_CellulaseCellulase</v>
      </c>
      <c r="B1871" s="14" t="s">
        <v>133</v>
      </c>
      <c r="C1871" s="14" t="s">
        <v>1964</v>
      </c>
      <c r="D1871" s="14" t="s">
        <v>194</v>
      </c>
      <c r="E1871" s="48" t="s">
        <v>1399</v>
      </c>
      <c r="F1871" s="48" t="s">
        <v>137</v>
      </c>
      <c r="G1871" s="14" t="b">
        <f>OR(LCI_Table[[#This Row],[Feedstock]]="All",LCI_Table[[#This Row],[Feedstock]]=SelectedFeedstock)</f>
        <v>0</v>
      </c>
      <c r="H1871" s="14" t="b">
        <f>OR(LCI_Table[[#This Row],[Conversion]]="All",LCI_Table[[#This Row],[Conversion]]=SelectedConversion)</f>
        <v>0</v>
      </c>
      <c r="I1871" s="14" t="b">
        <f>OR(LCI_Table[[#This Row],[Data Set]]="all",LCI_Table[[#This Row],[Data Set]]=SelectedDataSet)</f>
        <v>0</v>
      </c>
      <c r="J1871" s="14" t="b">
        <f>OR(LCI_Table[[#This Row],[Technology]]="All",LCI_Table[[#This Row],[Technology]]=SelectedTechnology)</f>
        <v>0</v>
      </c>
      <c r="K1871" s="14" t="b">
        <f>OR(LCI_Table[[#This Row],[Data Source]]="All",LCI_Table[[#This Row],[Data Source]]=SelectedDataSource)</f>
        <v>0</v>
      </c>
      <c r="L1871" s="14" t="b">
        <f>TRUE</f>
        <v>1</v>
      </c>
      <c r="M1871" s="14" t="b">
        <f>(LCI_Table[[#This Row],[Dev Notes]]="Do not display")</f>
        <v>0</v>
      </c>
      <c r="N1871" s="14" t="b">
        <f>AND(LCI_Table[[#This Row],[Show Feedstock]:[Conditional]],NOT(LCI_Table[[#This Row],[Hide Row]]))</f>
        <v>0</v>
      </c>
      <c r="O1871" s="14" t="b">
        <f>LCI_Table[[#This Row],[GREET1 Name Range]]=""</f>
        <v>0</v>
      </c>
      <c r="P1871" s="14" t="s">
        <v>428</v>
      </c>
      <c r="Q1871" s="14" t="s">
        <v>824</v>
      </c>
      <c r="R1871" s="14" t="s">
        <v>402</v>
      </c>
      <c r="S1871" s="37" cm="1">
        <f t="array" aca="1" ref="S18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0.23529411764705932</v>
      </c>
      <c r="T1871" s="346" t="s">
        <v>2133</v>
      </c>
      <c r="U1871" s="347">
        <f t="shared" ref="U1871" ca="1" si="95">S1871/g2lb</f>
        <v>106.72761647058825</v>
      </c>
      <c r="V1871" s="347">
        <v>0.23529411764705932</v>
      </c>
      <c r="W1871" s="347">
        <v>106.72761647058825</v>
      </c>
      <c r="X1871" s="14" t="s">
        <v>12</v>
      </c>
      <c r="Y1871" s="346" t="s">
        <v>892</v>
      </c>
      <c r="Z1871" s="14" t="str">
        <f>IF(ISBLANK(LCI_Table[[#This Row],[Notes for user]])," ",LCI_Table[[#This Row],[Notes for user]])</f>
        <v xml:space="preserve"> </v>
      </c>
      <c r="AA1871" s="14"/>
      <c r="AB1871" s="14"/>
      <c r="AC1871" s="346">
        <f ca="1">LCI_Table[[#This Row],[Default Calculated Value]]-LCI_Table[[#This Row],[Calculated Value]]</f>
        <v>0</v>
      </c>
    </row>
    <row r="1872" spans="1:29" x14ac:dyDescent="0.3">
      <c r="A18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SwitchgrassATJ-ethanolICAOConsensusStandalone_Switchgrass_Fermentation_YeastYeast</v>
      </c>
      <c r="B1872" s="14" t="s">
        <v>133</v>
      </c>
      <c r="C1872" s="14" t="s">
        <v>1964</v>
      </c>
      <c r="D1872" s="14" t="s">
        <v>194</v>
      </c>
      <c r="E1872" s="48" t="s">
        <v>1399</v>
      </c>
      <c r="F1872" s="48" t="s">
        <v>137</v>
      </c>
      <c r="G1872" s="14" t="b">
        <f>OR(LCI_Table[[#This Row],[Feedstock]]="All",LCI_Table[[#This Row],[Feedstock]]=SelectedFeedstock)</f>
        <v>0</v>
      </c>
      <c r="H1872" s="14" t="b">
        <f>OR(LCI_Table[[#This Row],[Conversion]]="All",LCI_Table[[#This Row],[Conversion]]=SelectedConversion)</f>
        <v>0</v>
      </c>
      <c r="I1872" s="14" t="b">
        <f>OR(LCI_Table[[#This Row],[Data Set]]="all",LCI_Table[[#This Row],[Data Set]]=SelectedDataSet)</f>
        <v>0</v>
      </c>
      <c r="J1872" s="14" t="b">
        <f>OR(LCI_Table[[#This Row],[Technology]]="All",LCI_Table[[#This Row],[Technology]]=SelectedTechnology)</f>
        <v>0</v>
      </c>
      <c r="K1872" s="14" t="b">
        <f>OR(LCI_Table[[#This Row],[Data Source]]="All",LCI_Table[[#This Row],[Data Source]]=SelectedDataSource)</f>
        <v>0</v>
      </c>
      <c r="L1872" s="14" t="b">
        <f>TRUE</f>
        <v>1</v>
      </c>
      <c r="M1872" s="14" t="b">
        <f>(LCI_Table[[#This Row],[Dev Notes]]="Do not display")</f>
        <v>0</v>
      </c>
      <c r="N1872" s="14" t="b">
        <f>AND(LCI_Table[[#This Row],[Show Feedstock]:[Conditional]],NOT(LCI_Table[[#This Row],[Hide Row]]))</f>
        <v>0</v>
      </c>
      <c r="O1872" s="14" t="b">
        <f>LCI_Table[[#This Row],[GREET1 Name Range]]=""</f>
        <v>0</v>
      </c>
      <c r="P1872" s="14" t="s">
        <v>428</v>
      </c>
      <c r="Q1872" s="14" t="s">
        <v>841</v>
      </c>
      <c r="R1872" s="14" t="s">
        <v>145</v>
      </c>
      <c r="S1872" s="37" cm="1">
        <f t="array" aca="1" ref="S18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5.8588235294117767E-2</v>
      </c>
      <c r="T1872" s="346" t="s">
        <v>2133</v>
      </c>
      <c r="U1872" s="347">
        <f t="shared" ref="U1872" ca="1" si="96">S1872/g2lb</f>
        <v>26.575176501176472</v>
      </c>
      <c r="V1872" s="347">
        <v>5.8588235294117767E-2</v>
      </c>
      <c r="W1872" s="347">
        <v>26.575176501176472</v>
      </c>
      <c r="X1872" s="14" t="s">
        <v>12</v>
      </c>
      <c r="Y1872" s="346" t="s">
        <v>892</v>
      </c>
      <c r="Z1872" s="14" t="str">
        <f>IF(ISBLANK(LCI_Table[[#This Row],[Notes for user]])," ",LCI_Table[[#This Row],[Notes for user]])</f>
        <v xml:space="preserve"> </v>
      </c>
      <c r="AA1872" s="14"/>
      <c r="AB1872" s="14"/>
      <c r="AC1872" s="346">
        <f ca="1">LCI_Table[[#This Row],[Default Calculated Value]]-LCI_Table[[#This Row],[Calculated Value]]</f>
        <v>0</v>
      </c>
    </row>
    <row r="1873" spans="1:29" x14ac:dyDescent="0.3">
      <c r="A18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SwitchgrassATJ-ethanolICAOConsensusStandalone_Switchgrass_Fermentation_GlucoseGlucose</v>
      </c>
      <c r="B1873" s="14" t="s">
        <v>133</v>
      </c>
      <c r="C1873" s="14" t="s">
        <v>1964</v>
      </c>
      <c r="D1873" s="14" t="s">
        <v>194</v>
      </c>
      <c r="E1873" s="48" t="s">
        <v>1399</v>
      </c>
      <c r="F1873" s="48" t="s">
        <v>137</v>
      </c>
      <c r="G1873" s="14" t="b">
        <f>OR(LCI_Table[[#This Row],[Feedstock]]="All",LCI_Table[[#This Row],[Feedstock]]=SelectedFeedstock)</f>
        <v>0</v>
      </c>
      <c r="H1873" s="14" t="b">
        <f>OR(LCI_Table[[#This Row],[Conversion]]="All",LCI_Table[[#This Row],[Conversion]]=SelectedConversion)</f>
        <v>0</v>
      </c>
      <c r="I1873" s="14" t="b">
        <f>OR(LCI_Table[[#This Row],[Data Set]]="all",LCI_Table[[#This Row],[Data Set]]=SelectedDataSet)</f>
        <v>0</v>
      </c>
      <c r="J1873" s="14" t="b">
        <f>OR(LCI_Table[[#This Row],[Technology]]="All",LCI_Table[[#This Row],[Technology]]=SelectedTechnology)</f>
        <v>0</v>
      </c>
      <c r="K1873" s="14" t="b">
        <f>OR(LCI_Table[[#This Row],[Data Source]]="All",LCI_Table[[#This Row],[Data Source]]=SelectedDataSource)</f>
        <v>0</v>
      </c>
      <c r="L1873" s="14" t="b">
        <f>TRUE</f>
        <v>1</v>
      </c>
      <c r="M1873" s="14" t="b">
        <f>(LCI_Table[[#This Row],[Dev Notes]]="Do not display")</f>
        <v>0</v>
      </c>
      <c r="N1873" s="14" t="b">
        <f>AND(LCI_Table[[#This Row],[Show Feedstock]:[Conditional]],NOT(LCI_Table[[#This Row],[Hide Row]]))</f>
        <v>0</v>
      </c>
      <c r="O1873" s="14" t="b">
        <f>LCI_Table[[#This Row],[GREET1 Name Range]]=""</f>
        <v>0</v>
      </c>
      <c r="P1873" s="14" t="s">
        <v>428</v>
      </c>
      <c r="Q1873" s="14" t="s">
        <v>832</v>
      </c>
      <c r="R1873" s="14" t="s">
        <v>387</v>
      </c>
      <c r="S1873" s="37" cm="1">
        <f t="array" aca="1" ref="S18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73" s="346" t="s">
        <v>2133</v>
      </c>
      <c r="U1873" s="347">
        <f t="shared" ref="U1873" ca="1" si="97">S1873/g2lb</f>
        <v>0</v>
      </c>
      <c r="V1873" s="347">
        <v>0</v>
      </c>
      <c r="W1873" s="347">
        <v>0</v>
      </c>
      <c r="X1873" s="14" t="s">
        <v>12</v>
      </c>
      <c r="Y1873" s="346" t="s">
        <v>892</v>
      </c>
      <c r="Z1873" s="14" t="str">
        <f>IF(ISBLANK(LCI_Table[[#This Row],[Notes for user]])," ",LCI_Table[[#This Row],[Notes for user]])</f>
        <v xml:space="preserve"> </v>
      </c>
      <c r="AA1873" s="14"/>
      <c r="AB1873" s="14"/>
      <c r="AC1873" s="346">
        <f ca="1">LCI_Table[[#This Row],[Default Calculated Value]]-LCI_Table[[#This Row],[Calculated Value]]</f>
        <v>0</v>
      </c>
    </row>
    <row r="1874" spans="1:29" x14ac:dyDescent="0.3">
      <c r="A18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SwitchgrassATJ-ethanolICAOConsensusStandalone_Switchgrass_Fermentation_Sulfuric_acidSulfuric acid</v>
      </c>
      <c r="B1874" s="14" t="s">
        <v>133</v>
      </c>
      <c r="C1874" s="14" t="s">
        <v>1964</v>
      </c>
      <c r="D1874" s="14" t="s">
        <v>194</v>
      </c>
      <c r="E1874" s="48" t="s">
        <v>1399</v>
      </c>
      <c r="F1874" s="48" t="s">
        <v>137</v>
      </c>
      <c r="G1874" s="14" t="b">
        <f>OR(LCI_Table[[#This Row],[Feedstock]]="All",LCI_Table[[#This Row],[Feedstock]]=SelectedFeedstock)</f>
        <v>0</v>
      </c>
      <c r="H1874" s="14" t="b">
        <f>OR(LCI_Table[[#This Row],[Conversion]]="All",LCI_Table[[#This Row],[Conversion]]=SelectedConversion)</f>
        <v>0</v>
      </c>
      <c r="I1874" s="14" t="b">
        <f>OR(LCI_Table[[#This Row],[Data Set]]="all",LCI_Table[[#This Row],[Data Set]]=SelectedDataSet)</f>
        <v>0</v>
      </c>
      <c r="J1874" s="14" t="b">
        <f>OR(LCI_Table[[#This Row],[Technology]]="All",LCI_Table[[#This Row],[Technology]]=SelectedTechnology)</f>
        <v>0</v>
      </c>
      <c r="K1874" s="14" t="b">
        <f>OR(LCI_Table[[#This Row],[Data Source]]="All",LCI_Table[[#This Row],[Data Source]]=SelectedDataSource)</f>
        <v>0</v>
      </c>
      <c r="L1874" s="14" t="b">
        <f>TRUE</f>
        <v>1</v>
      </c>
      <c r="M1874" s="14" t="b">
        <f>(LCI_Table[[#This Row],[Dev Notes]]="Do not display")</f>
        <v>0</v>
      </c>
      <c r="N1874" s="14" t="b">
        <f>AND(LCI_Table[[#This Row],[Show Feedstock]:[Conditional]],NOT(LCI_Table[[#This Row],[Hide Row]]))</f>
        <v>0</v>
      </c>
      <c r="O1874" s="14" t="b">
        <f>LCI_Table[[#This Row],[GREET1 Name Range]]=""</f>
        <v>0</v>
      </c>
      <c r="P1874" s="14" t="s">
        <v>428</v>
      </c>
      <c r="Q1874" s="14" t="s">
        <v>838</v>
      </c>
      <c r="R1874" s="14" t="s">
        <v>384</v>
      </c>
      <c r="S1874" s="37" cm="1">
        <f t="array" aca="1" ref="S18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0.76330000000000153</v>
      </c>
      <c r="T1874" s="346" t="s">
        <v>2133</v>
      </c>
      <c r="U1874" s="347">
        <f t="shared" ref="U1874" ca="1" si="98">S1874/g2lb</f>
        <v>346.22705602100001</v>
      </c>
      <c r="V1874" s="347">
        <v>0.76330000000000153</v>
      </c>
      <c r="W1874" s="347">
        <v>346.22705602100001</v>
      </c>
      <c r="X1874" s="14" t="s">
        <v>12</v>
      </c>
      <c r="Y1874" s="346" t="s">
        <v>892</v>
      </c>
      <c r="Z1874" s="14" t="str">
        <f>IF(ISBLANK(LCI_Table[[#This Row],[Notes for user]])," ",LCI_Table[[#This Row],[Notes for user]])</f>
        <v xml:space="preserve"> </v>
      </c>
      <c r="AA1874" s="14"/>
      <c r="AB1874" s="14"/>
      <c r="AC1874" s="346">
        <f ca="1">LCI_Table[[#This Row],[Default Calculated Value]]-LCI_Table[[#This Row],[Calculated Value]]</f>
        <v>0</v>
      </c>
    </row>
    <row r="1875" spans="1:29" x14ac:dyDescent="0.3">
      <c r="A18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SwitchgrassATJ-ethanolICAOConsensusStandalone_Switchgrass_Fermentation_AmmoniaAmmonia</v>
      </c>
      <c r="B1875" s="14" t="s">
        <v>133</v>
      </c>
      <c r="C1875" s="14" t="s">
        <v>1964</v>
      </c>
      <c r="D1875" s="14" t="s">
        <v>194</v>
      </c>
      <c r="E1875" s="48" t="s">
        <v>1399</v>
      </c>
      <c r="F1875" s="48" t="s">
        <v>137</v>
      </c>
      <c r="G1875" s="14" t="b">
        <f>OR(LCI_Table[[#This Row],[Feedstock]]="All",LCI_Table[[#This Row],[Feedstock]]=SelectedFeedstock)</f>
        <v>0</v>
      </c>
      <c r="H1875" s="14" t="b">
        <f>OR(LCI_Table[[#This Row],[Conversion]]="All",LCI_Table[[#This Row],[Conversion]]=SelectedConversion)</f>
        <v>0</v>
      </c>
      <c r="I1875" s="14" t="b">
        <f>OR(LCI_Table[[#This Row],[Data Set]]="all",LCI_Table[[#This Row],[Data Set]]=SelectedDataSet)</f>
        <v>0</v>
      </c>
      <c r="J1875" s="14" t="b">
        <f>OR(LCI_Table[[#This Row],[Technology]]="All",LCI_Table[[#This Row],[Technology]]=SelectedTechnology)</f>
        <v>0</v>
      </c>
      <c r="K1875" s="14" t="b">
        <f>OR(LCI_Table[[#This Row],[Data Source]]="All",LCI_Table[[#This Row],[Data Source]]=SelectedDataSource)</f>
        <v>0</v>
      </c>
      <c r="L1875" s="14" t="b">
        <f>TRUE</f>
        <v>1</v>
      </c>
      <c r="M1875" s="14" t="b">
        <f>(LCI_Table[[#This Row],[Dev Notes]]="Do not display")</f>
        <v>0</v>
      </c>
      <c r="N1875" s="14" t="b">
        <f>AND(LCI_Table[[#This Row],[Show Feedstock]:[Conditional]],NOT(LCI_Table[[#This Row],[Hide Row]]))</f>
        <v>0</v>
      </c>
      <c r="O1875" s="14" t="b">
        <f>LCI_Table[[#This Row],[GREET1 Name Range]]=""</f>
        <v>0</v>
      </c>
      <c r="P1875" s="14" t="s">
        <v>428</v>
      </c>
      <c r="Q1875" s="14" t="s">
        <v>822</v>
      </c>
      <c r="R1875" s="14" t="s">
        <v>382</v>
      </c>
      <c r="S1875" s="37" cm="1">
        <f t="array" aca="1" ref="S18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9.1596000000000163E-2</v>
      </c>
      <c r="T1875" s="346" t="s">
        <v>2133</v>
      </c>
      <c r="U1875" s="347">
        <f t="shared" ref="U1875" ca="1" si="99">S1875/g2lb</f>
        <v>41.547246722519994</v>
      </c>
      <c r="V1875" s="347">
        <v>9.1596000000000163E-2</v>
      </c>
      <c r="W1875" s="347">
        <v>41.547246722519994</v>
      </c>
      <c r="X1875" s="14" t="s">
        <v>12</v>
      </c>
      <c r="Y1875" s="346" t="s">
        <v>892</v>
      </c>
      <c r="Z1875" s="14" t="str">
        <f>IF(ISBLANK(LCI_Table[[#This Row],[Notes for user]])," ",LCI_Table[[#This Row],[Notes for user]])</f>
        <v xml:space="preserve"> </v>
      </c>
      <c r="AA1875" s="14"/>
      <c r="AB1875" s="14"/>
      <c r="AC1875" s="346">
        <f ca="1">LCI_Table[[#This Row],[Default Calculated Value]]-LCI_Table[[#This Row],[Calculated Value]]</f>
        <v>0</v>
      </c>
    </row>
    <row r="1876" spans="1:29" x14ac:dyDescent="0.3">
      <c r="A18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SwitchgrassATJ-ethanolICAOConsensusStandalone_Switchgrass_Fermentation_Corn_steep_liquorCorn steep liquor</v>
      </c>
      <c r="B1876" s="14" t="s">
        <v>133</v>
      </c>
      <c r="C1876" s="14" t="s">
        <v>1964</v>
      </c>
      <c r="D1876" s="14" t="s">
        <v>194</v>
      </c>
      <c r="E1876" s="48" t="s">
        <v>1399</v>
      </c>
      <c r="F1876" s="48" t="s">
        <v>137</v>
      </c>
      <c r="G1876" s="14" t="b">
        <f>OR(LCI_Table[[#This Row],[Feedstock]]="All",LCI_Table[[#This Row],[Feedstock]]=SelectedFeedstock)</f>
        <v>0</v>
      </c>
      <c r="H1876" s="14" t="b">
        <f>OR(LCI_Table[[#This Row],[Conversion]]="All",LCI_Table[[#This Row],[Conversion]]=SelectedConversion)</f>
        <v>0</v>
      </c>
      <c r="I1876" s="14" t="b">
        <f>OR(LCI_Table[[#This Row],[Data Set]]="all",LCI_Table[[#This Row],[Data Set]]=SelectedDataSet)</f>
        <v>0</v>
      </c>
      <c r="J1876" s="14" t="b">
        <f>OR(LCI_Table[[#This Row],[Technology]]="All",LCI_Table[[#This Row],[Technology]]=SelectedTechnology)</f>
        <v>0</v>
      </c>
      <c r="K1876" s="14" t="b">
        <f>OR(LCI_Table[[#This Row],[Data Source]]="All",LCI_Table[[#This Row],[Data Source]]=SelectedDataSource)</f>
        <v>0</v>
      </c>
      <c r="L1876" s="14" t="b">
        <f>TRUE</f>
        <v>1</v>
      </c>
      <c r="M1876" s="14" t="b">
        <f>(LCI_Table[[#This Row],[Dev Notes]]="Do not display")</f>
        <v>0</v>
      </c>
      <c r="N1876" s="14" t="b">
        <f>AND(LCI_Table[[#This Row],[Show Feedstock]:[Conditional]],NOT(LCI_Table[[#This Row],[Hide Row]]))</f>
        <v>0</v>
      </c>
      <c r="O1876" s="14" t="b">
        <f>LCI_Table[[#This Row],[GREET1 Name Range]]=""</f>
        <v>0</v>
      </c>
      <c r="P1876" s="14" t="s">
        <v>428</v>
      </c>
      <c r="Q1876" s="14" t="s">
        <v>826</v>
      </c>
      <c r="R1876" s="14" t="s">
        <v>386</v>
      </c>
      <c r="S1876" s="37" cm="1">
        <f t="array" aca="1" ref="S18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0.29005400000000059</v>
      </c>
      <c r="T1876" s="346" t="s">
        <v>2133</v>
      </c>
      <c r="U1876" s="347">
        <f t="shared" ref="U1876" ca="1" si="100">S1876/g2lb</f>
        <v>131.56628128798002</v>
      </c>
      <c r="V1876" s="347">
        <v>0.29005400000000059</v>
      </c>
      <c r="W1876" s="347">
        <v>131.56628128798002</v>
      </c>
      <c r="X1876" s="14" t="s">
        <v>12</v>
      </c>
      <c r="Y1876" s="346" t="s">
        <v>892</v>
      </c>
      <c r="Z1876" s="14" t="str">
        <f>IF(ISBLANK(LCI_Table[[#This Row],[Notes for user]])," ",LCI_Table[[#This Row],[Notes for user]])</f>
        <v xml:space="preserve"> </v>
      </c>
      <c r="AA1876" s="14"/>
      <c r="AB1876" s="14"/>
      <c r="AC1876" s="346">
        <f ca="1">LCI_Table[[#This Row],[Default Calculated Value]]-LCI_Table[[#This Row],[Calculated Value]]</f>
        <v>0</v>
      </c>
    </row>
    <row r="1877" spans="1:29" x14ac:dyDescent="0.3">
      <c r="A18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SwitchgrassATJ-ethanolICAOConsensusStandalone_Switchgrass_Fermentation_DAPDAP</v>
      </c>
      <c r="B1877" s="14" t="s">
        <v>133</v>
      </c>
      <c r="C1877" s="14" t="s">
        <v>1964</v>
      </c>
      <c r="D1877" s="14" t="s">
        <v>194</v>
      </c>
      <c r="E1877" s="48" t="s">
        <v>1399</v>
      </c>
      <c r="F1877" s="48" t="s">
        <v>137</v>
      </c>
      <c r="G1877" s="14" t="b">
        <f>OR(LCI_Table[[#This Row],[Feedstock]]="All",LCI_Table[[#This Row],[Feedstock]]=SelectedFeedstock)</f>
        <v>0</v>
      </c>
      <c r="H1877" s="14" t="b">
        <f>OR(LCI_Table[[#This Row],[Conversion]]="All",LCI_Table[[#This Row],[Conversion]]=SelectedConversion)</f>
        <v>0</v>
      </c>
      <c r="I1877" s="14" t="b">
        <f>OR(LCI_Table[[#This Row],[Data Set]]="all",LCI_Table[[#This Row],[Data Set]]=SelectedDataSet)</f>
        <v>0</v>
      </c>
      <c r="J1877" s="14" t="b">
        <f>OR(LCI_Table[[#This Row],[Technology]]="All",LCI_Table[[#This Row],[Technology]]=SelectedTechnology)</f>
        <v>0</v>
      </c>
      <c r="K1877" s="14" t="b">
        <f>OR(LCI_Table[[#This Row],[Data Source]]="All",LCI_Table[[#This Row],[Data Source]]=SelectedDataSource)</f>
        <v>0</v>
      </c>
      <c r="L1877" s="14" t="b">
        <f>TRUE</f>
        <v>1</v>
      </c>
      <c r="M1877" s="14" t="b">
        <f>(LCI_Table[[#This Row],[Dev Notes]]="Do not display")</f>
        <v>0</v>
      </c>
      <c r="N1877" s="14" t="b">
        <f>AND(LCI_Table[[#This Row],[Show Feedstock]:[Conditional]],NOT(LCI_Table[[#This Row],[Hide Row]]))</f>
        <v>0</v>
      </c>
      <c r="O1877" s="14" t="b">
        <f>LCI_Table[[#This Row],[GREET1 Name Range]]=""</f>
        <v>0</v>
      </c>
      <c r="P1877" s="14" t="s">
        <v>428</v>
      </c>
      <c r="Q1877" s="14" t="s">
        <v>827</v>
      </c>
      <c r="R1877" s="14" t="s">
        <v>383</v>
      </c>
      <c r="S1877" s="37" cm="1">
        <f t="array" aca="1" ref="S18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3.053200000000007E-2</v>
      </c>
      <c r="T1877" s="346" t="s">
        <v>2133</v>
      </c>
      <c r="U1877" s="347">
        <f t="shared" ref="U1877" ca="1" si="101">S1877/g2lb</f>
        <v>13.849082240840003</v>
      </c>
      <c r="V1877" s="347">
        <v>3.053200000000007E-2</v>
      </c>
      <c r="W1877" s="347">
        <v>13.849082240840003</v>
      </c>
      <c r="X1877" s="14" t="s">
        <v>12</v>
      </c>
      <c r="Y1877" s="346" t="s">
        <v>892</v>
      </c>
      <c r="Z1877" s="14" t="str">
        <f>IF(ISBLANK(LCI_Table[[#This Row],[Notes for user]])," ",LCI_Table[[#This Row],[Notes for user]])</f>
        <v xml:space="preserve"> </v>
      </c>
      <c r="AA1877" s="14"/>
      <c r="AB1877" s="14"/>
      <c r="AC1877" s="346">
        <f ca="1">LCI_Table[[#This Row],[Default Calculated Value]]-LCI_Table[[#This Row],[Calculated Value]]</f>
        <v>0</v>
      </c>
    </row>
    <row r="1878" spans="1:29" x14ac:dyDescent="0.3">
      <c r="A18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SwitchgrassATJ-ethanolICAOConsensusStandalone_Switchgrass_Fermentation_NaOHNaOH</v>
      </c>
      <c r="B1878" s="14" t="s">
        <v>133</v>
      </c>
      <c r="C1878" s="14" t="s">
        <v>1964</v>
      </c>
      <c r="D1878" s="14" t="s">
        <v>194</v>
      </c>
      <c r="E1878" s="48" t="s">
        <v>1399</v>
      </c>
      <c r="F1878" s="48" t="s">
        <v>137</v>
      </c>
      <c r="G1878" s="14" t="b">
        <f>OR(LCI_Table[[#This Row],[Feedstock]]="All",LCI_Table[[#This Row],[Feedstock]]=SelectedFeedstock)</f>
        <v>0</v>
      </c>
      <c r="H1878" s="14" t="b">
        <f>OR(LCI_Table[[#This Row],[Conversion]]="All",LCI_Table[[#This Row],[Conversion]]=SelectedConversion)</f>
        <v>0</v>
      </c>
      <c r="I1878" s="14" t="b">
        <f>OR(LCI_Table[[#This Row],[Data Set]]="all",LCI_Table[[#This Row],[Data Set]]=SelectedDataSet)</f>
        <v>0</v>
      </c>
      <c r="J1878" s="14" t="b">
        <f>OR(LCI_Table[[#This Row],[Technology]]="All",LCI_Table[[#This Row],[Technology]]=SelectedTechnology)</f>
        <v>0</v>
      </c>
      <c r="K1878" s="14" t="b">
        <f>OR(LCI_Table[[#This Row],[Data Source]]="All",LCI_Table[[#This Row],[Data Source]]=SelectedDataSource)</f>
        <v>0</v>
      </c>
      <c r="L1878" s="14" t="b">
        <f>TRUE</f>
        <v>1</v>
      </c>
      <c r="M1878" s="14" t="b">
        <f>(LCI_Table[[#This Row],[Dev Notes]]="Do not display")</f>
        <v>0</v>
      </c>
      <c r="N1878" s="14" t="b">
        <f>AND(LCI_Table[[#This Row],[Show Feedstock]:[Conditional]],NOT(LCI_Table[[#This Row],[Hide Row]]))</f>
        <v>0</v>
      </c>
      <c r="O1878" s="14" t="b">
        <f>LCI_Table[[#This Row],[GREET1 Name Range]]=""</f>
        <v>0</v>
      </c>
      <c r="P1878" s="14" t="s">
        <v>428</v>
      </c>
      <c r="Q1878" s="14" t="s">
        <v>834</v>
      </c>
      <c r="R1878" s="14" t="s">
        <v>403</v>
      </c>
      <c r="S1878" s="37" cm="1">
        <f t="array" aca="1" ref="S18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0.25952200000000047</v>
      </c>
      <c r="T1878" s="346" t="s">
        <v>2133</v>
      </c>
      <c r="U1878" s="347">
        <f t="shared" ref="U1878" ca="1" si="102">S1878/g2lb</f>
        <v>117.71719904713999</v>
      </c>
      <c r="V1878" s="347">
        <v>0.25952200000000047</v>
      </c>
      <c r="W1878" s="347">
        <v>117.71719904713999</v>
      </c>
      <c r="X1878" s="14" t="s">
        <v>12</v>
      </c>
      <c r="Y1878" s="346" t="s">
        <v>892</v>
      </c>
      <c r="Z1878" s="14" t="str">
        <f>IF(ISBLANK(LCI_Table[[#This Row],[Notes for user]])," ",LCI_Table[[#This Row],[Notes for user]])</f>
        <v xml:space="preserve"> </v>
      </c>
      <c r="AA1878" s="14"/>
      <c r="AB1878" s="14"/>
      <c r="AC1878" s="346">
        <f ca="1">LCI_Table[[#This Row],[Default Calculated Value]]-LCI_Table[[#This Row],[Calculated Value]]</f>
        <v>0</v>
      </c>
    </row>
    <row r="1879" spans="1:29" x14ac:dyDescent="0.3">
      <c r="A18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SwitchgrassATJ-ethanolICAOConsensusStandalone_Switchgrass_Fermentation_CaOQuicklime (CaO)</v>
      </c>
      <c r="B1879" s="14" t="s">
        <v>133</v>
      </c>
      <c r="C1879" s="14" t="s">
        <v>1964</v>
      </c>
      <c r="D1879" s="14" t="s">
        <v>194</v>
      </c>
      <c r="E1879" s="48" t="s">
        <v>1399</v>
      </c>
      <c r="F1879" s="48" t="s">
        <v>137</v>
      </c>
      <c r="G1879" s="14" t="b">
        <f>OR(LCI_Table[[#This Row],[Feedstock]]="All",LCI_Table[[#This Row],[Feedstock]]=SelectedFeedstock)</f>
        <v>0</v>
      </c>
      <c r="H1879" s="14" t="b">
        <f>OR(LCI_Table[[#This Row],[Conversion]]="All",LCI_Table[[#This Row],[Conversion]]=SelectedConversion)</f>
        <v>0</v>
      </c>
      <c r="I1879" s="14" t="b">
        <f>OR(LCI_Table[[#This Row],[Data Set]]="all",LCI_Table[[#This Row],[Data Set]]=SelectedDataSet)</f>
        <v>0</v>
      </c>
      <c r="J1879" s="14" t="b">
        <f>OR(LCI_Table[[#This Row],[Technology]]="All",LCI_Table[[#This Row],[Technology]]=SelectedTechnology)</f>
        <v>0</v>
      </c>
      <c r="K1879" s="14" t="b">
        <f>OR(LCI_Table[[#This Row],[Data Source]]="All",LCI_Table[[#This Row],[Data Source]]=SelectedDataSource)</f>
        <v>0</v>
      </c>
      <c r="L1879" s="14" t="b">
        <f>TRUE</f>
        <v>1</v>
      </c>
      <c r="M1879" s="14" t="b">
        <f>(LCI_Table[[#This Row],[Dev Notes]]="Do not display")</f>
        <v>0</v>
      </c>
      <c r="N1879" s="14" t="b">
        <f>AND(LCI_Table[[#This Row],[Show Feedstock]:[Conditional]],NOT(LCI_Table[[#This Row],[Hide Row]]))</f>
        <v>0</v>
      </c>
      <c r="O1879" s="14" t="b">
        <f>LCI_Table[[#This Row],[GREET1 Name Range]]=""</f>
        <v>0</v>
      </c>
      <c r="P1879" s="14" t="s">
        <v>428</v>
      </c>
      <c r="Q1879" s="14" t="s">
        <v>823</v>
      </c>
      <c r="R1879" s="14" t="s">
        <v>404</v>
      </c>
      <c r="S1879" s="37" cm="1">
        <f t="array" aca="1" ref="S18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0.16792600000000041</v>
      </c>
      <c r="T1879" s="346" t="s">
        <v>2133</v>
      </c>
      <c r="U1879" s="347">
        <f t="shared" ref="U1879" ca="1" si="103">S1879/g2lb</f>
        <v>76.169952324620027</v>
      </c>
      <c r="V1879" s="347">
        <v>0.16792600000000041</v>
      </c>
      <c r="W1879" s="347">
        <v>76.169952324620027</v>
      </c>
      <c r="X1879" s="14" t="s">
        <v>12</v>
      </c>
      <c r="Y1879" s="346" t="s">
        <v>892</v>
      </c>
      <c r="Z1879" s="14" t="str">
        <f>IF(ISBLANK(LCI_Table[[#This Row],[Notes for user]])," ",LCI_Table[[#This Row],[Notes for user]])</f>
        <v xml:space="preserve"> </v>
      </c>
      <c r="AA1879" s="14"/>
      <c r="AB1879" s="14"/>
      <c r="AC1879" s="346">
        <f ca="1">LCI_Table[[#This Row],[Default Calculated Value]]-LCI_Table[[#This Row],[Calculated Value]]</f>
        <v>0</v>
      </c>
    </row>
    <row r="1880" spans="1:29" x14ac:dyDescent="0.3">
      <c r="A18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SwitchgrassATJ-ethanolICAOConsensusStandalone_Switchgrass_Fermentation_UreaUrea</v>
      </c>
      <c r="B1880" s="14" t="s">
        <v>133</v>
      </c>
      <c r="C1880" s="14" t="s">
        <v>1964</v>
      </c>
      <c r="D1880" s="14" t="s">
        <v>194</v>
      </c>
      <c r="E1880" s="48" t="s">
        <v>1399</v>
      </c>
      <c r="F1880" s="48" t="s">
        <v>137</v>
      </c>
      <c r="G1880" s="14" t="b">
        <f>OR(LCI_Table[[#This Row],[Feedstock]]="All",LCI_Table[[#This Row],[Feedstock]]=SelectedFeedstock)</f>
        <v>0</v>
      </c>
      <c r="H1880" s="14" t="b">
        <f>OR(LCI_Table[[#This Row],[Conversion]]="All",LCI_Table[[#This Row],[Conversion]]=SelectedConversion)</f>
        <v>0</v>
      </c>
      <c r="I1880" s="14" t="b">
        <f>OR(LCI_Table[[#This Row],[Data Set]]="all",LCI_Table[[#This Row],[Data Set]]=SelectedDataSet)</f>
        <v>0</v>
      </c>
      <c r="J1880" s="14" t="b">
        <f>OR(LCI_Table[[#This Row],[Technology]]="All",LCI_Table[[#This Row],[Technology]]=SelectedTechnology)</f>
        <v>0</v>
      </c>
      <c r="K1880" s="14" t="b">
        <f>OR(LCI_Table[[#This Row],[Data Source]]="All",LCI_Table[[#This Row],[Data Source]]=SelectedDataSource)</f>
        <v>0</v>
      </c>
      <c r="L1880" s="14" t="b">
        <f>TRUE</f>
        <v>1</v>
      </c>
      <c r="M1880" s="14" t="b">
        <f>(LCI_Table[[#This Row],[Dev Notes]]="Do not display")</f>
        <v>0</v>
      </c>
      <c r="N1880" s="14" t="b">
        <f>AND(LCI_Table[[#This Row],[Show Feedstock]:[Conditional]],NOT(LCI_Table[[#This Row],[Hide Row]]))</f>
        <v>0</v>
      </c>
      <c r="O1880" s="14" t="b">
        <f>LCI_Table[[#This Row],[GREET1 Name Range]]=""</f>
        <v>0</v>
      </c>
      <c r="P1880" s="14" t="s">
        <v>428</v>
      </c>
      <c r="Q1880" s="14" t="s">
        <v>840</v>
      </c>
      <c r="R1880" s="14" t="s">
        <v>144</v>
      </c>
      <c r="S1880" s="37" cm="1">
        <f t="array" aca="1" ref="S18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4.5798000000000082E-2</v>
      </c>
      <c r="T1880" s="346" t="s">
        <v>2133</v>
      </c>
      <c r="U1880" s="347">
        <f ca="1">S1880/g2lb/Fuel_Specs!$B$31/BTU2MJ</f>
        <v>0.25795356899826671</v>
      </c>
      <c r="V1880" s="347">
        <v>4.5798000000000082E-2</v>
      </c>
      <c r="W1880" s="347">
        <v>0.25795356899826671</v>
      </c>
      <c r="X1880" s="14" t="s">
        <v>12</v>
      </c>
      <c r="Y1880" s="346" t="s">
        <v>892</v>
      </c>
      <c r="Z1880" s="14" t="str">
        <f>IF(ISBLANK(LCI_Table[[#This Row],[Notes for user]])," ",LCI_Table[[#This Row],[Notes for user]])</f>
        <v xml:space="preserve"> </v>
      </c>
      <c r="AA1880" s="14"/>
      <c r="AB1880" s="14"/>
      <c r="AC1880" s="346">
        <f ca="1">LCI_Table[[#This Row],[Default Calculated Value]]-LCI_Table[[#This Row],[Calculated Value]]</f>
        <v>0</v>
      </c>
    </row>
    <row r="1881" spans="1:29" x14ac:dyDescent="0.3">
      <c r="A18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SwitchgrassATJ-ethanolICAOConsensusStandalone_Switchgrass_Fermentation_Residual_oilResidual oil</v>
      </c>
      <c r="B1881" s="14" t="s">
        <v>133</v>
      </c>
      <c r="C1881" s="14" t="s">
        <v>1964</v>
      </c>
      <c r="D1881" s="14" t="s">
        <v>194</v>
      </c>
      <c r="E1881" s="48" t="s">
        <v>1399</v>
      </c>
      <c r="F1881" s="48" t="s">
        <v>137</v>
      </c>
      <c r="G1881" s="14" t="b">
        <f>OR(LCI_Table[[#This Row],[Feedstock]]="All",LCI_Table[[#This Row],[Feedstock]]=SelectedFeedstock)</f>
        <v>0</v>
      </c>
      <c r="H1881" s="14" t="b">
        <f>OR(LCI_Table[[#This Row],[Conversion]]="All",LCI_Table[[#This Row],[Conversion]]=SelectedConversion)</f>
        <v>0</v>
      </c>
      <c r="I1881" s="14" t="b">
        <f>OR(LCI_Table[[#This Row],[Data Set]]="all",LCI_Table[[#This Row],[Data Set]]=SelectedDataSet)</f>
        <v>0</v>
      </c>
      <c r="J1881" s="14" t="b">
        <f>OR(LCI_Table[[#This Row],[Technology]]="All",LCI_Table[[#This Row],[Technology]]=SelectedTechnology)</f>
        <v>0</v>
      </c>
      <c r="K1881" s="14" t="b">
        <f>OR(LCI_Table[[#This Row],[Data Source]]="All",LCI_Table[[#This Row],[Data Source]]=SelectedDataSource)</f>
        <v>0</v>
      </c>
      <c r="L1881" s="14" t="b">
        <f>TRUE</f>
        <v>1</v>
      </c>
      <c r="M1881" s="14" t="b">
        <f>(LCI_Table[[#This Row],[Dev Notes]]="Do not display")</f>
        <v>0</v>
      </c>
      <c r="N1881" s="14" t="b">
        <f>AND(LCI_Table[[#This Row],[Show Feedstock]:[Conditional]],NOT(LCI_Table[[#This Row],[Hide Row]]))</f>
        <v>0</v>
      </c>
      <c r="O1881" s="14" t="b">
        <f>LCI_Table[[#This Row],[GREET1 Name Range]]=""</f>
        <v>0</v>
      </c>
      <c r="P1881" s="14" t="s">
        <v>428</v>
      </c>
      <c r="Q1881" s="14" t="s">
        <v>836</v>
      </c>
      <c r="R1881" s="14" t="s">
        <v>115</v>
      </c>
      <c r="S1881" s="37" cm="1">
        <f t="array" aca="1" ref="S18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81" s="346" t="s">
        <v>2134</v>
      </c>
      <c r="U1881" s="347">
        <f ca="1">S1881*Fuel_Specs!$B$28/Fuel_Specs!$B$31/BTU2MJ</f>
        <v>0</v>
      </c>
      <c r="V1881" s="347">
        <v>0</v>
      </c>
      <c r="W1881" s="347">
        <v>0</v>
      </c>
      <c r="X1881" s="14" t="s">
        <v>5</v>
      </c>
      <c r="Y1881" s="346" t="s">
        <v>892</v>
      </c>
      <c r="Z1881" s="14" t="str">
        <f>IF(ISBLANK(LCI_Table[[#This Row],[Notes for user]])," ",LCI_Table[[#This Row],[Notes for user]])</f>
        <v xml:space="preserve"> </v>
      </c>
      <c r="AA1881" s="14"/>
      <c r="AB1881" s="14"/>
      <c r="AC1881" s="346">
        <f ca="1">LCI_Table[[#This Row],[Default Calculated Value]]-LCI_Table[[#This Row],[Calculated Value]]</f>
        <v>0</v>
      </c>
    </row>
    <row r="1882" spans="1:29" x14ac:dyDescent="0.3">
      <c r="A18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SwitchgrassATJ-ethanolICAOConsensusStandalone_Switchgrass_Fermentation_DieselDiesel</v>
      </c>
      <c r="B1882" s="14" t="s">
        <v>133</v>
      </c>
      <c r="C1882" s="14" t="s">
        <v>1964</v>
      </c>
      <c r="D1882" s="14" t="s">
        <v>194</v>
      </c>
      <c r="E1882" s="48" t="s">
        <v>1399</v>
      </c>
      <c r="F1882" s="48" t="s">
        <v>137</v>
      </c>
      <c r="G1882" s="14" t="b">
        <f>OR(LCI_Table[[#This Row],[Feedstock]]="All",LCI_Table[[#This Row],[Feedstock]]=SelectedFeedstock)</f>
        <v>0</v>
      </c>
      <c r="H1882" s="14" t="b">
        <f>OR(LCI_Table[[#This Row],[Conversion]]="All",LCI_Table[[#This Row],[Conversion]]=SelectedConversion)</f>
        <v>0</v>
      </c>
      <c r="I1882" s="14" t="b">
        <f>OR(LCI_Table[[#This Row],[Data Set]]="all",LCI_Table[[#This Row],[Data Set]]=SelectedDataSet)</f>
        <v>0</v>
      </c>
      <c r="J1882" s="14" t="b">
        <f>OR(LCI_Table[[#This Row],[Technology]]="All",LCI_Table[[#This Row],[Technology]]=SelectedTechnology)</f>
        <v>0</v>
      </c>
      <c r="K1882" s="14" t="b">
        <f>OR(LCI_Table[[#This Row],[Data Source]]="All",LCI_Table[[#This Row],[Data Source]]=SelectedDataSource)</f>
        <v>0</v>
      </c>
      <c r="L1882" s="14" t="b">
        <f>TRUE</f>
        <v>1</v>
      </c>
      <c r="M1882" s="14" t="b">
        <f>(LCI_Table[[#This Row],[Dev Notes]]="Do not display")</f>
        <v>0</v>
      </c>
      <c r="N1882" s="14" t="b">
        <f>AND(LCI_Table[[#This Row],[Show Feedstock]:[Conditional]],NOT(LCI_Table[[#This Row],[Hide Row]]))</f>
        <v>0</v>
      </c>
      <c r="O1882" s="14" t="b">
        <f>LCI_Table[[#This Row],[GREET1 Name Range]]=""</f>
        <v>0</v>
      </c>
      <c r="P1882" s="14" t="s">
        <v>428</v>
      </c>
      <c r="Q1882" s="14" t="s">
        <v>828</v>
      </c>
      <c r="R1882" s="14" t="s">
        <v>106</v>
      </c>
      <c r="S1882" s="37" cm="1">
        <f t="array" aca="1" ref="S18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1.3873102374464771E-3</v>
      </c>
      <c r="T1882" s="346" t="s">
        <v>2134</v>
      </c>
      <c r="U1882" s="347">
        <f ca="1">S1882*Fuel_Specs!$B$19/Fuel_Specs!$B$31/BTU2MJ</f>
        <v>2.2127736310659212</v>
      </c>
      <c r="V1882" s="347">
        <v>1.3873102374464771E-3</v>
      </c>
      <c r="W1882" s="347">
        <v>2.2127736310659212</v>
      </c>
      <c r="X1882" s="14" t="s">
        <v>5</v>
      </c>
      <c r="Y1882" s="346" t="s">
        <v>892</v>
      </c>
      <c r="Z1882" s="14" t="str">
        <f>IF(ISBLANK(LCI_Table[[#This Row],[Notes for user]])," ",LCI_Table[[#This Row],[Notes for user]])</f>
        <v xml:space="preserve"> </v>
      </c>
      <c r="AA1882" s="14"/>
      <c r="AB1882" s="14"/>
      <c r="AC1882" s="346">
        <f ca="1">LCI_Table[[#This Row],[Default Calculated Value]]-LCI_Table[[#This Row],[Calculated Value]]</f>
        <v>0</v>
      </c>
    </row>
    <row r="1883" spans="1:29" x14ac:dyDescent="0.3">
      <c r="A18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SwitchgrassATJ-ethanolICAOConsensusStandalone_Switchgrass_Fermentation_GasolineGasoline</v>
      </c>
      <c r="B1883" s="14" t="s">
        <v>133</v>
      </c>
      <c r="C1883" s="14" t="s">
        <v>1964</v>
      </c>
      <c r="D1883" s="14" t="s">
        <v>194</v>
      </c>
      <c r="E1883" s="48" t="s">
        <v>1399</v>
      </c>
      <c r="F1883" s="48" t="s">
        <v>137</v>
      </c>
      <c r="G1883" s="14" t="b">
        <f>OR(LCI_Table[[#This Row],[Feedstock]]="All",LCI_Table[[#This Row],[Feedstock]]=SelectedFeedstock)</f>
        <v>0</v>
      </c>
      <c r="H1883" s="14" t="b">
        <f>OR(LCI_Table[[#This Row],[Conversion]]="All",LCI_Table[[#This Row],[Conversion]]=SelectedConversion)</f>
        <v>0</v>
      </c>
      <c r="I1883" s="14" t="b">
        <f>OR(LCI_Table[[#This Row],[Data Set]]="all",LCI_Table[[#This Row],[Data Set]]=SelectedDataSet)</f>
        <v>0</v>
      </c>
      <c r="J1883" s="14" t="b">
        <f>OR(LCI_Table[[#This Row],[Technology]]="All",LCI_Table[[#This Row],[Technology]]=SelectedTechnology)</f>
        <v>0</v>
      </c>
      <c r="K1883" s="14" t="b">
        <f>OR(LCI_Table[[#This Row],[Data Source]]="All",LCI_Table[[#This Row],[Data Source]]=SelectedDataSource)</f>
        <v>0</v>
      </c>
      <c r="L1883" s="14" t="b">
        <f>TRUE</f>
        <v>1</v>
      </c>
      <c r="M1883" s="14" t="b">
        <f>(LCI_Table[[#This Row],[Dev Notes]]="Do not display")</f>
        <v>0</v>
      </c>
      <c r="N1883" s="14" t="b">
        <f>AND(LCI_Table[[#This Row],[Show Feedstock]:[Conditional]],NOT(LCI_Table[[#This Row],[Hide Row]]))</f>
        <v>0</v>
      </c>
      <c r="O1883" s="14" t="b">
        <f>LCI_Table[[#This Row],[GREET1 Name Range]]=""</f>
        <v>0</v>
      </c>
      <c r="P1883" s="14" t="s">
        <v>428</v>
      </c>
      <c r="Q1883" s="14" t="s">
        <v>830</v>
      </c>
      <c r="R1883" s="14" t="s">
        <v>107</v>
      </c>
      <c r="S1883" s="37" cm="1">
        <f t="array" aca="1" ref="S18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83" s="346" t="s">
        <v>2134</v>
      </c>
      <c r="U1883" s="347">
        <f ca="1">S1883*Fuel_Specs!$B$15/Fuel_Specs!$B$31/BTU2MJ</f>
        <v>0</v>
      </c>
      <c r="V1883" s="347">
        <v>0</v>
      </c>
      <c r="W1883" s="347">
        <v>0</v>
      </c>
      <c r="X1883" s="37" t="s">
        <v>5</v>
      </c>
      <c r="Y1883" s="346" t="s">
        <v>892</v>
      </c>
      <c r="Z1883" s="14" t="str">
        <f>IF(ISBLANK(LCI_Table[[#This Row],[Notes for user]])," ",LCI_Table[[#This Row],[Notes for user]])</f>
        <v xml:space="preserve"> </v>
      </c>
      <c r="AA1883" s="14"/>
      <c r="AB1883" s="14"/>
      <c r="AC1883" s="346">
        <f ca="1">LCI_Table[[#This Row],[Default Calculated Value]]-LCI_Table[[#This Row],[Calculated Value]]</f>
        <v>0</v>
      </c>
    </row>
    <row r="1884" spans="1:29" x14ac:dyDescent="0.3">
      <c r="A18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SwitchgrassATJ-ethanolICAOConsensusStandalone_Switchgrass_Fermentation_Natural_gasNatural gas</v>
      </c>
      <c r="B1884" s="14" t="s">
        <v>133</v>
      </c>
      <c r="C1884" s="14" t="s">
        <v>1964</v>
      </c>
      <c r="D1884" s="14" t="s">
        <v>194</v>
      </c>
      <c r="E1884" s="48" t="s">
        <v>1399</v>
      </c>
      <c r="F1884" s="48" t="s">
        <v>137</v>
      </c>
      <c r="G1884" s="14" t="b">
        <f>OR(LCI_Table[[#This Row],[Feedstock]]="All",LCI_Table[[#This Row],[Feedstock]]=SelectedFeedstock)</f>
        <v>0</v>
      </c>
      <c r="H1884" s="14" t="b">
        <f>OR(LCI_Table[[#This Row],[Conversion]]="All",LCI_Table[[#This Row],[Conversion]]=SelectedConversion)</f>
        <v>0</v>
      </c>
      <c r="I1884" s="14" t="b">
        <f>OR(LCI_Table[[#This Row],[Data Set]]="all",LCI_Table[[#This Row],[Data Set]]=SelectedDataSet)</f>
        <v>0</v>
      </c>
      <c r="J1884" s="14" t="b">
        <f>OR(LCI_Table[[#This Row],[Technology]]="All",LCI_Table[[#This Row],[Technology]]=SelectedTechnology)</f>
        <v>0</v>
      </c>
      <c r="K1884" s="14" t="b">
        <f>OR(LCI_Table[[#This Row],[Data Source]]="All",LCI_Table[[#This Row],[Data Source]]=SelectedDataSource)</f>
        <v>0</v>
      </c>
      <c r="L1884" s="14" t="b">
        <f>TRUE</f>
        <v>1</v>
      </c>
      <c r="M1884" s="14" t="b">
        <f>(LCI_Table[[#This Row],[Dev Notes]]="Do not display")</f>
        <v>0</v>
      </c>
      <c r="N1884" s="14" t="b">
        <f>AND(LCI_Table[[#This Row],[Show Feedstock]:[Conditional]],NOT(LCI_Table[[#This Row],[Hide Row]]))</f>
        <v>0</v>
      </c>
      <c r="O1884" s="14" t="b">
        <f>LCI_Table[[#This Row],[GREET1 Name Range]]=""</f>
        <v>0</v>
      </c>
      <c r="P1884" s="14" t="s">
        <v>428</v>
      </c>
      <c r="Q1884" s="14" t="s">
        <v>835</v>
      </c>
      <c r="R1884" s="14" t="s">
        <v>108</v>
      </c>
      <c r="S1884" s="37" cm="1">
        <f t="array" aca="1" ref="S18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84" s="346" t="s">
        <v>2135</v>
      </c>
      <c r="U1884" s="347">
        <f ca="1">S1884*Fuel_Specs!$B$79/Fuel_Specs!$B$31/BTU2MJ</f>
        <v>0</v>
      </c>
      <c r="V1884" s="347">
        <v>0</v>
      </c>
      <c r="W1884" s="347">
        <v>0</v>
      </c>
      <c r="X1884" s="14" t="s">
        <v>351</v>
      </c>
      <c r="Y1884" s="346" t="s">
        <v>892</v>
      </c>
      <c r="Z1884" s="14" t="str">
        <f>IF(ISBLANK(LCI_Table[[#This Row],[Notes for user]])," ",LCI_Table[[#This Row],[Notes for user]])</f>
        <v xml:space="preserve"> </v>
      </c>
      <c r="AA1884" s="14"/>
      <c r="AB1884" s="14"/>
      <c r="AC1884" s="346">
        <f ca="1">LCI_Table[[#This Row],[Default Calculated Value]]-LCI_Table[[#This Row],[Calculated Value]]</f>
        <v>0</v>
      </c>
    </row>
    <row r="1885" spans="1:29" x14ac:dyDescent="0.3">
      <c r="A18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SwitchgrassATJ-ethanolICAOConsensusStandalone_Switchgrass_Fermentation_CoalCoal</v>
      </c>
      <c r="B1885" s="14" t="s">
        <v>133</v>
      </c>
      <c r="C1885" s="14" t="s">
        <v>1964</v>
      </c>
      <c r="D1885" s="14" t="s">
        <v>194</v>
      </c>
      <c r="E1885" s="48" t="s">
        <v>1399</v>
      </c>
      <c r="F1885" s="48" t="s">
        <v>137</v>
      </c>
      <c r="G1885" s="14" t="b">
        <f>OR(LCI_Table[[#This Row],[Feedstock]]="All",LCI_Table[[#This Row],[Feedstock]]=SelectedFeedstock)</f>
        <v>0</v>
      </c>
      <c r="H1885" s="14" t="b">
        <f>OR(LCI_Table[[#This Row],[Conversion]]="All",LCI_Table[[#This Row],[Conversion]]=SelectedConversion)</f>
        <v>0</v>
      </c>
      <c r="I1885" s="14" t="b">
        <f>OR(LCI_Table[[#This Row],[Data Set]]="all",LCI_Table[[#This Row],[Data Set]]=SelectedDataSet)</f>
        <v>0</v>
      </c>
      <c r="J1885" s="14" t="b">
        <f>OR(LCI_Table[[#This Row],[Technology]]="All",LCI_Table[[#This Row],[Technology]]=SelectedTechnology)</f>
        <v>0</v>
      </c>
      <c r="K1885" s="14" t="b">
        <f>OR(LCI_Table[[#This Row],[Data Source]]="All",LCI_Table[[#This Row],[Data Source]]=SelectedDataSource)</f>
        <v>0</v>
      </c>
      <c r="L1885" s="14" t="b">
        <f>TRUE</f>
        <v>1</v>
      </c>
      <c r="M1885" s="14" t="b">
        <f>(LCI_Table[[#This Row],[Dev Notes]]="Do not display")</f>
        <v>0</v>
      </c>
      <c r="N1885" s="14" t="b">
        <f>AND(LCI_Table[[#This Row],[Show Feedstock]:[Conditional]],NOT(LCI_Table[[#This Row],[Hide Row]]))</f>
        <v>0</v>
      </c>
      <c r="O1885" s="14" t="b">
        <f>LCI_Table[[#This Row],[GREET1 Name Range]]=""</f>
        <v>0</v>
      </c>
      <c r="P1885" s="14" t="s">
        <v>428</v>
      </c>
      <c r="Q1885" s="14" t="s">
        <v>825</v>
      </c>
      <c r="R1885" s="14" t="s">
        <v>9</v>
      </c>
      <c r="S1885" s="37" cm="1">
        <f t="array" aca="1" ref="S18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85" s="346" t="s">
        <v>2136</v>
      </c>
      <c r="U1885" s="347">
        <f ca="1">S1885/Fuel_Specs!$B$31/BTU2MJ</f>
        <v>0</v>
      </c>
      <c r="V1885" s="347">
        <v>0</v>
      </c>
      <c r="W1885" s="347">
        <v>0</v>
      </c>
      <c r="X1885" s="37" t="s">
        <v>117</v>
      </c>
      <c r="Y1885" s="346" t="s">
        <v>892</v>
      </c>
      <c r="Z1885" s="14" t="str">
        <f>IF(ISBLANK(LCI_Table[[#This Row],[Notes for user]])," ",LCI_Table[[#This Row],[Notes for user]])</f>
        <v xml:space="preserve"> </v>
      </c>
      <c r="AA1885" s="14"/>
      <c r="AB1885" s="14"/>
      <c r="AC1885" s="346">
        <f ca="1">LCI_Table[[#This Row],[Default Calculated Value]]-LCI_Table[[#This Row],[Calculated Value]]</f>
        <v>0</v>
      </c>
    </row>
    <row r="1886" spans="1:29" x14ac:dyDescent="0.3">
      <c r="A18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SwitchgrassATJ-ethanolICAOConsensusStandalone_Switchgrass_Fermentation_LPGLPG</v>
      </c>
      <c r="B1886" s="14" t="s">
        <v>133</v>
      </c>
      <c r="C1886" s="14" t="s">
        <v>1964</v>
      </c>
      <c r="D1886" s="14" t="s">
        <v>194</v>
      </c>
      <c r="E1886" s="48" t="s">
        <v>1399</v>
      </c>
      <c r="F1886" s="48" t="s">
        <v>137</v>
      </c>
      <c r="G1886" s="14" t="b">
        <f>OR(LCI_Table[[#This Row],[Feedstock]]="All",LCI_Table[[#This Row],[Feedstock]]=SelectedFeedstock)</f>
        <v>0</v>
      </c>
      <c r="H1886" s="14" t="b">
        <f>OR(LCI_Table[[#This Row],[Conversion]]="All",LCI_Table[[#This Row],[Conversion]]=SelectedConversion)</f>
        <v>0</v>
      </c>
      <c r="I1886" s="14" t="b">
        <f>OR(LCI_Table[[#This Row],[Data Set]]="all",LCI_Table[[#This Row],[Data Set]]=SelectedDataSet)</f>
        <v>0</v>
      </c>
      <c r="J1886" s="14" t="b">
        <f>OR(LCI_Table[[#This Row],[Technology]]="All",LCI_Table[[#This Row],[Technology]]=SelectedTechnology)</f>
        <v>0</v>
      </c>
      <c r="K1886" s="14" t="b">
        <f>OR(LCI_Table[[#This Row],[Data Source]]="All",LCI_Table[[#This Row],[Data Source]]=SelectedDataSource)</f>
        <v>0</v>
      </c>
      <c r="L1886" s="14" t="b">
        <f>TRUE</f>
        <v>1</v>
      </c>
      <c r="M1886" s="14" t="b">
        <f>(LCI_Table[[#This Row],[Dev Notes]]="Do not display")</f>
        <v>0</v>
      </c>
      <c r="N1886" s="14" t="b">
        <f>AND(LCI_Table[[#This Row],[Show Feedstock]:[Conditional]],NOT(LCI_Table[[#This Row],[Hide Row]]))</f>
        <v>0</v>
      </c>
      <c r="O1886" s="14" t="b">
        <f>LCI_Table[[#This Row],[GREET1 Name Range]]=""</f>
        <v>0</v>
      </c>
      <c r="P1886" s="14" t="s">
        <v>428</v>
      </c>
      <c r="Q1886" s="14" t="s">
        <v>833</v>
      </c>
      <c r="R1886" s="14" t="s">
        <v>109</v>
      </c>
      <c r="S1886" s="37" cm="1">
        <f t="array" aca="1" ref="S18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86" s="346" t="s">
        <v>2134</v>
      </c>
      <c r="U1886" s="347">
        <f ca="1">S1886*Fuel_Specs!$B$35/Fuel_Specs!$B$31/BTU2MJ</f>
        <v>0</v>
      </c>
      <c r="V1886" s="347">
        <v>0</v>
      </c>
      <c r="W1886" s="347">
        <v>0</v>
      </c>
      <c r="X1886" s="37" t="s">
        <v>5</v>
      </c>
      <c r="Y1886" s="346" t="s">
        <v>892</v>
      </c>
      <c r="Z1886" s="14" t="str">
        <f>IF(ISBLANK(LCI_Table[[#This Row],[Notes for user]])," ",LCI_Table[[#This Row],[Notes for user]])</f>
        <v xml:space="preserve"> </v>
      </c>
      <c r="AA1886" s="14"/>
      <c r="AB1886" s="14"/>
      <c r="AC1886" s="346">
        <f ca="1">LCI_Table[[#This Row],[Default Calculated Value]]-LCI_Table[[#This Row],[Calculated Value]]</f>
        <v>0</v>
      </c>
    </row>
    <row r="1887" spans="1:29" x14ac:dyDescent="0.3">
      <c r="A18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SwitchgrassATJ-ethanolICAOConsensusStandalone_Switchgrass_Fermentation_BiomassBiomass</v>
      </c>
      <c r="B1887" s="14" t="s">
        <v>133</v>
      </c>
      <c r="C1887" s="14" t="s">
        <v>1964</v>
      </c>
      <c r="D1887" s="14" t="s">
        <v>194</v>
      </c>
      <c r="E1887" s="48" t="s">
        <v>1399</v>
      </c>
      <c r="F1887" s="48" t="s">
        <v>137</v>
      </c>
      <c r="G1887" s="14" t="b">
        <f>OR(LCI_Table[[#This Row],[Feedstock]]="All",LCI_Table[[#This Row],[Feedstock]]=SelectedFeedstock)</f>
        <v>0</v>
      </c>
      <c r="H1887" s="14" t="b">
        <f>OR(LCI_Table[[#This Row],[Conversion]]="All",LCI_Table[[#This Row],[Conversion]]=SelectedConversion)</f>
        <v>0</v>
      </c>
      <c r="I1887" s="14" t="b">
        <f>OR(LCI_Table[[#This Row],[Data Set]]="all",LCI_Table[[#This Row],[Data Set]]=SelectedDataSet)</f>
        <v>0</v>
      </c>
      <c r="J1887" s="14" t="b">
        <f>OR(LCI_Table[[#This Row],[Technology]]="All",LCI_Table[[#This Row],[Technology]]=SelectedTechnology)</f>
        <v>0</v>
      </c>
      <c r="K1887" s="14" t="b">
        <f>OR(LCI_Table[[#This Row],[Data Source]]="All",LCI_Table[[#This Row],[Data Source]]=SelectedDataSource)</f>
        <v>0</v>
      </c>
      <c r="L1887" s="14" t="b">
        <f>TRUE</f>
        <v>1</v>
      </c>
      <c r="M1887" s="14" t="b">
        <f>(LCI_Table[[#This Row],[Dev Notes]]="Do not display")</f>
        <v>0</v>
      </c>
      <c r="N1887" s="14" t="b">
        <f>AND(LCI_Table[[#This Row],[Show Feedstock]:[Conditional]],NOT(LCI_Table[[#This Row],[Hide Row]]))</f>
        <v>0</v>
      </c>
      <c r="O1887" s="14" t="b">
        <f>LCI_Table[[#This Row],[GREET1 Name Range]]=""</f>
        <v>0</v>
      </c>
      <c r="P1887" s="14" t="s">
        <v>428</v>
      </c>
      <c r="Q1887" s="14" t="s">
        <v>1412</v>
      </c>
      <c r="R1887" s="14" t="s">
        <v>1410</v>
      </c>
      <c r="S1887" s="37" cm="1">
        <f t="array" aca="1" ref="S18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87" s="346" t="s">
        <v>2133</v>
      </c>
      <c r="U1887" s="347">
        <f ca="1">S1887*Fuel_Specs!$B$100*ton2lb/Fuel_Specs!$B$31/BTU2MJ</f>
        <v>0</v>
      </c>
      <c r="V1887" s="347">
        <v>0</v>
      </c>
      <c r="W1887" s="347">
        <v>0</v>
      </c>
      <c r="X1887" s="37" t="s">
        <v>12</v>
      </c>
      <c r="Y1887" s="346" t="s">
        <v>892</v>
      </c>
      <c r="Z1887" s="14" t="str">
        <f>IF(ISBLANK(LCI_Table[[#This Row],[Notes for user]])," ",LCI_Table[[#This Row],[Notes for user]])</f>
        <v xml:space="preserve"> </v>
      </c>
      <c r="AA1887" s="14"/>
      <c r="AB1887" s="14"/>
      <c r="AC1887" s="346">
        <f ca="1">LCI_Table[[#This Row],[Default Calculated Value]]-LCI_Table[[#This Row],[Calculated Value]]</f>
        <v>0</v>
      </c>
    </row>
    <row r="1888" spans="1:29" x14ac:dyDescent="0.3">
      <c r="A18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SwitchgrassATJ-ethanolICAOConsensusStandalone_Switchgrass_Fermentation_ElectricityElectricity</v>
      </c>
      <c r="B1888" s="14" t="s">
        <v>133</v>
      </c>
      <c r="C1888" s="14" t="s">
        <v>1964</v>
      </c>
      <c r="D1888" s="14" t="s">
        <v>194</v>
      </c>
      <c r="E1888" s="48" t="s">
        <v>1399</v>
      </c>
      <c r="F1888" s="48" t="s">
        <v>137</v>
      </c>
      <c r="G1888" s="14" t="b">
        <f>OR(LCI_Table[[#This Row],[Feedstock]]="All",LCI_Table[[#This Row],[Feedstock]]=SelectedFeedstock)</f>
        <v>0</v>
      </c>
      <c r="H1888" s="14" t="b">
        <f>OR(LCI_Table[[#This Row],[Conversion]]="All",LCI_Table[[#This Row],[Conversion]]=SelectedConversion)</f>
        <v>0</v>
      </c>
      <c r="I1888" s="14" t="b">
        <f>OR(LCI_Table[[#This Row],[Data Set]]="all",LCI_Table[[#This Row],[Data Set]]=SelectedDataSet)</f>
        <v>0</v>
      </c>
      <c r="J1888" s="14" t="b">
        <f>OR(LCI_Table[[#This Row],[Technology]]="All",LCI_Table[[#This Row],[Technology]]=SelectedTechnology)</f>
        <v>0</v>
      </c>
      <c r="K1888" s="14" t="b">
        <f>OR(LCI_Table[[#This Row],[Data Source]]="All",LCI_Table[[#This Row],[Data Source]]=SelectedDataSource)</f>
        <v>0</v>
      </c>
      <c r="L1888" s="14" t="b">
        <f>TRUE</f>
        <v>1</v>
      </c>
      <c r="M1888" s="14" t="b">
        <f>(LCI_Table[[#This Row],[Dev Notes]]="Do not display")</f>
        <v>0</v>
      </c>
      <c r="N1888" s="14" t="b">
        <f>AND(LCI_Table[[#This Row],[Show Feedstock]:[Conditional]],NOT(LCI_Table[[#This Row],[Hide Row]]))</f>
        <v>0</v>
      </c>
      <c r="O1888" s="14" t="b">
        <f>LCI_Table[[#This Row],[GREET1 Name Range]]=""</f>
        <v>0</v>
      </c>
      <c r="P1888" s="14" t="s">
        <v>428</v>
      </c>
      <c r="Q1888" s="14" t="s">
        <v>829</v>
      </c>
      <c r="R1888" s="348" t="s">
        <v>110</v>
      </c>
      <c r="S1888" s="37" cm="1">
        <f t="array" aca="1" ref="S18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88" s="346" t="s">
        <v>2137</v>
      </c>
      <c r="U1888" s="347">
        <f ca="1">S1888/BTU2kWh/Fuel_Specs!$B$31/BTU2MJ</f>
        <v>0</v>
      </c>
      <c r="V1888" s="347">
        <v>0</v>
      </c>
      <c r="W1888" s="347">
        <v>0</v>
      </c>
      <c r="X1888" s="14" t="s">
        <v>51</v>
      </c>
      <c r="Y1888" s="346" t="s">
        <v>892</v>
      </c>
      <c r="Z1888" s="14" t="str">
        <f>IF(ISBLANK(LCI_Table[[#This Row],[Notes for user]])," ",LCI_Table[[#This Row],[Notes for user]])</f>
        <v xml:space="preserve"> </v>
      </c>
      <c r="AA1888" s="14"/>
      <c r="AB1888" s="14"/>
      <c r="AC1888" s="346">
        <f ca="1">LCI_Table[[#This Row],[Default Calculated Value]]-LCI_Table[[#This Row],[Calculated Value]]</f>
        <v>0</v>
      </c>
    </row>
    <row r="1889" spans="1:29" x14ac:dyDescent="0.3">
      <c r="A18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SwitchgrassATJ-ethanolICAOConsensusStandalone_Switchgrass_Fermentation_RNGRenewable natural gas</v>
      </c>
      <c r="B1889" s="14" t="s">
        <v>133</v>
      </c>
      <c r="C1889" s="14" t="s">
        <v>1964</v>
      </c>
      <c r="D1889" s="14" t="s">
        <v>194</v>
      </c>
      <c r="E1889" s="48" t="s">
        <v>1399</v>
      </c>
      <c r="F1889" s="48" t="s">
        <v>137</v>
      </c>
      <c r="G1889" s="14" t="b">
        <f>OR(LCI_Table[[#This Row],[Feedstock]]="All",LCI_Table[[#This Row],[Feedstock]]=SelectedFeedstock)</f>
        <v>0</v>
      </c>
      <c r="H1889" s="14" t="b">
        <f>OR(LCI_Table[[#This Row],[Conversion]]="All",LCI_Table[[#This Row],[Conversion]]=SelectedConversion)</f>
        <v>0</v>
      </c>
      <c r="I1889" s="14" t="b">
        <f>OR(LCI_Table[[#This Row],[Data Set]]="all",LCI_Table[[#This Row],[Data Set]]=SelectedDataSet)</f>
        <v>0</v>
      </c>
      <c r="J1889" s="14" t="b">
        <f>OR(LCI_Table[[#This Row],[Technology]]="All",LCI_Table[[#This Row],[Technology]]=SelectedTechnology)</f>
        <v>0</v>
      </c>
      <c r="K1889" s="14" t="b">
        <f>OR(LCI_Table[[#This Row],[Data Source]]="All",LCI_Table[[#This Row],[Data Source]]=SelectedDataSource)</f>
        <v>0</v>
      </c>
      <c r="L1889" s="14" t="b">
        <f>TRUE</f>
        <v>1</v>
      </c>
      <c r="M1889" s="14" t="b">
        <f>(LCI_Table[[#This Row],[Dev Notes]]="Do not display")</f>
        <v>0</v>
      </c>
      <c r="N1889" s="14" t="b">
        <f>AND(LCI_Table[[#This Row],[Show Feedstock]:[Conditional]],NOT(LCI_Table[[#This Row],[Hide Row]]))</f>
        <v>0</v>
      </c>
      <c r="O1889" s="14" t="b">
        <f>LCI_Table[[#This Row],[GREET1 Name Range]]=""</f>
        <v>0</v>
      </c>
      <c r="P1889" s="14" t="s">
        <v>428</v>
      </c>
      <c r="Q1889" s="14" t="s">
        <v>837</v>
      </c>
      <c r="R1889" s="348" t="s">
        <v>352</v>
      </c>
      <c r="S1889" s="37" cm="1">
        <f t="array" aca="1" ref="S18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89" s="346" t="s">
        <v>2135</v>
      </c>
      <c r="U1889" s="347">
        <f ca="1">S1889*Fuel_Specs!$B$79/Fuel_Specs!$B$31/BTU2MJ</f>
        <v>0</v>
      </c>
      <c r="V1889" s="347">
        <v>0</v>
      </c>
      <c r="W1889" s="347">
        <v>0</v>
      </c>
      <c r="X1889" s="14" t="s">
        <v>351</v>
      </c>
      <c r="Y1889" s="346" t="s">
        <v>892</v>
      </c>
      <c r="Z1889" s="14" t="str">
        <f>IF(ISBLANK(LCI_Table[[#This Row],[Notes for user]])," ",LCI_Table[[#This Row],[Notes for user]])</f>
        <v xml:space="preserve"> </v>
      </c>
      <c r="AA1889" s="14"/>
      <c r="AB1889" s="14"/>
      <c r="AC1889" s="346">
        <f ca="1">LCI_Table[[#This Row],[Default Calculated Value]]-LCI_Table[[#This Row],[Calculated Value]]</f>
        <v>0</v>
      </c>
    </row>
    <row r="1890" spans="1:29" x14ac:dyDescent="0.3">
      <c r="A18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SwitchgrassATJ-ethanolICAOConsensusStandalone_Corn_stover_EtOH_Fermentation_AllocationAllocation factor</v>
      </c>
      <c r="B1890" s="14" t="s">
        <v>133</v>
      </c>
      <c r="C1890" s="14" t="s">
        <v>1964</v>
      </c>
      <c r="D1890" s="14" t="s">
        <v>194</v>
      </c>
      <c r="E1890" s="48" t="s">
        <v>1399</v>
      </c>
      <c r="F1890" s="48" t="s">
        <v>137</v>
      </c>
      <c r="G1890" s="14" t="b">
        <f>OR(LCI_Table[[#This Row],[Feedstock]]="All",LCI_Table[[#This Row],[Feedstock]]=SelectedFeedstock)</f>
        <v>0</v>
      </c>
      <c r="H1890" s="14" t="b">
        <f>OR(LCI_Table[[#This Row],[Conversion]]="All",LCI_Table[[#This Row],[Conversion]]=SelectedConversion)</f>
        <v>0</v>
      </c>
      <c r="I1890" s="14" t="b">
        <f>OR(LCI_Table[[#This Row],[Data Set]]="all",LCI_Table[[#This Row],[Data Set]]=SelectedDataSet)</f>
        <v>0</v>
      </c>
      <c r="J1890" s="14" t="b">
        <f>OR(LCI_Table[[#This Row],[Technology]]="All",LCI_Table[[#This Row],[Technology]]=SelectedTechnology)</f>
        <v>0</v>
      </c>
      <c r="K1890" s="14" t="b">
        <f>OR(LCI_Table[[#This Row],[Data Source]]="All",LCI_Table[[#This Row],[Data Source]]=SelectedDataSource)</f>
        <v>0</v>
      </c>
      <c r="L1890" s="14" t="b">
        <f>TRUE</f>
        <v>1</v>
      </c>
      <c r="M1890" s="14" t="b">
        <f>(LCI_Table[[#This Row],[Dev Notes]]="Do not display")</f>
        <v>0</v>
      </c>
      <c r="N1890" s="14" t="b">
        <f>AND(LCI_Table[[#This Row],[Show Feedstock]:[Conditional]],NOT(LCI_Table[[#This Row],[Hide Row]]))</f>
        <v>0</v>
      </c>
      <c r="O1890" s="14" t="b">
        <f>LCI_Table[[#This Row],[GREET1 Name Range]]=""</f>
        <v>0</v>
      </c>
      <c r="P1890" s="14" t="s">
        <v>1448</v>
      </c>
      <c r="Q1890" s="14" t="s">
        <v>1104</v>
      </c>
      <c r="R1890" s="348" t="s">
        <v>1344</v>
      </c>
      <c r="S1890" s="37" cm="1">
        <f t="array" aca="1" ref="S18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91.911764705882348</v>
      </c>
      <c r="T1890" s="346" t="s">
        <v>1345</v>
      </c>
      <c r="U1890" s="347">
        <f ca="1">S1890/100</f>
        <v>0.91911764705882348</v>
      </c>
      <c r="V1890" s="347">
        <v>91.911764705882348</v>
      </c>
      <c r="W1890" s="347">
        <v>0.91911764705882348</v>
      </c>
      <c r="X1890" s="14"/>
      <c r="Y1890" s="346"/>
      <c r="Z1890" s="14" t="str">
        <f>IF(ISBLANK(LCI_Table[[#This Row],[Notes for user]])," ",LCI_Table[[#This Row],[Notes for user]])</f>
        <v>Co-produced electricity</v>
      </c>
      <c r="AA1890" s="14" t="s">
        <v>1407</v>
      </c>
      <c r="AB1890" s="14"/>
      <c r="AC1890" s="346">
        <f ca="1">LCI_Table[[#This Row],[Default Calculated Value]]-LCI_Table[[#This Row],[Calculated Value]]</f>
        <v>0</v>
      </c>
    </row>
    <row r="1891" spans="1:29" x14ac:dyDescent="0.3">
      <c r="A18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SwitchgrassATJ-ethanolICAOConsensusStandalone_JetFuel_ETJet_EthanolFeedstockSelector</v>
      </c>
      <c r="B1891" s="14" t="s">
        <v>133</v>
      </c>
      <c r="C1891" s="14" t="s">
        <v>1964</v>
      </c>
      <c r="D1891" s="14" t="s">
        <v>194</v>
      </c>
      <c r="E1891" s="48" t="s">
        <v>1399</v>
      </c>
      <c r="F1891" s="48" t="s">
        <v>137</v>
      </c>
      <c r="G1891" s="14" t="b">
        <f>OR(LCI_Table[[#This Row],[Feedstock]]="All",LCI_Table[[#This Row],[Feedstock]]=SelectedFeedstock)</f>
        <v>0</v>
      </c>
      <c r="H1891" s="14" t="b">
        <f>OR(LCI_Table[[#This Row],[Conversion]]="All",LCI_Table[[#This Row],[Conversion]]=SelectedConversion)</f>
        <v>0</v>
      </c>
      <c r="I1891" s="14" t="b">
        <f>OR(LCI_Table[[#This Row],[Data Set]]="all",LCI_Table[[#This Row],[Data Set]]=SelectedDataSet)</f>
        <v>0</v>
      </c>
      <c r="J1891" s="14" t="b">
        <f>OR(LCI_Table[[#This Row],[Technology]]="All",LCI_Table[[#This Row],[Technology]]=SelectedTechnology)</f>
        <v>0</v>
      </c>
      <c r="K1891" s="14" t="b">
        <f>OR(LCI_Table[[#This Row],[Data Source]]="All",LCI_Table[[#This Row],[Data Source]]=SelectedDataSource)</f>
        <v>0</v>
      </c>
      <c r="L1891" s="14" t="b">
        <f>TRUE</f>
        <v>1</v>
      </c>
      <c r="M1891" s="14" t="b">
        <f>(LCI_Table[[#This Row],[Dev Notes]]="Do not display")</f>
        <v>1</v>
      </c>
      <c r="N1891" s="14" t="b">
        <f>AND(LCI_Table[[#This Row],[Show Feedstock]:[Conditional]],NOT(LCI_Table[[#This Row],[Hide Row]]))</f>
        <v>0</v>
      </c>
      <c r="O1891" s="14" t="b">
        <f>LCI_Table[[#This Row],[GREET1 Name Range]]=""</f>
        <v>0</v>
      </c>
      <c r="P1891" s="14" t="s">
        <v>1448</v>
      </c>
      <c r="Q1891" s="14" t="s">
        <v>87</v>
      </c>
      <c r="R1891" s="14" t="s">
        <v>902</v>
      </c>
      <c r="S1891" s="37" cm="1">
        <f t="array" aca="1" ref="S18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v>
      </c>
      <c r="T1891" s="346" t="s">
        <v>2132</v>
      </c>
      <c r="U1891" s="352">
        <v>7</v>
      </c>
      <c r="V1891" s="352">
        <v>7</v>
      </c>
      <c r="W1891" s="352">
        <v>7</v>
      </c>
      <c r="X1891" s="356"/>
      <c r="Y1891" s="346" t="s">
        <v>416</v>
      </c>
      <c r="Z1891" s="14" t="str">
        <f>IF(ISBLANK(LCI_Table[[#This Row],[Notes for user]])," ",LCI_Table[[#This Row],[Notes for user]])</f>
        <v xml:space="preserve"> </v>
      </c>
      <c r="AA1891" s="14"/>
      <c r="AB1891" s="14" t="s">
        <v>1138</v>
      </c>
      <c r="AC1891" s="346">
        <f>LCI_Table[[#This Row],[Default Calculated Value]]-LCI_Table[[#This Row],[Calculated Value]]</f>
        <v>0</v>
      </c>
    </row>
    <row r="1892" spans="1:29" x14ac:dyDescent="0.3">
      <c r="A18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SwitchgrassATJ-ethanolICAOConsensusStandalone_Ethanol_ETJ_distributed_EthanolEthanol</v>
      </c>
      <c r="B1892" s="14" t="s">
        <v>133</v>
      </c>
      <c r="C1892" s="14" t="s">
        <v>1964</v>
      </c>
      <c r="D1892" s="14" t="s">
        <v>194</v>
      </c>
      <c r="E1892" s="48" t="s">
        <v>1399</v>
      </c>
      <c r="F1892" s="48" t="s">
        <v>137</v>
      </c>
      <c r="G1892" s="14" t="b">
        <f>OR(LCI_Table[[#This Row],[Feedstock]]="All",LCI_Table[[#This Row],[Feedstock]]=SelectedFeedstock)</f>
        <v>0</v>
      </c>
      <c r="H1892" s="14" t="b">
        <f>OR(LCI_Table[[#This Row],[Conversion]]="All",LCI_Table[[#This Row],[Conversion]]=SelectedConversion)</f>
        <v>0</v>
      </c>
      <c r="I1892" s="14" t="b">
        <f>OR(LCI_Table[[#This Row],[Data Set]]="all",LCI_Table[[#This Row],[Data Set]]=SelectedDataSet)</f>
        <v>0</v>
      </c>
      <c r="J1892" s="14" t="b">
        <f>OR(LCI_Table[[#This Row],[Technology]]="All",LCI_Table[[#This Row],[Technology]]=SelectedTechnology)</f>
        <v>0</v>
      </c>
      <c r="K1892" s="14" t="b">
        <f>OR(LCI_Table[[#This Row],[Data Source]]="All",LCI_Table[[#This Row],[Data Source]]=SelectedDataSource)</f>
        <v>0</v>
      </c>
      <c r="L1892" s="14" t="b">
        <f>TRUE</f>
        <v>1</v>
      </c>
      <c r="M1892" s="14" t="b">
        <f>(LCI_Table[[#This Row],[Dev Notes]]="Do not display")</f>
        <v>0</v>
      </c>
      <c r="N1892" s="14" t="b">
        <f>AND(LCI_Table[[#This Row],[Show Feedstock]:[Conditional]],NOT(LCI_Table[[#This Row],[Hide Row]]))</f>
        <v>0</v>
      </c>
      <c r="O1892" s="14" t="b">
        <f>LCI_Table[[#This Row],[GREET1 Name Range]]=""</f>
        <v>0</v>
      </c>
      <c r="P1892" s="14" t="s">
        <v>1448</v>
      </c>
      <c r="Q1892" s="14" t="s">
        <v>641</v>
      </c>
      <c r="R1892" s="14" t="s">
        <v>138</v>
      </c>
      <c r="S1892" s="37" cm="1">
        <f t="array" aca="1" ref="S18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13.818264556327076</v>
      </c>
      <c r="T1892" s="346" t="s">
        <v>2128</v>
      </c>
      <c r="U1892" s="357">
        <f ca="1">S1892/mmBTU2MJ*Fuel_Specs!$E$31*g2kg</f>
        <v>3.9134397003064154E-2</v>
      </c>
      <c r="V1892" s="347">
        <v>13.818264556327076</v>
      </c>
      <c r="W1892" s="357">
        <v>3.9134397003064154E-2</v>
      </c>
      <c r="X1892" s="37" t="s">
        <v>5</v>
      </c>
      <c r="Y1892" s="346" t="s">
        <v>416</v>
      </c>
      <c r="Z1892" s="14" t="str">
        <f>IF(ISBLANK(LCI_Table[[#This Row],[Notes for user]])," ",LCI_Table[[#This Row],[Notes for user]])</f>
        <v xml:space="preserve"> </v>
      </c>
      <c r="AA1892" s="14"/>
      <c r="AB1892" s="14"/>
      <c r="AC1892" s="346">
        <f ca="1">LCI_Table[[#This Row],[Default Calculated Value]]-LCI_Table[[#This Row],[Calculated Value]]</f>
        <v>0</v>
      </c>
    </row>
    <row r="1893" spans="1:29" x14ac:dyDescent="0.3">
      <c r="A18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SwitchgrassATJ-ethanolICAOConsensusStandalone_Ethanol_ETJ_distributed_HydrogenHydrogen</v>
      </c>
      <c r="B1893" s="358" t="s">
        <v>133</v>
      </c>
      <c r="C1893" s="358" t="s">
        <v>1964</v>
      </c>
      <c r="D1893" s="358" t="s">
        <v>194</v>
      </c>
      <c r="E1893" s="48" t="s">
        <v>1399</v>
      </c>
      <c r="F1893" s="48" t="s">
        <v>137</v>
      </c>
      <c r="G1893" s="14" t="b">
        <f>OR(LCI_Table[[#This Row],[Feedstock]]="All",LCI_Table[[#This Row],[Feedstock]]=SelectedFeedstock)</f>
        <v>0</v>
      </c>
      <c r="H1893" s="14" t="b">
        <f>OR(LCI_Table[[#This Row],[Conversion]]="All",LCI_Table[[#This Row],[Conversion]]=SelectedConversion)</f>
        <v>0</v>
      </c>
      <c r="I1893" s="14" t="b">
        <f>OR(LCI_Table[[#This Row],[Data Set]]="all",LCI_Table[[#This Row],[Data Set]]=SelectedDataSet)</f>
        <v>0</v>
      </c>
      <c r="J1893" s="14" t="b">
        <f>OR(LCI_Table[[#This Row],[Technology]]="All",LCI_Table[[#This Row],[Technology]]=SelectedTechnology)</f>
        <v>0</v>
      </c>
      <c r="K1893" s="14" t="b">
        <f>OR(LCI_Table[[#This Row],[Data Source]]="All",LCI_Table[[#This Row],[Data Source]]=SelectedDataSource)</f>
        <v>0</v>
      </c>
      <c r="L1893" s="14" t="b">
        <f>TRUE</f>
        <v>1</v>
      </c>
      <c r="M1893" s="14" t="b">
        <f>(LCI_Table[[#This Row],[Dev Notes]]="Do not display")</f>
        <v>0</v>
      </c>
      <c r="N1893" s="14" t="b">
        <f>AND(LCI_Table[[#This Row],[Show Feedstock]:[Conditional]],NOT(LCI_Table[[#This Row],[Hide Row]]))</f>
        <v>0</v>
      </c>
      <c r="O1893" s="14" t="b">
        <f>LCI_Table[[#This Row],[GREET1 Name Range]]=""</f>
        <v>0</v>
      </c>
      <c r="P1893" s="358" t="s">
        <v>1448</v>
      </c>
      <c r="Q1893" s="14" t="s">
        <v>642</v>
      </c>
      <c r="R1893" s="358" t="s">
        <v>73</v>
      </c>
      <c r="S1893" s="37" cm="1">
        <f t="array" aca="1" ref="S18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215.31199228878882</v>
      </c>
      <c r="T1893" s="346" t="s">
        <v>2120</v>
      </c>
      <c r="U1893" s="362">
        <f ca="1">S1893/kg2g*Fuel_Specs!$E$81*MJ2mmBTU</f>
        <v>5.2039480216749788E-4</v>
      </c>
      <c r="V1893" s="359">
        <v>215.31199228878882</v>
      </c>
      <c r="W1893" s="362">
        <v>5.2039480216749788E-4</v>
      </c>
      <c r="X1893" s="360" t="s">
        <v>351</v>
      </c>
      <c r="Y1893" s="346" t="s">
        <v>416</v>
      </c>
      <c r="Z1893" s="14" t="str">
        <f>IF(ISBLANK(LCI_Table[[#This Row],[Notes for user]])," ",LCI_Table[[#This Row],[Notes for user]])</f>
        <v xml:space="preserve"> </v>
      </c>
      <c r="AA1893" s="358"/>
      <c r="AB1893" s="358"/>
      <c r="AC1893" s="346">
        <f ca="1">LCI_Table[[#This Row],[Default Calculated Value]]-LCI_Table[[#This Row],[Calculated Value]]</f>
        <v>0</v>
      </c>
    </row>
    <row r="1894" spans="1:29" x14ac:dyDescent="0.3">
      <c r="A18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SwitchgrassATJ-ethanolICAOConsensusStandalone_Ethanol_ETJ_distributed_Natural_gasNatural gas</v>
      </c>
      <c r="B1894" s="358" t="s">
        <v>133</v>
      </c>
      <c r="C1894" s="358" t="s">
        <v>1964</v>
      </c>
      <c r="D1894" s="358" t="s">
        <v>194</v>
      </c>
      <c r="E1894" s="48" t="s">
        <v>1399</v>
      </c>
      <c r="F1894" s="48" t="s">
        <v>137</v>
      </c>
      <c r="G1894" s="14" t="b">
        <f>OR(LCI_Table[[#This Row],[Feedstock]]="All",LCI_Table[[#This Row],[Feedstock]]=SelectedFeedstock)</f>
        <v>0</v>
      </c>
      <c r="H1894" s="14" t="b">
        <f>OR(LCI_Table[[#This Row],[Conversion]]="All",LCI_Table[[#This Row],[Conversion]]=SelectedConversion)</f>
        <v>0</v>
      </c>
      <c r="I1894" s="14" t="b">
        <f>OR(LCI_Table[[#This Row],[Data Set]]="all",LCI_Table[[#This Row],[Data Set]]=SelectedDataSet)</f>
        <v>0</v>
      </c>
      <c r="J1894" s="14" t="b">
        <f>OR(LCI_Table[[#This Row],[Technology]]="All",LCI_Table[[#This Row],[Technology]]=SelectedTechnology)</f>
        <v>0</v>
      </c>
      <c r="K1894" s="14" t="b">
        <f>OR(LCI_Table[[#This Row],[Data Source]]="All",LCI_Table[[#This Row],[Data Source]]=SelectedDataSource)</f>
        <v>0</v>
      </c>
      <c r="L1894" s="14" t="b">
        <f>TRUE</f>
        <v>1</v>
      </c>
      <c r="M1894" s="14" t="b">
        <f>(LCI_Table[[#This Row],[Dev Notes]]="Do not display")</f>
        <v>0</v>
      </c>
      <c r="N1894" s="14" t="b">
        <f>AND(LCI_Table[[#This Row],[Show Feedstock]:[Conditional]],NOT(LCI_Table[[#This Row],[Hide Row]]))</f>
        <v>0</v>
      </c>
      <c r="O1894" s="14" t="b">
        <f>LCI_Table[[#This Row],[GREET1 Name Range]]=""</f>
        <v>0</v>
      </c>
      <c r="P1894" s="358" t="s">
        <v>1448</v>
      </c>
      <c r="Q1894" s="14" t="s">
        <v>643</v>
      </c>
      <c r="R1894" s="358" t="s">
        <v>108</v>
      </c>
      <c r="S1894" s="37" cm="1">
        <f t="array" aca="1" ref="S18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196.87078679193246</v>
      </c>
      <c r="T1894" s="346" t="s">
        <v>2120</v>
      </c>
      <c r="U1894" s="362">
        <f ca="1">S1894/kg2g*Fuel_Specs!$E$79*MJ2mmBTU</f>
        <v>4.1051450588350507E-3</v>
      </c>
      <c r="V1894" s="359">
        <v>196.87078679193246</v>
      </c>
      <c r="W1894" s="362">
        <v>4.1051450588350507E-3</v>
      </c>
      <c r="X1894" s="358" t="s">
        <v>351</v>
      </c>
      <c r="Y1894" s="346" t="s">
        <v>416</v>
      </c>
      <c r="Z1894" s="14" t="str">
        <f>IF(ISBLANK(LCI_Table[[#This Row],[Notes for user]])," ",LCI_Table[[#This Row],[Notes for user]])</f>
        <v xml:space="preserve"> </v>
      </c>
      <c r="AA1894" s="358"/>
      <c r="AB1894" s="358"/>
      <c r="AC1894" s="346">
        <f ca="1">LCI_Table[[#This Row],[Default Calculated Value]]-LCI_Table[[#This Row],[Calculated Value]]</f>
        <v>0</v>
      </c>
    </row>
    <row r="1895" spans="1:29" x14ac:dyDescent="0.3">
      <c r="A18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SwitchgrassATJ-ethanolICAOConsensusStandalone_Ethanol_ETJ_distributed_ElectricityGrid Electricity</v>
      </c>
      <c r="B1895" s="14" t="s">
        <v>133</v>
      </c>
      <c r="C1895" s="14" t="s">
        <v>1964</v>
      </c>
      <c r="D1895" s="14" t="s">
        <v>194</v>
      </c>
      <c r="E1895" s="48" t="s">
        <v>1399</v>
      </c>
      <c r="F1895" s="48" t="s">
        <v>137</v>
      </c>
      <c r="G1895" s="14" t="b">
        <f>OR(LCI_Table[[#This Row],[Feedstock]]="All",LCI_Table[[#This Row],[Feedstock]]=SelectedFeedstock)</f>
        <v>0</v>
      </c>
      <c r="H1895" s="14" t="b">
        <f>OR(LCI_Table[[#This Row],[Conversion]]="All",LCI_Table[[#This Row],[Conversion]]=SelectedConversion)</f>
        <v>0</v>
      </c>
      <c r="I1895" s="14" t="b">
        <f>OR(LCI_Table[[#This Row],[Data Set]]="all",LCI_Table[[#This Row],[Data Set]]=SelectedDataSet)</f>
        <v>0</v>
      </c>
      <c r="J1895" s="14" t="b">
        <f>OR(LCI_Table[[#This Row],[Technology]]="All",LCI_Table[[#This Row],[Technology]]=SelectedTechnology)</f>
        <v>0</v>
      </c>
      <c r="K1895" s="14" t="b">
        <f>OR(LCI_Table[[#This Row],[Data Source]]="All",LCI_Table[[#This Row],[Data Source]]=SelectedDataSource)</f>
        <v>0</v>
      </c>
      <c r="L1895" s="14" t="b">
        <f>TRUE</f>
        <v>1</v>
      </c>
      <c r="M1895" s="14" t="b">
        <f>(LCI_Table[[#This Row],[Dev Notes]]="Do not display")</f>
        <v>0</v>
      </c>
      <c r="N1895" s="14" t="b">
        <f>AND(LCI_Table[[#This Row],[Show Feedstock]:[Conditional]],NOT(LCI_Table[[#This Row],[Hide Row]]))</f>
        <v>0</v>
      </c>
      <c r="O1895" s="14" t="b">
        <f>LCI_Table[[#This Row],[GREET1 Name Range]]=""</f>
        <v>0</v>
      </c>
      <c r="P1895" s="14" t="s">
        <v>1448</v>
      </c>
      <c r="Q1895" s="14" t="s">
        <v>640</v>
      </c>
      <c r="R1895" s="14" t="s">
        <v>1684</v>
      </c>
      <c r="S1895" s="37" cm="1">
        <f t="array" aca="1" ref="S18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2.2371343761082442E-2</v>
      </c>
      <c r="T1895" s="346" t="s">
        <v>2121</v>
      </c>
      <c r="U1895" s="357">
        <f ca="1">S1895*MJ2mmBTU</f>
        <v>2.12039426738238E-5</v>
      </c>
      <c r="V1895" s="347">
        <v>2.2371343761082442E-2</v>
      </c>
      <c r="W1895" s="357">
        <v>2.12039426738238E-5</v>
      </c>
      <c r="X1895" s="37" t="s">
        <v>51</v>
      </c>
      <c r="Y1895" s="346" t="s">
        <v>416</v>
      </c>
      <c r="Z1895" s="14" t="str">
        <f>IF(ISBLANK(LCI_Table[[#This Row],[Notes for user]])," ",LCI_Table[[#This Row],[Notes for user]])</f>
        <v xml:space="preserve"> </v>
      </c>
      <c r="AA1895" s="14"/>
      <c r="AB1895" s="14"/>
      <c r="AC1895" s="346">
        <f ca="1">LCI_Table[[#This Row],[Default Calculated Value]]-LCI_Table[[#This Row],[Calculated Value]]</f>
        <v>0</v>
      </c>
    </row>
    <row r="1896" spans="1:29" x14ac:dyDescent="0.3">
      <c r="A18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SwitchgrassATJ-ethanolICAOConsensusStandalone_Ethanol_ETJ_distributed_CatalystsCatalysts</v>
      </c>
      <c r="B1896" s="14" t="s">
        <v>133</v>
      </c>
      <c r="C1896" s="14" t="s">
        <v>1964</v>
      </c>
      <c r="D1896" s="14" t="s">
        <v>194</v>
      </c>
      <c r="E1896" s="48" t="s">
        <v>1399</v>
      </c>
      <c r="F1896" s="48" t="s">
        <v>137</v>
      </c>
      <c r="G1896" s="14" t="b">
        <f>OR(LCI_Table[[#This Row],[Feedstock]]="All",LCI_Table[[#This Row],[Feedstock]]=SelectedFeedstock)</f>
        <v>0</v>
      </c>
      <c r="H1896" s="14" t="b">
        <f>OR(LCI_Table[[#This Row],[Conversion]]="All",LCI_Table[[#This Row],[Conversion]]=SelectedConversion)</f>
        <v>0</v>
      </c>
      <c r="I1896" s="14" t="b">
        <f>OR(LCI_Table[[#This Row],[Data Set]]="all",LCI_Table[[#This Row],[Data Set]]=SelectedDataSet)</f>
        <v>0</v>
      </c>
      <c r="J1896" s="14" t="b">
        <f>OR(LCI_Table[[#This Row],[Technology]]="All",LCI_Table[[#This Row],[Technology]]=SelectedTechnology)</f>
        <v>0</v>
      </c>
      <c r="K1896" s="14" t="b">
        <f>OR(LCI_Table[[#This Row],[Data Source]]="All",LCI_Table[[#This Row],[Data Source]]=SelectedDataSource)</f>
        <v>0</v>
      </c>
      <c r="L1896" s="14" t="b">
        <f>TRUE</f>
        <v>1</v>
      </c>
      <c r="M1896" s="14" t="b">
        <f>(LCI_Table[[#This Row],[Dev Notes]]="Do not display")</f>
        <v>0</v>
      </c>
      <c r="N1896" s="14" t="b">
        <f>AND(LCI_Table[[#This Row],[Show Feedstock]:[Conditional]],NOT(LCI_Table[[#This Row],[Hide Row]]))</f>
        <v>0</v>
      </c>
      <c r="O1896" s="14" t="b">
        <f>LCI_Table[[#This Row],[GREET1 Name Range]]=""</f>
        <v>0</v>
      </c>
      <c r="P1896" s="14" t="s">
        <v>1448</v>
      </c>
      <c r="Q1896" s="14" t="s">
        <v>639</v>
      </c>
      <c r="R1896" s="14" t="s">
        <v>142</v>
      </c>
      <c r="S1896" s="37" cm="1">
        <f t="array" aca="1" ref="S18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96" s="346" t="s">
        <v>2119</v>
      </c>
      <c r="U1896" s="357">
        <f ca="1">S1896/kg2lb*MJ2mmBTU</f>
        <v>0</v>
      </c>
      <c r="V1896" s="347">
        <v>0</v>
      </c>
      <c r="W1896" s="357">
        <v>0</v>
      </c>
      <c r="X1896" s="37" t="s">
        <v>12</v>
      </c>
      <c r="Y1896" s="346" t="s">
        <v>416</v>
      </c>
      <c r="Z1896" s="14" t="str">
        <f>IF(ISBLANK(LCI_Table[[#This Row],[Notes for user]])," ",LCI_Table[[#This Row],[Notes for user]])</f>
        <v xml:space="preserve"> </v>
      </c>
      <c r="AA1896" s="14"/>
      <c r="AB1896" s="14"/>
      <c r="AC1896" s="346">
        <f ca="1">LCI_Table[[#This Row],[Default Calculated Value]]-LCI_Table[[#This Row],[Calculated Value]]</f>
        <v>0</v>
      </c>
    </row>
    <row r="1897" spans="1:29" x14ac:dyDescent="0.3">
      <c r="A18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SwitchgrassATJ-ethanolICAOConsensusStandalone_Ethanol_ETJ_distributed_WaterWater</v>
      </c>
      <c r="B1897" s="14" t="s">
        <v>133</v>
      </c>
      <c r="C1897" s="14" t="s">
        <v>1964</v>
      </c>
      <c r="D1897" s="14" t="s">
        <v>194</v>
      </c>
      <c r="E1897" s="48" t="s">
        <v>1399</v>
      </c>
      <c r="F1897" s="48" t="s">
        <v>137</v>
      </c>
      <c r="G1897" s="14" t="b">
        <f>OR(LCI_Table[[#This Row],[Feedstock]]="All",LCI_Table[[#This Row],[Feedstock]]=SelectedFeedstock)</f>
        <v>0</v>
      </c>
      <c r="H1897" s="14" t="b">
        <f>OR(LCI_Table[[#This Row],[Conversion]]="All",LCI_Table[[#This Row],[Conversion]]=SelectedConversion)</f>
        <v>0</v>
      </c>
      <c r="I1897" s="14" t="b">
        <f>OR(LCI_Table[[#This Row],[Data Set]]="all",LCI_Table[[#This Row],[Data Set]]=SelectedDataSet)</f>
        <v>0</v>
      </c>
      <c r="J1897" s="14" t="b">
        <f>OR(LCI_Table[[#This Row],[Technology]]="All",LCI_Table[[#This Row],[Technology]]=SelectedTechnology)</f>
        <v>0</v>
      </c>
      <c r="K1897" s="14" t="b">
        <f>OR(LCI_Table[[#This Row],[Data Source]]="All",LCI_Table[[#This Row],[Data Source]]=SelectedDataSource)</f>
        <v>0</v>
      </c>
      <c r="L1897" s="14" t="b">
        <f>TRUE</f>
        <v>1</v>
      </c>
      <c r="M1897" s="14" t="b">
        <f>(LCI_Table[[#This Row],[Dev Notes]]="Do not display")</f>
        <v>0</v>
      </c>
      <c r="N1897" s="14" t="b">
        <f>AND(LCI_Table[[#This Row],[Show Feedstock]:[Conditional]],NOT(LCI_Table[[#This Row],[Hide Row]]))</f>
        <v>0</v>
      </c>
      <c r="O1897" s="14" t="b">
        <f>LCI_Table[[#This Row],[GREET1 Name Range]]=""</f>
        <v>0</v>
      </c>
      <c r="P1897" s="14" t="s">
        <v>1448</v>
      </c>
      <c r="Q1897" s="14" t="s">
        <v>644</v>
      </c>
      <c r="R1897" s="14" t="s">
        <v>146</v>
      </c>
      <c r="S1897" s="37" cm="1">
        <f t="array" aca="1" ref="S18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897" s="346" t="s">
        <v>2128</v>
      </c>
      <c r="U1897" s="357">
        <f ca="1">S1897/kg2lb*Fuel_Specs!$K$4*MJ2mmBTU</f>
        <v>0</v>
      </c>
      <c r="V1897" s="347">
        <v>0</v>
      </c>
      <c r="W1897" s="357">
        <v>0</v>
      </c>
      <c r="X1897" s="37" t="s">
        <v>5</v>
      </c>
      <c r="Y1897" s="346" t="s">
        <v>416</v>
      </c>
      <c r="Z1897" s="14" t="str">
        <f>IF(ISBLANK(LCI_Table[[#This Row],[Notes for user]])," ",LCI_Table[[#This Row],[Notes for user]])</f>
        <v xml:space="preserve"> </v>
      </c>
      <c r="AA1897" s="14"/>
      <c r="AB1897" s="14"/>
      <c r="AC1897" s="346">
        <f ca="1">LCI_Table[[#This Row],[Default Calculated Value]]-LCI_Table[[#This Row],[Calculated Value]]</f>
        <v>0</v>
      </c>
    </row>
    <row r="1898" spans="1:29" x14ac:dyDescent="0.3">
      <c r="A18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SwitchgrassATJ-ethanolICAOConsensusStandalone_Ethanol_ETJ_distributed_Allocation_FactorAllocation factor</v>
      </c>
      <c r="B1898" s="14" t="s">
        <v>133</v>
      </c>
      <c r="C1898" s="14" t="s">
        <v>1964</v>
      </c>
      <c r="D1898" s="14" t="s">
        <v>194</v>
      </c>
      <c r="E1898" s="48" t="s">
        <v>1399</v>
      </c>
      <c r="F1898" s="48" t="s">
        <v>137</v>
      </c>
      <c r="G1898" s="14" t="b">
        <f>OR(LCI_Table[[#This Row],[Feedstock]]="All",LCI_Table[[#This Row],[Feedstock]]=SelectedFeedstock)</f>
        <v>0</v>
      </c>
      <c r="H1898" s="14" t="b">
        <f>OR(LCI_Table[[#This Row],[Conversion]]="All",LCI_Table[[#This Row],[Conversion]]=SelectedConversion)</f>
        <v>0</v>
      </c>
      <c r="I1898" s="14" t="b">
        <f>OR(LCI_Table[[#This Row],[Data Set]]="all",LCI_Table[[#This Row],[Data Set]]=SelectedDataSet)</f>
        <v>0</v>
      </c>
      <c r="J1898" s="14" t="b">
        <f>OR(LCI_Table[[#This Row],[Technology]]="All",LCI_Table[[#This Row],[Technology]]=SelectedTechnology)</f>
        <v>0</v>
      </c>
      <c r="K1898" s="14" t="b">
        <f>OR(LCI_Table[[#This Row],[Data Source]]="All",LCI_Table[[#This Row],[Data Source]]=SelectedDataSource)</f>
        <v>0</v>
      </c>
      <c r="L1898" s="14" t="b">
        <f>TRUE</f>
        <v>1</v>
      </c>
      <c r="M1898" s="14" t="b">
        <f>(LCI_Table[[#This Row],[Dev Notes]]="Do not display")</f>
        <v>0</v>
      </c>
      <c r="N1898" s="14" t="b">
        <f>AND(LCI_Table[[#This Row],[Show Feedstock]:[Conditional]],NOT(LCI_Table[[#This Row],[Hide Row]]))</f>
        <v>0</v>
      </c>
      <c r="O1898" s="14" t="b">
        <f>LCI_Table[[#This Row],[GREET1 Name Range]]=""</f>
        <v>0</v>
      </c>
      <c r="P1898" s="14" t="s">
        <v>1448</v>
      </c>
      <c r="Q1898" s="14" t="s">
        <v>1123</v>
      </c>
      <c r="R1898" s="14" t="s">
        <v>1344</v>
      </c>
      <c r="S1898" s="37" cm="1">
        <f t="array" aca="1" ref="S18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100</v>
      </c>
      <c r="T1898" s="346" t="s">
        <v>1345</v>
      </c>
      <c r="U1898" s="347">
        <f ca="1">S1898/100</f>
        <v>1</v>
      </c>
      <c r="V1898" s="347">
        <v>100</v>
      </c>
      <c r="W1898" s="347">
        <v>1</v>
      </c>
      <c r="X1898" s="37"/>
      <c r="Y1898" s="346"/>
      <c r="Z1898" s="14" t="str">
        <f>IF(ISBLANK(LCI_Table[[#This Row],[Notes for user]])," ",LCI_Table[[#This Row],[Notes for user]])</f>
        <v xml:space="preserve"> </v>
      </c>
      <c r="AA1898" s="14"/>
      <c r="AB1898" s="14"/>
      <c r="AC1898" s="346">
        <f ca="1">LCI_Table[[#This Row],[Default Calculated Value]]-LCI_Table[[#This Row],[Calculated Value]]</f>
        <v>0</v>
      </c>
    </row>
    <row r="1899" spans="1:29" x14ac:dyDescent="0.3">
      <c r="A18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PFADHEFAICAOANL (GREET)(blank)_HEFA_feed_usagePFAD</v>
      </c>
      <c r="B1899" s="14" t="s">
        <v>876</v>
      </c>
      <c r="C1899" s="14" t="s">
        <v>30</v>
      </c>
      <c r="D1899" s="14" t="s">
        <v>194</v>
      </c>
      <c r="E1899" s="14" t="s">
        <v>1343</v>
      </c>
      <c r="F1899" s="48" t="s">
        <v>31</v>
      </c>
      <c r="G1899" s="14" t="b">
        <f>OR(LCI_Table[[#This Row],[Feedstock]]="All",LCI_Table[[#This Row],[Feedstock]]=SelectedFeedstock)</f>
        <v>0</v>
      </c>
      <c r="H1899" s="14" t="b">
        <f>OR(LCI_Table[[#This Row],[Conversion]]="All",LCI_Table[[#This Row],[Conversion]]=SelectedConversion)</f>
        <v>1</v>
      </c>
      <c r="I1899" s="14" t="b">
        <f>OR(LCI_Table[[#This Row],[Data Set]]="all",LCI_Table[[#This Row],[Data Set]]=SelectedDataSet)</f>
        <v>0</v>
      </c>
      <c r="J1899" s="14" t="b">
        <f>OR(LCI_Table[[#This Row],[Technology]]="All",LCI_Table[[#This Row],[Technology]]=SelectedTechnology)</f>
        <v>1</v>
      </c>
      <c r="K1899" s="14" t="b">
        <f>OR(LCI_Table[[#This Row],[Data Source]]="All",LCI_Table[[#This Row],[Data Source]]=SelectedDataSource)</f>
        <v>0</v>
      </c>
      <c r="L1899" s="14" t="b">
        <f>TRUE</f>
        <v>1</v>
      </c>
      <c r="M1899" s="14" t="b">
        <f>(LCI_Table[[#This Row],[Dev Notes]]="Do not display")</f>
        <v>0</v>
      </c>
      <c r="N1899" s="14" t="b">
        <f>AND(LCI_Table[[#This Row],[Show Feedstock]:[Conditional]],NOT(LCI_Table[[#This Row],[Hide Row]]))</f>
        <v>0</v>
      </c>
      <c r="O1899" s="14" t="b">
        <f>LCI_Table[[#This Row],[GREET1 Name Range]]=""</f>
        <v>0</v>
      </c>
      <c r="P1899" s="14" t="s">
        <v>1448</v>
      </c>
      <c r="Q1899" s="14" t="s">
        <v>933</v>
      </c>
      <c r="R1899" s="14" t="s">
        <v>876</v>
      </c>
      <c r="S1899" s="37" cm="1">
        <f t="array" aca="1" ref="S18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62.29565970924795</v>
      </c>
      <c r="T1899" s="346" t="s">
        <v>2119</v>
      </c>
      <c r="U1899" s="347">
        <f ca="1">S1899*lb2g/Fuel_Specs!$E$48*Fuel_Specs!$B$48*BTU2mmBTU/Allocations!$O$187</f>
        <v>1.2700000000000002</v>
      </c>
      <c r="V1899" s="347">
        <v>62.29565970924795</v>
      </c>
      <c r="W1899" s="347">
        <v>1.2700000000000002</v>
      </c>
      <c r="X1899" s="14" t="s">
        <v>12</v>
      </c>
      <c r="Y1899" s="346" t="s">
        <v>416</v>
      </c>
      <c r="Z1899" s="14" t="str">
        <f>IF(ISBLANK(LCI_Table[[#This Row],[Notes for user]])," ",LCI_Table[[#This Row],[Notes for user]])</f>
        <v xml:space="preserve"> </v>
      </c>
      <c r="AA1899" s="14"/>
      <c r="AB1899" s="14"/>
      <c r="AC1899" s="346">
        <f ca="1">LCI_Table[[#This Row],[Default Calculated Value]]-LCI_Table[[#This Row],[Calculated Value]]</f>
        <v>0</v>
      </c>
    </row>
    <row r="1900" spans="1:29" x14ac:dyDescent="0.3">
      <c r="A19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PFADHEFAICAOANL (GREET)(blank)_PFAD_HEFA_Natural_gasNatural gas</v>
      </c>
      <c r="B1900" s="14" t="s">
        <v>876</v>
      </c>
      <c r="C1900" s="14" t="s">
        <v>30</v>
      </c>
      <c r="D1900" s="14" t="s">
        <v>194</v>
      </c>
      <c r="E1900" s="14" t="s">
        <v>1343</v>
      </c>
      <c r="F1900" s="48" t="s">
        <v>31</v>
      </c>
      <c r="G1900" s="14" t="b">
        <f>OR(LCI_Table[[#This Row],[Feedstock]]="All",LCI_Table[[#This Row],[Feedstock]]=SelectedFeedstock)</f>
        <v>0</v>
      </c>
      <c r="H1900" s="14" t="b">
        <f>OR(LCI_Table[[#This Row],[Conversion]]="All",LCI_Table[[#This Row],[Conversion]]=SelectedConversion)</f>
        <v>1</v>
      </c>
      <c r="I1900" s="14" t="b">
        <f>OR(LCI_Table[[#This Row],[Data Set]]="all",LCI_Table[[#This Row],[Data Set]]=SelectedDataSet)</f>
        <v>0</v>
      </c>
      <c r="J1900" s="14" t="b">
        <f>OR(LCI_Table[[#This Row],[Technology]]="All",LCI_Table[[#This Row],[Technology]]=SelectedTechnology)</f>
        <v>1</v>
      </c>
      <c r="K1900" s="14" t="b">
        <f>OR(LCI_Table[[#This Row],[Data Source]]="All",LCI_Table[[#This Row],[Data Source]]=SelectedDataSource)</f>
        <v>0</v>
      </c>
      <c r="L1900" s="14" t="b">
        <f>TRUE</f>
        <v>1</v>
      </c>
      <c r="M1900" s="14" t="b">
        <f>(LCI_Table[[#This Row],[Dev Notes]]="Do not display")</f>
        <v>0</v>
      </c>
      <c r="N1900" s="14" t="b">
        <f>AND(LCI_Table[[#This Row],[Show Feedstock]:[Conditional]],NOT(LCI_Table[[#This Row],[Hide Row]]))</f>
        <v>0</v>
      </c>
      <c r="O1900" s="14" t="b">
        <f>LCI_Table[[#This Row],[GREET1 Name Range]]=""</f>
        <v>0</v>
      </c>
      <c r="P1900" s="14" t="s">
        <v>1448</v>
      </c>
      <c r="Q1900" s="14" t="s">
        <v>948</v>
      </c>
      <c r="R1900" s="14" t="s">
        <v>108</v>
      </c>
      <c r="S1900" s="37" cm="1">
        <f t="array" aca="1" ref="S19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77.226342104357315</v>
      </c>
      <c r="T1900" s="346" t="s">
        <v>2120</v>
      </c>
      <c r="U1900" s="347">
        <f ca="1">S1900*lb2g/Fuel_Specs!$E$48*Fuel_Specs!$B$48*Fuel_Specs!$B$79*BTU2mmBTU/Allocations!$O$187</f>
        <v>1547.6220686396937</v>
      </c>
      <c r="V1900" s="347">
        <v>77.226342104357315</v>
      </c>
      <c r="W1900" s="347">
        <v>1547.6220686396937</v>
      </c>
      <c r="X1900" s="14" t="s">
        <v>351</v>
      </c>
      <c r="Y1900" s="346" t="s">
        <v>416</v>
      </c>
      <c r="Z1900" s="14" t="str">
        <f>IF(ISBLANK(LCI_Table[[#This Row],[Notes for user]])," ",LCI_Table[[#This Row],[Notes for user]])</f>
        <v xml:space="preserve"> </v>
      </c>
      <c r="AA1900" s="14"/>
      <c r="AB1900" s="14" t="s">
        <v>1342</v>
      </c>
      <c r="AC1900" s="346">
        <f ca="1">LCI_Table[[#This Row],[Default Calculated Value]]-LCI_Table[[#This Row],[Calculated Value]]</f>
        <v>0</v>
      </c>
    </row>
    <row r="1901" spans="1:29" x14ac:dyDescent="0.3">
      <c r="A19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PFADHEFAICAOANL (GREET)(blank)_PFAD_HEFA_ElectricityGrid Electricity</v>
      </c>
      <c r="B1901" s="14" t="s">
        <v>876</v>
      </c>
      <c r="C1901" s="14" t="s">
        <v>30</v>
      </c>
      <c r="D1901" s="14" t="s">
        <v>194</v>
      </c>
      <c r="E1901" s="14" t="s">
        <v>1343</v>
      </c>
      <c r="F1901" s="48" t="s">
        <v>31</v>
      </c>
      <c r="G1901" s="14" t="b">
        <f>OR(LCI_Table[[#This Row],[Feedstock]]="All",LCI_Table[[#This Row],[Feedstock]]=SelectedFeedstock)</f>
        <v>0</v>
      </c>
      <c r="H1901" s="14" t="b">
        <f>OR(LCI_Table[[#This Row],[Conversion]]="All",LCI_Table[[#This Row],[Conversion]]=SelectedConversion)</f>
        <v>1</v>
      </c>
      <c r="I1901" s="14" t="b">
        <f>OR(LCI_Table[[#This Row],[Data Set]]="all",LCI_Table[[#This Row],[Data Set]]=SelectedDataSet)</f>
        <v>0</v>
      </c>
      <c r="J1901" s="14" t="b">
        <f>OR(LCI_Table[[#This Row],[Technology]]="All",LCI_Table[[#This Row],[Technology]]=SelectedTechnology)</f>
        <v>1</v>
      </c>
      <c r="K1901" s="14" t="b">
        <f>OR(LCI_Table[[#This Row],[Data Source]]="All",LCI_Table[[#This Row],[Data Source]]=SelectedDataSource)</f>
        <v>0</v>
      </c>
      <c r="L1901" s="14" t="b">
        <f>TRUE</f>
        <v>1</v>
      </c>
      <c r="M1901" s="14" t="b">
        <f>(LCI_Table[[#This Row],[Dev Notes]]="Do not display")</f>
        <v>0</v>
      </c>
      <c r="N1901" s="14" t="b">
        <f>AND(LCI_Table[[#This Row],[Show Feedstock]:[Conditional]],NOT(LCI_Table[[#This Row],[Hide Row]]))</f>
        <v>0</v>
      </c>
      <c r="O1901" s="14" t="b">
        <f>LCI_Table[[#This Row],[GREET1 Name Range]]=""</f>
        <v>0</v>
      </c>
      <c r="P1901" s="14" t="s">
        <v>1448</v>
      </c>
      <c r="Q1901" s="14" t="s">
        <v>949</v>
      </c>
      <c r="R1901" s="14" t="s">
        <v>1684</v>
      </c>
      <c r="S1901" s="37" cm="1">
        <f t="array" aca="1" ref="S19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1.2602380672481814</v>
      </c>
      <c r="T1901" s="346" t="s">
        <v>2121</v>
      </c>
      <c r="U1901" s="347">
        <f ca="1">S1901*lb2g/Fuel_Specs!$E$48*Fuel_Specs!$B$48/BTU2kWh*BTU2mmBTU/Allocations!$O$187</f>
        <v>87.66486663318527</v>
      </c>
      <c r="V1901" s="347">
        <v>1.2602380672481814</v>
      </c>
      <c r="W1901" s="347">
        <v>87.66486663318527</v>
      </c>
      <c r="X1901" s="14" t="s">
        <v>51</v>
      </c>
      <c r="Y1901" s="346" t="s">
        <v>416</v>
      </c>
      <c r="Z1901" s="14" t="str">
        <f>IF(ISBLANK(LCI_Table[[#This Row],[Notes for user]])," ",LCI_Table[[#This Row],[Notes for user]])</f>
        <v xml:space="preserve"> </v>
      </c>
      <c r="AA1901" s="14"/>
      <c r="AB1901" s="14" t="s">
        <v>1342</v>
      </c>
      <c r="AC1901" s="346">
        <f ca="1">LCI_Table[[#This Row],[Default Calculated Value]]-LCI_Table[[#This Row],[Calculated Value]]</f>
        <v>0</v>
      </c>
    </row>
    <row r="1902" spans="1:29" x14ac:dyDescent="0.3">
      <c r="A19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PFADHEFAICAOANL (GREET)(blank)_PFAD_HEFA_HydrogenHydrogen</v>
      </c>
      <c r="B1902" s="14" t="s">
        <v>876</v>
      </c>
      <c r="C1902" s="14" t="s">
        <v>30</v>
      </c>
      <c r="D1902" s="14" t="s">
        <v>194</v>
      </c>
      <c r="E1902" s="14" t="s">
        <v>1343</v>
      </c>
      <c r="F1902" s="48" t="s">
        <v>31</v>
      </c>
      <c r="G1902" s="14" t="b">
        <f>OR(LCI_Table[[#This Row],[Feedstock]]="All",LCI_Table[[#This Row],[Feedstock]]=SelectedFeedstock)</f>
        <v>0</v>
      </c>
      <c r="H1902" s="14" t="b">
        <f>OR(LCI_Table[[#This Row],[Conversion]]="All",LCI_Table[[#This Row],[Conversion]]=SelectedConversion)</f>
        <v>1</v>
      </c>
      <c r="I1902" s="14" t="b">
        <f>OR(LCI_Table[[#This Row],[Data Set]]="all",LCI_Table[[#This Row],[Data Set]]=SelectedDataSet)</f>
        <v>0</v>
      </c>
      <c r="J1902" s="14" t="b">
        <f>OR(LCI_Table[[#This Row],[Technology]]="All",LCI_Table[[#This Row],[Technology]]=SelectedTechnology)</f>
        <v>1</v>
      </c>
      <c r="K1902" s="14" t="b">
        <f>OR(LCI_Table[[#This Row],[Data Source]]="All",LCI_Table[[#This Row],[Data Source]]=SelectedDataSource)</f>
        <v>0</v>
      </c>
      <c r="L1902" s="14" t="b">
        <f>TRUE</f>
        <v>1</v>
      </c>
      <c r="M1902" s="14" t="b">
        <f>(LCI_Table[[#This Row],[Dev Notes]]="Do not display")</f>
        <v>0</v>
      </c>
      <c r="N1902" s="14" t="b">
        <f>AND(LCI_Table[[#This Row],[Show Feedstock]:[Conditional]],NOT(LCI_Table[[#This Row],[Hide Row]]))</f>
        <v>0</v>
      </c>
      <c r="O1902" s="14" t="b">
        <f>LCI_Table[[#This Row],[GREET1 Name Range]]=""</f>
        <v>0</v>
      </c>
      <c r="P1902" s="14" t="s">
        <v>1448</v>
      </c>
      <c r="Q1902" s="14" t="s">
        <v>950</v>
      </c>
      <c r="R1902" s="14" t="s">
        <v>73</v>
      </c>
      <c r="S1902" s="37" cm="1">
        <f t="array" aca="1" ref="S19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293.70783230876987</v>
      </c>
      <c r="T1902" s="346" t="s">
        <v>2120</v>
      </c>
      <c r="U1902" s="347">
        <f ca="1">S1902*lb2g/Fuel_Specs!$E$48*Fuel_Specs!$B$48*Fuel_Specs!$B$81*BTU2mmBTU/Allocations!$O$187</f>
        <v>1736.4387044650152</v>
      </c>
      <c r="V1902" s="347">
        <v>293.70783230876987</v>
      </c>
      <c r="W1902" s="347">
        <v>1736.4387044650152</v>
      </c>
      <c r="X1902" s="14" t="s">
        <v>351</v>
      </c>
      <c r="Y1902" s="346" t="s">
        <v>416</v>
      </c>
      <c r="Z1902" s="14" t="str">
        <f>IF(ISBLANK(LCI_Table[[#This Row],[Notes for user]])," ",LCI_Table[[#This Row],[Notes for user]])</f>
        <v xml:space="preserve"> </v>
      </c>
      <c r="AA1902" s="14"/>
      <c r="AB1902" s="14" t="s">
        <v>1342</v>
      </c>
      <c r="AC1902" s="346">
        <f ca="1">LCI_Table[[#This Row],[Default Calculated Value]]-LCI_Table[[#This Row],[Calculated Value]]</f>
        <v>0</v>
      </c>
    </row>
    <row r="1903" spans="1:29" x14ac:dyDescent="0.3">
      <c r="A19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dash_EucalyptusFTICAOMIT (GREET)(blank)_Yield_Farming</v>
      </c>
      <c r="B1903" s="48" t="s">
        <v>881</v>
      </c>
      <c r="C1903" s="48" t="s">
        <v>129</v>
      </c>
      <c r="D1903" s="48" t="s">
        <v>194</v>
      </c>
      <c r="E1903" s="48" t="s">
        <v>1335</v>
      </c>
      <c r="F1903" s="48" t="s">
        <v>31</v>
      </c>
      <c r="G1903" s="14" t="b">
        <f>OR(LCI_Table[[#This Row],[Feedstock]]="All",LCI_Table[[#This Row],[Feedstock]]=SelectedFeedstock)</f>
        <v>0</v>
      </c>
      <c r="H1903" s="14" t="b">
        <f>OR(LCI_Table[[#This Row],[Conversion]]="All",LCI_Table[[#This Row],[Conversion]]=SelectedConversion)</f>
        <v>0</v>
      </c>
      <c r="I1903" s="14" t="b">
        <f>OR(LCI_Table[[#This Row],[Data Set]]="all",LCI_Table[[#This Row],[Data Set]]=SelectedDataSet)</f>
        <v>0</v>
      </c>
      <c r="J1903" s="14" t="b">
        <f>OR(LCI_Table[[#This Row],[Technology]]="All",LCI_Table[[#This Row],[Technology]]=SelectedTechnology)</f>
        <v>1</v>
      </c>
      <c r="K1903" s="14" t="b">
        <f>OR(LCI_Table[[#This Row],[Data Source]]="All",LCI_Table[[#This Row],[Data Source]]=SelectedDataSource)</f>
        <v>0</v>
      </c>
      <c r="L1903" s="14" t="b">
        <f>TRUE</f>
        <v>1</v>
      </c>
      <c r="M1903" s="14" t="b">
        <f>(LCI_Table[[#This Row],[Dev Notes]]="Do not display")</f>
        <v>0</v>
      </c>
      <c r="N1903" s="14" t="b">
        <f>AND(LCI_Table[[#This Row],[Show Feedstock]:[Conditional]],NOT(LCI_Table[[#This Row],[Hide Row]]))</f>
        <v>0</v>
      </c>
      <c r="O1903" s="14" t="b">
        <f>LCI_Table[[#This Row],[GREET1 Name Range]]=""</f>
        <v>1</v>
      </c>
      <c r="P1903" s="48" t="s">
        <v>14</v>
      </c>
      <c r="Q1903" s="14" t="s">
        <v>361</v>
      </c>
      <c r="R1903" s="48" t="s">
        <v>200</v>
      </c>
      <c r="S1903" s="37" cm="1">
        <f t="array" aca="1" ref="S19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4.0148122451263681</v>
      </c>
      <c r="T1903" s="346" t="s">
        <v>2116</v>
      </c>
      <c r="U1903" s="344"/>
      <c r="V1903" s="344">
        <v>4.0148122451263681</v>
      </c>
      <c r="W1903" s="344"/>
      <c r="X1903" s="48" t="s">
        <v>55</v>
      </c>
      <c r="Y1903" s="346" t="s">
        <v>413</v>
      </c>
      <c r="Z1903" s="14" t="str">
        <f>IF(ISBLANK(LCI_Table[[#This Row],[Notes for user]])," ",LCI_Table[[#This Row],[Notes for user]])</f>
        <v xml:space="preserve"> </v>
      </c>
      <c r="AA1903" s="48"/>
      <c r="AB1903" s="345"/>
      <c r="AC1903" s="346">
        <f>LCI_Table[[#This Row],[Default Calculated Value]]-LCI_Table[[#This Row],[Calculated Value]]</f>
        <v>0</v>
      </c>
    </row>
    <row r="1904" spans="1:29" x14ac:dyDescent="0.3">
      <c r="A19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EucalyptusFTICAOMIT (GREET)(blank)_Eucalyptus_Nitrogen_fertilizerNitrogen fertilizer</v>
      </c>
      <c r="B1904" s="14" t="s">
        <v>881</v>
      </c>
      <c r="C1904" s="14" t="s">
        <v>129</v>
      </c>
      <c r="D1904" s="14" t="s">
        <v>194</v>
      </c>
      <c r="E1904" s="48" t="s">
        <v>1335</v>
      </c>
      <c r="F1904" s="48" t="s">
        <v>31</v>
      </c>
      <c r="G1904" s="14" t="b">
        <f>OR(LCI_Table[[#This Row],[Feedstock]]="All",LCI_Table[[#This Row],[Feedstock]]=SelectedFeedstock)</f>
        <v>0</v>
      </c>
      <c r="H1904" s="14" t="b">
        <f>OR(LCI_Table[[#This Row],[Conversion]]="All",LCI_Table[[#This Row],[Conversion]]=SelectedConversion)</f>
        <v>0</v>
      </c>
      <c r="I1904" s="14" t="b">
        <f>OR(LCI_Table[[#This Row],[Data Set]]="all",LCI_Table[[#This Row],[Data Set]]=SelectedDataSet)</f>
        <v>0</v>
      </c>
      <c r="J1904" s="14" t="b">
        <f>OR(LCI_Table[[#This Row],[Technology]]="All",LCI_Table[[#This Row],[Technology]]=SelectedTechnology)</f>
        <v>1</v>
      </c>
      <c r="K1904" s="14" t="b">
        <f>OR(LCI_Table[[#This Row],[Data Source]]="All",LCI_Table[[#This Row],[Data Source]]=SelectedDataSource)</f>
        <v>0</v>
      </c>
      <c r="L1904" s="14" t="b">
        <f>TRUE</f>
        <v>1</v>
      </c>
      <c r="M1904" s="14" t="b">
        <f>(LCI_Table[[#This Row],[Dev Notes]]="Do not display")</f>
        <v>0</v>
      </c>
      <c r="N1904" s="14" t="b">
        <f>AND(LCI_Table[[#This Row],[Show Feedstock]:[Conditional]],NOT(LCI_Table[[#This Row],[Hide Row]]))</f>
        <v>0</v>
      </c>
      <c r="O1904" s="14" t="b">
        <f>LCI_Table[[#This Row],[GREET1 Name Range]]=""</f>
        <v>0</v>
      </c>
      <c r="P1904" s="14" t="s">
        <v>14</v>
      </c>
      <c r="Q1904" s="14" t="s">
        <v>951</v>
      </c>
      <c r="R1904" s="14" t="s">
        <v>111</v>
      </c>
      <c r="S1904" s="37" cm="1">
        <f t="array" aca="1" ref="S19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22.482948572707706</v>
      </c>
      <c r="T1904" s="346" t="s">
        <v>1485</v>
      </c>
      <c r="U1904" s="347">
        <f ca="1">S1904/S1903*lb2g</f>
        <v>2540.117272000005</v>
      </c>
      <c r="V1904" s="347">
        <v>22.482948572707706</v>
      </c>
      <c r="W1904" s="347">
        <v>2540.117272000005</v>
      </c>
      <c r="X1904" s="14" t="s">
        <v>12</v>
      </c>
      <c r="Y1904" s="346" t="s">
        <v>413</v>
      </c>
      <c r="Z1904" s="14" t="str">
        <f>IF(ISBLANK(LCI_Table[[#This Row],[Notes for user]])," ",LCI_Table[[#This Row],[Notes for user]])</f>
        <v xml:space="preserve"> </v>
      </c>
      <c r="AA1904" s="14"/>
      <c r="AB1904" s="14"/>
      <c r="AC1904" s="346">
        <f ca="1">LCI_Table[[#This Row],[Default Calculated Value]]-LCI_Table[[#This Row],[Calculated Value]]</f>
        <v>0</v>
      </c>
    </row>
    <row r="1905" spans="1:29" x14ac:dyDescent="0.3">
      <c r="A19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EucalyptusFTICAOMIT (GREET)(blank)_Eucalyptus_P2O5P2O5</v>
      </c>
      <c r="B1905" s="14" t="s">
        <v>881</v>
      </c>
      <c r="C1905" s="14" t="s">
        <v>129</v>
      </c>
      <c r="D1905" s="14" t="s">
        <v>194</v>
      </c>
      <c r="E1905" s="48" t="s">
        <v>1335</v>
      </c>
      <c r="F1905" s="48" t="s">
        <v>31</v>
      </c>
      <c r="G1905" s="14" t="b">
        <f>OR(LCI_Table[[#This Row],[Feedstock]]="All",LCI_Table[[#This Row],[Feedstock]]=SelectedFeedstock)</f>
        <v>0</v>
      </c>
      <c r="H1905" s="14" t="b">
        <f>OR(LCI_Table[[#This Row],[Conversion]]="All",LCI_Table[[#This Row],[Conversion]]=SelectedConversion)</f>
        <v>0</v>
      </c>
      <c r="I1905" s="14" t="b">
        <f>OR(LCI_Table[[#This Row],[Data Set]]="all",LCI_Table[[#This Row],[Data Set]]=SelectedDataSet)</f>
        <v>0</v>
      </c>
      <c r="J1905" s="14" t="b">
        <f>OR(LCI_Table[[#This Row],[Technology]]="All",LCI_Table[[#This Row],[Technology]]=SelectedTechnology)</f>
        <v>1</v>
      </c>
      <c r="K1905" s="14" t="b">
        <f>OR(LCI_Table[[#This Row],[Data Source]]="All",LCI_Table[[#This Row],[Data Source]]=SelectedDataSource)</f>
        <v>0</v>
      </c>
      <c r="L1905" s="14" t="b">
        <f>TRUE</f>
        <v>1</v>
      </c>
      <c r="M1905" s="14" t="b">
        <f>(LCI_Table[[#This Row],[Dev Notes]]="Do not display")</f>
        <v>0</v>
      </c>
      <c r="N1905" s="14" t="b">
        <f>AND(LCI_Table[[#This Row],[Show Feedstock]:[Conditional]],NOT(LCI_Table[[#This Row],[Hide Row]]))</f>
        <v>0</v>
      </c>
      <c r="O1905" s="14" t="b">
        <f>LCI_Table[[#This Row],[GREET1 Name Range]]=""</f>
        <v>0</v>
      </c>
      <c r="P1905" s="14" t="s">
        <v>14</v>
      </c>
      <c r="Q1905" s="14" t="s">
        <v>952</v>
      </c>
      <c r="R1905" s="14" t="s">
        <v>112</v>
      </c>
      <c r="S1905" s="37" cm="1">
        <f t="array" aca="1" ref="S19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17.665173878556057</v>
      </c>
      <c r="T1905" s="346" t="s">
        <v>1485</v>
      </c>
      <c r="U1905" s="347">
        <f ca="1">S1905/S1903*lb2g</f>
        <v>1995.8064280000042</v>
      </c>
      <c r="V1905" s="347">
        <v>17.665173878556057</v>
      </c>
      <c r="W1905" s="347">
        <v>1995.8064280000042</v>
      </c>
      <c r="X1905" s="14" t="s">
        <v>12</v>
      </c>
      <c r="Y1905" s="346" t="s">
        <v>413</v>
      </c>
      <c r="Z1905" s="14" t="str">
        <f>IF(ISBLANK(LCI_Table[[#This Row],[Notes for user]])," ",LCI_Table[[#This Row],[Notes for user]])</f>
        <v xml:space="preserve"> </v>
      </c>
      <c r="AA1905" s="14"/>
      <c r="AB1905" s="14"/>
      <c r="AC1905" s="346">
        <f ca="1">LCI_Table[[#This Row],[Default Calculated Value]]-LCI_Table[[#This Row],[Calculated Value]]</f>
        <v>0</v>
      </c>
    </row>
    <row r="1906" spans="1:29" x14ac:dyDescent="0.3">
      <c r="A19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EucalyptusFTICAOMIT (GREET)(blank)_Eucalyptus_K2OK2O</v>
      </c>
      <c r="B1906" s="14" t="s">
        <v>881</v>
      </c>
      <c r="C1906" s="14" t="s">
        <v>129</v>
      </c>
      <c r="D1906" s="14" t="s">
        <v>194</v>
      </c>
      <c r="E1906" s="48" t="s">
        <v>1335</v>
      </c>
      <c r="F1906" s="48" t="s">
        <v>31</v>
      </c>
      <c r="G1906" s="14" t="b">
        <f>OR(LCI_Table[[#This Row],[Feedstock]]="All",LCI_Table[[#This Row],[Feedstock]]=SelectedFeedstock)</f>
        <v>0</v>
      </c>
      <c r="H1906" s="14" t="b">
        <f>OR(LCI_Table[[#This Row],[Conversion]]="All",LCI_Table[[#This Row],[Conversion]]=SelectedConversion)</f>
        <v>0</v>
      </c>
      <c r="I1906" s="14" t="b">
        <f>OR(LCI_Table[[#This Row],[Data Set]]="all",LCI_Table[[#This Row],[Data Set]]=SelectedDataSet)</f>
        <v>0</v>
      </c>
      <c r="J1906" s="14" t="b">
        <f>OR(LCI_Table[[#This Row],[Technology]]="All",LCI_Table[[#This Row],[Technology]]=SelectedTechnology)</f>
        <v>1</v>
      </c>
      <c r="K1906" s="14" t="b">
        <f>OR(LCI_Table[[#This Row],[Data Source]]="All",LCI_Table[[#This Row],[Data Source]]=SelectedDataSource)</f>
        <v>0</v>
      </c>
      <c r="L1906" s="14" t="b">
        <f>TRUE</f>
        <v>1</v>
      </c>
      <c r="M1906" s="14" t="b">
        <f>(LCI_Table[[#This Row],[Dev Notes]]="Do not display")</f>
        <v>0</v>
      </c>
      <c r="N1906" s="14" t="b">
        <f>AND(LCI_Table[[#This Row],[Show Feedstock]:[Conditional]],NOT(LCI_Table[[#This Row],[Hide Row]]))</f>
        <v>0</v>
      </c>
      <c r="O1906" s="14" t="b">
        <f>LCI_Table[[#This Row],[GREET1 Name Range]]=""</f>
        <v>0</v>
      </c>
      <c r="P1906" s="14" t="s">
        <v>14</v>
      </c>
      <c r="Q1906" s="14" t="s">
        <v>953</v>
      </c>
      <c r="R1906" s="14" t="s">
        <v>113</v>
      </c>
      <c r="S1906" s="37" cm="1">
        <f t="array" aca="1" ref="S19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4.0148122451263761</v>
      </c>
      <c r="T1906" s="346" t="s">
        <v>1485</v>
      </c>
      <c r="U1906" s="347">
        <f ca="1">S1906/S1903*lb2g</f>
        <v>453.59237000000093</v>
      </c>
      <c r="V1906" s="347">
        <v>4.0148122451263761</v>
      </c>
      <c r="W1906" s="347">
        <v>453.59237000000093</v>
      </c>
      <c r="X1906" s="14" t="s">
        <v>12</v>
      </c>
      <c r="Y1906" s="346" t="s">
        <v>413</v>
      </c>
      <c r="Z1906" s="14" t="str">
        <f>IF(ISBLANK(LCI_Table[[#This Row],[Notes for user]])," ",LCI_Table[[#This Row],[Notes for user]])</f>
        <v xml:space="preserve"> </v>
      </c>
      <c r="AA1906" s="14"/>
      <c r="AB1906" s="14"/>
      <c r="AC1906" s="346">
        <f ca="1">LCI_Table[[#This Row],[Default Calculated Value]]-LCI_Table[[#This Row],[Calculated Value]]</f>
        <v>0</v>
      </c>
    </row>
    <row r="1907" spans="1:29" x14ac:dyDescent="0.3">
      <c r="A19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EucalyptusFTICAOMIT (GREET)(blank)_Eucalyptus_CaCO3CaCO3</v>
      </c>
      <c r="B1907" s="14" t="s">
        <v>881</v>
      </c>
      <c r="C1907" s="14" t="s">
        <v>129</v>
      </c>
      <c r="D1907" s="14" t="s">
        <v>194</v>
      </c>
      <c r="E1907" s="48" t="s">
        <v>1335</v>
      </c>
      <c r="F1907" s="48" t="s">
        <v>31</v>
      </c>
      <c r="G1907" s="14" t="b">
        <f>OR(LCI_Table[[#This Row],[Feedstock]]="All",LCI_Table[[#This Row],[Feedstock]]=SelectedFeedstock)</f>
        <v>0</v>
      </c>
      <c r="H1907" s="14" t="b">
        <f>OR(LCI_Table[[#This Row],[Conversion]]="All",LCI_Table[[#This Row],[Conversion]]=SelectedConversion)</f>
        <v>0</v>
      </c>
      <c r="I1907" s="14" t="b">
        <f>OR(LCI_Table[[#This Row],[Data Set]]="all",LCI_Table[[#This Row],[Data Set]]=SelectedDataSet)</f>
        <v>0</v>
      </c>
      <c r="J1907" s="14" t="b">
        <f>OR(LCI_Table[[#This Row],[Technology]]="All",LCI_Table[[#This Row],[Technology]]=SelectedTechnology)</f>
        <v>1</v>
      </c>
      <c r="K1907" s="14" t="b">
        <f>OR(LCI_Table[[#This Row],[Data Source]]="All",LCI_Table[[#This Row],[Data Source]]=SelectedDataSource)</f>
        <v>0</v>
      </c>
      <c r="L1907" s="14" t="b">
        <f>TRUE</f>
        <v>1</v>
      </c>
      <c r="M1907" s="14" t="b">
        <f>(LCI_Table[[#This Row],[Dev Notes]]="Do not display")</f>
        <v>0</v>
      </c>
      <c r="N1907" s="14" t="b">
        <f>AND(LCI_Table[[#This Row],[Show Feedstock]:[Conditional]],NOT(LCI_Table[[#This Row],[Hide Row]]))</f>
        <v>0</v>
      </c>
      <c r="O1907" s="14" t="b">
        <f>LCI_Table[[#This Row],[GREET1 Name Range]]=""</f>
        <v>0</v>
      </c>
      <c r="P1907" s="14" t="s">
        <v>14</v>
      </c>
      <c r="Q1907" s="14" t="s">
        <v>954</v>
      </c>
      <c r="R1907" s="14" t="s">
        <v>141</v>
      </c>
      <c r="S1907" s="37" cm="1">
        <f t="array" aca="1" ref="S19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07" s="346" t="s">
        <v>1485</v>
      </c>
      <c r="U1907" s="347">
        <f ca="1">S1907/S1903*lb2g</f>
        <v>0</v>
      </c>
      <c r="V1907" s="347">
        <v>0</v>
      </c>
      <c r="W1907" s="347">
        <v>0</v>
      </c>
      <c r="X1907" s="14" t="s">
        <v>12</v>
      </c>
      <c r="Y1907" s="346" t="s">
        <v>413</v>
      </c>
      <c r="Z1907" s="14" t="str">
        <f>IF(ISBLANK(LCI_Table[[#This Row],[Notes for user]])," ",LCI_Table[[#This Row],[Notes for user]])</f>
        <v xml:space="preserve"> </v>
      </c>
      <c r="AA1907" s="14"/>
      <c r="AB1907" s="14"/>
      <c r="AC1907" s="346">
        <f ca="1">LCI_Table[[#This Row],[Default Calculated Value]]-LCI_Table[[#This Row],[Calculated Value]]</f>
        <v>0</v>
      </c>
    </row>
    <row r="1908" spans="1:29" x14ac:dyDescent="0.3">
      <c r="A19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EucalyptusFTICAOMIT (GREET)(blank)_Eucalyptus_HerbicidesHerbicides</v>
      </c>
      <c r="B1908" s="14" t="s">
        <v>881</v>
      </c>
      <c r="C1908" s="14" t="s">
        <v>129</v>
      </c>
      <c r="D1908" s="14" t="s">
        <v>194</v>
      </c>
      <c r="E1908" s="48" t="s">
        <v>1335</v>
      </c>
      <c r="F1908" s="48" t="s">
        <v>31</v>
      </c>
      <c r="G1908" s="14" t="b">
        <f>OR(LCI_Table[[#This Row],[Feedstock]]="All",LCI_Table[[#This Row],[Feedstock]]=SelectedFeedstock)</f>
        <v>0</v>
      </c>
      <c r="H1908" s="14" t="b">
        <f>OR(LCI_Table[[#This Row],[Conversion]]="All",LCI_Table[[#This Row],[Conversion]]=SelectedConversion)</f>
        <v>0</v>
      </c>
      <c r="I1908" s="14" t="b">
        <f>OR(LCI_Table[[#This Row],[Data Set]]="all",LCI_Table[[#This Row],[Data Set]]=SelectedDataSet)</f>
        <v>0</v>
      </c>
      <c r="J1908" s="14" t="b">
        <f>OR(LCI_Table[[#This Row],[Technology]]="All",LCI_Table[[#This Row],[Technology]]=SelectedTechnology)</f>
        <v>1</v>
      </c>
      <c r="K1908" s="14" t="b">
        <f>OR(LCI_Table[[#This Row],[Data Source]]="All",LCI_Table[[#This Row],[Data Source]]=SelectedDataSource)</f>
        <v>0</v>
      </c>
      <c r="L1908" s="14" t="b">
        <f>TRUE</f>
        <v>1</v>
      </c>
      <c r="M1908" s="14" t="b">
        <f>(LCI_Table[[#This Row],[Dev Notes]]="Do not display")</f>
        <v>0</v>
      </c>
      <c r="N1908" s="14" t="b">
        <f>AND(LCI_Table[[#This Row],[Show Feedstock]:[Conditional]],NOT(LCI_Table[[#This Row],[Hide Row]]))</f>
        <v>0</v>
      </c>
      <c r="O1908" s="14" t="b">
        <f>LCI_Table[[#This Row],[GREET1 Name Range]]=""</f>
        <v>0</v>
      </c>
      <c r="P1908" s="14" t="s">
        <v>14</v>
      </c>
      <c r="Q1908" s="14" t="s">
        <v>955</v>
      </c>
      <c r="R1908" s="14" t="s">
        <v>356</v>
      </c>
      <c r="S1908" s="37" cm="1">
        <f t="array" aca="1" ref="S19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08" s="346" t="s">
        <v>1485</v>
      </c>
      <c r="U1908" s="347">
        <f ca="1">S1908/S1903*lb2g</f>
        <v>0</v>
      </c>
      <c r="V1908" s="347">
        <v>0</v>
      </c>
      <c r="W1908" s="347">
        <v>0</v>
      </c>
      <c r="X1908" s="14" t="s">
        <v>12</v>
      </c>
      <c r="Y1908" s="346" t="s">
        <v>413</v>
      </c>
      <c r="Z1908" s="14" t="str">
        <f>IF(ISBLANK(LCI_Table[[#This Row],[Notes for user]])," ",LCI_Table[[#This Row],[Notes for user]])</f>
        <v xml:space="preserve"> </v>
      </c>
      <c r="AA1908" s="14"/>
      <c r="AB1908" s="14"/>
      <c r="AC1908" s="346">
        <f ca="1">LCI_Table[[#This Row],[Default Calculated Value]]-LCI_Table[[#This Row],[Calculated Value]]</f>
        <v>0</v>
      </c>
    </row>
    <row r="1909" spans="1:29" x14ac:dyDescent="0.3">
      <c r="A19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EucalyptusFTICAOMIT (GREET)(blank)_Eucalyptus_InsecticideInsecticide</v>
      </c>
      <c r="B1909" s="14" t="s">
        <v>881</v>
      </c>
      <c r="C1909" s="14" t="s">
        <v>129</v>
      </c>
      <c r="D1909" s="14" t="s">
        <v>194</v>
      </c>
      <c r="E1909" s="48" t="s">
        <v>1335</v>
      </c>
      <c r="F1909" s="48" t="s">
        <v>31</v>
      </c>
      <c r="G1909" s="14" t="b">
        <f>OR(LCI_Table[[#This Row],[Feedstock]]="All",LCI_Table[[#This Row],[Feedstock]]=SelectedFeedstock)</f>
        <v>0</v>
      </c>
      <c r="H1909" s="14" t="b">
        <f>OR(LCI_Table[[#This Row],[Conversion]]="All",LCI_Table[[#This Row],[Conversion]]=SelectedConversion)</f>
        <v>0</v>
      </c>
      <c r="I1909" s="14" t="b">
        <f>OR(LCI_Table[[#This Row],[Data Set]]="all",LCI_Table[[#This Row],[Data Set]]=SelectedDataSet)</f>
        <v>0</v>
      </c>
      <c r="J1909" s="14" t="b">
        <f>OR(LCI_Table[[#This Row],[Technology]]="All",LCI_Table[[#This Row],[Technology]]=SelectedTechnology)</f>
        <v>1</v>
      </c>
      <c r="K1909" s="14" t="b">
        <f>OR(LCI_Table[[#This Row],[Data Source]]="All",LCI_Table[[#This Row],[Data Source]]=SelectedDataSource)</f>
        <v>0</v>
      </c>
      <c r="L1909" s="14" t="b">
        <f>TRUE</f>
        <v>1</v>
      </c>
      <c r="M1909" s="14" t="b">
        <f>(LCI_Table[[#This Row],[Dev Notes]]="Do not display")</f>
        <v>0</v>
      </c>
      <c r="N1909" s="14" t="b">
        <f>AND(LCI_Table[[#This Row],[Show Feedstock]:[Conditional]],NOT(LCI_Table[[#This Row],[Hide Row]]))</f>
        <v>0</v>
      </c>
      <c r="O1909" s="14" t="b">
        <f>LCI_Table[[#This Row],[GREET1 Name Range]]=""</f>
        <v>0</v>
      </c>
      <c r="P1909" s="14" t="s">
        <v>14</v>
      </c>
      <c r="Q1909" s="14" t="s">
        <v>956</v>
      </c>
      <c r="R1909" s="14" t="s">
        <v>114</v>
      </c>
      <c r="S1909" s="37" cm="1">
        <f t="array" aca="1" ref="S19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09" s="346" t="s">
        <v>1485</v>
      </c>
      <c r="U1909" s="347">
        <f ca="1">S1909/S1903*lb2g</f>
        <v>0</v>
      </c>
      <c r="V1909" s="347">
        <v>0</v>
      </c>
      <c r="W1909" s="347">
        <v>0</v>
      </c>
      <c r="X1909" s="14" t="s">
        <v>12</v>
      </c>
      <c r="Y1909" s="346" t="s">
        <v>413</v>
      </c>
      <c r="Z1909" s="14" t="str">
        <f>IF(ISBLANK(LCI_Table[[#This Row],[Notes for user]])," ",LCI_Table[[#This Row],[Notes for user]])</f>
        <v xml:space="preserve"> </v>
      </c>
      <c r="AA1909" s="14"/>
      <c r="AB1909" s="14"/>
      <c r="AC1909" s="346">
        <f ca="1">LCI_Table[[#This Row],[Default Calculated Value]]-LCI_Table[[#This Row],[Calculated Value]]</f>
        <v>0</v>
      </c>
    </row>
    <row r="1910" spans="1:29" x14ac:dyDescent="0.3">
      <c r="A19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EucalyptusFTICAOMIT (GREET)(blank)_Eucalyptus_HDPEHDPE</v>
      </c>
      <c r="B1910" s="14" t="s">
        <v>881</v>
      </c>
      <c r="C1910" s="14" t="s">
        <v>129</v>
      </c>
      <c r="D1910" s="14" t="s">
        <v>194</v>
      </c>
      <c r="E1910" s="48" t="s">
        <v>1335</v>
      </c>
      <c r="F1910" s="48" t="s">
        <v>31</v>
      </c>
      <c r="G1910" s="14" t="b">
        <f>OR(LCI_Table[[#This Row],[Feedstock]]="All",LCI_Table[[#This Row],[Feedstock]]=SelectedFeedstock)</f>
        <v>0</v>
      </c>
      <c r="H1910" s="14" t="b">
        <f>OR(LCI_Table[[#This Row],[Conversion]]="All",LCI_Table[[#This Row],[Conversion]]=SelectedConversion)</f>
        <v>0</v>
      </c>
      <c r="I1910" s="14" t="b">
        <f>OR(LCI_Table[[#This Row],[Data Set]]="all",LCI_Table[[#This Row],[Data Set]]=SelectedDataSet)</f>
        <v>0</v>
      </c>
      <c r="J1910" s="14" t="b">
        <f>OR(LCI_Table[[#This Row],[Technology]]="All",LCI_Table[[#This Row],[Technology]]=SelectedTechnology)</f>
        <v>1</v>
      </c>
      <c r="K1910" s="14" t="b">
        <f>OR(LCI_Table[[#This Row],[Data Source]]="All",LCI_Table[[#This Row],[Data Source]]=SelectedDataSource)</f>
        <v>0</v>
      </c>
      <c r="L1910" s="14" t="b">
        <f>TRUE</f>
        <v>1</v>
      </c>
      <c r="M1910" s="14" t="b">
        <f>(LCI_Table[[#This Row],[Dev Notes]]="Do not display")</f>
        <v>0</v>
      </c>
      <c r="N1910" s="14" t="b">
        <f>AND(LCI_Table[[#This Row],[Show Feedstock]:[Conditional]],NOT(LCI_Table[[#This Row],[Hide Row]]))</f>
        <v>0</v>
      </c>
      <c r="O1910" s="14" t="b">
        <f>LCI_Table[[#This Row],[GREET1 Name Range]]=""</f>
        <v>0</v>
      </c>
      <c r="P1910" s="14" t="s">
        <v>14</v>
      </c>
      <c r="Q1910" s="14" t="s">
        <v>957</v>
      </c>
      <c r="R1910" s="14" t="s">
        <v>357</v>
      </c>
      <c r="S1910" s="37" cm="1">
        <f t="array" aca="1" ref="S19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10" s="346" t="s">
        <v>1485</v>
      </c>
      <c r="U1910" s="347">
        <f ca="1">S1910/S1903*lb2g</f>
        <v>0</v>
      </c>
      <c r="V1910" s="347">
        <v>0</v>
      </c>
      <c r="W1910" s="347">
        <v>0</v>
      </c>
      <c r="X1910" s="14" t="s">
        <v>12</v>
      </c>
      <c r="Y1910" s="346" t="s">
        <v>413</v>
      </c>
      <c r="Z1910" s="14" t="str">
        <f>IF(ISBLANK(LCI_Table[[#This Row],[Notes for user]])," ",LCI_Table[[#This Row],[Notes for user]])</f>
        <v xml:space="preserve"> </v>
      </c>
      <c r="AA1910" s="14"/>
      <c r="AB1910" s="14"/>
      <c r="AC1910" s="346">
        <f ca="1">LCI_Table[[#This Row],[Default Calculated Value]]-LCI_Table[[#This Row],[Calculated Value]]</f>
        <v>0</v>
      </c>
    </row>
    <row r="1911" spans="1:29" x14ac:dyDescent="0.3">
      <c r="A19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EucalyptusFTICAOMIT (GREET)(blank)_Eucalyptus_Residual_oilResidual oil</v>
      </c>
      <c r="B1911" s="14" t="s">
        <v>881</v>
      </c>
      <c r="C1911" s="14" t="s">
        <v>129</v>
      </c>
      <c r="D1911" s="14" t="s">
        <v>194</v>
      </c>
      <c r="E1911" s="48" t="s">
        <v>1335</v>
      </c>
      <c r="F1911" s="48" t="s">
        <v>31</v>
      </c>
      <c r="G1911" s="14" t="b">
        <f>OR(LCI_Table[[#This Row],[Feedstock]]="All",LCI_Table[[#This Row],[Feedstock]]=SelectedFeedstock)</f>
        <v>0</v>
      </c>
      <c r="H1911" s="14" t="b">
        <f>OR(LCI_Table[[#This Row],[Conversion]]="All",LCI_Table[[#This Row],[Conversion]]=SelectedConversion)</f>
        <v>0</v>
      </c>
      <c r="I1911" s="14" t="b">
        <f>OR(LCI_Table[[#This Row],[Data Set]]="all",LCI_Table[[#This Row],[Data Set]]=SelectedDataSet)</f>
        <v>0</v>
      </c>
      <c r="J1911" s="14" t="b">
        <f>OR(LCI_Table[[#This Row],[Technology]]="All",LCI_Table[[#This Row],[Technology]]=SelectedTechnology)</f>
        <v>1</v>
      </c>
      <c r="K1911" s="14" t="b">
        <f>OR(LCI_Table[[#This Row],[Data Source]]="All",LCI_Table[[#This Row],[Data Source]]=SelectedDataSource)</f>
        <v>0</v>
      </c>
      <c r="L1911" s="14" t="b">
        <f>TRUE</f>
        <v>1</v>
      </c>
      <c r="M1911" s="14" t="b">
        <f>(LCI_Table[[#This Row],[Dev Notes]]="Do not display")</f>
        <v>0</v>
      </c>
      <c r="N1911" s="14" t="b">
        <f>AND(LCI_Table[[#This Row],[Show Feedstock]:[Conditional]],NOT(LCI_Table[[#This Row],[Hide Row]]))</f>
        <v>0</v>
      </c>
      <c r="O1911" s="14" t="b">
        <f>LCI_Table[[#This Row],[GREET1 Name Range]]=""</f>
        <v>0</v>
      </c>
      <c r="P1911" s="14" t="s">
        <v>14</v>
      </c>
      <c r="Q1911" s="14" t="s">
        <v>958</v>
      </c>
      <c r="R1911" s="14" t="s">
        <v>115</v>
      </c>
      <c r="S1911" s="37" cm="1">
        <f t="array" aca="1" ref="S19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11" s="346" t="s">
        <v>1484</v>
      </c>
      <c r="U1911" s="347">
        <f ca="1">S1911*Fuel_Specs!$B$28/S1903</f>
        <v>0</v>
      </c>
      <c r="V1911" s="347">
        <v>0</v>
      </c>
      <c r="W1911" s="347">
        <v>0</v>
      </c>
      <c r="X1911" s="14" t="s">
        <v>5</v>
      </c>
      <c r="Y1911" s="346" t="s">
        <v>413</v>
      </c>
      <c r="Z1911" s="14" t="str">
        <f>IF(ISBLANK(LCI_Table[[#This Row],[Notes for user]])," ",LCI_Table[[#This Row],[Notes for user]])</f>
        <v xml:space="preserve"> </v>
      </c>
      <c r="AA1911" s="14"/>
      <c r="AB1911" s="14"/>
      <c r="AC1911" s="346">
        <f ca="1">LCI_Table[[#This Row],[Default Calculated Value]]-LCI_Table[[#This Row],[Calculated Value]]</f>
        <v>0</v>
      </c>
    </row>
    <row r="1912" spans="1:29" x14ac:dyDescent="0.3">
      <c r="A19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EucalyptusFTICAOMIT (GREET)(blank)_Eucalyptus_DieselDiesel</v>
      </c>
      <c r="B1912" s="14" t="s">
        <v>881</v>
      </c>
      <c r="C1912" s="14" t="s">
        <v>129</v>
      </c>
      <c r="D1912" s="14" t="s">
        <v>194</v>
      </c>
      <c r="E1912" s="48" t="s">
        <v>1335</v>
      </c>
      <c r="F1912" s="48" t="s">
        <v>31</v>
      </c>
      <c r="G1912" s="14" t="b">
        <f>OR(LCI_Table[[#This Row],[Feedstock]]="All",LCI_Table[[#This Row],[Feedstock]]=SelectedFeedstock)</f>
        <v>0</v>
      </c>
      <c r="H1912" s="14" t="b">
        <f>OR(LCI_Table[[#This Row],[Conversion]]="All",LCI_Table[[#This Row],[Conversion]]=SelectedConversion)</f>
        <v>0</v>
      </c>
      <c r="I1912" s="14" t="b">
        <f>OR(LCI_Table[[#This Row],[Data Set]]="all",LCI_Table[[#This Row],[Data Set]]=SelectedDataSet)</f>
        <v>0</v>
      </c>
      <c r="J1912" s="14" t="b">
        <f>OR(LCI_Table[[#This Row],[Technology]]="All",LCI_Table[[#This Row],[Technology]]=SelectedTechnology)</f>
        <v>1</v>
      </c>
      <c r="K1912" s="14" t="b">
        <f>OR(LCI_Table[[#This Row],[Data Source]]="All",LCI_Table[[#This Row],[Data Source]]=SelectedDataSource)</f>
        <v>0</v>
      </c>
      <c r="L1912" s="14" t="b">
        <f>TRUE</f>
        <v>1</v>
      </c>
      <c r="M1912" s="14" t="b">
        <f>(LCI_Table[[#This Row],[Dev Notes]]="Do not display")</f>
        <v>0</v>
      </c>
      <c r="N1912" s="14" t="b">
        <f>AND(LCI_Table[[#This Row],[Show Feedstock]:[Conditional]],NOT(LCI_Table[[#This Row],[Hide Row]]))</f>
        <v>0</v>
      </c>
      <c r="O1912" s="14" t="b">
        <f>LCI_Table[[#This Row],[GREET1 Name Range]]=""</f>
        <v>0</v>
      </c>
      <c r="P1912" s="14" t="s">
        <v>14</v>
      </c>
      <c r="Q1912" s="14" t="s">
        <v>959</v>
      </c>
      <c r="R1912" s="14" t="s">
        <v>106</v>
      </c>
      <c r="S1912" s="37" cm="1">
        <f t="array" aca="1" ref="S19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6.476240485688435</v>
      </c>
      <c r="T1912" s="346" t="s">
        <v>1484</v>
      </c>
      <c r="U1912" s="347">
        <f ca="1">S1912*Fuel_Specs!$B$19/S1903</f>
        <v>207200.99461600001</v>
      </c>
      <c r="V1912" s="347">
        <v>6.476240485688435</v>
      </c>
      <c r="W1912" s="347">
        <v>207200.99461600001</v>
      </c>
      <c r="X1912" s="14" t="s">
        <v>5</v>
      </c>
      <c r="Y1912" s="346" t="s">
        <v>413</v>
      </c>
      <c r="Z1912" s="14" t="str">
        <f>IF(ISBLANK(LCI_Table[[#This Row],[Notes for user]])," ",LCI_Table[[#This Row],[Notes for user]])</f>
        <v xml:space="preserve"> </v>
      </c>
      <c r="AA1912" s="14"/>
      <c r="AB1912" s="14"/>
      <c r="AC1912" s="346">
        <f ca="1">LCI_Table[[#This Row],[Default Calculated Value]]-LCI_Table[[#This Row],[Calculated Value]]</f>
        <v>0</v>
      </c>
    </row>
    <row r="1913" spans="1:29" x14ac:dyDescent="0.3">
      <c r="A19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EucalyptusFTICAOMIT (GREET)(blank)_Eucalyptus_GasolineGasoline</v>
      </c>
      <c r="B1913" s="14" t="s">
        <v>881</v>
      </c>
      <c r="C1913" s="14" t="s">
        <v>129</v>
      </c>
      <c r="D1913" s="14" t="s">
        <v>194</v>
      </c>
      <c r="E1913" s="48" t="s">
        <v>1335</v>
      </c>
      <c r="F1913" s="48" t="s">
        <v>31</v>
      </c>
      <c r="G1913" s="14" t="b">
        <f>OR(LCI_Table[[#This Row],[Feedstock]]="All",LCI_Table[[#This Row],[Feedstock]]=SelectedFeedstock)</f>
        <v>0</v>
      </c>
      <c r="H1913" s="14" t="b">
        <f>OR(LCI_Table[[#This Row],[Conversion]]="All",LCI_Table[[#This Row],[Conversion]]=SelectedConversion)</f>
        <v>0</v>
      </c>
      <c r="I1913" s="14" t="b">
        <f>OR(LCI_Table[[#This Row],[Data Set]]="all",LCI_Table[[#This Row],[Data Set]]=SelectedDataSet)</f>
        <v>0</v>
      </c>
      <c r="J1913" s="14" t="b">
        <f>OR(LCI_Table[[#This Row],[Technology]]="All",LCI_Table[[#This Row],[Technology]]=SelectedTechnology)</f>
        <v>1</v>
      </c>
      <c r="K1913" s="14" t="b">
        <f>OR(LCI_Table[[#This Row],[Data Source]]="All",LCI_Table[[#This Row],[Data Source]]=SelectedDataSource)</f>
        <v>0</v>
      </c>
      <c r="L1913" s="14" t="b">
        <f>TRUE</f>
        <v>1</v>
      </c>
      <c r="M1913" s="14" t="b">
        <f>(LCI_Table[[#This Row],[Dev Notes]]="Do not display")</f>
        <v>0</v>
      </c>
      <c r="N1913" s="14" t="b">
        <f>AND(LCI_Table[[#This Row],[Show Feedstock]:[Conditional]],NOT(LCI_Table[[#This Row],[Hide Row]]))</f>
        <v>0</v>
      </c>
      <c r="O1913" s="14" t="b">
        <f>LCI_Table[[#This Row],[GREET1 Name Range]]=""</f>
        <v>0</v>
      </c>
      <c r="P1913" s="14" t="s">
        <v>14</v>
      </c>
      <c r="Q1913" s="14" t="s">
        <v>960</v>
      </c>
      <c r="R1913" s="14" t="s">
        <v>107</v>
      </c>
      <c r="S1913" s="37" cm="1">
        <f t="array" aca="1" ref="S19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13" s="346" t="s">
        <v>1484</v>
      </c>
      <c r="U1913" s="347">
        <f ca="1">S1913*Fuel_Specs!$B$15/S1903</f>
        <v>0</v>
      </c>
      <c r="V1913" s="347">
        <v>0</v>
      </c>
      <c r="W1913" s="347">
        <v>0</v>
      </c>
      <c r="X1913" s="14" t="s">
        <v>5</v>
      </c>
      <c r="Y1913" s="346" t="s">
        <v>413</v>
      </c>
      <c r="Z1913" s="14" t="str">
        <f>IF(ISBLANK(LCI_Table[[#This Row],[Notes for user]])," ",LCI_Table[[#This Row],[Notes for user]])</f>
        <v xml:space="preserve"> </v>
      </c>
      <c r="AA1913" s="14"/>
      <c r="AB1913" s="14"/>
      <c r="AC1913" s="346">
        <f ca="1">LCI_Table[[#This Row],[Default Calculated Value]]-LCI_Table[[#This Row],[Calculated Value]]</f>
        <v>0</v>
      </c>
    </row>
    <row r="1914" spans="1:29" x14ac:dyDescent="0.3">
      <c r="A19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EucalyptusFTICAOMIT (GREET)(blank)_Eucalyptus_Natural_gasNatural gas</v>
      </c>
      <c r="B1914" s="14" t="s">
        <v>881</v>
      </c>
      <c r="C1914" s="14" t="s">
        <v>129</v>
      </c>
      <c r="D1914" s="14" t="s">
        <v>194</v>
      </c>
      <c r="E1914" s="48" t="s">
        <v>1335</v>
      </c>
      <c r="F1914" s="48" t="s">
        <v>31</v>
      </c>
      <c r="G1914" s="14" t="b">
        <f>OR(LCI_Table[[#This Row],[Feedstock]]="All",LCI_Table[[#This Row],[Feedstock]]=SelectedFeedstock)</f>
        <v>0</v>
      </c>
      <c r="H1914" s="14" t="b">
        <f>OR(LCI_Table[[#This Row],[Conversion]]="All",LCI_Table[[#This Row],[Conversion]]=SelectedConversion)</f>
        <v>0</v>
      </c>
      <c r="I1914" s="14" t="b">
        <f>OR(LCI_Table[[#This Row],[Data Set]]="all",LCI_Table[[#This Row],[Data Set]]=SelectedDataSet)</f>
        <v>0</v>
      </c>
      <c r="J1914" s="14" t="b">
        <f>OR(LCI_Table[[#This Row],[Technology]]="All",LCI_Table[[#This Row],[Technology]]=SelectedTechnology)</f>
        <v>1</v>
      </c>
      <c r="K1914" s="14" t="b">
        <f>OR(LCI_Table[[#This Row],[Data Source]]="All",LCI_Table[[#This Row],[Data Source]]=SelectedDataSource)</f>
        <v>0</v>
      </c>
      <c r="L1914" s="14" t="b">
        <f>TRUE</f>
        <v>1</v>
      </c>
      <c r="M1914" s="14" t="b">
        <f>(LCI_Table[[#This Row],[Dev Notes]]="Do not display")</f>
        <v>0</v>
      </c>
      <c r="N1914" s="14" t="b">
        <f>AND(LCI_Table[[#This Row],[Show Feedstock]:[Conditional]],NOT(LCI_Table[[#This Row],[Hide Row]]))</f>
        <v>0</v>
      </c>
      <c r="O1914" s="14" t="b">
        <f>LCI_Table[[#This Row],[GREET1 Name Range]]=""</f>
        <v>0</v>
      </c>
      <c r="P1914" s="14" t="s">
        <v>14</v>
      </c>
      <c r="Q1914" s="14" t="s">
        <v>961</v>
      </c>
      <c r="R1914" s="14" t="s">
        <v>108</v>
      </c>
      <c r="S1914" s="37" cm="1">
        <f t="array" aca="1" ref="S19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14" s="346" t="s">
        <v>2109</v>
      </c>
      <c r="U1914" s="347">
        <f ca="1">S1914*Fuel_Specs!$B$79/S1903</f>
        <v>0</v>
      </c>
      <c r="V1914" s="347">
        <v>0</v>
      </c>
      <c r="W1914" s="347">
        <v>0</v>
      </c>
      <c r="X1914" s="14" t="s">
        <v>351</v>
      </c>
      <c r="Y1914" s="346" t="s">
        <v>413</v>
      </c>
      <c r="Z1914" s="14" t="str">
        <f>IF(ISBLANK(LCI_Table[[#This Row],[Notes for user]])," ",LCI_Table[[#This Row],[Notes for user]])</f>
        <v xml:space="preserve"> </v>
      </c>
      <c r="AA1914" s="14"/>
      <c r="AB1914" s="14"/>
      <c r="AC1914" s="346">
        <f ca="1">LCI_Table[[#This Row],[Default Calculated Value]]-LCI_Table[[#This Row],[Calculated Value]]</f>
        <v>0</v>
      </c>
    </row>
    <row r="1915" spans="1:29" x14ac:dyDescent="0.3">
      <c r="A19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EucalyptusFTICAOMIT (GREET)(blank)_Eucalyptus_CoalCoal</v>
      </c>
      <c r="B1915" s="14" t="s">
        <v>881</v>
      </c>
      <c r="C1915" s="14" t="s">
        <v>129</v>
      </c>
      <c r="D1915" s="14" t="s">
        <v>194</v>
      </c>
      <c r="E1915" s="48" t="s">
        <v>1335</v>
      </c>
      <c r="F1915" s="48" t="s">
        <v>31</v>
      </c>
      <c r="G1915" s="14" t="b">
        <f>OR(LCI_Table[[#This Row],[Feedstock]]="All",LCI_Table[[#This Row],[Feedstock]]=SelectedFeedstock)</f>
        <v>0</v>
      </c>
      <c r="H1915" s="14" t="b">
        <f>OR(LCI_Table[[#This Row],[Conversion]]="All",LCI_Table[[#This Row],[Conversion]]=SelectedConversion)</f>
        <v>0</v>
      </c>
      <c r="I1915" s="14" t="b">
        <f>OR(LCI_Table[[#This Row],[Data Set]]="all",LCI_Table[[#This Row],[Data Set]]=SelectedDataSet)</f>
        <v>0</v>
      </c>
      <c r="J1915" s="14" t="b">
        <f>OR(LCI_Table[[#This Row],[Technology]]="All",LCI_Table[[#This Row],[Technology]]=SelectedTechnology)</f>
        <v>1</v>
      </c>
      <c r="K1915" s="14" t="b">
        <f>OR(LCI_Table[[#This Row],[Data Source]]="All",LCI_Table[[#This Row],[Data Source]]=SelectedDataSource)</f>
        <v>0</v>
      </c>
      <c r="L1915" s="14" t="b">
        <f>TRUE</f>
        <v>1</v>
      </c>
      <c r="M1915" s="14" t="b">
        <f>(LCI_Table[[#This Row],[Dev Notes]]="Do not display")</f>
        <v>0</v>
      </c>
      <c r="N1915" s="14" t="b">
        <f>AND(LCI_Table[[#This Row],[Show Feedstock]:[Conditional]],NOT(LCI_Table[[#This Row],[Hide Row]]))</f>
        <v>0</v>
      </c>
      <c r="O1915" s="14" t="b">
        <f>LCI_Table[[#This Row],[GREET1 Name Range]]=""</f>
        <v>0</v>
      </c>
      <c r="P1915" s="14" t="s">
        <v>14</v>
      </c>
      <c r="Q1915" s="14" t="s">
        <v>962</v>
      </c>
      <c r="R1915" s="14" t="s">
        <v>9</v>
      </c>
      <c r="S1915" s="37" cm="1">
        <f t="array" aca="1" ref="S19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15" s="346" t="s">
        <v>2110</v>
      </c>
      <c r="U1915" s="347">
        <f ca="1">S1915/S1903</f>
        <v>0</v>
      </c>
      <c r="V1915" s="347">
        <v>0</v>
      </c>
      <c r="W1915" s="347">
        <v>0</v>
      </c>
      <c r="X1915" s="14" t="s">
        <v>117</v>
      </c>
      <c r="Y1915" s="346" t="s">
        <v>413</v>
      </c>
      <c r="Z1915" s="14" t="str">
        <f>IF(ISBLANK(LCI_Table[[#This Row],[Notes for user]])," ",LCI_Table[[#This Row],[Notes for user]])</f>
        <v xml:space="preserve"> </v>
      </c>
      <c r="AA1915" s="14"/>
      <c r="AB1915" s="14"/>
      <c r="AC1915" s="346">
        <f ca="1">LCI_Table[[#This Row],[Default Calculated Value]]-LCI_Table[[#This Row],[Calculated Value]]</f>
        <v>0</v>
      </c>
    </row>
    <row r="1916" spans="1:29" x14ac:dyDescent="0.3">
      <c r="A19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EucalyptusFTICAOMIT (GREET)(blank)_Eucalyptus_LPGLPG</v>
      </c>
      <c r="B1916" s="14" t="s">
        <v>881</v>
      </c>
      <c r="C1916" s="14" t="s">
        <v>129</v>
      </c>
      <c r="D1916" s="14" t="s">
        <v>194</v>
      </c>
      <c r="E1916" s="48" t="s">
        <v>1335</v>
      </c>
      <c r="F1916" s="48" t="s">
        <v>31</v>
      </c>
      <c r="G1916" s="14" t="b">
        <f>OR(LCI_Table[[#This Row],[Feedstock]]="All",LCI_Table[[#This Row],[Feedstock]]=SelectedFeedstock)</f>
        <v>0</v>
      </c>
      <c r="H1916" s="14" t="b">
        <f>OR(LCI_Table[[#This Row],[Conversion]]="All",LCI_Table[[#This Row],[Conversion]]=SelectedConversion)</f>
        <v>0</v>
      </c>
      <c r="I1916" s="14" t="b">
        <f>OR(LCI_Table[[#This Row],[Data Set]]="all",LCI_Table[[#This Row],[Data Set]]=SelectedDataSet)</f>
        <v>0</v>
      </c>
      <c r="J1916" s="14" t="b">
        <f>OR(LCI_Table[[#This Row],[Technology]]="All",LCI_Table[[#This Row],[Technology]]=SelectedTechnology)</f>
        <v>1</v>
      </c>
      <c r="K1916" s="14" t="b">
        <f>OR(LCI_Table[[#This Row],[Data Source]]="All",LCI_Table[[#This Row],[Data Source]]=SelectedDataSource)</f>
        <v>0</v>
      </c>
      <c r="L1916" s="14" t="b">
        <f>TRUE</f>
        <v>1</v>
      </c>
      <c r="M1916" s="14" t="b">
        <f>(LCI_Table[[#This Row],[Dev Notes]]="Do not display")</f>
        <v>0</v>
      </c>
      <c r="N1916" s="14" t="b">
        <f>AND(LCI_Table[[#This Row],[Show Feedstock]:[Conditional]],NOT(LCI_Table[[#This Row],[Hide Row]]))</f>
        <v>0</v>
      </c>
      <c r="O1916" s="14" t="b">
        <f>LCI_Table[[#This Row],[GREET1 Name Range]]=""</f>
        <v>0</v>
      </c>
      <c r="P1916" s="14" t="s">
        <v>14</v>
      </c>
      <c r="Q1916" s="14" t="s">
        <v>963</v>
      </c>
      <c r="R1916" s="14" t="s">
        <v>109</v>
      </c>
      <c r="S1916" s="37" cm="1">
        <f t="array" aca="1" ref="S19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16" s="346" t="s">
        <v>1484</v>
      </c>
      <c r="U1916" s="347">
        <f ca="1">S1916*Fuel_Specs!$B$35/S1903</f>
        <v>0</v>
      </c>
      <c r="V1916" s="347">
        <v>0</v>
      </c>
      <c r="W1916" s="347">
        <v>0</v>
      </c>
      <c r="X1916" s="14" t="s">
        <v>5</v>
      </c>
      <c r="Y1916" s="346" t="s">
        <v>413</v>
      </c>
      <c r="Z1916" s="14" t="str">
        <f>IF(ISBLANK(LCI_Table[[#This Row],[Notes for user]])," ",LCI_Table[[#This Row],[Notes for user]])</f>
        <v xml:space="preserve"> </v>
      </c>
      <c r="AA1916" s="14"/>
      <c r="AB1916" s="14"/>
      <c r="AC1916" s="346">
        <f ca="1">LCI_Table[[#This Row],[Default Calculated Value]]-LCI_Table[[#This Row],[Calculated Value]]</f>
        <v>0</v>
      </c>
    </row>
    <row r="1917" spans="1:29" x14ac:dyDescent="0.3">
      <c r="A19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EucalyptusFTICAOMIT (GREET)(blank)_Eucalyptus_ElectricityElectricity</v>
      </c>
      <c r="B1917" s="14" t="s">
        <v>881</v>
      </c>
      <c r="C1917" s="14" t="s">
        <v>129</v>
      </c>
      <c r="D1917" s="14" t="s">
        <v>194</v>
      </c>
      <c r="E1917" s="48" t="s">
        <v>1335</v>
      </c>
      <c r="F1917" s="48" t="s">
        <v>31</v>
      </c>
      <c r="G1917" s="14" t="b">
        <f>OR(LCI_Table[[#This Row],[Feedstock]]="All",LCI_Table[[#This Row],[Feedstock]]=SelectedFeedstock)</f>
        <v>0</v>
      </c>
      <c r="H1917" s="14" t="b">
        <f>OR(LCI_Table[[#This Row],[Conversion]]="All",LCI_Table[[#This Row],[Conversion]]=SelectedConversion)</f>
        <v>0</v>
      </c>
      <c r="I1917" s="14" t="b">
        <f>OR(LCI_Table[[#This Row],[Data Set]]="all",LCI_Table[[#This Row],[Data Set]]=SelectedDataSet)</f>
        <v>0</v>
      </c>
      <c r="J1917" s="14" t="b">
        <f>OR(LCI_Table[[#This Row],[Technology]]="All",LCI_Table[[#This Row],[Technology]]=SelectedTechnology)</f>
        <v>1</v>
      </c>
      <c r="K1917" s="14" t="b">
        <f>OR(LCI_Table[[#This Row],[Data Source]]="All",LCI_Table[[#This Row],[Data Source]]=SelectedDataSource)</f>
        <v>0</v>
      </c>
      <c r="L1917" s="14" t="b">
        <f>TRUE</f>
        <v>1</v>
      </c>
      <c r="M1917" s="14" t="b">
        <f>(LCI_Table[[#This Row],[Dev Notes]]="Do not display")</f>
        <v>0</v>
      </c>
      <c r="N1917" s="14" t="b">
        <f>AND(LCI_Table[[#This Row],[Show Feedstock]:[Conditional]],NOT(LCI_Table[[#This Row],[Hide Row]]))</f>
        <v>0</v>
      </c>
      <c r="O1917" s="14" t="b">
        <f>LCI_Table[[#This Row],[GREET1 Name Range]]=""</f>
        <v>0</v>
      </c>
      <c r="P1917" s="14" t="s">
        <v>14</v>
      </c>
      <c r="Q1917" s="14" t="s">
        <v>964</v>
      </c>
      <c r="R1917" s="348" t="s">
        <v>110</v>
      </c>
      <c r="S1917" s="37" cm="1">
        <f t="array" aca="1" ref="S19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17" s="346" t="s">
        <v>1561</v>
      </c>
      <c r="U1917" s="347">
        <f ca="1">S1917/BTU2kWh/S1903</f>
        <v>0</v>
      </c>
      <c r="V1917" s="347">
        <v>0</v>
      </c>
      <c r="W1917" s="347">
        <v>0</v>
      </c>
      <c r="X1917" s="14" t="s">
        <v>51</v>
      </c>
      <c r="Y1917" s="346" t="s">
        <v>413</v>
      </c>
      <c r="Z1917" s="14" t="str">
        <f>IF(ISBLANK(LCI_Table[[#This Row],[Notes for user]])," ",LCI_Table[[#This Row],[Notes for user]])</f>
        <v xml:space="preserve"> </v>
      </c>
      <c r="AA1917" s="14"/>
      <c r="AB1917" s="14"/>
      <c r="AC1917" s="346">
        <f ca="1">LCI_Table[[#This Row],[Default Calculated Value]]-LCI_Table[[#This Row],[Calculated Value]]</f>
        <v>0</v>
      </c>
    </row>
    <row r="1918" spans="1:29" x14ac:dyDescent="0.3">
      <c r="A19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EucalyptusFTICAOMIT (GREET)(blank)_Eucalyptus_efficiencyEucalyptus</v>
      </c>
      <c r="B1918" s="14" t="s">
        <v>881</v>
      </c>
      <c r="C1918" s="14" t="s">
        <v>129</v>
      </c>
      <c r="D1918" s="14" t="s">
        <v>194</v>
      </c>
      <c r="E1918" s="48" t="s">
        <v>1335</v>
      </c>
      <c r="F1918" s="48" t="s">
        <v>31</v>
      </c>
      <c r="G1918" s="14" t="b">
        <f>OR(LCI_Table[[#This Row],[Feedstock]]="All",LCI_Table[[#This Row],[Feedstock]]=SelectedFeedstock)</f>
        <v>0</v>
      </c>
      <c r="H1918" s="14" t="b">
        <f>OR(LCI_Table[[#This Row],[Conversion]]="All",LCI_Table[[#This Row],[Conversion]]=SelectedConversion)</f>
        <v>0</v>
      </c>
      <c r="I1918" s="14" t="b">
        <f>OR(LCI_Table[[#This Row],[Data Set]]="all",LCI_Table[[#This Row],[Data Set]]=SelectedDataSet)</f>
        <v>0</v>
      </c>
      <c r="J1918" s="14" t="b">
        <f>OR(LCI_Table[[#This Row],[Technology]]="All",LCI_Table[[#This Row],[Technology]]=SelectedTechnology)</f>
        <v>1</v>
      </c>
      <c r="K1918" s="14" t="b">
        <f>OR(LCI_Table[[#This Row],[Data Source]]="All",LCI_Table[[#This Row],[Data Source]]=SelectedDataSource)</f>
        <v>0</v>
      </c>
      <c r="L1918" s="14" t="b">
        <f>TRUE</f>
        <v>1</v>
      </c>
      <c r="M1918" s="14" t="b">
        <f>(LCI_Table[[#This Row],[Dev Notes]]="Do not display")</f>
        <v>0</v>
      </c>
      <c r="N1918" s="14" t="b">
        <f>AND(LCI_Table[[#This Row],[Show Feedstock]:[Conditional]],NOT(LCI_Table[[#This Row],[Hide Row]]))</f>
        <v>0</v>
      </c>
      <c r="O1918" s="14" t="b">
        <f>LCI_Table[[#This Row],[GREET1 Name Range]]=""</f>
        <v>0</v>
      </c>
      <c r="P1918" s="14" t="s">
        <v>1448</v>
      </c>
      <c r="Q1918" s="14" t="s">
        <v>965</v>
      </c>
      <c r="R1918" s="14" t="s">
        <v>881</v>
      </c>
      <c r="S1918" s="37" cm="1">
        <f t="array" aca="1" ref="S19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0.12822480214749862</v>
      </c>
      <c r="T1918" s="346" t="s">
        <v>2125</v>
      </c>
      <c r="U1918" s="347">
        <f ca="1">1/(S1918*Fuel_Specs!$L$112*BTU2mmBTU)</f>
        <v>0.5</v>
      </c>
      <c r="V1918" s="347">
        <v>0.12822480214749862</v>
      </c>
      <c r="W1918" s="347">
        <v>0.5</v>
      </c>
      <c r="X1918" s="37" t="s">
        <v>55</v>
      </c>
      <c r="Y1918" s="346" t="s">
        <v>416</v>
      </c>
      <c r="Z1918" s="14" t="str">
        <f>IF(ISBLANK(LCI_Table[[#This Row],[Notes for user]])," ",LCI_Table[[#This Row],[Notes for user]])</f>
        <v xml:space="preserve"> </v>
      </c>
      <c r="AA1918" s="14"/>
      <c r="AB1918" s="14"/>
      <c r="AC1918" s="346">
        <f ca="1">LCI_Table[[#This Row],[Default Calculated Value]]-LCI_Table[[#This Row],[Calculated Value]]</f>
        <v>0</v>
      </c>
    </row>
    <row r="1919" spans="1:29" x14ac:dyDescent="0.3">
      <c r="A19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dash_EucalyptusFTICAOJRC (E3)(blank)_Yield_Farming</v>
      </c>
      <c r="B1919" s="48" t="s">
        <v>881</v>
      </c>
      <c r="C1919" s="48" t="s">
        <v>129</v>
      </c>
      <c r="D1919" s="48" t="s">
        <v>194</v>
      </c>
      <c r="E1919" s="48" t="s">
        <v>1336</v>
      </c>
      <c r="F1919" s="48" t="s">
        <v>31</v>
      </c>
      <c r="G1919" s="14" t="b">
        <f>OR(LCI_Table[[#This Row],[Feedstock]]="All",LCI_Table[[#This Row],[Feedstock]]=SelectedFeedstock)</f>
        <v>0</v>
      </c>
      <c r="H1919" s="14" t="b">
        <f>OR(LCI_Table[[#This Row],[Conversion]]="All",LCI_Table[[#This Row],[Conversion]]=SelectedConversion)</f>
        <v>0</v>
      </c>
      <c r="I1919" s="14" t="b">
        <f>OR(LCI_Table[[#This Row],[Data Set]]="all",LCI_Table[[#This Row],[Data Set]]=SelectedDataSet)</f>
        <v>0</v>
      </c>
      <c r="J1919" s="14" t="b">
        <f>OR(LCI_Table[[#This Row],[Technology]]="All",LCI_Table[[#This Row],[Technology]]=SelectedTechnology)</f>
        <v>1</v>
      </c>
      <c r="K1919" s="14" t="b">
        <f>OR(LCI_Table[[#This Row],[Data Source]]="All",LCI_Table[[#This Row],[Data Source]]=SelectedDataSource)</f>
        <v>0</v>
      </c>
      <c r="L1919" s="14" t="b">
        <f>TRUE</f>
        <v>1</v>
      </c>
      <c r="M1919" s="14" t="b">
        <f>(LCI_Table[[#This Row],[Dev Notes]]="Do not display")</f>
        <v>0</v>
      </c>
      <c r="N1919" s="14" t="b">
        <f>AND(LCI_Table[[#This Row],[Show Feedstock]:[Conditional]],NOT(LCI_Table[[#This Row],[Hide Row]]))</f>
        <v>0</v>
      </c>
      <c r="O1919" s="14" t="b">
        <f>LCI_Table[[#This Row],[GREET1 Name Range]]=""</f>
        <v>1</v>
      </c>
      <c r="P1919" s="48" t="s">
        <v>14</v>
      </c>
      <c r="Q1919" s="14" t="s">
        <v>361</v>
      </c>
      <c r="R1919" s="48" t="s">
        <v>200</v>
      </c>
      <c r="S1919" s="37" cm="1">
        <f t="array" aca="1" ref="S19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5.7545642180144601</v>
      </c>
      <c r="T1919" s="346" t="s">
        <v>2116</v>
      </c>
      <c r="U1919" s="344"/>
      <c r="V1919" s="344">
        <v>5.7545642180144601</v>
      </c>
      <c r="W1919" s="344"/>
      <c r="X1919" s="48" t="s">
        <v>55</v>
      </c>
      <c r="Y1919" s="346" t="s">
        <v>413</v>
      </c>
      <c r="Z1919" s="14" t="str">
        <f>IF(ISBLANK(LCI_Table[[#This Row],[Notes for user]])," ",LCI_Table[[#This Row],[Notes for user]])</f>
        <v xml:space="preserve"> </v>
      </c>
      <c r="AA1919" s="48"/>
      <c r="AB1919" s="345"/>
      <c r="AC1919" s="346">
        <f>LCI_Table[[#This Row],[Default Calculated Value]]-LCI_Table[[#This Row],[Calculated Value]]</f>
        <v>0</v>
      </c>
    </row>
    <row r="1920" spans="1:29" x14ac:dyDescent="0.3">
      <c r="A19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EucalyptusFTICAOJRC (E3)(blank)_Eucalyptus_Nitrogen_fertilizerNitrogen fertilizer</v>
      </c>
      <c r="B1920" s="14" t="s">
        <v>881</v>
      </c>
      <c r="C1920" s="14" t="s">
        <v>129</v>
      </c>
      <c r="D1920" s="14" t="s">
        <v>194</v>
      </c>
      <c r="E1920" s="48" t="s">
        <v>1336</v>
      </c>
      <c r="F1920" s="48" t="s">
        <v>31</v>
      </c>
      <c r="G1920" s="14" t="b">
        <f>OR(LCI_Table[[#This Row],[Feedstock]]="All",LCI_Table[[#This Row],[Feedstock]]=SelectedFeedstock)</f>
        <v>0</v>
      </c>
      <c r="H1920" s="14" t="b">
        <f>OR(LCI_Table[[#This Row],[Conversion]]="All",LCI_Table[[#This Row],[Conversion]]=SelectedConversion)</f>
        <v>0</v>
      </c>
      <c r="I1920" s="14" t="b">
        <f>OR(LCI_Table[[#This Row],[Data Set]]="all",LCI_Table[[#This Row],[Data Set]]=SelectedDataSet)</f>
        <v>0</v>
      </c>
      <c r="J1920" s="14" t="b">
        <f>OR(LCI_Table[[#This Row],[Technology]]="All",LCI_Table[[#This Row],[Technology]]=SelectedTechnology)</f>
        <v>1</v>
      </c>
      <c r="K1920" s="14" t="b">
        <f>OR(LCI_Table[[#This Row],[Data Source]]="All",LCI_Table[[#This Row],[Data Source]]=SelectedDataSource)</f>
        <v>0</v>
      </c>
      <c r="L1920" s="14" t="b">
        <f>TRUE</f>
        <v>1</v>
      </c>
      <c r="M1920" s="14" t="b">
        <f>(LCI_Table[[#This Row],[Dev Notes]]="Do not display")</f>
        <v>0</v>
      </c>
      <c r="N1920" s="14" t="b">
        <f>AND(LCI_Table[[#This Row],[Show Feedstock]:[Conditional]],NOT(LCI_Table[[#This Row],[Hide Row]]))</f>
        <v>0</v>
      </c>
      <c r="O1920" s="14" t="b">
        <f>LCI_Table[[#This Row],[GREET1 Name Range]]=""</f>
        <v>0</v>
      </c>
      <c r="P1920" s="14" t="s">
        <v>14</v>
      </c>
      <c r="Q1920" s="14" t="s">
        <v>951</v>
      </c>
      <c r="R1920" s="14" t="s">
        <v>111</v>
      </c>
      <c r="S1920" s="37" cm="1">
        <f t="array" aca="1" ref="S19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203.71157331771232</v>
      </c>
      <c r="T1920" s="346" t="s">
        <v>1485</v>
      </c>
      <c r="U1920" s="347">
        <f ca="1">S1920/S1919*lb2g</f>
        <v>16057.169898000035</v>
      </c>
      <c r="V1920" s="347">
        <v>203.71157331771232</v>
      </c>
      <c r="W1920" s="347">
        <v>16057.169898000035</v>
      </c>
      <c r="X1920" s="14" t="s">
        <v>12</v>
      </c>
      <c r="Y1920" s="346" t="s">
        <v>413</v>
      </c>
      <c r="Z1920" s="14" t="str">
        <f>IF(ISBLANK(LCI_Table[[#This Row],[Notes for user]])," ",LCI_Table[[#This Row],[Notes for user]])</f>
        <v xml:space="preserve"> </v>
      </c>
      <c r="AA1920" s="14"/>
      <c r="AB1920" s="14"/>
      <c r="AC1920" s="346">
        <f ca="1">LCI_Table[[#This Row],[Default Calculated Value]]-LCI_Table[[#This Row],[Calculated Value]]</f>
        <v>0</v>
      </c>
    </row>
    <row r="1921" spans="1:29" x14ac:dyDescent="0.3">
      <c r="A19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EucalyptusFTICAOJRC (E3)(blank)_Eucalyptus_P2O5P2O5</v>
      </c>
      <c r="B1921" s="14" t="s">
        <v>881</v>
      </c>
      <c r="C1921" s="14" t="s">
        <v>129</v>
      </c>
      <c r="D1921" s="14" t="s">
        <v>194</v>
      </c>
      <c r="E1921" s="48" t="s">
        <v>1336</v>
      </c>
      <c r="F1921" s="48" t="s">
        <v>31</v>
      </c>
      <c r="G1921" s="14" t="b">
        <f>OR(LCI_Table[[#This Row],[Feedstock]]="All",LCI_Table[[#This Row],[Feedstock]]=SelectedFeedstock)</f>
        <v>0</v>
      </c>
      <c r="H1921" s="14" t="b">
        <f>OR(LCI_Table[[#This Row],[Conversion]]="All",LCI_Table[[#This Row],[Conversion]]=SelectedConversion)</f>
        <v>0</v>
      </c>
      <c r="I1921" s="14" t="b">
        <f>OR(LCI_Table[[#This Row],[Data Set]]="all",LCI_Table[[#This Row],[Data Set]]=SelectedDataSet)</f>
        <v>0</v>
      </c>
      <c r="J1921" s="14" t="b">
        <f>OR(LCI_Table[[#This Row],[Technology]]="All",LCI_Table[[#This Row],[Technology]]=SelectedTechnology)</f>
        <v>1</v>
      </c>
      <c r="K1921" s="14" t="b">
        <f>OR(LCI_Table[[#This Row],[Data Source]]="All",LCI_Table[[#This Row],[Data Source]]=SelectedDataSource)</f>
        <v>0</v>
      </c>
      <c r="L1921" s="14" t="b">
        <f>TRUE</f>
        <v>1</v>
      </c>
      <c r="M1921" s="14" t="b">
        <f>(LCI_Table[[#This Row],[Dev Notes]]="Do not display")</f>
        <v>0</v>
      </c>
      <c r="N1921" s="14" t="b">
        <f>AND(LCI_Table[[#This Row],[Show Feedstock]:[Conditional]],NOT(LCI_Table[[#This Row],[Hide Row]]))</f>
        <v>0</v>
      </c>
      <c r="O1921" s="14" t="b">
        <f>LCI_Table[[#This Row],[GREET1 Name Range]]=""</f>
        <v>0</v>
      </c>
      <c r="P1921" s="14" t="s">
        <v>14</v>
      </c>
      <c r="Q1921" s="14" t="s">
        <v>952</v>
      </c>
      <c r="R1921" s="14" t="s">
        <v>112</v>
      </c>
      <c r="S1921" s="37" cm="1">
        <f t="array" aca="1" ref="S19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78.262073364996823</v>
      </c>
      <c r="T1921" s="346" t="s">
        <v>1485</v>
      </c>
      <c r="U1921" s="347">
        <f ca="1">S1921/S1919*lb2g</f>
        <v>6168.8562320000128</v>
      </c>
      <c r="V1921" s="347">
        <v>78.262073364996823</v>
      </c>
      <c r="W1921" s="347">
        <v>6168.8562320000128</v>
      </c>
      <c r="X1921" s="14" t="s">
        <v>12</v>
      </c>
      <c r="Y1921" s="346" t="s">
        <v>413</v>
      </c>
      <c r="Z1921" s="14" t="str">
        <f>IF(ISBLANK(LCI_Table[[#This Row],[Notes for user]])," ",LCI_Table[[#This Row],[Notes for user]])</f>
        <v xml:space="preserve"> </v>
      </c>
      <c r="AA1921" s="14"/>
      <c r="AB1921" s="14"/>
      <c r="AC1921" s="346">
        <f ca="1">LCI_Table[[#This Row],[Default Calculated Value]]-LCI_Table[[#This Row],[Calculated Value]]</f>
        <v>0</v>
      </c>
    </row>
    <row r="1922" spans="1:29" x14ac:dyDescent="0.3">
      <c r="A19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EucalyptusFTICAOJRC (E3)(blank)_Eucalyptus_K2OK2O</v>
      </c>
      <c r="B1922" s="14" t="s">
        <v>881</v>
      </c>
      <c r="C1922" s="14" t="s">
        <v>129</v>
      </c>
      <c r="D1922" s="14" t="s">
        <v>194</v>
      </c>
      <c r="E1922" s="48" t="s">
        <v>1336</v>
      </c>
      <c r="F1922" s="48" t="s">
        <v>31</v>
      </c>
      <c r="G1922" s="14" t="b">
        <f>OR(LCI_Table[[#This Row],[Feedstock]]="All",LCI_Table[[#This Row],[Feedstock]]=SelectedFeedstock)</f>
        <v>0</v>
      </c>
      <c r="H1922" s="14" t="b">
        <f>OR(LCI_Table[[#This Row],[Conversion]]="All",LCI_Table[[#This Row],[Conversion]]=SelectedConversion)</f>
        <v>0</v>
      </c>
      <c r="I1922" s="14" t="b">
        <f>OR(LCI_Table[[#This Row],[Data Set]]="all",LCI_Table[[#This Row],[Data Set]]=SelectedDataSet)</f>
        <v>0</v>
      </c>
      <c r="J1922" s="14" t="b">
        <f>OR(LCI_Table[[#This Row],[Technology]]="All",LCI_Table[[#This Row],[Technology]]=SelectedTechnology)</f>
        <v>1</v>
      </c>
      <c r="K1922" s="14" t="b">
        <f>OR(LCI_Table[[#This Row],[Data Source]]="All",LCI_Table[[#This Row],[Data Source]]=SelectedDataSource)</f>
        <v>0</v>
      </c>
      <c r="L1922" s="14" t="b">
        <f>TRUE</f>
        <v>1</v>
      </c>
      <c r="M1922" s="14" t="b">
        <f>(LCI_Table[[#This Row],[Dev Notes]]="Do not display")</f>
        <v>0</v>
      </c>
      <c r="N1922" s="14" t="b">
        <f>AND(LCI_Table[[#This Row],[Show Feedstock]:[Conditional]],NOT(LCI_Table[[#This Row],[Hide Row]]))</f>
        <v>0</v>
      </c>
      <c r="O1922" s="14" t="b">
        <f>LCI_Table[[#This Row],[GREET1 Name Range]]=""</f>
        <v>0</v>
      </c>
      <c r="P1922" s="14" t="s">
        <v>14</v>
      </c>
      <c r="Q1922" s="14" t="s">
        <v>953</v>
      </c>
      <c r="R1922" s="14" t="s">
        <v>113</v>
      </c>
      <c r="S1922" s="37" cm="1">
        <f t="array" aca="1" ref="S19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163.42962379161099</v>
      </c>
      <c r="T1922" s="346" t="s">
        <v>1485</v>
      </c>
      <c r="U1922" s="347">
        <f ca="1">S1922/S1919*lb2g</f>
        <v>12882.023308000025</v>
      </c>
      <c r="V1922" s="347">
        <v>163.42962379161099</v>
      </c>
      <c r="W1922" s="347">
        <v>12882.023308000025</v>
      </c>
      <c r="X1922" s="14" t="s">
        <v>12</v>
      </c>
      <c r="Y1922" s="346" t="s">
        <v>413</v>
      </c>
      <c r="Z1922" s="14" t="str">
        <f>IF(ISBLANK(LCI_Table[[#This Row],[Notes for user]])," ",LCI_Table[[#This Row],[Notes for user]])</f>
        <v xml:space="preserve"> </v>
      </c>
      <c r="AA1922" s="14"/>
      <c r="AB1922" s="14"/>
      <c r="AC1922" s="346">
        <f ca="1">LCI_Table[[#This Row],[Default Calculated Value]]-LCI_Table[[#This Row],[Calculated Value]]</f>
        <v>0</v>
      </c>
    </row>
    <row r="1923" spans="1:29" x14ac:dyDescent="0.3">
      <c r="A19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EucalyptusFTICAOJRC (E3)(blank)_Eucalyptus_CaCO3CaCO3</v>
      </c>
      <c r="B1923" s="14" t="s">
        <v>881</v>
      </c>
      <c r="C1923" s="14" t="s">
        <v>129</v>
      </c>
      <c r="D1923" s="14" t="s">
        <v>194</v>
      </c>
      <c r="E1923" s="48" t="s">
        <v>1336</v>
      </c>
      <c r="F1923" s="48" t="s">
        <v>31</v>
      </c>
      <c r="G1923" s="14" t="b">
        <f>OR(LCI_Table[[#This Row],[Feedstock]]="All",LCI_Table[[#This Row],[Feedstock]]=SelectedFeedstock)</f>
        <v>0</v>
      </c>
      <c r="H1923" s="14" t="b">
        <f>OR(LCI_Table[[#This Row],[Conversion]]="All",LCI_Table[[#This Row],[Conversion]]=SelectedConversion)</f>
        <v>0</v>
      </c>
      <c r="I1923" s="14" t="b">
        <f>OR(LCI_Table[[#This Row],[Data Set]]="all",LCI_Table[[#This Row],[Data Set]]=SelectedDataSet)</f>
        <v>0</v>
      </c>
      <c r="J1923" s="14" t="b">
        <f>OR(LCI_Table[[#This Row],[Technology]]="All",LCI_Table[[#This Row],[Technology]]=SelectedTechnology)</f>
        <v>1</v>
      </c>
      <c r="K1923" s="14" t="b">
        <f>OR(LCI_Table[[#This Row],[Data Source]]="All",LCI_Table[[#This Row],[Data Source]]=SelectedDataSource)</f>
        <v>0</v>
      </c>
      <c r="L1923" s="14" t="b">
        <f>TRUE</f>
        <v>1</v>
      </c>
      <c r="M1923" s="14" t="b">
        <f>(LCI_Table[[#This Row],[Dev Notes]]="Do not display")</f>
        <v>0</v>
      </c>
      <c r="N1923" s="14" t="b">
        <f>AND(LCI_Table[[#This Row],[Show Feedstock]:[Conditional]],NOT(LCI_Table[[#This Row],[Hide Row]]))</f>
        <v>0</v>
      </c>
      <c r="O1923" s="14" t="b">
        <f>LCI_Table[[#This Row],[GREET1 Name Range]]=""</f>
        <v>0</v>
      </c>
      <c r="P1923" s="14" t="s">
        <v>14</v>
      </c>
      <c r="Q1923" s="14" t="s">
        <v>954</v>
      </c>
      <c r="R1923" s="14" t="s">
        <v>141</v>
      </c>
      <c r="S1923" s="37" cm="1">
        <f t="array" aca="1" ref="S19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23" s="346" t="s">
        <v>1485</v>
      </c>
      <c r="U1923" s="347">
        <f ca="1">S1923/S1919*lb2g</f>
        <v>0</v>
      </c>
      <c r="V1923" s="347">
        <v>0</v>
      </c>
      <c r="W1923" s="347">
        <v>0</v>
      </c>
      <c r="X1923" s="14" t="s">
        <v>12</v>
      </c>
      <c r="Y1923" s="346" t="s">
        <v>413</v>
      </c>
      <c r="Z1923" s="14" t="str">
        <f>IF(ISBLANK(LCI_Table[[#This Row],[Notes for user]])," ",LCI_Table[[#This Row],[Notes for user]])</f>
        <v xml:space="preserve"> </v>
      </c>
      <c r="AA1923" s="14"/>
      <c r="AB1923" s="14"/>
      <c r="AC1923" s="346">
        <f ca="1">LCI_Table[[#This Row],[Default Calculated Value]]-LCI_Table[[#This Row],[Calculated Value]]</f>
        <v>0</v>
      </c>
    </row>
    <row r="1924" spans="1:29" x14ac:dyDescent="0.3">
      <c r="A19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EucalyptusFTICAOJRC (E3)(blank)_Eucalyptus_HerbicidesHerbicides</v>
      </c>
      <c r="B1924" s="14" t="s">
        <v>881</v>
      </c>
      <c r="C1924" s="14" t="s">
        <v>129</v>
      </c>
      <c r="D1924" s="14" t="s">
        <v>194</v>
      </c>
      <c r="E1924" s="48" t="s">
        <v>1336</v>
      </c>
      <c r="F1924" s="48" t="s">
        <v>31</v>
      </c>
      <c r="G1924" s="14" t="b">
        <f>OR(LCI_Table[[#This Row],[Feedstock]]="All",LCI_Table[[#This Row],[Feedstock]]=SelectedFeedstock)</f>
        <v>0</v>
      </c>
      <c r="H1924" s="14" t="b">
        <f>OR(LCI_Table[[#This Row],[Conversion]]="All",LCI_Table[[#This Row],[Conversion]]=SelectedConversion)</f>
        <v>0</v>
      </c>
      <c r="I1924" s="14" t="b">
        <f>OR(LCI_Table[[#This Row],[Data Set]]="all",LCI_Table[[#This Row],[Data Set]]=SelectedDataSet)</f>
        <v>0</v>
      </c>
      <c r="J1924" s="14" t="b">
        <f>OR(LCI_Table[[#This Row],[Technology]]="All",LCI_Table[[#This Row],[Technology]]=SelectedTechnology)</f>
        <v>1</v>
      </c>
      <c r="K1924" s="14" t="b">
        <f>OR(LCI_Table[[#This Row],[Data Source]]="All",LCI_Table[[#This Row],[Data Source]]=SelectedDataSource)</f>
        <v>0</v>
      </c>
      <c r="L1924" s="14" t="b">
        <f>TRUE</f>
        <v>1</v>
      </c>
      <c r="M1924" s="14" t="b">
        <f>(LCI_Table[[#This Row],[Dev Notes]]="Do not display")</f>
        <v>0</v>
      </c>
      <c r="N1924" s="14" t="b">
        <f>AND(LCI_Table[[#This Row],[Show Feedstock]:[Conditional]],NOT(LCI_Table[[#This Row],[Hide Row]]))</f>
        <v>0</v>
      </c>
      <c r="O1924" s="14" t="b">
        <f>LCI_Table[[#This Row],[GREET1 Name Range]]=""</f>
        <v>0</v>
      </c>
      <c r="P1924" s="14" t="s">
        <v>14</v>
      </c>
      <c r="Q1924" s="14" t="s">
        <v>955</v>
      </c>
      <c r="R1924" s="14" t="s">
        <v>356</v>
      </c>
      <c r="S1924" s="37" cm="1">
        <f t="array" aca="1" ref="S19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24" s="346" t="s">
        <v>1485</v>
      </c>
      <c r="U1924" s="347">
        <f ca="1">S1924/S1919*lb2g</f>
        <v>0</v>
      </c>
      <c r="V1924" s="347">
        <v>0</v>
      </c>
      <c r="W1924" s="347">
        <v>0</v>
      </c>
      <c r="X1924" s="14" t="s">
        <v>12</v>
      </c>
      <c r="Y1924" s="346" t="s">
        <v>413</v>
      </c>
      <c r="Z1924" s="14" t="str">
        <f>IF(ISBLANK(LCI_Table[[#This Row],[Notes for user]])," ",LCI_Table[[#This Row],[Notes for user]])</f>
        <v xml:space="preserve"> </v>
      </c>
      <c r="AA1924" s="14"/>
      <c r="AB1924" s="14"/>
      <c r="AC1924" s="346">
        <f ca="1">LCI_Table[[#This Row],[Default Calculated Value]]-LCI_Table[[#This Row],[Calculated Value]]</f>
        <v>0</v>
      </c>
    </row>
    <row r="1925" spans="1:29" x14ac:dyDescent="0.3">
      <c r="A19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EucalyptusFTICAOJRC (E3)(blank)_Eucalyptus_InsecticideInsecticide</v>
      </c>
      <c r="B1925" s="14" t="s">
        <v>881</v>
      </c>
      <c r="C1925" s="14" t="s">
        <v>129</v>
      </c>
      <c r="D1925" s="14" t="s">
        <v>194</v>
      </c>
      <c r="E1925" s="48" t="s">
        <v>1336</v>
      </c>
      <c r="F1925" s="48" t="s">
        <v>31</v>
      </c>
      <c r="G1925" s="14" t="b">
        <f>OR(LCI_Table[[#This Row],[Feedstock]]="All",LCI_Table[[#This Row],[Feedstock]]=SelectedFeedstock)</f>
        <v>0</v>
      </c>
      <c r="H1925" s="14" t="b">
        <f>OR(LCI_Table[[#This Row],[Conversion]]="All",LCI_Table[[#This Row],[Conversion]]=SelectedConversion)</f>
        <v>0</v>
      </c>
      <c r="I1925" s="14" t="b">
        <f>OR(LCI_Table[[#This Row],[Data Set]]="all",LCI_Table[[#This Row],[Data Set]]=SelectedDataSet)</f>
        <v>0</v>
      </c>
      <c r="J1925" s="14" t="b">
        <f>OR(LCI_Table[[#This Row],[Technology]]="All",LCI_Table[[#This Row],[Technology]]=SelectedTechnology)</f>
        <v>1</v>
      </c>
      <c r="K1925" s="14" t="b">
        <f>OR(LCI_Table[[#This Row],[Data Source]]="All",LCI_Table[[#This Row],[Data Source]]=SelectedDataSource)</f>
        <v>0</v>
      </c>
      <c r="L1925" s="14" t="b">
        <f>TRUE</f>
        <v>1</v>
      </c>
      <c r="M1925" s="14" t="b">
        <f>(LCI_Table[[#This Row],[Dev Notes]]="Do not display")</f>
        <v>0</v>
      </c>
      <c r="N1925" s="14" t="b">
        <f>AND(LCI_Table[[#This Row],[Show Feedstock]:[Conditional]],NOT(LCI_Table[[#This Row],[Hide Row]]))</f>
        <v>0</v>
      </c>
      <c r="O1925" s="14" t="b">
        <f>LCI_Table[[#This Row],[GREET1 Name Range]]=""</f>
        <v>0</v>
      </c>
      <c r="P1925" s="14" t="s">
        <v>14</v>
      </c>
      <c r="Q1925" s="14" t="s">
        <v>956</v>
      </c>
      <c r="R1925" s="14" t="s">
        <v>114</v>
      </c>
      <c r="S1925" s="37" cm="1">
        <f t="array" aca="1" ref="S19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25" s="346" t="s">
        <v>1485</v>
      </c>
      <c r="U1925" s="347">
        <f ca="1">S1925/S1919*lb2g</f>
        <v>0</v>
      </c>
      <c r="V1925" s="347">
        <v>0</v>
      </c>
      <c r="W1925" s="347">
        <v>0</v>
      </c>
      <c r="X1925" s="14" t="s">
        <v>12</v>
      </c>
      <c r="Y1925" s="346" t="s">
        <v>413</v>
      </c>
      <c r="Z1925" s="14" t="str">
        <f>IF(ISBLANK(LCI_Table[[#This Row],[Notes for user]])," ",LCI_Table[[#This Row],[Notes for user]])</f>
        <v xml:space="preserve"> </v>
      </c>
      <c r="AA1925" s="14"/>
      <c r="AB1925" s="14"/>
      <c r="AC1925" s="346">
        <f ca="1">LCI_Table[[#This Row],[Default Calculated Value]]-LCI_Table[[#This Row],[Calculated Value]]</f>
        <v>0</v>
      </c>
    </row>
    <row r="1926" spans="1:29" x14ac:dyDescent="0.3">
      <c r="A19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EucalyptusFTICAOJRC (E3)(blank)_Eucalyptus_HDPEHDPE</v>
      </c>
      <c r="B1926" s="14" t="s">
        <v>881</v>
      </c>
      <c r="C1926" s="14" t="s">
        <v>129</v>
      </c>
      <c r="D1926" s="14" t="s">
        <v>194</v>
      </c>
      <c r="E1926" s="48" t="s">
        <v>1336</v>
      </c>
      <c r="F1926" s="48" t="s">
        <v>31</v>
      </c>
      <c r="G1926" s="14" t="b">
        <f>OR(LCI_Table[[#This Row],[Feedstock]]="All",LCI_Table[[#This Row],[Feedstock]]=SelectedFeedstock)</f>
        <v>0</v>
      </c>
      <c r="H1926" s="14" t="b">
        <f>OR(LCI_Table[[#This Row],[Conversion]]="All",LCI_Table[[#This Row],[Conversion]]=SelectedConversion)</f>
        <v>0</v>
      </c>
      <c r="I1926" s="14" t="b">
        <f>OR(LCI_Table[[#This Row],[Data Set]]="all",LCI_Table[[#This Row],[Data Set]]=SelectedDataSet)</f>
        <v>0</v>
      </c>
      <c r="J1926" s="14" t="b">
        <f>OR(LCI_Table[[#This Row],[Technology]]="All",LCI_Table[[#This Row],[Technology]]=SelectedTechnology)</f>
        <v>1</v>
      </c>
      <c r="K1926" s="14" t="b">
        <f>OR(LCI_Table[[#This Row],[Data Source]]="All",LCI_Table[[#This Row],[Data Source]]=SelectedDataSource)</f>
        <v>0</v>
      </c>
      <c r="L1926" s="14" t="b">
        <f>TRUE</f>
        <v>1</v>
      </c>
      <c r="M1926" s="14" t="b">
        <f>(LCI_Table[[#This Row],[Dev Notes]]="Do not display")</f>
        <v>0</v>
      </c>
      <c r="N1926" s="14" t="b">
        <f>AND(LCI_Table[[#This Row],[Show Feedstock]:[Conditional]],NOT(LCI_Table[[#This Row],[Hide Row]]))</f>
        <v>0</v>
      </c>
      <c r="O1926" s="14" t="b">
        <f>LCI_Table[[#This Row],[GREET1 Name Range]]=""</f>
        <v>0</v>
      </c>
      <c r="P1926" s="14" t="s">
        <v>14</v>
      </c>
      <c r="Q1926" s="14" t="s">
        <v>957</v>
      </c>
      <c r="R1926" s="14" t="s">
        <v>357</v>
      </c>
      <c r="S1926" s="37" cm="1">
        <f t="array" aca="1" ref="S19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26" s="346" t="s">
        <v>1485</v>
      </c>
      <c r="U1926" s="347">
        <f ca="1">S1926/S1919*lb2g</f>
        <v>0</v>
      </c>
      <c r="V1926" s="347">
        <v>0</v>
      </c>
      <c r="W1926" s="347">
        <v>0</v>
      </c>
      <c r="X1926" s="14" t="s">
        <v>12</v>
      </c>
      <c r="Y1926" s="346" t="s">
        <v>413</v>
      </c>
      <c r="Z1926" s="14" t="str">
        <f>IF(ISBLANK(LCI_Table[[#This Row],[Notes for user]])," ",LCI_Table[[#This Row],[Notes for user]])</f>
        <v xml:space="preserve"> </v>
      </c>
      <c r="AA1926" s="14"/>
      <c r="AB1926" s="14"/>
      <c r="AC1926" s="346">
        <f ca="1">LCI_Table[[#This Row],[Default Calculated Value]]-LCI_Table[[#This Row],[Calculated Value]]</f>
        <v>0</v>
      </c>
    </row>
    <row r="1927" spans="1:29" x14ac:dyDescent="0.3">
      <c r="A19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EucalyptusFTICAOJRC (E3)(blank)_Eucalyptus_Residual_oilResidual oil</v>
      </c>
      <c r="B1927" s="14" t="s">
        <v>881</v>
      </c>
      <c r="C1927" s="14" t="s">
        <v>129</v>
      </c>
      <c r="D1927" s="14" t="s">
        <v>194</v>
      </c>
      <c r="E1927" s="48" t="s">
        <v>1336</v>
      </c>
      <c r="F1927" s="48" t="s">
        <v>31</v>
      </c>
      <c r="G1927" s="14" t="b">
        <f>OR(LCI_Table[[#This Row],[Feedstock]]="All",LCI_Table[[#This Row],[Feedstock]]=SelectedFeedstock)</f>
        <v>0</v>
      </c>
      <c r="H1927" s="14" t="b">
        <f>OR(LCI_Table[[#This Row],[Conversion]]="All",LCI_Table[[#This Row],[Conversion]]=SelectedConversion)</f>
        <v>0</v>
      </c>
      <c r="I1927" s="14" t="b">
        <f>OR(LCI_Table[[#This Row],[Data Set]]="all",LCI_Table[[#This Row],[Data Set]]=SelectedDataSet)</f>
        <v>0</v>
      </c>
      <c r="J1927" s="14" t="b">
        <f>OR(LCI_Table[[#This Row],[Technology]]="All",LCI_Table[[#This Row],[Technology]]=SelectedTechnology)</f>
        <v>1</v>
      </c>
      <c r="K1927" s="14" t="b">
        <f>OR(LCI_Table[[#This Row],[Data Source]]="All",LCI_Table[[#This Row],[Data Source]]=SelectedDataSource)</f>
        <v>0</v>
      </c>
      <c r="L1927" s="14" t="b">
        <f>TRUE</f>
        <v>1</v>
      </c>
      <c r="M1927" s="14" t="b">
        <f>(LCI_Table[[#This Row],[Dev Notes]]="Do not display")</f>
        <v>0</v>
      </c>
      <c r="N1927" s="14" t="b">
        <f>AND(LCI_Table[[#This Row],[Show Feedstock]:[Conditional]],NOT(LCI_Table[[#This Row],[Hide Row]]))</f>
        <v>0</v>
      </c>
      <c r="O1927" s="14" t="b">
        <f>LCI_Table[[#This Row],[GREET1 Name Range]]=""</f>
        <v>0</v>
      </c>
      <c r="P1927" s="14" t="s">
        <v>14</v>
      </c>
      <c r="Q1927" s="14" t="s">
        <v>958</v>
      </c>
      <c r="R1927" s="14" t="s">
        <v>115</v>
      </c>
      <c r="S1927" s="37" cm="1">
        <f t="array" aca="1" ref="S19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27" s="346" t="s">
        <v>1156</v>
      </c>
      <c r="U1927" s="347">
        <f ca="1">S1927*Fuel_Specs!$B$28/S1919</f>
        <v>0</v>
      </c>
      <c r="V1927" s="347">
        <v>0</v>
      </c>
      <c r="W1927" s="347">
        <v>0</v>
      </c>
      <c r="X1927" s="14" t="s">
        <v>5</v>
      </c>
      <c r="Y1927" s="346" t="s">
        <v>413</v>
      </c>
      <c r="Z1927" s="14" t="str">
        <f>IF(ISBLANK(LCI_Table[[#This Row],[Notes for user]])," ",LCI_Table[[#This Row],[Notes for user]])</f>
        <v xml:space="preserve"> </v>
      </c>
      <c r="AA1927" s="14"/>
      <c r="AB1927" s="14"/>
      <c r="AC1927" s="346">
        <f ca="1">LCI_Table[[#This Row],[Default Calculated Value]]-LCI_Table[[#This Row],[Calculated Value]]</f>
        <v>0</v>
      </c>
    </row>
    <row r="1928" spans="1:29" x14ac:dyDescent="0.3">
      <c r="A19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EucalyptusFTICAOJRC (E3)(blank)_Eucalyptus_DieselDiesel</v>
      </c>
      <c r="B1928" s="14" t="s">
        <v>881</v>
      </c>
      <c r="C1928" s="14" t="s">
        <v>129</v>
      </c>
      <c r="D1928" s="14" t="s">
        <v>194</v>
      </c>
      <c r="E1928" s="48" t="s">
        <v>1336</v>
      </c>
      <c r="F1928" s="48" t="s">
        <v>31</v>
      </c>
      <c r="G1928" s="14" t="b">
        <f>OR(LCI_Table[[#This Row],[Feedstock]]="All",LCI_Table[[#This Row],[Feedstock]]=SelectedFeedstock)</f>
        <v>0</v>
      </c>
      <c r="H1928" s="14" t="b">
        <f>OR(LCI_Table[[#This Row],[Conversion]]="All",LCI_Table[[#This Row],[Conversion]]=SelectedConversion)</f>
        <v>0</v>
      </c>
      <c r="I1928" s="14" t="b">
        <f>OR(LCI_Table[[#This Row],[Data Set]]="all",LCI_Table[[#This Row],[Data Set]]=SelectedDataSet)</f>
        <v>0</v>
      </c>
      <c r="J1928" s="14" t="b">
        <f>OR(LCI_Table[[#This Row],[Technology]]="All",LCI_Table[[#This Row],[Technology]]=SelectedTechnology)</f>
        <v>1</v>
      </c>
      <c r="K1928" s="14" t="b">
        <f>OR(LCI_Table[[#This Row],[Data Source]]="All",LCI_Table[[#This Row],[Data Source]]=SelectedDataSource)</f>
        <v>0</v>
      </c>
      <c r="L1928" s="14" t="b">
        <f>TRUE</f>
        <v>1</v>
      </c>
      <c r="M1928" s="14" t="b">
        <f>(LCI_Table[[#This Row],[Dev Notes]]="Do not display")</f>
        <v>0</v>
      </c>
      <c r="N1928" s="14" t="b">
        <f>AND(LCI_Table[[#This Row],[Show Feedstock]:[Conditional]],NOT(LCI_Table[[#This Row],[Hide Row]]))</f>
        <v>0</v>
      </c>
      <c r="O1928" s="14" t="b">
        <f>LCI_Table[[#This Row],[GREET1 Name Range]]=""</f>
        <v>0</v>
      </c>
      <c r="P1928" s="14" t="s">
        <v>14</v>
      </c>
      <c r="Q1928" s="14" t="s">
        <v>959</v>
      </c>
      <c r="R1928" s="14" t="s">
        <v>106</v>
      </c>
      <c r="S1928" s="37" cm="1">
        <f t="array" aca="1" ref="S19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10.648179409189421</v>
      </c>
      <c r="T1928" s="346" t="s">
        <v>1484</v>
      </c>
      <c r="U1928" s="347">
        <f ca="1">S1928*Fuel_Specs!$B$19/S1919</f>
        <v>237682.40188000005</v>
      </c>
      <c r="V1928" s="347">
        <v>10.648179409189421</v>
      </c>
      <c r="W1928" s="347">
        <v>237682.40188000005</v>
      </c>
      <c r="X1928" s="14" t="s">
        <v>5</v>
      </c>
      <c r="Y1928" s="346" t="s">
        <v>413</v>
      </c>
      <c r="Z1928" s="14" t="str">
        <f>IF(ISBLANK(LCI_Table[[#This Row],[Notes for user]])," ",LCI_Table[[#This Row],[Notes for user]])</f>
        <v xml:space="preserve"> </v>
      </c>
      <c r="AA1928" s="14"/>
      <c r="AB1928" s="14"/>
      <c r="AC1928" s="346">
        <f ca="1">LCI_Table[[#This Row],[Default Calculated Value]]-LCI_Table[[#This Row],[Calculated Value]]</f>
        <v>0</v>
      </c>
    </row>
    <row r="1929" spans="1:29" x14ac:dyDescent="0.3">
      <c r="A19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EucalyptusFTICAOJRC (E3)(blank)_Eucalyptus_GasolineGasoline</v>
      </c>
      <c r="B1929" s="14" t="s">
        <v>881</v>
      </c>
      <c r="C1929" s="14" t="s">
        <v>129</v>
      </c>
      <c r="D1929" s="14" t="s">
        <v>194</v>
      </c>
      <c r="E1929" s="48" t="s">
        <v>1336</v>
      </c>
      <c r="F1929" s="48" t="s">
        <v>31</v>
      </c>
      <c r="G1929" s="14" t="b">
        <f>OR(LCI_Table[[#This Row],[Feedstock]]="All",LCI_Table[[#This Row],[Feedstock]]=SelectedFeedstock)</f>
        <v>0</v>
      </c>
      <c r="H1929" s="14" t="b">
        <f>OR(LCI_Table[[#This Row],[Conversion]]="All",LCI_Table[[#This Row],[Conversion]]=SelectedConversion)</f>
        <v>0</v>
      </c>
      <c r="I1929" s="14" t="b">
        <f>OR(LCI_Table[[#This Row],[Data Set]]="all",LCI_Table[[#This Row],[Data Set]]=SelectedDataSet)</f>
        <v>0</v>
      </c>
      <c r="J1929" s="14" t="b">
        <f>OR(LCI_Table[[#This Row],[Technology]]="All",LCI_Table[[#This Row],[Technology]]=SelectedTechnology)</f>
        <v>1</v>
      </c>
      <c r="K1929" s="14" t="b">
        <f>OR(LCI_Table[[#This Row],[Data Source]]="All",LCI_Table[[#This Row],[Data Source]]=SelectedDataSource)</f>
        <v>0</v>
      </c>
      <c r="L1929" s="14" t="b">
        <f>TRUE</f>
        <v>1</v>
      </c>
      <c r="M1929" s="14" t="b">
        <f>(LCI_Table[[#This Row],[Dev Notes]]="Do not display")</f>
        <v>0</v>
      </c>
      <c r="N1929" s="14" t="b">
        <f>AND(LCI_Table[[#This Row],[Show Feedstock]:[Conditional]],NOT(LCI_Table[[#This Row],[Hide Row]]))</f>
        <v>0</v>
      </c>
      <c r="O1929" s="14" t="b">
        <f>LCI_Table[[#This Row],[GREET1 Name Range]]=""</f>
        <v>0</v>
      </c>
      <c r="P1929" s="14" t="s">
        <v>14</v>
      </c>
      <c r="Q1929" s="14" t="s">
        <v>960</v>
      </c>
      <c r="R1929" s="14" t="s">
        <v>107</v>
      </c>
      <c r="S1929" s="37" cm="1">
        <f t="array" aca="1" ref="S19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29" s="346" t="s">
        <v>1484</v>
      </c>
      <c r="U1929" s="347">
        <f ca="1">S1929*Fuel_Specs!$B$15/S1919</f>
        <v>0</v>
      </c>
      <c r="V1929" s="347">
        <v>0</v>
      </c>
      <c r="W1929" s="347">
        <v>0</v>
      </c>
      <c r="X1929" s="14" t="s">
        <v>5</v>
      </c>
      <c r="Y1929" s="346" t="s">
        <v>413</v>
      </c>
      <c r="Z1929" s="14" t="str">
        <f>IF(ISBLANK(LCI_Table[[#This Row],[Notes for user]])," ",LCI_Table[[#This Row],[Notes for user]])</f>
        <v xml:space="preserve"> </v>
      </c>
      <c r="AA1929" s="14"/>
      <c r="AB1929" s="14"/>
      <c r="AC1929" s="346">
        <f ca="1">LCI_Table[[#This Row],[Default Calculated Value]]-LCI_Table[[#This Row],[Calculated Value]]</f>
        <v>0</v>
      </c>
    </row>
    <row r="1930" spans="1:29" x14ac:dyDescent="0.3">
      <c r="A19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EucalyptusFTICAOJRC (E3)(blank)_Eucalyptus_Natural_gasNatural gas</v>
      </c>
      <c r="B1930" s="14" t="s">
        <v>881</v>
      </c>
      <c r="C1930" s="14" t="s">
        <v>129</v>
      </c>
      <c r="D1930" s="14" t="s">
        <v>194</v>
      </c>
      <c r="E1930" s="48" t="s">
        <v>1336</v>
      </c>
      <c r="F1930" s="48" t="s">
        <v>31</v>
      </c>
      <c r="G1930" s="14" t="b">
        <f>OR(LCI_Table[[#This Row],[Feedstock]]="All",LCI_Table[[#This Row],[Feedstock]]=SelectedFeedstock)</f>
        <v>0</v>
      </c>
      <c r="H1930" s="14" t="b">
        <f>OR(LCI_Table[[#This Row],[Conversion]]="All",LCI_Table[[#This Row],[Conversion]]=SelectedConversion)</f>
        <v>0</v>
      </c>
      <c r="I1930" s="14" t="b">
        <f>OR(LCI_Table[[#This Row],[Data Set]]="all",LCI_Table[[#This Row],[Data Set]]=SelectedDataSet)</f>
        <v>0</v>
      </c>
      <c r="J1930" s="14" t="b">
        <f>OR(LCI_Table[[#This Row],[Technology]]="All",LCI_Table[[#This Row],[Technology]]=SelectedTechnology)</f>
        <v>1</v>
      </c>
      <c r="K1930" s="14" t="b">
        <f>OR(LCI_Table[[#This Row],[Data Source]]="All",LCI_Table[[#This Row],[Data Source]]=SelectedDataSource)</f>
        <v>0</v>
      </c>
      <c r="L1930" s="14" t="b">
        <f>TRUE</f>
        <v>1</v>
      </c>
      <c r="M1930" s="14" t="b">
        <f>(LCI_Table[[#This Row],[Dev Notes]]="Do not display")</f>
        <v>0</v>
      </c>
      <c r="N1930" s="14" t="b">
        <f>AND(LCI_Table[[#This Row],[Show Feedstock]:[Conditional]],NOT(LCI_Table[[#This Row],[Hide Row]]))</f>
        <v>0</v>
      </c>
      <c r="O1930" s="14" t="b">
        <f>LCI_Table[[#This Row],[GREET1 Name Range]]=""</f>
        <v>0</v>
      </c>
      <c r="P1930" s="14" t="s">
        <v>14</v>
      </c>
      <c r="Q1930" s="14" t="s">
        <v>961</v>
      </c>
      <c r="R1930" s="14" t="s">
        <v>108</v>
      </c>
      <c r="S1930" s="37" cm="1">
        <f t="array" aca="1" ref="S19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30" s="346" t="s">
        <v>2109</v>
      </c>
      <c r="U1930" s="347">
        <f ca="1">S1930*Fuel_Specs!$B$79/S1919</f>
        <v>0</v>
      </c>
      <c r="V1930" s="347">
        <v>0</v>
      </c>
      <c r="W1930" s="347">
        <v>0</v>
      </c>
      <c r="X1930" s="14" t="s">
        <v>351</v>
      </c>
      <c r="Y1930" s="346" t="s">
        <v>413</v>
      </c>
      <c r="Z1930" s="14" t="str">
        <f>IF(ISBLANK(LCI_Table[[#This Row],[Notes for user]])," ",LCI_Table[[#This Row],[Notes for user]])</f>
        <v xml:space="preserve"> </v>
      </c>
      <c r="AA1930" s="14"/>
      <c r="AB1930" s="14"/>
      <c r="AC1930" s="346">
        <f ca="1">LCI_Table[[#This Row],[Default Calculated Value]]-LCI_Table[[#This Row],[Calculated Value]]</f>
        <v>0</v>
      </c>
    </row>
    <row r="1931" spans="1:29" x14ac:dyDescent="0.3">
      <c r="A19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EucalyptusFTICAOJRC (E3)(blank)_Eucalyptus_CoalCoal</v>
      </c>
      <c r="B1931" s="14" t="s">
        <v>881</v>
      </c>
      <c r="C1931" s="14" t="s">
        <v>129</v>
      </c>
      <c r="D1931" s="14" t="s">
        <v>194</v>
      </c>
      <c r="E1931" s="48" t="s">
        <v>1336</v>
      </c>
      <c r="F1931" s="48" t="s">
        <v>31</v>
      </c>
      <c r="G1931" s="14" t="b">
        <f>OR(LCI_Table[[#This Row],[Feedstock]]="All",LCI_Table[[#This Row],[Feedstock]]=SelectedFeedstock)</f>
        <v>0</v>
      </c>
      <c r="H1931" s="14" t="b">
        <f>OR(LCI_Table[[#This Row],[Conversion]]="All",LCI_Table[[#This Row],[Conversion]]=SelectedConversion)</f>
        <v>0</v>
      </c>
      <c r="I1931" s="14" t="b">
        <f>OR(LCI_Table[[#This Row],[Data Set]]="all",LCI_Table[[#This Row],[Data Set]]=SelectedDataSet)</f>
        <v>0</v>
      </c>
      <c r="J1931" s="14" t="b">
        <f>OR(LCI_Table[[#This Row],[Technology]]="All",LCI_Table[[#This Row],[Technology]]=SelectedTechnology)</f>
        <v>1</v>
      </c>
      <c r="K1931" s="14" t="b">
        <f>OR(LCI_Table[[#This Row],[Data Source]]="All",LCI_Table[[#This Row],[Data Source]]=SelectedDataSource)</f>
        <v>0</v>
      </c>
      <c r="L1931" s="14" t="b">
        <f>TRUE</f>
        <v>1</v>
      </c>
      <c r="M1931" s="14" t="b">
        <f>(LCI_Table[[#This Row],[Dev Notes]]="Do not display")</f>
        <v>0</v>
      </c>
      <c r="N1931" s="14" t="b">
        <f>AND(LCI_Table[[#This Row],[Show Feedstock]:[Conditional]],NOT(LCI_Table[[#This Row],[Hide Row]]))</f>
        <v>0</v>
      </c>
      <c r="O1931" s="14" t="b">
        <f>LCI_Table[[#This Row],[GREET1 Name Range]]=""</f>
        <v>0</v>
      </c>
      <c r="P1931" s="14" t="s">
        <v>14</v>
      </c>
      <c r="Q1931" s="14" t="s">
        <v>962</v>
      </c>
      <c r="R1931" s="14" t="s">
        <v>9</v>
      </c>
      <c r="S1931" s="37" cm="1">
        <f t="array" aca="1" ref="S19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31" s="346" t="s">
        <v>2110</v>
      </c>
      <c r="U1931" s="347">
        <f ca="1">S1931/S1919</f>
        <v>0</v>
      </c>
      <c r="V1931" s="347">
        <v>0</v>
      </c>
      <c r="W1931" s="347">
        <v>0</v>
      </c>
      <c r="X1931" s="14" t="s">
        <v>117</v>
      </c>
      <c r="Y1931" s="346" t="s">
        <v>413</v>
      </c>
      <c r="Z1931" s="14" t="str">
        <f>IF(ISBLANK(LCI_Table[[#This Row],[Notes for user]])," ",LCI_Table[[#This Row],[Notes for user]])</f>
        <v xml:space="preserve"> </v>
      </c>
      <c r="AA1931" s="14"/>
      <c r="AB1931" s="14"/>
      <c r="AC1931" s="346">
        <f ca="1">LCI_Table[[#This Row],[Default Calculated Value]]-LCI_Table[[#This Row],[Calculated Value]]</f>
        <v>0</v>
      </c>
    </row>
    <row r="1932" spans="1:29" x14ac:dyDescent="0.3">
      <c r="A19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EucalyptusFTICAOJRC (E3)(blank)_Eucalyptus_LPGLPG</v>
      </c>
      <c r="B1932" s="14" t="s">
        <v>881</v>
      </c>
      <c r="C1932" s="14" t="s">
        <v>129</v>
      </c>
      <c r="D1932" s="14" t="s">
        <v>194</v>
      </c>
      <c r="E1932" s="48" t="s">
        <v>1336</v>
      </c>
      <c r="F1932" s="48" t="s">
        <v>31</v>
      </c>
      <c r="G1932" s="14" t="b">
        <f>OR(LCI_Table[[#This Row],[Feedstock]]="All",LCI_Table[[#This Row],[Feedstock]]=SelectedFeedstock)</f>
        <v>0</v>
      </c>
      <c r="H1932" s="14" t="b">
        <f>OR(LCI_Table[[#This Row],[Conversion]]="All",LCI_Table[[#This Row],[Conversion]]=SelectedConversion)</f>
        <v>0</v>
      </c>
      <c r="I1932" s="14" t="b">
        <f>OR(LCI_Table[[#This Row],[Data Set]]="all",LCI_Table[[#This Row],[Data Set]]=SelectedDataSet)</f>
        <v>0</v>
      </c>
      <c r="J1932" s="14" t="b">
        <f>OR(LCI_Table[[#This Row],[Technology]]="All",LCI_Table[[#This Row],[Technology]]=SelectedTechnology)</f>
        <v>1</v>
      </c>
      <c r="K1932" s="14" t="b">
        <f>OR(LCI_Table[[#This Row],[Data Source]]="All",LCI_Table[[#This Row],[Data Source]]=SelectedDataSource)</f>
        <v>0</v>
      </c>
      <c r="L1932" s="14" t="b">
        <f>TRUE</f>
        <v>1</v>
      </c>
      <c r="M1932" s="14" t="b">
        <f>(LCI_Table[[#This Row],[Dev Notes]]="Do not display")</f>
        <v>0</v>
      </c>
      <c r="N1932" s="14" t="b">
        <f>AND(LCI_Table[[#This Row],[Show Feedstock]:[Conditional]],NOT(LCI_Table[[#This Row],[Hide Row]]))</f>
        <v>0</v>
      </c>
      <c r="O1932" s="14" t="b">
        <f>LCI_Table[[#This Row],[GREET1 Name Range]]=""</f>
        <v>0</v>
      </c>
      <c r="P1932" s="14" t="s">
        <v>14</v>
      </c>
      <c r="Q1932" s="14" t="s">
        <v>963</v>
      </c>
      <c r="R1932" s="14" t="s">
        <v>109</v>
      </c>
      <c r="S1932" s="37" cm="1">
        <f t="array" aca="1" ref="S19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32" s="346" t="s">
        <v>1484</v>
      </c>
      <c r="U1932" s="347">
        <f ca="1">S1932*Fuel_Specs!$B$35/S1919</f>
        <v>0</v>
      </c>
      <c r="V1932" s="347">
        <v>0</v>
      </c>
      <c r="W1932" s="347">
        <v>0</v>
      </c>
      <c r="X1932" s="14" t="s">
        <v>5</v>
      </c>
      <c r="Y1932" s="346" t="s">
        <v>413</v>
      </c>
      <c r="Z1932" s="14" t="str">
        <f>IF(ISBLANK(LCI_Table[[#This Row],[Notes for user]])," ",LCI_Table[[#This Row],[Notes for user]])</f>
        <v xml:space="preserve"> </v>
      </c>
      <c r="AA1932" s="14"/>
      <c r="AB1932" s="14"/>
      <c r="AC1932" s="346">
        <f ca="1">LCI_Table[[#This Row],[Default Calculated Value]]-LCI_Table[[#This Row],[Calculated Value]]</f>
        <v>0</v>
      </c>
    </row>
    <row r="1933" spans="1:29" x14ac:dyDescent="0.3">
      <c r="A19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EucalyptusFTICAOJRC (E3)(blank)_Eucalyptus_ElectricityElectricity</v>
      </c>
      <c r="B1933" s="14" t="s">
        <v>881</v>
      </c>
      <c r="C1933" s="14" t="s">
        <v>129</v>
      </c>
      <c r="D1933" s="14" t="s">
        <v>194</v>
      </c>
      <c r="E1933" s="48" t="s">
        <v>1336</v>
      </c>
      <c r="F1933" s="48" t="s">
        <v>31</v>
      </c>
      <c r="G1933" s="14" t="b">
        <f>OR(LCI_Table[[#This Row],[Feedstock]]="All",LCI_Table[[#This Row],[Feedstock]]=SelectedFeedstock)</f>
        <v>0</v>
      </c>
      <c r="H1933" s="14" t="b">
        <f>OR(LCI_Table[[#This Row],[Conversion]]="All",LCI_Table[[#This Row],[Conversion]]=SelectedConversion)</f>
        <v>0</v>
      </c>
      <c r="I1933" s="14" t="b">
        <f>OR(LCI_Table[[#This Row],[Data Set]]="all",LCI_Table[[#This Row],[Data Set]]=SelectedDataSet)</f>
        <v>0</v>
      </c>
      <c r="J1933" s="14" t="b">
        <f>OR(LCI_Table[[#This Row],[Technology]]="All",LCI_Table[[#This Row],[Technology]]=SelectedTechnology)</f>
        <v>1</v>
      </c>
      <c r="K1933" s="14" t="b">
        <f>OR(LCI_Table[[#This Row],[Data Source]]="All",LCI_Table[[#This Row],[Data Source]]=SelectedDataSource)</f>
        <v>0</v>
      </c>
      <c r="L1933" s="14" t="b">
        <f>TRUE</f>
        <v>1</v>
      </c>
      <c r="M1933" s="14" t="b">
        <f>(LCI_Table[[#This Row],[Dev Notes]]="Do not display")</f>
        <v>0</v>
      </c>
      <c r="N1933" s="14" t="b">
        <f>AND(LCI_Table[[#This Row],[Show Feedstock]:[Conditional]],NOT(LCI_Table[[#This Row],[Hide Row]]))</f>
        <v>0</v>
      </c>
      <c r="O1933" s="14" t="b">
        <f>LCI_Table[[#This Row],[GREET1 Name Range]]=""</f>
        <v>0</v>
      </c>
      <c r="P1933" s="14" t="s">
        <v>14</v>
      </c>
      <c r="Q1933" s="14" t="s">
        <v>964</v>
      </c>
      <c r="R1933" s="348" t="s">
        <v>110</v>
      </c>
      <c r="S1933" s="37" cm="1">
        <f t="array" aca="1" ref="S19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33" s="346" t="s">
        <v>1561</v>
      </c>
      <c r="U1933" s="347">
        <f ca="1">S1933/BTU2kWh/S1919</f>
        <v>0</v>
      </c>
      <c r="V1933" s="347">
        <v>0</v>
      </c>
      <c r="W1933" s="347">
        <v>0</v>
      </c>
      <c r="X1933" s="14" t="s">
        <v>51</v>
      </c>
      <c r="Y1933" s="346" t="s">
        <v>413</v>
      </c>
      <c r="Z1933" s="14" t="str">
        <f>IF(ISBLANK(LCI_Table[[#This Row],[Notes for user]])," ",LCI_Table[[#This Row],[Notes for user]])</f>
        <v xml:space="preserve"> </v>
      </c>
      <c r="AA1933" s="14"/>
      <c r="AB1933" s="14"/>
      <c r="AC1933" s="346">
        <f ca="1">LCI_Table[[#This Row],[Default Calculated Value]]-LCI_Table[[#This Row],[Calculated Value]]</f>
        <v>0</v>
      </c>
    </row>
    <row r="1934" spans="1:29" x14ac:dyDescent="0.3">
      <c r="A19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EucalyptusFTICAOJRC (E3)(blank)_Eucalyptus_efficiencyEucalyptus</v>
      </c>
      <c r="B1934" s="14" t="s">
        <v>881</v>
      </c>
      <c r="C1934" s="14" t="s">
        <v>129</v>
      </c>
      <c r="D1934" s="14" t="s">
        <v>194</v>
      </c>
      <c r="E1934" s="48" t="s">
        <v>1336</v>
      </c>
      <c r="F1934" s="48" t="s">
        <v>31</v>
      </c>
      <c r="G1934" s="14" t="b">
        <f>OR(LCI_Table[[#This Row],[Feedstock]]="All",LCI_Table[[#This Row],[Feedstock]]=SelectedFeedstock)</f>
        <v>0</v>
      </c>
      <c r="H1934" s="14" t="b">
        <f>OR(LCI_Table[[#This Row],[Conversion]]="All",LCI_Table[[#This Row],[Conversion]]=SelectedConversion)</f>
        <v>0</v>
      </c>
      <c r="I1934" s="14" t="b">
        <f>OR(LCI_Table[[#This Row],[Data Set]]="all",LCI_Table[[#This Row],[Data Set]]=SelectedDataSet)</f>
        <v>0</v>
      </c>
      <c r="J1934" s="14" t="b">
        <f>OR(LCI_Table[[#This Row],[Technology]]="All",LCI_Table[[#This Row],[Technology]]=SelectedTechnology)</f>
        <v>1</v>
      </c>
      <c r="K1934" s="14" t="b">
        <f>OR(LCI_Table[[#This Row],[Data Source]]="All",LCI_Table[[#This Row],[Data Source]]=SelectedDataSource)</f>
        <v>0</v>
      </c>
      <c r="L1934" s="14" t="b">
        <f>TRUE</f>
        <v>1</v>
      </c>
      <c r="M1934" s="14" t="b">
        <f>(LCI_Table[[#This Row],[Dev Notes]]="Do not display")</f>
        <v>0</v>
      </c>
      <c r="N1934" s="14" t="b">
        <f>AND(LCI_Table[[#This Row],[Show Feedstock]:[Conditional]],NOT(LCI_Table[[#This Row],[Hide Row]]))</f>
        <v>0</v>
      </c>
      <c r="O1934" s="14" t="b">
        <f>LCI_Table[[#This Row],[GREET1 Name Range]]=""</f>
        <v>0</v>
      </c>
      <c r="P1934" s="14" t="s">
        <v>1448</v>
      </c>
      <c r="Q1934" s="14" t="s">
        <v>965</v>
      </c>
      <c r="R1934" s="14" t="s">
        <v>881</v>
      </c>
      <c r="S1934" s="37" cm="1">
        <f t="array" aca="1" ref="S19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0.16871684493091924</v>
      </c>
      <c r="T1934" s="346" t="s">
        <v>2125</v>
      </c>
      <c r="U1934" s="347">
        <f ca="1">1/(S1934*Fuel_Specs!$L$112*BTU2mmBTU)</f>
        <v>0.38000000000000012</v>
      </c>
      <c r="V1934" s="347">
        <v>0.16871684493091924</v>
      </c>
      <c r="W1934" s="347">
        <v>0.38000000000000012</v>
      </c>
      <c r="X1934" s="37" t="s">
        <v>55</v>
      </c>
      <c r="Y1934" s="346" t="s">
        <v>416</v>
      </c>
      <c r="Z1934" s="14" t="str">
        <f>IF(ISBLANK(LCI_Table[[#This Row],[Notes for user]])," ",LCI_Table[[#This Row],[Notes for user]])</f>
        <v xml:space="preserve"> </v>
      </c>
      <c r="AA1934" s="14"/>
      <c r="AB1934" s="14"/>
      <c r="AC1934" s="346">
        <f ca="1">LCI_Table[[#This Row],[Default Calculated Value]]-LCI_Table[[#This Row],[Calculated Value]]</f>
        <v>0</v>
      </c>
    </row>
    <row r="1935" spans="1:29" x14ac:dyDescent="0.3">
      <c r="A19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MSWFTICAOMIT (GREET)(blank)_MSW_FT_Non_biogenic_carbon_NBCNon-biogenic carbon (NBC)</v>
      </c>
      <c r="B1935" s="48" t="s">
        <v>878</v>
      </c>
      <c r="C1935" s="48" t="s">
        <v>129</v>
      </c>
      <c r="D1935" s="48" t="s">
        <v>194</v>
      </c>
      <c r="E1935" s="48" t="s">
        <v>1335</v>
      </c>
      <c r="F1935" s="48" t="s">
        <v>31</v>
      </c>
      <c r="G1935" s="14" t="b">
        <f>OR(LCI_Table[[#This Row],[Feedstock]]="All",LCI_Table[[#This Row],[Feedstock]]=SelectedFeedstock)</f>
        <v>0</v>
      </c>
      <c r="H1935" s="14" t="b">
        <f>OR(LCI_Table[[#This Row],[Conversion]]="All",LCI_Table[[#This Row],[Conversion]]=SelectedConversion)</f>
        <v>0</v>
      </c>
      <c r="I1935" s="14" t="b">
        <f>OR(LCI_Table[[#This Row],[Data Set]]="all",LCI_Table[[#This Row],[Data Set]]=SelectedDataSet)</f>
        <v>0</v>
      </c>
      <c r="J1935" s="14" t="b">
        <f>OR(LCI_Table[[#This Row],[Technology]]="All",LCI_Table[[#This Row],[Technology]]=SelectedTechnology)</f>
        <v>1</v>
      </c>
      <c r="K1935" s="14" t="b">
        <f>OR(LCI_Table[[#This Row],[Data Source]]="All",LCI_Table[[#This Row],[Data Source]]=SelectedDataSource)</f>
        <v>0</v>
      </c>
      <c r="L1935" s="14" t="b">
        <f>TRUE</f>
        <v>1</v>
      </c>
      <c r="M1935" s="14" t="b">
        <f>(LCI_Table[[#This Row],[Dev Notes]]="Do not display")</f>
        <v>0</v>
      </c>
      <c r="N1935" s="14" t="b">
        <f>AND(LCI_Table[[#This Row],[Show Feedstock]:[Conditional]],NOT(LCI_Table[[#This Row],[Hide Row]]))</f>
        <v>0</v>
      </c>
      <c r="O1935" s="14" t="b">
        <f>LCI_Table[[#This Row],[GREET1 Name Range]]=""</f>
        <v>0</v>
      </c>
      <c r="P1935" s="48" t="s">
        <v>1448</v>
      </c>
      <c r="Q1935" s="14" t="s">
        <v>966</v>
      </c>
      <c r="R1935" s="48" t="s">
        <v>913</v>
      </c>
      <c r="S1935" s="37" cm="1">
        <f t="array" aca="1" ref="S19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20</v>
      </c>
      <c r="T1935" s="346" t="s">
        <v>1345</v>
      </c>
      <c r="U1935" s="366">
        <f ca="1">S1935/100</f>
        <v>0.2</v>
      </c>
      <c r="V1935" s="353">
        <v>20</v>
      </c>
      <c r="W1935" s="353">
        <v>0.2</v>
      </c>
      <c r="X1935" s="48" t="s">
        <v>928</v>
      </c>
      <c r="Y1935" s="346" t="s">
        <v>416</v>
      </c>
      <c r="Z1935" s="14" t="str">
        <f>IF(ISBLANK(LCI_Table[[#This Row],[Notes for user]])," ",LCI_Table[[#This Row],[Notes for user]])</f>
        <v>Value must range from 0% to 100%</v>
      </c>
      <c r="AA1935" s="48" t="s">
        <v>1333</v>
      </c>
      <c r="AB1935" s="345" t="s">
        <v>922</v>
      </c>
      <c r="AC1935" s="346">
        <f ca="1">LCI_Table[[#This Row],[Default Calculated Value]]-LCI_Table[[#This Row],[Calculated Value]]</f>
        <v>0</v>
      </c>
    </row>
    <row r="1936" spans="1:29" x14ac:dyDescent="0.3">
      <c r="A19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MSWFTICAOMIT (GREET)(blank)_MSW_FT_FT_efficiencyMSW</v>
      </c>
      <c r="B1936" s="14" t="s">
        <v>878</v>
      </c>
      <c r="C1936" s="14" t="s">
        <v>129</v>
      </c>
      <c r="D1936" s="14" t="s">
        <v>194</v>
      </c>
      <c r="E1936" s="48" t="s">
        <v>1335</v>
      </c>
      <c r="F1936" s="48" t="s">
        <v>31</v>
      </c>
      <c r="G1936" s="14" t="b">
        <f>OR(LCI_Table[[#This Row],[Feedstock]]="All",LCI_Table[[#This Row],[Feedstock]]=SelectedFeedstock)</f>
        <v>0</v>
      </c>
      <c r="H1936" s="14" t="b">
        <f>OR(LCI_Table[[#This Row],[Conversion]]="All",LCI_Table[[#This Row],[Conversion]]=SelectedConversion)</f>
        <v>0</v>
      </c>
      <c r="I1936" s="14" t="b">
        <f>OR(LCI_Table[[#This Row],[Data Set]]="all",LCI_Table[[#This Row],[Data Set]]=SelectedDataSet)</f>
        <v>0</v>
      </c>
      <c r="J1936" s="14" t="b">
        <f>OR(LCI_Table[[#This Row],[Technology]]="All",LCI_Table[[#This Row],[Technology]]=SelectedTechnology)</f>
        <v>1</v>
      </c>
      <c r="K1936" s="14" t="b">
        <f>OR(LCI_Table[[#This Row],[Data Source]]="All",LCI_Table[[#This Row],[Data Source]]=SelectedDataSource)</f>
        <v>0</v>
      </c>
      <c r="L1936" s="14" t="b">
        <f>TRUE</f>
        <v>1</v>
      </c>
      <c r="M1936" s="14" t="b">
        <f>(LCI_Table[[#This Row],[Dev Notes]]="Do not display")</f>
        <v>0</v>
      </c>
      <c r="N1936" s="14" t="b">
        <f>AND(LCI_Table[[#This Row],[Show Feedstock]:[Conditional]],NOT(LCI_Table[[#This Row],[Hide Row]]))</f>
        <v>0</v>
      </c>
      <c r="O1936" s="14" t="b">
        <f>LCI_Table[[#This Row],[GREET1 Name Range]]=""</f>
        <v>0</v>
      </c>
      <c r="P1936" s="14" t="s">
        <v>1448</v>
      </c>
      <c r="Q1936" s="14" t="s">
        <v>967</v>
      </c>
      <c r="R1936" s="14" t="s">
        <v>878</v>
      </c>
      <c r="S1936" s="37" cm="1">
        <f t="array" aca="1" ref="S19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0.1030480238447587</v>
      </c>
      <c r="T1936" s="346" t="s">
        <v>2125</v>
      </c>
      <c r="U1936" s="367">
        <f ca="1">1/(S1936*Fuel_Specs!$L$111*BTU2mmBTU)</f>
        <v>0.54</v>
      </c>
      <c r="V1936" s="347">
        <v>0.1030480238447587</v>
      </c>
      <c r="W1936" s="367">
        <v>0.54</v>
      </c>
      <c r="X1936" s="37" t="s">
        <v>55</v>
      </c>
      <c r="Y1936" s="346" t="s">
        <v>416</v>
      </c>
      <c r="Z1936" s="14" t="str">
        <f>IF(ISBLANK(LCI_Table[[#This Row],[Notes for user]])," ",LCI_Table[[#This Row],[Notes for user]])</f>
        <v xml:space="preserve"> </v>
      </c>
      <c r="AA1936" s="14"/>
      <c r="AB1936" s="14"/>
      <c r="AC1936" s="346">
        <f ca="1">LCI_Table[[#This Row],[Default Calculated Value]]-LCI_Table[[#This Row],[Calculated Value]]</f>
        <v>0</v>
      </c>
    </row>
    <row r="1937" spans="1:29" x14ac:dyDescent="0.3">
      <c r="A19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dash_SugarcaneATJ-ethanolICAOMIT(blank)_Yield_Farming</v>
      </c>
      <c r="B1937" s="48" t="s">
        <v>447</v>
      </c>
      <c r="C1937" s="48" t="s">
        <v>1964</v>
      </c>
      <c r="D1937" s="48" t="s">
        <v>194</v>
      </c>
      <c r="E1937" s="48" t="s">
        <v>377</v>
      </c>
      <c r="F1937" s="48" t="s">
        <v>31</v>
      </c>
      <c r="G1937" s="14" t="b">
        <f>OR(LCI_Table[[#This Row],[Feedstock]]="All",LCI_Table[[#This Row],[Feedstock]]=SelectedFeedstock)</f>
        <v>0</v>
      </c>
      <c r="H1937" s="14" t="b">
        <f>OR(LCI_Table[[#This Row],[Conversion]]="All",LCI_Table[[#This Row],[Conversion]]=SelectedConversion)</f>
        <v>0</v>
      </c>
      <c r="I1937" s="14" t="b">
        <f>OR(LCI_Table[[#This Row],[Data Set]]="all",LCI_Table[[#This Row],[Data Set]]=SelectedDataSet)</f>
        <v>0</v>
      </c>
      <c r="J1937" s="14" t="b">
        <f>OR(LCI_Table[[#This Row],[Technology]]="All",LCI_Table[[#This Row],[Technology]]=SelectedTechnology)</f>
        <v>1</v>
      </c>
      <c r="K1937" s="14" t="b">
        <f>OR(LCI_Table[[#This Row],[Data Source]]="All",LCI_Table[[#This Row],[Data Source]]=SelectedDataSource)</f>
        <v>0</v>
      </c>
      <c r="L1937" s="14" t="b">
        <f>TRUE</f>
        <v>1</v>
      </c>
      <c r="M1937" s="14" t="b">
        <f>(LCI_Table[[#This Row],[Dev Notes]]="Do not display")</f>
        <v>0</v>
      </c>
      <c r="N1937" s="14" t="b">
        <f>AND(LCI_Table[[#This Row],[Show Feedstock]:[Conditional]],NOT(LCI_Table[[#This Row],[Hide Row]]))</f>
        <v>0</v>
      </c>
      <c r="O1937" s="14" t="b">
        <f>LCI_Table[[#This Row],[GREET1 Name Range]]=""</f>
        <v>1</v>
      </c>
      <c r="P1937" s="48" t="s">
        <v>14</v>
      </c>
      <c r="Q1937" s="14" t="s">
        <v>361</v>
      </c>
      <c r="R1937" s="48" t="s">
        <v>200</v>
      </c>
      <c r="S1937" s="37" cm="1">
        <f t="array" aca="1" ref="S19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38.676024628050598</v>
      </c>
      <c r="T1937" s="346" t="s">
        <v>2116</v>
      </c>
      <c r="U1937" s="344"/>
      <c r="V1937" s="344">
        <v>38.676024628050598</v>
      </c>
      <c r="W1937" s="344"/>
      <c r="X1937" s="48" t="s">
        <v>55</v>
      </c>
      <c r="Y1937" s="346" t="s">
        <v>413</v>
      </c>
      <c r="Z1937" s="14" t="str">
        <f>IF(ISBLANK(LCI_Table[[#This Row],[Notes for user]])," ",LCI_Table[[#This Row],[Notes for user]])</f>
        <v xml:space="preserve"> </v>
      </c>
      <c r="AA1937" s="48"/>
      <c r="AB1937" s="345" t="s">
        <v>923</v>
      </c>
      <c r="AC1937" s="346">
        <f>LCI_Table[[#This Row],[Default Calculated Value]]-LCI_Table[[#This Row],[Calculated Value]]</f>
        <v>0</v>
      </c>
    </row>
    <row r="1938" spans="1:29" x14ac:dyDescent="0.3">
      <c r="A19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SugarcaneATJ-ethanolICAOMIT(blank)_Sugarcane_Nitrogen_fertilizerNitrogen fertilizer</v>
      </c>
      <c r="B1938" s="14" t="s">
        <v>447</v>
      </c>
      <c r="C1938" s="14" t="s">
        <v>1964</v>
      </c>
      <c r="D1938" s="14" t="s">
        <v>194</v>
      </c>
      <c r="E1938" s="14" t="s">
        <v>377</v>
      </c>
      <c r="F1938" s="48" t="s">
        <v>31</v>
      </c>
      <c r="G1938" s="14" t="b">
        <f>OR(LCI_Table[[#This Row],[Feedstock]]="All",LCI_Table[[#This Row],[Feedstock]]=SelectedFeedstock)</f>
        <v>0</v>
      </c>
      <c r="H1938" s="14" t="b">
        <f>OR(LCI_Table[[#This Row],[Conversion]]="All",LCI_Table[[#This Row],[Conversion]]=SelectedConversion)</f>
        <v>0</v>
      </c>
      <c r="I1938" s="14" t="b">
        <f>OR(LCI_Table[[#This Row],[Data Set]]="all",LCI_Table[[#This Row],[Data Set]]=SelectedDataSet)</f>
        <v>0</v>
      </c>
      <c r="J1938" s="14" t="b">
        <f>OR(LCI_Table[[#This Row],[Technology]]="All",LCI_Table[[#This Row],[Technology]]=SelectedTechnology)</f>
        <v>1</v>
      </c>
      <c r="K1938" s="14" t="b">
        <f>OR(LCI_Table[[#This Row],[Data Source]]="All",LCI_Table[[#This Row],[Data Source]]=SelectedDataSource)</f>
        <v>0</v>
      </c>
      <c r="L1938" s="14" t="b">
        <f>TRUE</f>
        <v>1</v>
      </c>
      <c r="M1938" s="14" t="b">
        <f>(LCI_Table[[#This Row],[Dev Notes]]="Do not display")</f>
        <v>0</v>
      </c>
      <c r="N1938" s="14" t="b">
        <f>AND(LCI_Table[[#This Row],[Show Feedstock]:[Conditional]],NOT(LCI_Table[[#This Row],[Hide Row]]))</f>
        <v>0</v>
      </c>
      <c r="O1938" s="14" t="b">
        <f>LCI_Table[[#This Row],[GREET1 Name Range]]=""</f>
        <v>0</v>
      </c>
      <c r="P1938" s="14" t="s">
        <v>14</v>
      </c>
      <c r="Q1938" s="14" t="s">
        <v>968</v>
      </c>
      <c r="R1938" s="14" t="s">
        <v>111</v>
      </c>
      <c r="S1938" s="37" cm="1">
        <f t="array" aca="1" ref="S19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71.93740580817412</v>
      </c>
      <c r="T1938" s="346" t="s">
        <v>1485</v>
      </c>
      <c r="U1938" s="347">
        <f t="shared" ref="U1938:U1943" ca="1" si="104">S1938/$S$1937*lb2g/ton2MT</f>
        <v>930</v>
      </c>
      <c r="V1938" s="347">
        <v>71.93740580817412</v>
      </c>
      <c r="W1938" s="347">
        <v>930</v>
      </c>
      <c r="X1938" s="14" t="s">
        <v>12</v>
      </c>
      <c r="Y1938" s="346" t="s">
        <v>413</v>
      </c>
      <c r="Z1938" s="14" t="str">
        <f>IF(ISBLANK(LCI_Table[[#This Row],[Notes for user]])," ",LCI_Table[[#This Row],[Notes for user]])</f>
        <v xml:space="preserve"> </v>
      </c>
      <c r="AA1938" s="14"/>
      <c r="AB1938" s="14"/>
      <c r="AC1938" s="346">
        <f ca="1">LCI_Table[[#This Row],[Default Calculated Value]]-LCI_Table[[#This Row],[Calculated Value]]</f>
        <v>0</v>
      </c>
    </row>
    <row r="1939" spans="1:29" x14ac:dyDescent="0.3">
      <c r="A19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SugarcaneATJ-ethanolICAOMIT(blank)_Sugarcane_P2O5P2O5</v>
      </c>
      <c r="B1939" s="14" t="s">
        <v>447</v>
      </c>
      <c r="C1939" s="14" t="s">
        <v>1964</v>
      </c>
      <c r="D1939" s="14" t="s">
        <v>194</v>
      </c>
      <c r="E1939" s="14" t="s">
        <v>377</v>
      </c>
      <c r="F1939" s="48" t="s">
        <v>31</v>
      </c>
      <c r="G1939" s="14" t="b">
        <f>OR(LCI_Table[[#This Row],[Feedstock]]="All",LCI_Table[[#This Row],[Feedstock]]=SelectedFeedstock)</f>
        <v>0</v>
      </c>
      <c r="H1939" s="14" t="b">
        <f>OR(LCI_Table[[#This Row],[Conversion]]="All",LCI_Table[[#This Row],[Conversion]]=SelectedConversion)</f>
        <v>0</v>
      </c>
      <c r="I1939" s="14" t="b">
        <f>OR(LCI_Table[[#This Row],[Data Set]]="all",LCI_Table[[#This Row],[Data Set]]=SelectedDataSet)</f>
        <v>0</v>
      </c>
      <c r="J1939" s="14" t="b">
        <f>OR(LCI_Table[[#This Row],[Technology]]="All",LCI_Table[[#This Row],[Technology]]=SelectedTechnology)</f>
        <v>1</v>
      </c>
      <c r="K1939" s="14" t="b">
        <f>OR(LCI_Table[[#This Row],[Data Source]]="All",LCI_Table[[#This Row],[Data Source]]=SelectedDataSource)</f>
        <v>0</v>
      </c>
      <c r="L1939" s="14" t="b">
        <f>TRUE</f>
        <v>1</v>
      </c>
      <c r="M1939" s="14" t="b">
        <f>(LCI_Table[[#This Row],[Dev Notes]]="Do not display")</f>
        <v>0</v>
      </c>
      <c r="N1939" s="14" t="b">
        <f>AND(LCI_Table[[#This Row],[Show Feedstock]:[Conditional]],NOT(LCI_Table[[#This Row],[Hide Row]]))</f>
        <v>0</v>
      </c>
      <c r="O1939" s="14" t="b">
        <f>LCI_Table[[#This Row],[GREET1 Name Range]]=""</f>
        <v>0</v>
      </c>
      <c r="P1939" s="14" t="s">
        <v>14</v>
      </c>
      <c r="Q1939" s="14" t="s">
        <v>969</v>
      </c>
      <c r="R1939" s="14" t="s">
        <v>112</v>
      </c>
      <c r="S1939" s="37" cm="1">
        <f t="array" aca="1" ref="S19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24.752655761952383</v>
      </c>
      <c r="T1939" s="346" t="s">
        <v>1485</v>
      </c>
      <c r="U1939" s="347">
        <f t="shared" ca="1" si="104"/>
        <v>320</v>
      </c>
      <c r="V1939" s="347">
        <v>24.752655761952383</v>
      </c>
      <c r="W1939" s="347">
        <v>320</v>
      </c>
      <c r="X1939" s="14" t="s">
        <v>12</v>
      </c>
      <c r="Y1939" s="346" t="s">
        <v>413</v>
      </c>
      <c r="Z1939" s="14" t="str">
        <f>IF(ISBLANK(LCI_Table[[#This Row],[Notes for user]])," ",LCI_Table[[#This Row],[Notes for user]])</f>
        <v xml:space="preserve"> </v>
      </c>
      <c r="AA1939" s="14"/>
      <c r="AB1939" s="14"/>
      <c r="AC1939" s="346">
        <f ca="1">LCI_Table[[#This Row],[Default Calculated Value]]-LCI_Table[[#This Row],[Calculated Value]]</f>
        <v>0</v>
      </c>
    </row>
    <row r="1940" spans="1:29" x14ac:dyDescent="0.3">
      <c r="A19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SugarcaneATJ-ethanolICAOMIT(blank)_Sugarcane_K2OK2O</v>
      </c>
      <c r="B1940" s="14" t="s">
        <v>447</v>
      </c>
      <c r="C1940" s="14" t="s">
        <v>1964</v>
      </c>
      <c r="D1940" s="14" t="s">
        <v>194</v>
      </c>
      <c r="E1940" s="14" t="s">
        <v>377</v>
      </c>
      <c r="F1940" s="48" t="s">
        <v>31</v>
      </c>
      <c r="G1940" s="14" t="b">
        <f>OR(LCI_Table[[#This Row],[Feedstock]]="All",LCI_Table[[#This Row],[Feedstock]]=SelectedFeedstock)</f>
        <v>0</v>
      </c>
      <c r="H1940" s="14" t="b">
        <f>OR(LCI_Table[[#This Row],[Conversion]]="All",LCI_Table[[#This Row],[Conversion]]=SelectedConversion)</f>
        <v>0</v>
      </c>
      <c r="I1940" s="14" t="b">
        <f>OR(LCI_Table[[#This Row],[Data Set]]="all",LCI_Table[[#This Row],[Data Set]]=SelectedDataSet)</f>
        <v>0</v>
      </c>
      <c r="J1940" s="14" t="b">
        <f>OR(LCI_Table[[#This Row],[Technology]]="All",LCI_Table[[#This Row],[Technology]]=SelectedTechnology)</f>
        <v>1</v>
      </c>
      <c r="K1940" s="14" t="b">
        <f>OR(LCI_Table[[#This Row],[Data Source]]="All",LCI_Table[[#This Row],[Data Source]]=SelectedDataSource)</f>
        <v>0</v>
      </c>
      <c r="L1940" s="14" t="b">
        <f>TRUE</f>
        <v>1</v>
      </c>
      <c r="M1940" s="14" t="b">
        <f>(LCI_Table[[#This Row],[Dev Notes]]="Do not display")</f>
        <v>0</v>
      </c>
      <c r="N1940" s="14" t="b">
        <f>AND(LCI_Table[[#This Row],[Show Feedstock]:[Conditional]],NOT(LCI_Table[[#This Row],[Hide Row]]))</f>
        <v>0</v>
      </c>
      <c r="O1940" s="14" t="b">
        <f>LCI_Table[[#This Row],[GREET1 Name Range]]=""</f>
        <v>0</v>
      </c>
      <c r="P1940" s="14" t="s">
        <v>14</v>
      </c>
      <c r="Q1940" s="14" t="s">
        <v>970</v>
      </c>
      <c r="R1940" s="14" t="s">
        <v>113</v>
      </c>
      <c r="S1940" s="37" cm="1">
        <f t="array" aca="1" ref="S19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116.80159437671281</v>
      </c>
      <c r="T1940" s="346" t="s">
        <v>1485</v>
      </c>
      <c r="U1940" s="347">
        <f t="shared" ca="1" si="104"/>
        <v>1510</v>
      </c>
      <c r="V1940" s="347">
        <v>116.80159437671281</v>
      </c>
      <c r="W1940" s="347">
        <v>1510</v>
      </c>
      <c r="X1940" s="14" t="s">
        <v>12</v>
      </c>
      <c r="Y1940" s="346" t="s">
        <v>413</v>
      </c>
      <c r="Z1940" s="14" t="str">
        <f>IF(ISBLANK(LCI_Table[[#This Row],[Notes for user]])," ",LCI_Table[[#This Row],[Notes for user]])</f>
        <v xml:space="preserve"> </v>
      </c>
      <c r="AA1940" s="14"/>
      <c r="AB1940" s="14"/>
      <c r="AC1940" s="346">
        <f ca="1">LCI_Table[[#This Row],[Default Calculated Value]]-LCI_Table[[#This Row],[Calculated Value]]</f>
        <v>0</v>
      </c>
    </row>
    <row r="1941" spans="1:29" x14ac:dyDescent="0.3">
      <c r="A19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SugarcaneATJ-ethanolICAOMIT(blank)_Sugarcane_CaCO3CaCO3</v>
      </c>
      <c r="B1941" s="14" t="s">
        <v>447</v>
      </c>
      <c r="C1941" s="14" t="s">
        <v>1964</v>
      </c>
      <c r="D1941" s="14" t="s">
        <v>194</v>
      </c>
      <c r="E1941" s="14" t="s">
        <v>377</v>
      </c>
      <c r="F1941" s="48" t="s">
        <v>31</v>
      </c>
      <c r="G1941" s="14" t="b">
        <f>OR(LCI_Table[[#This Row],[Feedstock]]="All",LCI_Table[[#This Row],[Feedstock]]=SelectedFeedstock)</f>
        <v>0</v>
      </c>
      <c r="H1941" s="14" t="b">
        <f>OR(LCI_Table[[#This Row],[Conversion]]="All",LCI_Table[[#This Row],[Conversion]]=SelectedConversion)</f>
        <v>0</v>
      </c>
      <c r="I1941" s="14" t="b">
        <f>OR(LCI_Table[[#This Row],[Data Set]]="all",LCI_Table[[#This Row],[Data Set]]=SelectedDataSet)</f>
        <v>0</v>
      </c>
      <c r="J1941" s="14" t="b">
        <f>OR(LCI_Table[[#This Row],[Technology]]="All",LCI_Table[[#This Row],[Technology]]=SelectedTechnology)</f>
        <v>1</v>
      </c>
      <c r="K1941" s="14" t="b">
        <f>OR(LCI_Table[[#This Row],[Data Source]]="All",LCI_Table[[#This Row],[Data Source]]=SelectedDataSource)</f>
        <v>0</v>
      </c>
      <c r="L1941" s="14" t="b">
        <f>TRUE</f>
        <v>1</v>
      </c>
      <c r="M1941" s="14" t="b">
        <f>(LCI_Table[[#This Row],[Dev Notes]]="Do not display")</f>
        <v>0</v>
      </c>
      <c r="N1941" s="14" t="b">
        <f>AND(LCI_Table[[#This Row],[Show Feedstock]:[Conditional]],NOT(LCI_Table[[#This Row],[Hide Row]]))</f>
        <v>0</v>
      </c>
      <c r="O1941" s="14" t="b">
        <f>LCI_Table[[#This Row],[GREET1 Name Range]]=""</f>
        <v>0</v>
      </c>
      <c r="P1941" s="14" t="s">
        <v>14</v>
      </c>
      <c r="Q1941" s="14" t="s">
        <v>971</v>
      </c>
      <c r="R1941" s="14" t="s">
        <v>141</v>
      </c>
      <c r="S1941" s="37" cm="1">
        <f t="array" aca="1" ref="S19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402.23065613172622</v>
      </c>
      <c r="T1941" s="346" t="s">
        <v>1485</v>
      </c>
      <c r="U1941" s="347">
        <f t="shared" ca="1" si="104"/>
        <v>5200.0000000000009</v>
      </c>
      <c r="V1941" s="347">
        <v>402.23065613172622</v>
      </c>
      <c r="W1941" s="347">
        <v>5200.0000000000009</v>
      </c>
      <c r="X1941" s="14" t="s">
        <v>12</v>
      </c>
      <c r="Y1941" s="346" t="s">
        <v>413</v>
      </c>
      <c r="Z1941" s="14" t="str">
        <f>IF(ISBLANK(LCI_Table[[#This Row],[Notes for user]])," ",LCI_Table[[#This Row],[Notes for user]])</f>
        <v xml:space="preserve"> </v>
      </c>
      <c r="AA1941" s="14"/>
      <c r="AB1941" s="14" t="s">
        <v>924</v>
      </c>
      <c r="AC1941" s="346">
        <f ca="1">LCI_Table[[#This Row],[Default Calculated Value]]-LCI_Table[[#This Row],[Calculated Value]]</f>
        <v>0</v>
      </c>
    </row>
    <row r="1942" spans="1:29" x14ac:dyDescent="0.3">
      <c r="A19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SugarcaneATJ-ethanolICAOMIT(blank)_Sugarcane_HerbicidesHerbicides</v>
      </c>
      <c r="B1942" s="14" t="s">
        <v>447</v>
      </c>
      <c r="C1942" s="14" t="s">
        <v>1964</v>
      </c>
      <c r="D1942" s="14" t="s">
        <v>194</v>
      </c>
      <c r="E1942" s="14" t="s">
        <v>377</v>
      </c>
      <c r="F1942" s="48" t="s">
        <v>31</v>
      </c>
      <c r="G1942" s="14" t="b">
        <f>OR(LCI_Table[[#This Row],[Feedstock]]="All",LCI_Table[[#This Row],[Feedstock]]=SelectedFeedstock)</f>
        <v>0</v>
      </c>
      <c r="H1942" s="14" t="b">
        <f>OR(LCI_Table[[#This Row],[Conversion]]="All",LCI_Table[[#This Row],[Conversion]]=SelectedConversion)</f>
        <v>0</v>
      </c>
      <c r="I1942" s="14" t="b">
        <f>OR(LCI_Table[[#This Row],[Data Set]]="all",LCI_Table[[#This Row],[Data Set]]=SelectedDataSet)</f>
        <v>0</v>
      </c>
      <c r="J1942" s="14" t="b">
        <f>OR(LCI_Table[[#This Row],[Technology]]="All",LCI_Table[[#This Row],[Technology]]=SelectedTechnology)</f>
        <v>1</v>
      </c>
      <c r="K1942" s="14" t="b">
        <f>OR(LCI_Table[[#This Row],[Data Source]]="All",LCI_Table[[#This Row],[Data Source]]=SelectedDataSource)</f>
        <v>0</v>
      </c>
      <c r="L1942" s="14" t="b">
        <f>TRUE</f>
        <v>1</v>
      </c>
      <c r="M1942" s="14" t="b">
        <f>(LCI_Table[[#This Row],[Dev Notes]]="Do not display")</f>
        <v>0</v>
      </c>
      <c r="N1942" s="14" t="b">
        <f>AND(LCI_Table[[#This Row],[Show Feedstock]:[Conditional]],NOT(LCI_Table[[#This Row],[Hide Row]]))</f>
        <v>0</v>
      </c>
      <c r="O1942" s="14" t="b">
        <f>LCI_Table[[#This Row],[GREET1 Name Range]]=""</f>
        <v>0</v>
      </c>
      <c r="P1942" s="14" t="s">
        <v>14</v>
      </c>
      <c r="Q1942" s="14" t="s">
        <v>972</v>
      </c>
      <c r="R1942" s="14" t="s">
        <v>356</v>
      </c>
      <c r="S1942" s="37" cm="1">
        <f t="array" aca="1" ref="S19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42" s="346" t="s">
        <v>1485</v>
      </c>
      <c r="U1942" s="347">
        <f t="shared" ca="1" si="104"/>
        <v>0</v>
      </c>
      <c r="V1942" s="347">
        <v>0</v>
      </c>
      <c r="W1942" s="347">
        <v>0</v>
      </c>
      <c r="X1942" s="14" t="s">
        <v>12</v>
      </c>
      <c r="Y1942" s="346" t="s">
        <v>413</v>
      </c>
      <c r="Z1942" s="14" t="str">
        <f>IF(ISBLANK(LCI_Table[[#This Row],[Notes for user]])," ",LCI_Table[[#This Row],[Notes for user]])</f>
        <v xml:space="preserve"> </v>
      </c>
      <c r="AA1942" s="14"/>
      <c r="AB1942" s="14"/>
      <c r="AC1942" s="346">
        <f ca="1">LCI_Table[[#This Row],[Default Calculated Value]]-LCI_Table[[#This Row],[Calculated Value]]</f>
        <v>0</v>
      </c>
    </row>
    <row r="1943" spans="1:29" x14ac:dyDescent="0.3">
      <c r="A19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SugarcaneATJ-ethanolICAOMIT(blank)_Sugarcane_InsecticideInsecticide</v>
      </c>
      <c r="B1943" s="14" t="s">
        <v>447</v>
      </c>
      <c r="C1943" s="14" t="s">
        <v>1964</v>
      </c>
      <c r="D1943" s="14" t="s">
        <v>194</v>
      </c>
      <c r="E1943" s="14" t="s">
        <v>377</v>
      </c>
      <c r="F1943" s="48" t="s">
        <v>31</v>
      </c>
      <c r="G1943" s="14" t="b">
        <f>OR(LCI_Table[[#This Row],[Feedstock]]="All",LCI_Table[[#This Row],[Feedstock]]=SelectedFeedstock)</f>
        <v>0</v>
      </c>
      <c r="H1943" s="14" t="b">
        <f>OR(LCI_Table[[#This Row],[Conversion]]="All",LCI_Table[[#This Row],[Conversion]]=SelectedConversion)</f>
        <v>0</v>
      </c>
      <c r="I1943" s="14" t="b">
        <f>OR(LCI_Table[[#This Row],[Data Set]]="all",LCI_Table[[#This Row],[Data Set]]=SelectedDataSet)</f>
        <v>0</v>
      </c>
      <c r="J1943" s="14" t="b">
        <f>OR(LCI_Table[[#This Row],[Technology]]="All",LCI_Table[[#This Row],[Technology]]=SelectedTechnology)</f>
        <v>1</v>
      </c>
      <c r="K1943" s="14" t="b">
        <f>OR(LCI_Table[[#This Row],[Data Source]]="All",LCI_Table[[#This Row],[Data Source]]=SelectedDataSource)</f>
        <v>0</v>
      </c>
      <c r="L1943" s="14" t="b">
        <f>TRUE</f>
        <v>1</v>
      </c>
      <c r="M1943" s="14" t="b">
        <f>(LCI_Table[[#This Row],[Dev Notes]]="Do not display")</f>
        <v>0</v>
      </c>
      <c r="N1943" s="14" t="b">
        <f>AND(LCI_Table[[#This Row],[Show Feedstock]:[Conditional]],NOT(LCI_Table[[#This Row],[Hide Row]]))</f>
        <v>0</v>
      </c>
      <c r="O1943" s="14" t="b">
        <f>LCI_Table[[#This Row],[GREET1 Name Range]]=""</f>
        <v>0</v>
      </c>
      <c r="P1943" s="14" t="s">
        <v>14</v>
      </c>
      <c r="Q1943" s="14" t="s">
        <v>973</v>
      </c>
      <c r="R1943" s="14" t="s">
        <v>114</v>
      </c>
      <c r="S1943" s="37" cm="1">
        <f t="array" aca="1" ref="S19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3.7128983642928577</v>
      </c>
      <c r="T1943" s="346" t="s">
        <v>1485</v>
      </c>
      <c r="U1943" s="347">
        <f t="shared" ca="1" si="104"/>
        <v>48</v>
      </c>
      <c r="V1943" s="347">
        <v>3.7128983642928577</v>
      </c>
      <c r="W1943" s="347">
        <v>48</v>
      </c>
      <c r="X1943" s="14" t="s">
        <v>12</v>
      </c>
      <c r="Y1943" s="346" t="s">
        <v>413</v>
      </c>
      <c r="Z1943" s="14" t="str">
        <f>IF(ISBLANK(LCI_Table[[#This Row],[Notes for user]])," ",LCI_Table[[#This Row],[Notes for user]])</f>
        <v xml:space="preserve"> </v>
      </c>
      <c r="AA1943" s="14"/>
      <c r="AB1943" s="14"/>
      <c r="AC1943" s="346">
        <f ca="1">LCI_Table[[#This Row],[Default Calculated Value]]-LCI_Table[[#This Row],[Calculated Value]]</f>
        <v>0</v>
      </c>
    </row>
    <row r="1944" spans="1:29" x14ac:dyDescent="0.3">
      <c r="A19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SugarcaneATJ-ethanolICAOMIT(blank)_Sugarcane_Residual_oilResidual oil</v>
      </c>
      <c r="B1944" s="14" t="s">
        <v>447</v>
      </c>
      <c r="C1944" s="14" t="s">
        <v>1964</v>
      </c>
      <c r="D1944" s="14" t="s">
        <v>194</v>
      </c>
      <c r="E1944" s="14" t="s">
        <v>377</v>
      </c>
      <c r="F1944" s="48" t="s">
        <v>31</v>
      </c>
      <c r="G1944" s="14" t="b">
        <f>OR(LCI_Table[[#This Row],[Feedstock]]="All",LCI_Table[[#This Row],[Feedstock]]=SelectedFeedstock)</f>
        <v>0</v>
      </c>
      <c r="H1944" s="14" t="b">
        <f>OR(LCI_Table[[#This Row],[Conversion]]="All",LCI_Table[[#This Row],[Conversion]]=SelectedConversion)</f>
        <v>0</v>
      </c>
      <c r="I1944" s="14" t="b">
        <f>OR(LCI_Table[[#This Row],[Data Set]]="all",LCI_Table[[#This Row],[Data Set]]=SelectedDataSet)</f>
        <v>0</v>
      </c>
      <c r="J1944" s="14" t="b">
        <f>OR(LCI_Table[[#This Row],[Technology]]="All",LCI_Table[[#This Row],[Technology]]=SelectedTechnology)</f>
        <v>1</v>
      </c>
      <c r="K1944" s="14" t="b">
        <f>OR(LCI_Table[[#This Row],[Data Source]]="All",LCI_Table[[#This Row],[Data Source]]=SelectedDataSource)</f>
        <v>0</v>
      </c>
      <c r="L1944" s="14" t="b">
        <f>TRUE</f>
        <v>1</v>
      </c>
      <c r="M1944" s="14" t="b">
        <f>(LCI_Table[[#This Row],[Dev Notes]]="Do not display")</f>
        <v>0</v>
      </c>
      <c r="N1944" s="14" t="b">
        <f>AND(LCI_Table[[#This Row],[Show Feedstock]:[Conditional]],NOT(LCI_Table[[#This Row],[Hide Row]]))</f>
        <v>0</v>
      </c>
      <c r="O1944" s="14" t="b">
        <f>LCI_Table[[#This Row],[GREET1 Name Range]]=""</f>
        <v>0</v>
      </c>
      <c r="P1944" s="14" t="s">
        <v>14</v>
      </c>
      <c r="Q1944" s="14" t="s">
        <v>974</v>
      </c>
      <c r="R1944" s="14" t="s">
        <v>115</v>
      </c>
      <c r="S1944" s="37" cm="1">
        <f t="array" aca="1" ref="S19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44" s="346" t="s">
        <v>1484</v>
      </c>
      <c r="U1944" s="347">
        <f ca="1">$S1944/$S$1937*Fuel_Specs!$B$28/ton2MT</f>
        <v>0</v>
      </c>
      <c r="V1944" s="347">
        <v>0</v>
      </c>
      <c r="W1944" s="347">
        <v>0</v>
      </c>
      <c r="X1944" s="14" t="s">
        <v>5</v>
      </c>
      <c r="Y1944" s="346" t="s">
        <v>413</v>
      </c>
      <c r="Z1944" s="14" t="str">
        <f>IF(ISBLANK(LCI_Table[[#This Row],[Notes for user]])," ",LCI_Table[[#This Row],[Notes for user]])</f>
        <v xml:space="preserve"> </v>
      </c>
      <c r="AA1944" s="14"/>
      <c r="AB1944" s="14"/>
      <c r="AC1944" s="346">
        <f ca="1">LCI_Table[[#This Row],[Default Calculated Value]]-LCI_Table[[#This Row],[Calculated Value]]</f>
        <v>0</v>
      </c>
    </row>
    <row r="1945" spans="1:29" x14ac:dyDescent="0.3">
      <c r="A19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SugarcaneATJ-ethanolICAOMIT(blank)_Sugarcane_DieselDiesel</v>
      </c>
      <c r="B1945" s="14" t="s">
        <v>447</v>
      </c>
      <c r="C1945" s="14" t="s">
        <v>1964</v>
      </c>
      <c r="D1945" s="14" t="s">
        <v>194</v>
      </c>
      <c r="E1945" s="14" t="s">
        <v>377</v>
      </c>
      <c r="F1945" s="48" t="s">
        <v>31</v>
      </c>
      <c r="G1945" s="14" t="b">
        <f>OR(LCI_Table[[#This Row],[Feedstock]]="All",LCI_Table[[#This Row],[Feedstock]]=SelectedFeedstock)</f>
        <v>0</v>
      </c>
      <c r="H1945" s="14" t="b">
        <f>OR(LCI_Table[[#This Row],[Conversion]]="All",LCI_Table[[#This Row],[Conversion]]=SelectedConversion)</f>
        <v>0</v>
      </c>
      <c r="I1945" s="14" t="b">
        <f>OR(LCI_Table[[#This Row],[Data Set]]="all",LCI_Table[[#This Row],[Data Set]]=SelectedDataSet)</f>
        <v>0</v>
      </c>
      <c r="J1945" s="14" t="b">
        <f>OR(LCI_Table[[#This Row],[Technology]]="All",LCI_Table[[#This Row],[Technology]]=SelectedTechnology)</f>
        <v>1</v>
      </c>
      <c r="K1945" s="14" t="b">
        <f>OR(LCI_Table[[#This Row],[Data Source]]="All",LCI_Table[[#This Row],[Data Source]]=SelectedDataSource)</f>
        <v>0</v>
      </c>
      <c r="L1945" s="14" t="b">
        <f>TRUE</f>
        <v>1</v>
      </c>
      <c r="M1945" s="14" t="b">
        <f>(LCI_Table[[#This Row],[Dev Notes]]="Do not display")</f>
        <v>0</v>
      </c>
      <c r="N1945" s="14" t="b">
        <f>AND(LCI_Table[[#This Row],[Show Feedstock]:[Conditional]],NOT(LCI_Table[[#This Row],[Hide Row]]))</f>
        <v>0</v>
      </c>
      <c r="O1945" s="14" t="b">
        <f>LCI_Table[[#This Row],[GREET1 Name Range]]=""</f>
        <v>0</v>
      </c>
      <c r="P1945" s="14" t="s">
        <v>14</v>
      </c>
      <c r="Q1945" s="14" t="s">
        <v>975</v>
      </c>
      <c r="R1945" s="14" t="s">
        <v>106</v>
      </c>
      <c r="S1945" s="37" cm="1">
        <f t="array" aca="1" ref="S19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9.9416674129717642</v>
      </c>
      <c r="T1945" s="346" t="s">
        <v>1484</v>
      </c>
      <c r="U1945" s="347">
        <f ca="1">$S1945/$S$1937*Fuel_Specs!$B$19/ton2MT</f>
        <v>36396.177510413232</v>
      </c>
      <c r="V1945" s="347">
        <v>9.9416674129717642</v>
      </c>
      <c r="W1945" s="347">
        <v>36396.177510413232</v>
      </c>
      <c r="X1945" s="14" t="s">
        <v>5</v>
      </c>
      <c r="Y1945" s="346" t="s">
        <v>413</v>
      </c>
      <c r="Z1945" s="14" t="str">
        <f>IF(ISBLANK(LCI_Table[[#This Row],[Notes for user]])," ",LCI_Table[[#This Row],[Notes for user]])</f>
        <v xml:space="preserve"> </v>
      </c>
      <c r="AA1945" s="14"/>
      <c r="AB1945" s="14"/>
      <c r="AC1945" s="346">
        <f ca="1">LCI_Table[[#This Row],[Default Calculated Value]]-LCI_Table[[#This Row],[Calculated Value]]</f>
        <v>0</v>
      </c>
    </row>
    <row r="1946" spans="1:29" x14ac:dyDescent="0.3">
      <c r="A19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SugarcaneATJ-ethanolICAOMIT(blank)_Sugarcane_GasolineGasoline</v>
      </c>
      <c r="B1946" s="14" t="s">
        <v>447</v>
      </c>
      <c r="C1946" s="14" t="s">
        <v>1964</v>
      </c>
      <c r="D1946" s="14" t="s">
        <v>194</v>
      </c>
      <c r="E1946" s="14" t="s">
        <v>377</v>
      </c>
      <c r="F1946" s="48" t="s">
        <v>31</v>
      </c>
      <c r="G1946" s="14" t="b">
        <f>OR(LCI_Table[[#This Row],[Feedstock]]="All",LCI_Table[[#This Row],[Feedstock]]=SelectedFeedstock)</f>
        <v>0</v>
      </c>
      <c r="H1946" s="14" t="b">
        <f>OR(LCI_Table[[#This Row],[Conversion]]="All",LCI_Table[[#This Row],[Conversion]]=SelectedConversion)</f>
        <v>0</v>
      </c>
      <c r="I1946" s="14" t="b">
        <f>OR(LCI_Table[[#This Row],[Data Set]]="all",LCI_Table[[#This Row],[Data Set]]=SelectedDataSet)</f>
        <v>0</v>
      </c>
      <c r="J1946" s="14" t="b">
        <f>OR(LCI_Table[[#This Row],[Technology]]="All",LCI_Table[[#This Row],[Technology]]=SelectedTechnology)</f>
        <v>1</v>
      </c>
      <c r="K1946" s="14" t="b">
        <f>OR(LCI_Table[[#This Row],[Data Source]]="All",LCI_Table[[#This Row],[Data Source]]=SelectedDataSource)</f>
        <v>0</v>
      </c>
      <c r="L1946" s="14" t="b">
        <f>TRUE</f>
        <v>1</v>
      </c>
      <c r="M1946" s="14" t="b">
        <f>(LCI_Table[[#This Row],[Dev Notes]]="Do not display")</f>
        <v>0</v>
      </c>
      <c r="N1946" s="14" t="b">
        <f>AND(LCI_Table[[#This Row],[Show Feedstock]:[Conditional]],NOT(LCI_Table[[#This Row],[Hide Row]]))</f>
        <v>0</v>
      </c>
      <c r="O1946" s="14" t="b">
        <f>LCI_Table[[#This Row],[GREET1 Name Range]]=""</f>
        <v>0</v>
      </c>
      <c r="P1946" s="14" t="s">
        <v>14</v>
      </c>
      <c r="Q1946" s="14" t="s">
        <v>976</v>
      </c>
      <c r="R1946" s="14" t="s">
        <v>107</v>
      </c>
      <c r="S1946" s="37" cm="1">
        <f t="array" aca="1" ref="S19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46" s="346" t="s">
        <v>1484</v>
      </c>
      <c r="U1946" s="347">
        <f ca="1">$S1946/$S$1937*Fuel_Specs!$B$15/ton2MT</f>
        <v>0</v>
      </c>
      <c r="V1946" s="347">
        <v>0</v>
      </c>
      <c r="W1946" s="347">
        <v>0</v>
      </c>
      <c r="X1946" s="14" t="s">
        <v>5</v>
      </c>
      <c r="Y1946" s="346" t="s">
        <v>413</v>
      </c>
      <c r="Z1946" s="14" t="str">
        <f>IF(ISBLANK(LCI_Table[[#This Row],[Notes for user]])," ",LCI_Table[[#This Row],[Notes for user]])</f>
        <v xml:space="preserve"> </v>
      </c>
      <c r="AA1946" s="14"/>
      <c r="AB1946" s="14"/>
      <c r="AC1946" s="346">
        <f ca="1">LCI_Table[[#This Row],[Default Calculated Value]]-LCI_Table[[#This Row],[Calculated Value]]</f>
        <v>0</v>
      </c>
    </row>
    <row r="1947" spans="1:29" x14ac:dyDescent="0.3">
      <c r="A19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SugarcaneATJ-ethanolICAOMIT(blank)_Sugarcane_Natural_gasNatural gas</v>
      </c>
      <c r="B1947" s="14" t="s">
        <v>447</v>
      </c>
      <c r="C1947" s="14" t="s">
        <v>1964</v>
      </c>
      <c r="D1947" s="14" t="s">
        <v>194</v>
      </c>
      <c r="E1947" s="14" t="s">
        <v>377</v>
      </c>
      <c r="F1947" s="48" t="s">
        <v>31</v>
      </c>
      <c r="G1947" s="14" t="b">
        <f>OR(LCI_Table[[#This Row],[Feedstock]]="All",LCI_Table[[#This Row],[Feedstock]]=SelectedFeedstock)</f>
        <v>0</v>
      </c>
      <c r="H1947" s="14" t="b">
        <f>OR(LCI_Table[[#This Row],[Conversion]]="All",LCI_Table[[#This Row],[Conversion]]=SelectedConversion)</f>
        <v>0</v>
      </c>
      <c r="I1947" s="14" t="b">
        <f>OR(LCI_Table[[#This Row],[Data Set]]="all",LCI_Table[[#This Row],[Data Set]]=SelectedDataSet)</f>
        <v>0</v>
      </c>
      <c r="J1947" s="14" t="b">
        <f>OR(LCI_Table[[#This Row],[Technology]]="All",LCI_Table[[#This Row],[Technology]]=SelectedTechnology)</f>
        <v>1</v>
      </c>
      <c r="K1947" s="14" t="b">
        <f>OR(LCI_Table[[#This Row],[Data Source]]="All",LCI_Table[[#This Row],[Data Source]]=SelectedDataSource)</f>
        <v>0</v>
      </c>
      <c r="L1947" s="14" t="b">
        <f>TRUE</f>
        <v>1</v>
      </c>
      <c r="M1947" s="14" t="b">
        <f>(LCI_Table[[#This Row],[Dev Notes]]="Do not display")</f>
        <v>0</v>
      </c>
      <c r="N1947" s="14" t="b">
        <f>AND(LCI_Table[[#This Row],[Show Feedstock]:[Conditional]],NOT(LCI_Table[[#This Row],[Hide Row]]))</f>
        <v>0</v>
      </c>
      <c r="O1947" s="14" t="b">
        <f>LCI_Table[[#This Row],[GREET1 Name Range]]=""</f>
        <v>0</v>
      </c>
      <c r="P1947" s="14" t="s">
        <v>14</v>
      </c>
      <c r="Q1947" s="14" t="s">
        <v>977</v>
      </c>
      <c r="R1947" s="14" t="s">
        <v>108</v>
      </c>
      <c r="S1947" s="37" cm="1">
        <f t="array" aca="1" ref="S19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47" s="346" t="s">
        <v>2109</v>
      </c>
      <c r="U1947" s="347">
        <f ca="1">$S1947/$S$1937*Fuel_Specs!$B$79/ton2MT</f>
        <v>0</v>
      </c>
      <c r="V1947" s="347">
        <v>0</v>
      </c>
      <c r="W1947" s="347">
        <v>0</v>
      </c>
      <c r="X1947" s="14" t="s">
        <v>351</v>
      </c>
      <c r="Y1947" s="346" t="s">
        <v>413</v>
      </c>
      <c r="Z1947" s="14" t="str">
        <f>IF(ISBLANK(LCI_Table[[#This Row],[Notes for user]])," ",LCI_Table[[#This Row],[Notes for user]])</f>
        <v xml:space="preserve"> </v>
      </c>
      <c r="AA1947" s="14"/>
      <c r="AB1947" s="14"/>
      <c r="AC1947" s="346">
        <f ca="1">LCI_Table[[#This Row],[Default Calculated Value]]-LCI_Table[[#This Row],[Calculated Value]]</f>
        <v>0</v>
      </c>
    </row>
    <row r="1948" spans="1:29" x14ac:dyDescent="0.3">
      <c r="A19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SugarcaneATJ-ethanolICAOMIT(blank)_Sugarcane_CoalCoal</v>
      </c>
      <c r="B1948" s="14" t="s">
        <v>447</v>
      </c>
      <c r="C1948" s="14" t="s">
        <v>1964</v>
      </c>
      <c r="D1948" s="14" t="s">
        <v>194</v>
      </c>
      <c r="E1948" s="14" t="s">
        <v>377</v>
      </c>
      <c r="F1948" s="48" t="s">
        <v>31</v>
      </c>
      <c r="G1948" s="14" t="b">
        <f>OR(LCI_Table[[#This Row],[Feedstock]]="All",LCI_Table[[#This Row],[Feedstock]]=SelectedFeedstock)</f>
        <v>0</v>
      </c>
      <c r="H1948" s="14" t="b">
        <f>OR(LCI_Table[[#This Row],[Conversion]]="All",LCI_Table[[#This Row],[Conversion]]=SelectedConversion)</f>
        <v>0</v>
      </c>
      <c r="I1948" s="14" t="b">
        <f>OR(LCI_Table[[#This Row],[Data Set]]="all",LCI_Table[[#This Row],[Data Set]]=SelectedDataSet)</f>
        <v>0</v>
      </c>
      <c r="J1948" s="14" t="b">
        <f>OR(LCI_Table[[#This Row],[Technology]]="All",LCI_Table[[#This Row],[Technology]]=SelectedTechnology)</f>
        <v>1</v>
      </c>
      <c r="K1948" s="14" t="b">
        <f>OR(LCI_Table[[#This Row],[Data Source]]="All",LCI_Table[[#This Row],[Data Source]]=SelectedDataSource)</f>
        <v>0</v>
      </c>
      <c r="L1948" s="14" t="b">
        <f>TRUE</f>
        <v>1</v>
      </c>
      <c r="M1948" s="14" t="b">
        <f>(LCI_Table[[#This Row],[Dev Notes]]="Do not display")</f>
        <v>0</v>
      </c>
      <c r="N1948" s="14" t="b">
        <f>AND(LCI_Table[[#This Row],[Show Feedstock]:[Conditional]],NOT(LCI_Table[[#This Row],[Hide Row]]))</f>
        <v>0</v>
      </c>
      <c r="O1948" s="14" t="b">
        <f>LCI_Table[[#This Row],[GREET1 Name Range]]=""</f>
        <v>0</v>
      </c>
      <c r="P1948" s="14" t="s">
        <v>14</v>
      </c>
      <c r="Q1948" s="14" t="s">
        <v>978</v>
      </c>
      <c r="R1948" s="14" t="s">
        <v>9</v>
      </c>
      <c r="S1948" s="37" cm="1">
        <f t="array" aca="1" ref="S19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48" s="346" t="s">
        <v>2110</v>
      </c>
      <c r="U1948" s="347">
        <f ca="1">S1948/$S$1937/ton2MT</f>
        <v>0</v>
      </c>
      <c r="V1948" s="347">
        <v>0</v>
      </c>
      <c r="W1948" s="347">
        <v>0</v>
      </c>
      <c r="X1948" s="14" t="s">
        <v>117</v>
      </c>
      <c r="Y1948" s="346" t="s">
        <v>413</v>
      </c>
      <c r="Z1948" s="14" t="str">
        <f>IF(ISBLANK(LCI_Table[[#This Row],[Notes for user]])," ",LCI_Table[[#This Row],[Notes for user]])</f>
        <v xml:space="preserve"> </v>
      </c>
      <c r="AA1948" s="14"/>
      <c r="AB1948" s="14"/>
      <c r="AC1948" s="346">
        <f ca="1">LCI_Table[[#This Row],[Default Calculated Value]]-LCI_Table[[#This Row],[Calculated Value]]</f>
        <v>0</v>
      </c>
    </row>
    <row r="1949" spans="1:29" x14ac:dyDescent="0.3">
      <c r="A19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SugarcaneATJ-ethanolICAOMIT(blank)_Sugarcane_LPGLPG</v>
      </c>
      <c r="B1949" s="14" t="s">
        <v>447</v>
      </c>
      <c r="C1949" s="14" t="s">
        <v>1964</v>
      </c>
      <c r="D1949" s="14" t="s">
        <v>194</v>
      </c>
      <c r="E1949" s="14" t="s">
        <v>377</v>
      </c>
      <c r="F1949" s="48" t="s">
        <v>31</v>
      </c>
      <c r="G1949" s="14" t="b">
        <f>OR(LCI_Table[[#This Row],[Feedstock]]="All",LCI_Table[[#This Row],[Feedstock]]=SelectedFeedstock)</f>
        <v>0</v>
      </c>
      <c r="H1949" s="14" t="b">
        <f>OR(LCI_Table[[#This Row],[Conversion]]="All",LCI_Table[[#This Row],[Conversion]]=SelectedConversion)</f>
        <v>0</v>
      </c>
      <c r="I1949" s="14" t="b">
        <f>OR(LCI_Table[[#This Row],[Data Set]]="all",LCI_Table[[#This Row],[Data Set]]=SelectedDataSet)</f>
        <v>0</v>
      </c>
      <c r="J1949" s="14" t="b">
        <f>OR(LCI_Table[[#This Row],[Technology]]="All",LCI_Table[[#This Row],[Technology]]=SelectedTechnology)</f>
        <v>1</v>
      </c>
      <c r="K1949" s="14" t="b">
        <f>OR(LCI_Table[[#This Row],[Data Source]]="All",LCI_Table[[#This Row],[Data Source]]=SelectedDataSource)</f>
        <v>0</v>
      </c>
      <c r="L1949" s="14" t="b">
        <f>TRUE</f>
        <v>1</v>
      </c>
      <c r="M1949" s="14" t="b">
        <f>(LCI_Table[[#This Row],[Dev Notes]]="Do not display")</f>
        <v>0</v>
      </c>
      <c r="N1949" s="14" t="b">
        <f>AND(LCI_Table[[#This Row],[Show Feedstock]:[Conditional]],NOT(LCI_Table[[#This Row],[Hide Row]]))</f>
        <v>0</v>
      </c>
      <c r="O1949" s="14" t="b">
        <f>LCI_Table[[#This Row],[GREET1 Name Range]]=""</f>
        <v>0</v>
      </c>
      <c r="P1949" s="14" t="s">
        <v>14</v>
      </c>
      <c r="Q1949" s="14" t="s">
        <v>979</v>
      </c>
      <c r="R1949" s="14" t="s">
        <v>109</v>
      </c>
      <c r="S1949" s="37" cm="1">
        <f t="array" aca="1" ref="S19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49" s="346" t="s">
        <v>1484</v>
      </c>
      <c r="U1949" s="347">
        <f ca="1">$S1949/$S$1937*Fuel_Specs!$B$35/ton2MT</f>
        <v>0</v>
      </c>
      <c r="V1949" s="347">
        <v>0</v>
      </c>
      <c r="W1949" s="347">
        <v>0</v>
      </c>
      <c r="X1949" s="14" t="s">
        <v>5</v>
      </c>
      <c r="Y1949" s="346" t="s">
        <v>413</v>
      </c>
      <c r="Z1949" s="14" t="str">
        <f>IF(ISBLANK(LCI_Table[[#This Row],[Notes for user]])," ",LCI_Table[[#This Row],[Notes for user]])</f>
        <v xml:space="preserve"> </v>
      </c>
      <c r="AA1949" s="14"/>
      <c r="AB1949" s="14"/>
      <c r="AC1949" s="346">
        <f ca="1">LCI_Table[[#This Row],[Default Calculated Value]]-LCI_Table[[#This Row],[Calculated Value]]</f>
        <v>0</v>
      </c>
    </row>
    <row r="1950" spans="1:29" x14ac:dyDescent="0.3">
      <c r="A19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SugarcaneATJ-ethanolICAOMIT(blank)_Sugarcane_ElectricityElectricity</v>
      </c>
      <c r="B1950" s="14" t="s">
        <v>447</v>
      </c>
      <c r="C1950" s="14" t="s">
        <v>1964</v>
      </c>
      <c r="D1950" s="14" t="s">
        <v>194</v>
      </c>
      <c r="E1950" s="14" t="s">
        <v>377</v>
      </c>
      <c r="F1950" s="48" t="s">
        <v>31</v>
      </c>
      <c r="G1950" s="14" t="b">
        <f>OR(LCI_Table[[#This Row],[Feedstock]]="All",LCI_Table[[#This Row],[Feedstock]]=SelectedFeedstock)</f>
        <v>0</v>
      </c>
      <c r="H1950" s="14" t="b">
        <f>OR(LCI_Table[[#This Row],[Conversion]]="All",LCI_Table[[#This Row],[Conversion]]=SelectedConversion)</f>
        <v>0</v>
      </c>
      <c r="I1950" s="14" t="b">
        <f>OR(LCI_Table[[#This Row],[Data Set]]="all",LCI_Table[[#This Row],[Data Set]]=SelectedDataSet)</f>
        <v>0</v>
      </c>
      <c r="J1950" s="14" t="b">
        <f>OR(LCI_Table[[#This Row],[Technology]]="All",LCI_Table[[#This Row],[Technology]]=SelectedTechnology)</f>
        <v>1</v>
      </c>
      <c r="K1950" s="14" t="b">
        <f>OR(LCI_Table[[#This Row],[Data Source]]="All",LCI_Table[[#This Row],[Data Source]]=SelectedDataSource)</f>
        <v>0</v>
      </c>
      <c r="L1950" s="14" t="b">
        <f>TRUE</f>
        <v>1</v>
      </c>
      <c r="M1950" s="14" t="b">
        <f>(LCI_Table[[#This Row],[Dev Notes]]="Do not display")</f>
        <v>0</v>
      </c>
      <c r="N1950" s="14" t="b">
        <f>AND(LCI_Table[[#This Row],[Show Feedstock]:[Conditional]],NOT(LCI_Table[[#This Row],[Hide Row]]))</f>
        <v>0</v>
      </c>
      <c r="O1950" s="14" t="b">
        <f>LCI_Table[[#This Row],[GREET1 Name Range]]=""</f>
        <v>0</v>
      </c>
      <c r="P1950" s="14" t="s">
        <v>14</v>
      </c>
      <c r="Q1950" s="14" t="s">
        <v>980</v>
      </c>
      <c r="R1950" s="348" t="s">
        <v>110</v>
      </c>
      <c r="S1950" s="37" cm="1">
        <f t="array" aca="1" ref="S19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50" s="346" t="s">
        <v>1561</v>
      </c>
      <c r="U1950" s="347">
        <f ca="1">S1950/BTU2kWh/$S$1937/ton2MT</f>
        <v>0</v>
      </c>
      <c r="V1950" s="347">
        <v>0</v>
      </c>
      <c r="W1950" s="347">
        <v>0</v>
      </c>
      <c r="X1950" s="14" t="s">
        <v>51</v>
      </c>
      <c r="Y1950" s="346" t="s">
        <v>413</v>
      </c>
      <c r="Z1950" s="14" t="str">
        <f>IF(ISBLANK(LCI_Table[[#This Row],[Notes for user]])," ",LCI_Table[[#This Row],[Notes for user]])</f>
        <v xml:space="preserve"> </v>
      </c>
      <c r="AA1950" s="14"/>
      <c r="AB1950" s="14"/>
      <c r="AC1950" s="346">
        <f ca="1">LCI_Table[[#This Row],[Default Calculated Value]]-LCI_Table[[#This Row],[Calculated Value]]</f>
        <v>0</v>
      </c>
    </row>
    <row r="1951" spans="1:29" x14ac:dyDescent="0.3">
      <c r="A19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SugarcaneATJ-ethanolICAOMIT(blank)_Sugarcane_BiodieselBiodiesel</v>
      </c>
      <c r="B1951" s="14" t="s">
        <v>447</v>
      </c>
      <c r="C1951" s="14" t="s">
        <v>1964</v>
      </c>
      <c r="D1951" s="14" t="s">
        <v>194</v>
      </c>
      <c r="E1951" s="14" t="s">
        <v>377</v>
      </c>
      <c r="F1951" s="48" t="s">
        <v>31</v>
      </c>
      <c r="G1951" s="14" t="b">
        <f>OR(LCI_Table[[#This Row],[Feedstock]]="All",LCI_Table[[#This Row],[Feedstock]]=SelectedFeedstock)</f>
        <v>0</v>
      </c>
      <c r="H1951" s="14" t="b">
        <f>OR(LCI_Table[[#This Row],[Conversion]]="All",LCI_Table[[#This Row],[Conversion]]=SelectedConversion)</f>
        <v>0</v>
      </c>
      <c r="I1951" s="14" t="b">
        <f>OR(LCI_Table[[#This Row],[Data Set]]="all",LCI_Table[[#This Row],[Data Set]]=SelectedDataSet)</f>
        <v>0</v>
      </c>
      <c r="J1951" s="14" t="b">
        <f>OR(LCI_Table[[#This Row],[Technology]]="All",LCI_Table[[#This Row],[Technology]]=SelectedTechnology)</f>
        <v>1</v>
      </c>
      <c r="K1951" s="14" t="b">
        <f>OR(LCI_Table[[#This Row],[Data Source]]="All",LCI_Table[[#This Row],[Data Source]]=SelectedDataSource)</f>
        <v>0</v>
      </c>
      <c r="L1951" s="14" t="b">
        <f>TRUE</f>
        <v>1</v>
      </c>
      <c r="M1951" s="14" t="b">
        <f>(LCI_Table[[#This Row],[Dev Notes]]="Do not display")</f>
        <v>0</v>
      </c>
      <c r="N1951" s="14" t="b">
        <f>AND(LCI_Table[[#This Row],[Show Feedstock]:[Conditional]],NOT(LCI_Table[[#This Row],[Hide Row]]))</f>
        <v>0</v>
      </c>
      <c r="O1951" s="14" t="b">
        <f>LCI_Table[[#This Row],[GREET1 Name Range]]=""</f>
        <v>0</v>
      </c>
      <c r="P1951" s="14" t="s">
        <v>14</v>
      </c>
      <c r="Q1951" s="14" t="s">
        <v>1393</v>
      </c>
      <c r="R1951" s="348" t="s">
        <v>1394</v>
      </c>
      <c r="S1951" s="37" cm="1">
        <f t="array" aca="1" ref="S19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51" s="346" t="s">
        <v>1484</v>
      </c>
      <c r="U1951" s="347">
        <f ca="1">S1951*Fuel_Specs!$B$39/$S$1937/ton2MT</f>
        <v>0</v>
      </c>
      <c r="V1951" s="347">
        <v>0</v>
      </c>
      <c r="W1951" s="347">
        <v>0</v>
      </c>
      <c r="X1951" s="14" t="s">
        <v>5</v>
      </c>
      <c r="Y1951" s="346" t="s">
        <v>413</v>
      </c>
      <c r="Z1951" s="14" t="str">
        <f>IF(ISBLANK(LCI_Table[[#This Row],[Notes for user]])," ",LCI_Table[[#This Row],[Notes for user]])</f>
        <v xml:space="preserve"> </v>
      </c>
      <c r="AA1951" s="14"/>
      <c r="AB1951" s="14"/>
      <c r="AC1951" s="346">
        <f ca="1">LCI_Table[[#This Row],[Default Calculated Value]]-LCI_Table[[#This Row],[Calculated Value]]</f>
        <v>0</v>
      </c>
    </row>
    <row r="1952" spans="1:29" x14ac:dyDescent="0.3">
      <c r="A19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SugarcaneATJ-ethanolICAOMIT(blank)_Sugarcane_ETJ_SugarcaneSugarcane</v>
      </c>
      <c r="B1952" s="14" t="s">
        <v>447</v>
      </c>
      <c r="C1952" s="14" t="s">
        <v>1964</v>
      </c>
      <c r="D1952" s="14" t="s">
        <v>194</v>
      </c>
      <c r="E1952" s="14" t="s">
        <v>377</v>
      </c>
      <c r="F1952" s="48" t="s">
        <v>31</v>
      </c>
      <c r="G1952" s="14" t="b">
        <f>OR(LCI_Table[[#This Row],[Feedstock]]="All",LCI_Table[[#This Row],[Feedstock]]=SelectedFeedstock)</f>
        <v>0</v>
      </c>
      <c r="H1952" s="14" t="b">
        <f>OR(LCI_Table[[#This Row],[Conversion]]="All",LCI_Table[[#This Row],[Conversion]]=SelectedConversion)</f>
        <v>0</v>
      </c>
      <c r="I1952" s="14" t="b">
        <f>OR(LCI_Table[[#This Row],[Data Set]]="all",LCI_Table[[#This Row],[Data Set]]=SelectedDataSet)</f>
        <v>0</v>
      </c>
      <c r="J1952" s="14" t="b">
        <f>OR(LCI_Table[[#This Row],[Technology]]="All",LCI_Table[[#This Row],[Technology]]=SelectedTechnology)</f>
        <v>1</v>
      </c>
      <c r="K1952" s="14" t="b">
        <f>OR(LCI_Table[[#This Row],[Data Source]]="All",LCI_Table[[#This Row],[Data Source]]=SelectedDataSource)</f>
        <v>0</v>
      </c>
      <c r="L1952" s="14" t="b">
        <f>TRUE</f>
        <v>1</v>
      </c>
      <c r="M1952" s="14" t="b">
        <f>(LCI_Table[[#This Row],[Dev Notes]]="Do not display")</f>
        <v>0</v>
      </c>
      <c r="N1952" s="14" t="b">
        <f>AND(LCI_Table[[#This Row],[Show Feedstock]:[Conditional]],NOT(LCI_Table[[#This Row],[Hide Row]]))</f>
        <v>0</v>
      </c>
      <c r="O1952" s="14" t="b">
        <f>LCI_Table[[#This Row],[GREET1 Name Range]]=""</f>
        <v>0</v>
      </c>
      <c r="P1952" s="14" t="s">
        <v>1448</v>
      </c>
      <c r="Q1952" s="14" t="s">
        <v>981</v>
      </c>
      <c r="R1952" s="14" t="s">
        <v>447</v>
      </c>
      <c r="S1952" s="37" cm="1">
        <f t="array" aca="1" ref="S19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2566.9735936254883</v>
      </c>
      <c r="T1952" s="346" t="s">
        <v>2119</v>
      </c>
      <c r="U1952" s="347">
        <f ca="1">S1952*lb2kg/mmBTU2MJ</f>
        <v>1.1036000000000021</v>
      </c>
      <c r="V1952" s="347">
        <v>2566.9735936254883</v>
      </c>
      <c r="W1952" s="347">
        <v>1.1036000000000021</v>
      </c>
      <c r="X1952" s="14" t="s">
        <v>12</v>
      </c>
      <c r="Y1952" s="346" t="s">
        <v>416</v>
      </c>
      <c r="Z1952" s="14" t="str">
        <f>IF(ISBLANK(LCI_Table[[#This Row],[Notes for user]])," ",LCI_Table[[#This Row],[Notes for user]])</f>
        <v>Erroneous units in CORSIA</v>
      </c>
      <c r="AA1952" s="14" t="s">
        <v>1154</v>
      </c>
      <c r="AB1952" s="358"/>
      <c r="AC1952" s="346">
        <f ca="1">LCI_Table[[#This Row],[Default Calculated Value]]-LCI_Table[[#This Row],[Calculated Value]]</f>
        <v>0</v>
      </c>
    </row>
    <row r="1953" spans="1:29" x14ac:dyDescent="0.3">
      <c r="A19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SugarcaneATJ-ethanolICAOMIT(blank)_Sugarcane_ETJ_Alpha_amylaseAlpha-amylase</v>
      </c>
      <c r="B1953" s="14" t="s">
        <v>447</v>
      </c>
      <c r="C1953" s="14" t="s">
        <v>1964</v>
      </c>
      <c r="D1953" s="14" t="s">
        <v>194</v>
      </c>
      <c r="E1953" s="14" t="s">
        <v>377</v>
      </c>
      <c r="F1953" s="48" t="s">
        <v>31</v>
      </c>
      <c r="G1953" s="14" t="b">
        <f>OR(LCI_Table[[#This Row],[Feedstock]]="All",LCI_Table[[#This Row],[Feedstock]]=SelectedFeedstock)</f>
        <v>0</v>
      </c>
      <c r="H1953" s="14" t="b">
        <f>OR(LCI_Table[[#This Row],[Conversion]]="All",LCI_Table[[#This Row],[Conversion]]=SelectedConversion)</f>
        <v>0</v>
      </c>
      <c r="I1953" s="14" t="b">
        <f>OR(LCI_Table[[#This Row],[Data Set]]="all",LCI_Table[[#This Row],[Data Set]]=SelectedDataSet)</f>
        <v>0</v>
      </c>
      <c r="J1953" s="14" t="b">
        <f>OR(LCI_Table[[#This Row],[Technology]]="All",LCI_Table[[#This Row],[Technology]]=SelectedTechnology)</f>
        <v>1</v>
      </c>
      <c r="K1953" s="14" t="b">
        <f>OR(LCI_Table[[#This Row],[Data Source]]="All",LCI_Table[[#This Row],[Data Source]]=SelectedDataSource)</f>
        <v>0</v>
      </c>
      <c r="L1953" s="14" t="b">
        <f>TRUE</f>
        <v>1</v>
      </c>
      <c r="M1953" s="14" t="b">
        <f>(LCI_Table[[#This Row],[Dev Notes]]="Do not display")</f>
        <v>0</v>
      </c>
      <c r="N1953" s="14" t="b">
        <f>AND(LCI_Table[[#This Row],[Show Feedstock]:[Conditional]],NOT(LCI_Table[[#This Row],[Hide Row]]))</f>
        <v>0</v>
      </c>
      <c r="O1953" s="14" t="b">
        <f>LCI_Table[[#This Row],[GREET1 Name Range]]=""</f>
        <v>0</v>
      </c>
      <c r="P1953" s="14" t="s">
        <v>1448</v>
      </c>
      <c r="Q1953" s="14" t="s">
        <v>982</v>
      </c>
      <c r="R1953" s="14" t="s">
        <v>353</v>
      </c>
      <c r="S1953" s="37" cm="1">
        <f t="array" aca="1" ref="S19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53" s="346" t="s">
        <v>2119</v>
      </c>
      <c r="U1953" s="347">
        <f t="shared" ref="U1953" ca="1" si="105">S1953*lb2kg*MJ2mmBTU</f>
        <v>0</v>
      </c>
      <c r="V1953" s="347">
        <v>0</v>
      </c>
      <c r="W1953" s="347">
        <v>0</v>
      </c>
      <c r="X1953" s="14" t="s">
        <v>12</v>
      </c>
      <c r="Y1953" s="346" t="s">
        <v>416</v>
      </c>
      <c r="Z1953" s="14" t="str">
        <f>IF(ISBLANK(LCI_Table[[#This Row],[Notes for user]])," ",LCI_Table[[#This Row],[Notes for user]])</f>
        <v xml:space="preserve"> </v>
      </c>
      <c r="AA1953" s="14"/>
      <c r="AB1953" s="349"/>
      <c r="AC1953" s="346">
        <f ca="1">LCI_Table[[#This Row],[Default Calculated Value]]-LCI_Table[[#This Row],[Calculated Value]]</f>
        <v>0</v>
      </c>
    </row>
    <row r="1954" spans="1:29" x14ac:dyDescent="0.3">
      <c r="A19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SugarcaneATJ-ethanolICAOMIT(blank)_Sugarcane_ETJ_Gluco_amylaseGluco-amylase</v>
      </c>
      <c r="B1954" s="14" t="s">
        <v>447</v>
      </c>
      <c r="C1954" s="14" t="s">
        <v>1964</v>
      </c>
      <c r="D1954" s="14" t="s">
        <v>194</v>
      </c>
      <c r="E1954" s="14" t="s">
        <v>377</v>
      </c>
      <c r="F1954" s="48" t="s">
        <v>31</v>
      </c>
      <c r="G1954" s="14" t="b">
        <f>OR(LCI_Table[[#This Row],[Feedstock]]="All",LCI_Table[[#This Row],[Feedstock]]=SelectedFeedstock)</f>
        <v>0</v>
      </c>
      <c r="H1954" s="14" t="b">
        <f>OR(LCI_Table[[#This Row],[Conversion]]="All",LCI_Table[[#This Row],[Conversion]]=SelectedConversion)</f>
        <v>0</v>
      </c>
      <c r="I1954" s="14" t="b">
        <f>OR(LCI_Table[[#This Row],[Data Set]]="all",LCI_Table[[#This Row],[Data Set]]=SelectedDataSet)</f>
        <v>0</v>
      </c>
      <c r="J1954" s="14" t="b">
        <f>OR(LCI_Table[[#This Row],[Technology]]="All",LCI_Table[[#This Row],[Technology]]=SelectedTechnology)</f>
        <v>1</v>
      </c>
      <c r="K1954" s="14" t="b">
        <f>OR(LCI_Table[[#This Row],[Data Source]]="All",LCI_Table[[#This Row],[Data Source]]=SelectedDataSource)</f>
        <v>0</v>
      </c>
      <c r="L1954" s="14" t="b">
        <f>TRUE</f>
        <v>1</v>
      </c>
      <c r="M1954" s="14" t="b">
        <f>(LCI_Table[[#This Row],[Dev Notes]]="Do not display")</f>
        <v>0</v>
      </c>
      <c r="N1954" s="14" t="b">
        <f>AND(LCI_Table[[#This Row],[Show Feedstock]:[Conditional]],NOT(LCI_Table[[#This Row],[Hide Row]]))</f>
        <v>0</v>
      </c>
      <c r="O1954" s="14" t="b">
        <f>LCI_Table[[#This Row],[GREET1 Name Range]]=""</f>
        <v>0</v>
      </c>
      <c r="P1954" s="14" t="s">
        <v>1448</v>
      </c>
      <c r="Q1954" s="14" t="s">
        <v>983</v>
      </c>
      <c r="R1954" s="14" t="s">
        <v>354</v>
      </c>
      <c r="S1954" s="37" cm="1">
        <f t="array" aca="1" ref="S19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54" s="346" t="s">
        <v>2119</v>
      </c>
      <c r="U1954" s="347">
        <f t="shared" ref="U1954" ca="1" si="106">S1954*lb2kg*MJ2mmBTU</f>
        <v>0</v>
      </c>
      <c r="V1954" s="347">
        <v>0</v>
      </c>
      <c r="W1954" s="347">
        <v>0</v>
      </c>
      <c r="X1954" s="14" t="s">
        <v>12</v>
      </c>
      <c r="Y1954" s="346" t="s">
        <v>416</v>
      </c>
      <c r="Z1954" s="14" t="str">
        <f>IF(ISBLANK(LCI_Table[[#This Row],[Notes for user]])," ",LCI_Table[[#This Row],[Notes for user]])</f>
        <v xml:space="preserve"> </v>
      </c>
      <c r="AA1954" s="14"/>
      <c r="AB1954" s="349"/>
      <c r="AC1954" s="346">
        <f ca="1">LCI_Table[[#This Row],[Default Calculated Value]]-LCI_Table[[#This Row],[Calculated Value]]</f>
        <v>0</v>
      </c>
    </row>
    <row r="1955" spans="1:29" x14ac:dyDescent="0.3">
      <c r="A19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SugarcaneATJ-ethanolICAOMIT(blank)_Sugarcane_ETJ_YeastYeast</v>
      </c>
      <c r="B1955" s="14" t="s">
        <v>447</v>
      </c>
      <c r="C1955" s="14" t="s">
        <v>1964</v>
      </c>
      <c r="D1955" s="14" t="s">
        <v>194</v>
      </c>
      <c r="E1955" s="14" t="s">
        <v>377</v>
      </c>
      <c r="F1955" s="48" t="s">
        <v>31</v>
      </c>
      <c r="G1955" s="14" t="b">
        <f>OR(LCI_Table[[#This Row],[Feedstock]]="All",LCI_Table[[#This Row],[Feedstock]]=SelectedFeedstock)</f>
        <v>0</v>
      </c>
      <c r="H1955" s="14" t="b">
        <f>OR(LCI_Table[[#This Row],[Conversion]]="All",LCI_Table[[#This Row],[Conversion]]=SelectedConversion)</f>
        <v>0</v>
      </c>
      <c r="I1955" s="14" t="b">
        <f>OR(LCI_Table[[#This Row],[Data Set]]="all",LCI_Table[[#This Row],[Data Set]]=SelectedDataSet)</f>
        <v>0</v>
      </c>
      <c r="J1955" s="14" t="b">
        <f>OR(LCI_Table[[#This Row],[Technology]]="All",LCI_Table[[#This Row],[Technology]]=SelectedTechnology)</f>
        <v>1</v>
      </c>
      <c r="K1955" s="14" t="b">
        <f>OR(LCI_Table[[#This Row],[Data Source]]="All",LCI_Table[[#This Row],[Data Source]]=SelectedDataSource)</f>
        <v>0</v>
      </c>
      <c r="L1955" s="14" t="b">
        <f>TRUE</f>
        <v>1</v>
      </c>
      <c r="M1955" s="14" t="b">
        <f>(LCI_Table[[#This Row],[Dev Notes]]="Do not display")</f>
        <v>0</v>
      </c>
      <c r="N1955" s="14" t="b">
        <f>AND(LCI_Table[[#This Row],[Show Feedstock]:[Conditional]],NOT(LCI_Table[[#This Row],[Hide Row]]))</f>
        <v>0</v>
      </c>
      <c r="O1955" s="14" t="b">
        <f>LCI_Table[[#This Row],[GREET1 Name Range]]=""</f>
        <v>0</v>
      </c>
      <c r="P1955" s="14" t="s">
        <v>1448</v>
      </c>
      <c r="Q1955" s="14" t="s">
        <v>984</v>
      </c>
      <c r="R1955" s="14" t="s">
        <v>145</v>
      </c>
      <c r="S1955" s="37" cm="1">
        <f t="array" aca="1" ref="S19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55" s="346" t="s">
        <v>2119</v>
      </c>
      <c r="U1955" s="347">
        <f t="shared" ref="U1955" ca="1" si="107">S1955*lb2kg*MJ2mmBTU</f>
        <v>0</v>
      </c>
      <c r="V1955" s="347">
        <v>0</v>
      </c>
      <c r="W1955" s="347">
        <v>0</v>
      </c>
      <c r="X1955" s="14" t="s">
        <v>12</v>
      </c>
      <c r="Y1955" s="346" t="s">
        <v>416</v>
      </c>
      <c r="Z1955" s="14" t="str">
        <f>IF(ISBLANK(LCI_Table[[#This Row],[Notes for user]])," ",LCI_Table[[#This Row],[Notes for user]])</f>
        <v xml:space="preserve"> </v>
      </c>
      <c r="AA1955" s="14"/>
      <c r="AB1955" s="349"/>
      <c r="AC1955" s="346">
        <f ca="1">LCI_Table[[#This Row],[Default Calculated Value]]-LCI_Table[[#This Row],[Calculated Value]]</f>
        <v>0</v>
      </c>
    </row>
    <row r="1956" spans="1:29" x14ac:dyDescent="0.3">
      <c r="A19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SugarcaneATJ-ethanolICAOMIT(blank)_Sugarcane_ETJ_GlucoseGlucose</v>
      </c>
      <c r="B1956" s="14" t="s">
        <v>447</v>
      </c>
      <c r="C1956" s="14" t="s">
        <v>1964</v>
      </c>
      <c r="D1956" s="14" t="s">
        <v>194</v>
      </c>
      <c r="E1956" s="14" t="s">
        <v>377</v>
      </c>
      <c r="F1956" s="48" t="s">
        <v>31</v>
      </c>
      <c r="G1956" s="14" t="b">
        <f>OR(LCI_Table[[#This Row],[Feedstock]]="All",LCI_Table[[#This Row],[Feedstock]]=SelectedFeedstock)</f>
        <v>0</v>
      </c>
      <c r="H1956" s="14" t="b">
        <f>OR(LCI_Table[[#This Row],[Conversion]]="All",LCI_Table[[#This Row],[Conversion]]=SelectedConversion)</f>
        <v>0</v>
      </c>
      <c r="I1956" s="14" t="b">
        <f>OR(LCI_Table[[#This Row],[Data Set]]="all",LCI_Table[[#This Row],[Data Set]]=SelectedDataSet)</f>
        <v>0</v>
      </c>
      <c r="J1956" s="14" t="b">
        <f>OR(LCI_Table[[#This Row],[Technology]]="All",LCI_Table[[#This Row],[Technology]]=SelectedTechnology)</f>
        <v>1</v>
      </c>
      <c r="K1956" s="14" t="b">
        <f>OR(LCI_Table[[#This Row],[Data Source]]="All",LCI_Table[[#This Row],[Data Source]]=SelectedDataSource)</f>
        <v>0</v>
      </c>
      <c r="L1956" s="14" t="b">
        <f>TRUE</f>
        <v>1</v>
      </c>
      <c r="M1956" s="14" t="b">
        <f>(LCI_Table[[#This Row],[Dev Notes]]="Do not display")</f>
        <v>0</v>
      </c>
      <c r="N1956" s="14" t="b">
        <f>AND(LCI_Table[[#This Row],[Show Feedstock]:[Conditional]],NOT(LCI_Table[[#This Row],[Hide Row]]))</f>
        <v>0</v>
      </c>
      <c r="O1956" s="14" t="b">
        <f>LCI_Table[[#This Row],[GREET1 Name Range]]=""</f>
        <v>0</v>
      </c>
      <c r="P1956" s="14" t="s">
        <v>1448</v>
      </c>
      <c r="Q1956" s="14" t="s">
        <v>985</v>
      </c>
      <c r="R1956" s="14" t="s">
        <v>387</v>
      </c>
      <c r="S1956" s="37" cm="1">
        <f t="array" aca="1" ref="S19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56" s="346" t="s">
        <v>2119</v>
      </c>
      <c r="U1956" s="347">
        <f t="shared" ref="U1956" ca="1" si="108">S1956*lb2kg*MJ2mmBTU</f>
        <v>0</v>
      </c>
      <c r="V1956" s="347">
        <v>0</v>
      </c>
      <c r="W1956" s="347">
        <v>0</v>
      </c>
      <c r="X1956" s="14" t="s">
        <v>12</v>
      </c>
      <c r="Y1956" s="346" t="s">
        <v>416</v>
      </c>
      <c r="Z1956" s="14" t="str">
        <f>IF(ISBLANK(LCI_Table[[#This Row],[Notes for user]])," ",LCI_Table[[#This Row],[Notes for user]])</f>
        <v xml:space="preserve"> </v>
      </c>
      <c r="AA1956" s="14"/>
      <c r="AB1956" s="14"/>
      <c r="AC1956" s="346">
        <f ca="1">LCI_Table[[#This Row],[Default Calculated Value]]-LCI_Table[[#This Row],[Calculated Value]]</f>
        <v>0</v>
      </c>
    </row>
    <row r="1957" spans="1:29" x14ac:dyDescent="0.3">
      <c r="A19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SugarcaneATJ-ethanolICAOMIT(blank)_Sugarcane_ETJ_Sulfuric_acidSulfuric acid</v>
      </c>
      <c r="B1957" s="14" t="s">
        <v>447</v>
      </c>
      <c r="C1957" s="14" t="s">
        <v>1964</v>
      </c>
      <c r="D1957" s="14" t="s">
        <v>194</v>
      </c>
      <c r="E1957" s="14" t="s">
        <v>377</v>
      </c>
      <c r="F1957" s="48" t="s">
        <v>31</v>
      </c>
      <c r="G1957" s="14" t="b">
        <f>OR(LCI_Table[[#This Row],[Feedstock]]="All",LCI_Table[[#This Row],[Feedstock]]=SelectedFeedstock)</f>
        <v>0</v>
      </c>
      <c r="H1957" s="14" t="b">
        <f>OR(LCI_Table[[#This Row],[Conversion]]="All",LCI_Table[[#This Row],[Conversion]]=SelectedConversion)</f>
        <v>0</v>
      </c>
      <c r="I1957" s="14" t="b">
        <f>OR(LCI_Table[[#This Row],[Data Set]]="all",LCI_Table[[#This Row],[Data Set]]=SelectedDataSet)</f>
        <v>0</v>
      </c>
      <c r="J1957" s="14" t="b">
        <f>OR(LCI_Table[[#This Row],[Technology]]="All",LCI_Table[[#This Row],[Technology]]=SelectedTechnology)</f>
        <v>1</v>
      </c>
      <c r="K1957" s="14" t="b">
        <f>OR(LCI_Table[[#This Row],[Data Source]]="All",LCI_Table[[#This Row],[Data Source]]=SelectedDataSource)</f>
        <v>0</v>
      </c>
      <c r="L1957" s="14" t="b">
        <f>TRUE</f>
        <v>1</v>
      </c>
      <c r="M1957" s="14" t="b">
        <f>(LCI_Table[[#This Row],[Dev Notes]]="Do not display")</f>
        <v>0</v>
      </c>
      <c r="N1957" s="14" t="b">
        <f>AND(LCI_Table[[#This Row],[Show Feedstock]:[Conditional]],NOT(LCI_Table[[#This Row],[Hide Row]]))</f>
        <v>0</v>
      </c>
      <c r="O1957" s="14" t="b">
        <f>LCI_Table[[#This Row],[GREET1 Name Range]]=""</f>
        <v>0</v>
      </c>
      <c r="P1957" s="14" t="s">
        <v>1448</v>
      </c>
      <c r="Q1957" s="14" t="s">
        <v>986</v>
      </c>
      <c r="R1957" s="14" t="s">
        <v>384</v>
      </c>
      <c r="S1957" s="37" cm="1">
        <f t="array" aca="1" ref="S19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57" s="346" t="s">
        <v>2119</v>
      </c>
      <c r="U1957" s="347">
        <f t="shared" ref="U1957" ca="1" si="109">S1957*lb2kg*MJ2mmBTU</f>
        <v>0</v>
      </c>
      <c r="V1957" s="347">
        <v>0</v>
      </c>
      <c r="W1957" s="347">
        <v>0</v>
      </c>
      <c r="X1957" s="14" t="s">
        <v>12</v>
      </c>
      <c r="Y1957" s="346" t="s">
        <v>416</v>
      </c>
      <c r="Z1957" s="14" t="str">
        <f>IF(ISBLANK(LCI_Table[[#This Row],[Notes for user]])," ",LCI_Table[[#This Row],[Notes for user]])</f>
        <v xml:space="preserve"> </v>
      </c>
      <c r="AA1957" s="14"/>
      <c r="AB1957" s="14"/>
      <c r="AC1957" s="346">
        <f ca="1">LCI_Table[[#This Row],[Default Calculated Value]]-LCI_Table[[#This Row],[Calculated Value]]</f>
        <v>0</v>
      </c>
    </row>
    <row r="1958" spans="1:29" x14ac:dyDescent="0.3">
      <c r="A19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SugarcaneATJ-ethanolICAOMIT(blank)_Sugarcane_ETJ_AmmoniaAmmonia</v>
      </c>
      <c r="B1958" s="14" t="s">
        <v>447</v>
      </c>
      <c r="C1958" s="14" t="s">
        <v>1964</v>
      </c>
      <c r="D1958" s="14" t="s">
        <v>194</v>
      </c>
      <c r="E1958" s="14" t="s">
        <v>377</v>
      </c>
      <c r="F1958" s="48" t="s">
        <v>31</v>
      </c>
      <c r="G1958" s="14" t="b">
        <f>OR(LCI_Table[[#This Row],[Feedstock]]="All",LCI_Table[[#This Row],[Feedstock]]=SelectedFeedstock)</f>
        <v>0</v>
      </c>
      <c r="H1958" s="14" t="b">
        <f>OR(LCI_Table[[#This Row],[Conversion]]="All",LCI_Table[[#This Row],[Conversion]]=SelectedConversion)</f>
        <v>0</v>
      </c>
      <c r="I1958" s="14" t="b">
        <f>OR(LCI_Table[[#This Row],[Data Set]]="all",LCI_Table[[#This Row],[Data Set]]=SelectedDataSet)</f>
        <v>0</v>
      </c>
      <c r="J1958" s="14" t="b">
        <f>OR(LCI_Table[[#This Row],[Technology]]="All",LCI_Table[[#This Row],[Technology]]=SelectedTechnology)</f>
        <v>1</v>
      </c>
      <c r="K1958" s="14" t="b">
        <f>OR(LCI_Table[[#This Row],[Data Source]]="All",LCI_Table[[#This Row],[Data Source]]=SelectedDataSource)</f>
        <v>0</v>
      </c>
      <c r="L1958" s="14" t="b">
        <f>TRUE</f>
        <v>1</v>
      </c>
      <c r="M1958" s="14" t="b">
        <f>(LCI_Table[[#This Row],[Dev Notes]]="Do not display")</f>
        <v>0</v>
      </c>
      <c r="N1958" s="14" t="b">
        <f>AND(LCI_Table[[#This Row],[Show Feedstock]:[Conditional]],NOT(LCI_Table[[#This Row],[Hide Row]]))</f>
        <v>0</v>
      </c>
      <c r="O1958" s="14" t="b">
        <f>LCI_Table[[#This Row],[GREET1 Name Range]]=""</f>
        <v>0</v>
      </c>
      <c r="P1958" s="14" t="s">
        <v>1448</v>
      </c>
      <c r="Q1958" s="14" t="s">
        <v>987</v>
      </c>
      <c r="R1958" s="14" t="s">
        <v>382</v>
      </c>
      <c r="S1958" s="37" cm="1">
        <f t="array" aca="1" ref="S19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58" s="346" t="s">
        <v>2119</v>
      </c>
      <c r="U1958" s="347">
        <f t="shared" ref="U1958" ca="1" si="110">S1958*lb2kg*MJ2mmBTU</f>
        <v>0</v>
      </c>
      <c r="V1958" s="347">
        <v>0</v>
      </c>
      <c r="W1958" s="347">
        <v>0</v>
      </c>
      <c r="X1958" s="14" t="s">
        <v>12</v>
      </c>
      <c r="Y1958" s="346" t="s">
        <v>416</v>
      </c>
      <c r="Z1958" s="14" t="str">
        <f>IF(ISBLANK(LCI_Table[[#This Row],[Notes for user]])," ",LCI_Table[[#This Row],[Notes for user]])</f>
        <v xml:space="preserve"> </v>
      </c>
      <c r="AA1958" s="14"/>
      <c r="AB1958" s="14"/>
      <c r="AC1958" s="346">
        <f ca="1">LCI_Table[[#This Row],[Default Calculated Value]]-LCI_Table[[#This Row],[Calculated Value]]</f>
        <v>0</v>
      </c>
    </row>
    <row r="1959" spans="1:29" x14ac:dyDescent="0.3">
      <c r="A19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SugarcaneATJ-ethanolICAOMIT(blank)_Sugarcane_ETJ_Corn_steep_liquorCorn steep liquor</v>
      </c>
      <c r="B1959" s="14" t="s">
        <v>447</v>
      </c>
      <c r="C1959" s="14" t="s">
        <v>1964</v>
      </c>
      <c r="D1959" s="14" t="s">
        <v>194</v>
      </c>
      <c r="E1959" s="14" t="s">
        <v>377</v>
      </c>
      <c r="F1959" s="48" t="s">
        <v>31</v>
      </c>
      <c r="G1959" s="14" t="b">
        <f>OR(LCI_Table[[#This Row],[Feedstock]]="All",LCI_Table[[#This Row],[Feedstock]]=SelectedFeedstock)</f>
        <v>0</v>
      </c>
      <c r="H1959" s="14" t="b">
        <f>OR(LCI_Table[[#This Row],[Conversion]]="All",LCI_Table[[#This Row],[Conversion]]=SelectedConversion)</f>
        <v>0</v>
      </c>
      <c r="I1959" s="14" t="b">
        <f>OR(LCI_Table[[#This Row],[Data Set]]="all",LCI_Table[[#This Row],[Data Set]]=SelectedDataSet)</f>
        <v>0</v>
      </c>
      <c r="J1959" s="14" t="b">
        <f>OR(LCI_Table[[#This Row],[Technology]]="All",LCI_Table[[#This Row],[Technology]]=SelectedTechnology)</f>
        <v>1</v>
      </c>
      <c r="K1959" s="14" t="b">
        <f>OR(LCI_Table[[#This Row],[Data Source]]="All",LCI_Table[[#This Row],[Data Source]]=SelectedDataSource)</f>
        <v>0</v>
      </c>
      <c r="L1959" s="14" t="b">
        <f>TRUE</f>
        <v>1</v>
      </c>
      <c r="M1959" s="14" t="b">
        <f>(LCI_Table[[#This Row],[Dev Notes]]="Do not display")</f>
        <v>0</v>
      </c>
      <c r="N1959" s="14" t="b">
        <f>AND(LCI_Table[[#This Row],[Show Feedstock]:[Conditional]],NOT(LCI_Table[[#This Row],[Hide Row]]))</f>
        <v>0</v>
      </c>
      <c r="O1959" s="14" t="b">
        <f>LCI_Table[[#This Row],[GREET1 Name Range]]=""</f>
        <v>0</v>
      </c>
      <c r="P1959" s="14" t="s">
        <v>1448</v>
      </c>
      <c r="Q1959" s="14" t="s">
        <v>988</v>
      </c>
      <c r="R1959" s="14" t="s">
        <v>386</v>
      </c>
      <c r="S1959" s="37" cm="1">
        <f t="array" aca="1" ref="S19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59" s="346" t="s">
        <v>2119</v>
      </c>
      <c r="U1959" s="347">
        <f t="shared" ref="U1959" ca="1" si="111">S1959*lb2kg*MJ2mmBTU</f>
        <v>0</v>
      </c>
      <c r="V1959" s="347">
        <v>0</v>
      </c>
      <c r="W1959" s="347">
        <v>0</v>
      </c>
      <c r="X1959" s="14" t="s">
        <v>12</v>
      </c>
      <c r="Y1959" s="346" t="s">
        <v>416</v>
      </c>
      <c r="Z1959" s="14" t="str">
        <f>IF(ISBLANK(LCI_Table[[#This Row],[Notes for user]])," ",LCI_Table[[#This Row],[Notes for user]])</f>
        <v xml:space="preserve"> </v>
      </c>
      <c r="AA1959" s="14"/>
      <c r="AB1959" s="14"/>
      <c r="AC1959" s="346">
        <f ca="1">LCI_Table[[#This Row],[Default Calculated Value]]-LCI_Table[[#This Row],[Calculated Value]]</f>
        <v>0</v>
      </c>
    </row>
    <row r="1960" spans="1:29" x14ac:dyDescent="0.3">
      <c r="A19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SugarcaneATJ-ethanolICAOMIT(blank)_Sugarcane_ETJ_DAPDAP</v>
      </c>
      <c r="B1960" s="14" t="s">
        <v>447</v>
      </c>
      <c r="C1960" s="14" t="s">
        <v>1964</v>
      </c>
      <c r="D1960" s="14" t="s">
        <v>194</v>
      </c>
      <c r="E1960" s="14" t="s">
        <v>377</v>
      </c>
      <c r="F1960" s="48" t="s">
        <v>31</v>
      </c>
      <c r="G1960" s="14" t="b">
        <f>OR(LCI_Table[[#This Row],[Feedstock]]="All",LCI_Table[[#This Row],[Feedstock]]=SelectedFeedstock)</f>
        <v>0</v>
      </c>
      <c r="H1960" s="14" t="b">
        <f>OR(LCI_Table[[#This Row],[Conversion]]="All",LCI_Table[[#This Row],[Conversion]]=SelectedConversion)</f>
        <v>0</v>
      </c>
      <c r="I1960" s="14" t="b">
        <f>OR(LCI_Table[[#This Row],[Data Set]]="all",LCI_Table[[#This Row],[Data Set]]=SelectedDataSet)</f>
        <v>0</v>
      </c>
      <c r="J1960" s="14" t="b">
        <f>OR(LCI_Table[[#This Row],[Technology]]="All",LCI_Table[[#This Row],[Technology]]=SelectedTechnology)</f>
        <v>1</v>
      </c>
      <c r="K1960" s="14" t="b">
        <f>OR(LCI_Table[[#This Row],[Data Source]]="All",LCI_Table[[#This Row],[Data Source]]=SelectedDataSource)</f>
        <v>0</v>
      </c>
      <c r="L1960" s="14" t="b">
        <f>TRUE</f>
        <v>1</v>
      </c>
      <c r="M1960" s="14" t="b">
        <f>(LCI_Table[[#This Row],[Dev Notes]]="Do not display")</f>
        <v>0</v>
      </c>
      <c r="N1960" s="14" t="b">
        <f>AND(LCI_Table[[#This Row],[Show Feedstock]:[Conditional]],NOT(LCI_Table[[#This Row],[Hide Row]]))</f>
        <v>0</v>
      </c>
      <c r="O1960" s="14" t="b">
        <f>LCI_Table[[#This Row],[GREET1 Name Range]]=""</f>
        <v>0</v>
      </c>
      <c r="P1960" s="14" t="s">
        <v>1448</v>
      </c>
      <c r="Q1960" s="14" t="s">
        <v>989</v>
      </c>
      <c r="R1960" s="14" t="s">
        <v>383</v>
      </c>
      <c r="S1960" s="37" cm="1">
        <f t="array" aca="1" ref="S19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60" s="346" t="s">
        <v>2119</v>
      </c>
      <c r="U1960" s="347">
        <f t="shared" ref="U1960" ca="1" si="112">S1960*lb2kg*MJ2mmBTU</f>
        <v>0</v>
      </c>
      <c r="V1960" s="347">
        <v>0</v>
      </c>
      <c r="W1960" s="347">
        <v>0</v>
      </c>
      <c r="X1960" s="14" t="s">
        <v>12</v>
      </c>
      <c r="Y1960" s="346" t="s">
        <v>416</v>
      </c>
      <c r="Z1960" s="14" t="str">
        <f>IF(ISBLANK(LCI_Table[[#This Row],[Notes for user]])," ",LCI_Table[[#This Row],[Notes for user]])</f>
        <v xml:space="preserve"> </v>
      </c>
      <c r="AA1960" s="14"/>
      <c r="AB1960" s="14"/>
      <c r="AC1960" s="346">
        <f ca="1">LCI_Table[[#This Row],[Default Calculated Value]]-LCI_Table[[#This Row],[Calculated Value]]</f>
        <v>0</v>
      </c>
    </row>
    <row r="1961" spans="1:29" x14ac:dyDescent="0.3">
      <c r="A19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SugarcaneATJ-ethanolICAOMIT(blank)_Sugarcane_ETJ_NaOHNaOH</v>
      </c>
      <c r="B1961" s="14" t="s">
        <v>447</v>
      </c>
      <c r="C1961" s="14" t="s">
        <v>1964</v>
      </c>
      <c r="D1961" s="14" t="s">
        <v>194</v>
      </c>
      <c r="E1961" s="14" t="s">
        <v>377</v>
      </c>
      <c r="F1961" s="48" t="s">
        <v>31</v>
      </c>
      <c r="G1961" s="14" t="b">
        <f>OR(LCI_Table[[#This Row],[Feedstock]]="All",LCI_Table[[#This Row],[Feedstock]]=SelectedFeedstock)</f>
        <v>0</v>
      </c>
      <c r="H1961" s="14" t="b">
        <f>OR(LCI_Table[[#This Row],[Conversion]]="All",LCI_Table[[#This Row],[Conversion]]=SelectedConversion)</f>
        <v>0</v>
      </c>
      <c r="I1961" s="14" t="b">
        <f>OR(LCI_Table[[#This Row],[Data Set]]="all",LCI_Table[[#This Row],[Data Set]]=SelectedDataSet)</f>
        <v>0</v>
      </c>
      <c r="J1961" s="14" t="b">
        <f>OR(LCI_Table[[#This Row],[Technology]]="All",LCI_Table[[#This Row],[Technology]]=SelectedTechnology)</f>
        <v>1</v>
      </c>
      <c r="K1961" s="14" t="b">
        <f>OR(LCI_Table[[#This Row],[Data Source]]="All",LCI_Table[[#This Row],[Data Source]]=SelectedDataSource)</f>
        <v>0</v>
      </c>
      <c r="L1961" s="14" t="b">
        <f>TRUE</f>
        <v>1</v>
      </c>
      <c r="M1961" s="14" t="b">
        <f>(LCI_Table[[#This Row],[Dev Notes]]="Do not display")</f>
        <v>0</v>
      </c>
      <c r="N1961" s="14" t="b">
        <f>AND(LCI_Table[[#This Row],[Show Feedstock]:[Conditional]],NOT(LCI_Table[[#This Row],[Hide Row]]))</f>
        <v>0</v>
      </c>
      <c r="O1961" s="14" t="b">
        <f>LCI_Table[[#This Row],[GREET1 Name Range]]=""</f>
        <v>0</v>
      </c>
      <c r="P1961" s="14" t="s">
        <v>1448</v>
      </c>
      <c r="Q1961" s="14" t="s">
        <v>1392</v>
      </c>
      <c r="R1961" s="14" t="s">
        <v>403</v>
      </c>
      <c r="S1961" s="37" cm="1">
        <f t="array" aca="1" ref="S19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61" s="346" t="s">
        <v>2119</v>
      </c>
      <c r="U1961" s="347">
        <f t="shared" ref="U1961" ca="1" si="113">S1961*lb2kg*MJ2mmBTU</f>
        <v>0</v>
      </c>
      <c r="V1961" s="347">
        <v>0</v>
      </c>
      <c r="W1961" s="347">
        <v>0</v>
      </c>
      <c r="X1961" s="14" t="s">
        <v>12</v>
      </c>
      <c r="Y1961" s="346" t="s">
        <v>416</v>
      </c>
      <c r="Z1961" s="14" t="str">
        <f>IF(ISBLANK(LCI_Table[[#This Row],[Notes for user]])," ",LCI_Table[[#This Row],[Notes for user]])</f>
        <v xml:space="preserve"> </v>
      </c>
      <c r="AA1961" s="14"/>
      <c r="AB1961" s="14"/>
      <c r="AC1961" s="346">
        <f ca="1">LCI_Table[[#This Row],[Default Calculated Value]]-LCI_Table[[#This Row],[Calculated Value]]</f>
        <v>0</v>
      </c>
    </row>
    <row r="1962" spans="1:29" x14ac:dyDescent="0.3">
      <c r="A19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SugarcaneATJ-ethanolICAOMIT(blank)_Sugarcane_ETJ_Quicklime_CaOQuicklime (CaO)</v>
      </c>
      <c r="B1962" s="14" t="s">
        <v>447</v>
      </c>
      <c r="C1962" s="14" t="s">
        <v>1964</v>
      </c>
      <c r="D1962" s="14" t="s">
        <v>194</v>
      </c>
      <c r="E1962" s="14" t="s">
        <v>377</v>
      </c>
      <c r="F1962" s="48" t="s">
        <v>31</v>
      </c>
      <c r="G1962" s="14" t="b">
        <f>OR(LCI_Table[[#This Row],[Feedstock]]="All",LCI_Table[[#This Row],[Feedstock]]=SelectedFeedstock)</f>
        <v>0</v>
      </c>
      <c r="H1962" s="14" t="b">
        <f>OR(LCI_Table[[#This Row],[Conversion]]="All",LCI_Table[[#This Row],[Conversion]]=SelectedConversion)</f>
        <v>0</v>
      </c>
      <c r="I1962" s="14" t="b">
        <f>OR(LCI_Table[[#This Row],[Data Set]]="all",LCI_Table[[#This Row],[Data Set]]=SelectedDataSet)</f>
        <v>0</v>
      </c>
      <c r="J1962" s="14" t="b">
        <f>OR(LCI_Table[[#This Row],[Technology]]="All",LCI_Table[[#This Row],[Technology]]=SelectedTechnology)</f>
        <v>1</v>
      </c>
      <c r="K1962" s="14" t="b">
        <f>OR(LCI_Table[[#This Row],[Data Source]]="All",LCI_Table[[#This Row],[Data Source]]=SelectedDataSource)</f>
        <v>0</v>
      </c>
      <c r="L1962" s="14" t="b">
        <f>TRUE</f>
        <v>1</v>
      </c>
      <c r="M1962" s="14" t="b">
        <f>(LCI_Table[[#This Row],[Dev Notes]]="Do not display")</f>
        <v>0</v>
      </c>
      <c r="N1962" s="14" t="b">
        <f>AND(LCI_Table[[#This Row],[Show Feedstock]:[Conditional]],NOT(LCI_Table[[#This Row],[Hide Row]]))</f>
        <v>0</v>
      </c>
      <c r="O1962" s="14" t="b">
        <f>LCI_Table[[#This Row],[GREET1 Name Range]]=""</f>
        <v>0</v>
      </c>
      <c r="P1962" s="14" t="s">
        <v>1448</v>
      </c>
      <c r="Q1962" s="14" t="s">
        <v>990</v>
      </c>
      <c r="R1962" s="14" t="s">
        <v>404</v>
      </c>
      <c r="S1962" s="37" cm="1">
        <f t="array" aca="1" ref="S19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1.4656591163603598</v>
      </c>
      <c r="T1962" s="346" t="s">
        <v>2119</v>
      </c>
      <c r="U1962" s="347">
        <f t="shared" ref="U1962" ca="1" si="114">S1962*lb2kg*MJ2mmBTU</f>
        <v>6.3012000000000127E-4</v>
      </c>
      <c r="V1962" s="347">
        <v>1.4656591163603598</v>
      </c>
      <c r="W1962" s="347">
        <v>6.3012000000000127E-4</v>
      </c>
      <c r="X1962" s="14" t="s">
        <v>12</v>
      </c>
      <c r="Y1962" s="346" t="s">
        <v>416</v>
      </c>
      <c r="Z1962" s="14" t="str">
        <f>IF(ISBLANK(LCI_Table[[#This Row],[Notes for user]])," ",LCI_Table[[#This Row],[Notes for user]])</f>
        <v xml:space="preserve"> </v>
      </c>
      <c r="AA1962" s="14"/>
      <c r="AB1962" s="14"/>
      <c r="AC1962" s="346">
        <f ca="1">LCI_Table[[#This Row],[Default Calculated Value]]-LCI_Table[[#This Row],[Calculated Value]]</f>
        <v>0</v>
      </c>
    </row>
    <row r="1963" spans="1:29" x14ac:dyDescent="0.3">
      <c r="A19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SugarcaneATJ-ethanolICAOMIT(blank)_Sugarcane_ETJ_UreaUrea</v>
      </c>
      <c r="B1963" s="14" t="s">
        <v>447</v>
      </c>
      <c r="C1963" s="14" t="s">
        <v>1964</v>
      </c>
      <c r="D1963" s="14" t="s">
        <v>194</v>
      </c>
      <c r="E1963" s="14" t="s">
        <v>377</v>
      </c>
      <c r="F1963" s="48" t="s">
        <v>31</v>
      </c>
      <c r="G1963" s="14" t="b">
        <f>OR(LCI_Table[[#This Row],[Feedstock]]="All",LCI_Table[[#This Row],[Feedstock]]=SelectedFeedstock)</f>
        <v>0</v>
      </c>
      <c r="H1963" s="14" t="b">
        <f>OR(LCI_Table[[#This Row],[Conversion]]="All",LCI_Table[[#This Row],[Conversion]]=SelectedConversion)</f>
        <v>0</v>
      </c>
      <c r="I1963" s="14" t="b">
        <f>OR(LCI_Table[[#This Row],[Data Set]]="all",LCI_Table[[#This Row],[Data Set]]=SelectedDataSet)</f>
        <v>0</v>
      </c>
      <c r="J1963" s="14" t="b">
        <f>OR(LCI_Table[[#This Row],[Technology]]="All",LCI_Table[[#This Row],[Technology]]=SelectedTechnology)</f>
        <v>1</v>
      </c>
      <c r="K1963" s="14" t="b">
        <f>OR(LCI_Table[[#This Row],[Data Source]]="All",LCI_Table[[#This Row],[Data Source]]=SelectedDataSource)</f>
        <v>0</v>
      </c>
      <c r="L1963" s="14" t="b">
        <f>TRUE</f>
        <v>1</v>
      </c>
      <c r="M1963" s="14" t="b">
        <f>(LCI_Table[[#This Row],[Dev Notes]]="Do not display")</f>
        <v>0</v>
      </c>
      <c r="N1963" s="14" t="b">
        <f>AND(LCI_Table[[#This Row],[Show Feedstock]:[Conditional]],NOT(LCI_Table[[#This Row],[Hide Row]]))</f>
        <v>0</v>
      </c>
      <c r="O1963" s="14" t="b">
        <f>LCI_Table[[#This Row],[GREET1 Name Range]]=""</f>
        <v>0</v>
      </c>
      <c r="P1963" s="14" t="s">
        <v>1448</v>
      </c>
      <c r="Q1963" s="14" t="s">
        <v>991</v>
      </c>
      <c r="R1963" s="14" t="s">
        <v>144</v>
      </c>
      <c r="S1963" s="37" cm="1">
        <f t="array" aca="1" ref="S19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63" s="346" t="s">
        <v>2119</v>
      </c>
      <c r="U1963" s="347">
        <f t="shared" ref="U1963" ca="1" si="115">S1963*lb2kg*MJ2mmBTU</f>
        <v>0</v>
      </c>
      <c r="V1963" s="347">
        <v>0</v>
      </c>
      <c r="W1963" s="347">
        <v>0</v>
      </c>
      <c r="X1963" s="14" t="s">
        <v>12</v>
      </c>
      <c r="Y1963" s="346" t="s">
        <v>416</v>
      </c>
      <c r="Z1963" s="14" t="str">
        <f>IF(ISBLANK(LCI_Table[[#This Row],[Notes for user]])," ",LCI_Table[[#This Row],[Notes for user]])</f>
        <v xml:space="preserve"> </v>
      </c>
      <c r="AA1963" s="14"/>
      <c r="AB1963" s="14"/>
      <c r="AC1963" s="346">
        <f ca="1">LCI_Table[[#This Row],[Default Calculated Value]]-LCI_Table[[#This Row],[Calculated Value]]</f>
        <v>0</v>
      </c>
    </row>
    <row r="1964" spans="1:29" x14ac:dyDescent="0.3">
      <c r="A19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SugarcaneATJ-ethanolICAOMIT(blank)_Sugarcane_ETJ_HydrogenHydrogen</v>
      </c>
      <c r="B1964" s="14" t="s">
        <v>447</v>
      </c>
      <c r="C1964" s="358" t="s">
        <v>1964</v>
      </c>
      <c r="D1964" s="358" t="s">
        <v>194</v>
      </c>
      <c r="E1964" s="358" t="s">
        <v>377</v>
      </c>
      <c r="F1964" s="48" t="s">
        <v>31</v>
      </c>
      <c r="G1964" s="14" t="b">
        <f>OR(LCI_Table[[#This Row],[Feedstock]]="All",LCI_Table[[#This Row],[Feedstock]]=SelectedFeedstock)</f>
        <v>0</v>
      </c>
      <c r="H1964" s="14" t="b">
        <f>OR(LCI_Table[[#This Row],[Conversion]]="All",LCI_Table[[#This Row],[Conversion]]=SelectedConversion)</f>
        <v>0</v>
      </c>
      <c r="I1964" s="14" t="b">
        <f>OR(LCI_Table[[#This Row],[Data Set]]="all",LCI_Table[[#This Row],[Data Set]]=SelectedDataSet)</f>
        <v>0</v>
      </c>
      <c r="J1964" s="14" t="b">
        <f>OR(LCI_Table[[#This Row],[Technology]]="All",LCI_Table[[#This Row],[Technology]]=SelectedTechnology)</f>
        <v>1</v>
      </c>
      <c r="K1964" s="14" t="b">
        <f>OR(LCI_Table[[#This Row],[Data Source]]="All",LCI_Table[[#This Row],[Data Source]]=SelectedDataSource)</f>
        <v>0</v>
      </c>
      <c r="L1964" s="14" t="b">
        <f>TRUE</f>
        <v>1</v>
      </c>
      <c r="M1964" s="14" t="b">
        <f>(LCI_Table[[#This Row],[Dev Notes]]="Do not display")</f>
        <v>0</v>
      </c>
      <c r="N1964" s="14" t="b">
        <f>AND(LCI_Table[[#This Row],[Show Feedstock]:[Conditional]],NOT(LCI_Table[[#This Row],[Hide Row]]))</f>
        <v>0</v>
      </c>
      <c r="O1964" s="14" t="b">
        <f>LCI_Table[[#This Row],[GREET1 Name Range]]=""</f>
        <v>0</v>
      </c>
      <c r="P1964" s="358" t="s">
        <v>1448</v>
      </c>
      <c r="Q1964" s="14" t="s">
        <v>992</v>
      </c>
      <c r="R1964" s="358" t="s">
        <v>73</v>
      </c>
      <c r="S1964" s="37" cm="1">
        <f t="array" aca="1" ref="S19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248.27586206896561</v>
      </c>
      <c r="T1964" s="346" t="s">
        <v>2120</v>
      </c>
      <c r="U1964" s="362">
        <f ca="1">S1964*Fuel_Specs!$E$81*g2kg/mmBTU2MJ</f>
        <v>6.0006628869539204E-4</v>
      </c>
      <c r="V1964" s="359">
        <v>248.27586206896561</v>
      </c>
      <c r="W1964" s="359">
        <v>6.0006628869539204E-4</v>
      </c>
      <c r="X1964" s="360" t="s">
        <v>351</v>
      </c>
      <c r="Y1964" s="346" t="s">
        <v>416</v>
      </c>
      <c r="Z1964" s="14" t="str">
        <f>IF(ISBLANK(LCI_Table[[#This Row],[Notes for user]])," ",LCI_Table[[#This Row],[Notes for user]])</f>
        <v xml:space="preserve"> </v>
      </c>
      <c r="AA1964" s="14"/>
      <c r="AB1964" s="358"/>
      <c r="AC1964" s="346">
        <f ca="1">LCI_Table[[#This Row],[Default Calculated Value]]-LCI_Table[[#This Row],[Calculated Value]]</f>
        <v>0</v>
      </c>
    </row>
    <row r="1965" spans="1:29" x14ac:dyDescent="0.3">
      <c r="A19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SugarcaneATJ-ethanolICAOMIT(blank)_Sugarcane_ETJ_Natural_gasNatural gas</v>
      </c>
      <c r="B1965" s="14" t="s">
        <v>447</v>
      </c>
      <c r="C1965" s="14" t="s">
        <v>1964</v>
      </c>
      <c r="D1965" s="14" t="s">
        <v>194</v>
      </c>
      <c r="E1965" s="14" t="s">
        <v>377</v>
      </c>
      <c r="F1965" s="48" t="s">
        <v>31</v>
      </c>
      <c r="G1965" s="14" t="b">
        <f>OR(LCI_Table[[#This Row],[Feedstock]]="All",LCI_Table[[#This Row],[Feedstock]]=SelectedFeedstock)</f>
        <v>0</v>
      </c>
      <c r="H1965" s="14" t="b">
        <f>OR(LCI_Table[[#This Row],[Conversion]]="All",LCI_Table[[#This Row],[Conversion]]=SelectedConversion)</f>
        <v>0</v>
      </c>
      <c r="I1965" s="14" t="b">
        <f>OR(LCI_Table[[#This Row],[Data Set]]="all",LCI_Table[[#This Row],[Data Set]]=SelectedDataSet)</f>
        <v>0</v>
      </c>
      <c r="J1965" s="14" t="b">
        <f>OR(LCI_Table[[#This Row],[Technology]]="All",LCI_Table[[#This Row],[Technology]]=SelectedTechnology)</f>
        <v>1</v>
      </c>
      <c r="K1965" s="14" t="b">
        <f>OR(LCI_Table[[#This Row],[Data Source]]="All",LCI_Table[[#This Row],[Data Source]]=SelectedDataSource)</f>
        <v>0</v>
      </c>
      <c r="L1965" s="14" t="b">
        <f>TRUE</f>
        <v>1</v>
      </c>
      <c r="M1965" s="14" t="b">
        <f>(LCI_Table[[#This Row],[Dev Notes]]="Do not display")</f>
        <v>0</v>
      </c>
      <c r="N1965" s="14" t="b">
        <f>AND(LCI_Table[[#This Row],[Show Feedstock]:[Conditional]],NOT(LCI_Table[[#This Row],[Hide Row]]))</f>
        <v>0</v>
      </c>
      <c r="O1965" s="14" t="b">
        <f>LCI_Table[[#This Row],[GREET1 Name Range]]=""</f>
        <v>0</v>
      </c>
      <c r="P1965" s="14" t="s">
        <v>1448</v>
      </c>
      <c r="Q1965" s="14" t="s">
        <v>993</v>
      </c>
      <c r="R1965" s="14" t="s">
        <v>108</v>
      </c>
      <c r="S1965" s="37" cm="1">
        <f t="array" aca="1" ref="S19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65" s="346" t="s">
        <v>2120</v>
      </c>
      <c r="U1965" s="347">
        <f ca="1">S1965*Fuel_Specs!$E$79*g2kg/mmBTU2MJ</f>
        <v>0</v>
      </c>
      <c r="V1965" s="347">
        <v>0</v>
      </c>
      <c r="W1965" s="347">
        <v>0</v>
      </c>
      <c r="X1965" s="14" t="s">
        <v>351</v>
      </c>
      <c r="Y1965" s="346" t="s">
        <v>416</v>
      </c>
      <c r="Z1965" s="14" t="str">
        <f>IF(ISBLANK(LCI_Table[[#This Row],[Notes for user]])," ",LCI_Table[[#This Row],[Notes for user]])</f>
        <v xml:space="preserve"> </v>
      </c>
      <c r="AA1965" s="14"/>
      <c r="AB1965" s="14"/>
      <c r="AC1965" s="346">
        <f ca="1">LCI_Table[[#This Row],[Default Calculated Value]]-LCI_Table[[#This Row],[Calculated Value]]</f>
        <v>0</v>
      </c>
    </row>
    <row r="1966" spans="1:29" x14ac:dyDescent="0.3">
      <c r="A19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SugarcaneATJ-ethanolICAOMIT(blank)_Sugarcane_ETJ_ElectricityGrid Electricity</v>
      </c>
      <c r="B1966" s="14" t="s">
        <v>447</v>
      </c>
      <c r="C1966" s="14" t="s">
        <v>1964</v>
      </c>
      <c r="D1966" s="14" t="s">
        <v>194</v>
      </c>
      <c r="E1966" s="14" t="s">
        <v>377</v>
      </c>
      <c r="F1966" s="48" t="s">
        <v>31</v>
      </c>
      <c r="G1966" s="14" t="b">
        <f>OR(LCI_Table[[#This Row],[Feedstock]]="All",LCI_Table[[#This Row],[Feedstock]]=SelectedFeedstock)</f>
        <v>0</v>
      </c>
      <c r="H1966" s="14" t="b">
        <f>OR(LCI_Table[[#This Row],[Conversion]]="All",LCI_Table[[#This Row],[Conversion]]=SelectedConversion)</f>
        <v>0</v>
      </c>
      <c r="I1966" s="14" t="b">
        <f>OR(LCI_Table[[#This Row],[Data Set]]="all",LCI_Table[[#This Row],[Data Set]]=SelectedDataSet)</f>
        <v>0</v>
      </c>
      <c r="J1966" s="14" t="b">
        <f>OR(LCI_Table[[#This Row],[Technology]]="All",LCI_Table[[#This Row],[Technology]]=SelectedTechnology)</f>
        <v>1</v>
      </c>
      <c r="K1966" s="14" t="b">
        <f>OR(LCI_Table[[#This Row],[Data Source]]="All",LCI_Table[[#This Row],[Data Source]]=SelectedDataSource)</f>
        <v>0</v>
      </c>
      <c r="L1966" s="14" t="b">
        <f>TRUE</f>
        <v>1</v>
      </c>
      <c r="M1966" s="14" t="b">
        <f>(LCI_Table[[#This Row],[Dev Notes]]="Do not display")</f>
        <v>0</v>
      </c>
      <c r="N1966" s="14" t="b">
        <f>AND(LCI_Table[[#This Row],[Show Feedstock]:[Conditional]],NOT(LCI_Table[[#This Row],[Hide Row]]))</f>
        <v>0</v>
      </c>
      <c r="O1966" s="14" t="b">
        <f>LCI_Table[[#This Row],[GREET1 Name Range]]=""</f>
        <v>0</v>
      </c>
      <c r="P1966" s="14" t="s">
        <v>1448</v>
      </c>
      <c r="Q1966" s="14" t="s">
        <v>994</v>
      </c>
      <c r="R1966" s="14" t="s">
        <v>1684</v>
      </c>
      <c r="S1966" s="37" cm="1">
        <f t="array" aca="1" ref="S19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66" s="346" t="s">
        <v>2121</v>
      </c>
      <c r="U1966" s="347">
        <f ca="1">S1966/mmBTU2MJ</f>
        <v>0</v>
      </c>
      <c r="V1966" s="347">
        <v>0</v>
      </c>
      <c r="W1966" s="347">
        <v>0</v>
      </c>
      <c r="X1966" s="37" t="s">
        <v>51</v>
      </c>
      <c r="Y1966" s="346" t="s">
        <v>416</v>
      </c>
      <c r="Z1966" s="14" t="str">
        <f>IF(ISBLANK(LCI_Table[[#This Row],[Notes for user]])," ",LCI_Table[[#This Row],[Notes for user]])</f>
        <v xml:space="preserve"> </v>
      </c>
      <c r="AA1966" s="14"/>
      <c r="AB1966" s="14"/>
      <c r="AC1966" s="346">
        <f ca="1">LCI_Table[[#This Row],[Default Calculated Value]]-LCI_Table[[#This Row],[Calculated Value]]</f>
        <v>0</v>
      </c>
    </row>
    <row r="1967" spans="1:29" x14ac:dyDescent="0.3">
      <c r="A19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SugarcaneATJ-ethanolICAOMIT(blank)_Sugarcane_ETJ_Allocation_FactorAllocation factor</v>
      </c>
      <c r="B1967" s="14" t="s">
        <v>447</v>
      </c>
      <c r="C1967" s="14" t="s">
        <v>1964</v>
      </c>
      <c r="D1967" s="14" t="s">
        <v>194</v>
      </c>
      <c r="E1967" s="14" t="s">
        <v>377</v>
      </c>
      <c r="F1967" s="48" t="s">
        <v>31</v>
      </c>
      <c r="G1967" s="14" t="b">
        <f>OR(LCI_Table[[#This Row],[Feedstock]]="All",LCI_Table[[#This Row],[Feedstock]]=SelectedFeedstock)</f>
        <v>0</v>
      </c>
      <c r="H1967" s="14" t="b">
        <f>OR(LCI_Table[[#This Row],[Conversion]]="All",LCI_Table[[#This Row],[Conversion]]=SelectedConversion)</f>
        <v>0</v>
      </c>
      <c r="I1967" s="14" t="b">
        <f>OR(LCI_Table[[#This Row],[Data Set]]="all",LCI_Table[[#This Row],[Data Set]]=SelectedDataSet)</f>
        <v>0</v>
      </c>
      <c r="J1967" s="14" t="b">
        <f>OR(LCI_Table[[#This Row],[Technology]]="All",LCI_Table[[#This Row],[Technology]]=SelectedTechnology)</f>
        <v>1</v>
      </c>
      <c r="K1967" s="14" t="b">
        <f>OR(LCI_Table[[#This Row],[Data Source]]="All",LCI_Table[[#This Row],[Data Source]]=SelectedDataSource)</f>
        <v>0</v>
      </c>
      <c r="L1967" s="14" t="b">
        <f>TRUE</f>
        <v>1</v>
      </c>
      <c r="M1967" s="14" t="b">
        <f>(LCI_Table[[#This Row],[Dev Notes]]="Do not display")</f>
        <v>0</v>
      </c>
      <c r="N1967" s="14" t="b">
        <f>AND(LCI_Table[[#This Row],[Show Feedstock]:[Conditional]],NOT(LCI_Table[[#This Row],[Hide Row]]))</f>
        <v>0</v>
      </c>
      <c r="O1967" s="14" t="b">
        <f>LCI_Table[[#This Row],[GREET1 Name Range]]=""</f>
        <v>0</v>
      </c>
      <c r="P1967" s="14" t="s">
        <v>1448</v>
      </c>
      <c r="Q1967" s="14" t="s">
        <v>1124</v>
      </c>
      <c r="R1967" s="14" t="s">
        <v>1344</v>
      </c>
      <c r="S1967" s="37" cm="1">
        <f t="array" aca="1" ref="S19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48.9236790606654</v>
      </c>
      <c r="T1967" s="346" t="s">
        <v>1345</v>
      </c>
      <c r="U1967" s="347">
        <f ca="1">S1967/100</f>
        <v>0.48923679060665398</v>
      </c>
      <c r="V1967" s="347">
        <v>48.9236790606654</v>
      </c>
      <c r="W1967" s="347">
        <v>0.48923679060665398</v>
      </c>
      <c r="X1967" s="37"/>
      <c r="Y1967" s="346"/>
      <c r="Z1967" s="14" t="str">
        <f>IF(ISBLANK(LCI_Table[[#This Row],[Notes for user]])," ",LCI_Table[[#This Row],[Notes for user]])</f>
        <v xml:space="preserve"> </v>
      </c>
      <c r="AA1967" s="14"/>
      <c r="AB1967" s="14"/>
      <c r="AC1967" s="346">
        <f ca="1">LCI_Table[[#This Row],[Default Calculated Value]]-LCI_Table[[#This Row],[Calculated Value]]</f>
        <v>0</v>
      </c>
    </row>
    <row r="1968" spans="1:29" x14ac:dyDescent="0.3">
      <c r="A19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dash_SugarcaneATJ-ethanolICAOJRC(blank)_Yield_Farming</v>
      </c>
      <c r="B1968" s="48" t="s">
        <v>447</v>
      </c>
      <c r="C1968" s="48" t="s">
        <v>1964</v>
      </c>
      <c r="D1968" s="48" t="s">
        <v>194</v>
      </c>
      <c r="E1968" s="48" t="s">
        <v>355</v>
      </c>
      <c r="F1968" s="48" t="s">
        <v>31</v>
      </c>
      <c r="G1968" s="14" t="b">
        <f>OR(LCI_Table[[#This Row],[Feedstock]]="All",LCI_Table[[#This Row],[Feedstock]]=SelectedFeedstock)</f>
        <v>0</v>
      </c>
      <c r="H1968" s="14" t="b">
        <f>OR(LCI_Table[[#This Row],[Conversion]]="All",LCI_Table[[#This Row],[Conversion]]=SelectedConversion)</f>
        <v>0</v>
      </c>
      <c r="I1968" s="14" t="b">
        <f>OR(LCI_Table[[#This Row],[Data Set]]="all",LCI_Table[[#This Row],[Data Set]]=SelectedDataSet)</f>
        <v>0</v>
      </c>
      <c r="J1968" s="14" t="b">
        <f>OR(LCI_Table[[#This Row],[Technology]]="All",LCI_Table[[#This Row],[Technology]]=SelectedTechnology)</f>
        <v>1</v>
      </c>
      <c r="K1968" s="14" t="b">
        <f>OR(LCI_Table[[#This Row],[Data Source]]="All",LCI_Table[[#This Row],[Data Source]]=SelectedDataSource)</f>
        <v>0</v>
      </c>
      <c r="L1968" s="14" t="b">
        <f>TRUE</f>
        <v>1</v>
      </c>
      <c r="M1968" s="14" t="b">
        <f>(LCI_Table[[#This Row],[Dev Notes]]="Do not display")</f>
        <v>0</v>
      </c>
      <c r="N1968" s="14" t="b">
        <f>AND(LCI_Table[[#This Row],[Show Feedstock]:[Conditional]],NOT(LCI_Table[[#This Row],[Hide Row]]))</f>
        <v>0</v>
      </c>
      <c r="O1968" s="14" t="b">
        <f>LCI_Table[[#This Row],[GREET1 Name Range]]=""</f>
        <v>1</v>
      </c>
      <c r="P1968" s="48" t="s">
        <v>14</v>
      </c>
      <c r="Q1968" s="14" t="s">
        <v>361</v>
      </c>
      <c r="R1968" s="48" t="s">
        <v>200</v>
      </c>
      <c r="S1968" s="37" cm="1">
        <f t="array" aca="1" ref="S19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38.676024628050598</v>
      </c>
      <c r="T1968" s="346" t="s">
        <v>2116</v>
      </c>
      <c r="U1968" s="344"/>
      <c r="V1968" s="344">
        <v>38.676024628050598</v>
      </c>
      <c r="W1968" s="344"/>
      <c r="X1968" s="48" t="s">
        <v>55</v>
      </c>
      <c r="Y1968" s="346" t="s">
        <v>413</v>
      </c>
      <c r="Z1968" s="14" t="str">
        <f>IF(ISBLANK(LCI_Table[[#This Row],[Notes for user]])," ",LCI_Table[[#This Row],[Notes for user]])</f>
        <v xml:space="preserve"> </v>
      </c>
      <c r="AA1968" s="48"/>
      <c r="AB1968" s="345" t="s">
        <v>923</v>
      </c>
      <c r="AC1968" s="346">
        <f>LCI_Table[[#This Row],[Default Calculated Value]]-LCI_Table[[#This Row],[Calculated Value]]</f>
        <v>0</v>
      </c>
    </row>
    <row r="1969" spans="1:29" x14ac:dyDescent="0.3">
      <c r="A19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SugarcaneATJ-ethanolICAOJRC(blank)_Sugarcane_Nitrogen_fertilizerNitrogen fertilizer</v>
      </c>
      <c r="B1969" s="14" t="s">
        <v>447</v>
      </c>
      <c r="C1969" s="14" t="s">
        <v>1964</v>
      </c>
      <c r="D1969" s="14" t="s">
        <v>194</v>
      </c>
      <c r="E1969" s="14" t="s">
        <v>355</v>
      </c>
      <c r="F1969" s="48" t="s">
        <v>31</v>
      </c>
      <c r="G1969" s="14" t="b">
        <f>OR(LCI_Table[[#This Row],[Feedstock]]="All",LCI_Table[[#This Row],[Feedstock]]=SelectedFeedstock)</f>
        <v>0</v>
      </c>
      <c r="H1969" s="14" t="b">
        <f>OR(LCI_Table[[#This Row],[Conversion]]="All",LCI_Table[[#This Row],[Conversion]]=SelectedConversion)</f>
        <v>0</v>
      </c>
      <c r="I1969" s="14" t="b">
        <f>OR(LCI_Table[[#This Row],[Data Set]]="all",LCI_Table[[#This Row],[Data Set]]=SelectedDataSet)</f>
        <v>0</v>
      </c>
      <c r="J1969" s="14" t="b">
        <f>OR(LCI_Table[[#This Row],[Technology]]="All",LCI_Table[[#This Row],[Technology]]=SelectedTechnology)</f>
        <v>1</v>
      </c>
      <c r="K1969" s="14" t="b">
        <f>OR(LCI_Table[[#This Row],[Data Source]]="All",LCI_Table[[#This Row],[Data Source]]=SelectedDataSource)</f>
        <v>0</v>
      </c>
      <c r="L1969" s="14" t="b">
        <f>TRUE</f>
        <v>1</v>
      </c>
      <c r="M1969" s="14" t="b">
        <f>(LCI_Table[[#This Row],[Dev Notes]]="Do not display")</f>
        <v>0</v>
      </c>
      <c r="N1969" s="14" t="b">
        <f>AND(LCI_Table[[#This Row],[Show Feedstock]:[Conditional]],NOT(LCI_Table[[#This Row],[Hide Row]]))</f>
        <v>0</v>
      </c>
      <c r="O1969" s="14" t="b">
        <f>LCI_Table[[#This Row],[GREET1 Name Range]]=""</f>
        <v>0</v>
      </c>
      <c r="P1969" s="14" t="s">
        <v>14</v>
      </c>
      <c r="Q1969" s="14" t="s">
        <v>968</v>
      </c>
      <c r="R1969" s="14" t="s">
        <v>111</v>
      </c>
      <c r="S1969" s="37" cm="1">
        <f t="array" aca="1" ref="S19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70.390364823052082</v>
      </c>
      <c r="T1969" s="346" t="s">
        <v>1485</v>
      </c>
      <c r="U1969" s="347">
        <f t="shared" ref="U1969:U1974" ca="1" si="116">S1969/$S$1968*lb2g/ton2MT</f>
        <v>909.99999999999989</v>
      </c>
      <c r="V1969" s="347">
        <v>70.390364823052082</v>
      </c>
      <c r="W1969" s="347">
        <v>909.99999999999989</v>
      </c>
      <c r="X1969" s="14" t="s">
        <v>12</v>
      </c>
      <c r="Y1969" s="346" t="s">
        <v>413</v>
      </c>
      <c r="Z1969" s="14" t="str">
        <f>IF(ISBLANK(LCI_Table[[#This Row],[Notes for user]])," ",LCI_Table[[#This Row],[Notes for user]])</f>
        <v xml:space="preserve"> </v>
      </c>
      <c r="AA1969" s="14"/>
      <c r="AB1969" s="14"/>
      <c r="AC1969" s="346">
        <f ca="1">LCI_Table[[#This Row],[Default Calculated Value]]-LCI_Table[[#This Row],[Calculated Value]]</f>
        <v>0</v>
      </c>
    </row>
    <row r="1970" spans="1:29" x14ac:dyDescent="0.3">
      <c r="A19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SugarcaneATJ-ethanolICAOJRC(blank)_Sugarcane_P2O5P2O5</v>
      </c>
      <c r="B1970" s="14" t="s">
        <v>447</v>
      </c>
      <c r="C1970" s="14" t="s">
        <v>1964</v>
      </c>
      <c r="D1970" s="14" t="s">
        <v>194</v>
      </c>
      <c r="E1970" s="14" t="s">
        <v>355</v>
      </c>
      <c r="F1970" s="48" t="s">
        <v>31</v>
      </c>
      <c r="G1970" s="14" t="b">
        <f>OR(LCI_Table[[#This Row],[Feedstock]]="All",LCI_Table[[#This Row],[Feedstock]]=SelectedFeedstock)</f>
        <v>0</v>
      </c>
      <c r="H1970" s="14" t="b">
        <f>OR(LCI_Table[[#This Row],[Conversion]]="All",LCI_Table[[#This Row],[Conversion]]=SelectedConversion)</f>
        <v>0</v>
      </c>
      <c r="I1970" s="14" t="b">
        <f>OR(LCI_Table[[#This Row],[Data Set]]="all",LCI_Table[[#This Row],[Data Set]]=SelectedDataSet)</f>
        <v>0</v>
      </c>
      <c r="J1970" s="14" t="b">
        <f>OR(LCI_Table[[#This Row],[Technology]]="All",LCI_Table[[#This Row],[Technology]]=SelectedTechnology)</f>
        <v>1</v>
      </c>
      <c r="K1970" s="14" t="b">
        <f>OR(LCI_Table[[#This Row],[Data Source]]="All",LCI_Table[[#This Row],[Data Source]]=SelectedDataSource)</f>
        <v>0</v>
      </c>
      <c r="L1970" s="14" t="b">
        <f>TRUE</f>
        <v>1</v>
      </c>
      <c r="M1970" s="14" t="b">
        <f>(LCI_Table[[#This Row],[Dev Notes]]="Do not display")</f>
        <v>0</v>
      </c>
      <c r="N1970" s="14" t="b">
        <f>AND(LCI_Table[[#This Row],[Show Feedstock]:[Conditional]],NOT(LCI_Table[[#This Row],[Hide Row]]))</f>
        <v>0</v>
      </c>
      <c r="O1970" s="14" t="b">
        <f>LCI_Table[[#This Row],[GREET1 Name Range]]=""</f>
        <v>0</v>
      </c>
      <c r="P1970" s="14" t="s">
        <v>14</v>
      </c>
      <c r="Q1970" s="14" t="s">
        <v>969</v>
      </c>
      <c r="R1970" s="14" t="s">
        <v>112</v>
      </c>
      <c r="S1970" s="37" cm="1">
        <f t="array" aca="1" ref="S19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24.752655761952383</v>
      </c>
      <c r="T1970" s="346" t="s">
        <v>1485</v>
      </c>
      <c r="U1970" s="347">
        <f t="shared" ca="1" si="116"/>
        <v>320</v>
      </c>
      <c r="V1970" s="347">
        <v>24.752655761952383</v>
      </c>
      <c r="W1970" s="347">
        <v>320</v>
      </c>
      <c r="X1970" s="14" t="s">
        <v>12</v>
      </c>
      <c r="Y1970" s="346" t="s">
        <v>413</v>
      </c>
      <c r="Z1970" s="14" t="str">
        <f>IF(ISBLANK(LCI_Table[[#This Row],[Notes for user]])," ",LCI_Table[[#This Row],[Notes for user]])</f>
        <v xml:space="preserve"> </v>
      </c>
      <c r="AA1970" s="14"/>
      <c r="AB1970" s="14"/>
      <c r="AC1970" s="346">
        <f ca="1">LCI_Table[[#This Row],[Default Calculated Value]]-LCI_Table[[#This Row],[Calculated Value]]</f>
        <v>0</v>
      </c>
    </row>
    <row r="1971" spans="1:29" x14ac:dyDescent="0.3">
      <c r="A19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SugarcaneATJ-ethanolICAOJRC(blank)_Sugarcane_K2OK2O</v>
      </c>
      <c r="B1971" s="14" t="s">
        <v>447</v>
      </c>
      <c r="C1971" s="14" t="s">
        <v>1964</v>
      </c>
      <c r="D1971" s="14" t="s">
        <v>194</v>
      </c>
      <c r="E1971" s="14" t="s">
        <v>355</v>
      </c>
      <c r="F1971" s="48" t="s">
        <v>31</v>
      </c>
      <c r="G1971" s="14" t="b">
        <f>OR(LCI_Table[[#This Row],[Feedstock]]="All",LCI_Table[[#This Row],[Feedstock]]=SelectedFeedstock)</f>
        <v>0</v>
      </c>
      <c r="H1971" s="14" t="b">
        <f>OR(LCI_Table[[#This Row],[Conversion]]="All",LCI_Table[[#This Row],[Conversion]]=SelectedConversion)</f>
        <v>0</v>
      </c>
      <c r="I1971" s="14" t="b">
        <f>OR(LCI_Table[[#This Row],[Data Set]]="all",LCI_Table[[#This Row],[Data Set]]=SelectedDataSet)</f>
        <v>0</v>
      </c>
      <c r="J1971" s="14" t="b">
        <f>OR(LCI_Table[[#This Row],[Technology]]="All",LCI_Table[[#This Row],[Technology]]=SelectedTechnology)</f>
        <v>1</v>
      </c>
      <c r="K1971" s="14" t="b">
        <f>OR(LCI_Table[[#This Row],[Data Source]]="All",LCI_Table[[#This Row],[Data Source]]=SelectedDataSource)</f>
        <v>0</v>
      </c>
      <c r="L1971" s="14" t="b">
        <f>TRUE</f>
        <v>1</v>
      </c>
      <c r="M1971" s="14" t="b">
        <f>(LCI_Table[[#This Row],[Dev Notes]]="Do not display")</f>
        <v>0</v>
      </c>
      <c r="N1971" s="14" t="b">
        <f>AND(LCI_Table[[#This Row],[Show Feedstock]:[Conditional]],NOT(LCI_Table[[#This Row],[Hide Row]]))</f>
        <v>0</v>
      </c>
      <c r="O1971" s="14" t="b">
        <f>LCI_Table[[#This Row],[GREET1 Name Range]]=""</f>
        <v>0</v>
      </c>
      <c r="P1971" s="14" t="s">
        <v>14</v>
      </c>
      <c r="Q1971" s="14" t="s">
        <v>970</v>
      </c>
      <c r="R1971" s="14" t="s">
        <v>113</v>
      </c>
      <c r="S1971" s="37" cm="1">
        <f t="array" aca="1" ref="S19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78.89909024122322</v>
      </c>
      <c r="T1971" s="346" t="s">
        <v>1485</v>
      </c>
      <c r="U1971" s="347">
        <f t="shared" ca="1" si="116"/>
        <v>1020</v>
      </c>
      <c r="V1971" s="347">
        <v>78.89909024122322</v>
      </c>
      <c r="W1971" s="347">
        <v>1020</v>
      </c>
      <c r="X1971" s="14" t="s">
        <v>12</v>
      </c>
      <c r="Y1971" s="346" t="s">
        <v>413</v>
      </c>
      <c r="Z1971" s="14" t="str">
        <f>IF(ISBLANK(LCI_Table[[#This Row],[Notes for user]])," ",LCI_Table[[#This Row],[Notes for user]])</f>
        <v xml:space="preserve"> </v>
      </c>
      <c r="AA1971" s="14"/>
      <c r="AB1971" s="14"/>
      <c r="AC1971" s="346">
        <f ca="1">LCI_Table[[#This Row],[Default Calculated Value]]-LCI_Table[[#This Row],[Calculated Value]]</f>
        <v>0</v>
      </c>
    </row>
    <row r="1972" spans="1:29" x14ac:dyDescent="0.3">
      <c r="A19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SugarcaneATJ-ethanolICAOJRC(blank)_Sugarcane_CaCO3CaCO3</v>
      </c>
      <c r="B1972" s="14" t="s">
        <v>447</v>
      </c>
      <c r="C1972" s="14" t="s">
        <v>1964</v>
      </c>
      <c r="D1972" s="14" t="s">
        <v>194</v>
      </c>
      <c r="E1972" s="14" t="s">
        <v>355</v>
      </c>
      <c r="F1972" s="48" t="s">
        <v>31</v>
      </c>
      <c r="G1972" s="14" t="b">
        <f>OR(LCI_Table[[#This Row],[Feedstock]]="All",LCI_Table[[#This Row],[Feedstock]]=SelectedFeedstock)</f>
        <v>0</v>
      </c>
      <c r="H1972" s="14" t="b">
        <f>OR(LCI_Table[[#This Row],[Conversion]]="All",LCI_Table[[#This Row],[Conversion]]=SelectedConversion)</f>
        <v>0</v>
      </c>
      <c r="I1972" s="14" t="b">
        <f>OR(LCI_Table[[#This Row],[Data Set]]="all",LCI_Table[[#This Row],[Data Set]]=SelectedDataSet)</f>
        <v>0</v>
      </c>
      <c r="J1972" s="14" t="b">
        <f>OR(LCI_Table[[#This Row],[Technology]]="All",LCI_Table[[#This Row],[Technology]]=SelectedTechnology)</f>
        <v>1</v>
      </c>
      <c r="K1972" s="14" t="b">
        <f>OR(LCI_Table[[#This Row],[Data Source]]="All",LCI_Table[[#This Row],[Data Source]]=SelectedDataSource)</f>
        <v>0</v>
      </c>
      <c r="L1972" s="14" t="b">
        <f>TRUE</f>
        <v>1</v>
      </c>
      <c r="M1972" s="14" t="b">
        <f>(LCI_Table[[#This Row],[Dev Notes]]="Do not display")</f>
        <v>0</v>
      </c>
      <c r="N1972" s="14" t="b">
        <f>AND(LCI_Table[[#This Row],[Show Feedstock]:[Conditional]],NOT(LCI_Table[[#This Row],[Hide Row]]))</f>
        <v>0</v>
      </c>
      <c r="O1972" s="14" t="b">
        <f>LCI_Table[[#This Row],[GREET1 Name Range]]=""</f>
        <v>0</v>
      </c>
      <c r="P1972" s="14" t="s">
        <v>14</v>
      </c>
      <c r="Q1972" s="14" t="s">
        <v>971</v>
      </c>
      <c r="R1972" s="14" t="s">
        <v>141</v>
      </c>
      <c r="S1972" s="37" cm="1">
        <f t="array" aca="1" ref="S19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78.89909024122322</v>
      </c>
      <c r="T1972" s="346" t="s">
        <v>1485</v>
      </c>
      <c r="U1972" s="347">
        <f t="shared" ca="1" si="116"/>
        <v>1020</v>
      </c>
      <c r="V1972" s="347">
        <v>78.89909024122322</v>
      </c>
      <c r="W1972" s="347">
        <v>1020</v>
      </c>
      <c r="X1972" s="14" t="s">
        <v>12</v>
      </c>
      <c r="Y1972" s="346" t="s">
        <v>413</v>
      </c>
      <c r="Z1972" s="14" t="str">
        <f>IF(ISBLANK(LCI_Table[[#This Row],[Notes for user]])," ",LCI_Table[[#This Row],[Notes for user]])</f>
        <v xml:space="preserve"> </v>
      </c>
      <c r="AA1972" s="14"/>
      <c r="AB1972" s="14" t="s">
        <v>924</v>
      </c>
      <c r="AC1972" s="346">
        <f ca="1">LCI_Table[[#This Row],[Default Calculated Value]]-LCI_Table[[#This Row],[Calculated Value]]</f>
        <v>0</v>
      </c>
    </row>
    <row r="1973" spans="1:29" x14ac:dyDescent="0.3">
      <c r="A19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SugarcaneATJ-ethanolICAOJRC(blank)_Sugarcane_HerbicidesHerbicides</v>
      </c>
      <c r="B1973" s="14" t="s">
        <v>447</v>
      </c>
      <c r="C1973" s="14" t="s">
        <v>1964</v>
      </c>
      <c r="D1973" s="14" t="s">
        <v>194</v>
      </c>
      <c r="E1973" s="14" t="s">
        <v>355</v>
      </c>
      <c r="F1973" s="48" t="s">
        <v>31</v>
      </c>
      <c r="G1973" s="14" t="b">
        <f>OR(LCI_Table[[#This Row],[Feedstock]]="All",LCI_Table[[#This Row],[Feedstock]]=SelectedFeedstock)</f>
        <v>0</v>
      </c>
      <c r="H1973" s="14" t="b">
        <f>OR(LCI_Table[[#This Row],[Conversion]]="All",LCI_Table[[#This Row],[Conversion]]=SelectedConversion)</f>
        <v>0</v>
      </c>
      <c r="I1973" s="14" t="b">
        <f>OR(LCI_Table[[#This Row],[Data Set]]="all",LCI_Table[[#This Row],[Data Set]]=SelectedDataSet)</f>
        <v>0</v>
      </c>
      <c r="J1973" s="14" t="b">
        <f>OR(LCI_Table[[#This Row],[Technology]]="All",LCI_Table[[#This Row],[Technology]]=SelectedTechnology)</f>
        <v>1</v>
      </c>
      <c r="K1973" s="14" t="b">
        <f>OR(LCI_Table[[#This Row],[Data Source]]="All",LCI_Table[[#This Row],[Data Source]]=SelectedDataSource)</f>
        <v>0</v>
      </c>
      <c r="L1973" s="14" t="b">
        <f>TRUE</f>
        <v>1</v>
      </c>
      <c r="M1973" s="14" t="b">
        <f>(LCI_Table[[#This Row],[Dev Notes]]="Do not display")</f>
        <v>0</v>
      </c>
      <c r="N1973" s="14" t="b">
        <f>AND(LCI_Table[[#This Row],[Show Feedstock]:[Conditional]],NOT(LCI_Table[[#This Row],[Hide Row]]))</f>
        <v>0</v>
      </c>
      <c r="O1973" s="14" t="b">
        <f>LCI_Table[[#This Row],[GREET1 Name Range]]=""</f>
        <v>0</v>
      </c>
      <c r="P1973" s="14" t="s">
        <v>14</v>
      </c>
      <c r="Q1973" s="14" t="s">
        <v>972</v>
      </c>
      <c r="R1973" s="14" t="s">
        <v>356</v>
      </c>
      <c r="S1973" s="37" cm="1">
        <f t="array" aca="1" ref="S19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73" s="346" t="s">
        <v>1485</v>
      </c>
      <c r="U1973" s="347">
        <f t="shared" ca="1" si="116"/>
        <v>0</v>
      </c>
      <c r="V1973" s="347">
        <v>0</v>
      </c>
      <c r="W1973" s="347">
        <v>0</v>
      </c>
      <c r="X1973" s="14" t="s">
        <v>12</v>
      </c>
      <c r="Y1973" s="346" t="s">
        <v>413</v>
      </c>
      <c r="Z1973" s="14" t="str">
        <f>IF(ISBLANK(LCI_Table[[#This Row],[Notes for user]])," ",LCI_Table[[#This Row],[Notes for user]])</f>
        <v xml:space="preserve"> </v>
      </c>
      <c r="AA1973" s="14"/>
      <c r="AB1973" s="14"/>
      <c r="AC1973" s="346">
        <f ca="1">LCI_Table[[#This Row],[Default Calculated Value]]-LCI_Table[[#This Row],[Calculated Value]]</f>
        <v>0</v>
      </c>
    </row>
    <row r="1974" spans="1:29" x14ac:dyDescent="0.3">
      <c r="A19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SugarcaneATJ-ethanolICAOJRC(blank)_Sugarcane_InsecticideInsecticide</v>
      </c>
      <c r="B1974" s="14" t="s">
        <v>447</v>
      </c>
      <c r="C1974" s="14" t="s">
        <v>1964</v>
      </c>
      <c r="D1974" s="14" t="s">
        <v>194</v>
      </c>
      <c r="E1974" s="14" t="s">
        <v>355</v>
      </c>
      <c r="F1974" s="48" t="s">
        <v>31</v>
      </c>
      <c r="G1974" s="14" t="b">
        <f>OR(LCI_Table[[#This Row],[Feedstock]]="All",LCI_Table[[#This Row],[Feedstock]]=SelectedFeedstock)</f>
        <v>0</v>
      </c>
      <c r="H1974" s="14" t="b">
        <f>OR(LCI_Table[[#This Row],[Conversion]]="All",LCI_Table[[#This Row],[Conversion]]=SelectedConversion)</f>
        <v>0</v>
      </c>
      <c r="I1974" s="14" t="b">
        <f>OR(LCI_Table[[#This Row],[Data Set]]="all",LCI_Table[[#This Row],[Data Set]]=SelectedDataSet)</f>
        <v>0</v>
      </c>
      <c r="J1974" s="14" t="b">
        <f>OR(LCI_Table[[#This Row],[Technology]]="All",LCI_Table[[#This Row],[Technology]]=SelectedTechnology)</f>
        <v>1</v>
      </c>
      <c r="K1974" s="14" t="b">
        <f>OR(LCI_Table[[#This Row],[Data Source]]="All",LCI_Table[[#This Row],[Data Source]]=SelectedDataSource)</f>
        <v>0</v>
      </c>
      <c r="L1974" s="14" t="b">
        <f>TRUE</f>
        <v>1</v>
      </c>
      <c r="M1974" s="14" t="b">
        <f>(LCI_Table[[#This Row],[Dev Notes]]="Do not display")</f>
        <v>0</v>
      </c>
      <c r="N1974" s="14" t="b">
        <f>AND(LCI_Table[[#This Row],[Show Feedstock]:[Conditional]],NOT(LCI_Table[[#This Row],[Hide Row]]))</f>
        <v>0</v>
      </c>
      <c r="O1974" s="14" t="b">
        <f>LCI_Table[[#This Row],[GREET1 Name Range]]=""</f>
        <v>0</v>
      </c>
      <c r="P1974" s="14" t="s">
        <v>14</v>
      </c>
      <c r="Q1974" s="14" t="s">
        <v>973</v>
      </c>
      <c r="R1974" s="14" t="s">
        <v>114</v>
      </c>
      <c r="S1974" s="37" cm="1">
        <f t="array" aca="1" ref="S19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2.862025822475744</v>
      </c>
      <c r="T1974" s="346" t="s">
        <v>1485</v>
      </c>
      <c r="U1974" s="347">
        <f t="shared" ca="1" si="116"/>
        <v>37</v>
      </c>
      <c r="V1974" s="347">
        <v>2.862025822475744</v>
      </c>
      <c r="W1974" s="347">
        <v>37</v>
      </c>
      <c r="X1974" s="14" t="s">
        <v>12</v>
      </c>
      <c r="Y1974" s="346" t="s">
        <v>413</v>
      </c>
      <c r="Z1974" s="14" t="str">
        <f>IF(ISBLANK(LCI_Table[[#This Row],[Notes for user]])," ",LCI_Table[[#This Row],[Notes for user]])</f>
        <v xml:space="preserve"> </v>
      </c>
      <c r="AA1974" s="14"/>
      <c r="AB1974" s="14"/>
      <c r="AC1974" s="346">
        <f ca="1">LCI_Table[[#This Row],[Default Calculated Value]]-LCI_Table[[#This Row],[Calculated Value]]</f>
        <v>0</v>
      </c>
    </row>
    <row r="1975" spans="1:29" x14ac:dyDescent="0.3">
      <c r="A19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SugarcaneATJ-ethanolICAOJRC(blank)_Sugarcane_Residual_oilResidual oil</v>
      </c>
      <c r="B1975" s="14" t="s">
        <v>447</v>
      </c>
      <c r="C1975" s="14" t="s">
        <v>1964</v>
      </c>
      <c r="D1975" s="14" t="s">
        <v>194</v>
      </c>
      <c r="E1975" s="14" t="s">
        <v>355</v>
      </c>
      <c r="F1975" s="48" t="s">
        <v>31</v>
      </c>
      <c r="G1975" s="14" t="b">
        <f>OR(LCI_Table[[#This Row],[Feedstock]]="All",LCI_Table[[#This Row],[Feedstock]]=SelectedFeedstock)</f>
        <v>0</v>
      </c>
      <c r="H1975" s="14" t="b">
        <f>OR(LCI_Table[[#This Row],[Conversion]]="All",LCI_Table[[#This Row],[Conversion]]=SelectedConversion)</f>
        <v>0</v>
      </c>
      <c r="I1975" s="14" t="b">
        <f>OR(LCI_Table[[#This Row],[Data Set]]="all",LCI_Table[[#This Row],[Data Set]]=SelectedDataSet)</f>
        <v>0</v>
      </c>
      <c r="J1975" s="14" t="b">
        <f>OR(LCI_Table[[#This Row],[Technology]]="All",LCI_Table[[#This Row],[Technology]]=SelectedTechnology)</f>
        <v>1</v>
      </c>
      <c r="K1975" s="14" t="b">
        <f>OR(LCI_Table[[#This Row],[Data Source]]="All",LCI_Table[[#This Row],[Data Source]]=SelectedDataSource)</f>
        <v>0</v>
      </c>
      <c r="L1975" s="14" t="b">
        <f>TRUE</f>
        <v>1</v>
      </c>
      <c r="M1975" s="14" t="b">
        <f>(LCI_Table[[#This Row],[Dev Notes]]="Do not display")</f>
        <v>0</v>
      </c>
      <c r="N1975" s="14" t="b">
        <f>AND(LCI_Table[[#This Row],[Show Feedstock]:[Conditional]],NOT(LCI_Table[[#This Row],[Hide Row]]))</f>
        <v>0</v>
      </c>
      <c r="O1975" s="14" t="b">
        <f>LCI_Table[[#This Row],[GREET1 Name Range]]=""</f>
        <v>0</v>
      </c>
      <c r="P1975" s="14" t="s">
        <v>14</v>
      </c>
      <c r="Q1975" s="14" t="s">
        <v>974</v>
      </c>
      <c r="R1975" s="14" t="s">
        <v>115</v>
      </c>
      <c r="S1975" s="37" cm="1">
        <f t="array" aca="1" ref="S19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75" s="346" t="s">
        <v>1484</v>
      </c>
      <c r="U1975" s="347">
        <f ca="1">$S1975/$S$1968*Fuel_Specs!$B$28/ton2MT</f>
        <v>0</v>
      </c>
      <c r="V1975" s="347">
        <v>0</v>
      </c>
      <c r="W1975" s="347">
        <v>0</v>
      </c>
      <c r="X1975" s="14" t="s">
        <v>5</v>
      </c>
      <c r="Y1975" s="346" t="s">
        <v>413</v>
      </c>
      <c r="Z1975" s="14" t="str">
        <f>IF(ISBLANK(LCI_Table[[#This Row],[Notes for user]])," ",LCI_Table[[#This Row],[Notes for user]])</f>
        <v xml:space="preserve"> </v>
      </c>
      <c r="AA1975" s="14"/>
      <c r="AB1975" s="14"/>
      <c r="AC1975" s="346">
        <f ca="1">LCI_Table[[#This Row],[Default Calculated Value]]-LCI_Table[[#This Row],[Calculated Value]]</f>
        <v>0</v>
      </c>
    </row>
    <row r="1976" spans="1:29" x14ac:dyDescent="0.3">
      <c r="A19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SugarcaneATJ-ethanolICAOJRC(blank)_Sugarcane_DieselDiesel</v>
      </c>
      <c r="B1976" s="14" t="s">
        <v>447</v>
      </c>
      <c r="C1976" s="14" t="s">
        <v>1964</v>
      </c>
      <c r="D1976" s="14" t="s">
        <v>194</v>
      </c>
      <c r="E1976" s="14" t="s">
        <v>355</v>
      </c>
      <c r="F1976" s="48" t="s">
        <v>31</v>
      </c>
      <c r="G1976" s="14" t="b">
        <f>OR(LCI_Table[[#This Row],[Feedstock]]="All",LCI_Table[[#This Row],[Feedstock]]=SelectedFeedstock)</f>
        <v>0</v>
      </c>
      <c r="H1976" s="14" t="b">
        <f>OR(LCI_Table[[#This Row],[Conversion]]="All",LCI_Table[[#This Row],[Conversion]]=SelectedConversion)</f>
        <v>0</v>
      </c>
      <c r="I1976" s="14" t="b">
        <f>OR(LCI_Table[[#This Row],[Data Set]]="all",LCI_Table[[#This Row],[Data Set]]=SelectedDataSet)</f>
        <v>0</v>
      </c>
      <c r="J1976" s="14" t="b">
        <f>OR(LCI_Table[[#This Row],[Technology]]="All",LCI_Table[[#This Row],[Technology]]=SelectedTechnology)</f>
        <v>1</v>
      </c>
      <c r="K1976" s="14" t="b">
        <f>OR(LCI_Table[[#This Row],[Data Source]]="All",LCI_Table[[#This Row],[Data Source]]=SelectedDataSource)</f>
        <v>0</v>
      </c>
      <c r="L1976" s="14" t="b">
        <f>TRUE</f>
        <v>1</v>
      </c>
      <c r="M1976" s="14" t="b">
        <f>(LCI_Table[[#This Row],[Dev Notes]]="Do not display")</f>
        <v>0</v>
      </c>
      <c r="N1976" s="14" t="b">
        <f>AND(LCI_Table[[#This Row],[Show Feedstock]:[Conditional]],NOT(LCI_Table[[#This Row],[Hide Row]]))</f>
        <v>0</v>
      </c>
      <c r="O1976" s="14" t="b">
        <f>LCI_Table[[#This Row],[GREET1 Name Range]]=""</f>
        <v>0</v>
      </c>
      <c r="P1976" s="14" t="s">
        <v>14</v>
      </c>
      <c r="Q1976" s="14" t="s">
        <v>975</v>
      </c>
      <c r="R1976" s="14" t="s">
        <v>106</v>
      </c>
      <c r="S1976" s="37" cm="1">
        <f t="array" aca="1" ref="S19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2.5889758887947303</v>
      </c>
      <c r="T1976" s="346" t="s">
        <v>1484</v>
      </c>
      <c r="U1976" s="347">
        <f ca="1">$S1976/$S$1968*Fuel_Specs!$B$19/ton2MT</f>
        <v>9478.1712266701124</v>
      </c>
      <c r="V1976" s="347">
        <v>2.5889758887947303</v>
      </c>
      <c r="W1976" s="347">
        <v>9478.1712266701124</v>
      </c>
      <c r="X1976" s="14" t="s">
        <v>5</v>
      </c>
      <c r="Y1976" s="346" t="s">
        <v>413</v>
      </c>
      <c r="Z1976" s="14" t="str">
        <f>IF(ISBLANK(LCI_Table[[#This Row],[Notes for user]])," ",LCI_Table[[#This Row],[Notes for user]])</f>
        <v xml:space="preserve"> </v>
      </c>
      <c r="AA1976" s="14"/>
      <c r="AB1976" s="14"/>
      <c r="AC1976" s="346">
        <f ca="1">LCI_Table[[#This Row],[Default Calculated Value]]-LCI_Table[[#This Row],[Calculated Value]]</f>
        <v>0</v>
      </c>
    </row>
    <row r="1977" spans="1:29" x14ac:dyDescent="0.3">
      <c r="A19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SugarcaneATJ-ethanolICAOJRC(blank)_Sugarcane_GasolineGasoline</v>
      </c>
      <c r="B1977" s="14" t="s">
        <v>447</v>
      </c>
      <c r="C1977" s="14" t="s">
        <v>1964</v>
      </c>
      <c r="D1977" s="14" t="s">
        <v>194</v>
      </c>
      <c r="E1977" s="14" t="s">
        <v>355</v>
      </c>
      <c r="F1977" s="48" t="s">
        <v>31</v>
      </c>
      <c r="G1977" s="14" t="b">
        <f>OR(LCI_Table[[#This Row],[Feedstock]]="All",LCI_Table[[#This Row],[Feedstock]]=SelectedFeedstock)</f>
        <v>0</v>
      </c>
      <c r="H1977" s="14" t="b">
        <f>OR(LCI_Table[[#This Row],[Conversion]]="All",LCI_Table[[#This Row],[Conversion]]=SelectedConversion)</f>
        <v>0</v>
      </c>
      <c r="I1977" s="14" t="b">
        <f>OR(LCI_Table[[#This Row],[Data Set]]="all",LCI_Table[[#This Row],[Data Set]]=SelectedDataSet)</f>
        <v>0</v>
      </c>
      <c r="J1977" s="14" t="b">
        <f>OR(LCI_Table[[#This Row],[Technology]]="All",LCI_Table[[#This Row],[Technology]]=SelectedTechnology)</f>
        <v>1</v>
      </c>
      <c r="K1977" s="14" t="b">
        <f>OR(LCI_Table[[#This Row],[Data Source]]="All",LCI_Table[[#This Row],[Data Source]]=SelectedDataSource)</f>
        <v>0</v>
      </c>
      <c r="L1977" s="14" t="b">
        <f>TRUE</f>
        <v>1</v>
      </c>
      <c r="M1977" s="14" t="b">
        <f>(LCI_Table[[#This Row],[Dev Notes]]="Do not display")</f>
        <v>0</v>
      </c>
      <c r="N1977" s="14" t="b">
        <f>AND(LCI_Table[[#This Row],[Show Feedstock]:[Conditional]],NOT(LCI_Table[[#This Row],[Hide Row]]))</f>
        <v>0</v>
      </c>
      <c r="O1977" s="14" t="b">
        <f>LCI_Table[[#This Row],[GREET1 Name Range]]=""</f>
        <v>0</v>
      </c>
      <c r="P1977" s="14" t="s">
        <v>14</v>
      </c>
      <c r="Q1977" s="14" t="s">
        <v>976</v>
      </c>
      <c r="R1977" s="14" t="s">
        <v>107</v>
      </c>
      <c r="S1977" s="37" cm="1">
        <f t="array" aca="1" ref="S19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77" s="346" t="s">
        <v>1484</v>
      </c>
      <c r="U1977" s="347">
        <f ca="1">$S1977/$S$1968*Fuel_Specs!$B$15/ton2MT</f>
        <v>0</v>
      </c>
      <c r="V1977" s="347">
        <v>0</v>
      </c>
      <c r="W1977" s="347">
        <v>0</v>
      </c>
      <c r="X1977" s="14" t="s">
        <v>5</v>
      </c>
      <c r="Y1977" s="346" t="s">
        <v>413</v>
      </c>
      <c r="Z1977" s="14" t="str">
        <f>IF(ISBLANK(LCI_Table[[#This Row],[Notes for user]])," ",LCI_Table[[#This Row],[Notes for user]])</f>
        <v xml:space="preserve"> </v>
      </c>
      <c r="AA1977" s="14"/>
      <c r="AB1977" s="14"/>
      <c r="AC1977" s="346">
        <f ca="1">LCI_Table[[#This Row],[Default Calculated Value]]-LCI_Table[[#This Row],[Calculated Value]]</f>
        <v>0</v>
      </c>
    </row>
    <row r="1978" spans="1:29" x14ac:dyDescent="0.3">
      <c r="A19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SugarcaneATJ-ethanolICAOJRC(blank)_Sugarcane_Natural_gasNatural gas</v>
      </c>
      <c r="B1978" s="14" t="s">
        <v>447</v>
      </c>
      <c r="C1978" s="14" t="s">
        <v>1964</v>
      </c>
      <c r="D1978" s="14" t="s">
        <v>194</v>
      </c>
      <c r="E1978" s="14" t="s">
        <v>355</v>
      </c>
      <c r="F1978" s="48" t="s">
        <v>31</v>
      </c>
      <c r="G1978" s="14" t="b">
        <f>OR(LCI_Table[[#This Row],[Feedstock]]="All",LCI_Table[[#This Row],[Feedstock]]=SelectedFeedstock)</f>
        <v>0</v>
      </c>
      <c r="H1978" s="14" t="b">
        <f>OR(LCI_Table[[#This Row],[Conversion]]="All",LCI_Table[[#This Row],[Conversion]]=SelectedConversion)</f>
        <v>0</v>
      </c>
      <c r="I1978" s="14" t="b">
        <f>OR(LCI_Table[[#This Row],[Data Set]]="all",LCI_Table[[#This Row],[Data Set]]=SelectedDataSet)</f>
        <v>0</v>
      </c>
      <c r="J1978" s="14" t="b">
        <f>OR(LCI_Table[[#This Row],[Technology]]="All",LCI_Table[[#This Row],[Technology]]=SelectedTechnology)</f>
        <v>1</v>
      </c>
      <c r="K1978" s="14" t="b">
        <f>OR(LCI_Table[[#This Row],[Data Source]]="All",LCI_Table[[#This Row],[Data Source]]=SelectedDataSource)</f>
        <v>0</v>
      </c>
      <c r="L1978" s="14" t="b">
        <f>TRUE</f>
        <v>1</v>
      </c>
      <c r="M1978" s="14" t="b">
        <f>(LCI_Table[[#This Row],[Dev Notes]]="Do not display")</f>
        <v>0</v>
      </c>
      <c r="N1978" s="14" t="b">
        <f>AND(LCI_Table[[#This Row],[Show Feedstock]:[Conditional]],NOT(LCI_Table[[#This Row],[Hide Row]]))</f>
        <v>0</v>
      </c>
      <c r="O1978" s="14" t="b">
        <f>LCI_Table[[#This Row],[GREET1 Name Range]]=""</f>
        <v>0</v>
      </c>
      <c r="P1978" s="14" t="s">
        <v>14</v>
      </c>
      <c r="Q1978" s="14" t="s">
        <v>977</v>
      </c>
      <c r="R1978" s="14" t="s">
        <v>108</v>
      </c>
      <c r="S1978" s="37" cm="1">
        <f t="array" aca="1" ref="S19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78" s="346" t="s">
        <v>2109</v>
      </c>
      <c r="U1978" s="347">
        <f ca="1">$S1978/$S$1968*Fuel_Specs!$B$79/ton2MT</f>
        <v>0</v>
      </c>
      <c r="V1978" s="347">
        <v>0</v>
      </c>
      <c r="W1978" s="347">
        <v>0</v>
      </c>
      <c r="X1978" s="14" t="s">
        <v>351</v>
      </c>
      <c r="Y1978" s="346" t="s">
        <v>413</v>
      </c>
      <c r="Z1978" s="14" t="str">
        <f>IF(ISBLANK(LCI_Table[[#This Row],[Notes for user]])," ",LCI_Table[[#This Row],[Notes for user]])</f>
        <v xml:space="preserve"> </v>
      </c>
      <c r="AA1978" s="14"/>
      <c r="AB1978" s="14"/>
      <c r="AC1978" s="346">
        <f ca="1">LCI_Table[[#This Row],[Default Calculated Value]]-LCI_Table[[#This Row],[Calculated Value]]</f>
        <v>0</v>
      </c>
    </row>
    <row r="1979" spans="1:29" x14ac:dyDescent="0.3">
      <c r="A19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SugarcaneATJ-ethanolICAOJRC(blank)_Sugarcane_CoalCoal</v>
      </c>
      <c r="B1979" s="14" t="s">
        <v>447</v>
      </c>
      <c r="C1979" s="14" t="s">
        <v>1964</v>
      </c>
      <c r="D1979" s="14" t="s">
        <v>194</v>
      </c>
      <c r="E1979" s="14" t="s">
        <v>355</v>
      </c>
      <c r="F1979" s="48" t="s">
        <v>31</v>
      </c>
      <c r="G1979" s="14" t="b">
        <f>OR(LCI_Table[[#This Row],[Feedstock]]="All",LCI_Table[[#This Row],[Feedstock]]=SelectedFeedstock)</f>
        <v>0</v>
      </c>
      <c r="H1979" s="14" t="b">
        <f>OR(LCI_Table[[#This Row],[Conversion]]="All",LCI_Table[[#This Row],[Conversion]]=SelectedConversion)</f>
        <v>0</v>
      </c>
      <c r="I1979" s="14" t="b">
        <f>OR(LCI_Table[[#This Row],[Data Set]]="all",LCI_Table[[#This Row],[Data Set]]=SelectedDataSet)</f>
        <v>0</v>
      </c>
      <c r="J1979" s="14" t="b">
        <f>OR(LCI_Table[[#This Row],[Technology]]="All",LCI_Table[[#This Row],[Technology]]=SelectedTechnology)</f>
        <v>1</v>
      </c>
      <c r="K1979" s="14" t="b">
        <f>OR(LCI_Table[[#This Row],[Data Source]]="All",LCI_Table[[#This Row],[Data Source]]=SelectedDataSource)</f>
        <v>0</v>
      </c>
      <c r="L1979" s="14" t="b">
        <f>TRUE</f>
        <v>1</v>
      </c>
      <c r="M1979" s="14" t="b">
        <f>(LCI_Table[[#This Row],[Dev Notes]]="Do not display")</f>
        <v>0</v>
      </c>
      <c r="N1979" s="14" t="b">
        <f>AND(LCI_Table[[#This Row],[Show Feedstock]:[Conditional]],NOT(LCI_Table[[#This Row],[Hide Row]]))</f>
        <v>0</v>
      </c>
      <c r="O1979" s="14" t="b">
        <f>LCI_Table[[#This Row],[GREET1 Name Range]]=""</f>
        <v>0</v>
      </c>
      <c r="P1979" s="14" t="s">
        <v>14</v>
      </c>
      <c r="Q1979" s="14" t="s">
        <v>978</v>
      </c>
      <c r="R1979" s="14" t="s">
        <v>9</v>
      </c>
      <c r="S1979" s="37" cm="1">
        <f t="array" aca="1" ref="S19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79" s="346" t="s">
        <v>2110</v>
      </c>
      <c r="U1979" s="347">
        <f ca="1">S1979/$S$1968/ton2MT</f>
        <v>0</v>
      </c>
      <c r="V1979" s="347">
        <v>0</v>
      </c>
      <c r="W1979" s="347">
        <v>0</v>
      </c>
      <c r="X1979" s="14" t="s">
        <v>117</v>
      </c>
      <c r="Y1979" s="346" t="s">
        <v>413</v>
      </c>
      <c r="Z1979" s="14" t="str">
        <f>IF(ISBLANK(LCI_Table[[#This Row],[Notes for user]])," ",LCI_Table[[#This Row],[Notes for user]])</f>
        <v xml:space="preserve"> </v>
      </c>
      <c r="AA1979" s="14"/>
      <c r="AB1979" s="14"/>
      <c r="AC1979" s="346">
        <f ca="1">LCI_Table[[#This Row],[Default Calculated Value]]-LCI_Table[[#This Row],[Calculated Value]]</f>
        <v>0</v>
      </c>
    </row>
    <row r="1980" spans="1:29" x14ac:dyDescent="0.3">
      <c r="A19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SugarcaneATJ-ethanolICAOJRC(blank)_Sugarcane_LPGLPG</v>
      </c>
      <c r="B1980" s="14" t="s">
        <v>447</v>
      </c>
      <c r="C1980" s="14" t="s">
        <v>1964</v>
      </c>
      <c r="D1980" s="14" t="s">
        <v>194</v>
      </c>
      <c r="E1980" s="14" t="s">
        <v>355</v>
      </c>
      <c r="F1980" s="48" t="s">
        <v>31</v>
      </c>
      <c r="G1980" s="14" t="b">
        <f>OR(LCI_Table[[#This Row],[Feedstock]]="All",LCI_Table[[#This Row],[Feedstock]]=SelectedFeedstock)</f>
        <v>0</v>
      </c>
      <c r="H1980" s="14" t="b">
        <f>OR(LCI_Table[[#This Row],[Conversion]]="All",LCI_Table[[#This Row],[Conversion]]=SelectedConversion)</f>
        <v>0</v>
      </c>
      <c r="I1980" s="14" t="b">
        <f>OR(LCI_Table[[#This Row],[Data Set]]="all",LCI_Table[[#This Row],[Data Set]]=SelectedDataSet)</f>
        <v>0</v>
      </c>
      <c r="J1980" s="14" t="b">
        <f>OR(LCI_Table[[#This Row],[Technology]]="All",LCI_Table[[#This Row],[Technology]]=SelectedTechnology)</f>
        <v>1</v>
      </c>
      <c r="K1980" s="14" t="b">
        <f>OR(LCI_Table[[#This Row],[Data Source]]="All",LCI_Table[[#This Row],[Data Source]]=SelectedDataSource)</f>
        <v>0</v>
      </c>
      <c r="L1980" s="14" t="b">
        <f>TRUE</f>
        <v>1</v>
      </c>
      <c r="M1980" s="14" t="b">
        <f>(LCI_Table[[#This Row],[Dev Notes]]="Do not display")</f>
        <v>0</v>
      </c>
      <c r="N1980" s="14" t="b">
        <f>AND(LCI_Table[[#This Row],[Show Feedstock]:[Conditional]],NOT(LCI_Table[[#This Row],[Hide Row]]))</f>
        <v>0</v>
      </c>
      <c r="O1980" s="14" t="b">
        <f>LCI_Table[[#This Row],[GREET1 Name Range]]=""</f>
        <v>0</v>
      </c>
      <c r="P1980" s="14" t="s">
        <v>14</v>
      </c>
      <c r="Q1980" s="14" t="s">
        <v>979</v>
      </c>
      <c r="R1980" s="14" t="s">
        <v>109</v>
      </c>
      <c r="S1980" s="37" cm="1">
        <f t="array" aca="1" ref="S19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80" s="346" t="s">
        <v>1484</v>
      </c>
      <c r="U1980" s="347">
        <f ca="1">$S1980/$S$1968*Fuel_Specs!$B$35/ton2MT</f>
        <v>0</v>
      </c>
      <c r="V1980" s="347">
        <v>0</v>
      </c>
      <c r="W1980" s="347">
        <v>0</v>
      </c>
      <c r="X1980" s="14" t="s">
        <v>5</v>
      </c>
      <c r="Y1980" s="346" t="s">
        <v>413</v>
      </c>
      <c r="Z1980" s="14" t="str">
        <f>IF(ISBLANK(LCI_Table[[#This Row],[Notes for user]])," ",LCI_Table[[#This Row],[Notes for user]])</f>
        <v xml:space="preserve"> </v>
      </c>
      <c r="AA1980" s="14"/>
      <c r="AB1980" s="14"/>
      <c r="AC1980" s="346">
        <f ca="1">LCI_Table[[#This Row],[Default Calculated Value]]-LCI_Table[[#This Row],[Calculated Value]]</f>
        <v>0</v>
      </c>
    </row>
    <row r="1981" spans="1:29" x14ac:dyDescent="0.3">
      <c r="A19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SugarcaneATJ-ethanolICAOJRC(blank)_Sugarcane_ElectricityElectricity</v>
      </c>
      <c r="B1981" s="14" t="s">
        <v>447</v>
      </c>
      <c r="C1981" s="14" t="s">
        <v>1964</v>
      </c>
      <c r="D1981" s="14" t="s">
        <v>194</v>
      </c>
      <c r="E1981" s="14" t="s">
        <v>355</v>
      </c>
      <c r="F1981" s="48" t="s">
        <v>31</v>
      </c>
      <c r="G1981" s="14" t="b">
        <f>OR(LCI_Table[[#This Row],[Feedstock]]="All",LCI_Table[[#This Row],[Feedstock]]=SelectedFeedstock)</f>
        <v>0</v>
      </c>
      <c r="H1981" s="14" t="b">
        <f>OR(LCI_Table[[#This Row],[Conversion]]="All",LCI_Table[[#This Row],[Conversion]]=SelectedConversion)</f>
        <v>0</v>
      </c>
      <c r="I1981" s="14" t="b">
        <f>OR(LCI_Table[[#This Row],[Data Set]]="all",LCI_Table[[#This Row],[Data Set]]=SelectedDataSet)</f>
        <v>0</v>
      </c>
      <c r="J1981" s="14" t="b">
        <f>OR(LCI_Table[[#This Row],[Technology]]="All",LCI_Table[[#This Row],[Technology]]=SelectedTechnology)</f>
        <v>1</v>
      </c>
      <c r="K1981" s="14" t="b">
        <f>OR(LCI_Table[[#This Row],[Data Source]]="All",LCI_Table[[#This Row],[Data Source]]=SelectedDataSource)</f>
        <v>0</v>
      </c>
      <c r="L1981" s="14" t="b">
        <f>TRUE</f>
        <v>1</v>
      </c>
      <c r="M1981" s="14" t="b">
        <f>(LCI_Table[[#This Row],[Dev Notes]]="Do not display")</f>
        <v>0</v>
      </c>
      <c r="N1981" s="14" t="b">
        <f>AND(LCI_Table[[#This Row],[Show Feedstock]:[Conditional]],NOT(LCI_Table[[#This Row],[Hide Row]]))</f>
        <v>0</v>
      </c>
      <c r="O1981" s="14" t="b">
        <f>LCI_Table[[#This Row],[GREET1 Name Range]]=""</f>
        <v>0</v>
      </c>
      <c r="P1981" s="14" t="s">
        <v>14</v>
      </c>
      <c r="Q1981" s="14" t="s">
        <v>980</v>
      </c>
      <c r="R1981" s="348" t="s">
        <v>110</v>
      </c>
      <c r="S1981" s="37" cm="1">
        <f t="array" aca="1" ref="S19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81" s="346" t="s">
        <v>1561</v>
      </c>
      <c r="U1981" s="347">
        <f ca="1">S1981/BTU2kWh/$S$1968/ton2MT</f>
        <v>0</v>
      </c>
      <c r="V1981" s="347">
        <v>0</v>
      </c>
      <c r="W1981" s="347">
        <v>0</v>
      </c>
      <c r="X1981" s="14" t="s">
        <v>51</v>
      </c>
      <c r="Y1981" s="346" t="s">
        <v>413</v>
      </c>
      <c r="Z1981" s="14" t="str">
        <f>IF(ISBLANK(LCI_Table[[#This Row],[Notes for user]])," ",LCI_Table[[#This Row],[Notes for user]])</f>
        <v xml:space="preserve"> </v>
      </c>
      <c r="AA1981" s="14"/>
      <c r="AB1981" s="14"/>
      <c r="AC1981" s="346">
        <f ca="1">LCI_Table[[#This Row],[Default Calculated Value]]-LCI_Table[[#This Row],[Calculated Value]]</f>
        <v>0</v>
      </c>
    </row>
    <row r="1982" spans="1:29" x14ac:dyDescent="0.3">
      <c r="A19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SugarcaneATJ-ethanolICAOJRC(blank)_Sugarcane_BiodieselBiodiesel</v>
      </c>
      <c r="B1982" s="14" t="s">
        <v>447</v>
      </c>
      <c r="C1982" s="14" t="s">
        <v>1964</v>
      </c>
      <c r="D1982" s="14" t="s">
        <v>194</v>
      </c>
      <c r="E1982" s="14" t="s">
        <v>355</v>
      </c>
      <c r="F1982" s="48" t="s">
        <v>31</v>
      </c>
      <c r="G1982" s="14" t="b">
        <f>OR(LCI_Table[[#This Row],[Feedstock]]="All",LCI_Table[[#This Row],[Feedstock]]=SelectedFeedstock)</f>
        <v>0</v>
      </c>
      <c r="H1982" s="14" t="b">
        <f>OR(LCI_Table[[#This Row],[Conversion]]="All",LCI_Table[[#This Row],[Conversion]]=SelectedConversion)</f>
        <v>0</v>
      </c>
      <c r="I1982" s="14" t="b">
        <f>OR(LCI_Table[[#This Row],[Data Set]]="all",LCI_Table[[#This Row],[Data Set]]=SelectedDataSet)</f>
        <v>0</v>
      </c>
      <c r="J1982" s="14" t="b">
        <f>OR(LCI_Table[[#This Row],[Technology]]="All",LCI_Table[[#This Row],[Technology]]=SelectedTechnology)</f>
        <v>1</v>
      </c>
      <c r="K1982" s="14" t="b">
        <f>OR(LCI_Table[[#This Row],[Data Source]]="All",LCI_Table[[#This Row],[Data Source]]=SelectedDataSource)</f>
        <v>0</v>
      </c>
      <c r="L1982" s="14" t="b">
        <f>TRUE</f>
        <v>1</v>
      </c>
      <c r="M1982" s="14" t="b">
        <f>(LCI_Table[[#This Row],[Dev Notes]]="Do not display")</f>
        <v>0</v>
      </c>
      <c r="N1982" s="14" t="b">
        <f>AND(LCI_Table[[#This Row],[Show Feedstock]:[Conditional]],NOT(LCI_Table[[#This Row],[Hide Row]]))</f>
        <v>0</v>
      </c>
      <c r="O1982" s="14" t="b">
        <f>LCI_Table[[#This Row],[GREET1 Name Range]]=""</f>
        <v>0</v>
      </c>
      <c r="P1982" s="14" t="s">
        <v>14</v>
      </c>
      <c r="Q1982" s="14" t="s">
        <v>1393</v>
      </c>
      <c r="R1982" s="348" t="s">
        <v>1394</v>
      </c>
      <c r="S1982" s="37" cm="1">
        <f t="array" aca="1" ref="S19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82" s="346" t="s">
        <v>1484</v>
      </c>
      <c r="U1982" s="347">
        <f ca="1">S1982*Fuel_Specs!$B$39/$S$1968/ton2MT</f>
        <v>0</v>
      </c>
      <c r="V1982" s="347">
        <v>0</v>
      </c>
      <c r="W1982" s="347">
        <v>0</v>
      </c>
      <c r="X1982" s="14" t="s">
        <v>5</v>
      </c>
      <c r="Y1982" s="346" t="s">
        <v>413</v>
      </c>
      <c r="Z1982" s="14" t="str">
        <f>IF(ISBLANK(LCI_Table[[#This Row],[Notes for user]])," ",LCI_Table[[#This Row],[Notes for user]])</f>
        <v xml:space="preserve"> </v>
      </c>
      <c r="AA1982" s="14"/>
      <c r="AB1982" s="14"/>
      <c r="AC1982" s="346">
        <f ca="1">LCI_Table[[#This Row],[Default Calculated Value]]-LCI_Table[[#This Row],[Calculated Value]]</f>
        <v>0</v>
      </c>
    </row>
    <row r="1983" spans="1:29" x14ac:dyDescent="0.3">
      <c r="A19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SugarcaneATJ-ethanolICAOJRC(blank)_Sugarcane_ETJ_SugarcaneSugarcane</v>
      </c>
      <c r="B1983" s="14" t="s">
        <v>447</v>
      </c>
      <c r="C1983" s="14" t="s">
        <v>1964</v>
      </c>
      <c r="D1983" s="14" t="s">
        <v>194</v>
      </c>
      <c r="E1983" s="14" t="s">
        <v>355</v>
      </c>
      <c r="F1983" s="48" t="s">
        <v>31</v>
      </c>
      <c r="G1983" s="14" t="b">
        <f>OR(LCI_Table[[#This Row],[Feedstock]]="All",LCI_Table[[#This Row],[Feedstock]]=SelectedFeedstock)</f>
        <v>0</v>
      </c>
      <c r="H1983" s="14" t="b">
        <f>OR(LCI_Table[[#This Row],[Conversion]]="All",LCI_Table[[#This Row],[Conversion]]=SelectedConversion)</f>
        <v>0</v>
      </c>
      <c r="I1983" s="14" t="b">
        <f>OR(LCI_Table[[#This Row],[Data Set]]="all",LCI_Table[[#This Row],[Data Set]]=SelectedDataSet)</f>
        <v>0</v>
      </c>
      <c r="J1983" s="14" t="b">
        <f>OR(LCI_Table[[#This Row],[Technology]]="All",LCI_Table[[#This Row],[Technology]]=SelectedTechnology)</f>
        <v>1</v>
      </c>
      <c r="K1983" s="14" t="b">
        <f>OR(LCI_Table[[#This Row],[Data Source]]="All",LCI_Table[[#This Row],[Data Source]]=SelectedDataSource)</f>
        <v>0</v>
      </c>
      <c r="L1983" s="14" t="b">
        <f>TRUE</f>
        <v>1</v>
      </c>
      <c r="M1983" s="14" t="b">
        <f>(LCI_Table[[#This Row],[Dev Notes]]="Do not display")</f>
        <v>0</v>
      </c>
      <c r="N1983" s="14" t="b">
        <f>AND(LCI_Table[[#This Row],[Show Feedstock]:[Conditional]],NOT(LCI_Table[[#This Row],[Hide Row]]))</f>
        <v>0</v>
      </c>
      <c r="O1983" s="14" t="b">
        <f>LCI_Table[[#This Row],[GREET1 Name Range]]=""</f>
        <v>0</v>
      </c>
      <c r="P1983" s="14" t="s">
        <v>1448</v>
      </c>
      <c r="Q1983" s="14" t="s">
        <v>981</v>
      </c>
      <c r="R1983" s="14" t="s">
        <v>447</v>
      </c>
      <c r="S1983" s="37" cm="1">
        <f t="array" aca="1" ref="S19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1518.4127962293576</v>
      </c>
      <c r="T1983" s="346" t="s">
        <v>2119</v>
      </c>
      <c r="U1983" s="347">
        <f ca="1">S1983*lb2kg/mmBTU2MJ</f>
        <v>0.65280000000000127</v>
      </c>
      <c r="V1983" s="347">
        <v>1518.4127962293576</v>
      </c>
      <c r="W1983" s="347">
        <v>0.65280000000000127</v>
      </c>
      <c r="X1983" s="14" t="s">
        <v>12</v>
      </c>
      <c r="Y1983" s="346" t="s">
        <v>416</v>
      </c>
      <c r="Z1983" s="14" t="str">
        <f>IF(ISBLANK(LCI_Table[[#This Row],[Notes for user]])," ",LCI_Table[[#This Row],[Notes for user]])</f>
        <v>Erroneous units in CORSIA</v>
      </c>
      <c r="AA1983" s="14" t="s">
        <v>1154</v>
      </c>
      <c r="AB1983" s="358"/>
      <c r="AC1983" s="346">
        <f ca="1">LCI_Table[[#This Row],[Default Calculated Value]]-LCI_Table[[#This Row],[Calculated Value]]</f>
        <v>0</v>
      </c>
    </row>
    <row r="1984" spans="1:29" x14ac:dyDescent="0.3">
      <c r="A19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SugarcaneATJ-ethanolICAOJRC(blank)_Sugarcane_ETJ_Alpha_amylaseAlpha-amylase</v>
      </c>
      <c r="B1984" s="14" t="s">
        <v>447</v>
      </c>
      <c r="C1984" s="14" t="s">
        <v>1964</v>
      </c>
      <c r="D1984" s="14" t="s">
        <v>194</v>
      </c>
      <c r="E1984" s="14" t="s">
        <v>355</v>
      </c>
      <c r="F1984" s="48" t="s">
        <v>31</v>
      </c>
      <c r="G1984" s="14" t="b">
        <f>OR(LCI_Table[[#This Row],[Feedstock]]="All",LCI_Table[[#This Row],[Feedstock]]=SelectedFeedstock)</f>
        <v>0</v>
      </c>
      <c r="H1984" s="14" t="b">
        <f>OR(LCI_Table[[#This Row],[Conversion]]="All",LCI_Table[[#This Row],[Conversion]]=SelectedConversion)</f>
        <v>0</v>
      </c>
      <c r="I1984" s="14" t="b">
        <f>OR(LCI_Table[[#This Row],[Data Set]]="all",LCI_Table[[#This Row],[Data Set]]=SelectedDataSet)</f>
        <v>0</v>
      </c>
      <c r="J1984" s="14" t="b">
        <f>OR(LCI_Table[[#This Row],[Technology]]="All",LCI_Table[[#This Row],[Technology]]=SelectedTechnology)</f>
        <v>1</v>
      </c>
      <c r="K1984" s="14" t="b">
        <f>OR(LCI_Table[[#This Row],[Data Source]]="All",LCI_Table[[#This Row],[Data Source]]=SelectedDataSource)</f>
        <v>0</v>
      </c>
      <c r="L1984" s="14" t="b">
        <f>TRUE</f>
        <v>1</v>
      </c>
      <c r="M1984" s="14" t="b">
        <f>(LCI_Table[[#This Row],[Dev Notes]]="Do not display")</f>
        <v>0</v>
      </c>
      <c r="N1984" s="14" t="b">
        <f>AND(LCI_Table[[#This Row],[Show Feedstock]:[Conditional]],NOT(LCI_Table[[#This Row],[Hide Row]]))</f>
        <v>0</v>
      </c>
      <c r="O1984" s="14" t="b">
        <f>LCI_Table[[#This Row],[GREET1 Name Range]]=""</f>
        <v>0</v>
      </c>
      <c r="P1984" s="14" t="s">
        <v>1448</v>
      </c>
      <c r="Q1984" s="14" t="s">
        <v>982</v>
      </c>
      <c r="R1984" s="14" t="s">
        <v>353</v>
      </c>
      <c r="S1984" s="37" cm="1">
        <f t="array" aca="1" ref="S19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84" s="346" t="s">
        <v>2119</v>
      </c>
      <c r="U1984" s="347">
        <f t="shared" ref="U1984" ca="1" si="117">S1984*lb2kg*MJ2mmBTU</f>
        <v>0</v>
      </c>
      <c r="V1984" s="347">
        <v>0</v>
      </c>
      <c r="W1984" s="347">
        <v>0</v>
      </c>
      <c r="X1984" s="14" t="s">
        <v>12</v>
      </c>
      <c r="Y1984" s="346" t="s">
        <v>416</v>
      </c>
      <c r="Z1984" s="14" t="str">
        <f>IF(ISBLANK(LCI_Table[[#This Row],[Notes for user]])," ",LCI_Table[[#This Row],[Notes for user]])</f>
        <v xml:space="preserve"> </v>
      </c>
      <c r="AA1984" s="14"/>
      <c r="AB1984" s="14"/>
      <c r="AC1984" s="346">
        <f ca="1">LCI_Table[[#This Row],[Default Calculated Value]]-LCI_Table[[#This Row],[Calculated Value]]</f>
        <v>0</v>
      </c>
    </row>
    <row r="1985" spans="1:29" x14ac:dyDescent="0.3">
      <c r="A19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SugarcaneATJ-ethanolICAOJRC(blank)_Sugarcane_ETJ_Gluco_amylaseGluco-amylase</v>
      </c>
      <c r="B1985" s="14" t="s">
        <v>447</v>
      </c>
      <c r="C1985" s="14" t="s">
        <v>1964</v>
      </c>
      <c r="D1985" s="14" t="s">
        <v>194</v>
      </c>
      <c r="E1985" s="14" t="s">
        <v>355</v>
      </c>
      <c r="F1985" s="48" t="s">
        <v>31</v>
      </c>
      <c r="G1985" s="14" t="b">
        <f>OR(LCI_Table[[#This Row],[Feedstock]]="All",LCI_Table[[#This Row],[Feedstock]]=SelectedFeedstock)</f>
        <v>0</v>
      </c>
      <c r="H1985" s="14" t="b">
        <f>OR(LCI_Table[[#This Row],[Conversion]]="All",LCI_Table[[#This Row],[Conversion]]=SelectedConversion)</f>
        <v>0</v>
      </c>
      <c r="I1985" s="14" t="b">
        <f>OR(LCI_Table[[#This Row],[Data Set]]="all",LCI_Table[[#This Row],[Data Set]]=SelectedDataSet)</f>
        <v>0</v>
      </c>
      <c r="J1985" s="14" t="b">
        <f>OR(LCI_Table[[#This Row],[Technology]]="All",LCI_Table[[#This Row],[Technology]]=SelectedTechnology)</f>
        <v>1</v>
      </c>
      <c r="K1985" s="14" t="b">
        <f>OR(LCI_Table[[#This Row],[Data Source]]="All",LCI_Table[[#This Row],[Data Source]]=SelectedDataSource)</f>
        <v>0</v>
      </c>
      <c r="L1985" s="14" t="b">
        <f>TRUE</f>
        <v>1</v>
      </c>
      <c r="M1985" s="14" t="b">
        <f>(LCI_Table[[#This Row],[Dev Notes]]="Do not display")</f>
        <v>0</v>
      </c>
      <c r="N1985" s="14" t="b">
        <f>AND(LCI_Table[[#This Row],[Show Feedstock]:[Conditional]],NOT(LCI_Table[[#This Row],[Hide Row]]))</f>
        <v>0</v>
      </c>
      <c r="O1985" s="14" t="b">
        <f>LCI_Table[[#This Row],[GREET1 Name Range]]=""</f>
        <v>0</v>
      </c>
      <c r="P1985" s="14" t="s">
        <v>1448</v>
      </c>
      <c r="Q1985" s="14" t="s">
        <v>983</v>
      </c>
      <c r="R1985" s="14" t="s">
        <v>354</v>
      </c>
      <c r="S1985" s="37" cm="1">
        <f t="array" aca="1" ref="S19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85" s="346" t="s">
        <v>2119</v>
      </c>
      <c r="U1985" s="347">
        <f t="shared" ref="U1985" ca="1" si="118">S1985*lb2kg*MJ2mmBTU</f>
        <v>0</v>
      </c>
      <c r="V1985" s="347">
        <v>0</v>
      </c>
      <c r="W1985" s="347">
        <v>0</v>
      </c>
      <c r="X1985" s="14" t="s">
        <v>12</v>
      </c>
      <c r="Y1985" s="346" t="s">
        <v>416</v>
      </c>
      <c r="Z1985" s="14" t="str">
        <f>IF(ISBLANK(LCI_Table[[#This Row],[Notes for user]])," ",LCI_Table[[#This Row],[Notes for user]])</f>
        <v xml:space="preserve"> </v>
      </c>
      <c r="AA1985" s="14"/>
      <c r="AB1985" s="14"/>
      <c r="AC1985" s="346">
        <f ca="1">LCI_Table[[#This Row],[Default Calculated Value]]-LCI_Table[[#This Row],[Calculated Value]]</f>
        <v>0</v>
      </c>
    </row>
    <row r="1986" spans="1:29" x14ac:dyDescent="0.3">
      <c r="A19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SugarcaneATJ-ethanolICAOJRC(blank)_Sugarcane_ETJ_YeastYeast</v>
      </c>
      <c r="B1986" s="14" t="s">
        <v>447</v>
      </c>
      <c r="C1986" s="14" t="s">
        <v>1964</v>
      </c>
      <c r="D1986" s="14" t="s">
        <v>194</v>
      </c>
      <c r="E1986" s="14" t="s">
        <v>355</v>
      </c>
      <c r="F1986" s="48" t="s">
        <v>31</v>
      </c>
      <c r="G1986" s="14" t="b">
        <f>OR(LCI_Table[[#This Row],[Feedstock]]="All",LCI_Table[[#This Row],[Feedstock]]=SelectedFeedstock)</f>
        <v>0</v>
      </c>
      <c r="H1986" s="14" t="b">
        <f>OR(LCI_Table[[#This Row],[Conversion]]="All",LCI_Table[[#This Row],[Conversion]]=SelectedConversion)</f>
        <v>0</v>
      </c>
      <c r="I1986" s="14" t="b">
        <f>OR(LCI_Table[[#This Row],[Data Set]]="all",LCI_Table[[#This Row],[Data Set]]=SelectedDataSet)</f>
        <v>0</v>
      </c>
      <c r="J1986" s="14" t="b">
        <f>OR(LCI_Table[[#This Row],[Technology]]="All",LCI_Table[[#This Row],[Technology]]=SelectedTechnology)</f>
        <v>1</v>
      </c>
      <c r="K1986" s="14" t="b">
        <f>OR(LCI_Table[[#This Row],[Data Source]]="All",LCI_Table[[#This Row],[Data Source]]=SelectedDataSource)</f>
        <v>0</v>
      </c>
      <c r="L1986" s="14" t="b">
        <f>TRUE</f>
        <v>1</v>
      </c>
      <c r="M1986" s="14" t="b">
        <f>(LCI_Table[[#This Row],[Dev Notes]]="Do not display")</f>
        <v>0</v>
      </c>
      <c r="N1986" s="14" t="b">
        <f>AND(LCI_Table[[#This Row],[Show Feedstock]:[Conditional]],NOT(LCI_Table[[#This Row],[Hide Row]]))</f>
        <v>0</v>
      </c>
      <c r="O1986" s="14" t="b">
        <f>LCI_Table[[#This Row],[GREET1 Name Range]]=""</f>
        <v>0</v>
      </c>
      <c r="P1986" s="14" t="s">
        <v>1448</v>
      </c>
      <c r="Q1986" s="14" t="s">
        <v>984</v>
      </c>
      <c r="R1986" s="14" t="s">
        <v>145</v>
      </c>
      <c r="S1986" s="37" cm="1">
        <f t="array" aca="1" ref="S19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86" s="346" t="s">
        <v>2119</v>
      </c>
      <c r="U1986" s="347">
        <f t="shared" ref="U1986" ca="1" si="119">S1986*lb2kg*MJ2mmBTU</f>
        <v>0</v>
      </c>
      <c r="V1986" s="347">
        <v>0</v>
      </c>
      <c r="W1986" s="347">
        <v>0</v>
      </c>
      <c r="X1986" s="14" t="s">
        <v>12</v>
      </c>
      <c r="Y1986" s="346" t="s">
        <v>416</v>
      </c>
      <c r="Z1986" s="14" t="str">
        <f>IF(ISBLANK(LCI_Table[[#This Row],[Notes for user]])," ",LCI_Table[[#This Row],[Notes for user]])</f>
        <v xml:space="preserve"> </v>
      </c>
      <c r="AA1986" s="14"/>
      <c r="AB1986" s="14"/>
      <c r="AC1986" s="346">
        <f ca="1">LCI_Table[[#This Row],[Default Calculated Value]]-LCI_Table[[#This Row],[Calculated Value]]</f>
        <v>0</v>
      </c>
    </row>
    <row r="1987" spans="1:29" x14ac:dyDescent="0.3">
      <c r="A19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SugarcaneATJ-ethanolICAOJRC(blank)_Sugarcane_ETJ_GlucoseGlucose</v>
      </c>
      <c r="B1987" s="14" t="s">
        <v>447</v>
      </c>
      <c r="C1987" s="14" t="s">
        <v>1964</v>
      </c>
      <c r="D1987" s="14" t="s">
        <v>194</v>
      </c>
      <c r="E1987" s="14" t="s">
        <v>355</v>
      </c>
      <c r="F1987" s="48" t="s">
        <v>31</v>
      </c>
      <c r="G1987" s="14" t="b">
        <f>OR(LCI_Table[[#This Row],[Feedstock]]="All",LCI_Table[[#This Row],[Feedstock]]=SelectedFeedstock)</f>
        <v>0</v>
      </c>
      <c r="H1987" s="14" t="b">
        <f>OR(LCI_Table[[#This Row],[Conversion]]="All",LCI_Table[[#This Row],[Conversion]]=SelectedConversion)</f>
        <v>0</v>
      </c>
      <c r="I1987" s="14" t="b">
        <f>OR(LCI_Table[[#This Row],[Data Set]]="all",LCI_Table[[#This Row],[Data Set]]=SelectedDataSet)</f>
        <v>0</v>
      </c>
      <c r="J1987" s="14" t="b">
        <f>OR(LCI_Table[[#This Row],[Technology]]="All",LCI_Table[[#This Row],[Technology]]=SelectedTechnology)</f>
        <v>1</v>
      </c>
      <c r="K1987" s="14" t="b">
        <f>OR(LCI_Table[[#This Row],[Data Source]]="All",LCI_Table[[#This Row],[Data Source]]=SelectedDataSource)</f>
        <v>0</v>
      </c>
      <c r="L1987" s="14" t="b">
        <f>TRUE</f>
        <v>1</v>
      </c>
      <c r="M1987" s="14" t="b">
        <f>(LCI_Table[[#This Row],[Dev Notes]]="Do not display")</f>
        <v>0</v>
      </c>
      <c r="N1987" s="14" t="b">
        <f>AND(LCI_Table[[#This Row],[Show Feedstock]:[Conditional]],NOT(LCI_Table[[#This Row],[Hide Row]]))</f>
        <v>0</v>
      </c>
      <c r="O1987" s="14" t="b">
        <f>LCI_Table[[#This Row],[GREET1 Name Range]]=""</f>
        <v>0</v>
      </c>
      <c r="P1987" s="14" t="s">
        <v>1448</v>
      </c>
      <c r="Q1987" s="14" t="s">
        <v>985</v>
      </c>
      <c r="R1987" s="14" t="s">
        <v>387</v>
      </c>
      <c r="S1987" s="37" cm="1">
        <f t="array" aca="1" ref="S19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87" s="346" t="s">
        <v>2119</v>
      </c>
      <c r="U1987" s="347">
        <f t="shared" ref="U1987" ca="1" si="120">S1987*lb2kg*MJ2mmBTU</f>
        <v>0</v>
      </c>
      <c r="V1987" s="347">
        <v>0</v>
      </c>
      <c r="W1987" s="347">
        <v>0</v>
      </c>
      <c r="X1987" s="14" t="s">
        <v>12</v>
      </c>
      <c r="Y1987" s="346" t="s">
        <v>416</v>
      </c>
      <c r="Z1987" s="14" t="str">
        <f>IF(ISBLANK(LCI_Table[[#This Row],[Notes for user]])," ",LCI_Table[[#This Row],[Notes for user]])</f>
        <v xml:space="preserve"> </v>
      </c>
      <c r="AA1987" s="14"/>
      <c r="AB1987" s="14"/>
      <c r="AC1987" s="346">
        <f ca="1">LCI_Table[[#This Row],[Default Calculated Value]]-LCI_Table[[#This Row],[Calculated Value]]</f>
        <v>0</v>
      </c>
    </row>
    <row r="1988" spans="1:29" x14ac:dyDescent="0.3">
      <c r="A19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SugarcaneATJ-ethanolICAOJRC(blank)_Sugarcane_ETJ_Sulfuric_acidSulfuric acid</v>
      </c>
      <c r="B1988" s="14" t="s">
        <v>447</v>
      </c>
      <c r="C1988" s="14" t="s">
        <v>1964</v>
      </c>
      <c r="D1988" s="14" t="s">
        <v>194</v>
      </c>
      <c r="E1988" s="14" t="s">
        <v>355</v>
      </c>
      <c r="F1988" s="48" t="s">
        <v>31</v>
      </c>
      <c r="G1988" s="14" t="b">
        <f>OR(LCI_Table[[#This Row],[Feedstock]]="All",LCI_Table[[#This Row],[Feedstock]]=SelectedFeedstock)</f>
        <v>0</v>
      </c>
      <c r="H1988" s="14" t="b">
        <f>OR(LCI_Table[[#This Row],[Conversion]]="All",LCI_Table[[#This Row],[Conversion]]=SelectedConversion)</f>
        <v>0</v>
      </c>
      <c r="I1988" s="14" t="b">
        <f>OR(LCI_Table[[#This Row],[Data Set]]="all",LCI_Table[[#This Row],[Data Set]]=SelectedDataSet)</f>
        <v>0</v>
      </c>
      <c r="J1988" s="14" t="b">
        <f>OR(LCI_Table[[#This Row],[Technology]]="All",LCI_Table[[#This Row],[Technology]]=SelectedTechnology)</f>
        <v>1</v>
      </c>
      <c r="K1988" s="14" t="b">
        <f>OR(LCI_Table[[#This Row],[Data Source]]="All",LCI_Table[[#This Row],[Data Source]]=SelectedDataSource)</f>
        <v>0</v>
      </c>
      <c r="L1988" s="14" t="b">
        <f>TRUE</f>
        <v>1</v>
      </c>
      <c r="M1988" s="14" t="b">
        <f>(LCI_Table[[#This Row],[Dev Notes]]="Do not display")</f>
        <v>0</v>
      </c>
      <c r="N1988" s="14" t="b">
        <f>AND(LCI_Table[[#This Row],[Show Feedstock]:[Conditional]],NOT(LCI_Table[[#This Row],[Hide Row]]))</f>
        <v>0</v>
      </c>
      <c r="O1988" s="14" t="b">
        <f>LCI_Table[[#This Row],[GREET1 Name Range]]=""</f>
        <v>0</v>
      </c>
      <c r="P1988" s="14" t="s">
        <v>1448</v>
      </c>
      <c r="Q1988" s="14" t="s">
        <v>986</v>
      </c>
      <c r="R1988" s="14" t="s">
        <v>384</v>
      </c>
      <c r="S1988" s="37" cm="1">
        <f t="array" aca="1" ref="S19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88" s="346" t="s">
        <v>2119</v>
      </c>
      <c r="U1988" s="347">
        <f t="shared" ref="U1988" ca="1" si="121">S1988*lb2kg*MJ2mmBTU</f>
        <v>0</v>
      </c>
      <c r="V1988" s="347">
        <v>0</v>
      </c>
      <c r="W1988" s="347">
        <v>0</v>
      </c>
      <c r="X1988" s="14" t="s">
        <v>12</v>
      </c>
      <c r="Y1988" s="346" t="s">
        <v>416</v>
      </c>
      <c r="Z1988" s="14" t="str">
        <f>IF(ISBLANK(LCI_Table[[#This Row],[Notes for user]])," ",LCI_Table[[#This Row],[Notes for user]])</f>
        <v xml:space="preserve"> </v>
      </c>
      <c r="AA1988" s="14"/>
      <c r="AB1988" s="14"/>
      <c r="AC1988" s="346">
        <f ca="1">LCI_Table[[#This Row],[Default Calculated Value]]-LCI_Table[[#This Row],[Calculated Value]]</f>
        <v>0</v>
      </c>
    </row>
    <row r="1989" spans="1:29" x14ac:dyDescent="0.3">
      <c r="A19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SugarcaneATJ-ethanolICAOJRC(blank)_Sugarcane_ETJ_AmmoniaAmmonia</v>
      </c>
      <c r="B1989" s="14" t="s">
        <v>447</v>
      </c>
      <c r="C1989" s="14" t="s">
        <v>1964</v>
      </c>
      <c r="D1989" s="14" t="s">
        <v>194</v>
      </c>
      <c r="E1989" s="14" t="s">
        <v>355</v>
      </c>
      <c r="F1989" s="48" t="s">
        <v>31</v>
      </c>
      <c r="G1989" s="14" t="b">
        <f>OR(LCI_Table[[#This Row],[Feedstock]]="All",LCI_Table[[#This Row],[Feedstock]]=SelectedFeedstock)</f>
        <v>0</v>
      </c>
      <c r="H1989" s="14" t="b">
        <f>OR(LCI_Table[[#This Row],[Conversion]]="All",LCI_Table[[#This Row],[Conversion]]=SelectedConversion)</f>
        <v>0</v>
      </c>
      <c r="I1989" s="14" t="b">
        <f>OR(LCI_Table[[#This Row],[Data Set]]="all",LCI_Table[[#This Row],[Data Set]]=SelectedDataSet)</f>
        <v>0</v>
      </c>
      <c r="J1989" s="14" t="b">
        <f>OR(LCI_Table[[#This Row],[Technology]]="All",LCI_Table[[#This Row],[Technology]]=SelectedTechnology)</f>
        <v>1</v>
      </c>
      <c r="K1989" s="14" t="b">
        <f>OR(LCI_Table[[#This Row],[Data Source]]="All",LCI_Table[[#This Row],[Data Source]]=SelectedDataSource)</f>
        <v>0</v>
      </c>
      <c r="L1989" s="14" t="b">
        <f>TRUE</f>
        <v>1</v>
      </c>
      <c r="M1989" s="14" t="b">
        <f>(LCI_Table[[#This Row],[Dev Notes]]="Do not display")</f>
        <v>0</v>
      </c>
      <c r="N1989" s="14" t="b">
        <f>AND(LCI_Table[[#This Row],[Show Feedstock]:[Conditional]],NOT(LCI_Table[[#This Row],[Hide Row]]))</f>
        <v>0</v>
      </c>
      <c r="O1989" s="14" t="b">
        <f>LCI_Table[[#This Row],[GREET1 Name Range]]=""</f>
        <v>0</v>
      </c>
      <c r="P1989" s="14" t="s">
        <v>1448</v>
      </c>
      <c r="Q1989" s="14" t="s">
        <v>987</v>
      </c>
      <c r="R1989" s="14" t="s">
        <v>382</v>
      </c>
      <c r="S1989" s="37" cm="1">
        <f t="array" aca="1" ref="S19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89" s="346" t="s">
        <v>2119</v>
      </c>
      <c r="U1989" s="347">
        <f t="shared" ref="U1989" ca="1" si="122">S1989*lb2kg*MJ2mmBTU</f>
        <v>0</v>
      </c>
      <c r="V1989" s="347">
        <v>0</v>
      </c>
      <c r="W1989" s="347">
        <v>0</v>
      </c>
      <c r="X1989" s="14" t="s">
        <v>12</v>
      </c>
      <c r="Y1989" s="346" t="s">
        <v>416</v>
      </c>
      <c r="Z1989" s="14" t="str">
        <f>IF(ISBLANK(LCI_Table[[#This Row],[Notes for user]])," ",LCI_Table[[#This Row],[Notes for user]])</f>
        <v xml:space="preserve"> </v>
      </c>
      <c r="AA1989" s="14"/>
      <c r="AB1989" s="14"/>
      <c r="AC1989" s="346">
        <f ca="1">LCI_Table[[#This Row],[Default Calculated Value]]-LCI_Table[[#This Row],[Calculated Value]]</f>
        <v>0</v>
      </c>
    </row>
    <row r="1990" spans="1:29" x14ac:dyDescent="0.3">
      <c r="A19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SugarcaneATJ-ethanolICAOJRC(blank)_Sugarcane_ETJ_Corn_steep_liquorCorn steep liquor</v>
      </c>
      <c r="B1990" s="14" t="s">
        <v>447</v>
      </c>
      <c r="C1990" s="14" t="s">
        <v>1964</v>
      </c>
      <c r="D1990" s="14" t="s">
        <v>194</v>
      </c>
      <c r="E1990" s="14" t="s">
        <v>355</v>
      </c>
      <c r="F1990" s="48" t="s">
        <v>31</v>
      </c>
      <c r="G1990" s="14" t="b">
        <f>OR(LCI_Table[[#This Row],[Feedstock]]="All",LCI_Table[[#This Row],[Feedstock]]=SelectedFeedstock)</f>
        <v>0</v>
      </c>
      <c r="H1990" s="14" t="b">
        <f>OR(LCI_Table[[#This Row],[Conversion]]="All",LCI_Table[[#This Row],[Conversion]]=SelectedConversion)</f>
        <v>0</v>
      </c>
      <c r="I1990" s="14" t="b">
        <f>OR(LCI_Table[[#This Row],[Data Set]]="all",LCI_Table[[#This Row],[Data Set]]=SelectedDataSet)</f>
        <v>0</v>
      </c>
      <c r="J1990" s="14" t="b">
        <f>OR(LCI_Table[[#This Row],[Technology]]="All",LCI_Table[[#This Row],[Technology]]=SelectedTechnology)</f>
        <v>1</v>
      </c>
      <c r="K1990" s="14" t="b">
        <f>OR(LCI_Table[[#This Row],[Data Source]]="All",LCI_Table[[#This Row],[Data Source]]=SelectedDataSource)</f>
        <v>0</v>
      </c>
      <c r="L1990" s="14" t="b">
        <f>TRUE</f>
        <v>1</v>
      </c>
      <c r="M1990" s="14" t="b">
        <f>(LCI_Table[[#This Row],[Dev Notes]]="Do not display")</f>
        <v>0</v>
      </c>
      <c r="N1990" s="14" t="b">
        <f>AND(LCI_Table[[#This Row],[Show Feedstock]:[Conditional]],NOT(LCI_Table[[#This Row],[Hide Row]]))</f>
        <v>0</v>
      </c>
      <c r="O1990" s="14" t="b">
        <f>LCI_Table[[#This Row],[GREET1 Name Range]]=""</f>
        <v>0</v>
      </c>
      <c r="P1990" s="14" t="s">
        <v>1448</v>
      </c>
      <c r="Q1990" s="14" t="s">
        <v>988</v>
      </c>
      <c r="R1990" s="14" t="s">
        <v>386</v>
      </c>
      <c r="S1990" s="37" cm="1">
        <f t="array" aca="1" ref="S19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90" s="346" t="s">
        <v>2119</v>
      </c>
      <c r="U1990" s="347">
        <f t="shared" ref="U1990" ca="1" si="123">S1990*lb2kg*MJ2mmBTU</f>
        <v>0</v>
      </c>
      <c r="V1990" s="347">
        <v>0</v>
      </c>
      <c r="W1990" s="347">
        <v>0</v>
      </c>
      <c r="X1990" s="14" t="s">
        <v>12</v>
      </c>
      <c r="Y1990" s="346" t="s">
        <v>416</v>
      </c>
      <c r="Z1990" s="14" t="str">
        <f>IF(ISBLANK(LCI_Table[[#This Row],[Notes for user]])," ",LCI_Table[[#This Row],[Notes for user]])</f>
        <v xml:space="preserve"> </v>
      </c>
      <c r="AA1990" s="14"/>
      <c r="AB1990" s="14"/>
      <c r="AC1990" s="346">
        <f ca="1">LCI_Table[[#This Row],[Default Calculated Value]]-LCI_Table[[#This Row],[Calculated Value]]</f>
        <v>0</v>
      </c>
    </row>
    <row r="1991" spans="1:29" x14ac:dyDescent="0.3">
      <c r="A19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SugarcaneATJ-ethanolICAOJRC(blank)_Sugarcane_ETJ_DAPDAP</v>
      </c>
      <c r="B1991" s="14" t="s">
        <v>447</v>
      </c>
      <c r="C1991" s="14" t="s">
        <v>1964</v>
      </c>
      <c r="D1991" s="14" t="s">
        <v>194</v>
      </c>
      <c r="E1991" s="14" t="s">
        <v>355</v>
      </c>
      <c r="F1991" s="48" t="s">
        <v>31</v>
      </c>
      <c r="G1991" s="14" t="b">
        <f>OR(LCI_Table[[#This Row],[Feedstock]]="All",LCI_Table[[#This Row],[Feedstock]]=SelectedFeedstock)</f>
        <v>0</v>
      </c>
      <c r="H1991" s="14" t="b">
        <f>OR(LCI_Table[[#This Row],[Conversion]]="All",LCI_Table[[#This Row],[Conversion]]=SelectedConversion)</f>
        <v>0</v>
      </c>
      <c r="I1991" s="14" t="b">
        <f>OR(LCI_Table[[#This Row],[Data Set]]="all",LCI_Table[[#This Row],[Data Set]]=SelectedDataSet)</f>
        <v>0</v>
      </c>
      <c r="J1991" s="14" t="b">
        <f>OR(LCI_Table[[#This Row],[Technology]]="All",LCI_Table[[#This Row],[Technology]]=SelectedTechnology)</f>
        <v>1</v>
      </c>
      <c r="K1991" s="14" t="b">
        <f>OR(LCI_Table[[#This Row],[Data Source]]="All",LCI_Table[[#This Row],[Data Source]]=SelectedDataSource)</f>
        <v>0</v>
      </c>
      <c r="L1991" s="14" t="b">
        <f>TRUE</f>
        <v>1</v>
      </c>
      <c r="M1991" s="14" t="b">
        <f>(LCI_Table[[#This Row],[Dev Notes]]="Do not display")</f>
        <v>0</v>
      </c>
      <c r="N1991" s="14" t="b">
        <f>AND(LCI_Table[[#This Row],[Show Feedstock]:[Conditional]],NOT(LCI_Table[[#This Row],[Hide Row]]))</f>
        <v>0</v>
      </c>
      <c r="O1991" s="14" t="b">
        <f>LCI_Table[[#This Row],[GREET1 Name Range]]=""</f>
        <v>0</v>
      </c>
      <c r="P1991" s="14" t="s">
        <v>1448</v>
      </c>
      <c r="Q1991" s="14" t="s">
        <v>989</v>
      </c>
      <c r="R1991" s="14" t="s">
        <v>383</v>
      </c>
      <c r="S1991" s="37" cm="1">
        <f t="array" aca="1" ref="S19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91" s="346" t="s">
        <v>2119</v>
      </c>
      <c r="U1991" s="347">
        <f t="shared" ref="U1991" ca="1" si="124">S1991*lb2kg*MJ2mmBTU</f>
        <v>0</v>
      </c>
      <c r="V1991" s="347">
        <v>0</v>
      </c>
      <c r="W1991" s="347">
        <v>0</v>
      </c>
      <c r="X1991" s="14" t="s">
        <v>12</v>
      </c>
      <c r="Y1991" s="346" t="s">
        <v>416</v>
      </c>
      <c r="Z1991" s="14" t="str">
        <f>IF(ISBLANK(LCI_Table[[#This Row],[Notes for user]])," ",LCI_Table[[#This Row],[Notes for user]])</f>
        <v xml:space="preserve"> </v>
      </c>
      <c r="AA1991" s="14"/>
      <c r="AB1991" s="14"/>
      <c r="AC1991" s="346">
        <f ca="1">LCI_Table[[#This Row],[Default Calculated Value]]-LCI_Table[[#This Row],[Calculated Value]]</f>
        <v>0</v>
      </c>
    </row>
    <row r="1992" spans="1:29" x14ac:dyDescent="0.3">
      <c r="A19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SugarcaneATJ-ethanolICAOJRC(blank)_Sugarcane_ETJ_NaOHNaOH</v>
      </c>
      <c r="B1992" s="14" t="s">
        <v>447</v>
      </c>
      <c r="C1992" s="14" t="s">
        <v>1964</v>
      </c>
      <c r="D1992" s="14" t="s">
        <v>194</v>
      </c>
      <c r="E1992" s="14" t="s">
        <v>355</v>
      </c>
      <c r="F1992" s="48" t="s">
        <v>31</v>
      </c>
      <c r="G1992" s="14" t="b">
        <f>OR(LCI_Table[[#This Row],[Feedstock]]="All",LCI_Table[[#This Row],[Feedstock]]=SelectedFeedstock)</f>
        <v>0</v>
      </c>
      <c r="H1992" s="14" t="b">
        <f>OR(LCI_Table[[#This Row],[Conversion]]="All",LCI_Table[[#This Row],[Conversion]]=SelectedConversion)</f>
        <v>0</v>
      </c>
      <c r="I1992" s="14" t="b">
        <f>OR(LCI_Table[[#This Row],[Data Set]]="all",LCI_Table[[#This Row],[Data Set]]=SelectedDataSet)</f>
        <v>0</v>
      </c>
      <c r="J1992" s="14" t="b">
        <f>OR(LCI_Table[[#This Row],[Technology]]="All",LCI_Table[[#This Row],[Technology]]=SelectedTechnology)</f>
        <v>1</v>
      </c>
      <c r="K1992" s="14" t="b">
        <f>OR(LCI_Table[[#This Row],[Data Source]]="All",LCI_Table[[#This Row],[Data Source]]=SelectedDataSource)</f>
        <v>0</v>
      </c>
      <c r="L1992" s="14" t="b">
        <f>TRUE</f>
        <v>1</v>
      </c>
      <c r="M1992" s="14" t="b">
        <f>(LCI_Table[[#This Row],[Dev Notes]]="Do not display")</f>
        <v>0</v>
      </c>
      <c r="N1992" s="14" t="b">
        <f>AND(LCI_Table[[#This Row],[Show Feedstock]:[Conditional]],NOT(LCI_Table[[#This Row],[Hide Row]]))</f>
        <v>0</v>
      </c>
      <c r="O1992" s="14" t="b">
        <f>LCI_Table[[#This Row],[GREET1 Name Range]]=""</f>
        <v>0</v>
      </c>
      <c r="P1992" s="14" t="s">
        <v>1448</v>
      </c>
      <c r="Q1992" s="14" t="s">
        <v>1392</v>
      </c>
      <c r="R1992" s="14" t="s">
        <v>403</v>
      </c>
      <c r="S1992" s="37" cm="1">
        <f t="array" aca="1" ref="S19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92" s="346" t="s">
        <v>2119</v>
      </c>
      <c r="U1992" s="347">
        <f t="shared" ref="U1992" ca="1" si="125">S1992*lb2kg*MJ2mmBTU</f>
        <v>0</v>
      </c>
      <c r="V1992" s="347">
        <v>0</v>
      </c>
      <c r="W1992" s="347">
        <v>0</v>
      </c>
      <c r="X1992" s="14" t="s">
        <v>12</v>
      </c>
      <c r="Y1992" s="346" t="s">
        <v>416</v>
      </c>
      <c r="Z1992" s="14" t="str">
        <f>IF(ISBLANK(LCI_Table[[#This Row],[Notes for user]])," ",LCI_Table[[#This Row],[Notes for user]])</f>
        <v xml:space="preserve"> </v>
      </c>
      <c r="AA1992" s="14"/>
      <c r="AB1992" s="14"/>
      <c r="AC1992" s="346">
        <f ca="1">LCI_Table[[#This Row],[Default Calculated Value]]-LCI_Table[[#This Row],[Calculated Value]]</f>
        <v>0</v>
      </c>
    </row>
    <row r="1993" spans="1:29" x14ac:dyDescent="0.3">
      <c r="A19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SugarcaneATJ-ethanolICAOJRC(blank)_Sugarcane_ETJ_Quicklime_CaOQuicklime (CaO)</v>
      </c>
      <c r="B1993" s="14" t="s">
        <v>447</v>
      </c>
      <c r="C1993" s="14" t="s">
        <v>1964</v>
      </c>
      <c r="D1993" s="14" t="s">
        <v>194</v>
      </c>
      <c r="E1993" s="14" t="s">
        <v>355</v>
      </c>
      <c r="F1993" s="48" t="s">
        <v>31</v>
      </c>
      <c r="G1993" s="14" t="b">
        <f>OR(LCI_Table[[#This Row],[Feedstock]]="All",LCI_Table[[#This Row],[Feedstock]]=SelectedFeedstock)</f>
        <v>0</v>
      </c>
      <c r="H1993" s="14" t="b">
        <f>OR(LCI_Table[[#This Row],[Conversion]]="All",LCI_Table[[#This Row],[Conversion]]=SelectedConversion)</f>
        <v>0</v>
      </c>
      <c r="I1993" s="14" t="b">
        <f>OR(LCI_Table[[#This Row],[Data Set]]="all",LCI_Table[[#This Row],[Data Set]]=SelectedDataSet)</f>
        <v>0</v>
      </c>
      <c r="J1993" s="14" t="b">
        <f>OR(LCI_Table[[#This Row],[Technology]]="All",LCI_Table[[#This Row],[Technology]]=SelectedTechnology)</f>
        <v>1</v>
      </c>
      <c r="K1993" s="14" t="b">
        <f>OR(LCI_Table[[#This Row],[Data Source]]="All",LCI_Table[[#This Row],[Data Source]]=SelectedDataSource)</f>
        <v>0</v>
      </c>
      <c r="L1993" s="14" t="b">
        <f>TRUE</f>
        <v>1</v>
      </c>
      <c r="M1993" s="14" t="b">
        <f>(LCI_Table[[#This Row],[Dev Notes]]="Do not display")</f>
        <v>0</v>
      </c>
      <c r="N1993" s="14" t="b">
        <f>AND(LCI_Table[[#This Row],[Show Feedstock]:[Conditional]],NOT(LCI_Table[[#This Row],[Hide Row]]))</f>
        <v>0</v>
      </c>
      <c r="O1993" s="14" t="b">
        <f>LCI_Table[[#This Row],[GREET1 Name Range]]=""</f>
        <v>0</v>
      </c>
      <c r="P1993" s="14" t="s">
        <v>1448</v>
      </c>
      <c r="Q1993" s="14" t="s">
        <v>990</v>
      </c>
      <c r="R1993" s="14" t="s">
        <v>404</v>
      </c>
      <c r="S1993" s="37" cm="1">
        <f t="array" aca="1" ref="S19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1.2099851969952695</v>
      </c>
      <c r="T1993" s="346" t="s">
        <v>2119</v>
      </c>
      <c r="U1993" s="347">
        <f t="shared" ref="U1993" ca="1" si="126">S1993*lb2kg*MJ2mmBTU</f>
        <v>5.2020000000000104E-4</v>
      </c>
      <c r="V1993" s="347">
        <v>1.2099851969952695</v>
      </c>
      <c r="W1993" s="347">
        <v>5.2020000000000104E-4</v>
      </c>
      <c r="X1993" s="14" t="s">
        <v>12</v>
      </c>
      <c r="Y1993" s="346" t="s">
        <v>416</v>
      </c>
      <c r="Z1993" s="14" t="str">
        <f>IF(ISBLANK(LCI_Table[[#This Row],[Notes for user]])," ",LCI_Table[[#This Row],[Notes for user]])</f>
        <v xml:space="preserve"> </v>
      </c>
      <c r="AA1993" s="14"/>
      <c r="AB1993" s="14"/>
      <c r="AC1993" s="346">
        <f ca="1">LCI_Table[[#This Row],[Default Calculated Value]]-LCI_Table[[#This Row],[Calculated Value]]</f>
        <v>0</v>
      </c>
    </row>
    <row r="1994" spans="1:29" x14ac:dyDescent="0.3">
      <c r="A19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SugarcaneATJ-ethanolICAOJRC(blank)_Sugarcane_ETJ_UreaUrea</v>
      </c>
      <c r="B1994" s="14" t="s">
        <v>447</v>
      </c>
      <c r="C1994" s="14" t="s">
        <v>1964</v>
      </c>
      <c r="D1994" s="14" t="s">
        <v>194</v>
      </c>
      <c r="E1994" s="14" t="s">
        <v>355</v>
      </c>
      <c r="F1994" s="48" t="s">
        <v>31</v>
      </c>
      <c r="G1994" s="14" t="b">
        <f>OR(LCI_Table[[#This Row],[Feedstock]]="All",LCI_Table[[#This Row],[Feedstock]]=SelectedFeedstock)</f>
        <v>0</v>
      </c>
      <c r="H1994" s="14" t="b">
        <f>OR(LCI_Table[[#This Row],[Conversion]]="All",LCI_Table[[#This Row],[Conversion]]=SelectedConversion)</f>
        <v>0</v>
      </c>
      <c r="I1994" s="14" t="b">
        <f>OR(LCI_Table[[#This Row],[Data Set]]="all",LCI_Table[[#This Row],[Data Set]]=SelectedDataSet)</f>
        <v>0</v>
      </c>
      <c r="J1994" s="14" t="b">
        <f>OR(LCI_Table[[#This Row],[Technology]]="All",LCI_Table[[#This Row],[Technology]]=SelectedTechnology)</f>
        <v>1</v>
      </c>
      <c r="K1994" s="14" t="b">
        <f>OR(LCI_Table[[#This Row],[Data Source]]="All",LCI_Table[[#This Row],[Data Source]]=SelectedDataSource)</f>
        <v>0</v>
      </c>
      <c r="L1994" s="14" t="b">
        <f>TRUE</f>
        <v>1</v>
      </c>
      <c r="M1994" s="14" t="b">
        <f>(LCI_Table[[#This Row],[Dev Notes]]="Do not display")</f>
        <v>0</v>
      </c>
      <c r="N1994" s="14" t="b">
        <f>AND(LCI_Table[[#This Row],[Show Feedstock]:[Conditional]],NOT(LCI_Table[[#This Row],[Hide Row]]))</f>
        <v>0</v>
      </c>
      <c r="O1994" s="14" t="b">
        <f>LCI_Table[[#This Row],[GREET1 Name Range]]=""</f>
        <v>0</v>
      </c>
      <c r="P1994" s="14" t="s">
        <v>1448</v>
      </c>
      <c r="Q1994" s="14" t="s">
        <v>991</v>
      </c>
      <c r="R1994" s="14" t="s">
        <v>144</v>
      </c>
      <c r="S1994" s="37" cm="1">
        <f t="array" aca="1" ref="S19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1994" s="346" t="s">
        <v>2119</v>
      </c>
      <c r="U1994" s="347">
        <f t="shared" ref="U1994" ca="1" si="127">S1994*lb2kg*MJ2mmBTU</f>
        <v>0</v>
      </c>
      <c r="V1994" s="347">
        <v>0</v>
      </c>
      <c r="W1994" s="347">
        <v>0</v>
      </c>
      <c r="X1994" s="14" t="s">
        <v>12</v>
      </c>
      <c r="Y1994" s="346" t="s">
        <v>416</v>
      </c>
      <c r="Z1994" s="14" t="str">
        <f>IF(ISBLANK(LCI_Table[[#This Row],[Notes for user]])," ",LCI_Table[[#This Row],[Notes for user]])</f>
        <v xml:space="preserve"> </v>
      </c>
      <c r="AA1994" s="14"/>
      <c r="AB1994" s="14"/>
      <c r="AC1994" s="346">
        <f ca="1">LCI_Table[[#This Row],[Default Calculated Value]]-LCI_Table[[#This Row],[Calculated Value]]</f>
        <v>0</v>
      </c>
    </row>
    <row r="1995" spans="1:29" x14ac:dyDescent="0.3">
      <c r="A19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SugarcaneATJ-ethanolICAOJRC(blank)_Sugarcane_ETJ_HydrogenHydrogen</v>
      </c>
      <c r="B1995" s="14" t="s">
        <v>447</v>
      </c>
      <c r="C1995" s="358" t="s">
        <v>1964</v>
      </c>
      <c r="D1995" s="358" t="s">
        <v>194</v>
      </c>
      <c r="E1995" s="14" t="s">
        <v>355</v>
      </c>
      <c r="F1995" s="48" t="s">
        <v>31</v>
      </c>
      <c r="G1995" s="14" t="b">
        <f>OR(LCI_Table[[#This Row],[Feedstock]]="All",LCI_Table[[#This Row],[Feedstock]]=SelectedFeedstock)</f>
        <v>0</v>
      </c>
      <c r="H1995" s="14" t="b">
        <f>OR(LCI_Table[[#This Row],[Conversion]]="All",LCI_Table[[#This Row],[Conversion]]=SelectedConversion)</f>
        <v>0</v>
      </c>
      <c r="I1995" s="14" t="b">
        <f>OR(LCI_Table[[#This Row],[Data Set]]="all",LCI_Table[[#This Row],[Data Set]]=SelectedDataSet)</f>
        <v>0</v>
      </c>
      <c r="J1995" s="14" t="b">
        <f>OR(LCI_Table[[#This Row],[Technology]]="All",LCI_Table[[#This Row],[Technology]]=SelectedTechnology)</f>
        <v>1</v>
      </c>
      <c r="K1995" s="14" t="b">
        <f>OR(LCI_Table[[#This Row],[Data Source]]="All",LCI_Table[[#This Row],[Data Source]]=SelectedDataSource)</f>
        <v>0</v>
      </c>
      <c r="L1995" s="14" t="b">
        <f>TRUE</f>
        <v>1</v>
      </c>
      <c r="M1995" s="14" t="b">
        <f>(LCI_Table[[#This Row],[Dev Notes]]="Do not display")</f>
        <v>0</v>
      </c>
      <c r="N1995" s="14" t="b">
        <f>AND(LCI_Table[[#This Row],[Show Feedstock]:[Conditional]],NOT(LCI_Table[[#This Row],[Hide Row]]))</f>
        <v>0</v>
      </c>
      <c r="O1995" s="14" t="b">
        <f>LCI_Table[[#This Row],[GREET1 Name Range]]=""</f>
        <v>0</v>
      </c>
      <c r="P1995" s="358" t="s">
        <v>1448</v>
      </c>
      <c r="Q1995" s="14" t="s">
        <v>992</v>
      </c>
      <c r="R1995" s="358" t="s">
        <v>73</v>
      </c>
      <c r="S1995" s="37" cm="1">
        <f t="array" aca="1" ref="S19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103.44827586206897</v>
      </c>
      <c r="T1995" s="346" t="s">
        <v>2120</v>
      </c>
      <c r="U1995" s="362">
        <f ca="1">S1995*Fuel_Specs!$E$81*g2kg/mmBTU2MJ</f>
        <v>2.5002762028974665E-4</v>
      </c>
      <c r="V1995" s="359">
        <v>103.44827586206897</v>
      </c>
      <c r="W1995" s="359">
        <v>2.5002762028974665E-4</v>
      </c>
      <c r="X1995" s="360" t="s">
        <v>351</v>
      </c>
      <c r="Y1995" s="346" t="s">
        <v>416</v>
      </c>
      <c r="Z1995" s="14" t="str">
        <f>IF(ISBLANK(LCI_Table[[#This Row],[Notes for user]])," ",LCI_Table[[#This Row],[Notes for user]])</f>
        <v xml:space="preserve"> </v>
      </c>
      <c r="AA1995" s="14"/>
      <c r="AB1995" s="358"/>
      <c r="AC1995" s="346">
        <f ca="1">LCI_Table[[#This Row],[Default Calculated Value]]-LCI_Table[[#This Row],[Calculated Value]]</f>
        <v>0</v>
      </c>
    </row>
    <row r="1996" spans="1:29" x14ac:dyDescent="0.3">
      <c r="A19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SugarcaneATJ-ethanolICAOJRC(blank)_Sugarcane_ETJ_Natural_gasNatural gas</v>
      </c>
      <c r="B1996" s="14" t="s">
        <v>447</v>
      </c>
      <c r="C1996" s="14" t="s">
        <v>1964</v>
      </c>
      <c r="D1996" s="14" t="s">
        <v>194</v>
      </c>
      <c r="E1996" s="14" t="s">
        <v>355</v>
      </c>
      <c r="F1996" s="48" t="s">
        <v>31</v>
      </c>
      <c r="G1996" s="14" t="b">
        <f>OR(LCI_Table[[#This Row],[Feedstock]]="All",LCI_Table[[#This Row],[Feedstock]]=SelectedFeedstock)</f>
        <v>0</v>
      </c>
      <c r="H1996" s="14" t="b">
        <f>OR(LCI_Table[[#This Row],[Conversion]]="All",LCI_Table[[#This Row],[Conversion]]=SelectedConversion)</f>
        <v>0</v>
      </c>
      <c r="I1996" s="14" t="b">
        <f>OR(LCI_Table[[#This Row],[Data Set]]="all",LCI_Table[[#This Row],[Data Set]]=SelectedDataSet)</f>
        <v>0</v>
      </c>
      <c r="J1996" s="14" t="b">
        <f>OR(LCI_Table[[#This Row],[Technology]]="All",LCI_Table[[#This Row],[Technology]]=SelectedTechnology)</f>
        <v>1</v>
      </c>
      <c r="K1996" s="14" t="b">
        <f>OR(LCI_Table[[#This Row],[Data Source]]="All",LCI_Table[[#This Row],[Data Source]]=SelectedDataSource)</f>
        <v>0</v>
      </c>
      <c r="L1996" s="14" t="b">
        <f>TRUE</f>
        <v>1</v>
      </c>
      <c r="M1996" s="14" t="b">
        <f>(LCI_Table[[#This Row],[Dev Notes]]="Do not display")</f>
        <v>0</v>
      </c>
      <c r="N1996" s="14" t="b">
        <f>AND(LCI_Table[[#This Row],[Show Feedstock]:[Conditional]],NOT(LCI_Table[[#This Row],[Hide Row]]))</f>
        <v>0</v>
      </c>
      <c r="O1996" s="14" t="b">
        <f>LCI_Table[[#This Row],[GREET1 Name Range]]=""</f>
        <v>0</v>
      </c>
      <c r="P1996" s="14" t="s">
        <v>1448</v>
      </c>
      <c r="Q1996" s="14" t="s">
        <v>993</v>
      </c>
      <c r="R1996" s="14" t="s">
        <v>108</v>
      </c>
      <c r="S1996" s="37" cm="1">
        <f t="array" aca="1" ref="S19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233.9776195320448</v>
      </c>
      <c r="T1996" s="346" t="s">
        <v>2120</v>
      </c>
      <c r="U1996" s="361">
        <f ca="1">S1996*Fuel_Specs!$E$79*g2kg/mmBTU2MJ</f>
        <v>4.8788958704934779E-3</v>
      </c>
      <c r="V1996" s="347">
        <v>233.9776195320448</v>
      </c>
      <c r="W1996" s="347">
        <v>4.8788958704934779E-3</v>
      </c>
      <c r="X1996" s="14" t="s">
        <v>351</v>
      </c>
      <c r="Y1996" s="346" t="s">
        <v>416</v>
      </c>
      <c r="Z1996" s="14" t="str">
        <f>IF(ISBLANK(LCI_Table[[#This Row],[Notes for user]])," ",LCI_Table[[#This Row],[Notes for user]])</f>
        <v xml:space="preserve"> </v>
      </c>
      <c r="AA1996" s="14"/>
      <c r="AB1996" s="14"/>
      <c r="AC1996" s="346">
        <f ca="1">LCI_Table[[#This Row],[Default Calculated Value]]-LCI_Table[[#This Row],[Calculated Value]]</f>
        <v>0</v>
      </c>
    </row>
    <row r="1997" spans="1:29" x14ac:dyDescent="0.3">
      <c r="A19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SugarcaneATJ-ethanolICAOJRC(blank)_Sugarcane_ETJ_ElectricityGrid Electricity</v>
      </c>
      <c r="B1997" s="14" t="s">
        <v>447</v>
      </c>
      <c r="C1997" s="14" t="s">
        <v>1964</v>
      </c>
      <c r="D1997" s="14" t="s">
        <v>194</v>
      </c>
      <c r="E1997" s="14" t="s">
        <v>355</v>
      </c>
      <c r="F1997" s="48" t="s">
        <v>31</v>
      </c>
      <c r="G1997" s="14" t="b">
        <f>OR(LCI_Table[[#This Row],[Feedstock]]="All",LCI_Table[[#This Row],[Feedstock]]=SelectedFeedstock)</f>
        <v>0</v>
      </c>
      <c r="H1997" s="14" t="b">
        <f>OR(LCI_Table[[#This Row],[Conversion]]="All",LCI_Table[[#This Row],[Conversion]]=SelectedConversion)</f>
        <v>0</v>
      </c>
      <c r="I1997" s="14" t="b">
        <f>OR(LCI_Table[[#This Row],[Data Set]]="all",LCI_Table[[#This Row],[Data Set]]=SelectedDataSet)</f>
        <v>0</v>
      </c>
      <c r="J1997" s="14" t="b">
        <f>OR(LCI_Table[[#This Row],[Technology]]="All",LCI_Table[[#This Row],[Technology]]=SelectedTechnology)</f>
        <v>1</v>
      </c>
      <c r="K1997" s="14" t="b">
        <f>OR(LCI_Table[[#This Row],[Data Source]]="All",LCI_Table[[#This Row],[Data Source]]=SelectedDataSource)</f>
        <v>0</v>
      </c>
      <c r="L1997" s="14" t="b">
        <f>TRUE</f>
        <v>1</v>
      </c>
      <c r="M1997" s="14" t="b">
        <f>(LCI_Table[[#This Row],[Dev Notes]]="Do not display")</f>
        <v>0</v>
      </c>
      <c r="N1997" s="14" t="b">
        <f>AND(LCI_Table[[#This Row],[Show Feedstock]:[Conditional]],NOT(LCI_Table[[#This Row],[Hide Row]]))</f>
        <v>0</v>
      </c>
      <c r="O1997" s="14" t="b">
        <f>LCI_Table[[#This Row],[GREET1 Name Range]]=""</f>
        <v>0</v>
      </c>
      <c r="P1997" s="14" t="s">
        <v>1448</v>
      </c>
      <c r="Q1997" s="14" t="s">
        <v>994</v>
      </c>
      <c r="R1997" s="14" t="s">
        <v>1684</v>
      </c>
      <c r="S1997" s="37" cm="1">
        <f t="array" aca="1" ref="S19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6.1544924583333342</v>
      </c>
      <c r="T1997" s="346" t="s">
        <v>2121</v>
      </c>
      <c r="U1997" s="361">
        <f ca="1">S1997/mmBTU2MJ</f>
        <v>5.8333333333333345E-3</v>
      </c>
      <c r="V1997" s="347">
        <v>6.1544924583333342</v>
      </c>
      <c r="W1997" s="347">
        <v>5.8333333333333345E-3</v>
      </c>
      <c r="X1997" s="37" t="s">
        <v>51</v>
      </c>
      <c r="Y1997" s="346" t="s">
        <v>416</v>
      </c>
      <c r="Z1997" s="14" t="str">
        <f>IF(ISBLANK(LCI_Table[[#This Row],[Notes for user]])," ",LCI_Table[[#This Row],[Notes for user]])</f>
        <v xml:space="preserve"> </v>
      </c>
      <c r="AA1997" s="14"/>
      <c r="AB1997" s="14"/>
      <c r="AC1997" s="346">
        <f ca="1">LCI_Table[[#This Row],[Default Calculated Value]]-LCI_Table[[#This Row],[Calculated Value]]</f>
        <v>0</v>
      </c>
    </row>
    <row r="1998" spans="1:29" x14ac:dyDescent="0.3">
      <c r="A19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SugarcaneATJ-ethanolICAOJRC(blank)_Sugarcane_ETJ_Allocation_FactorAllocation factor</v>
      </c>
      <c r="B1998" s="14" t="s">
        <v>447</v>
      </c>
      <c r="C1998" s="14" t="s">
        <v>1964</v>
      </c>
      <c r="D1998" s="14" t="s">
        <v>194</v>
      </c>
      <c r="E1998" s="14" t="s">
        <v>355</v>
      </c>
      <c r="F1998" s="48" t="s">
        <v>31</v>
      </c>
      <c r="G1998" s="14" t="b">
        <f>OR(LCI_Table[[#This Row],[Feedstock]]="All",LCI_Table[[#This Row],[Feedstock]]=SelectedFeedstock)</f>
        <v>0</v>
      </c>
      <c r="H1998" s="14" t="b">
        <f>OR(LCI_Table[[#This Row],[Conversion]]="All",LCI_Table[[#This Row],[Conversion]]=SelectedConversion)</f>
        <v>0</v>
      </c>
      <c r="I1998" s="14" t="b">
        <f>OR(LCI_Table[[#This Row],[Data Set]]="all",LCI_Table[[#This Row],[Data Set]]=SelectedDataSet)</f>
        <v>0</v>
      </c>
      <c r="J1998" s="14" t="b">
        <f>OR(LCI_Table[[#This Row],[Technology]]="All",LCI_Table[[#This Row],[Technology]]=SelectedTechnology)</f>
        <v>1</v>
      </c>
      <c r="K1998" s="14" t="b">
        <f>OR(LCI_Table[[#This Row],[Data Source]]="All",LCI_Table[[#This Row],[Data Source]]=SelectedDataSource)</f>
        <v>0</v>
      </c>
      <c r="L1998" s="14" t="b">
        <f>TRUE</f>
        <v>1</v>
      </c>
      <c r="M1998" s="14" t="b">
        <f>(LCI_Table[[#This Row],[Dev Notes]]="Do not display")</f>
        <v>0</v>
      </c>
      <c r="N1998" s="14" t="b">
        <f>AND(LCI_Table[[#This Row],[Show Feedstock]:[Conditional]],NOT(LCI_Table[[#This Row],[Hide Row]]))</f>
        <v>0</v>
      </c>
      <c r="O1998" s="14" t="b">
        <f>LCI_Table[[#This Row],[GREET1 Name Range]]=""</f>
        <v>0</v>
      </c>
      <c r="P1998" s="14" t="s">
        <v>1448</v>
      </c>
      <c r="Q1998" s="14" t="s">
        <v>1124</v>
      </c>
      <c r="R1998" s="14" t="s">
        <v>1344</v>
      </c>
      <c r="S1998" s="37" cm="1">
        <f t="array" aca="1" ref="S19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98.197101221571941</v>
      </c>
      <c r="T1998" s="346" t="s">
        <v>1345</v>
      </c>
      <c r="U1998" s="347">
        <f ca="1">S1998/100</f>
        <v>0.98197101221571936</v>
      </c>
      <c r="V1998" s="347">
        <v>98.197101221571941</v>
      </c>
      <c r="W1998" s="347">
        <v>0.98197101221571936</v>
      </c>
      <c r="X1998" s="37"/>
      <c r="Y1998" s="346"/>
      <c r="Z1998" s="14" t="str">
        <f>IF(ISBLANK(LCI_Table[[#This Row],[Notes for user]])," ",LCI_Table[[#This Row],[Notes for user]])</f>
        <v xml:space="preserve"> </v>
      </c>
      <c r="AA1998" s="14"/>
      <c r="AB1998" s="14"/>
      <c r="AC1998" s="346">
        <f ca="1">LCI_Table[[#This Row],[Default Calculated Value]]-LCI_Table[[#This Row],[Calculated Value]]</f>
        <v>0</v>
      </c>
    </row>
    <row r="1999" spans="1:29" x14ac:dyDescent="0.3">
      <c r="A19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dash_SugarcaneATJ-ethanolICAOCTBE(blank)_Yield_Farming</v>
      </c>
      <c r="B1999" s="48" t="s">
        <v>447</v>
      </c>
      <c r="C1999" s="48" t="s">
        <v>1964</v>
      </c>
      <c r="D1999" s="48" t="s">
        <v>194</v>
      </c>
      <c r="E1999" s="48" t="s">
        <v>882</v>
      </c>
      <c r="F1999" s="48" t="s">
        <v>31</v>
      </c>
      <c r="G1999" s="14" t="b">
        <f>OR(LCI_Table[[#This Row],[Feedstock]]="All",LCI_Table[[#This Row],[Feedstock]]=SelectedFeedstock)</f>
        <v>0</v>
      </c>
      <c r="H1999" s="14" t="b">
        <f>OR(LCI_Table[[#This Row],[Conversion]]="All",LCI_Table[[#This Row],[Conversion]]=SelectedConversion)</f>
        <v>0</v>
      </c>
      <c r="I1999" s="14" t="b">
        <f>OR(LCI_Table[[#This Row],[Data Set]]="all",LCI_Table[[#This Row],[Data Set]]=SelectedDataSet)</f>
        <v>0</v>
      </c>
      <c r="J1999" s="14" t="b">
        <f>OR(LCI_Table[[#This Row],[Technology]]="All",LCI_Table[[#This Row],[Technology]]=SelectedTechnology)</f>
        <v>1</v>
      </c>
      <c r="K1999" s="14" t="b">
        <f>OR(LCI_Table[[#This Row],[Data Source]]="All",LCI_Table[[#This Row],[Data Source]]=SelectedDataSource)</f>
        <v>0</v>
      </c>
      <c r="L1999" s="14" t="b">
        <f>TRUE</f>
        <v>1</v>
      </c>
      <c r="M1999" s="14" t="b">
        <f>(LCI_Table[[#This Row],[Dev Notes]]="Do not display")</f>
        <v>0</v>
      </c>
      <c r="N1999" s="14" t="b">
        <f>AND(LCI_Table[[#This Row],[Show Feedstock]:[Conditional]],NOT(LCI_Table[[#This Row],[Hide Row]]))</f>
        <v>0</v>
      </c>
      <c r="O1999" s="14" t="b">
        <f>LCI_Table[[#This Row],[GREET1 Name Range]]=""</f>
        <v>1</v>
      </c>
      <c r="P1999" s="48" t="s">
        <v>14</v>
      </c>
      <c r="Q1999" s="14" t="s">
        <v>361</v>
      </c>
      <c r="R1999" s="48" t="s">
        <v>200</v>
      </c>
      <c r="S1999" s="37" cm="1">
        <f t="array" aca="1" ref="S19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33.90285895884481</v>
      </c>
      <c r="T1999" s="346" t="s">
        <v>2116</v>
      </c>
      <c r="U1999" s="344"/>
      <c r="V1999" s="344">
        <v>33.90285895884481</v>
      </c>
      <c r="W1999" s="344"/>
      <c r="X1999" s="48" t="s">
        <v>55</v>
      </c>
      <c r="Y1999" s="346" t="s">
        <v>413</v>
      </c>
      <c r="Z1999" s="14" t="str">
        <f>IF(ISBLANK(LCI_Table[[#This Row],[Notes for user]])," ",LCI_Table[[#This Row],[Notes for user]])</f>
        <v xml:space="preserve"> </v>
      </c>
      <c r="AA1999" s="48"/>
      <c r="AB1999" s="345" t="s">
        <v>923</v>
      </c>
      <c r="AC1999" s="346">
        <f>LCI_Table[[#This Row],[Default Calculated Value]]-LCI_Table[[#This Row],[Calculated Value]]</f>
        <v>0</v>
      </c>
    </row>
    <row r="2000" spans="1:29" x14ac:dyDescent="0.3">
      <c r="A20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SugarcaneATJ-ethanolICAOCTBE(blank)_Sugarcane_Nitrogen_fertilizerNitrogen fertilizer</v>
      </c>
      <c r="B2000" s="14" t="s">
        <v>447</v>
      </c>
      <c r="C2000" s="14" t="s">
        <v>1964</v>
      </c>
      <c r="D2000" s="14" t="s">
        <v>194</v>
      </c>
      <c r="E2000" s="14" t="s">
        <v>882</v>
      </c>
      <c r="F2000" s="48" t="s">
        <v>31</v>
      </c>
      <c r="G2000" s="14" t="b">
        <f>OR(LCI_Table[[#This Row],[Feedstock]]="All",LCI_Table[[#This Row],[Feedstock]]=SelectedFeedstock)</f>
        <v>0</v>
      </c>
      <c r="H2000" s="14" t="b">
        <f>OR(LCI_Table[[#This Row],[Conversion]]="All",LCI_Table[[#This Row],[Conversion]]=SelectedConversion)</f>
        <v>0</v>
      </c>
      <c r="I2000" s="14" t="b">
        <f>OR(LCI_Table[[#This Row],[Data Set]]="all",LCI_Table[[#This Row],[Data Set]]=SelectedDataSet)</f>
        <v>0</v>
      </c>
      <c r="J2000" s="14" t="b">
        <f>OR(LCI_Table[[#This Row],[Technology]]="All",LCI_Table[[#This Row],[Technology]]=SelectedTechnology)</f>
        <v>1</v>
      </c>
      <c r="K2000" s="14" t="b">
        <f>OR(LCI_Table[[#This Row],[Data Source]]="All",LCI_Table[[#This Row],[Data Source]]=SelectedDataSource)</f>
        <v>0</v>
      </c>
      <c r="L2000" s="14" t="b">
        <f>TRUE</f>
        <v>1</v>
      </c>
      <c r="M2000" s="14" t="b">
        <f>(LCI_Table[[#This Row],[Dev Notes]]="Do not display")</f>
        <v>0</v>
      </c>
      <c r="N2000" s="14" t="b">
        <f>AND(LCI_Table[[#This Row],[Show Feedstock]:[Conditional]],NOT(LCI_Table[[#This Row],[Hide Row]]))</f>
        <v>0</v>
      </c>
      <c r="O2000" s="14" t="b">
        <f>LCI_Table[[#This Row],[GREET1 Name Range]]=""</f>
        <v>0</v>
      </c>
      <c r="P2000" s="14" t="s">
        <v>14</v>
      </c>
      <c r="Q2000" s="14" t="s">
        <v>968</v>
      </c>
      <c r="R2000" s="14" t="s">
        <v>111</v>
      </c>
      <c r="S2000" s="37" cm="1">
        <f t="array" aca="1" ref="S20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88.14743329299651</v>
      </c>
      <c r="T2000" s="346" t="s">
        <v>1485</v>
      </c>
      <c r="U2000" s="347">
        <f t="shared" ref="U2000:U2005" ca="1" si="128">S2000/$S$1999*lb2g/ton2MT</f>
        <v>1300.0000000000002</v>
      </c>
      <c r="V2000" s="347">
        <v>88.14743329299651</v>
      </c>
      <c r="W2000" s="347">
        <v>1300.0000000000002</v>
      </c>
      <c r="X2000" s="14" t="s">
        <v>12</v>
      </c>
      <c r="Y2000" s="346" t="s">
        <v>413</v>
      </c>
      <c r="Z2000" s="14" t="str">
        <f>IF(ISBLANK(LCI_Table[[#This Row],[Notes for user]])," ",LCI_Table[[#This Row],[Notes for user]])</f>
        <v xml:space="preserve"> </v>
      </c>
      <c r="AA2000" s="14"/>
      <c r="AB2000" s="14"/>
      <c r="AC2000" s="346">
        <f ca="1">LCI_Table[[#This Row],[Default Calculated Value]]-LCI_Table[[#This Row],[Calculated Value]]</f>
        <v>0</v>
      </c>
    </row>
    <row r="2001" spans="1:29" x14ac:dyDescent="0.3">
      <c r="A20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SugarcaneATJ-ethanolICAOCTBE(blank)_Sugarcane_P2O5P2O5</v>
      </c>
      <c r="B2001" s="14" t="s">
        <v>447</v>
      </c>
      <c r="C2001" s="14" t="s">
        <v>1964</v>
      </c>
      <c r="D2001" s="14" t="s">
        <v>194</v>
      </c>
      <c r="E2001" s="14" t="s">
        <v>882</v>
      </c>
      <c r="F2001" s="48" t="s">
        <v>31</v>
      </c>
      <c r="G2001" s="14" t="b">
        <f>OR(LCI_Table[[#This Row],[Feedstock]]="All",LCI_Table[[#This Row],[Feedstock]]=SelectedFeedstock)</f>
        <v>0</v>
      </c>
      <c r="H2001" s="14" t="b">
        <f>OR(LCI_Table[[#This Row],[Conversion]]="All",LCI_Table[[#This Row],[Conversion]]=SelectedConversion)</f>
        <v>0</v>
      </c>
      <c r="I2001" s="14" t="b">
        <f>OR(LCI_Table[[#This Row],[Data Set]]="all",LCI_Table[[#This Row],[Data Set]]=SelectedDataSet)</f>
        <v>0</v>
      </c>
      <c r="J2001" s="14" t="b">
        <f>OR(LCI_Table[[#This Row],[Technology]]="All",LCI_Table[[#This Row],[Technology]]=SelectedTechnology)</f>
        <v>1</v>
      </c>
      <c r="K2001" s="14" t="b">
        <f>OR(LCI_Table[[#This Row],[Data Source]]="All",LCI_Table[[#This Row],[Data Source]]=SelectedDataSource)</f>
        <v>0</v>
      </c>
      <c r="L2001" s="14" t="b">
        <f>TRUE</f>
        <v>1</v>
      </c>
      <c r="M2001" s="14" t="b">
        <f>(LCI_Table[[#This Row],[Dev Notes]]="Do not display")</f>
        <v>0</v>
      </c>
      <c r="N2001" s="14" t="b">
        <f>AND(LCI_Table[[#This Row],[Show Feedstock]:[Conditional]],NOT(LCI_Table[[#This Row],[Hide Row]]))</f>
        <v>0</v>
      </c>
      <c r="O2001" s="14" t="b">
        <f>LCI_Table[[#This Row],[GREET1 Name Range]]=""</f>
        <v>0</v>
      </c>
      <c r="P2001" s="14" t="s">
        <v>14</v>
      </c>
      <c r="Q2001" s="14" t="s">
        <v>969</v>
      </c>
      <c r="R2001" s="14" t="s">
        <v>112</v>
      </c>
      <c r="S2001" s="37" cm="1">
        <f t="array" aca="1" ref="S20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7.458628970945858</v>
      </c>
      <c r="T2001" s="346" t="s">
        <v>1485</v>
      </c>
      <c r="U2001" s="347">
        <f t="shared" ca="1" si="128"/>
        <v>110</v>
      </c>
      <c r="V2001" s="347">
        <v>7.458628970945858</v>
      </c>
      <c r="W2001" s="347">
        <v>110</v>
      </c>
      <c r="X2001" s="14" t="s">
        <v>12</v>
      </c>
      <c r="Y2001" s="346" t="s">
        <v>413</v>
      </c>
      <c r="Z2001" s="14" t="str">
        <f>IF(ISBLANK(LCI_Table[[#This Row],[Notes for user]])," ",LCI_Table[[#This Row],[Notes for user]])</f>
        <v xml:space="preserve"> </v>
      </c>
      <c r="AA2001" s="14"/>
      <c r="AB2001" s="14"/>
      <c r="AC2001" s="346">
        <f ca="1">LCI_Table[[#This Row],[Default Calculated Value]]-LCI_Table[[#This Row],[Calculated Value]]</f>
        <v>0</v>
      </c>
    </row>
    <row r="2002" spans="1:29" x14ac:dyDescent="0.3">
      <c r="A20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SugarcaneATJ-ethanolICAOCTBE(blank)_Sugarcane_K2OK2O</v>
      </c>
      <c r="B2002" s="14" t="s">
        <v>447</v>
      </c>
      <c r="C2002" s="14" t="s">
        <v>1964</v>
      </c>
      <c r="D2002" s="14" t="s">
        <v>194</v>
      </c>
      <c r="E2002" s="14" t="s">
        <v>882</v>
      </c>
      <c r="F2002" s="48" t="s">
        <v>31</v>
      </c>
      <c r="G2002" s="14" t="b">
        <f>OR(LCI_Table[[#This Row],[Feedstock]]="All",LCI_Table[[#This Row],[Feedstock]]=SelectedFeedstock)</f>
        <v>0</v>
      </c>
      <c r="H2002" s="14" t="b">
        <f>OR(LCI_Table[[#This Row],[Conversion]]="All",LCI_Table[[#This Row],[Conversion]]=SelectedConversion)</f>
        <v>0</v>
      </c>
      <c r="I2002" s="14" t="b">
        <f>OR(LCI_Table[[#This Row],[Data Set]]="all",LCI_Table[[#This Row],[Data Set]]=SelectedDataSet)</f>
        <v>0</v>
      </c>
      <c r="J2002" s="14" t="b">
        <f>OR(LCI_Table[[#This Row],[Technology]]="All",LCI_Table[[#This Row],[Technology]]=SelectedTechnology)</f>
        <v>1</v>
      </c>
      <c r="K2002" s="14" t="b">
        <f>OR(LCI_Table[[#This Row],[Data Source]]="All",LCI_Table[[#This Row],[Data Source]]=SelectedDataSource)</f>
        <v>0</v>
      </c>
      <c r="L2002" s="14" t="b">
        <f>TRUE</f>
        <v>1</v>
      </c>
      <c r="M2002" s="14" t="b">
        <f>(LCI_Table[[#This Row],[Dev Notes]]="Do not display")</f>
        <v>0</v>
      </c>
      <c r="N2002" s="14" t="b">
        <f>AND(LCI_Table[[#This Row],[Show Feedstock]:[Conditional]],NOT(LCI_Table[[#This Row],[Hide Row]]))</f>
        <v>0</v>
      </c>
      <c r="O2002" s="14" t="b">
        <f>LCI_Table[[#This Row],[GREET1 Name Range]]=""</f>
        <v>0</v>
      </c>
      <c r="P2002" s="14" t="s">
        <v>14</v>
      </c>
      <c r="Q2002" s="14" t="s">
        <v>970</v>
      </c>
      <c r="R2002" s="14" t="s">
        <v>113</v>
      </c>
      <c r="S2002" s="37" cm="1">
        <f t="array" aca="1" ref="S20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86.791318934642717</v>
      </c>
      <c r="T2002" s="346" t="s">
        <v>1485</v>
      </c>
      <c r="U2002" s="347">
        <f t="shared" ca="1" si="128"/>
        <v>1280</v>
      </c>
      <c r="V2002" s="347">
        <v>86.791318934642717</v>
      </c>
      <c r="W2002" s="347">
        <v>1280</v>
      </c>
      <c r="X2002" s="14" t="s">
        <v>12</v>
      </c>
      <c r="Y2002" s="346" t="s">
        <v>413</v>
      </c>
      <c r="Z2002" s="14" t="str">
        <f>IF(ISBLANK(LCI_Table[[#This Row],[Notes for user]])," ",LCI_Table[[#This Row],[Notes for user]])</f>
        <v xml:space="preserve"> </v>
      </c>
      <c r="AA2002" s="14"/>
      <c r="AB2002" s="14"/>
      <c r="AC2002" s="346">
        <f ca="1">LCI_Table[[#This Row],[Default Calculated Value]]-LCI_Table[[#This Row],[Calculated Value]]</f>
        <v>0</v>
      </c>
    </row>
    <row r="2003" spans="1:29" x14ac:dyDescent="0.3">
      <c r="A20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SugarcaneATJ-ethanolICAOCTBE(blank)_Sugarcane_CaCO3CaCO3</v>
      </c>
      <c r="B2003" s="14" t="s">
        <v>447</v>
      </c>
      <c r="C2003" s="14" t="s">
        <v>1964</v>
      </c>
      <c r="D2003" s="14" t="s">
        <v>194</v>
      </c>
      <c r="E2003" s="14" t="s">
        <v>882</v>
      </c>
      <c r="F2003" s="48" t="s">
        <v>31</v>
      </c>
      <c r="G2003" s="14" t="b">
        <f>OR(LCI_Table[[#This Row],[Feedstock]]="All",LCI_Table[[#This Row],[Feedstock]]=SelectedFeedstock)</f>
        <v>0</v>
      </c>
      <c r="H2003" s="14" t="b">
        <f>OR(LCI_Table[[#This Row],[Conversion]]="All",LCI_Table[[#This Row],[Conversion]]=SelectedConversion)</f>
        <v>0</v>
      </c>
      <c r="I2003" s="14" t="b">
        <f>OR(LCI_Table[[#This Row],[Data Set]]="all",LCI_Table[[#This Row],[Data Set]]=SelectedDataSet)</f>
        <v>0</v>
      </c>
      <c r="J2003" s="14" t="b">
        <f>OR(LCI_Table[[#This Row],[Technology]]="All",LCI_Table[[#This Row],[Technology]]=SelectedTechnology)</f>
        <v>1</v>
      </c>
      <c r="K2003" s="14" t="b">
        <f>OR(LCI_Table[[#This Row],[Data Source]]="All",LCI_Table[[#This Row],[Data Source]]=SelectedDataSource)</f>
        <v>0</v>
      </c>
      <c r="L2003" s="14" t="b">
        <f>TRUE</f>
        <v>1</v>
      </c>
      <c r="M2003" s="14" t="b">
        <f>(LCI_Table[[#This Row],[Dev Notes]]="Do not display")</f>
        <v>0</v>
      </c>
      <c r="N2003" s="14" t="b">
        <f>AND(LCI_Table[[#This Row],[Show Feedstock]:[Conditional]],NOT(LCI_Table[[#This Row],[Hide Row]]))</f>
        <v>0</v>
      </c>
      <c r="O2003" s="14" t="b">
        <f>LCI_Table[[#This Row],[GREET1 Name Range]]=""</f>
        <v>0</v>
      </c>
      <c r="P2003" s="14" t="s">
        <v>14</v>
      </c>
      <c r="Q2003" s="14" t="s">
        <v>971</v>
      </c>
      <c r="R2003" s="14" t="s">
        <v>141</v>
      </c>
      <c r="S2003" s="37" cm="1">
        <f t="array" aca="1" ref="S20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356.6580762470474</v>
      </c>
      <c r="T2003" s="346" t="s">
        <v>1485</v>
      </c>
      <c r="U2003" s="347">
        <f t="shared" ca="1" si="128"/>
        <v>5260</v>
      </c>
      <c r="V2003" s="347">
        <v>356.6580762470474</v>
      </c>
      <c r="W2003" s="347">
        <v>5260</v>
      </c>
      <c r="X2003" s="14" t="s">
        <v>12</v>
      </c>
      <c r="Y2003" s="346" t="s">
        <v>413</v>
      </c>
      <c r="Z2003" s="14" t="str">
        <f>IF(ISBLANK(LCI_Table[[#This Row],[Notes for user]])," ",LCI_Table[[#This Row],[Notes for user]])</f>
        <v xml:space="preserve"> </v>
      </c>
      <c r="AA2003" s="14"/>
      <c r="AB2003" s="14" t="s">
        <v>924</v>
      </c>
      <c r="AC2003" s="346">
        <f ca="1">LCI_Table[[#This Row],[Default Calculated Value]]-LCI_Table[[#This Row],[Calculated Value]]</f>
        <v>0</v>
      </c>
    </row>
    <row r="2004" spans="1:29" x14ac:dyDescent="0.3">
      <c r="A20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SugarcaneATJ-ethanolICAOCTBE(blank)_Sugarcane_HerbicidesHerbicides</v>
      </c>
      <c r="B2004" s="14" t="s">
        <v>447</v>
      </c>
      <c r="C2004" s="14" t="s">
        <v>1964</v>
      </c>
      <c r="D2004" s="14" t="s">
        <v>194</v>
      </c>
      <c r="E2004" s="14" t="s">
        <v>882</v>
      </c>
      <c r="F2004" s="48" t="s">
        <v>31</v>
      </c>
      <c r="G2004" s="14" t="b">
        <f>OR(LCI_Table[[#This Row],[Feedstock]]="All",LCI_Table[[#This Row],[Feedstock]]=SelectedFeedstock)</f>
        <v>0</v>
      </c>
      <c r="H2004" s="14" t="b">
        <f>OR(LCI_Table[[#This Row],[Conversion]]="All",LCI_Table[[#This Row],[Conversion]]=SelectedConversion)</f>
        <v>0</v>
      </c>
      <c r="I2004" s="14" t="b">
        <f>OR(LCI_Table[[#This Row],[Data Set]]="all",LCI_Table[[#This Row],[Data Set]]=SelectedDataSet)</f>
        <v>0</v>
      </c>
      <c r="J2004" s="14" t="b">
        <f>OR(LCI_Table[[#This Row],[Technology]]="All",LCI_Table[[#This Row],[Technology]]=SelectedTechnology)</f>
        <v>1</v>
      </c>
      <c r="K2004" s="14" t="b">
        <f>OR(LCI_Table[[#This Row],[Data Source]]="All",LCI_Table[[#This Row],[Data Source]]=SelectedDataSource)</f>
        <v>0</v>
      </c>
      <c r="L2004" s="14" t="b">
        <f>TRUE</f>
        <v>1</v>
      </c>
      <c r="M2004" s="14" t="b">
        <f>(LCI_Table[[#This Row],[Dev Notes]]="Do not display")</f>
        <v>0</v>
      </c>
      <c r="N2004" s="14" t="b">
        <f>AND(LCI_Table[[#This Row],[Show Feedstock]:[Conditional]],NOT(LCI_Table[[#This Row],[Hide Row]]))</f>
        <v>0</v>
      </c>
      <c r="O2004" s="14" t="b">
        <f>LCI_Table[[#This Row],[GREET1 Name Range]]=""</f>
        <v>0</v>
      </c>
      <c r="P2004" s="14" t="s">
        <v>14</v>
      </c>
      <c r="Q2004" s="14" t="s">
        <v>972</v>
      </c>
      <c r="R2004" s="14" t="s">
        <v>356</v>
      </c>
      <c r="S2004" s="37" cm="1">
        <f t="array" aca="1" ref="S20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04" s="346" t="s">
        <v>1485</v>
      </c>
      <c r="U2004" s="347">
        <f t="shared" ca="1" si="128"/>
        <v>0</v>
      </c>
      <c r="V2004" s="347">
        <v>0</v>
      </c>
      <c r="W2004" s="347">
        <v>0</v>
      </c>
      <c r="X2004" s="14" t="s">
        <v>12</v>
      </c>
      <c r="Y2004" s="346" t="s">
        <v>413</v>
      </c>
      <c r="Z2004" s="14" t="str">
        <f>IF(ISBLANK(LCI_Table[[#This Row],[Notes for user]])," ",LCI_Table[[#This Row],[Notes for user]])</f>
        <v xml:space="preserve"> </v>
      </c>
      <c r="AA2004" s="14"/>
      <c r="AB2004" s="14"/>
      <c r="AC2004" s="346">
        <f ca="1">LCI_Table[[#This Row],[Default Calculated Value]]-LCI_Table[[#This Row],[Calculated Value]]</f>
        <v>0</v>
      </c>
    </row>
    <row r="2005" spans="1:29" x14ac:dyDescent="0.3">
      <c r="A20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SugarcaneATJ-ethanolICAOCTBE(blank)_Sugarcane_InsecticideInsecticide</v>
      </c>
      <c r="B2005" s="14" t="s">
        <v>447</v>
      </c>
      <c r="C2005" s="14" t="s">
        <v>1964</v>
      </c>
      <c r="D2005" s="14" t="s">
        <v>194</v>
      </c>
      <c r="E2005" s="14" t="s">
        <v>882</v>
      </c>
      <c r="F2005" s="48" t="s">
        <v>31</v>
      </c>
      <c r="G2005" s="14" t="b">
        <f>OR(LCI_Table[[#This Row],[Feedstock]]="All",LCI_Table[[#This Row],[Feedstock]]=SelectedFeedstock)</f>
        <v>0</v>
      </c>
      <c r="H2005" s="14" t="b">
        <f>OR(LCI_Table[[#This Row],[Conversion]]="All",LCI_Table[[#This Row],[Conversion]]=SelectedConversion)</f>
        <v>0</v>
      </c>
      <c r="I2005" s="14" t="b">
        <f>OR(LCI_Table[[#This Row],[Data Set]]="all",LCI_Table[[#This Row],[Data Set]]=SelectedDataSet)</f>
        <v>0</v>
      </c>
      <c r="J2005" s="14" t="b">
        <f>OR(LCI_Table[[#This Row],[Technology]]="All",LCI_Table[[#This Row],[Technology]]=SelectedTechnology)</f>
        <v>1</v>
      </c>
      <c r="K2005" s="14" t="b">
        <f>OR(LCI_Table[[#This Row],[Data Source]]="All",LCI_Table[[#This Row],[Data Source]]=SelectedDataSource)</f>
        <v>0</v>
      </c>
      <c r="L2005" s="14" t="b">
        <f>TRUE</f>
        <v>1</v>
      </c>
      <c r="M2005" s="14" t="b">
        <f>(LCI_Table[[#This Row],[Dev Notes]]="Do not display")</f>
        <v>0</v>
      </c>
      <c r="N2005" s="14" t="b">
        <f>AND(LCI_Table[[#This Row],[Show Feedstock]:[Conditional]],NOT(LCI_Table[[#This Row],[Hide Row]]))</f>
        <v>0</v>
      </c>
      <c r="O2005" s="14" t="b">
        <f>LCI_Table[[#This Row],[GREET1 Name Range]]=""</f>
        <v>0</v>
      </c>
      <c r="P2005" s="14" t="s">
        <v>14</v>
      </c>
      <c r="Q2005" s="14" t="s">
        <v>973</v>
      </c>
      <c r="R2005" s="14" t="s">
        <v>114</v>
      </c>
      <c r="S2005" s="37" cm="1">
        <f t="array" aca="1" ref="S20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1.220502922518413</v>
      </c>
      <c r="T2005" s="346" t="s">
        <v>1485</v>
      </c>
      <c r="U2005" s="347">
        <f t="shared" ca="1" si="128"/>
        <v>17.999999999999996</v>
      </c>
      <c r="V2005" s="347">
        <v>1.220502922518413</v>
      </c>
      <c r="W2005" s="347">
        <v>17.999999999999996</v>
      </c>
      <c r="X2005" s="14" t="s">
        <v>12</v>
      </c>
      <c r="Y2005" s="346" t="s">
        <v>413</v>
      </c>
      <c r="Z2005" s="14" t="str">
        <f>IF(ISBLANK(LCI_Table[[#This Row],[Notes for user]])," ",LCI_Table[[#This Row],[Notes for user]])</f>
        <v xml:space="preserve"> </v>
      </c>
      <c r="AA2005" s="14"/>
      <c r="AB2005" s="14"/>
      <c r="AC2005" s="346">
        <f ca="1">LCI_Table[[#This Row],[Default Calculated Value]]-LCI_Table[[#This Row],[Calculated Value]]</f>
        <v>0</v>
      </c>
    </row>
    <row r="2006" spans="1:29" x14ac:dyDescent="0.3">
      <c r="A20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SugarcaneATJ-ethanolICAOCTBE(blank)_Sugarcane_Residual_oilResidual oil</v>
      </c>
      <c r="B2006" s="14" t="s">
        <v>447</v>
      </c>
      <c r="C2006" s="14" t="s">
        <v>1964</v>
      </c>
      <c r="D2006" s="14" t="s">
        <v>194</v>
      </c>
      <c r="E2006" s="14" t="s">
        <v>882</v>
      </c>
      <c r="F2006" s="48" t="s">
        <v>31</v>
      </c>
      <c r="G2006" s="14" t="b">
        <f>OR(LCI_Table[[#This Row],[Feedstock]]="All",LCI_Table[[#This Row],[Feedstock]]=SelectedFeedstock)</f>
        <v>0</v>
      </c>
      <c r="H2006" s="14" t="b">
        <f>OR(LCI_Table[[#This Row],[Conversion]]="All",LCI_Table[[#This Row],[Conversion]]=SelectedConversion)</f>
        <v>0</v>
      </c>
      <c r="I2006" s="14" t="b">
        <f>OR(LCI_Table[[#This Row],[Data Set]]="all",LCI_Table[[#This Row],[Data Set]]=SelectedDataSet)</f>
        <v>0</v>
      </c>
      <c r="J2006" s="14" t="b">
        <f>OR(LCI_Table[[#This Row],[Technology]]="All",LCI_Table[[#This Row],[Technology]]=SelectedTechnology)</f>
        <v>1</v>
      </c>
      <c r="K2006" s="14" t="b">
        <f>OR(LCI_Table[[#This Row],[Data Source]]="All",LCI_Table[[#This Row],[Data Source]]=SelectedDataSource)</f>
        <v>0</v>
      </c>
      <c r="L2006" s="14" t="b">
        <f>TRUE</f>
        <v>1</v>
      </c>
      <c r="M2006" s="14" t="b">
        <f>(LCI_Table[[#This Row],[Dev Notes]]="Do not display")</f>
        <v>0</v>
      </c>
      <c r="N2006" s="14" t="b">
        <f>AND(LCI_Table[[#This Row],[Show Feedstock]:[Conditional]],NOT(LCI_Table[[#This Row],[Hide Row]]))</f>
        <v>0</v>
      </c>
      <c r="O2006" s="14" t="b">
        <f>LCI_Table[[#This Row],[GREET1 Name Range]]=""</f>
        <v>0</v>
      </c>
      <c r="P2006" s="14" t="s">
        <v>14</v>
      </c>
      <c r="Q2006" s="14" t="s">
        <v>974</v>
      </c>
      <c r="R2006" s="14" t="s">
        <v>115</v>
      </c>
      <c r="S2006" s="37" cm="1">
        <f t="array" aca="1" ref="S20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06" s="346" t="s">
        <v>1484</v>
      </c>
      <c r="U2006" s="347">
        <f ca="1">$S2006/$S$1999*Fuel_Specs!$B$28/ton2MT</f>
        <v>0</v>
      </c>
      <c r="V2006" s="347">
        <v>0</v>
      </c>
      <c r="W2006" s="347">
        <v>0</v>
      </c>
      <c r="X2006" s="14" t="s">
        <v>5</v>
      </c>
      <c r="Y2006" s="346" t="s">
        <v>413</v>
      </c>
      <c r="Z2006" s="14" t="str">
        <f>IF(ISBLANK(LCI_Table[[#This Row],[Notes for user]])," ",LCI_Table[[#This Row],[Notes for user]])</f>
        <v xml:space="preserve"> </v>
      </c>
      <c r="AA2006" s="14"/>
      <c r="AB2006" s="14"/>
      <c r="AC2006" s="346">
        <f ca="1">LCI_Table[[#This Row],[Default Calculated Value]]-LCI_Table[[#This Row],[Calculated Value]]</f>
        <v>0</v>
      </c>
    </row>
    <row r="2007" spans="1:29" x14ac:dyDescent="0.3">
      <c r="A20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SugarcaneATJ-ethanolICAOCTBE(blank)_Sugarcane_DieselDiesel</v>
      </c>
      <c r="B2007" s="14" t="s">
        <v>447</v>
      </c>
      <c r="C2007" s="14" t="s">
        <v>1964</v>
      </c>
      <c r="D2007" s="14" t="s">
        <v>194</v>
      </c>
      <c r="E2007" s="14" t="s">
        <v>882</v>
      </c>
      <c r="F2007" s="48" t="s">
        <v>31</v>
      </c>
      <c r="G2007" s="14" t="b">
        <f>OR(LCI_Table[[#This Row],[Feedstock]]="All",LCI_Table[[#This Row],[Feedstock]]=SelectedFeedstock)</f>
        <v>0</v>
      </c>
      <c r="H2007" s="14" t="b">
        <f>OR(LCI_Table[[#This Row],[Conversion]]="All",LCI_Table[[#This Row],[Conversion]]=SelectedConversion)</f>
        <v>0</v>
      </c>
      <c r="I2007" s="14" t="b">
        <f>OR(LCI_Table[[#This Row],[Data Set]]="all",LCI_Table[[#This Row],[Data Set]]=SelectedDataSet)</f>
        <v>0</v>
      </c>
      <c r="J2007" s="14" t="b">
        <f>OR(LCI_Table[[#This Row],[Technology]]="All",LCI_Table[[#This Row],[Technology]]=SelectedTechnology)</f>
        <v>1</v>
      </c>
      <c r="K2007" s="14" t="b">
        <f>OR(LCI_Table[[#This Row],[Data Source]]="All",LCI_Table[[#This Row],[Data Source]]=SelectedDataSource)</f>
        <v>0</v>
      </c>
      <c r="L2007" s="14" t="b">
        <f>TRUE</f>
        <v>1</v>
      </c>
      <c r="M2007" s="14" t="b">
        <f>(LCI_Table[[#This Row],[Dev Notes]]="Do not display")</f>
        <v>0</v>
      </c>
      <c r="N2007" s="14" t="b">
        <f>AND(LCI_Table[[#This Row],[Show Feedstock]:[Conditional]],NOT(LCI_Table[[#This Row],[Hide Row]]))</f>
        <v>0</v>
      </c>
      <c r="O2007" s="14" t="b">
        <f>LCI_Table[[#This Row],[GREET1 Name Range]]=""</f>
        <v>0</v>
      </c>
      <c r="P2007" s="14" t="s">
        <v>14</v>
      </c>
      <c r="Q2007" s="14" t="s">
        <v>975</v>
      </c>
      <c r="R2007" s="14" t="s">
        <v>106</v>
      </c>
      <c r="S2007" s="37" cm="1">
        <f t="array" aca="1" ref="S20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0.31772437666408232</v>
      </c>
      <c r="T2007" s="346" t="s">
        <v>1484</v>
      </c>
      <c r="U2007" s="347">
        <f ca="1">$S2007/$S$1999*Fuel_Specs!$B$19/ton2MT</f>
        <v>1326.9439717338164</v>
      </c>
      <c r="V2007" s="347">
        <v>0.31772437666408232</v>
      </c>
      <c r="W2007" s="347">
        <v>1326.9439717338164</v>
      </c>
      <c r="X2007" s="14" t="s">
        <v>5</v>
      </c>
      <c r="Y2007" s="346" t="s">
        <v>413</v>
      </c>
      <c r="Z2007" s="14" t="str">
        <f>IF(ISBLANK(LCI_Table[[#This Row],[Notes for user]])," ",LCI_Table[[#This Row],[Notes for user]])</f>
        <v xml:space="preserve"> </v>
      </c>
      <c r="AA2007" s="14"/>
      <c r="AB2007" s="14"/>
      <c r="AC2007" s="346">
        <f ca="1">LCI_Table[[#This Row],[Default Calculated Value]]-LCI_Table[[#This Row],[Calculated Value]]</f>
        <v>0</v>
      </c>
    </row>
    <row r="2008" spans="1:29" x14ac:dyDescent="0.3">
      <c r="A20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SugarcaneATJ-ethanolICAOCTBE(blank)_Sugarcane_GasolineGasoline</v>
      </c>
      <c r="B2008" s="14" t="s">
        <v>447</v>
      </c>
      <c r="C2008" s="14" t="s">
        <v>1964</v>
      </c>
      <c r="D2008" s="14" t="s">
        <v>194</v>
      </c>
      <c r="E2008" s="14" t="s">
        <v>882</v>
      </c>
      <c r="F2008" s="48" t="s">
        <v>31</v>
      </c>
      <c r="G2008" s="14" t="b">
        <f>OR(LCI_Table[[#This Row],[Feedstock]]="All",LCI_Table[[#This Row],[Feedstock]]=SelectedFeedstock)</f>
        <v>0</v>
      </c>
      <c r="H2008" s="14" t="b">
        <f>OR(LCI_Table[[#This Row],[Conversion]]="All",LCI_Table[[#This Row],[Conversion]]=SelectedConversion)</f>
        <v>0</v>
      </c>
      <c r="I2008" s="14" t="b">
        <f>OR(LCI_Table[[#This Row],[Data Set]]="all",LCI_Table[[#This Row],[Data Set]]=SelectedDataSet)</f>
        <v>0</v>
      </c>
      <c r="J2008" s="14" t="b">
        <f>OR(LCI_Table[[#This Row],[Technology]]="All",LCI_Table[[#This Row],[Technology]]=SelectedTechnology)</f>
        <v>1</v>
      </c>
      <c r="K2008" s="14" t="b">
        <f>OR(LCI_Table[[#This Row],[Data Source]]="All",LCI_Table[[#This Row],[Data Source]]=SelectedDataSource)</f>
        <v>0</v>
      </c>
      <c r="L2008" s="14" t="b">
        <f>TRUE</f>
        <v>1</v>
      </c>
      <c r="M2008" s="14" t="b">
        <f>(LCI_Table[[#This Row],[Dev Notes]]="Do not display")</f>
        <v>0</v>
      </c>
      <c r="N2008" s="14" t="b">
        <f>AND(LCI_Table[[#This Row],[Show Feedstock]:[Conditional]],NOT(LCI_Table[[#This Row],[Hide Row]]))</f>
        <v>0</v>
      </c>
      <c r="O2008" s="14" t="b">
        <f>LCI_Table[[#This Row],[GREET1 Name Range]]=""</f>
        <v>0</v>
      </c>
      <c r="P2008" s="14" t="s">
        <v>14</v>
      </c>
      <c r="Q2008" s="14" t="s">
        <v>976</v>
      </c>
      <c r="R2008" s="14" t="s">
        <v>107</v>
      </c>
      <c r="S2008" s="37" cm="1">
        <f t="array" aca="1" ref="S20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08" s="346" t="s">
        <v>1484</v>
      </c>
      <c r="U2008" s="347">
        <f ca="1">$S2008/$S$1999*Fuel_Specs!$B$15/ton2MT</f>
        <v>0</v>
      </c>
      <c r="V2008" s="347">
        <v>0</v>
      </c>
      <c r="W2008" s="347">
        <v>0</v>
      </c>
      <c r="X2008" s="14" t="s">
        <v>5</v>
      </c>
      <c r="Y2008" s="346" t="s">
        <v>413</v>
      </c>
      <c r="Z2008" s="14" t="str">
        <f>IF(ISBLANK(LCI_Table[[#This Row],[Notes for user]])," ",LCI_Table[[#This Row],[Notes for user]])</f>
        <v xml:space="preserve"> </v>
      </c>
      <c r="AA2008" s="14"/>
      <c r="AB2008" s="14"/>
      <c r="AC2008" s="346">
        <f ca="1">LCI_Table[[#This Row],[Default Calculated Value]]-LCI_Table[[#This Row],[Calculated Value]]</f>
        <v>0</v>
      </c>
    </row>
    <row r="2009" spans="1:29" x14ac:dyDescent="0.3">
      <c r="A20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SugarcaneATJ-ethanolICAOCTBE(blank)_Sugarcane_Natural_gasNatural gas</v>
      </c>
      <c r="B2009" s="14" t="s">
        <v>447</v>
      </c>
      <c r="C2009" s="14" t="s">
        <v>1964</v>
      </c>
      <c r="D2009" s="14" t="s">
        <v>194</v>
      </c>
      <c r="E2009" s="14" t="s">
        <v>882</v>
      </c>
      <c r="F2009" s="48" t="s">
        <v>31</v>
      </c>
      <c r="G2009" s="14" t="b">
        <f>OR(LCI_Table[[#This Row],[Feedstock]]="All",LCI_Table[[#This Row],[Feedstock]]=SelectedFeedstock)</f>
        <v>0</v>
      </c>
      <c r="H2009" s="14" t="b">
        <f>OR(LCI_Table[[#This Row],[Conversion]]="All",LCI_Table[[#This Row],[Conversion]]=SelectedConversion)</f>
        <v>0</v>
      </c>
      <c r="I2009" s="14" t="b">
        <f>OR(LCI_Table[[#This Row],[Data Set]]="all",LCI_Table[[#This Row],[Data Set]]=SelectedDataSet)</f>
        <v>0</v>
      </c>
      <c r="J2009" s="14" t="b">
        <f>OR(LCI_Table[[#This Row],[Technology]]="All",LCI_Table[[#This Row],[Technology]]=SelectedTechnology)</f>
        <v>1</v>
      </c>
      <c r="K2009" s="14" t="b">
        <f>OR(LCI_Table[[#This Row],[Data Source]]="All",LCI_Table[[#This Row],[Data Source]]=SelectedDataSource)</f>
        <v>0</v>
      </c>
      <c r="L2009" s="14" t="b">
        <f>TRUE</f>
        <v>1</v>
      </c>
      <c r="M2009" s="14" t="b">
        <f>(LCI_Table[[#This Row],[Dev Notes]]="Do not display")</f>
        <v>0</v>
      </c>
      <c r="N2009" s="14" t="b">
        <f>AND(LCI_Table[[#This Row],[Show Feedstock]:[Conditional]],NOT(LCI_Table[[#This Row],[Hide Row]]))</f>
        <v>0</v>
      </c>
      <c r="O2009" s="14" t="b">
        <f>LCI_Table[[#This Row],[GREET1 Name Range]]=""</f>
        <v>0</v>
      </c>
      <c r="P2009" s="14" t="s">
        <v>14</v>
      </c>
      <c r="Q2009" s="14" t="s">
        <v>977</v>
      </c>
      <c r="R2009" s="14" t="s">
        <v>108</v>
      </c>
      <c r="S2009" s="37" cm="1">
        <f t="array" aca="1" ref="S20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09" s="346" t="s">
        <v>2109</v>
      </c>
      <c r="U2009" s="347">
        <f ca="1">$S2009/$S$1999*Fuel_Specs!$B$79/ton2MT</f>
        <v>0</v>
      </c>
      <c r="V2009" s="347">
        <v>0</v>
      </c>
      <c r="W2009" s="347">
        <v>0</v>
      </c>
      <c r="X2009" s="14" t="s">
        <v>351</v>
      </c>
      <c r="Y2009" s="346" t="s">
        <v>413</v>
      </c>
      <c r="Z2009" s="14" t="str">
        <f>IF(ISBLANK(LCI_Table[[#This Row],[Notes for user]])," ",LCI_Table[[#This Row],[Notes for user]])</f>
        <v xml:space="preserve"> </v>
      </c>
      <c r="AA2009" s="14"/>
      <c r="AB2009" s="14"/>
      <c r="AC2009" s="346">
        <f ca="1">LCI_Table[[#This Row],[Default Calculated Value]]-LCI_Table[[#This Row],[Calculated Value]]</f>
        <v>0</v>
      </c>
    </row>
    <row r="2010" spans="1:29" x14ac:dyDescent="0.3">
      <c r="A20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SugarcaneATJ-ethanolICAOCTBE(blank)_Sugarcane_CoalCoal</v>
      </c>
      <c r="B2010" s="14" t="s">
        <v>447</v>
      </c>
      <c r="C2010" s="14" t="s">
        <v>1964</v>
      </c>
      <c r="D2010" s="14" t="s">
        <v>194</v>
      </c>
      <c r="E2010" s="14" t="s">
        <v>882</v>
      </c>
      <c r="F2010" s="48" t="s">
        <v>31</v>
      </c>
      <c r="G2010" s="14" t="b">
        <f>OR(LCI_Table[[#This Row],[Feedstock]]="All",LCI_Table[[#This Row],[Feedstock]]=SelectedFeedstock)</f>
        <v>0</v>
      </c>
      <c r="H2010" s="14" t="b">
        <f>OR(LCI_Table[[#This Row],[Conversion]]="All",LCI_Table[[#This Row],[Conversion]]=SelectedConversion)</f>
        <v>0</v>
      </c>
      <c r="I2010" s="14" t="b">
        <f>OR(LCI_Table[[#This Row],[Data Set]]="all",LCI_Table[[#This Row],[Data Set]]=SelectedDataSet)</f>
        <v>0</v>
      </c>
      <c r="J2010" s="14" t="b">
        <f>OR(LCI_Table[[#This Row],[Technology]]="All",LCI_Table[[#This Row],[Technology]]=SelectedTechnology)</f>
        <v>1</v>
      </c>
      <c r="K2010" s="14" t="b">
        <f>OR(LCI_Table[[#This Row],[Data Source]]="All",LCI_Table[[#This Row],[Data Source]]=SelectedDataSource)</f>
        <v>0</v>
      </c>
      <c r="L2010" s="14" t="b">
        <f>TRUE</f>
        <v>1</v>
      </c>
      <c r="M2010" s="14" t="b">
        <f>(LCI_Table[[#This Row],[Dev Notes]]="Do not display")</f>
        <v>0</v>
      </c>
      <c r="N2010" s="14" t="b">
        <f>AND(LCI_Table[[#This Row],[Show Feedstock]:[Conditional]],NOT(LCI_Table[[#This Row],[Hide Row]]))</f>
        <v>0</v>
      </c>
      <c r="O2010" s="14" t="b">
        <f>LCI_Table[[#This Row],[GREET1 Name Range]]=""</f>
        <v>0</v>
      </c>
      <c r="P2010" s="14" t="s">
        <v>14</v>
      </c>
      <c r="Q2010" s="14" t="s">
        <v>978</v>
      </c>
      <c r="R2010" s="14" t="s">
        <v>9</v>
      </c>
      <c r="S2010" s="37" cm="1">
        <f t="array" aca="1" ref="S20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10" s="346" t="s">
        <v>2110</v>
      </c>
      <c r="U2010" s="347">
        <f ca="1">S2010/$S$1999/ton2MT</f>
        <v>0</v>
      </c>
      <c r="V2010" s="347">
        <v>0</v>
      </c>
      <c r="W2010" s="347">
        <v>0</v>
      </c>
      <c r="X2010" s="14" t="s">
        <v>117</v>
      </c>
      <c r="Y2010" s="346" t="s">
        <v>413</v>
      </c>
      <c r="Z2010" s="14" t="str">
        <f>IF(ISBLANK(LCI_Table[[#This Row],[Notes for user]])," ",LCI_Table[[#This Row],[Notes for user]])</f>
        <v xml:space="preserve"> </v>
      </c>
      <c r="AA2010" s="14"/>
      <c r="AB2010" s="14"/>
      <c r="AC2010" s="346">
        <f ca="1">LCI_Table[[#This Row],[Default Calculated Value]]-LCI_Table[[#This Row],[Calculated Value]]</f>
        <v>0</v>
      </c>
    </row>
    <row r="2011" spans="1:29" x14ac:dyDescent="0.3">
      <c r="A20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SugarcaneATJ-ethanolICAOCTBE(blank)_Sugarcane_LPGLPG</v>
      </c>
      <c r="B2011" s="14" t="s">
        <v>447</v>
      </c>
      <c r="C2011" s="14" t="s">
        <v>1964</v>
      </c>
      <c r="D2011" s="14" t="s">
        <v>194</v>
      </c>
      <c r="E2011" s="14" t="s">
        <v>882</v>
      </c>
      <c r="F2011" s="48" t="s">
        <v>31</v>
      </c>
      <c r="G2011" s="14" t="b">
        <f>OR(LCI_Table[[#This Row],[Feedstock]]="All",LCI_Table[[#This Row],[Feedstock]]=SelectedFeedstock)</f>
        <v>0</v>
      </c>
      <c r="H2011" s="14" t="b">
        <f>OR(LCI_Table[[#This Row],[Conversion]]="All",LCI_Table[[#This Row],[Conversion]]=SelectedConversion)</f>
        <v>0</v>
      </c>
      <c r="I2011" s="14" t="b">
        <f>OR(LCI_Table[[#This Row],[Data Set]]="all",LCI_Table[[#This Row],[Data Set]]=SelectedDataSet)</f>
        <v>0</v>
      </c>
      <c r="J2011" s="14" t="b">
        <f>OR(LCI_Table[[#This Row],[Technology]]="All",LCI_Table[[#This Row],[Technology]]=SelectedTechnology)</f>
        <v>1</v>
      </c>
      <c r="K2011" s="14" t="b">
        <f>OR(LCI_Table[[#This Row],[Data Source]]="All",LCI_Table[[#This Row],[Data Source]]=SelectedDataSource)</f>
        <v>0</v>
      </c>
      <c r="L2011" s="14" t="b">
        <f>TRUE</f>
        <v>1</v>
      </c>
      <c r="M2011" s="14" t="b">
        <f>(LCI_Table[[#This Row],[Dev Notes]]="Do not display")</f>
        <v>0</v>
      </c>
      <c r="N2011" s="14" t="b">
        <f>AND(LCI_Table[[#This Row],[Show Feedstock]:[Conditional]],NOT(LCI_Table[[#This Row],[Hide Row]]))</f>
        <v>0</v>
      </c>
      <c r="O2011" s="14" t="b">
        <f>LCI_Table[[#This Row],[GREET1 Name Range]]=""</f>
        <v>0</v>
      </c>
      <c r="P2011" s="14" t="s">
        <v>14</v>
      </c>
      <c r="Q2011" s="14" t="s">
        <v>979</v>
      </c>
      <c r="R2011" s="14" t="s">
        <v>109</v>
      </c>
      <c r="S2011" s="37" cm="1">
        <f t="array" aca="1" ref="S20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11" s="346" t="s">
        <v>1484</v>
      </c>
      <c r="U2011" s="347">
        <f ca="1">$S2011/$S$1999*Fuel_Specs!$B$35/ton2MT</f>
        <v>0</v>
      </c>
      <c r="V2011" s="347">
        <v>0</v>
      </c>
      <c r="W2011" s="347">
        <v>0</v>
      </c>
      <c r="X2011" s="14" t="s">
        <v>5</v>
      </c>
      <c r="Y2011" s="346" t="s">
        <v>413</v>
      </c>
      <c r="Z2011" s="14" t="str">
        <f>IF(ISBLANK(LCI_Table[[#This Row],[Notes for user]])," ",LCI_Table[[#This Row],[Notes for user]])</f>
        <v xml:space="preserve"> </v>
      </c>
      <c r="AA2011" s="14"/>
      <c r="AB2011" s="14"/>
      <c r="AC2011" s="346">
        <f ca="1">LCI_Table[[#This Row],[Default Calculated Value]]-LCI_Table[[#This Row],[Calculated Value]]</f>
        <v>0</v>
      </c>
    </row>
    <row r="2012" spans="1:29" x14ac:dyDescent="0.3">
      <c r="A20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SugarcaneATJ-ethanolICAOCTBE(blank)_Sugarcane_ElectricityElectricity</v>
      </c>
      <c r="B2012" s="14" t="s">
        <v>447</v>
      </c>
      <c r="C2012" s="14" t="s">
        <v>1964</v>
      </c>
      <c r="D2012" s="14" t="s">
        <v>194</v>
      </c>
      <c r="E2012" s="14" t="s">
        <v>882</v>
      </c>
      <c r="F2012" s="48" t="s">
        <v>31</v>
      </c>
      <c r="G2012" s="14" t="b">
        <f>OR(LCI_Table[[#This Row],[Feedstock]]="All",LCI_Table[[#This Row],[Feedstock]]=SelectedFeedstock)</f>
        <v>0</v>
      </c>
      <c r="H2012" s="14" t="b">
        <f>OR(LCI_Table[[#This Row],[Conversion]]="All",LCI_Table[[#This Row],[Conversion]]=SelectedConversion)</f>
        <v>0</v>
      </c>
      <c r="I2012" s="14" t="b">
        <f>OR(LCI_Table[[#This Row],[Data Set]]="all",LCI_Table[[#This Row],[Data Set]]=SelectedDataSet)</f>
        <v>0</v>
      </c>
      <c r="J2012" s="14" t="b">
        <f>OR(LCI_Table[[#This Row],[Technology]]="All",LCI_Table[[#This Row],[Technology]]=SelectedTechnology)</f>
        <v>1</v>
      </c>
      <c r="K2012" s="14" t="b">
        <f>OR(LCI_Table[[#This Row],[Data Source]]="All",LCI_Table[[#This Row],[Data Source]]=SelectedDataSource)</f>
        <v>0</v>
      </c>
      <c r="L2012" s="14" t="b">
        <f>TRUE</f>
        <v>1</v>
      </c>
      <c r="M2012" s="14" t="b">
        <f>(LCI_Table[[#This Row],[Dev Notes]]="Do not display")</f>
        <v>0</v>
      </c>
      <c r="N2012" s="14" t="b">
        <f>AND(LCI_Table[[#This Row],[Show Feedstock]:[Conditional]],NOT(LCI_Table[[#This Row],[Hide Row]]))</f>
        <v>0</v>
      </c>
      <c r="O2012" s="14" t="b">
        <f>LCI_Table[[#This Row],[GREET1 Name Range]]=""</f>
        <v>0</v>
      </c>
      <c r="P2012" s="14" t="s">
        <v>14</v>
      </c>
      <c r="Q2012" s="14" t="s">
        <v>980</v>
      </c>
      <c r="R2012" s="348" t="s">
        <v>110</v>
      </c>
      <c r="S2012" s="37" cm="1">
        <f t="array" aca="1" ref="S20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12" s="346" t="s">
        <v>1561</v>
      </c>
      <c r="U2012" s="347">
        <f ca="1">S2012/BTU2kWh/$S$1999/ton2MT</f>
        <v>0</v>
      </c>
      <c r="V2012" s="347">
        <v>0</v>
      </c>
      <c r="W2012" s="347">
        <v>0</v>
      </c>
      <c r="X2012" s="14" t="s">
        <v>51</v>
      </c>
      <c r="Y2012" s="346" t="s">
        <v>413</v>
      </c>
      <c r="Z2012" s="14" t="str">
        <f>IF(ISBLANK(LCI_Table[[#This Row],[Notes for user]])," ",LCI_Table[[#This Row],[Notes for user]])</f>
        <v xml:space="preserve"> </v>
      </c>
      <c r="AA2012" s="14"/>
      <c r="AB2012" s="14"/>
      <c r="AC2012" s="346">
        <f ca="1">LCI_Table[[#This Row],[Default Calculated Value]]-LCI_Table[[#This Row],[Calculated Value]]</f>
        <v>0</v>
      </c>
    </row>
    <row r="2013" spans="1:29" x14ac:dyDescent="0.3">
      <c r="A20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SugarcaneATJ-ethanolICAOCTBE(blank)_Sugarcane_BiodieselBiodiesel</v>
      </c>
      <c r="B2013" s="14" t="s">
        <v>447</v>
      </c>
      <c r="C2013" s="14" t="s">
        <v>1964</v>
      </c>
      <c r="D2013" s="14" t="s">
        <v>194</v>
      </c>
      <c r="E2013" s="14" t="s">
        <v>882</v>
      </c>
      <c r="F2013" s="48" t="s">
        <v>31</v>
      </c>
      <c r="G2013" s="14" t="b">
        <f>OR(LCI_Table[[#This Row],[Feedstock]]="All",LCI_Table[[#This Row],[Feedstock]]=SelectedFeedstock)</f>
        <v>0</v>
      </c>
      <c r="H2013" s="14" t="b">
        <f>OR(LCI_Table[[#This Row],[Conversion]]="All",LCI_Table[[#This Row],[Conversion]]=SelectedConversion)</f>
        <v>0</v>
      </c>
      <c r="I2013" s="14" t="b">
        <f>OR(LCI_Table[[#This Row],[Data Set]]="all",LCI_Table[[#This Row],[Data Set]]=SelectedDataSet)</f>
        <v>0</v>
      </c>
      <c r="J2013" s="14" t="b">
        <f>OR(LCI_Table[[#This Row],[Technology]]="All",LCI_Table[[#This Row],[Technology]]=SelectedTechnology)</f>
        <v>1</v>
      </c>
      <c r="K2013" s="14" t="b">
        <f>OR(LCI_Table[[#This Row],[Data Source]]="All",LCI_Table[[#This Row],[Data Source]]=SelectedDataSource)</f>
        <v>0</v>
      </c>
      <c r="L2013" s="14" t="b">
        <f>TRUE</f>
        <v>1</v>
      </c>
      <c r="M2013" s="14" t="b">
        <f>(LCI_Table[[#This Row],[Dev Notes]]="Do not display")</f>
        <v>0</v>
      </c>
      <c r="N2013" s="14" t="b">
        <f>AND(LCI_Table[[#This Row],[Show Feedstock]:[Conditional]],NOT(LCI_Table[[#This Row],[Hide Row]]))</f>
        <v>0</v>
      </c>
      <c r="O2013" s="14" t="b">
        <f>LCI_Table[[#This Row],[GREET1 Name Range]]=""</f>
        <v>0</v>
      </c>
      <c r="P2013" s="14" t="s">
        <v>14</v>
      </c>
      <c r="Q2013" s="14" t="s">
        <v>1393</v>
      </c>
      <c r="R2013" s="348" t="s">
        <v>1394</v>
      </c>
      <c r="S2013" s="37" cm="1">
        <f t="array" aca="1" ref="S20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13" s="346" t="s">
        <v>1484</v>
      </c>
      <c r="U2013" s="347">
        <f ca="1">S2013*Fuel_Specs!$B$39/$S$1999/ton2MT</f>
        <v>0</v>
      </c>
      <c r="V2013" s="347">
        <v>0</v>
      </c>
      <c r="W2013" s="347">
        <v>0</v>
      </c>
      <c r="X2013" s="14" t="s">
        <v>5</v>
      </c>
      <c r="Y2013" s="346" t="s">
        <v>413</v>
      </c>
      <c r="Z2013" s="14" t="str">
        <f>IF(ISBLANK(LCI_Table[[#This Row],[Notes for user]])," ",LCI_Table[[#This Row],[Notes for user]])</f>
        <v xml:space="preserve"> </v>
      </c>
      <c r="AA2013" s="14"/>
      <c r="AB2013" s="14"/>
      <c r="AC2013" s="346">
        <f ca="1">LCI_Table[[#This Row],[Default Calculated Value]]-LCI_Table[[#This Row],[Calculated Value]]</f>
        <v>0</v>
      </c>
    </row>
    <row r="2014" spans="1:29" x14ac:dyDescent="0.3">
      <c r="A20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SugarcaneATJ-ethanolICAOCTBE(blank)_Sugarcane_ETJ_SugarcaneSugarcane</v>
      </c>
      <c r="B2014" s="14" t="s">
        <v>447</v>
      </c>
      <c r="C2014" s="14" t="s">
        <v>1964</v>
      </c>
      <c r="D2014" s="14" t="s">
        <v>194</v>
      </c>
      <c r="E2014" s="14" t="s">
        <v>882</v>
      </c>
      <c r="F2014" s="48" t="s">
        <v>31</v>
      </c>
      <c r="G2014" s="14" t="b">
        <f>OR(LCI_Table[[#This Row],[Feedstock]]="All",LCI_Table[[#This Row],[Feedstock]]=SelectedFeedstock)</f>
        <v>0</v>
      </c>
      <c r="H2014" s="14" t="b">
        <f>OR(LCI_Table[[#This Row],[Conversion]]="All",LCI_Table[[#This Row],[Conversion]]=SelectedConversion)</f>
        <v>0</v>
      </c>
      <c r="I2014" s="14" t="b">
        <f>OR(LCI_Table[[#This Row],[Data Set]]="all",LCI_Table[[#This Row],[Data Set]]=SelectedDataSet)</f>
        <v>0</v>
      </c>
      <c r="J2014" s="14" t="b">
        <f>OR(LCI_Table[[#This Row],[Technology]]="All",LCI_Table[[#This Row],[Technology]]=SelectedTechnology)</f>
        <v>1</v>
      </c>
      <c r="K2014" s="14" t="b">
        <f>OR(LCI_Table[[#This Row],[Data Source]]="All",LCI_Table[[#This Row],[Data Source]]=SelectedDataSource)</f>
        <v>0</v>
      </c>
      <c r="L2014" s="14" t="b">
        <f>TRUE</f>
        <v>1</v>
      </c>
      <c r="M2014" s="14" t="b">
        <f>(LCI_Table[[#This Row],[Dev Notes]]="Do not display")</f>
        <v>0</v>
      </c>
      <c r="N2014" s="14" t="b">
        <f>AND(LCI_Table[[#This Row],[Show Feedstock]:[Conditional]],NOT(LCI_Table[[#This Row],[Hide Row]]))</f>
        <v>0</v>
      </c>
      <c r="O2014" s="14" t="b">
        <f>LCI_Table[[#This Row],[GREET1 Name Range]]=""</f>
        <v>0</v>
      </c>
      <c r="P2014" s="14" t="s">
        <v>1448</v>
      </c>
      <c r="Q2014" s="14" t="s">
        <v>981</v>
      </c>
      <c r="R2014" s="14" t="s">
        <v>447</v>
      </c>
      <c r="S2014" s="37" cm="1">
        <f t="array" aca="1" ref="S20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2930.7599927221054</v>
      </c>
      <c r="T2014" s="346" t="s">
        <v>2119</v>
      </c>
      <c r="U2014" s="347">
        <f ca="1">S2014*lb2kg/mmBTU2MJ</f>
        <v>1.2600000000000027</v>
      </c>
      <c r="V2014" s="347">
        <v>2930.7599927221054</v>
      </c>
      <c r="W2014" s="347">
        <v>1.2600000000000027</v>
      </c>
      <c r="X2014" s="14" t="s">
        <v>12</v>
      </c>
      <c r="Y2014" s="346" t="s">
        <v>416</v>
      </c>
      <c r="Z2014" s="14" t="str">
        <f>IF(ISBLANK(LCI_Table[[#This Row],[Notes for user]])," ",LCI_Table[[#This Row],[Notes for user]])</f>
        <v>Erroneous units in CORSIA</v>
      </c>
      <c r="AA2014" s="14" t="s">
        <v>1154</v>
      </c>
      <c r="AB2014" s="358"/>
      <c r="AC2014" s="346">
        <f ca="1">LCI_Table[[#This Row],[Default Calculated Value]]-LCI_Table[[#This Row],[Calculated Value]]</f>
        <v>0</v>
      </c>
    </row>
    <row r="2015" spans="1:29" x14ac:dyDescent="0.3">
      <c r="A20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SugarcaneATJ-ethanolICAOCTBE(blank)_Sugarcane_ETJ_Alpha_amylaseAlpha-amylase</v>
      </c>
      <c r="B2015" s="14" t="s">
        <v>447</v>
      </c>
      <c r="C2015" s="14" t="s">
        <v>1964</v>
      </c>
      <c r="D2015" s="14" t="s">
        <v>194</v>
      </c>
      <c r="E2015" s="14" t="s">
        <v>882</v>
      </c>
      <c r="F2015" s="48" t="s">
        <v>31</v>
      </c>
      <c r="G2015" s="14" t="b">
        <f>OR(LCI_Table[[#This Row],[Feedstock]]="All",LCI_Table[[#This Row],[Feedstock]]=SelectedFeedstock)</f>
        <v>0</v>
      </c>
      <c r="H2015" s="14" t="b">
        <f>OR(LCI_Table[[#This Row],[Conversion]]="All",LCI_Table[[#This Row],[Conversion]]=SelectedConversion)</f>
        <v>0</v>
      </c>
      <c r="I2015" s="14" t="b">
        <f>OR(LCI_Table[[#This Row],[Data Set]]="all",LCI_Table[[#This Row],[Data Set]]=SelectedDataSet)</f>
        <v>0</v>
      </c>
      <c r="J2015" s="14" t="b">
        <f>OR(LCI_Table[[#This Row],[Technology]]="All",LCI_Table[[#This Row],[Technology]]=SelectedTechnology)</f>
        <v>1</v>
      </c>
      <c r="K2015" s="14" t="b">
        <f>OR(LCI_Table[[#This Row],[Data Source]]="All",LCI_Table[[#This Row],[Data Source]]=SelectedDataSource)</f>
        <v>0</v>
      </c>
      <c r="L2015" s="14" t="b">
        <f>TRUE</f>
        <v>1</v>
      </c>
      <c r="M2015" s="14" t="b">
        <f>(LCI_Table[[#This Row],[Dev Notes]]="Do not display")</f>
        <v>0</v>
      </c>
      <c r="N2015" s="14" t="b">
        <f>AND(LCI_Table[[#This Row],[Show Feedstock]:[Conditional]],NOT(LCI_Table[[#This Row],[Hide Row]]))</f>
        <v>0</v>
      </c>
      <c r="O2015" s="14" t="b">
        <f>LCI_Table[[#This Row],[GREET1 Name Range]]=""</f>
        <v>0</v>
      </c>
      <c r="P2015" s="14" t="s">
        <v>1448</v>
      </c>
      <c r="Q2015" s="14" t="s">
        <v>982</v>
      </c>
      <c r="R2015" s="14" t="s">
        <v>353</v>
      </c>
      <c r="S2015" s="37" cm="1">
        <f t="array" aca="1" ref="S20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15" s="346" t="s">
        <v>2119</v>
      </c>
      <c r="U2015" s="347">
        <f t="shared" ref="U2015" ca="1" si="129">S2015*lb2kg*MJ2mmBTU</f>
        <v>0</v>
      </c>
      <c r="V2015" s="347">
        <v>0</v>
      </c>
      <c r="W2015" s="347">
        <v>0</v>
      </c>
      <c r="X2015" s="14" t="s">
        <v>12</v>
      </c>
      <c r="Y2015" s="346" t="s">
        <v>416</v>
      </c>
      <c r="Z2015" s="14" t="str">
        <f>IF(ISBLANK(LCI_Table[[#This Row],[Notes for user]])," ",LCI_Table[[#This Row],[Notes for user]])</f>
        <v xml:space="preserve"> </v>
      </c>
      <c r="AA2015" s="14"/>
      <c r="AB2015" s="14"/>
      <c r="AC2015" s="346">
        <f ca="1">LCI_Table[[#This Row],[Default Calculated Value]]-LCI_Table[[#This Row],[Calculated Value]]</f>
        <v>0</v>
      </c>
    </row>
    <row r="2016" spans="1:29" x14ac:dyDescent="0.3">
      <c r="A20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SugarcaneATJ-ethanolICAOCTBE(blank)_Sugarcane_ETJ_Gluco_amylaseGluco-amylase</v>
      </c>
      <c r="B2016" s="14" t="s">
        <v>447</v>
      </c>
      <c r="C2016" s="14" t="s">
        <v>1964</v>
      </c>
      <c r="D2016" s="14" t="s">
        <v>194</v>
      </c>
      <c r="E2016" s="14" t="s">
        <v>882</v>
      </c>
      <c r="F2016" s="48" t="s">
        <v>31</v>
      </c>
      <c r="G2016" s="14" t="b">
        <f>OR(LCI_Table[[#This Row],[Feedstock]]="All",LCI_Table[[#This Row],[Feedstock]]=SelectedFeedstock)</f>
        <v>0</v>
      </c>
      <c r="H2016" s="14" t="b">
        <f>OR(LCI_Table[[#This Row],[Conversion]]="All",LCI_Table[[#This Row],[Conversion]]=SelectedConversion)</f>
        <v>0</v>
      </c>
      <c r="I2016" s="14" t="b">
        <f>OR(LCI_Table[[#This Row],[Data Set]]="all",LCI_Table[[#This Row],[Data Set]]=SelectedDataSet)</f>
        <v>0</v>
      </c>
      <c r="J2016" s="14" t="b">
        <f>OR(LCI_Table[[#This Row],[Technology]]="All",LCI_Table[[#This Row],[Technology]]=SelectedTechnology)</f>
        <v>1</v>
      </c>
      <c r="K2016" s="14" t="b">
        <f>OR(LCI_Table[[#This Row],[Data Source]]="All",LCI_Table[[#This Row],[Data Source]]=SelectedDataSource)</f>
        <v>0</v>
      </c>
      <c r="L2016" s="14" t="b">
        <f>TRUE</f>
        <v>1</v>
      </c>
      <c r="M2016" s="14" t="b">
        <f>(LCI_Table[[#This Row],[Dev Notes]]="Do not display")</f>
        <v>0</v>
      </c>
      <c r="N2016" s="14" t="b">
        <f>AND(LCI_Table[[#This Row],[Show Feedstock]:[Conditional]],NOT(LCI_Table[[#This Row],[Hide Row]]))</f>
        <v>0</v>
      </c>
      <c r="O2016" s="14" t="b">
        <f>LCI_Table[[#This Row],[GREET1 Name Range]]=""</f>
        <v>0</v>
      </c>
      <c r="P2016" s="14" t="s">
        <v>1448</v>
      </c>
      <c r="Q2016" s="14" t="s">
        <v>983</v>
      </c>
      <c r="R2016" s="14" t="s">
        <v>354</v>
      </c>
      <c r="S2016" s="37" cm="1">
        <f t="array" aca="1" ref="S20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16" s="346" t="s">
        <v>2119</v>
      </c>
      <c r="U2016" s="347">
        <f t="shared" ref="U2016" ca="1" si="130">S2016*lb2kg*MJ2mmBTU</f>
        <v>0</v>
      </c>
      <c r="V2016" s="347">
        <v>0</v>
      </c>
      <c r="W2016" s="347">
        <v>0</v>
      </c>
      <c r="X2016" s="14" t="s">
        <v>12</v>
      </c>
      <c r="Y2016" s="346" t="s">
        <v>416</v>
      </c>
      <c r="Z2016" s="14" t="str">
        <f>IF(ISBLANK(LCI_Table[[#This Row],[Notes for user]])," ",LCI_Table[[#This Row],[Notes for user]])</f>
        <v xml:space="preserve"> </v>
      </c>
      <c r="AA2016" s="14"/>
      <c r="AB2016" s="14"/>
      <c r="AC2016" s="346">
        <f ca="1">LCI_Table[[#This Row],[Default Calculated Value]]-LCI_Table[[#This Row],[Calculated Value]]</f>
        <v>0</v>
      </c>
    </row>
    <row r="2017" spans="1:29" x14ac:dyDescent="0.3">
      <c r="A20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SugarcaneATJ-ethanolICAOCTBE(blank)_Sugarcane_ETJ_YeastYeast</v>
      </c>
      <c r="B2017" s="14" t="s">
        <v>447</v>
      </c>
      <c r="C2017" s="14" t="s">
        <v>1964</v>
      </c>
      <c r="D2017" s="14" t="s">
        <v>194</v>
      </c>
      <c r="E2017" s="14" t="s">
        <v>882</v>
      </c>
      <c r="F2017" s="48" t="s">
        <v>31</v>
      </c>
      <c r="G2017" s="14" t="b">
        <f>OR(LCI_Table[[#This Row],[Feedstock]]="All",LCI_Table[[#This Row],[Feedstock]]=SelectedFeedstock)</f>
        <v>0</v>
      </c>
      <c r="H2017" s="14" t="b">
        <f>OR(LCI_Table[[#This Row],[Conversion]]="All",LCI_Table[[#This Row],[Conversion]]=SelectedConversion)</f>
        <v>0</v>
      </c>
      <c r="I2017" s="14" t="b">
        <f>OR(LCI_Table[[#This Row],[Data Set]]="all",LCI_Table[[#This Row],[Data Set]]=SelectedDataSet)</f>
        <v>0</v>
      </c>
      <c r="J2017" s="14" t="b">
        <f>OR(LCI_Table[[#This Row],[Technology]]="All",LCI_Table[[#This Row],[Technology]]=SelectedTechnology)</f>
        <v>1</v>
      </c>
      <c r="K2017" s="14" t="b">
        <f>OR(LCI_Table[[#This Row],[Data Source]]="All",LCI_Table[[#This Row],[Data Source]]=SelectedDataSource)</f>
        <v>0</v>
      </c>
      <c r="L2017" s="14" t="b">
        <f>TRUE</f>
        <v>1</v>
      </c>
      <c r="M2017" s="14" t="b">
        <f>(LCI_Table[[#This Row],[Dev Notes]]="Do not display")</f>
        <v>0</v>
      </c>
      <c r="N2017" s="14" t="b">
        <f>AND(LCI_Table[[#This Row],[Show Feedstock]:[Conditional]],NOT(LCI_Table[[#This Row],[Hide Row]]))</f>
        <v>0</v>
      </c>
      <c r="O2017" s="14" t="b">
        <f>LCI_Table[[#This Row],[GREET1 Name Range]]=""</f>
        <v>0</v>
      </c>
      <c r="P2017" s="14" t="s">
        <v>1448</v>
      </c>
      <c r="Q2017" s="14" t="s">
        <v>984</v>
      </c>
      <c r="R2017" s="14" t="s">
        <v>145</v>
      </c>
      <c r="S2017" s="37" cm="1">
        <f t="array" aca="1" ref="S20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17" s="346" t="s">
        <v>2119</v>
      </c>
      <c r="U2017" s="347">
        <f t="shared" ref="U2017" ca="1" si="131">S2017*lb2kg*MJ2mmBTU</f>
        <v>0</v>
      </c>
      <c r="V2017" s="347">
        <v>0</v>
      </c>
      <c r="W2017" s="347">
        <v>0</v>
      </c>
      <c r="X2017" s="14" t="s">
        <v>12</v>
      </c>
      <c r="Y2017" s="346" t="s">
        <v>416</v>
      </c>
      <c r="Z2017" s="14" t="str">
        <f>IF(ISBLANK(LCI_Table[[#This Row],[Notes for user]])," ",LCI_Table[[#This Row],[Notes for user]])</f>
        <v xml:space="preserve"> </v>
      </c>
      <c r="AA2017" s="14"/>
      <c r="AB2017" s="14"/>
      <c r="AC2017" s="346">
        <f ca="1">LCI_Table[[#This Row],[Default Calculated Value]]-LCI_Table[[#This Row],[Calculated Value]]</f>
        <v>0</v>
      </c>
    </row>
    <row r="2018" spans="1:29" x14ac:dyDescent="0.3">
      <c r="A20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SugarcaneATJ-ethanolICAOCTBE(blank)_Sugarcane_ETJ_GlucoseGlucose</v>
      </c>
      <c r="B2018" s="14" t="s">
        <v>447</v>
      </c>
      <c r="C2018" s="14" t="s">
        <v>1964</v>
      </c>
      <c r="D2018" s="14" t="s">
        <v>194</v>
      </c>
      <c r="E2018" s="14" t="s">
        <v>882</v>
      </c>
      <c r="F2018" s="48" t="s">
        <v>31</v>
      </c>
      <c r="G2018" s="14" t="b">
        <f>OR(LCI_Table[[#This Row],[Feedstock]]="All",LCI_Table[[#This Row],[Feedstock]]=SelectedFeedstock)</f>
        <v>0</v>
      </c>
      <c r="H2018" s="14" t="b">
        <f>OR(LCI_Table[[#This Row],[Conversion]]="All",LCI_Table[[#This Row],[Conversion]]=SelectedConversion)</f>
        <v>0</v>
      </c>
      <c r="I2018" s="14" t="b">
        <f>OR(LCI_Table[[#This Row],[Data Set]]="all",LCI_Table[[#This Row],[Data Set]]=SelectedDataSet)</f>
        <v>0</v>
      </c>
      <c r="J2018" s="14" t="b">
        <f>OR(LCI_Table[[#This Row],[Technology]]="All",LCI_Table[[#This Row],[Technology]]=SelectedTechnology)</f>
        <v>1</v>
      </c>
      <c r="K2018" s="14" t="b">
        <f>OR(LCI_Table[[#This Row],[Data Source]]="All",LCI_Table[[#This Row],[Data Source]]=SelectedDataSource)</f>
        <v>0</v>
      </c>
      <c r="L2018" s="14" t="b">
        <f>TRUE</f>
        <v>1</v>
      </c>
      <c r="M2018" s="14" t="b">
        <f>(LCI_Table[[#This Row],[Dev Notes]]="Do not display")</f>
        <v>0</v>
      </c>
      <c r="N2018" s="14" t="b">
        <f>AND(LCI_Table[[#This Row],[Show Feedstock]:[Conditional]],NOT(LCI_Table[[#This Row],[Hide Row]]))</f>
        <v>0</v>
      </c>
      <c r="O2018" s="14" t="b">
        <f>LCI_Table[[#This Row],[GREET1 Name Range]]=""</f>
        <v>0</v>
      </c>
      <c r="P2018" s="14" t="s">
        <v>1448</v>
      </c>
      <c r="Q2018" s="14" t="s">
        <v>985</v>
      </c>
      <c r="R2018" s="14" t="s">
        <v>387</v>
      </c>
      <c r="S2018" s="37" cm="1">
        <f t="array" aca="1" ref="S20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18" s="346" t="s">
        <v>2119</v>
      </c>
      <c r="U2018" s="347">
        <f t="shared" ref="U2018" ca="1" si="132">S2018*lb2kg*MJ2mmBTU</f>
        <v>0</v>
      </c>
      <c r="V2018" s="347">
        <v>0</v>
      </c>
      <c r="W2018" s="347">
        <v>0</v>
      </c>
      <c r="X2018" s="14" t="s">
        <v>12</v>
      </c>
      <c r="Y2018" s="346" t="s">
        <v>416</v>
      </c>
      <c r="Z2018" s="14" t="str">
        <f>IF(ISBLANK(LCI_Table[[#This Row],[Notes for user]])," ",LCI_Table[[#This Row],[Notes for user]])</f>
        <v xml:space="preserve"> </v>
      </c>
      <c r="AA2018" s="14"/>
      <c r="AB2018" s="14"/>
      <c r="AC2018" s="346">
        <f ca="1">LCI_Table[[#This Row],[Default Calculated Value]]-LCI_Table[[#This Row],[Calculated Value]]</f>
        <v>0</v>
      </c>
    </row>
    <row r="2019" spans="1:29" x14ac:dyDescent="0.3">
      <c r="A20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SugarcaneATJ-ethanolICAOCTBE(blank)_Sugarcane_ETJ_Sulfuric_acidSulfuric acid</v>
      </c>
      <c r="B2019" s="14" t="s">
        <v>447</v>
      </c>
      <c r="C2019" s="14" t="s">
        <v>1964</v>
      </c>
      <c r="D2019" s="14" t="s">
        <v>194</v>
      </c>
      <c r="E2019" s="14" t="s">
        <v>882</v>
      </c>
      <c r="F2019" s="48" t="s">
        <v>31</v>
      </c>
      <c r="G2019" s="14" t="b">
        <f>OR(LCI_Table[[#This Row],[Feedstock]]="All",LCI_Table[[#This Row],[Feedstock]]=SelectedFeedstock)</f>
        <v>0</v>
      </c>
      <c r="H2019" s="14" t="b">
        <f>OR(LCI_Table[[#This Row],[Conversion]]="All",LCI_Table[[#This Row],[Conversion]]=SelectedConversion)</f>
        <v>0</v>
      </c>
      <c r="I2019" s="14" t="b">
        <f>OR(LCI_Table[[#This Row],[Data Set]]="all",LCI_Table[[#This Row],[Data Set]]=SelectedDataSet)</f>
        <v>0</v>
      </c>
      <c r="J2019" s="14" t="b">
        <f>OR(LCI_Table[[#This Row],[Technology]]="All",LCI_Table[[#This Row],[Technology]]=SelectedTechnology)</f>
        <v>1</v>
      </c>
      <c r="K2019" s="14" t="b">
        <f>OR(LCI_Table[[#This Row],[Data Source]]="All",LCI_Table[[#This Row],[Data Source]]=SelectedDataSource)</f>
        <v>0</v>
      </c>
      <c r="L2019" s="14" t="b">
        <f>TRUE</f>
        <v>1</v>
      </c>
      <c r="M2019" s="14" t="b">
        <f>(LCI_Table[[#This Row],[Dev Notes]]="Do not display")</f>
        <v>0</v>
      </c>
      <c r="N2019" s="14" t="b">
        <f>AND(LCI_Table[[#This Row],[Show Feedstock]:[Conditional]],NOT(LCI_Table[[#This Row],[Hide Row]]))</f>
        <v>0</v>
      </c>
      <c r="O2019" s="14" t="b">
        <f>LCI_Table[[#This Row],[GREET1 Name Range]]=""</f>
        <v>0</v>
      </c>
      <c r="P2019" s="14" t="s">
        <v>1448</v>
      </c>
      <c r="Q2019" s="14" t="s">
        <v>986</v>
      </c>
      <c r="R2019" s="14" t="s">
        <v>384</v>
      </c>
      <c r="S2019" s="37" cm="1">
        <f t="array" aca="1" ref="S20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19" s="346" t="s">
        <v>2119</v>
      </c>
      <c r="U2019" s="347">
        <f t="shared" ref="U2019" ca="1" si="133">S2019*lb2kg*MJ2mmBTU</f>
        <v>0</v>
      </c>
      <c r="V2019" s="347">
        <v>0</v>
      </c>
      <c r="W2019" s="347">
        <v>0</v>
      </c>
      <c r="X2019" s="14" t="s">
        <v>12</v>
      </c>
      <c r="Y2019" s="346" t="s">
        <v>416</v>
      </c>
      <c r="Z2019" s="14" t="str">
        <f>IF(ISBLANK(LCI_Table[[#This Row],[Notes for user]])," ",LCI_Table[[#This Row],[Notes for user]])</f>
        <v xml:space="preserve"> </v>
      </c>
      <c r="AA2019" s="14"/>
      <c r="AB2019" s="14"/>
      <c r="AC2019" s="346">
        <f ca="1">LCI_Table[[#This Row],[Default Calculated Value]]-LCI_Table[[#This Row],[Calculated Value]]</f>
        <v>0</v>
      </c>
    </row>
    <row r="2020" spans="1:29" x14ac:dyDescent="0.3">
      <c r="A20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SugarcaneATJ-ethanolICAOCTBE(blank)_Sugarcane_ETJ_AmmoniaAmmonia</v>
      </c>
      <c r="B2020" s="14" t="s">
        <v>447</v>
      </c>
      <c r="C2020" s="14" t="s">
        <v>1964</v>
      </c>
      <c r="D2020" s="14" t="s">
        <v>194</v>
      </c>
      <c r="E2020" s="14" t="s">
        <v>882</v>
      </c>
      <c r="F2020" s="48" t="s">
        <v>31</v>
      </c>
      <c r="G2020" s="14" t="b">
        <f>OR(LCI_Table[[#This Row],[Feedstock]]="All",LCI_Table[[#This Row],[Feedstock]]=SelectedFeedstock)</f>
        <v>0</v>
      </c>
      <c r="H2020" s="14" t="b">
        <f>OR(LCI_Table[[#This Row],[Conversion]]="All",LCI_Table[[#This Row],[Conversion]]=SelectedConversion)</f>
        <v>0</v>
      </c>
      <c r="I2020" s="14" t="b">
        <f>OR(LCI_Table[[#This Row],[Data Set]]="all",LCI_Table[[#This Row],[Data Set]]=SelectedDataSet)</f>
        <v>0</v>
      </c>
      <c r="J2020" s="14" t="b">
        <f>OR(LCI_Table[[#This Row],[Technology]]="All",LCI_Table[[#This Row],[Technology]]=SelectedTechnology)</f>
        <v>1</v>
      </c>
      <c r="K2020" s="14" t="b">
        <f>OR(LCI_Table[[#This Row],[Data Source]]="All",LCI_Table[[#This Row],[Data Source]]=SelectedDataSource)</f>
        <v>0</v>
      </c>
      <c r="L2020" s="14" t="b">
        <f>TRUE</f>
        <v>1</v>
      </c>
      <c r="M2020" s="14" t="b">
        <f>(LCI_Table[[#This Row],[Dev Notes]]="Do not display")</f>
        <v>0</v>
      </c>
      <c r="N2020" s="14" t="b">
        <f>AND(LCI_Table[[#This Row],[Show Feedstock]:[Conditional]],NOT(LCI_Table[[#This Row],[Hide Row]]))</f>
        <v>0</v>
      </c>
      <c r="O2020" s="14" t="b">
        <f>LCI_Table[[#This Row],[GREET1 Name Range]]=""</f>
        <v>0</v>
      </c>
      <c r="P2020" s="14" t="s">
        <v>1448</v>
      </c>
      <c r="Q2020" s="14" t="s">
        <v>987</v>
      </c>
      <c r="R2020" s="14" t="s">
        <v>382</v>
      </c>
      <c r="S2020" s="37" cm="1">
        <f t="array" aca="1" ref="S20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20" s="346" t="s">
        <v>2119</v>
      </c>
      <c r="U2020" s="347">
        <f t="shared" ref="U2020" ca="1" si="134">S2020*lb2kg*MJ2mmBTU</f>
        <v>0</v>
      </c>
      <c r="V2020" s="347">
        <v>0</v>
      </c>
      <c r="W2020" s="347">
        <v>0</v>
      </c>
      <c r="X2020" s="14" t="s">
        <v>12</v>
      </c>
      <c r="Y2020" s="346" t="s">
        <v>416</v>
      </c>
      <c r="Z2020" s="14" t="str">
        <f>IF(ISBLANK(LCI_Table[[#This Row],[Notes for user]])," ",LCI_Table[[#This Row],[Notes for user]])</f>
        <v xml:space="preserve"> </v>
      </c>
      <c r="AA2020" s="14"/>
      <c r="AB2020" s="14"/>
      <c r="AC2020" s="346">
        <f ca="1">LCI_Table[[#This Row],[Default Calculated Value]]-LCI_Table[[#This Row],[Calculated Value]]</f>
        <v>0</v>
      </c>
    </row>
    <row r="2021" spans="1:29" x14ac:dyDescent="0.3">
      <c r="A20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SugarcaneATJ-ethanolICAOCTBE(blank)_Sugarcane_ETJ_Corn_steep_liquorCorn steep liquor</v>
      </c>
      <c r="B2021" s="14" t="s">
        <v>447</v>
      </c>
      <c r="C2021" s="14" t="s">
        <v>1964</v>
      </c>
      <c r="D2021" s="14" t="s">
        <v>194</v>
      </c>
      <c r="E2021" s="14" t="s">
        <v>882</v>
      </c>
      <c r="F2021" s="48" t="s">
        <v>31</v>
      </c>
      <c r="G2021" s="14" t="b">
        <f>OR(LCI_Table[[#This Row],[Feedstock]]="All",LCI_Table[[#This Row],[Feedstock]]=SelectedFeedstock)</f>
        <v>0</v>
      </c>
      <c r="H2021" s="14" t="b">
        <f>OR(LCI_Table[[#This Row],[Conversion]]="All",LCI_Table[[#This Row],[Conversion]]=SelectedConversion)</f>
        <v>0</v>
      </c>
      <c r="I2021" s="14" t="b">
        <f>OR(LCI_Table[[#This Row],[Data Set]]="all",LCI_Table[[#This Row],[Data Set]]=SelectedDataSet)</f>
        <v>0</v>
      </c>
      <c r="J2021" s="14" t="b">
        <f>OR(LCI_Table[[#This Row],[Technology]]="All",LCI_Table[[#This Row],[Technology]]=SelectedTechnology)</f>
        <v>1</v>
      </c>
      <c r="K2021" s="14" t="b">
        <f>OR(LCI_Table[[#This Row],[Data Source]]="All",LCI_Table[[#This Row],[Data Source]]=SelectedDataSource)</f>
        <v>0</v>
      </c>
      <c r="L2021" s="14" t="b">
        <f>TRUE</f>
        <v>1</v>
      </c>
      <c r="M2021" s="14" t="b">
        <f>(LCI_Table[[#This Row],[Dev Notes]]="Do not display")</f>
        <v>0</v>
      </c>
      <c r="N2021" s="14" t="b">
        <f>AND(LCI_Table[[#This Row],[Show Feedstock]:[Conditional]],NOT(LCI_Table[[#This Row],[Hide Row]]))</f>
        <v>0</v>
      </c>
      <c r="O2021" s="14" t="b">
        <f>LCI_Table[[#This Row],[GREET1 Name Range]]=""</f>
        <v>0</v>
      </c>
      <c r="P2021" s="14" t="s">
        <v>1448</v>
      </c>
      <c r="Q2021" s="14" t="s">
        <v>988</v>
      </c>
      <c r="R2021" s="14" t="s">
        <v>386</v>
      </c>
      <c r="S2021" s="37" cm="1">
        <f t="array" aca="1" ref="S20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21" s="346" t="s">
        <v>2119</v>
      </c>
      <c r="U2021" s="347">
        <f t="shared" ref="U2021" ca="1" si="135">S2021*lb2kg*MJ2mmBTU</f>
        <v>0</v>
      </c>
      <c r="V2021" s="347">
        <v>0</v>
      </c>
      <c r="W2021" s="347">
        <v>0</v>
      </c>
      <c r="X2021" s="14" t="s">
        <v>12</v>
      </c>
      <c r="Y2021" s="346" t="s">
        <v>416</v>
      </c>
      <c r="Z2021" s="14" t="str">
        <f>IF(ISBLANK(LCI_Table[[#This Row],[Notes for user]])," ",LCI_Table[[#This Row],[Notes for user]])</f>
        <v xml:space="preserve"> </v>
      </c>
      <c r="AA2021" s="14"/>
      <c r="AB2021" s="14"/>
      <c r="AC2021" s="346">
        <f ca="1">LCI_Table[[#This Row],[Default Calculated Value]]-LCI_Table[[#This Row],[Calculated Value]]</f>
        <v>0</v>
      </c>
    </row>
    <row r="2022" spans="1:29" x14ac:dyDescent="0.3">
      <c r="A20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SugarcaneATJ-ethanolICAOCTBE(blank)_Sugarcane_ETJ_DAPDAP</v>
      </c>
      <c r="B2022" s="14" t="s">
        <v>447</v>
      </c>
      <c r="C2022" s="14" t="s">
        <v>1964</v>
      </c>
      <c r="D2022" s="14" t="s">
        <v>194</v>
      </c>
      <c r="E2022" s="14" t="s">
        <v>882</v>
      </c>
      <c r="F2022" s="48" t="s">
        <v>31</v>
      </c>
      <c r="G2022" s="14" t="b">
        <f>OR(LCI_Table[[#This Row],[Feedstock]]="All",LCI_Table[[#This Row],[Feedstock]]=SelectedFeedstock)</f>
        <v>0</v>
      </c>
      <c r="H2022" s="14" t="b">
        <f>OR(LCI_Table[[#This Row],[Conversion]]="All",LCI_Table[[#This Row],[Conversion]]=SelectedConversion)</f>
        <v>0</v>
      </c>
      <c r="I2022" s="14" t="b">
        <f>OR(LCI_Table[[#This Row],[Data Set]]="all",LCI_Table[[#This Row],[Data Set]]=SelectedDataSet)</f>
        <v>0</v>
      </c>
      <c r="J2022" s="14" t="b">
        <f>OR(LCI_Table[[#This Row],[Technology]]="All",LCI_Table[[#This Row],[Technology]]=SelectedTechnology)</f>
        <v>1</v>
      </c>
      <c r="K2022" s="14" t="b">
        <f>OR(LCI_Table[[#This Row],[Data Source]]="All",LCI_Table[[#This Row],[Data Source]]=SelectedDataSource)</f>
        <v>0</v>
      </c>
      <c r="L2022" s="14" t="b">
        <f>TRUE</f>
        <v>1</v>
      </c>
      <c r="M2022" s="14" t="b">
        <f>(LCI_Table[[#This Row],[Dev Notes]]="Do not display")</f>
        <v>0</v>
      </c>
      <c r="N2022" s="14" t="b">
        <f>AND(LCI_Table[[#This Row],[Show Feedstock]:[Conditional]],NOT(LCI_Table[[#This Row],[Hide Row]]))</f>
        <v>0</v>
      </c>
      <c r="O2022" s="14" t="b">
        <f>LCI_Table[[#This Row],[GREET1 Name Range]]=""</f>
        <v>0</v>
      </c>
      <c r="P2022" s="14" t="s">
        <v>1448</v>
      </c>
      <c r="Q2022" s="14" t="s">
        <v>989</v>
      </c>
      <c r="R2022" s="14" t="s">
        <v>383</v>
      </c>
      <c r="S2022" s="37" cm="1">
        <f t="array" aca="1" ref="S20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22" s="346" t="s">
        <v>2119</v>
      </c>
      <c r="U2022" s="347">
        <f t="shared" ref="U2022" ca="1" si="136">S2022*lb2kg*MJ2mmBTU</f>
        <v>0</v>
      </c>
      <c r="V2022" s="347">
        <v>0</v>
      </c>
      <c r="W2022" s="347">
        <v>0</v>
      </c>
      <c r="X2022" s="14" t="s">
        <v>12</v>
      </c>
      <c r="Y2022" s="346" t="s">
        <v>416</v>
      </c>
      <c r="Z2022" s="14" t="str">
        <f>IF(ISBLANK(LCI_Table[[#This Row],[Notes for user]])," ",LCI_Table[[#This Row],[Notes for user]])</f>
        <v xml:space="preserve"> </v>
      </c>
      <c r="AA2022" s="14"/>
      <c r="AB2022" s="14"/>
      <c r="AC2022" s="346">
        <f ca="1">LCI_Table[[#This Row],[Default Calculated Value]]-LCI_Table[[#This Row],[Calculated Value]]</f>
        <v>0</v>
      </c>
    </row>
    <row r="2023" spans="1:29" x14ac:dyDescent="0.3">
      <c r="A20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SugarcaneATJ-ethanolICAOCTBE(blank)_Sugarcane_ETJ_NaOHNaOH</v>
      </c>
      <c r="B2023" s="14" t="s">
        <v>447</v>
      </c>
      <c r="C2023" s="14" t="s">
        <v>1964</v>
      </c>
      <c r="D2023" s="14" t="s">
        <v>194</v>
      </c>
      <c r="E2023" s="14" t="s">
        <v>882</v>
      </c>
      <c r="F2023" s="48" t="s">
        <v>31</v>
      </c>
      <c r="G2023" s="14" t="b">
        <f>OR(LCI_Table[[#This Row],[Feedstock]]="All",LCI_Table[[#This Row],[Feedstock]]=SelectedFeedstock)</f>
        <v>0</v>
      </c>
      <c r="H2023" s="14" t="b">
        <f>OR(LCI_Table[[#This Row],[Conversion]]="All",LCI_Table[[#This Row],[Conversion]]=SelectedConversion)</f>
        <v>0</v>
      </c>
      <c r="I2023" s="14" t="b">
        <f>OR(LCI_Table[[#This Row],[Data Set]]="all",LCI_Table[[#This Row],[Data Set]]=SelectedDataSet)</f>
        <v>0</v>
      </c>
      <c r="J2023" s="14" t="b">
        <f>OR(LCI_Table[[#This Row],[Technology]]="All",LCI_Table[[#This Row],[Technology]]=SelectedTechnology)</f>
        <v>1</v>
      </c>
      <c r="K2023" s="14" t="b">
        <f>OR(LCI_Table[[#This Row],[Data Source]]="All",LCI_Table[[#This Row],[Data Source]]=SelectedDataSource)</f>
        <v>0</v>
      </c>
      <c r="L2023" s="14" t="b">
        <f>TRUE</f>
        <v>1</v>
      </c>
      <c r="M2023" s="14" t="b">
        <f>(LCI_Table[[#This Row],[Dev Notes]]="Do not display")</f>
        <v>0</v>
      </c>
      <c r="N2023" s="14" t="b">
        <f>AND(LCI_Table[[#This Row],[Show Feedstock]:[Conditional]],NOT(LCI_Table[[#This Row],[Hide Row]]))</f>
        <v>0</v>
      </c>
      <c r="O2023" s="14" t="b">
        <f>LCI_Table[[#This Row],[GREET1 Name Range]]=""</f>
        <v>0</v>
      </c>
      <c r="P2023" s="14" t="s">
        <v>1448</v>
      </c>
      <c r="Q2023" s="14" t="s">
        <v>1392</v>
      </c>
      <c r="R2023" s="14" t="s">
        <v>403</v>
      </c>
      <c r="S2023" s="37" cm="1">
        <f t="array" aca="1" ref="S20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23" s="346" t="s">
        <v>2119</v>
      </c>
      <c r="U2023" s="347">
        <f t="shared" ref="U2023" ca="1" si="137">S2023*lb2kg*MJ2mmBTU</f>
        <v>0</v>
      </c>
      <c r="V2023" s="347">
        <v>0</v>
      </c>
      <c r="W2023" s="347">
        <v>0</v>
      </c>
      <c r="X2023" s="14" t="s">
        <v>12</v>
      </c>
      <c r="Y2023" s="346" t="s">
        <v>416</v>
      </c>
      <c r="Z2023" s="14" t="str">
        <f>IF(ISBLANK(LCI_Table[[#This Row],[Notes for user]])," ",LCI_Table[[#This Row],[Notes for user]])</f>
        <v xml:space="preserve"> </v>
      </c>
      <c r="AA2023" s="14"/>
      <c r="AB2023" s="14"/>
      <c r="AC2023" s="346">
        <f ca="1">LCI_Table[[#This Row],[Default Calculated Value]]-LCI_Table[[#This Row],[Calculated Value]]</f>
        <v>0</v>
      </c>
    </row>
    <row r="2024" spans="1:29" x14ac:dyDescent="0.3">
      <c r="A20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SugarcaneATJ-ethanolICAOCTBE(blank)_Sugarcane_ETJ_Quicklime_CaOQuicklime (CaO)</v>
      </c>
      <c r="B2024" s="14" t="s">
        <v>447</v>
      </c>
      <c r="C2024" s="14" t="s">
        <v>1964</v>
      </c>
      <c r="D2024" s="14" t="s">
        <v>194</v>
      </c>
      <c r="E2024" s="14" t="s">
        <v>882</v>
      </c>
      <c r="F2024" s="48" t="s">
        <v>31</v>
      </c>
      <c r="G2024" s="14" t="b">
        <f>OR(LCI_Table[[#This Row],[Feedstock]]="All",LCI_Table[[#This Row],[Feedstock]]=SelectedFeedstock)</f>
        <v>0</v>
      </c>
      <c r="H2024" s="14" t="b">
        <f>OR(LCI_Table[[#This Row],[Conversion]]="All",LCI_Table[[#This Row],[Conversion]]=SelectedConversion)</f>
        <v>0</v>
      </c>
      <c r="I2024" s="14" t="b">
        <f>OR(LCI_Table[[#This Row],[Data Set]]="all",LCI_Table[[#This Row],[Data Set]]=SelectedDataSet)</f>
        <v>0</v>
      </c>
      <c r="J2024" s="14" t="b">
        <f>OR(LCI_Table[[#This Row],[Technology]]="All",LCI_Table[[#This Row],[Technology]]=SelectedTechnology)</f>
        <v>1</v>
      </c>
      <c r="K2024" s="14" t="b">
        <f>OR(LCI_Table[[#This Row],[Data Source]]="All",LCI_Table[[#This Row],[Data Source]]=SelectedDataSource)</f>
        <v>0</v>
      </c>
      <c r="L2024" s="14" t="b">
        <f>TRUE</f>
        <v>1</v>
      </c>
      <c r="M2024" s="14" t="b">
        <f>(LCI_Table[[#This Row],[Dev Notes]]="Do not display")</f>
        <v>0</v>
      </c>
      <c r="N2024" s="14" t="b">
        <f>AND(LCI_Table[[#This Row],[Show Feedstock]:[Conditional]],NOT(LCI_Table[[#This Row],[Hide Row]]))</f>
        <v>0</v>
      </c>
      <c r="O2024" s="14" t="b">
        <f>LCI_Table[[#This Row],[GREET1 Name Range]]=""</f>
        <v>0</v>
      </c>
      <c r="P2024" s="14" t="s">
        <v>1448</v>
      </c>
      <c r="Q2024" s="14" t="s">
        <v>990</v>
      </c>
      <c r="R2024" s="14" t="s">
        <v>404</v>
      </c>
      <c r="S2024" s="37" cm="1">
        <f t="array" aca="1" ref="S20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1.8073019955119654</v>
      </c>
      <c r="T2024" s="346" t="s">
        <v>2119</v>
      </c>
      <c r="U2024" s="347">
        <f t="shared" ref="U2024" ca="1" si="138">S2024*lb2kg*MJ2mmBTU</f>
        <v>7.7700000000000165E-4</v>
      </c>
      <c r="V2024" s="347">
        <v>1.8073019955119654</v>
      </c>
      <c r="W2024" s="347">
        <v>7.7700000000000165E-4</v>
      </c>
      <c r="X2024" s="14" t="s">
        <v>12</v>
      </c>
      <c r="Y2024" s="346" t="s">
        <v>416</v>
      </c>
      <c r="Z2024" s="14" t="str">
        <f>IF(ISBLANK(LCI_Table[[#This Row],[Notes for user]])," ",LCI_Table[[#This Row],[Notes for user]])</f>
        <v xml:space="preserve"> </v>
      </c>
      <c r="AA2024" s="14"/>
      <c r="AB2024" s="14"/>
      <c r="AC2024" s="346">
        <f ca="1">LCI_Table[[#This Row],[Default Calculated Value]]-LCI_Table[[#This Row],[Calculated Value]]</f>
        <v>0</v>
      </c>
    </row>
    <row r="2025" spans="1:29" x14ac:dyDescent="0.3">
      <c r="A20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SugarcaneATJ-ethanolICAOCTBE(blank)_Sugarcane_ETJ_UreaUrea</v>
      </c>
      <c r="B2025" s="14" t="s">
        <v>447</v>
      </c>
      <c r="C2025" s="14" t="s">
        <v>1964</v>
      </c>
      <c r="D2025" s="14" t="s">
        <v>194</v>
      </c>
      <c r="E2025" s="14" t="s">
        <v>882</v>
      </c>
      <c r="F2025" s="48" t="s">
        <v>31</v>
      </c>
      <c r="G2025" s="14" t="b">
        <f>OR(LCI_Table[[#This Row],[Feedstock]]="All",LCI_Table[[#This Row],[Feedstock]]=SelectedFeedstock)</f>
        <v>0</v>
      </c>
      <c r="H2025" s="14" t="b">
        <f>OR(LCI_Table[[#This Row],[Conversion]]="All",LCI_Table[[#This Row],[Conversion]]=SelectedConversion)</f>
        <v>0</v>
      </c>
      <c r="I2025" s="14" t="b">
        <f>OR(LCI_Table[[#This Row],[Data Set]]="all",LCI_Table[[#This Row],[Data Set]]=SelectedDataSet)</f>
        <v>0</v>
      </c>
      <c r="J2025" s="14" t="b">
        <f>OR(LCI_Table[[#This Row],[Technology]]="All",LCI_Table[[#This Row],[Technology]]=SelectedTechnology)</f>
        <v>1</v>
      </c>
      <c r="K2025" s="14" t="b">
        <f>OR(LCI_Table[[#This Row],[Data Source]]="All",LCI_Table[[#This Row],[Data Source]]=SelectedDataSource)</f>
        <v>0</v>
      </c>
      <c r="L2025" s="14" t="b">
        <f>TRUE</f>
        <v>1</v>
      </c>
      <c r="M2025" s="14" t="b">
        <f>(LCI_Table[[#This Row],[Dev Notes]]="Do not display")</f>
        <v>0</v>
      </c>
      <c r="N2025" s="14" t="b">
        <f>AND(LCI_Table[[#This Row],[Show Feedstock]:[Conditional]],NOT(LCI_Table[[#This Row],[Hide Row]]))</f>
        <v>0</v>
      </c>
      <c r="O2025" s="14" t="b">
        <f>LCI_Table[[#This Row],[GREET1 Name Range]]=""</f>
        <v>0</v>
      </c>
      <c r="P2025" s="14" t="s">
        <v>1448</v>
      </c>
      <c r="Q2025" s="14" t="s">
        <v>991</v>
      </c>
      <c r="R2025" s="14" t="s">
        <v>144</v>
      </c>
      <c r="S2025" s="37" cm="1">
        <f t="array" aca="1" ref="S20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25" s="346" t="s">
        <v>2119</v>
      </c>
      <c r="U2025" s="347">
        <f t="shared" ref="U2025" ca="1" si="139">S2025*lb2kg*MJ2mmBTU</f>
        <v>0</v>
      </c>
      <c r="V2025" s="347">
        <v>0</v>
      </c>
      <c r="W2025" s="347">
        <v>0</v>
      </c>
      <c r="X2025" s="14" t="s">
        <v>12</v>
      </c>
      <c r="Y2025" s="346" t="s">
        <v>416</v>
      </c>
      <c r="Z2025" s="14" t="str">
        <f>IF(ISBLANK(LCI_Table[[#This Row],[Notes for user]])," ",LCI_Table[[#This Row],[Notes for user]])</f>
        <v xml:space="preserve"> </v>
      </c>
      <c r="AA2025" s="14"/>
      <c r="AB2025" s="14"/>
      <c r="AC2025" s="346">
        <f ca="1">LCI_Table[[#This Row],[Default Calculated Value]]-LCI_Table[[#This Row],[Calculated Value]]</f>
        <v>0</v>
      </c>
    </row>
    <row r="2026" spans="1:29" x14ac:dyDescent="0.3">
      <c r="A20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SugarcaneATJ-ethanolICAOCTBE(blank)_Sugarcane_ETJ_HydrogenHydrogen</v>
      </c>
      <c r="B2026" s="14" t="s">
        <v>447</v>
      </c>
      <c r="C2026" s="358" t="s">
        <v>1964</v>
      </c>
      <c r="D2026" s="358" t="s">
        <v>194</v>
      </c>
      <c r="E2026" s="14" t="s">
        <v>882</v>
      </c>
      <c r="F2026" s="48" t="s">
        <v>31</v>
      </c>
      <c r="G2026" s="14" t="b">
        <f>OR(LCI_Table[[#This Row],[Feedstock]]="All",LCI_Table[[#This Row],[Feedstock]]=SelectedFeedstock)</f>
        <v>0</v>
      </c>
      <c r="H2026" s="14" t="b">
        <f>OR(LCI_Table[[#This Row],[Conversion]]="All",LCI_Table[[#This Row],[Conversion]]=SelectedConversion)</f>
        <v>0</v>
      </c>
      <c r="I2026" s="14" t="b">
        <f>OR(LCI_Table[[#This Row],[Data Set]]="all",LCI_Table[[#This Row],[Data Set]]=SelectedDataSet)</f>
        <v>0</v>
      </c>
      <c r="J2026" s="14" t="b">
        <f>OR(LCI_Table[[#This Row],[Technology]]="All",LCI_Table[[#This Row],[Technology]]=SelectedTechnology)</f>
        <v>1</v>
      </c>
      <c r="K2026" s="14" t="b">
        <f>OR(LCI_Table[[#This Row],[Data Source]]="All",LCI_Table[[#This Row],[Data Source]]=SelectedDataSource)</f>
        <v>0</v>
      </c>
      <c r="L2026" s="14" t="b">
        <f>TRUE</f>
        <v>1</v>
      </c>
      <c r="M2026" s="14" t="b">
        <f>(LCI_Table[[#This Row],[Dev Notes]]="Do not display")</f>
        <v>0</v>
      </c>
      <c r="N2026" s="14" t="b">
        <f>AND(LCI_Table[[#This Row],[Show Feedstock]:[Conditional]],NOT(LCI_Table[[#This Row],[Hide Row]]))</f>
        <v>0</v>
      </c>
      <c r="O2026" s="14" t="b">
        <f>LCI_Table[[#This Row],[GREET1 Name Range]]=""</f>
        <v>0</v>
      </c>
      <c r="P2026" s="358" t="s">
        <v>1448</v>
      </c>
      <c r="Q2026" s="14" t="s">
        <v>992</v>
      </c>
      <c r="R2026" s="358" t="s">
        <v>73</v>
      </c>
      <c r="S2026" s="37" cm="1">
        <f t="array" aca="1" ref="S20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379.31034482758622</v>
      </c>
      <c r="T2026" s="346" t="s">
        <v>2120</v>
      </c>
      <c r="U2026" s="362">
        <f ca="1">S2026*Fuel_Specs!$E$81*g2kg/mmBTU2MJ</f>
        <v>9.167679410624043E-4</v>
      </c>
      <c r="V2026" s="359">
        <v>379.31034482758622</v>
      </c>
      <c r="W2026" s="359">
        <v>9.167679410624043E-4</v>
      </c>
      <c r="X2026" s="360" t="s">
        <v>351</v>
      </c>
      <c r="Y2026" s="346" t="s">
        <v>416</v>
      </c>
      <c r="Z2026" s="14" t="str">
        <f>IF(ISBLANK(LCI_Table[[#This Row],[Notes for user]])," ",LCI_Table[[#This Row],[Notes for user]])</f>
        <v xml:space="preserve"> </v>
      </c>
      <c r="AA2026" s="14"/>
      <c r="AB2026" s="358"/>
      <c r="AC2026" s="346">
        <f ca="1">LCI_Table[[#This Row],[Default Calculated Value]]-LCI_Table[[#This Row],[Calculated Value]]</f>
        <v>0</v>
      </c>
    </row>
    <row r="2027" spans="1:29" x14ac:dyDescent="0.3">
      <c r="A20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SugarcaneATJ-ethanolICAOCTBE(blank)_Sugarcane_ETJ_Natural_gasNatural gas</v>
      </c>
      <c r="B2027" s="14" t="s">
        <v>447</v>
      </c>
      <c r="C2027" s="14" t="s">
        <v>1964</v>
      </c>
      <c r="D2027" s="14" t="s">
        <v>194</v>
      </c>
      <c r="E2027" s="14" t="s">
        <v>882</v>
      </c>
      <c r="F2027" s="48" t="s">
        <v>31</v>
      </c>
      <c r="G2027" s="14" t="b">
        <f>OR(LCI_Table[[#This Row],[Feedstock]]="All",LCI_Table[[#This Row],[Feedstock]]=SelectedFeedstock)</f>
        <v>0</v>
      </c>
      <c r="H2027" s="14" t="b">
        <f>OR(LCI_Table[[#This Row],[Conversion]]="All",LCI_Table[[#This Row],[Conversion]]=SelectedConversion)</f>
        <v>0</v>
      </c>
      <c r="I2027" s="14" t="b">
        <f>OR(LCI_Table[[#This Row],[Data Set]]="all",LCI_Table[[#This Row],[Data Set]]=SelectedDataSet)</f>
        <v>0</v>
      </c>
      <c r="J2027" s="14" t="b">
        <f>OR(LCI_Table[[#This Row],[Technology]]="All",LCI_Table[[#This Row],[Technology]]=SelectedTechnology)</f>
        <v>1</v>
      </c>
      <c r="K2027" s="14" t="b">
        <f>OR(LCI_Table[[#This Row],[Data Source]]="All",LCI_Table[[#This Row],[Data Source]]=SelectedDataSource)</f>
        <v>0</v>
      </c>
      <c r="L2027" s="14" t="b">
        <f>TRUE</f>
        <v>1</v>
      </c>
      <c r="M2027" s="14" t="b">
        <f>(LCI_Table[[#This Row],[Dev Notes]]="Do not display")</f>
        <v>0</v>
      </c>
      <c r="N2027" s="14" t="b">
        <f>AND(LCI_Table[[#This Row],[Show Feedstock]:[Conditional]],NOT(LCI_Table[[#This Row],[Hide Row]]))</f>
        <v>0</v>
      </c>
      <c r="O2027" s="14" t="b">
        <f>LCI_Table[[#This Row],[GREET1 Name Range]]=""</f>
        <v>0</v>
      </c>
      <c r="P2027" s="14" t="s">
        <v>1448</v>
      </c>
      <c r="Q2027" s="14" t="s">
        <v>993</v>
      </c>
      <c r="R2027" s="14" t="s">
        <v>108</v>
      </c>
      <c r="S2027" s="37" cm="1">
        <f t="array" aca="1" ref="S20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27" s="346" t="s">
        <v>2120</v>
      </c>
      <c r="U2027" s="361">
        <f ca="1">S2027*Fuel_Specs!$E$79*g2kg/mmBTU2MJ</f>
        <v>0</v>
      </c>
      <c r="V2027" s="347">
        <v>0</v>
      </c>
      <c r="W2027" s="347">
        <v>0</v>
      </c>
      <c r="X2027" s="14" t="s">
        <v>351</v>
      </c>
      <c r="Y2027" s="346" t="s">
        <v>416</v>
      </c>
      <c r="Z2027" s="14" t="str">
        <f>IF(ISBLANK(LCI_Table[[#This Row],[Notes for user]])," ",LCI_Table[[#This Row],[Notes for user]])</f>
        <v xml:space="preserve"> </v>
      </c>
      <c r="AA2027" s="14"/>
      <c r="AB2027" s="14"/>
      <c r="AC2027" s="346">
        <f ca="1">LCI_Table[[#This Row],[Default Calculated Value]]-LCI_Table[[#This Row],[Calculated Value]]</f>
        <v>0</v>
      </c>
    </row>
    <row r="2028" spans="1:29" x14ac:dyDescent="0.3">
      <c r="A20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SugarcaneATJ-ethanolICAOCTBE(blank)_Sugarcane_ETJ_ElectricityGrid Electricity</v>
      </c>
      <c r="B2028" s="14" t="s">
        <v>447</v>
      </c>
      <c r="C2028" s="14" t="s">
        <v>1964</v>
      </c>
      <c r="D2028" s="14" t="s">
        <v>194</v>
      </c>
      <c r="E2028" s="14" t="s">
        <v>882</v>
      </c>
      <c r="F2028" s="48" t="s">
        <v>31</v>
      </c>
      <c r="G2028" s="14" t="b">
        <f>OR(LCI_Table[[#This Row],[Feedstock]]="All",LCI_Table[[#This Row],[Feedstock]]=SelectedFeedstock)</f>
        <v>0</v>
      </c>
      <c r="H2028" s="14" t="b">
        <f>OR(LCI_Table[[#This Row],[Conversion]]="All",LCI_Table[[#This Row],[Conversion]]=SelectedConversion)</f>
        <v>0</v>
      </c>
      <c r="I2028" s="14" t="b">
        <f>OR(LCI_Table[[#This Row],[Data Set]]="all",LCI_Table[[#This Row],[Data Set]]=SelectedDataSet)</f>
        <v>0</v>
      </c>
      <c r="J2028" s="14" t="b">
        <f>OR(LCI_Table[[#This Row],[Technology]]="All",LCI_Table[[#This Row],[Technology]]=SelectedTechnology)</f>
        <v>1</v>
      </c>
      <c r="K2028" s="14" t="b">
        <f>OR(LCI_Table[[#This Row],[Data Source]]="All",LCI_Table[[#This Row],[Data Source]]=SelectedDataSource)</f>
        <v>0</v>
      </c>
      <c r="L2028" s="14" t="b">
        <f>TRUE</f>
        <v>1</v>
      </c>
      <c r="M2028" s="14" t="b">
        <f>(LCI_Table[[#This Row],[Dev Notes]]="Do not display")</f>
        <v>0</v>
      </c>
      <c r="N2028" s="14" t="b">
        <f>AND(LCI_Table[[#This Row],[Show Feedstock]:[Conditional]],NOT(LCI_Table[[#This Row],[Hide Row]]))</f>
        <v>0</v>
      </c>
      <c r="O2028" s="14" t="b">
        <f>LCI_Table[[#This Row],[GREET1 Name Range]]=""</f>
        <v>0</v>
      </c>
      <c r="P2028" s="14" t="s">
        <v>1448</v>
      </c>
      <c r="Q2028" s="14" t="s">
        <v>994</v>
      </c>
      <c r="R2028" s="14" t="s">
        <v>1684</v>
      </c>
      <c r="S2028" s="37" cm="1">
        <f t="array" aca="1" ref="S20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28" s="346" t="s">
        <v>2121</v>
      </c>
      <c r="U2028" s="361">
        <f ca="1">S2028/mmBTU2MJ</f>
        <v>0</v>
      </c>
      <c r="V2028" s="347">
        <v>0</v>
      </c>
      <c r="W2028" s="347">
        <v>0</v>
      </c>
      <c r="X2028" s="37" t="s">
        <v>51</v>
      </c>
      <c r="Y2028" s="346" t="s">
        <v>416</v>
      </c>
      <c r="Z2028" s="14" t="str">
        <f>IF(ISBLANK(LCI_Table[[#This Row],[Notes for user]])," ",LCI_Table[[#This Row],[Notes for user]])</f>
        <v xml:space="preserve"> </v>
      </c>
      <c r="AA2028" s="14"/>
      <c r="AB2028" s="14"/>
      <c r="AC2028" s="346">
        <f ca="1">LCI_Table[[#This Row],[Default Calculated Value]]-LCI_Table[[#This Row],[Calculated Value]]</f>
        <v>0</v>
      </c>
    </row>
    <row r="2029" spans="1:29" x14ac:dyDescent="0.3">
      <c r="A20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SugarcaneATJ-ethanolICAOCTBE(blank)_Sugarcane_ETJ_Allocation_FactorAllocation factor</v>
      </c>
      <c r="B2029" s="14" t="s">
        <v>447</v>
      </c>
      <c r="C2029" s="14" t="s">
        <v>1964</v>
      </c>
      <c r="D2029" s="14" t="s">
        <v>194</v>
      </c>
      <c r="E2029" s="14" t="s">
        <v>882</v>
      </c>
      <c r="F2029" s="48" t="s">
        <v>31</v>
      </c>
      <c r="G2029" s="14" t="b">
        <f>OR(LCI_Table[[#This Row],[Feedstock]]="All",LCI_Table[[#This Row],[Feedstock]]=SelectedFeedstock)</f>
        <v>0</v>
      </c>
      <c r="H2029" s="14" t="b">
        <f>OR(LCI_Table[[#This Row],[Conversion]]="All",LCI_Table[[#This Row],[Conversion]]=SelectedConversion)</f>
        <v>0</v>
      </c>
      <c r="I2029" s="14" t="b">
        <f>OR(LCI_Table[[#This Row],[Data Set]]="all",LCI_Table[[#This Row],[Data Set]]=SelectedDataSet)</f>
        <v>0</v>
      </c>
      <c r="J2029" s="14" t="b">
        <f>OR(LCI_Table[[#This Row],[Technology]]="All",LCI_Table[[#This Row],[Technology]]=SelectedTechnology)</f>
        <v>1</v>
      </c>
      <c r="K2029" s="14" t="b">
        <f>OR(LCI_Table[[#This Row],[Data Source]]="All",LCI_Table[[#This Row],[Data Source]]=SelectedDataSource)</f>
        <v>0</v>
      </c>
      <c r="L2029" s="14" t="b">
        <f>TRUE</f>
        <v>1</v>
      </c>
      <c r="M2029" s="14" t="b">
        <f>(LCI_Table[[#This Row],[Dev Notes]]="Do not display")</f>
        <v>0</v>
      </c>
      <c r="N2029" s="14" t="b">
        <f>AND(LCI_Table[[#This Row],[Show Feedstock]:[Conditional]],NOT(LCI_Table[[#This Row],[Hide Row]]))</f>
        <v>0</v>
      </c>
      <c r="O2029" s="14" t="b">
        <f>LCI_Table[[#This Row],[GREET1 Name Range]]=""</f>
        <v>0</v>
      </c>
      <c r="P2029" s="14" t="s">
        <v>1448</v>
      </c>
      <c r="Q2029" s="14" t="s">
        <v>1124</v>
      </c>
      <c r="R2029" s="14" t="s">
        <v>1344</v>
      </c>
      <c r="S2029" s="37" cm="1">
        <f t="array" aca="1" ref="S20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46.926325668700137</v>
      </c>
      <c r="T2029" s="346" t="s">
        <v>1345</v>
      </c>
      <c r="U2029" s="347">
        <f ca="1">S2029/100</f>
        <v>0.46926325668700136</v>
      </c>
      <c r="V2029" s="347">
        <v>46.926325668700137</v>
      </c>
      <c r="W2029" s="347">
        <v>0.46926325668700136</v>
      </c>
      <c r="X2029" s="37"/>
      <c r="Y2029" s="346"/>
      <c r="Z2029" s="14" t="str">
        <f>IF(ISBLANK(LCI_Table[[#This Row],[Notes for user]])," ",LCI_Table[[#This Row],[Notes for user]])</f>
        <v xml:space="preserve"> </v>
      </c>
      <c r="AA2029" s="14"/>
      <c r="AB2029" s="14"/>
      <c r="AC2029" s="346">
        <f ca="1">LCI_Table[[#This Row],[Default Calculated Value]]-LCI_Table[[#This Row],[Calculated Value]]</f>
        <v>0</v>
      </c>
    </row>
    <row r="2030" spans="1:29" x14ac:dyDescent="0.3">
      <c r="A20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dash_SugarcaneSIPICAOMIT(blank)_Yield_Farming</v>
      </c>
      <c r="B2030" s="48" t="s">
        <v>447</v>
      </c>
      <c r="C2030" s="48" t="s">
        <v>448</v>
      </c>
      <c r="D2030" s="48" t="s">
        <v>194</v>
      </c>
      <c r="E2030" s="48" t="s">
        <v>377</v>
      </c>
      <c r="F2030" s="48" t="s">
        <v>31</v>
      </c>
      <c r="G2030" s="14" t="b">
        <f>OR(LCI_Table[[#This Row],[Feedstock]]="All",LCI_Table[[#This Row],[Feedstock]]=SelectedFeedstock)</f>
        <v>0</v>
      </c>
      <c r="H2030" s="14" t="b">
        <f>OR(LCI_Table[[#This Row],[Conversion]]="All",LCI_Table[[#This Row],[Conversion]]=SelectedConversion)</f>
        <v>0</v>
      </c>
      <c r="I2030" s="14" t="b">
        <f>OR(LCI_Table[[#This Row],[Data Set]]="all",LCI_Table[[#This Row],[Data Set]]=SelectedDataSet)</f>
        <v>0</v>
      </c>
      <c r="J2030" s="14" t="b">
        <f>OR(LCI_Table[[#This Row],[Technology]]="All",LCI_Table[[#This Row],[Technology]]=SelectedTechnology)</f>
        <v>1</v>
      </c>
      <c r="K2030" s="14" t="b">
        <f>OR(LCI_Table[[#This Row],[Data Source]]="All",LCI_Table[[#This Row],[Data Source]]=SelectedDataSource)</f>
        <v>0</v>
      </c>
      <c r="L2030" s="14" t="b">
        <f>TRUE</f>
        <v>1</v>
      </c>
      <c r="M2030" s="14" t="b">
        <f>(LCI_Table[[#This Row],[Dev Notes]]="Do not display")</f>
        <v>0</v>
      </c>
      <c r="N2030" s="14" t="b">
        <f>AND(LCI_Table[[#This Row],[Show Feedstock]:[Conditional]],NOT(LCI_Table[[#This Row],[Hide Row]]))</f>
        <v>0</v>
      </c>
      <c r="O2030" s="14" t="b">
        <f>LCI_Table[[#This Row],[GREET1 Name Range]]=""</f>
        <v>1</v>
      </c>
      <c r="P2030" s="48" t="s">
        <v>14</v>
      </c>
      <c r="Q2030" s="14" t="s">
        <v>361</v>
      </c>
      <c r="R2030" s="48" t="s">
        <v>200</v>
      </c>
      <c r="S2030" s="37" cm="1">
        <f t="array" aca="1" ref="S20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38.676024628050598</v>
      </c>
      <c r="T2030" s="346" t="s">
        <v>2116</v>
      </c>
      <c r="U2030" s="344"/>
      <c r="V2030" s="344">
        <v>38.676024628050598</v>
      </c>
      <c r="W2030" s="344"/>
      <c r="X2030" s="48" t="s">
        <v>55</v>
      </c>
      <c r="Y2030" s="346" t="s">
        <v>413</v>
      </c>
      <c r="Z2030" s="14" t="str">
        <f>IF(ISBLANK(LCI_Table[[#This Row],[Notes for user]])," ",LCI_Table[[#This Row],[Notes for user]])</f>
        <v xml:space="preserve"> </v>
      </c>
      <c r="AA2030" s="48"/>
      <c r="AB2030" s="345" t="s">
        <v>923</v>
      </c>
      <c r="AC2030" s="346">
        <f>LCI_Table[[#This Row],[Default Calculated Value]]-LCI_Table[[#This Row],[Calculated Value]]</f>
        <v>0</v>
      </c>
    </row>
    <row r="2031" spans="1:29" x14ac:dyDescent="0.3">
      <c r="A20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SugarcaneSIPICAOMIT(blank)_Sugarcane_Nitrogen_fertilizerNitrogen fertilizer</v>
      </c>
      <c r="B2031" s="14" t="s">
        <v>447</v>
      </c>
      <c r="C2031" s="14" t="s">
        <v>448</v>
      </c>
      <c r="D2031" s="14" t="s">
        <v>194</v>
      </c>
      <c r="E2031" s="14" t="s">
        <v>377</v>
      </c>
      <c r="F2031" s="48" t="s">
        <v>31</v>
      </c>
      <c r="G2031" s="14" t="b">
        <f>OR(LCI_Table[[#This Row],[Feedstock]]="All",LCI_Table[[#This Row],[Feedstock]]=SelectedFeedstock)</f>
        <v>0</v>
      </c>
      <c r="H2031" s="14" t="b">
        <f>OR(LCI_Table[[#This Row],[Conversion]]="All",LCI_Table[[#This Row],[Conversion]]=SelectedConversion)</f>
        <v>0</v>
      </c>
      <c r="I2031" s="14" t="b">
        <f>OR(LCI_Table[[#This Row],[Data Set]]="all",LCI_Table[[#This Row],[Data Set]]=SelectedDataSet)</f>
        <v>0</v>
      </c>
      <c r="J2031" s="14" t="b">
        <f>OR(LCI_Table[[#This Row],[Technology]]="All",LCI_Table[[#This Row],[Technology]]=SelectedTechnology)</f>
        <v>1</v>
      </c>
      <c r="K2031" s="14" t="b">
        <f>OR(LCI_Table[[#This Row],[Data Source]]="All",LCI_Table[[#This Row],[Data Source]]=SelectedDataSource)</f>
        <v>0</v>
      </c>
      <c r="L2031" s="14" t="b">
        <f>TRUE</f>
        <v>1</v>
      </c>
      <c r="M2031" s="14" t="b">
        <f>(LCI_Table[[#This Row],[Dev Notes]]="Do not display")</f>
        <v>0</v>
      </c>
      <c r="N2031" s="14" t="b">
        <f>AND(LCI_Table[[#This Row],[Show Feedstock]:[Conditional]],NOT(LCI_Table[[#This Row],[Hide Row]]))</f>
        <v>0</v>
      </c>
      <c r="O2031" s="14" t="b">
        <f>LCI_Table[[#This Row],[GREET1 Name Range]]=""</f>
        <v>0</v>
      </c>
      <c r="P2031" s="14" t="s">
        <v>14</v>
      </c>
      <c r="Q2031" s="14" t="s">
        <v>968</v>
      </c>
      <c r="R2031" s="14" t="s">
        <v>111</v>
      </c>
      <c r="S2031" s="37" cm="1">
        <f t="array" aca="1" ref="S20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71.93740580817412</v>
      </c>
      <c r="T2031" s="346" t="s">
        <v>1485</v>
      </c>
      <c r="U2031" s="347">
        <f t="shared" ref="U2031:U2036" ca="1" si="140">S2031/$S$2030*lb2g/ton2MT</f>
        <v>930</v>
      </c>
      <c r="V2031" s="347">
        <v>71.93740580817412</v>
      </c>
      <c r="W2031" s="347">
        <v>930</v>
      </c>
      <c r="X2031" s="14" t="s">
        <v>12</v>
      </c>
      <c r="Y2031" s="346" t="s">
        <v>413</v>
      </c>
      <c r="Z2031" s="14" t="str">
        <f>IF(ISBLANK(LCI_Table[[#This Row],[Notes for user]])," ",LCI_Table[[#This Row],[Notes for user]])</f>
        <v xml:space="preserve"> </v>
      </c>
      <c r="AA2031" s="14"/>
      <c r="AB2031" s="14"/>
      <c r="AC2031" s="346">
        <f ca="1">LCI_Table[[#This Row],[Default Calculated Value]]-LCI_Table[[#This Row],[Calculated Value]]</f>
        <v>0</v>
      </c>
    </row>
    <row r="2032" spans="1:29" x14ac:dyDescent="0.3">
      <c r="A20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SugarcaneSIPICAOMIT(blank)_Sugarcane_P2O5P2O5</v>
      </c>
      <c r="B2032" s="14" t="s">
        <v>447</v>
      </c>
      <c r="C2032" s="14" t="s">
        <v>448</v>
      </c>
      <c r="D2032" s="14" t="s">
        <v>194</v>
      </c>
      <c r="E2032" s="14" t="s">
        <v>377</v>
      </c>
      <c r="F2032" s="48" t="s">
        <v>31</v>
      </c>
      <c r="G2032" s="14" t="b">
        <f>OR(LCI_Table[[#This Row],[Feedstock]]="All",LCI_Table[[#This Row],[Feedstock]]=SelectedFeedstock)</f>
        <v>0</v>
      </c>
      <c r="H2032" s="14" t="b">
        <f>OR(LCI_Table[[#This Row],[Conversion]]="All",LCI_Table[[#This Row],[Conversion]]=SelectedConversion)</f>
        <v>0</v>
      </c>
      <c r="I2032" s="14" t="b">
        <f>OR(LCI_Table[[#This Row],[Data Set]]="all",LCI_Table[[#This Row],[Data Set]]=SelectedDataSet)</f>
        <v>0</v>
      </c>
      <c r="J2032" s="14" t="b">
        <f>OR(LCI_Table[[#This Row],[Technology]]="All",LCI_Table[[#This Row],[Technology]]=SelectedTechnology)</f>
        <v>1</v>
      </c>
      <c r="K2032" s="14" t="b">
        <f>OR(LCI_Table[[#This Row],[Data Source]]="All",LCI_Table[[#This Row],[Data Source]]=SelectedDataSource)</f>
        <v>0</v>
      </c>
      <c r="L2032" s="14" t="b">
        <f>TRUE</f>
        <v>1</v>
      </c>
      <c r="M2032" s="14" t="b">
        <f>(LCI_Table[[#This Row],[Dev Notes]]="Do not display")</f>
        <v>0</v>
      </c>
      <c r="N2032" s="14" t="b">
        <f>AND(LCI_Table[[#This Row],[Show Feedstock]:[Conditional]],NOT(LCI_Table[[#This Row],[Hide Row]]))</f>
        <v>0</v>
      </c>
      <c r="O2032" s="14" t="b">
        <f>LCI_Table[[#This Row],[GREET1 Name Range]]=""</f>
        <v>0</v>
      </c>
      <c r="P2032" s="14" t="s">
        <v>14</v>
      </c>
      <c r="Q2032" s="14" t="s">
        <v>969</v>
      </c>
      <c r="R2032" s="14" t="s">
        <v>112</v>
      </c>
      <c r="S2032" s="37" cm="1">
        <f t="array" aca="1" ref="S20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24.752655761952383</v>
      </c>
      <c r="T2032" s="346" t="s">
        <v>1485</v>
      </c>
      <c r="U2032" s="347">
        <f t="shared" ca="1" si="140"/>
        <v>320</v>
      </c>
      <c r="V2032" s="347">
        <v>24.752655761952383</v>
      </c>
      <c r="W2032" s="347">
        <v>320</v>
      </c>
      <c r="X2032" s="14" t="s">
        <v>12</v>
      </c>
      <c r="Y2032" s="346" t="s">
        <v>413</v>
      </c>
      <c r="Z2032" s="14" t="str">
        <f>IF(ISBLANK(LCI_Table[[#This Row],[Notes for user]])," ",LCI_Table[[#This Row],[Notes for user]])</f>
        <v xml:space="preserve"> </v>
      </c>
      <c r="AA2032" s="14"/>
      <c r="AB2032" s="14"/>
      <c r="AC2032" s="346">
        <f ca="1">LCI_Table[[#This Row],[Default Calculated Value]]-LCI_Table[[#This Row],[Calculated Value]]</f>
        <v>0</v>
      </c>
    </row>
    <row r="2033" spans="1:29" x14ac:dyDescent="0.3">
      <c r="A20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SugarcaneSIPICAOMIT(blank)_Sugarcane_K2OK2O</v>
      </c>
      <c r="B2033" s="14" t="s">
        <v>447</v>
      </c>
      <c r="C2033" s="14" t="s">
        <v>448</v>
      </c>
      <c r="D2033" s="14" t="s">
        <v>194</v>
      </c>
      <c r="E2033" s="14" t="s">
        <v>377</v>
      </c>
      <c r="F2033" s="48" t="s">
        <v>31</v>
      </c>
      <c r="G2033" s="14" t="b">
        <f>OR(LCI_Table[[#This Row],[Feedstock]]="All",LCI_Table[[#This Row],[Feedstock]]=SelectedFeedstock)</f>
        <v>0</v>
      </c>
      <c r="H2033" s="14" t="b">
        <f>OR(LCI_Table[[#This Row],[Conversion]]="All",LCI_Table[[#This Row],[Conversion]]=SelectedConversion)</f>
        <v>0</v>
      </c>
      <c r="I2033" s="14" t="b">
        <f>OR(LCI_Table[[#This Row],[Data Set]]="all",LCI_Table[[#This Row],[Data Set]]=SelectedDataSet)</f>
        <v>0</v>
      </c>
      <c r="J2033" s="14" t="b">
        <f>OR(LCI_Table[[#This Row],[Technology]]="All",LCI_Table[[#This Row],[Technology]]=SelectedTechnology)</f>
        <v>1</v>
      </c>
      <c r="K2033" s="14" t="b">
        <f>OR(LCI_Table[[#This Row],[Data Source]]="All",LCI_Table[[#This Row],[Data Source]]=SelectedDataSource)</f>
        <v>0</v>
      </c>
      <c r="L2033" s="14" t="b">
        <f>TRUE</f>
        <v>1</v>
      </c>
      <c r="M2033" s="14" t="b">
        <f>(LCI_Table[[#This Row],[Dev Notes]]="Do not display")</f>
        <v>0</v>
      </c>
      <c r="N2033" s="14" t="b">
        <f>AND(LCI_Table[[#This Row],[Show Feedstock]:[Conditional]],NOT(LCI_Table[[#This Row],[Hide Row]]))</f>
        <v>0</v>
      </c>
      <c r="O2033" s="14" t="b">
        <f>LCI_Table[[#This Row],[GREET1 Name Range]]=""</f>
        <v>0</v>
      </c>
      <c r="P2033" s="14" t="s">
        <v>14</v>
      </c>
      <c r="Q2033" s="14" t="s">
        <v>970</v>
      </c>
      <c r="R2033" s="14" t="s">
        <v>113</v>
      </c>
      <c r="S2033" s="37" cm="1">
        <f t="array" aca="1" ref="S20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116.80159437671279</v>
      </c>
      <c r="T2033" s="346" t="s">
        <v>1485</v>
      </c>
      <c r="U2033" s="347">
        <f t="shared" ca="1" si="140"/>
        <v>1509.9999999999998</v>
      </c>
      <c r="V2033" s="347">
        <v>116.80159437671279</v>
      </c>
      <c r="W2033" s="347">
        <v>1509.9999999999998</v>
      </c>
      <c r="X2033" s="14" t="s">
        <v>12</v>
      </c>
      <c r="Y2033" s="346" t="s">
        <v>413</v>
      </c>
      <c r="Z2033" s="14" t="str">
        <f>IF(ISBLANK(LCI_Table[[#This Row],[Notes for user]])," ",LCI_Table[[#This Row],[Notes for user]])</f>
        <v xml:space="preserve"> </v>
      </c>
      <c r="AA2033" s="14"/>
      <c r="AB2033" s="14"/>
      <c r="AC2033" s="346">
        <f ca="1">LCI_Table[[#This Row],[Default Calculated Value]]-LCI_Table[[#This Row],[Calculated Value]]</f>
        <v>0</v>
      </c>
    </row>
    <row r="2034" spans="1:29" x14ac:dyDescent="0.3">
      <c r="A20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SugarcaneSIPICAOMIT(blank)_Sugarcane_CaCO3CaCO3</v>
      </c>
      <c r="B2034" s="14" t="s">
        <v>447</v>
      </c>
      <c r="C2034" s="14" t="s">
        <v>448</v>
      </c>
      <c r="D2034" s="14" t="s">
        <v>194</v>
      </c>
      <c r="E2034" s="14" t="s">
        <v>377</v>
      </c>
      <c r="F2034" s="48" t="s">
        <v>31</v>
      </c>
      <c r="G2034" s="14" t="b">
        <f>OR(LCI_Table[[#This Row],[Feedstock]]="All",LCI_Table[[#This Row],[Feedstock]]=SelectedFeedstock)</f>
        <v>0</v>
      </c>
      <c r="H2034" s="14" t="b">
        <f>OR(LCI_Table[[#This Row],[Conversion]]="All",LCI_Table[[#This Row],[Conversion]]=SelectedConversion)</f>
        <v>0</v>
      </c>
      <c r="I2034" s="14" t="b">
        <f>OR(LCI_Table[[#This Row],[Data Set]]="all",LCI_Table[[#This Row],[Data Set]]=SelectedDataSet)</f>
        <v>0</v>
      </c>
      <c r="J2034" s="14" t="b">
        <f>OR(LCI_Table[[#This Row],[Technology]]="All",LCI_Table[[#This Row],[Technology]]=SelectedTechnology)</f>
        <v>1</v>
      </c>
      <c r="K2034" s="14" t="b">
        <f>OR(LCI_Table[[#This Row],[Data Source]]="All",LCI_Table[[#This Row],[Data Source]]=SelectedDataSource)</f>
        <v>0</v>
      </c>
      <c r="L2034" s="14" t="b">
        <f>TRUE</f>
        <v>1</v>
      </c>
      <c r="M2034" s="14" t="b">
        <f>(LCI_Table[[#This Row],[Dev Notes]]="Do not display")</f>
        <v>0</v>
      </c>
      <c r="N2034" s="14" t="b">
        <f>AND(LCI_Table[[#This Row],[Show Feedstock]:[Conditional]],NOT(LCI_Table[[#This Row],[Hide Row]]))</f>
        <v>0</v>
      </c>
      <c r="O2034" s="14" t="b">
        <f>LCI_Table[[#This Row],[GREET1 Name Range]]=""</f>
        <v>0</v>
      </c>
      <c r="P2034" s="14" t="s">
        <v>14</v>
      </c>
      <c r="Q2034" s="14" t="s">
        <v>971</v>
      </c>
      <c r="R2034" s="14" t="s">
        <v>141</v>
      </c>
      <c r="S2034" s="37" cm="1">
        <f t="array" aca="1" ref="S20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402.23065613172622</v>
      </c>
      <c r="T2034" s="346" t="s">
        <v>1485</v>
      </c>
      <c r="U2034" s="347">
        <f t="shared" ca="1" si="140"/>
        <v>5200.0000000000009</v>
      </c>
      <c r="V2034" s="347">
        <v>402.23065613172622</v>
      </c>
      <c r="W2034" s="347">
        <v>5200.0000000000009</v>
      </c>
      <c r="X2034" s="14" t="s">
        <v>12</v>
      </c>
      <c r="Y2034" s="346" t="s">
        <v>413</v>
      </c>
      <c r="Z2034" s="14" t="str">
        <f>IF(ISBLANK(LCI_Table[[#This Row],[Notes for user]])," ",LCI_Table[[#This Row],[Notes for user]])</f>
        <v xml:space="preserve"> </v>
      </c>
      <c r="AA2034" s="14"/>
      <c r="AB2034" s="14" t="s">
        <v>924</v>
      </c>
      <c r="AC2034" s="346">
        <f ca="1">LCI_Table[[#This Row],[Default Calculated Value]]-LCI_Table[[#This Row],[Calculated Value]]</f>
        <v>0</v>
      </c>
    </row>
    <row r="2035" spans="1:29" x14ac:dyDescent="0.3">
      <c r="A20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SugarcaneSIPICAOMIT(blank)_Sugarcane_HerbicidesHerbicides</v>
      </c>
      <c r="B2035" s="14" t="s">
        <v>447</v>
      </c>
      <c r="C2035" s="14" t="s">
        <v>448</v>
      </c>
      <c r="D2035" s="14" t="s">
        <v>194</v>
      </c>
      <c r="E2035" s="14" t="s">
        <v>377</v>
      </c>
      <c r="F2035" s="48" t="s">
        <v>31</v>
      </c>
      <c r="G2035" s="14" t="b">
        <f>OR(LCI_Table[[#This Row],[Feedstock]]="All",LCI_Table[[#This Row],[Feedstock]]=SelectedFeedstock)</f>
        <v>0</v>
      </c>
      <c r="H2035" s="14" t="b">
        <f>OR(LCI_Table[[#This Row],[Conversion]]="All",LCI_Table[[#This Row],[Conversion]]=SelectedConversion)</f>
        <v>0</v>
      </c>
      <c r="I2035" s="14" t="b">
        <f>OR(LCI_Table[[#This Row],[Data Set]]="all",LCI_Table[[#This Row],[Data Set]]=SelectedDataSet)</f>
        <v>0</v>
      </c>
      <c r="J2035" s="14" t="b">
        <f>OR(LCI_Table[[#This Row],[Technology]]="All",LCI_Table[[#This Row],[Technology]]=SelectedTechnology)</f>
        <v>1</v>
      </c>
      <c r="K2035" s="14" t="b">
        <f>OR(LCI_Table[[#This Row],[Data Source]]="All",LCI_Table[[#This Row],[Data Source]]=SelectedDataSource)</f>
        <v>0</v>
      </c>
      <c r="L2035" s="14" t="b">
        <f>TRUE</f>
        <v>1</v>
      </c>
      <c r="M2035" s="14" t="b">
        <f>(LCI_Table[[#This Row],[Dev Notes]]="Do not display")</f>
        <v>0</v>
      </c>
      <c r="N2035" s="14" t="b">
        <f>AND(LCI_Table[[#This Row],[Show Feedstock]:[Conditional]],NOT(LCI_Table[[#This Row],[Hide Row]]))</f>
        <v>0</v>
      </c>
      <c r="O2035" s="14" t="b">
        <f>LCI_Table[[#This Row],[GREET1 Name Range]]=""</f>
        <v>0</v>
      </c>
      <c r="P2035" s="14" t="s">
        <v>14</v>
      </c>
      <c r="Q2035" s="14" t="s">
        <v>972</v>
      </c>
      <c r="R2035" s="14" t="s">
        <v>356</v>
      </c>
      <c r="S2035" s="37" cm="1">
        <f t="array" aca="1" ref="S20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35" s="346" t="s">
        <v>1485</v>
      </c>
      <c r="U2035" s="347">
        <f t="shared" ca="1" si="140"/>
        <v>0</v>
      </c>
      <c r="V2035" s="347">
        <v>0</v>
      </c>
      <c r="W2035" s="347">
        <v>0</v>
      </c>
      <c r="X2035" s="14" t="s">
        <v>12</v>
      </c>
      <c r="Y2035" s="346" t="s">
        <v>413</v>
      </c>
      <c r="Z2035" s="14" t="str">
        <f>IF(ISBLANK(LCI_Table[[#This Row],[Notes for user]])," ",LCI_Table[[#This Row],[Notes for user]])</f>
        <v xml:space="preserve"> </v>
      </c>
      <c r="AA2035" s="14"/>
      <c r="AB2035" s="14"/>
      <c r="AC2035" s="346">
        <f ca="1">LCI_Table[[#This Row],[Default Calculated Value]]-LCI_Table[[#This Row],[Calculated Value]]</f>
        <v>0</v>
      </c>
    </row>
    <row r="2036" spans="1:29" x14ac:dyDescent="0.3">
      <c r="A20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SugarcaneSIPICAOMIT(blank)_Sugarcane_InsecticideInsecticide</v>
      </c>
      <c r="B2036" s="14" t="s">
        <v>447</v>
      </c>
      <c r="C2036" s="14" t="s">
        <v>448</v>
      </c>
      <c r="D2036" s="14" t="s">
        <v>194</v>
      </c>
      <c r="E2036" s="14" t="s">
        <v>377</v>
      </c>
      <c r="F2036" s="48" t="s">
        <v>31</v>
      </c>
      <c r="G2036" s="14" t="b">
        <f>OR(LCI_Table[[#This Row],[Feedstock]]="All",LCI_Table[[#This Row],[Feedstock]]=SelectedFeedstock)</f>
        <v>0</v>
      </c>
      <c r="H2036" s="14" t="b">
        <f>OR(LCI_Table[[#This Row],[Conversion]]="All",LCI_Table[[#This Row],[Conversion]]=SelectedConversion)</f>
        <v>0</v>
      </c>
      <c r="I2036" s="14" t="b">
        <f>OR(LCI_Table[[#This Row],[Data Set]]="all",LCI_Table[[#This Row],[Data Set]]=SelectedDataSet)</f>
        <v>0</v>
      </c>
      <c r="J2036" s="14" t="b">
        <f>OR(LCI_Table[[#This Row],[Technology]]="All",LCI_Table[[#This Row],[Technology]]=SelectedTechnology)</f>
        <v>1</v>
      </c>
      <c r="K2036" s="14" t="b">
        <f>OR(LCI_Table[[#This Row],[Data Source]]="All",LCI_Table[[#This Row],[Data Source]]=SelectedDataSource)</f>
        <v>0</v>
      </c>
      <c r="L2036" s="14" t="b">
        <f>TRUE</f>
        <v>1</v>
      </c>
      <c r="M2036" s="14" t="b">
        <f>(LCI_Table[[#This Row],[Dev Notes]]="Do not display")</f>
        <v>0</v>
      </c>
      <c r="N2036" s="14" t="b">
        <f>AND(LCI_Table[[#This Row],[Show Feedstock]:[Conditional]],NOT(LCI_Table[[#This Row],[Hide Row]]))</f>
        <v>0</v>
      </c>
      <c r="O2036" s="14" t="b">
        <f>LCI_Table[[#This Row],[GREET1 Name Range]]=""</f>
        <v>0</v>
      </c>
      <c r="P2036" s="14" t="s">
        <v>14</v>
      </c>
      <c r="Q2036" s="14" t="s">
        <v>973</v>
      </c>
      <c r="R2036" s="14" t="s">
        <v>114</v>
      </c>
      <c r="S2036" s="37" cm="1">
        <f t="array" aca="1" ref="S20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3.7128983642928572</v>
      </c>
      <c r="T2036" s="346" t="s">
        <v>1485</v>
      </c>
      <c r="U2036" s="347">
        <f t="shared" ca="1" si="140"/>
        <v>48</v>
      </c>
      <c r="V2036" s="347">
        <v>3.7128983642928572</v>
      </c>
      <c r="W2036" s="347">
        <v>48</v>
      </c>
      <c r="X2036" s="14" t="s">
        <v>12</v>
      </c>
      <c r="Y2036" s="346" t="s">
        <v>413</v>
      </c>
      <c r="Z2036" s="14" t="str">
        <f>IF(ISBLANK(LCI_Table[[#This Row],[Notes for user]])," ",LCI_Table[[#This Row],[Notes for user]])</f>
        <v xml:space="preserve"> </v>
      </c>
      <c r="AA2036" s="14"/>
      <c r="AB2036" s="14"/>
      <c r="AC2036" s="346">
        <f ca="1">LCI_Table[[#This Row],[Default Calculated Value]]-LCI_Table[[#This Row],[Calculated Value]]</f>
        <v>0</v>
      </c>
    </row>
    <row r="2037" spans="1:29" x14ac:dyDescent="0.3">
      <c r="A20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SugarcaneSIPICAOMIT(blank)_Sugarcane_Residual_oilResidual oil</v>
      </c>
      <c r="B2037" s="14" t="s">
        <v>447</v>
      </c>
      <c r="C2037" s="14" t="s">
        <v>448</v>
      </c>
      <c r="D2037" s="14" t="s">
        <v>194</v>
      </c>
      <c r="E2037" s="14" t="s">
        <v>377</v>
      </c>
      <c r="F2037" s="48" t="s">
        <v>31</v>
      </c>
      <c r="G2037" s="14" t="b">
        <f>OR(LCI_Table[[#This Row],[Feedstock]]="All",LCI_Table[[#This Row],[Feedstock]]=SelectedFeedstock)</f>
        <v>0</v>
      </c>
      <c r="H2037" s="14" t="b">
        <f>OR(LCI_Table[[#This Row],[Conversion]]="All",LCI_Table[[#This Row],[Conversion]]=SelectedConversion)</f>
        <v>0</v>
      </c>
      <c r="I2037" s="14" t="b">
        <f>OR(LCI_Table[[#This Row],[Data Set]]="all",LCI_Table[[#This Row],[Data Set]]=SelectedDataSet)</f>
        <v>0</v>
      </c>
      <c r="J2037" s="14" t="b">
        <f>OR(LCI_Table[[#This Row],[Technology]]="All",LCI_Table[[#This Row],[Technology]]=SelectedTechnology)</f>
        <v>1</v>
      </c>
      <c r="K2037" s="14" t="b">
        <f>OR(LCI_Table[[#This Row],[Data Source]]="All",LCI_Table[[#This Row],[Data Source]]=SelectedDataSource)</f>
        <v>0</v>
      </c>
      <c r="L2037" s="14" t="b">
        <f>TRUE</f>
        <v>1</v>
      </c>
      <c r="M2037" s="14" t="b">
        <f>(LCI_Table[[#This Row],[Dev Notes]]="Do not display")</f>
        <v>0</v>
      </c>
      <c r="N2037" s="14" t="b">
        <f>AND(LCI_Table[[#This Row],[Show Feedstock]:[Conditional]],NOT(LCI_Table[[#This Row],[Hide Row]]))</f>
        <v>0</v>
      </c>
      <c r="O2037" s="14" t="b">
        <f>LCI_Table[[#This Row],[GREET1 Name Range]]=""</f>
        <v>0</v>
      </c>
      <c r="P2037" s="14" t="s">
        <v>14</v>
      </c>
      <c r="Q2037" s="14" t="s">
        <v>974</v>
      </c>
      <c r="R2037" s="14" t="s">
        <v>115</v>
      </c>
      <c r="S2037" s="37" cm="1">
        <f t="array" aca="1" ref="S20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37" s="346" t="s">
        <v>1484</v>
      </c>
      <c r="U2037" s="347">
        <f ca="1">S2037*Fuel_Specs!$B$28/$S$2030/ton2MT</f>
        <v>0</v>
      </c>
      <c r="V2037" s="347">
        <v>0</v>
      </c>
      <c r="W2037" s="347">
        <v>0</v>
      </c>
      <c r="X2037" s="14" t="s">
        <v>5</v>
      </c>
      <c r="Y2037" s="346" t="s">
        <v>413</v>
      </c>
      <c r="Z2037" s="14" t="str">
        <f>IF(ISBLANK(LCI_Table[[#This Row],[Notes for user]])," ",LCI_Table[[#This Row],[Notes for user]])</f>
        <v xml:space="preserve"> </v>
      </c>
      <c r="AA2037" s="14"/>
      <c r="AB2037" s="14"/>
      <c r="AC2037" s="346">
        <f ca="1">LCI_Table[[#This Row],[Default Calculated Value]]-LCI_Table[[#This Row],[Calculated Value]]</f>
        <v>0</v>
      </c>
    </row>
    <row r="2038" spans="1:29" x14ac:dyDescent="0.3">
      <c r="A20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SugarcaneSIPICAOMIT(blank)_Sugarcane_DieselDiesel</v>
      </c>
      <c r="B2038" s="14" t="s">
        <v>447</v>
      </c>
      <c r="C2038" s="14" t="s">
        <v>448</v>
      </c>
      <c r="D2038" s="14" t="s">
        <v>194</v>
      </c>
      <c r="E2038" s="14" t="s">
        <v>377</v>
      </c>
      <c r="F2038" s="48" t="s">
        <v>31</v>
      </c>
      <c r="G2038" s="14" t="b">
        <f>OR(LCI_Table[[#This Row],[Feedstock]]="All",LCI_Table[[#This Row],[Feedstock]]=SelectedFeedstock)</f>
        <v>0</v>
      </c>
      <c r="H2038" s="14" t="b">
        <f>OR(LCI_Table[[#This Row],[Conversion]]="All",LCI_Table[[#This Row],[Conversion]]=SelectedConversion)</f>
        <v>0</v>
      </c>
      <c r="I2038" s="14" t="b">
        <f>OR(LCI_Table[[#This Row],[Data Set]]="all",LCI_Table[[#This Row],[Data Set]]=SelectedDataSet)</f>
        <v>0</v>
      </c>
      <c r="J2038" s="14" t="b">
        <f>OR(LCI_Table[[#This Row],[Technology]]="All",LCI_Table[[#This Row],[Technology]]=SelectedTechnology)</f>
        <v>1</v>
      </c>
      <c r="K2038" s="14" t="b">
        <f>OR(LCI_Table[[#This Row],[Data Source]]="All",LCI_Table[[#This Row],[Data Source]]=SelectedDataSource)</f>
        <v>0</v>
      </c>
      <c r="L2038" s="14" t="b">
        <f>TRUE</f>
        <v>1</v>
      </c>
      <c r="M2038" s="14" t="b">
        <f>(LCI_Table[[#This Row],[Dev Notes]]="Do not display")</f>
        <v>0</v>
      </c>
      <c r="N2038" s="14" t="b">
        <f>AND(LCI_Table[[#This Row],[Show Feedstock]:[Conditional]],NOT(LCI_Table[[#This Row],[Hide Row]]))</f>
        <v>0</v>
      </c>
      <c r="O2038" s="14" t="b">
        <f>LCI_Table[[#This Row],[GREET1 Name Range]]=""</f>
        <v>0</v>
      </c>
      <c r="P2038" s="14" t="s">
        <v>14</v>
      </c>
      <c r="Q2038" s="14" t="s">
        <v>975</v>
      </c>
      <c r="R2038" s="14" t="s">
        <v>106</v>
      </c>
      <c r="S2038" s="37" cm="1">
        <f t="array" aca="1" ref="S20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1.0379753796530954E-2</v>
      </c>
      <c r="T2038" s="346" t="s">
        <v>1484</v>
      </c>
      <c r="U2038" s="347">
        <f ca="1">S2038*Fuel_Specs!$B$19/$S$2030/ton2MT</f>
        <v>37.999999999999922</v>
      </c>
      <c r="V2038" s="347">
        <v>1.0379753796530954E-2</v>
      </c>
      <c r="W2038" s="347">
        <v>37.999999999999922</v>
      </c>
      <c r="X2038" s="14" t="s">
        <v>5</v>
      </c>
      <c r="Y2038" s="346" t="s">
        <v>413</v>
      </c>
      <c r="Z2038" s="14" t="str">
        <f>IF(ISBLANK(LCI_Table[[#This Row],[Notes for user]])," ",LCI_Table[[#This Row],[Notes for user]])</f>
        <v xml:space="preserve"> </v>
      </c>
      <c r="AA2038" s="14"/>
      <c r="AB2038" s="14"/>
      <c r="AC2038" s="346">
        <f ca="1">LCI_Table[[#This Row],[Default Calculated Value]]-LCI_Table[[#This Row],[Calculated Value]]</f>
        <v>0</v>
      </c>
    </row>
    <row r="2039" spans="1:29" x14ac:dyDescent="0.3">
      <c r="A20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SugarcaneSIPICAOMIT(blank)_Sugarcane_GasolineGasoline</v>
      </c>
      <c r="B2039" s="14" t="s">
        <v>447</v>
      </c>
      <c r="C2039" s="14" t="s">
        <v>448</v>
      </c>
      <c r="D2039" s="14" t="s">
        <v>194</v>
      </c>
      <c r="E2039" s="14" t="s">
        <v>377</v>
      </c>
      <c r="F2039" s="48" t="s">
        <v>31</v>
      </c>
      <c r="G2039" s="14" t="b">
        <f>OR(LCI_Table[[#This Row],[Feedstock]]="All",LCI_Table[[#This Row],[Feedstock]]=SelectedFeedstock)</f>
        <v>0</v>
      </c>
      <c r="H2039" s="14" t="b">
        <f>OR(LCI_Table[[#This Row],[Conversion]]="All",LCI_Table[[#This Row],[Conversion]]=SelectedConversion)</f>
        <v>0</v>
      </c>
      <c r="I2039" s="14" t="b">
        <f>OR(LCI_Table[[#This Row],[Data Set]]="all",LCI_Table[[#This Row],[Data Set]]=SelectedDataSet)</f>
        <v>0</v>
      </c>
      <c r="J2039" s="14" t="b">
        <f>OR(LCI_Table[[#This Row],[Technology]]="All",LCI_Table[[#This Row],[Technology]]=SelectedTechnology)</f>
        <v>1</v>
      </c>
      <c r="K2039" s="14" t="b">
        <f>OR(LCI_Table[[#This Row],[Data Source]]="All",LCI_Table[[#This Row],[Data Source]]=SelectedDataSource)</f>
        <v>0</v>
      </c>
      <c r="L2039" s="14" t="b">
        <f>TRUE</f>
        <v>1</v>
      </c>
      <c r="M2039" s="14" t="b">
        <f>(LCI_Table[[#This Row],[Dev Notes]]="Do not display")</f>
        <v>0</v>
      </c>
      <c r="N2039" s="14" t="b">
        <f>AND(LCI_Table[[#This Row],[Show Feedstock]:[Conditional]],NOT(LCI_Table[[#This Row],[Hide Row]]))</f>
        <v>0</v>
      </c>
      <c r="O2039" s="14" t="b">
        <f>LCI_Table[[#This Row],[GREET1 Name Range]]=""</f>
        <v>0</v>
      </c>
      <c r="P2039" s="14" t="s">
        <v>14</v>
      </c>
      <c r="Q2039" s="14" t="s">
        <v>976</v>
      </c>
      <c r="R2039" s="14" t="s">
        <v>107</v>
      </c>
      <c r="S2039" s="37" cm="1">
        <f t="array" aca="1" ref="S20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39" s="346" t="s">
        <v>1484</v>
      </c>
      <c r="U2039" s="347">
        <f ca="1">S2039*Fuel_Specs!$B$15/$S$2030/ton2MT</f>
        <v>0</v>
      </c>
      <c r="V2039" s="347">
        <v>0</v>
      </c>
      <c r="W2039" s="347">
        <v>0</v>
      </c>
      <c r="X2039" s="14" t="s">
        <v>5</v>
      </c>
      <c r="Y2039" s="346" t="s">
        <v>413</v>
      </c>
      <c r="Z2039" s="14" t="str">
        <f>IF(ISBLANK(LCI_Table[[#This Row],[Notes for user]])," ",LCI_Table[[#This Row],[Notes for user]])</f>
        <v xml:space="preserve"> </v>
      </c>
      <c r="AA2039" s="14"/>
      <c r="AB2039" s="14"/>
      <c r="AC2039" s="346">
        <f ca="1">LCI_Table[[#This Row],[Default Calculated Value]]-LCI_Table[[#This Row],[Calculated Value]]</f>
        <v>0</v>
      </c>
    </row>
    <row r="2040" spans="1:29" x14ac:dyDescent="0.3">
      <c r="A20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SugarcaneSIPICAOMIT(blank)_Sugarcane_Natural_gasNatural gas</v>
      </c>
      <c r="B2040" s="14" t="s">
        <v>447</v>
      </c>
      <c r="C2040" s="14" t="s">
        <v>448</v>
      </c>
      <c r="D2040" s="14" t="s">
        <v>194</v>
      </c>
      <c r="E2040" s="14" t="s">
        <v>377</v>
      </c>
      <c r="F2040" s="48" t="s">
        <v>31</v>
      </c>
      <c r="G2040" s="14" t="b">
        <f>OR(LCI_Table[[#This Row],[Feedstock]]="All",LCI_Table[[#This Row],[Feedstock]]=SelectedFeedstock)</f>
        <v>0</v>
      </c>
      <c r="H2040" s="14" t="b">
        <f>OR(LCI_Table[[#This Row],[Conversion]]="All",LCI_Table[[#This Row],[Conversion]]=SelectedConversion)</f>
        <v>0</v>
      </c>
      <c r="I2040" s="14" t="b">
        <f>OR(LCI_Table[[#This Row],[Data Set]]="all",LCI_Table[[#This Row],[Data Set]]=SelectedDataSet)</f>
        <v>0</v>
      </c>
      <c r="J2040" s="14" t="b">
        <f>OR(LCI_Table[[#This Row],[Technology]]="All",LCI_Table[[#This Row],[Technology]]=SelectedTechnology)</f>
        <v>1</v>
      </c>
      <c r="K2040" s="14" t="b">
        <f>OR(LCI_Table[[#This Row],[Data Source]]="All",LCI_Table[[#This Row],[Data Source]]=SelectedDataSource)</f>
        <v>0</v>
      </c>
      <c r="L2040" s="14" t="b">
        <f>TRUE</f>
        <v>1</v>
      </c>
      <c r="M2040" s="14" t="b">
        <f>(LCI_Table[[#This Row],[Dev Notes]]="Do not display")</f>
        <v>0</v>
      </c>
      <c r="N2040" s="14" t="b">
        <f>AND(LCI_Table[[#This Row],[Show Feedstock]:[Conditional]],NOT(LCI_Table[[#This Row],[Hide Row]]))</f>
        <v>0</v>
      </c>
      <c r="O2040" s="14" t="b">
        <f>LCI_Table[[#This Row],[GREET1 Name Range]]=""</f>
        <v>0</v>
      </c>
      <c r="P2040" s="14" t="s">
        <v>14</v>
      </c>
      <c r="Q2040" s="14" t="s">
        <v>977</v>
      </c>
      <c r="R2040" s="14" t="s">
        <v>108</v>
      </c>
      <c r="S2040" s="37" cm="1">
        <f t="array" aca="1" ref="S20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40" s="346" t="s">
        <v>2109</v>
      </c>
      <c r="U2040" s="347">
        <f ca="1">S2040*Fuel_Specs!$B$79/$S$2030/ton2MT</f>
        <v>0</v>
      </c>
      <c r="V2040" s="347">
        <v>0</v>
      </c>
      <c r="W2040" s="347">
        <v>0</v>
      </c>
      <c r="X2040" s="14" t="s">
        <v>351</v>
      </c>
      <c r="Y2040" s="346" t="s">
        <v>413</v>
      </c>
      <c r="Z2040" s="14" t="str">
        <f>IF(ISBLANK(LCI_Table[[#This Row],[Notes for user]])," ",LCI_Table[[#This Row],[Notes for user]])</f>
        <v xml:space="preserve"> </v>
      </c>
      <c r="AA2040" s="14"/>
      <c r="AB2040" s="14"/>
      <c r="AC2040" s="346">
        <f ca="1">LCI_Table[[#This Row],[Default Calculated Value]]-LCI_Table[[#This Row],[Calculated Value]]</f>
        <v>0</v>
      </c>
    </row>
    <row r="2041" spans="1:29" x14ac:dyDescent="0.3">
      <c r="A20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SugarcaneSIPICAOMIT(blank)_Sugarcane_CoalCoal</v>
      </c>
      <c r="B2041" s="14" t="s">
        <v>447</v>
      </c>
      <c r="C2041" s="14" t="s">
        <v>448</v>
      </c>
      <c r="D2041" s="14" t="s">
        <v>194</v>
      </c>
      <c r="E2041" s="14" t="s">
        <v>377</v>
      </c>
      <c r="F2041" s="48" t="s">
        <v>31</v>
      </c>
      <c r="G2041" s="14" t="b">
        <f>OR(LCI_Table[[#This Row],[Feedstock]]="All",LCI_Table[[#This Row],[Feedstock]]=SelectedFeedstock)</f>
        <v>0</v>
      </c>
      <c r="H2041" s="14" t="b">
        <f>OR(LCI_Table[[#This Row],[Conversion]]="All",LCI_Table[[#This Row],[Conversion]]=SelectedConversion)</f>
        <v>0</v>
      </c>
      <c r="I2041" s="14" t="b">
        <f>OR(LCI_Table[[#This Row],[Data Set]]="all",LCI_Table[[#This Row],[Data Set]]=SelectedDataSet)</f>
        <v>0</v>
      </c>
      <c r="J2041" s="14" t="b">
        <f>OR(LCI_Table[[#This Row],[Technology]]="All",LCI_Table[[#This Row],[Technology]]=SelectedTechnology)</f>
        <v>1</v>
      </c>
      <c r="K2041" s="14" t="b">
        <f>OR(LCI_Table[[#This Row],[Data Source]]="All",LCI_Table[[#This Row],[Data Source]]=SelectedDataSource)</f>
        <v>0</v>
      </c>
      <c r="L2041" s="14" t="b">
        <f>TRUE</f>
        <v>1</v>
      </c>
      <c r="M2041" s="14" t="b">
        <f>(LCI_Table[[#This Row],[Dev Notes]]="Do not display")</f>
        <v>0</v>
      </c>
      <c r="N2041" s="14" t="b">
        <f>AND(LCI_Table[[#This Row],[Show Feedstock]:[Conditional]],NOT(LCI_Table[[#This Row],[Hide Row]]))</f>
        <v>0</v>
      </c>
      <c r="O2041" s="14" t="b">
        <f>LCI_Table[[#This Row],[GREET1 Name Range]]=""</f>
        <v>0</v>
      </c>
      <c r="P2041" s="14" t="s">
        <v>14</v>
      </c>
      <c r="Q2041" s="14" t="s">
        <v>978</v>
      </c>
      <c r="R2041" s="14" t="s">
        <v>9</v>
      </c>
      <c r="S2041" s="37" cm="1">
        <f t="array" aca="1" ref="S20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41" s="346" t="s">
        <v>2110</v>
      </c>
      <c r="U2041" s="347">
        <f ca="1">S2041/$S$2030/ton2MT</f>
        <v>0</v>
      </c>
      <c r="V2041" s="347">
        <v>0</v>
      </c>
      <c r="W2041" s="347">
        <v>0</v>
      </c>
      <c r="X2041" s="14" t="s">
        <v>117</v>
      </c>
      <c r="Y2041" s="346" t="s">
        <v>413</v>
      </c>
      <c r="Z2041" s="14" t="str">
        <f>IF(ISBLANK(LCI_Table[[#This Row],[Notes for user]])," ",LCI_Table[[#This Row],[Notes for user]])</f>
        <v xml:space="preserve"> </v>
      </c>
      <c r="AA2041" s="14"/>
      <c r="AB2041" s="14"/>
      <c r="AC2041" s="346">
        <f ca="1">LCI_Table[[#This Row],[Default Calculated Value]]-LCI_Table[[#This Row],[Calculated Value]]</f>
        <v>0</v>
      </c>
    </row>
    <row r="2042" spans="1:29" x14ac:dyDescent="0.3">
      <c r="A20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SugarcaneSIPICAOMIT(blank)_Sugarcane_LPGLPG</v>
      </c>
      <c r="B2042" s="14" t="s">
        <v>447</v>
      </c>
      <c r="C2042" s="14" t="s">
        <v>448</v>
      </c>
      <c r="D2042" s="14" t="s">
        <v>194</v>
      </c>
      <c r="E2042" s="14" t="s">
        <v>377</v>
      </c>
      <c r="F2042" s="48" t="s">
        <v>31</v>
      </c>
      <c r="G2042" s="14" t="b">
        <f>OR(LCI_Table[[#This Row],[Feedstock]]="All",LCI_Table[[#This Row],[Feedstock]]=SelectedFeedstock)</f>
        <v>0</v>
      </c>
      <c r="H2042" s="14" t="b">
        <f>OR(LCI_Table[[#This Row],[Conversion]]="All",LCI_Table[[#This Row],[Conversion]]=SelectedConversion)</f>
        <v>0</v>
      </c>
      <c r="I2042" s="14" t="b">
        <f>OR(LCI_Table[[#This Row],[Data Set]]="all",LCI_Table[[#This Row],[Data Set]]=SelectedDataSet)</f>
        <v>0</v>
      </c>
      <c r="J2042" s="14" t="b">
        <f>OR(LCI_Table[[#This Row],[Technology]]="All",LCI_Table[[#This Row],[Technology]]=SelectedTechnology)</f>
        <v>1</v>
      </c>
      <c r="K2042" s="14" t="b">
        <f>OR(LCI_Table[[#This Row],[Data Source]]="All",LCI_Table[[#This Row],[Data Source]]=SelectedDataSource)</f>
        <v>0</v>
      </c>
      <c r="L2042" s="14" t="b">
        <f>TRUE</f>
        <v>1</v>
      </c>
      <c r="M2042" s="14" t="b">
        <f>(LCI_Table[[#This Row],[Dev Notes]]="Do not display")</f>
        <v>0</v>
      </c>
      <c r="N2042" s="14" t="b">
        <f>AND(LCI_Table[[#This Row],[Show Feedstock]:[Conditional]],NOT(LCI_Table[[#This Row],[Hide Row]]))</f>
        <v>0</v>
      </c>
      <c r="O2042" s="14" t="b">
        <f>LCI_Table[[#This Row],[GREET1 Name Range]]=""</f>
        <v>0</v>
      </c>
      <c r="P2042" s="14" t="s">
        <v>14</v>
      </c>
      <c r="Q2042" s="14" t="s">
        <v>979</v>
      </c>
      <c r="R2042" s="14" t="s">
        <v>109</v>
      </c>
      <c r="S2042" s="37" cm="1">
        <f t="array" aca="1" ref="S20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42" s="346" t="s">
        <v>1484</v>
      </c>
      <c r="U2042" s="347">
        <f ca="1">S2042*Fuel_Specs!$B$35/$S$2030/ton2MT</f>
        <v>0</v>
      </c>
      <c r="V2042" s="347">
        <v>0</v>
      </c>
      <c r="W2042" s="347">
        <v>0</v>
      </c>
      <c r="X2042" s="14" t="s">
        <v>5</v>
      </c>
      <c r="Y2042" s="346" t="s">
        <v>413</v>
      </c>
      <c r="Z2042" s="14" t="str">
        <f>IF(ISBLANK(LCI_Table[[#This Row],[Notes for user]])," ",LCI_Table[[#This Row],[Notes for user]])</f>
        <v xml:space="preserve"> </v>
      </c>
      <c r="AA2042" s="14"/>
      <c r="AB2042" s="14"/>
      <c r="AC2042" s="346">
        <f ca="1">LCI_Table[[#This Row],[Default Calculated Value]]-LCI_Table[[#This Row],[Calculated Value]]</f>
        <v>0</v>
      </c>
    </row>
    <row r="2043" spans="1:29" x14ac:dyDescent="0.3">
      <c r="A20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SugarcaneSIPICAOMIT(blank)_Sugarcane_ElectricityElectricity</v>
      </c>
      <c r="B2043" s="14" t="s">
        <v>447</v>
      </c>
      <c r="C2043" s="14" t="s">
        <v>448</v>
      </c>
      <c r="D2043" s="14" t="s">
        <v>194</v>
      </c>
      <c r="E2043" s="14" t="s">
        <v>377</v>
      </c>
      <c r="F2043" s="48" t="s">
        <v>31</v>
      </c>
      <c r="G2043" s="14" t="b">
        <f>OR(LCI_Table[[#This Row],[Feedstock]]="All",LCI_Table[[#This Row],[Feedstock]]=SelectedFeedstock)</f>
        <v>0</v>
      </c>
      <c r="H2043" s="14" t="b">
        <f>OR(LCI_Table[[#This Row],[Conversion]]="All",LCI_Table[[#This Row],[Conversion]]=SelectedConversion)</f>
        <v>0</v>
      </c>
      <c r="I2043" s="14" t="b">
        <f>OR(LCI_Table[[#This Row],[Data Set]]="all",LCI_Table[[#This Row],[Data Set]]=SelectedDataSet)</f>
        <v>0</v>
      </c>
      <c r="J2043" s="14" t="b">
        <f>OR(LCI_Table[[#This Row],[Technology]]="All",LCI_Table[[#This Row],[Technology]]=SelectedTechnology)</f>
        <v>1</v>
      </c>
      <c r="K2043" s="14" t="b">
        <f>OR(LCI_Table[[#This Row],[Data Source]]="All",LCI_Table[[#This Row],[Data Source]]=SelectedDataSource)</f>
        <v>0</v>
      </c>
      <c r="L2043" s="14" t="b">
        <f>TRUE</f>
        <v>1</v>
      </c>
      <c r="M2043" s="14" t="b">
        <f>(LCI_Table[[#This Row],[Dev Notes]]="Do not display")</f>
        <v>0</v>
      </c>
      <c r="N2043" s="14" t="b">
        <f>AND(LCI_Table[[#This Row],[Show Feedstock]:[Conditional]],NOT(LCI_Table[[#This Row],[Hide Row]]))</f>
        <v>0</v>
      </c>
      <c r="O2043" s="14" t="b">
        <f>LCI_Table[[#This Row],[GREET1 Name Range]]=""</f>
        <v>0</v>
      </c>
      <c r="P2043" s="14" t="s">
        <v>14</v>
      </c>
      <c r="Q2043" s="14" t="s">
        <v>980</v>
      </c>
      <c r="R2043" s="348" t="s">
        <v>110</v>
      </c>
      <c r="S2043" s="37" cm="1">
        <f t="array" aca="1" ref="S20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43" s="346" t="s">
        <v>1561</v>
      </c>
      <c r="U2043" s="347">
        <f ca="1">S2043/BTU2kWh/$S$2030/ton2MT</f>
        <v>0</v>
      </c>
      <c r="V2043" s="347">
        <v>0</v>
      </c>
      <c r="W2043" s="347">
        <v>0</v>
      </c>
      <c r="X2043" s="14" t="s">
        <v>51</v>
      </c>
      <c r="Y2043" s="346" t="s">
        <v>413</v>
      </c>
      <c r="Z2043" s="14" t="str">
        <f>IF(ISBLANK(LCI_Table[[#This Row],[Notes for user]])," ",LCI_Table[[#This Row],[Notes for user]])</f>
        <v xml:space="preserve"> </v>
      </c>
      <c r="AA2043" s="14"/>
      <c r="AB2043" s="14"/>
      <c r="AC2043" s="346">
        <f ca="1">LCI_Table[[#This Row],[Default Calculated Value]]-LCI_Table[[#This Row],[Calculated Value]]</f>
        <v>0</v>
      </c>
    </row>
    <row r="2044" spans="1:29" x14ac:dyDescent="0.3">
      <c r="A20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SugarcaneSIPICAOMIT(blank)_Sugarcane_BiodieselBiodiesel</v>
      </c>
      <c r="B2044" s="14" t="s">
        <v>447</v>
      </c>
      <c r="C2044" s="14" t="s">
        <v>448</v>
      </c>
      <c r="D2044" s="14" t="s">
        <v>194</v>
      </c>
      <c r="E2044" s="14" t="s">
        <v>377</v>
      </c>
      <c r="F2044" s="48" t="s">
        <v>31</v>
      </c>
      <c r="G2044" s="14" t="b">
        <f>OR(LCI_Table[[#This Row],[Feedstock]]="All",LCI_Table[[#This Row],[Feedstock]]=SelectedFeedstock)</f>
        <v>0</v>
      </c>
      <c r="H2044" s="14" t="b">
        <f>OR(LCI_Table[[#This Row],[Conversion]]="All",LCI_Table[[#This Row],[Conversion]]=SelectedConversion)</f>
        <v>0</v>
      </c>
      <c r="I2044" s="14" t="b">
        <f>OR(LCI_Table[[#This Row],[Data Set]]="all",LCI_Table[[#This Row],[Data Set]]=SelectedDataSet)</f>
        <v>0</v>
      </c>
      <c r="J2044" s="14" t="b">
        <f>OR(LCI_Table[[#This Row],[Technology]]="All",LCI_Table[[#This Row],[Technology]]=SelectedTechnology)</f>
        <v>1</v>
      </c>
      <c r="K2044" s="14" t="b">
        <f>OR(LCI_Table[[#This Row],[Data Source]]="All",LCI_Table[[#This Row],[Data Source]]=SelectedDataSource)</f>
        <v>0</v>
      </c>
      <c r="L2044" s="14" t="b">
        <f>TRUE</f>
        <v>1</v>
      </c>
      <c r="M2044" s="14" t="b">
        <f>(LCI_Table[[#This Row],[Dev Notes]]="Do not display")</f>
        <v>0</v>
      </c>
      <c r="N2044" s="14" t="b">
        <f>AND(LCI_Table[[#This Row],[Show Feedstock]:[Conditional]],NOT(LCI_Table[[#This Row],[Hide Row]]))</f>
        <v>0</v>
      </c>
      <c r="O2044" s="14" t="b">
        <f>LCI_Table[[#This Row],[GREET1 Name Range]]=""</f>
        <v>0</v>
      </c>
      <c r="P2044" s="14" t="s">
        <v>14</v>
      </c>
      <c r="Q2044" s="14" t="s">
        <v>1393</v>
      </c>
      <c r="R2044" s="348" t="s">
        <v>1394</v>
      </c>
      <c r="S2044" s="37" cm="1">
        <f t="array" aca="1" ref="S20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44" s="346" t="s">
        <v>1484</v>
      </c>
      <c r="U2044" s="347">
        <f ca="1">S2044*Fuel_Specs!$B$39/$S$1999/ton2MT</f>
        <v>0</v>
      </c>
      <c r="V2044" s="347">
        <v>0</v>
      </c>
      <c r="W2044" s="347">
        <v>0</v>
      </c>
      <c r="X2044" s="14" t="s">
        <v>5</v>
      </c>
      <c r="Y2044" s="346" t="s">
        <v>413</v>
      </c>
      <c r="Z2044" s="14" t="str">
        <f>IF(ISBLANK(LCI_Table[[#This Row],[Notes for user]])," ",LCI_Table[[#This Row],[Notes for user]])</f>
        <v xml:space="preserve"> </v>
      </c>
      <c r="AA2044" s="14"/>
      <c r="AB2044" s="14"/>
      <c r="AC2044" s="346">
        <f ca="1">LCI_Table[[#This Row],[Default Calculated Value]]-LCI_Table[[#This Row],[Calculated Value]]</f>
        <v>0</v>
      </c>
    </row>
    <row r="2045" spans="1:29" x14ac:dyDescent="0.3">
      <c r="A20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SugarcaneSIPICAOMIT(blank)_Sugarcane_SIP_SugarcaneSugarcane</v>
      </c>
      <c r="B2045" s="348" t="s">
        <v>447</v>
      </c>
      <c r="C2045" s="348" t="s">
        <v>448</v>
      </c>
      <c r="D2045" s="348" t="s">
        <v>194</v>
      </c>
      <c r="E2045" s="348" t="s">
        <v>377</v>
      </c>
      <c r="F2045" s="48" t="s">
        <v>31</v>
      </c>
      <c r="G2045" s="14" t="b">
        <f>OR(LCI_Table[[#This Row],[Feedstock]]="All",LCI_Table[[#This Row],[Feedstock]]=SelectedFeedstock)</f>
        <v>0</v>
      </c>
      <c r="H2045" s="14" t="b">
        <f>OR(LCI_Table[[#This Row],[Conversion]]="All",LCI_Table[[#This Row],[Conversion]]=SelectedConversion)</f>
        <v>0</v>
      </c>
      <c r="I2045" s="14" t="b">
        <f>OR(LCI_Table[[#This Row],[Data Set]]="all",LCI_Table[[#This Row],[Data Set]]=SelectedDataSet)</f>
        <v>0</v>
      </c>
      <c r="J2045" s="14" t="b">
        <f>OR(LCI_Table[[#This Row],[Technology]]="All",LCI_Table[[#This Row],[Technology]]=SelectedTechnology)</f>
        <v>1</v>
      </c>
      <c r="K2045" s="14" t="b">
        <f>OR(LCI_Table[[#This Row],[Data Source]]="All",LCI_Table[[#This Row],[Data Source]]=SelectedDataSource)</f>
        <v>0</v>
      </c>
      <c r="L2045" s="14" t="b">
        <f>TRUE</f>
        <v>1</v>
      </c>
      <c r="M2045" s="14" t="b">
        <f>(LCI_Table[[#This Row],[Dev Notes]]="Do not display")</f>
        <v>0</v>
      </c>
      <c r="N2045" s="14" t="b">
        <f>AND(LCI_Table[[#This Row],[Show Feedstock]:[Conditional]],NOT(LCI_Table[[#This Row],[Hide Row]]))</f>
        <v>0</v>
      </c>
      <c r="O2045" s="14" t="b">
        <f>LCI_Table[[#This Row],[GREET1 Name Range]]=""</f>
        <v>0</v>
      </c>
      <c r="P2045" s="348" t="s">
        <v>448</v>
      </c>
      <c r="Q2045" s="14" t="s">
        <v>995</v>
      </c>
      <c r="R2045" s="348" t="s">
        <v>447</v>
      </c>
      <c r="S2045" s="37" cm="1">
        <f t="array" aca="1" ref="S20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2325.9999942238933</v>
      </c>
      <c r="T2045" s="346" t="s">
        <v>2138</v>
      </c>
      <c r="U2045" s="368">
        <f ca="1">S2045*lb2kg/mmBTU2MJ</f>
        <v>1.000000000000002</v>
      </c>
      <c r="V2045" s="368">
        <v>2325.9999942238933</v>
      </c>
      <c r="W2045" s="368">
        <v>1.000000000000002</v>
      </c>
      <c r="X2045" s="348" t="s">
        <v>12</v>
      </c>
      <c r="Y2045" s="346" t="s">
        <v>1436</v>
      </c>
      <c r="Z2045" s="14" t="str">
        <f>IF(ISBLANK(LCI_Table[[#This Row],[Notes for user]])," ",LCI_Table[[#This Row],[Notes for user]])</f>
        <v xml:space="preserve"> </v>
      </c>
      <c r="AA2045" s="348"/>
      <c r="AB2045" s="348"/>
      <c r="AC2045" s="346">
        <f ca="1">LCI_Table[[#This Row],[Default Calculated Value]]-LCI_Table[[#This Row],[Calculated Value]]</f>
        <v>0</v>
      </c>
    </row>
    <row r="2046" spans="1:29" x14ac:dyDescent="0.3">
      <c r="A20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SugarcaneSIPICAOMIT(blank)_Sugarcane_SIP_Lime_CaOLime (CaO)</v>
      </c>
      <c r="B2046" s="14" t="s">
        <v>447</v>
      </c>
      <c r="C2046" s="14" t="s">
        <v>448</v>
      </c>
      <c r="D2046" s="14" t="s">
        <v>194</v>
      </c>
      <c r="E2046" s="14" t="s">
        <v>377</v>
      </c>
      <c r="F2046" s="48" t="s">
        <v>31</v>
      </c>
      <c r="G2046" s="14" t="b">
        <f>OR(LCI_Table[[#This Row],[Feedstock]]="All",LCI_Table[[#This Row],[Feedstock]]=SelectedFeedstock)</f>
        <v>0</v>
      </c>
      <c r="H2046" s="14" t="b">
        <f>OR(LCI_Table[[#This Row],[Conversion]]="All",LCI_Table[[#This Row],[Conversion]]=SelectedConversion)</f>
        <v>0</v>
      </c>
      <c r="I2046" s="14" t="b">
        <f>OR(LCI_Table[[#This Row],[Data Set]]="all",LCI_Table[[#This Row],[Data Set]]=SelectedDataSet)</f>
        <v>0</v>
      </c>
      <c r="J2046" s="14" t="b">
        <f>OR(LCI_Table[[#This Row],[Technology]]="All",LCI_Table[[#This Row],[Technology]]=SelectedTechnology)</f>
        <v>1</v>
      </c>
      <c r="K2046" s="14" t="b">
        <f>OR(LCI_Table[[#This Row],[Data Source]]="All",LCI_Table[[#This Row],[Data Source]]=SelectedDataSource)</f>
        <v>0</v>
      </c>
      <c r="L2046" s="14" t="b">
        <f>TRUE</f>
        <v>1</v>
      </c>
      <c r="M2046" s="14" t="b">
        <f>(LCI_Table[[#This Row],[Dev Notes]]="Do not display")</f>
        <v>0</v>
      </c>
      <c r="N2046" s="14" t="b">
        <f>AND(LCI_Table[[#This Row],[Show Feedstock]:[Conditional]],NOT(LCI_Table[[#This Row],[Hide Row]]))</f>
        <v>0</v>
      </c>
      <c r="O2046" s="14" t="b">
        <f>LCI_Table[[#This Row],[GREET1 Name Range]]=""</f>
        <v>0</v>
      </c>
      <c r="P2046" s="358" t="s">
        <v>448</v>
      </c>
      <c r="Q2046" s="14" t="s">
        <v>1406</v>
      </c>
      <c r="R2046" s="14" t="s">
        <v>900</v>
      </c>
      <c r="S2046" s="37" cm="1">
        <f t="array" aca="1" ref="S20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2.2562199943971768</v>
      </c>
      <c r="T2046" s="346" t="s">
        <v>2138</v>
      </c>
      <c r="U2046" s="347">
        <f ca="1">S2046/g2lb*MJ2mmBTU</f>
        <v>0.97</v>
      </c>
      <c r="V2046" s="347">
        <v>2.2562199943971768</v>
      </c>
      <c r="W2046" s="347">
        <v>0.97</v>
      </c>
      <c r="X2046" s="14" t="s">
        <v>12</v>
      </c>
      <c r="Y2046" s="346" t="s">
        <v>1436</v>
      </c>
      <c r="Z2046" s="14" t="str">
        <f>IF(ISBLANK(LCI_Table[[#This Row],[Notes for user]])," ",LCI_Table[[#This Row],[Notes for user]])</f>
        <v xml:space="preserve"> </v>
      </c>
      <c r="AA2046" s="14"/>
      <c r="AB2046" s="14"/>
      <c r="AC2046" s="346">
        <f ca="1">LCI_Table[[#This Row],[Default Calculated Value]]-LCI_Table[[#This Row],[Calculated Value]]</f>
        <v>0</v>
      </c>
    </row>
    <row r="2047" spans="1:29" x14ac:dyDescent="0.3">
      <c r="A20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SugarcaneSIPICAOMIT(blank)_Sugarcane_SIP_HydrogenHydrogen</v>
      </c>
      <c r="B2047" s="14" t="s">
        <v>447</v>
      </c>
      <c r="C2047" s="14" t="s">
        <v>448</v>
      </c>
      <c r="D2047" s="358" t="s">
        <v>194</v>
      </c>
      <c r="E2047" s="358" t="s">
        <v>377</v>
      </c>
      <c r="F2047" s="48" t="s">
        <v>31</v>
      </c>
      <c r="G2047" s="14" t="b">
        <f>OR(LCI_Table[[#This Row],[Feedstock]]="All",LCI_Table[[#This Row],[Feedstock]]=SelectedFeedstock)</f>
        <v>0</v>
      </c>
      <c r="H2047" s="14" t="b">
        <f>OR(LCI_Table[[#This Row],[Conversion]]="All",LCI_Table[[#This Row],[Conversion]]=SelectedConversion)</f>
        <v>0</v>
      </c>
      <c r="I2047" s="14" t="b">
        <f>OR(LCI_Table[[#This Row],[Data Set]]="all",LCI_Table[[#This Row],[Data Set]]=SelectedDataSet)</f>
        <v>0</v>
      </c>
      <c r="J2047" s="14" t="b">
        <f>OR(LCI_Table[[#This Row],[Technology]]="All",LCI_Table[[#This Row],[Technology]]=SelectedTechnology)</f>
        <v>1</v>
      </c>
      <c r="K2047" s="14" t="b">
        <f>OR(LCI_Table[[#This Row],[Data Source]]="All",LCI_Table[[#This Row],[Data Source]]=SelectedDataSource)</f>
        <v>0</v>
      </c>
      <c r="L2047" s="14" t="b">
        <f>TRUE</f>
        <v>1</v>
      </c>
      <c r="M2047" s="14" t="b">
        <f>(LCI_Table[[#This Row],[Dev Notes]]="Do not display")</f>
        <v>0</v>
      </c>
      <c r="N2047" s="14" t="b">
        <f>AND(LCI_Table[[#This Row],[Show Feedstock]:[Conditional]],NOT(LCI_Table[[#This Row],[Hide Row]]))</f>
        <v>0</v>
      </c>
      <c r="O2047" s="14" t="b">
        <f>LCI_Table[[#This Row],[GREET1 Name Range]]=""</f>
        <v>0</v>
      </c>
      <c r="P2047" s="358" t="s">
        <v>1448</v>
      </c>
      <c r="Q2047" s="14" t="s">
        <v>996</v>
      </c>
      <c r="R2047" s="358" t="s">
        <v>73</v>
      </c>
      <c r="S2047" s="37" cm="1">
        <f t="array" aca="1" ref="S20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376.51012686274498</v>
      </c>
      <c r="T2047" s="346" t="s">
        <v>2120</v>
      </c>
      <c r="U2047" s="347">
        <f ca="1">S2047*Fuel_Specs!$B$81/mmBTU2MJ</f>
        <v>103.49019607843135</v>
      </c>
      <c r="V2047" s="359">
        <v>376.51012686274498</v>
      </c>
      <c r="W2047" s="347">
        <v>103.49019607843135</v>
      </c>
      <c r="X2047" s="360" t="s">
        <v>351</v>
      </c>
      <c r="Y2047" s="346" t="s">
        <v>416</v>
      </c>
      <c r="Z2047" s="14" t="str">
        <f>IF(ISBLANK(LCI_Table[[#This Row],[Notes for user]])," ",LCI_Table[[#This Row],[Notes for user]])</f>
        <v xml:space="preserve"> </v>
      </c>
      <c r="AA2047" s="14"/>
      <c r="AB2047" s="358"/>
      <c r="AC2047" s="346">
        <f ca="1">LCI_Table[[#This Row],[Default Calculated Value]]-LCI_Table[[#This Row],[Calculated Value]]</f>
        <v>0</v>
      </c>
    </row>
    <row r="2048" spans="1:29" x14ac:dyDescent="0.3">
      <c r="A20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SugarcaneSIPICAOMIT(blank)_Sugarcane_SIP_Allocation_FactorAllocation factor</v>
      </c>
      <c r="B2048" s="14" t="s">
        <v>447</v>
      </c>
      <c r="C2048" s="14" t="s">
        <v>448</v>
      </c>
      <c r="D2048" s="358" t="s">
        <v>194</v>
      </c>
      <c r="E2048" s="358" t="s">
        <v>377</v>
      </c>
      <c r="F2048" s="48" t="s">
        <v>31</v>
      </c>
      <c r="G2048" s="14" t="b">
        <f>OR(LCI_Table[[#This Row],[Feedstock]]="All",LCI_Table[[#This Row],[Feedstock]]=SelectedFeedstock)</f>
        <v>0</v>
      </c>
      <c r="H2048" s="14" t="b">
        <f>OR(LCI_Table[[#This Row],[Conversion]]="All",LCI_Table[[#This Row],[Conversion]]=SelectedConversion)</f>
        <v>0</v>
      </c>
      <c r="I2048" s="14" t="b">
        <f>OR(LCI_Table[[#This Row],[Data Set]]="all",LCI_Table[[#This Row],[Data Set]]=SelectedDataSet)</f>
        <v>0</v>
      </c>
      <c r="J2048" s="14" t="b">
        <f>OR(LCI_Table[[#This Row],[Technology]]="All",LCI_Table[[#This Row],[Technology]]=SelectedTechnology)</f>
        <v>1</v>
      </c>
      <c r="K2048" s="14" t="b">
        <f>OR(LCI_Table[[#This Row],[Data Source]]="All",LCI_Table[[#This Row],[Data Source]]=SelectedDataSource)</f>
        <v>0</v>
      </c>
      <c r="L2048" s="14" t="b">
        <f>TRUE</f>
        <v>1</v>
      </c>
      <c r="M2048" s="14" t="b">
        <f>(LCI_Table[[#This Row],[Dev Notes]]="Do not display")</f>
        <v>0</v>
      </c>
      <c r="N2048" s="14" t="b">
        <f>AND(LCI_Table[[#This Row],[Show Feedstock]:[Conditional]],NOT(LCI_Table[[#This Row],[Hide Row]]))</f>
        <v>0</v>
      </c>
      <c r="O2048" s="14" t="b">
        <f>LCI_Table[[#This Row],[GREET1 Name Range]]=""</f>
        <v>0</v>
      </c>
      <c r="P2048" s="358" t="s">
        <v>1448</v>
      </c>
      <c r="Q2048" s="14" t="s">
        <v>1125</v>
      </c>
      <c r="R2048" s="358" t="s">
        <v>1344</v>
      </c>
      <c r="S2048" s="37" cm="1">
        <f t="array" aca="1" ref="S20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74.607712646902598</v>
      </c>
      <c r="T2048" s="346" t="s">
        <v>1345</v>
      </c>
      <c r="U2048" s="347">
        <f ca="1">S2048/100</f>
        <v>0.74607712646902602</v>
      </c>
      <c r="V2048" s="359">
        <v>74.607712646902598</v>
      </c>
      <c r="W2048" s="347">
        <v>0.74607712646902602</v>
      </c>
      <c r="X2048" s="360"/>
      <c r="Y2048" s="346" t="s">
        <v>416</v>
      </c>
      <c r="Z2048" s="14" t="str">
        <f>IF(ISBLANK(LCI_Table[[#This Row],[Notes for user]])," ",LCI_Table[[#This Row],[Notes for user]])</f>
        <v xml:space="preserve"> </v>
      </c>
      <c r="AA2048" s="14"/>
      <c r="AB2048" s="358"/>
      <c r="AC2048" s="346">
        <f ca="1">LCI_Table[[#This Row],[Default Calculated Value]]-LCI_Table[[#This Row],[Calculated Value]]</f>
        <v>0</v>
      </c>
    </row>
    <row r="2049" spans="1:29" x14ac:dyDescent="0.3">
      <c r="A20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dash_SugarcaneSIPICAOJRC(blank)_Yield_Farming</v>
      </c>
      <c r="B2049" s="48" t="s">
        <v>447</v>
      </c>
      <c r="C2049" s="48" t="s">
        <v>448</v>
      </c>
      <c r="D2049" s="48" t="s">
        <v>194</v>
      </c>
      <c r="E2049" s="48" t="s">
        <v>355</v>
      </c>
      <c r="F2049" s="48" t="s">
        <v>31</v>
      </c>
      <c r="G2049" s="14" t="b">
        <f>OR(LCI_Table[[#This Row],[Feedstock]]="All",LCI_Table[[#This Row],[Feedstock]]=SelectedFeedstock)</f>
        <v>0</v>
      </c>
      <c r="H2049" s="14" t="b">
        <f>OR(LCI_Table[[#This Row],[Conversion]]="All",LCI_Table[[#This Row],[Conversion]]=SelectedConversion)</f>
        <v>0</v>
      </c>
      <c r="I2049" s="14" t="b">
        <f>OR(LCI_Table[[#This Row],[Data Set]]="all",LCI_Table[[#This Row],[Data Set]]=SelectedDataSet)</f>
        <v>0</v>
      </c>
      <c r="J2049" s="14" t="b">
        <f>OR(LCI_Table[[#This Row],[Technology]]="All",LCI_Table[[#This Row],[Technology]]=SelectedTechnology)</f>
        <v>1</v>
      </c>
      <c r="K2049" s="14" t="b">
        <f>OR(LCI_Table[[#This Row],[Data Source]]="All",LCI_Table[[#This Row],[Data Source]]=SelectedDataSource)</f>
        <v>0</v>
      </c>
      <c r="L2049" s="14" t="b">
        <f>TRUE</f>
        <v>1</v>
      </c>
      <c r="M2049" s="14" t="b">
        <f>(LCI_Table[[#This Row],[Dev Notes]]="Do not display")</f>
        <v>0</v>
      </c>
      <c r="N2049" s="14" t="b">
        <f>AND(LCI_Table[[#This Row],[Show Feedstock]:[Conditional]],NOT(LCI_Table[[#This Row],[Hide Row]]))</f>
        <v>0</v>
      </c>
      <c r="O2049" s="14" t="b">
        <f>LCI_Table[[#This Row],[GREET1 Name Range]]=""</f>
        <v>1</v>
      </c>
      <c r="P2049" s="48" t="s">
        <v>14</v>
      </c>
      <c r="Q2049" s="14" t="s">
        <v>361</v>
      </c>
      <c r="R2049" s="48" t="s">
        <v>200</v>
      </c>
      <c r="S2049" s="37" cm="1">
        <f t="array" aca="1" ref="S20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38.676024628050598</v>
      </c>
      <c r="T2049" s="346" t="s">
        <v>2116</v>
      </c>
      <c r="U2049" s="344"/>
      <c r="V2049" s="344">
        <v>38.676024628050598</v>
      </c>
      <c r="W2049" s="344"/>
      <c r="X2049" s="48" t="s">
        <v>55</v>
      </c>
      <c r="Y2049" s="346" t="s">
        <v>413</v>
      </c>
      <c r="Z2049" s="14" t="str">
        <f>IF(ISBLANK(LCI_Table[[#This Row],[Notes for user]])," ",LCI_Table[[#This Row],[Notes for user]])</f>
        <v xml:space="preserve"> </v>
      </c>
      <c r="AA2049" s="48"/>
      <c r="AB2049" s="345" t="s">
        <v>923</v>
      </c>
      <c r="AC2049" s="346">
        <f>LCI_Table[[#This Row],[Default Calculated Value]]-LCI_Table[[#This Row],[Calculated Value]]</f>
        <v>0</v>
      </c>
    </row>
    <row r="2050" spans="1:29" x14ac:dyDescent="0.3">
      <c r="A20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SugarcaneSIPICAOJRC(blank)_Sugarcane_Nitrogen_fertilizerNitrogen fertilizer</v>
      </c>
      <c r="B2050" s="14" t="s">
        <v>447</v>
      </c>
      <c r="C2050" s="14" t="s">
        <v>448</v>
      </c>
      <c r="D2050" s="14" t="s">
        <v>194</v>
      </c>
      <c r="E2050" s="14" t="s">
        <v>355</v>
      </c>
      <c r="F2050" s="48" t="s">
        <v>31</v>
      </c>
      <c r="G2050" s="14" t="b">
        <f>OR(LCI_Table[[#This Row],[Feedstock]]="All",LCI_Table[[#This Row],[Feedstock]]=SelectedFeedstock)</f>
        <v>0</v>
      </c>
      <c r="H2050" s="14" t="b">
        <f>OR(LCI_Table[[#This Row],[Conversion]]="All",LCI_Table[[#This Row],[Conversion]]=SelectedConversion)</f>
        <v>0</v>
      </c>
      <c r="I2050" s="14" t="b">
        <f>OR(LCI_Table[[#This Row],[Data Set]]="all",LCI_Table[[#This Row],[Data Set]]=SelectedDataSet)</f>
        <v>0</v>
      </c>
      <c r="J2050" s="14" t="b">
        <f>OR(LCI_Table[[#This Row],[Technology]]="All",LCI_Table[[#This Row],[Technology]]=SelectedTechnology)</f>
        <v>1</v>
      </c>
      <c r="K2050" s="14" t="b">
        <f>OR(LCI_Table[[#This Row],[Data Source]]="All",LCI_Table[[#This Row],[Data Source]]=SelectedDataSource)</f>
        <v>0</v>
      </c>
      <c r="L2050" s="14" t="b">
        <f>TRUE</f>
        <v>1</v>
      </c>
      <c r="M2050" s="14" t="b">
        <f>(LCI_Table[[#This Row],[Dev Notes]]="Do not display")</f>
        <v>0</v>
      </c>
      <c r="N2050" s="14" t="b">
        <f>AND(LCI_Table[[#This Row],[Show Feedstock]:[Conditional]],NOT(LCI_Table[[#This Row],[Hide Row]]))</f>
        <v>0</v>
      </c>
      <c r="O2050" s="14" t="b">
        <f>LCI_Table[[#This Row],[GREET1 Name Range]]=""</f>
        <v>0</v>
      </c>
      <c r="P2050" s="14" t="s">
        <v>14</v>
      </c>
      <c r="Q2050" s="14" t="s">
        <v>968</v>
      </c>
      <c r="R2050" s="14" t="s">
        <v>111</v>
      </c>
      <c r="S2050" s="37" cm="1">
        <f t="array" aca="1" ref="S20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70.390364823052082</v>
      </c>
      <c r="T2050" s="346" t="s">
        <v>1485</v>
      </c>
      <c r="U2050" s="347">
        <f t="shared" ref="U2050:U2055" ca="1" si="141">S2050/$S$2049*lb2g/ton2MT</f>
        <v>909.99999999999989</v>
      </c>
      <c r="V2050" s="347">
        <v>70.390364823052082</v>
      </c>
      <c r="W2050" s="347">
        <v>909.99999999999989</v>
      </c>
      <c r="X2050" s="14" t="s">
        <v>12</v>
      </c>
      <c r="Y2050" s="346" t="s">
        <v>413</v>
      </c>
      <c r="Z2050" s="14" t="str">
        <f>IF(ISBLANK(LCI_Table[[#This Row],[Notes for user]])," ",LCI_Table[[#This Row],[Notes for user]])</f>
        <v xml:space="preserve"> </v>
      </c>
      <c r="AA2050" s="14"/>
      <c r="AB2050" s="14"/>
      <c r="AC2050" s="346">
        <f ca="1">LCI_Table[[#This Row],[Default Calculated Value]]-LCI_Table[[#This Row],[Calculated Value]]</f>
        <v>0</v>
      </c>
    </row>
    <row r="2051" spans="1:29" x14ac:dyDescent="0.3">
      <c r="A20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SugarcaneSIPICAOJRC(blank)_Sugarcane_P2O5P2O5</v>
      </c>
      <c r="B2051" s="14" t="s">
        <v>447</v>
      </c>
      <c r="C2051" s="14" t="s">
        <v>448</v>
      </c>
      <c r="D2051" s="14" t="s">
        <v>194</v>
      </c>
      <c r="E2051" s="14" t="s">
        <v>355</v>
      </c>
      <c r="F2051" s="48" t="s">
        <v>31</v>
      </c>
      <c r="G2051" s="14" t="b">
        <f>OR(LCI_Table[[#This Row],[Feedstock]]="All",LCI_Table[[#This Row],[Feedstock]]=SelectedFeedstock)</f>
        <v>0</v>
      </c>
      <c r="H2051" s="14" t="b">
        <f>OR(LCI_Table[[#This Row],[Conversion]]="All",LCI_Table[[#This Row],[Conversion]]=SelectedConversion)</f>
        <v>0</v>
      </c>
      <c r="I2051" s="14" t="b">
        <f>OR(LCI_Table[[#This Row],[Data Set]]="all",LCI_Table[[#This Row],[Data Set]]=SelectedDataSet)</f>
        <v>0</v>
      </c>
      <c r="J2051" s="14" t="b">
        <f>OR(LCI_Table[[#This Row],[Technology]]="All",LCI_Table[[#This Row],[Technology]]=SelectedTechnology)</f>
        <v>1</v>
      </c>
      <c r="K2051" s="14" t="b">
        <f>OR(LCI_Table[[#This Row],[Data Source]]="All",LCI_Table[[#This Row],[Data Source]]=SelectedDataSource)</f>
        <v>0</v>
      </c>
      <c r="L2051" s="14" t="b">
        <f>TRUE</f>
        <v>1</v>
      </c>
      <c r="M2051" s="14" t="b">
        <f>(LCI_Table[[#This Row],[Dev Notes]]="Do not display")</f>
        <v>0</v>
      </c>
      <c r="N2051" s="14" t="b">
        <f>AND(LCI_Table[[#This Row],[Show Feedstock]:[Conditional]],NOT(LCI_Table[[#This Row],[Hide Row]]))</f>
        <v>0</v>
      </c>
      <c r="O2051" s="14" t="b">
        <f>LCI_Table[[#This Row],[GREET1 Name Range]]=""</f>
        <v>0</v>
      </c>
      <c r="P2051" s="14" t="s">
        <v>14</v>
      </c>
      <c r="Q2051" s="14" t="s">
        <v>969</v>
      </c>
      <c r="R2051" s="14" t="s">
        <v>112</v>
      </c>
      <c r="S2051" s="37" cm="1">
        <f t="array" aca="1" ref="S20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24.752655761952383</v>
      </c>
      <c r="T2051" s="346" t="s">
        <v>1485</v>
      </c>
      <c r="U2051" s="347">
        <f t="shared" ca="1" si="141"/>
        <v>320</v>
      </c>
      <c r="V2051" s="347">
        <v>24.752655761952383</v>
      </c>
      <c r="W2051" s="347">
        <v>320</v>
      </c>
      <c r="X2051" s="14" t="s">
        <v>12</v>
      </c>
      <c r="Y2051" s="346" t="s">
        <v>413</v>
      </c>
      <c r="Z2051" s="14" t="str">
        <f>IF(ISBLANK(LCI_Table[[#This Row],[Notes for user]])," ",LCI_Table[[#This Row],[Notes for user]])</f>
        <v xml:space="preserve"> </v>
      </c>
      <c r="AA2051" s="14"/>
      <c r="AB2051" s="14"/>
      <c r="AC2051" s="346">
        <f ca="1">LCI_Table[[#This Row],[Default Calculated Value]]-LCI_Table[[#This Row],[Calculated Value]]</f>
        <v>0</v>
      </c>
    </row>
    <row r="2052" spans="1:29" x14ac:dyDescent="0.3">
      <c r="A20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SugarcaneSIPICAOJRC(blank)_Sugarcane_K2OK2O</v>
      </c>
      <c r="B2052" s="14" t="s">
        <v>447</v>
      </c>
      <c r="C2052" s="14" t="s">
        <v>448</v>
      </c>
      <c r="D2052" s="14" t="s">
        <v>194</v>
      </c>
      <c r="E2052" s="14" t="s">
        <v>355</v>
      </c>
      <c r="F2052" s="48" t="s">
        <v>31</v>
      </c>
      <c r="G2052" s="14" t="b">
        <f>OR(LCI_Table[[#This Row],[Feedstock]]="All",LCI_Table[[#This Row],[Feedstock]]=SelectedFeedstock)</f>
        <v>0</v>
      </c>
      <c r="H2052" s="14" t="b">
        <f>OR(LCI_Table[[#This Row],[Conversion]]="All",LCI_Table[[#This Row],[Conversion]]=SelectedConversion)</f>
        <v>0</v>
      </c>
      <c r="I2052" s="14" t="b">
        <f>OR(LCI_Table[[#This Row],[Data Set]]="all",LCI_Table[[#This Row],[Data Set]]=SelectedDataSet)</f>
        <v>0</v>
      </c>
      <c r="J2052" s="14" t="b">
        <f>OR(LCI_Table[[#This Row],[Technology]]="All",LCI_Table[[#This Row],[Technology]]=SelectedTechnology)</f>
        <v>1</v>
      </c>
      <c r="K2052" s="14" t="b">
        <f>OR(LCI_Table[[#This Row],[Data Source]]="All",LCI_Table[[#This Row],[Data Source]]=SelectedDataSource)</f>
        <v>0</v>
      </c>
      <c r="L2052" s="14" t="b">
        <f>TRUE</f>
        <v>1</v>
      </c>
      <c r="M2052" s="14" t="b">
        <f>(LCI_Table[[#This Row],[Dev Notes]]="Do not display")</f>
        <v>0</v>
      </c>
      <c r="N2052" s="14" t="b">
        <f>AND(LCI_Table[[#This Row],[Show Feedstock]:[Conditional]],NOT(LCI_Table[[#This Row],[Hide Row]]))</f>
        <v>0</v>
      </c>
      <c r="O2052" s="14" t="b">
        <f>LCI_Table[[#This Row],[GREET1 Name Range]]=""</f>
        <v>0</v>
      </c>
      <c r="P2052" s="14" t="s">
        <v>14</v>
      </c>
      <c r="Q2052" s="14" t="s">
        <v>970</v>
      </c>
      <c r="R2052" s="14" t="s">
        <v>113</v>
      </c>
      <c r="S2052" s="37" cm="1">
        <f t="array" aca="1" ref="S20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78.89909024122322</v>
      </c>
      <c r="T2052" s="346" t="s">
        <v>1485</v>
      </c>
      <c r="U2052" s="347">
        <f t="shared" ca="1" si="141"/>
        <v>1020</v>
      </c>
      <c r="V2052" s="347">
        <v>78.89909024122322</v>
      </c>
      <c r="W2052" s="347">
        <v>1020</v>
      </c>
      <c r="X2052" s="14" t="s">
        <v>12</v>
      </c>
      <c r="Y2052" s="346" t="s">
        <v>413</v>
      </c>
      <c r="Z2052" s="14" t="str">
        <f>IF(ISBLANK(LCI_Table[[#This Row],[Notes for user]])," ",LCI_Table[[#This Row],[Notes for user]])</f>
        <v xml:space="preserve"> </v>
      </c>
      <c r="AA2052" s="14"/>
      <c r="AB2052" s="14"/>
      <c r="AC2052" s="346">
        <f ca="1">LCI_Table[[#This Row],[Default Calculated Value]]-LCI_Table[[#This Row],[Calculated Value]]</f>
        <v>0</v>
      </c>
    </row>
    <row r="2053" spans="1:29" x14ac:dyDescent="0.3">
      <c r="A20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SugarcaneSIPICAOJRC(blank)_Sugarcane_CaCO3CaCO3</v>
      </c>
      <c r="B2053" s="14" t="s">
        <v>447</v>
      </c>
      <c r="C2053" s="14" t="s">
        <v>448</v>
      </c>
      <c r="D2053" s="14" t="s">
        <v>194</v>
      </c>
      <c r="E2053" s="14" t="s">
        <v>355</v>
      </c>
      <c r="F2053" s="48" t="s">
        <v>31</v>
      </c>
      <c r="G2053" s="14" t="b">
        <f>OR(LCI_Table[[#This Row],[Feedstock]]="All",LCI_Table[[#This Row],[Feedstock]]=SelectedFeedstock)</f>
        <v>0</v>
      </c>
      <c r="H2053" s="14" t="b">
        <f>OR(LCI_Table[[#This Row],[Conversion]]="All",LCI_Table[[#This Row],[Conversion]]=SelectedConversion)</f>
        <v>0</v>
      </c>
      <c r="I2053" s="14" t="b">
        <f>OR(LCI_Table[[#This Row],[Data Set]]="all",LCI_Table[[#This Row],[Data Set]]=SelectedDataSet)</f>
        <v>0</v>
      </c>
      <c r="J2053" s="14" t="b">
        <f>OR(LCI_Table[[#This Row],[Technology]]="All",LCI_Table[[#This Row],[Technology]]=SelectedTechnology)</f>
        <v>1</v>
      </c>
      <c r="K2053" s="14" t="b">
        <f>OR(LCI_Table[[#This Row],[Data Source]]="All",LCI_Table[[#This Row],[Data Source]]=SelectedDataSource)</f>
        <v>0</v>
      </c>
      <c r="L2053" s="14" t="b">
        <f>TRUE</f>
        <v>1</v>
      </c>
      <c r="M2053" s="14" t="b">
        <f>(LCI_Table[[#This Row],[Dev Notes]]="Do not display")</f>
        <v>0</v>
      </c>
      <c r="N2053" s="14" t="b">
        <f>AND(LCI_Table[[#This Row],[Show Feedstock]:[Conditional]],NOT(LCI_Table[[#This Row],[Hide Row]]))</f>
        <v>0</v>
      </c>
      <c r="O2053" s="14" t="b">
        <f>LCI_Table[[#This Row],[GREET1 Name Range]]=""</f>
        <v>0</v>
      </c>
      <c r="P2053" s="14" t="s">
        <v>14</v>
      </c>
      <c r="Q2053" s="14" t="s">
        <v>971</v>
      </c>
      <c r="R2053" s="14" t="s">
        <v>141</v>
      </c>
      <c r="S2053" s="37" cm="1">
        <f t="array" aca="1" ref="S20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78.89909024122322</v>
      </c>
      <c r="T2053" s="346" t="s">
        <v>1485</v>
      </c>
      <c r="U2053" s="347">
        <f t="shared" ca="1" si="141"/>
        <v>1020</v>
      </c>
      <c r="V2053" s="347">
        <v>78.89909024122322</v>
      </c>
      <c r="W2053" s="347">
        <v>1020</v>
      </c>
      <c r="X2053" s="14" t="s">
        <v>12</v>
      </c>
      <c r="Y2053" s="346" t="s">
        <v>413</v>
      </c>
      <c r="Z2053" s="14" t="str">
        <f>IF(ISBLANK(LCI_Table[[#This Row],[Notes for user]])," ",LCI_Table[[#This Row],[Notes for user]])</f>
        <v xml:space="preserve"> </v>
      </c>
      <c r="AA2053" s="14"/>
      <c r="AB2053" s="14" t="s">
        <v>924</v>
      </c>
      <c r="AC2053" s="346">
        <f ca="1">LCI_Table[[#This Row],[Default Calculated Value]]-LCI_Table[[#This Row],[Calculated Value]]</f>
        <v>0</v>
      </c>
    </row>
    <row r="2054" spans="1:29" x14ac:dyDescent="0.3">
      <c r="A20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SugarcaneSIPICAOJRC(blank)_Sugarcane_HerbicidesHerbicides</v>
      </c>
      <c r="B2054" s="14" t="s">
        <v>447</v>
      </c>
      <c r="C2054" s="14" t="s">
        <v>448</v>
      </c>
      <c r="D2054" s="14" t="s">
        <v>194</v>
      </c>
      <c r="E2054" s="14" t="s">
        <v>355</v>
      </c>
      <c r="F2054" s="48" t="s">
        <v>31</v>
      </c>
      <c r="G2054" s="14" t="b">
        <f>OR(LCI_Table[[#This Row],[Feedstock]]="All",LCI_Table[[#This Row],[Feedstock]]=SelectedFeedstock)</f>
        <v>0</v>
      </c>
      <c r="H2054" s="14" t="b">
        <f>OR(LCI_Table[[#This Row],[Conversion]]="All",LCI_Table[[#This Row],[Conversion]]=SelectedConversion)</f>
        <v>0</v>
      </c>
      <c r="I2054" s="14" t="b">
        <f>OR(LCI_Table[[#This Row],[Data Set]]="all",LCI_Table[[#This Row],[Data Set]]=SelectedDataSet)</f>
        <v>0</v>
      </c>
      <c r="J2054" s="14" t="b">
        <f>OR(LCI_Table[[#This Row],[Technology]]="All",LCI_Table[[#This Row],[Technology]]=SelectedTechnology)</f>
        <v>1</v>
      </c>
      <c r="K2054" s="14" t="b">
        <f>OR(LCI_Table[[#This Row],[Data Source]]="All",LCI_Table[[#This Row],[Data Source]]=SelectedDataSource)</f>
        <v>0</v>
      </c>
      <c r="L2054" s="14" t="b">
        <f>TRUE</f>
        <v>1</v>
      </c>
      <c r="M2054" s="14" t="b">
        <f>(LCI_Table[[#This Row],[Dev Notes]]="Do not display")</f>
        <v>0</v>
      </c>
      <c r="N2054" s="14" t="b">
        <f>AND(LCI_Table[[#This Row],[Show Feedstock]:[Conditional]],NOT(LCI_Table[[#This Row],[Hide Row]]))</f>
        <v>0</v>
      </c>
      <c r="O2054" s="14" t="b">
        <f>LCI_Table[[#This Row],[GREET1 Name Range]]=""</f>
        <v>0</v>
      </c>
      <c r="P2054" s="14" t="s">
        <v>14</v>
      </c>
      <c r="Q2054" s="14" t="s">
        <v>972</v>
      </c>
      <c r="R2054" s="14" t="s">
        <v>356</v>
      </c>
      <c r="S2054" s="37" cm="1">
        <f t="array" aca="1" ref="S20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54" s="346" t="s">
        <v>1485</v>
      </c>
      <c r="U2054" s="347">
        <f t="shared" ca="1" si="141"/>
        <v>0</v>
      </c>
      <c r="V2054" s="347">
        <v>0</v>
      </c>
      <c r="W2054" s="347">
        <v>0</v>
      </c>
      <c r="X2054" s="14" t="s">
        <v>12</v>
      </c>
      <c r="Y2054" s="346" t="s">
        <v>413</v>
      </c>
      <c r="Z2054" s="14" t="str">
        <f>IF(ISBLANK(LCI_Table[[#This Row],[Notes for user]])," ",LCI_Table[[#This Row],[Notes for user]])</f>
        <v xml:space="preserve"> </v>
      </c>
      <c r="AA2054" s="14"/>
      <c r="AB2054" s="14"/>
      <c r="AC2054" s="346">
        <f ca="1">LCI_Table[[#This Row],[Default Calculated Value]]-LCI_Table[[#This Row],[Calculated Value]]</f>
        <v>0</v>
      </c>
    </row>
    <row r="2055" spans="1:29" x14ac:dyDescent="0.3">
      <c r="A20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SugarcaneSIPICAOJRC(blank)_Sugarcane_InsecticideInsecticide</v>
      </c>
      <c r="B2055" s="14" t="s">
        <v>447</v>
      </c>
      <c r="C2055" s="14" t="s">
        <v>448</v>
      </c>
      <c r="D2055" s="14" t="s">
        <v>194</v>
      </c>
      <c r="E2055" s="14" t="s">
        <v>355</v>
      </c>
      <c r="F2055" s="48" t="s">
        <v>31</v>
      </c>
      <c r="G2055" s="14" t="b">
        <f>OR(LCI_Table[[#This Row],[Feedstock]]="All",LCI_Table[[#This Row],[Feedstock]]=SelectedFeedstock)</f>
        <v>0</v>
      </c>
      <c r="H2055" s="14" t="b">
        <f>OR(LCI_Table[[#This Row],[Conversion]]="All",LCI_Table[[#This Row],[Conversion]]=SelectedConversion)</f>
        <v>0</v>
      </c>
      <c r="I2055" s="14" t="b">
        <f>OR(LCI_Table[[#This Row],[Data Set]]="all",LCI_Table[[#This Row],[Data Set]]=SelectedDataSet)</f>
        <v>0</v>
      </c>
      <c r="J2055" s="14" t="b">
        <f>OR(LCI_Table[[#This Row],[Technology]]="All",LCI_Table[[#This Row],[Technology]]=SelectedTechnology)</f>
        <v>1</v>
      </c>
      <c r="K2055" s="14" t="b">
        <f>OR(LCI_Table[[#This Row],[Data Source]]="All",LCI_Table[[#This Row],[Data Source]]=SelectedDataSource)</f>
        <v>0</v>
      </c>
      <c r="L2055" s="14" t="b">
        <f>TRUE</f>
        <v>1</v>
      </c>
      <c r="M2055" s="14" t="b">
        <f>(LCI_Table[[#This Row],[Dev Notes]]="Do not display")</f>
        <v>0</v>
      </c>
      <c r="N2055" s="14" t="b">
        <f>AND(LCI_Table[[#This Row],[Show Feedstock]:[Conditional]],NOT(LCI_Table[[#This Row],[Hide Row]]))</f>
        <v>0</v>
      </c>
      <c r="O2055" s="14" t="b">
        <f>LCI_Table[[#This Row],[GREET1 Name Range]]=""</f>
        <v>0</v>
      </c>
      <c r="P2055" s="14" t="s">
        <v>14</v>
      </c>
      <c r="Q2055" s="14" t="s">
        <v>973</v>
      </c>
      <c r="R2055" s="14" t="s">
        <v>114</v>
      </c>
      <c r="S2055" s="37" cm="1">
        <f t="array" aca="1" ref="S20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2.862025822475744</v>
      </c>
      <c r="T2055" s="346" t="s">
        <v>1485</v>
      </c>
      <c r="U2055" s="347">
        <f t="shared" ca="1" si="141"/>
        <v>37</v>
      </c>
      <c r="V2055" s="347">
        <v>2.862025822475744</v>
      </c>
      <c r="W2055" s="347">
        <v>37</v>
      </c>
      <c r="X2055" s="14" t="s">
        <v>12</v>
      </c>
      <c r="Y2055" s="346" t="s">
        <v>413</v>
      </c>
      <c r="Z2055" s="14" t="str">
        <f>IF(ISBLANK(LCI_Table[[#This Row],[Notes for user]])," ",LCI_Table[[#This Row],[Notes for user]])</f>
        <v xml:space="preserve"> </v>
      </c>
      <c r="AA2055" s="14"/>
      <c r="AB2055" s="14"/>
      <c r="AC2055" s="346">
        <f ca="1">LCI_Table[[#This Row],[Default Calculated Value]]-LCI_Table[[#This Row],[Calculated Value]]</f>
        <v>0</v>
      </c>
    </row>
    <row r="2056" spans="1:29" x14ac:dyDescent="0.3">
      <c r="A20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SugarcaneSIPICAOJRC(blank)_Sugarcane_Residual_oilResidual oil</v>
      </c>
      <c r="B2056" s="14" t="s">
        <v>447</v>
      </c>
      <c r="C2056" s="14" t="s">
        <v>448</v>
      </c>
      <c r="D2056" s="14" t="s">
        <v>194</v>
      </c>
      <c r="E2056" s="14" t="s">
        <v>355</v>
      </c>
      <c r="F2056" s="48" t="s">
        <v>31</v>
      </c>
      <c r="G2056" s="14" t="b">
        <f>OR(LCI_Table[[#This Row],[Feedstock]]="All",LCI_Table[[#This Row],[Feedstock]]=SelectedFeedstock)</f>
        <v>0</v>
      </c>
      <c r="H2056" s="14" t="b">
        <f>OR(LCI_Table[[#This Row],[Conversion]]="All",LCI_Table[[#This Row],[Conversion]]=SelectedConversion)</f>
        <v>0</v>
      </c>
      <c r="I2056" s="14" t="b">
        <f>OR(LCI_Table[[#This Row],[Data Set]]="all",LCI_Table[[#This Row],[Data Set]]=SelectedDataSet)</f>
        <v>0</v>
      </c>
      <c r="J2056" s="14" t="b">
        <f>OR(LCI_Table[[#This Row],[Technology]]="All",LCI_Table[[#This Row],[Technology]]=SelectedTechnology)</f>
        <v>1</v>
      </c>
      <c r="K2056" s="14" t="b">
        <f>OR(LCI_Table[[#This Row],[Data Source]]="All",LCI_Table[[#This Row],[Data Source]]=SelectedDataSource)</f>
        <v>0</v>
      </c>
      <c r="L2056" s="14" t="b">
        <f>TRUE</f>
        <v>1</v>
      </c>
      <c r="M2056" s="14" t="b">
        <f>(LCI_Table[[#This Row],[Dev Notes]]="Do not display")</f>
        <v>0</v>
      </c>
      <c r="N2056" s="14" t="b">
        <f>AND(LCI_Table[[#This Row],[Show Feedstock]:[Conditional]],NOT(LCI_Table[[#This Row],[Hide Row]]))</f>
        <v>0</v>
      </c>
      <c r="O2056" s="14" t="b">
        <f>LCI_Table[[#This Row],[GREET1 Name Range]]=""</f>
        <v>0</v>
      </c>
      <c r="P2056" s="14" t="s">
        <v>14</v>
      </c>
      <c r="Q2056" s="14" t="s">
        <v>974</v>
      </c>
      <c r="R2056" s="14" t="s">
        <v>115</v>
      </c>
      <c r="S2056" s="37" cm="1">
        <f t="array" aca="1" ref="S20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56" s="346" t="s">
        <v>1484</v>
      </c>
      <c r="U2056" s="347">
        <f ca="1">$S2056/$S$2049*Fuel_Specs!$B$28/ton2MT</f>
        <v>0</v>
      </c>
      <c r="V2056" s="347">
        <v>0</v>
      </c>
      <c r="W2056" s="347">
        <v>0</v>
      </c>
      <c r="X2056" s="14" t="s">
        <v>5</v>
      </c>
      <c r="Y2056" s="346" t="s">
        <v>413</v>
      </c>
      <c r="Z2056" s="14" t="str">
        <f>IF(ISBLANK(LCI_Table[[#This Row],[Notes for user]])," ",LCI_Table[[#This Row],[Notes for user]])</f>
        <v xml:space="preserve"> </v>
      </c>
      <c r="AA2056" s="14"/>
      <c r="AB2056" s="14"/>
      <c r="AC2056" s="346">
        <f ca="1">LCI_Table[[#This Row],[Default Calculated Value]]-LCI_Table[[#This Row],[Calculated Value]]</f>
        <v>0</v>
      </c>
    </row>
    <row r="2057" spans="1:29" x14ac:dyDescent="0.3">
      <c r="A20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SugarcaneSIPICAOJRC(blank)_Sugarcane_DieselDiesel</v>
      </c>
      <c r="B2057" s="14" t="s">
        <v>447</v>
      </c>
      <c r="C2057" s="14" t="s">
        <v>448</v>
      </c>
      <c r="D2057" s="14" t="s">
        <v>194</v>
      </c>
      <c r="E2057" s="14" t="s">
        <v>355</v>
      </c>
      <c r="F2057" s="48" t="s">
        <v>31</v>
      </c>
      <c r="G2057" s="14" t="b">
        <f>OR(LCI_Table[[#This Row],[Feedstock]]="All",LCI_Table[[#This Row],[Feedstock]]=SelectedFeedstock)</f>
        <v>0</v>
      </c>
      <c r="H2057" s="14" t="b">
        <f>OR(LCI_Table[[#This Row],[Conversion]]="All",LCI_Table[[#This Row],[Conversion]]=SelectedConversion)</f>
        <v>0</v>
      </c>
      <c r="I2057" s="14" t="b">
        <f>OR(LCI_Table[[#This Row],[Data Set]]="all",LCI_Table[[#This Row],[Data Set]]=SelectedDataSet)</f>
        <v>0</v>
      </c>
      <c r="J2057" s="14" t="b">
        <f>OR(LCI_Table[[#This Row],[Technology]]="All",LCI_Table[[#This Row],[Technology]]=SelectedTechnology)</f>
        <v>1</v>
      </c>
      <c r="K2057" s="14" t="b">
        <f>OR(LCI_Table[[#This Row],[Data Source]]="All",LCI_Table[[#This Row],[Data Source]]=SelectedDataSource)</f>
        <v>0</v>
      </c>
      <c r="L2057" s="14" t="b">
        <f>TRUE</f>
        <v>1</v>
      </c>
      <c r="M2057" s="14" t="b">
        <f>(LCI_Table[[#This Row],[Dev Notes]]="Do not display")</f>
        <v>0</v>
      </c>
      <c r="N2057" s="14" t="b">
        <f>AND(LCI_Table[[#This Row],[Show Feedstock]:[Conditional]],NOT(LCI_Table[[#This Row],[Hide Row]]))</f>
        <v>0</v>
      </c>
      <c r="O2057" s="14" t="b">
        <f>LCI_Table[[#This Row],[GREET1 Name Range]]=""</f>
        <v>0</v>
      </c>
      <c r="P2057" s="14" t="s">
        <v>14</v>
      </c>
      <c r="Q2057" s="14" t="s">
        <v>975</v>
      </c>
      <c r="R2057" s="14" t="s">
        <v>106</v>
      </c>
      <c r="S2057" s="37" cm="1">
        <f t="array" aca="1" ref="S20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2.5889758887947307</v>
      </c>
      <c r="T2057" s="346" t="s">
        <v>1484</v>
      </c>
      <c r="U2057" s="347">
        <f ca="1">$S2057/$S$2049*Fuel_Specs!$B$19/ton2MT</f>
        <v>9478.1712266701143</v>
      </c>
      <c r="V2057" s="347">
        <v>2.5889758887947307</v>
      </c>
      <c r="W2057" s="347">
        <v>9478.1712266701143</v>
      </c>
      <c r="X2057" s="14" t="s">
        <v>5</v>
      </c>
      <c r="Y2057" s="346" t="s">
        <v>413</v>
      </c>
      <c r="Z2057" s="14" t="str">
        <f>IF(ISBLANK(LCI_Table[[#This Row],[Notes for user]])," ",LCI_Table[[#This Row],[Notes for user]])</f>
        <v xml:space="preserve"> </v>
      </c>
      <c r="AA2057" s="14"/>
      <c r="AB2057" s="14"/>
      <c r="AC2057" s="346">
        <f ca="1">LCI_Table[[#This Row],[Default Calculated Value]]-LCI_Table[[#This Row],[Calculated Value]]</f>
        <v>0</v>
      </c>
    </row>
    <row r="2058" spans="1:29" x14ac:dyDescent="0.3">
      <c r="A20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SugarcaneSIPICAOJRC(blank)_Sugarcane_GasolineGasoline</v>
      </c>
      <c r="B2058" s="14" t="s">
        <v>447</v>
      </c>
      <c r="C2058" s="14" t="s">
        <v>448</v>
      </c>
      <c r="D2058" s="14" t="s">
        <v>194</v>
      </c>
      <c r="E2058" s="14" t="s">
        <v>355</v>
      </c>
      <c r="F2058" s="48" t="s">
        <v>31</v>
      </c>
      <c r="G2058" s="14" t="b">
        <f>OR(LCI_Table[[#This Row],[Feedstock]]="All",LCI_Table[[#This Row],[Feedstock]]=SelectedFeedstock)</f>
        <v>0</v>
      </c>
      <c r="H2058" s="14" t="b">
        <f>OR(LCI_Table[[#This Row],[Conversion]]="All",LCI_Table[[#This Row],[Conversion]]=SelectedConversion)</f>
        <v>0</v>
      </c>
      <c r="I2058" s="14" t="b">
        <f>OR(LCI_Table[[#This Row],[Data Set]]="all",LCI_Table[[#This Row],[Data Set]]=SelectedDataSet)</f>
        <v>0</v>
      </c>
      <c r="J2058" s="14" t="b">
        <f>OR(LCI_Table[[#This Row],[Technology]]="All",LCI_Table[[#This Row],[Technology]]=SelectedTechnology)</f>
        <v>1</v>
      </c>
      <c r="K2058" s="14" t="b">
        <f>OR(LCI_Table[[#This Row],[Data Source]]="All",LCI_Table[[#This Row],[Data Source]]=SelectedDataSource)</f>
        <v>0</v>
      </c>
      <c r="L2058" s="14" t="b">
        <f>TRUE</f>
        <v>1</v>
      </c>
      <c r="M2058" s="14" t="b">
        <f>(LCI_Table[[#This Row],[Dev Notes]]="Do not display")</f>
        <v>0</v>
      </c>
      <c r="N2058" s="14" t="b">
        <f>AND(LCI_Table[[#This Row],[Show Feedstock]:[Conditional]],NOT(LCI_Table[[#This Row],[Hide Row]]))</f>
        <v>0</v>
      </c>
      <c r="O2058" s="14" t="b">
        <f>LCI_Table[[#This Row],[GREET1 Name Range]]=""</f>
        <v>0</v>
      </c>
      <c r="P2058" s="14" t="s">
        <v>14</v>
      </c>
      <c r="Q2058" s="14" t="s">
        <v>976</v>
      </c>
      <c r="R2058" s="14" t="s">
        <v>107</v>
      </c>
      <c r="S2058" s="37" cm="1">
        <f t="array" aca="1" ref="S20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58" s="346" t="s">
        <v>1484</v>
      </c>
      <c r="U2058" s="347">
        <f ca="1">$S2058/$S$2049*Fuel_Specs!$B$15/ton2MT</f>
        <v>0</v>
      </c>
      <c r="V2058" s="347">
        <v>0</v>
      </c>
      <c r="W2058" s="347">
        <v>0</v>
      </c>
      <c r="X2058" s="14" t="s">
        <v>5</v>
      </c>
      <c r="Y2058" s="346" t="s">
        <v>413</v>
      </c>
      <c r="Z2058" s="14" t="str">
        <f>IF(ISBLANK(LCI_Table[[#This Row],[Notes for user]])," ",LCI_Table[[#This Row],[Notes for user]])</f>
        <v xml:space="preserve"> </v>
      </c>
      <c r="AA2058" s="14"/>
      <c r="AB2058" s="14"/>
      <c r="AC2058" s="346">
        <f ca="1">LCI_Table[[#This Row],[Default Calculated Value]]-LCI_Table[[#This Row],[Calculated Value]]</f>
        <v>0</v>
      </c>
    </row>
    <row r="2059" spans="1:29" x14ac:dyDescent="0.3">
      <c r="A20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SugarcaneSIPICAOJRC(blank)_Sugarcane_Natural_gasNatural gas</v>
      </c>
      <c r="B2059" s="14" t="s">
        <v>447</v>
      </c>
      <c r="C2059" s="14" t="s">
        <v>448</v>
      </c>
      <c r="D2059" s="14" t="s">
        <v>194</v>
      </c>
      <c r="E2059" s="14" t="s">
        <v>355</v>
      </c>
      <c r="F2059" s="48" t="s">
        <v>31</v>
      </c>
      <c r="G2059" s="14" t="b">
        <f>OR(LCI_Table[[#This Row],[Feedstock]]="All",LCI_Table[[#This Row],[Feedstock]]=SelectedFeedstock)</f>
        <v>0</v>
      </c>
      <c r="H2059" s="14" t="b">
        <f>OR(LCI_Table[[#This Row],[Conversion]]="All",LCI_Table[[#This Row],[Conversion]]=SelectedConversion)</f>
        <v>0</v>
      </c>
      <c r="I2059" s="14" t="b">
        <f>OR(LCI_Table[[#This Row],[Data Set]]="all",LCI_Table[[#This Row],[Data Set]]=SelectedDataSet)</f>
        <v>0</v>
      </c>
      <c r="J2059" s="14" t="b">
        <f>OR(LCI_Table[[#This Row],[Technology]]="All",LCI_Table[[#This Row],[Technology]]=SelectedTechnology)</f>
        <v>1</v>
      </c>
      <c r="K2059" s="14" t="b">
        <f>OR(LCI_Table[[#This Row],[Data Source]]="All",LCI_Table[[#This Row],[Data Source]]=SelectedDataSource)</f>
        <v>0</v>
      </c>
      <c r="L2059" s="14" t="b">
        <f>TRUE</f>
        <v>1</v>
      </c>
      <c r="M2059" s="14" t="b">
        <f>(LCI_Table[[#This Row],[Dev Notes]]="Do not display")</f>
        <v>0</v>
      </c>
      <c r="N2059" s="14" t="b">
        <f>AND(LCI_Table[[#This Row],[Show Feedstock]:[Conditional]],NOT(LCI_Table[[#This Row],[Hide Row]]))</f>
        <v>0</v>
      </c>
      <c r="O2059" s="14" t="b">
        <f>LCI_Table[[#This Row],[GREET1 Name Range]]=""</f>
        <v>0</v>
      </c>
      <c r="P2059" s="14" t="s">
        <v>14</v>
      </c>
      <c r="Q2059" s="14" t="s">
        <v>977</v>
      </c>
      <c r="R2059" s="14" t="s">
        <v>108</v>
      </c>
      <c r="S2059" s="37" cm="1">
        <f t="array" aca="1" ref="S20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59" s="346" t="s">
        <v>2109</v>
      </c>
      <c r="U2059" s="347">
        <f ca="1">$S2059/$S$2049*Fuel_Specs!$B$79/ton2MT</f>
        <v>0</v>
      </c>
      <c r="V2059" s="347">
        <v>0</v>
      </c>
      <c r="W2059" s="347">
        <v>0</v>
      </c>
      <c r="X2059" s="14" t="s">
        <v>351</v>
      </c>
      <c r="Y2059" s="346" t="s">
        <v>413</v>
      </c>
      <c r="Z2059" s="14" t="str">
        <f>IF(ISBLANK(LCI_Table[[#This Row],[Notes for user]])," ",LCI_Table[[#This Row],[Notes for user]])</f>
        <v xml:space="preserve"> </v>
      </c>
      <c r="AA2059" s="14"/>
      <c r="AB2059" s="14"/>
      <c r="AC2059" s="346">
        <f ca="1">LCI_Table[[#This Row],[Default Calculated Value]]-LCI_Table[[#This Row],[Calculated Value]]</f>
        <v>0</v>
      </c>
    </row>
    <row r="2060" spans="1:29" x14ac:dyDescent="0.3">
      <c r="A20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SugarcaneSIPICAOJRC(blank)_Sugarcane_CoalCoal</v>
      </c>
      <c r="B2060" s="14" t="s">
        <v>447</v>
      </c>
      <c r="C2060" s="14" t="s">
        <v>448</v>
      </c>
      <c r="D2060" s="14" t="s">
        <v>194</v>
      </c>
      <c r="E2060" s="14" t="s">
        <v>355</v>
      </c>
      <c r="F2060" s="48" t="s">
        <v>31</v>
      </c>
      <c r="G2060" s="14" t="b">
        <f>OR(LCI_Table[[#This Row],[Feedstock]]="All",LCI_Table[[#This Row],[Feedstock]]=SelectedFeedstock)</f>
        <v>0</v>
      </c>
      <c r="H2060" s="14" t="b">
        <f>OR(LCI_Table[[#This Row],[Conversion]]="All",LCI_Table[[#This Row],[Conversion]]=SelectedConversion)</f>
        <v>0</v>
      </c>
      <c r="I2060" s="14" t="b">
        <f>OR(LCI_Table[[#This Row],[Data Set]]="all",LCI_Table[[#This Row],[Data Set]]=SelectedDataSet)</f>
        <v>0</v>
      </c>
      <c r="J2060" s="14" t="b">
        <f>OR(LCI_Table[[#This Row],[Technology]]="All",LCI_Table[[#This Row],[Technology]]=SelectedTechnology)</f>
        <v>1</v>
      </c>
      <c r="K2060" s="14" t="b">
        <f>OR(LCI_Table[[#This Row],[Data Source]]="All",LCI_Table[[#This Row],[Data Source]]=SelectedDataSource)</f>
        <v>0</v>
      </c>
      <c r="L2060" s="14" t="b">
        <f>TRUE</f>
        <v>1</v>
      </c>
      <c r="M2060" s="14" t="b">
        <f>(LCI_Table[[#This Row],[Dev Notes]]="Do not display")</f>
        <v>0</v>
      </c>
      <c r="N2060" s="14" t="b">
        <f>AND(LCI_Table[[#This Row],[Show Feedstock]:[Conditional]],NOT(LCI_Table[[#This Row],[Hide Row]]))</f>
        <v>0</v>
      </c>
      <c r="O2060" s="14" t="b">
        <f>LCI_Table[[#This Row],[GREET1 Name Range]]=""</f>
        <v>0</v>
      </c>
      <c r="P2060" s="14" t="s">
        <v>14</v>
      </c>
      <c r="Q2060" s="14" t="s">
        <v>978</v>
      </c>
      <c r="R2060" s="14" t="s">
        <v>9</v>
      </c>
      <c r="S2060" s="37" cm="1">
        <f t="array" aca="1" ref="S20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60" s="346" t="s">
        <v>2110</v>
      </c>
      <c r="U2060" s="347">
        <f ca="1">S2060/$S$2049/ton2MT</f>
        <v>0</v>
      </c>
      <c r="V2060" s="347">
        <v>0</v>
      </c>
      <c r="W2060" s="347">
        <v>0</v>
      </c>
      <c r="X2060" s="14" t="s">
        <v>117</v>
      </c>
      <c r="Y2060" s="346" t="s">
        <v>413</v>
      </c>
      <c r="Z2060" s="14" t="str">
        <f>IF(ISBLANK(LCI_Table[[#This Row],[Notes for user]])," ",LCI_Table[[#This Row],[Notes for user]])</f>
        <v xml:space="preserve"> </v>
      </c>
      <c r="AA2060" s="14"/>
      <c r="AB2060" s="14"/>
      <c r="AC2060" s="346">
        <f ca="1">LCI_Table[[#This Row],[Default Calculated Value]]-LCI_Table[[#This Row],[Calculated Value]]</f>
        <v>0</v>
      </c>
    </row>
    <row r="2061" spans="1:29" x14ac:dyDescent="0.3">
      <c r="A20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SugarcaneSIPICAOJRC(blank)_Sugarcane_LPGLPG</v>
      </c>
      <c r="B2061" s="14" t="s">
        <v>447</v>
      </c>
      <c r="C2061" s="14" t="s">
        <v>448</v>
      </c>
      <c r="D2061" s="14" t="s">
        <v>194</v>
      </c>
      <c r="E2061" s="14" t="s">
        <v>355</v>
      </c>
      <c r="F2061" s="48" t="s">
        <v>31</v>
      </c>
      <c r="G2061" s="14" t="b">
        <f>OR(LCI_Table[[#This Row],[Feedstock]]="All",LCI_Table[[#This Row],[Feedstock]]=SelectedFeedstock)</f>
        <v>0</v>
      </c>
      <c r="H2061" s="14" t="b">
        <f>OR(LCI_Table[[#This Row],[Conversion]]="All",LCI_Table[[#This Row],[Conversion]]=SelectedConversion)</f>
        <v>0</v>
      </c>
      <c r="I2061" s="14" t="b">
        <f>OR(LCI_Table[[#This Row],[Data Set]]="all",LCI_Table[[#This Row],[Data Set]]=SelectedDataSet)</f>
        <v>0</v>
      </c>
      <c r="J2061" s="14" t="b">
        <f>OR(LCI_Table[[#This Row],[Technology]]="All",LCI_Table[[#This Row],[Technology]]=SelectedTechnology)</f>
        <v>1</v>
      </c>
      <c r="K2061" s="14" t="b">
        <f>OR(LCI_Table[[#This Row],[Data Source]]="All",LCI_Table[[#This Row],[Data Source]]=SelectedDataSource)</f>
        <v>0</v>
      </c>
      <c r="L2061" s="14" t="b">
        <f>TRUE</f>
        <v>1</v>
      </c>
      <c r="M2061" s="14" t="b">
        <f>(LCI_Table[[#This Row],[Dev Notes]]="Do not display")</f>
        <v>0</v>
      </c>
      <c r="N2061" s="14" t="b">
        <f>AND(LCI_Table[[#This Row],[Show Feedstock]:[Conditional]],NOT(LCI_Table[[#This Row],[Hide Row]]))</f>
        <v>0</v>
      </c>
      <c r="O2061" s="14" t="b">
        <f>LCI_Table[[#This Row],[GREET1 Name Range]]=""</f>
        <v>0</v>
      </c>
      <c r="P2061" s="14" t="s">
        <v>14</v>
      </c>
      <c r="Q2061" s="14" t="s">
        <v>979</v>
      </c>
      <c r="R2061" s="14" t="s">
        <v>109</v>
      </c>
      <c r="S2061" s="37" cm="1">
        <f t="array" aca="1" ref="S20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61" s="346" t="s">
        <v>1484</v>
      </c>
      <c r="U2061" s="347">
        <f ca="1">$S2061/$S$2049*Fuel_Specs!$B$35/ton2MT</f>
        <v>0</v>
      </c>
      <c r="V2061" s="347">
        <v>0</v>
      </c>
      <c r="W2061" s="347">
        <v>0</v>
      </c>
      <c r="X2061" s="14" t="s">
        <v>5</v>
      </c>
      <c r="Y2061" s="346" t="s">
        <v>413</v>
      </c>
      <c r="Z2061" s="14" t="str">
        <f>IF(ISBLANK(LCI_Table[[#This Row],[Notes for user]])," ",LCI_Table[[#This Row],[Notes for user]])</f>
        <v xml:space="preserve"> </v>
      </c>
      <c r="AA2061" s="14"/>
      <c r="AB2061" s="14"/>
      <c r="AC2061" s="346">
        <f ca="1">LCI_Table[[#This Row],[Default Calculated Value]]-LCI_Table[[#This Row],[Calculated Value]]</f>
        <v>0</v>
      </c>
    </row>
    <row r="2062" spans="1:29" x14ac:dyDescent="0.3">
      <c r="A20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SugarcaneSIPICAOJRC(blank)_Sugarcane_ElectricityElectricity</v>
      </c>
      <c r="B2062" s="14" t="s">
        <v>447</v>
      </c>
      <c r="C2062" s="14" t="s">
        <v>448</v>
      </c>
      <c r="D2062" s="14" t="s">
        <v>194</v>
      </c>
      <c r="E2062" s="14" t="s">
        <v>355</v>
      </c>
      <c r="F2062" s="48" t="s">
        <v>31</v>
      </c>
      <c r="G2062" s="14" t="b">
        <f>OR(LCI_Table[[#This Row],[Feedstock]]="All",LCI_Table[[#This Row],[Feedstock]]=SelectedFeedstock)</f>
        <v>0</v>
      </c>
      <c r="H2062" s="14" t="b">
        <f>OR(LCI_Table[[#This Row],[Conversion]]="All",LCI_Table[[#This Row],[Conversion]]=SelectedConversion)</f>
        <v>0</v>
      </c>
      <c r="I2062" s="14" t="b">
        <f>OR(LCI_Table[[#This Row],[Data Set]]="all",LCI_Table[[#This Row],[Data Set]]=SelectedDataSet)</f>
        <v>0</v>
      </c>
      <c r="J2062" s="14" t="b">
        <f>OR(LCI_Table[[#This Row],[Technology]]="All",LCI_Table[[#This Row],[Technology]]=SelectedTechnology)</f>
        <v>1</v>
      </c>
      <c r="K2062" s="14" t="b">
        <f>OR(LCI_Table[[#This Row],[Data Source]]="All",LCI_Table[[#This Row],[Data Source]]=SelectedDataSource)</f>
        <v>0</v>
      </c>
      <c r="L2062" s="14" t="b">
        <f>TRUE</f>
        <v>1</v>
      </c>
      <c r="M2062" s="14" t="b">
        <f>(LCI_Table[[#This Row],[Dev Notes]]="Do not display")</f>
        <v>0</v>
      </c>
      <c r="N2062" s="14" t="b">
        <f>AND(LCI_Table[[#This Row],[Show Feedstock]:[Conditional]],NOT(LCI_Table[[#This Row],[Hide Row]]))</f>
        <v>0</v>
      </c>
      <c r="O2062" s="14" t="b">
        <f>LCI_Table[[#This Row],[GREET1 Name Range]]=""</f>
        <v>0</v>
      </c>
      <c r="P2062" s="14" t="s">
        <v>14</v>
      </c>
      <c r="Q2062" s="14" t="s">
        <v>980</v>
      </c>
      <c r="R2062" s="348" t="s">
        <v>110</v>
      </c>
      <c r="S2062" s="37" cm="1">
        <f t="array" aca="1" ref="S20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62" s="346" t="s">
        <v>1561</v>
      </c>
      <c r="U2062" s="347">
        <f ca="1">S2062/BTU2kWh/$S$2049/ton2MT</f>
        <v>0</v>
      </c>
      <c r="V2062" s="347">
        <v>0</v>
      </c>
      <c r="W2062" s="347">
        <v>0</v>
      </c>
      <c r="X2062" s="14" t="s">
        <v>51</v>
      </c>
      <c r="Y2062" s="346" t="s">
        <v>413</v>
      </c>
      <c r="Z2062" s="14" t="str">
        <f>IF(ISBLANK(LCI_Table[[#This Row],[Notes for user]])," ",LCI_Table[[#This Row],[Notes for user]])</f>
        <v xml:space="preserve"> </v>
      </c>
      <c r="AA2062" s="14"/>
      <c r="AB2062" s="14"/>
      <c r="AC2062" s="346">
        <f ca="1">LCI_Table[[#This Row],[Default Calculated Value]]-LCI_Table[[#This Row],[Calculated Value]]</f>
        <v>0</v>
      </c>
    </row>
    <row r="2063" spans="1:29" x14ac:dyDescent="0.3">
      <c r="A20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SugarcaneSIPICAOJRC(blank)_Sugarcane_BiodieselBiodiesel</v>
      </c>
      <c r="B2063" s="14" t="s">
        <v>447</v>
      </c>
      <c r="C2063" s="14" t="s">
        <v>448</v>
      </c>
      <c r="D2063" s="14" t="s">
        <v>194</v>
      </c>
      <c r="E2063" s="14" t="s">
        <v>355</v>
      </c>
      <c r="F2063" s="48" t="s">
        <v>31</v>
      </c>
      <c r="G2063" s="14" t="b">
        <f>OR(LCI_Table[[#This Row],[Feedstock]]="All",LCI_Table[[#This Row],[Feedstock]]=SelectedFeedstock)</f>
        <v>0</v>
      </c>
      <c r="H2063" s="14" t="b">
        <f>OR(LCI_Table[[#This Row],[Conversion]]="All",LCI_Table[[#This Row],[Conversion]]=SelectedConversion)</f>
        <v>0</v>
      </c>
      <c r="I2063" s="14" t="b">
        <f>OR(LCI_Table[[#This Row],[Data Set]]="all",LCI_Table[[#This Row],[Data Set]]=SelectedDataSet)</f>
        <v>0</v>
      </c>
      <c r="J2063" s="14" t="b">
        <f>OR(LCI_Table[[#This Row],[Technology]]="All",LCI_Table[[#This Row],[Technology]]=SelectedTechnology)</f>
        <v>1</v>
      </c>
      <c r="K2063" s="14" t="b">
        <f>OR(LCI_Table[[#This Row],[Data Source]]="All",LCI_Table[[#This Row],[Data Source]]=SelectedDataSource)</f>
        <v>0</v>
      </c>
      <c r="L2063" s="14" t="b">
        <f>TRUE</f>
        <v>1</v>
      </c>
      <c r="M2063" s="14" t="b">
        <f>(LCI_Table[[#This Row],[Dev Notes]]="Do not display")</f>
        <v>0</v>
      </c>
      <c r="N2063" s="14" t="b">
        <f>AND(LCI_Table[[#This Row],[Show Feedstock]:[Conditional]],NOT(LCI_Table[[#This Row],[Hide Row]]))</f>
        <v>0</v>
      </c>
      <c r="O2063" s="14" t="b">
        <f>LCI_Table[[#This Row],[GREET1 Name Range]]=""</f>
        <v>0</v>
      </c>
      <c r="P2063" s="14" t="s">
        <v>14</v>
      </c>
      <c r="Q2063" s="14" t="s">
        <v>1393</v>
      </c>
      <c r="R2063" s="348" t="s">
        <v>1394</v>
      </c>
      <c r="S2063" s="37" cm="1">
        <f t="array" aca="1" ref="S20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63" s="346" t="s">
        <v>1484</v>
      </c>
      <c r="U2063" s="347">
        <f ca="1">S2063*Fuel_Specs!$B$39/$S$2049/ton2MT</f>
        <v>0</v>
      </c>
      <c r="V2063" s="347">
        <v>0</v>
      </c>
      <c r="W2063" s="347">
        <v>0</v>
      </c>
      <c r="X2063" s="14" t="s">
        <v>5</v>
      </c>
      <c r="Y2063" s="346" t="s">
        <v>413</v>
      </c>
      <c r="Z2063" s="14" t="str">
        <f>IF(ISBLANK(LCI_Table[[#This Row],[Notes for user]])," ",LCI_Table[[#This Row],[Notes for user]])</f>
        <v xml:space="preserve"> </v>
      </c>
      <c r="AA2063" s="14"/>
      <c r="AB2063" s="14"/>
      <c r="AC2063" s="346">
        <f ca="1">LCI_Table[[#This Row],[Default Calculated Value]]-LCI_Table[[#This Row],[Calculated Value]]</f>
        <v>0</v>
      </c>
    </row>
    <row r="2064" spans="1:29" x14ac:dyDescent="0.3">
      <c r="A20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SugarcaneSIPICAOJRC(blank)_Sugarcane_SIP_SugarcaneSugarcane</v>
      </c>
      <c r="B2064" s="348" t="s">
        <v>447</v>
      </c>
      <c r="C2064" s="348" t="s">
        <v>448</v>
      </c>
      <c r="D2064" s="348" t="s">
        <v>194</v>
      </c>
      <c r="E2064" s="348" t="s">
        <v>355</v>
      </c>
      <c r="F2064" s="48" t="s">
        <v>31</v>
      </c>
      <c r="G2064" s="14" t="b">
        <f>OR(LCI_Table[[#This Row],[Feedstock]]="All",LCI_Table[[#This Row],[Feedstock]]=SelectedFeedstock)</f>
        <v>0</v>
      </c>
      <c r="H2064" s="14" t="b">
        <f>OR(LCI_Table[[#This Row],[Conversion]]="All",LCI_Table[[#This Row],[Conversion]]=SelectedConversion)</f>
        <v>0</v>
      </c>
      <c r="I2064" s="14" t="b">
        <f>OR(LCI_Table[[#This Row],[Data Set]]="all",LCI_Table[[#This Row],[Data Set]]=SelectedDataSet)</f>
        <v>0</v>
      </c>
      <c r="J2064" s="14" t="b">
        <f>OR(LCI_Table[[#This Row],[Technology]]="All",LCI_Table[[#This Row],[Technology]]=SelectedTechnology)</f>
        <v>1</v>
      </c>
      <c r="K2064" s="14" t="b">
        <f>OR(LCI_Table[[#This Row],[Data Source]]="All",LCI_Table[[#This Row],[Data Source]]=SelectedDataSource)</f>
        <v>0</v>
      </c>
      <c r="L2064" s="14" t="b">
        <f>TRUE</f>
        <v>1</v>
      </c>
      <c r="M2064" s="14" t="b">
        <f>(LCI_Table[[#This Row],[Dev Notes]]="Do not display")</f>
        <v>0</v>
      </c>
      <c r="N2064" s="14" t="b">
        <f>AND(LCI_Table[[#This Row],[Show Feedstock]:[Conditional]],NOT(LCI_Table[[#This Row],[Hide Row]]))</f>
        <v>0</v>
      </c>
      <c r="O2064" s="14" t="b">
        <f>LCI_Table[[#This Row],[GREET1 Name Range]]=""</f>
        <v>0</v>
      </c>
      <c r="P2064" s="348" t="s">
        <v>448</v>
      </c>
      <c r="Q2064" s="14" t="s">
        <v>995</v>
      </c>
      <c r="R2064" s="348" t="s">
        <v>447</v>
      </c>
      <c r="S2064" s="37" cm="1">
        <f t="array" aca="1" ref="S20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2230.1165133421414</v>
      </c>
      <c r="T2064" s="346" t="s">
        <v>2138</v>
      </c>
      <c r="U2064" s="368">
        <f ca="1">S2064*lb2kg/mmBTU2MJ</f>
        <v>0.95877752316429377</v>
      </c>
      <c r="V2064" s="368">
        <v>2230.1165133421414</v>
      </c>
      <c r="W2064" s="368">
        <v>0.95877752316429377</v>
      </c>
      <c r="X2064" s="348" t="s">
        <v>12</v>
      </c>
      <c r="Y2064" s="346" t="s">
        <v>1436</v>
      </c>
      <c r="Z2064" s="14" t="str">
        <f>IF(ISBLANK(LCI_Table[[#This Row],[Notes for user]])," ",LCI_Table[[#This Row],[Notes for user]])</f>
        <v xml:space="preserve"> </v>
      </c>
      <c r="AA2064" s="348"/>
      <c r="AB2064" s="348"/>
      <c r="AC2064" s="346">
        <f ca="1">LCI_Table[[#This Row],[Default Calculated Value]]-LCI_Table[[#This Row],[Calculated Value]]</f>
        <v>0</v>
      </c>
    </row>
    <row r="2065" spans="1:29" x14ac:dyDescent="0.3">
      <c r="A20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SugarcaneSIPICAOJRC(blank)_Sugarcane_SIP_Lime_CaOLime (CaO)</v>
      </c>
      <c r="B2065" s="14" t="s">
        <v>447</v>
      </c>
      <c r="C2065" s="14" t="s">
        <v>448</v>
      </c>
      <c r="D2065" s="14" t="s">
        <v>194</v>
      </c>
      <c r="E2065" s="14" t="s">
        <v>355</v>
      </c>
      <c r="F2065" s="48" t="s">
        <v>31</v>
      </c>
      <c r="G2065" s="14" t="b">
        <f>OR(LCI_Table[[#This Row],[Feedstock]]="All",LCI_Table[[#This Row],[Feedstock]]=SelectedFeedstock)</f>
        <v>0</v>
      </c>
      <c r="H2065" s="14" t="b">
        <f>OR(LCI_Table[[#This Row],[Conversion]]="All",LCI_Table[[#This Row],[Conversion]]=SelectedConversion)</f>
        <v>0</v>
      </c>
      <c r="I2065" s="14" t="b">
        <f>OR(LCI_Table[[#This Row],[Data Set]]="all",LCI_Table[[#This Row],[Data Set]]=SelectedDataSet)</f>
        <v>0</v>
      </c>
      <c r="J2065" s="14" t="b">
        <f>OR(LCI_Table[[#This Row],[Technology]]="All",LCI_Table[[#This Row],[Technology]]=SelectedTechnology)</f>
        <v>1</v>
      </c>
      <c r="K2065" s="14" t="b">
        <f>OR(LCI_Table[[#This Row],[Data Source]]="All",LCI_Table[[#This Row],[Data Source]]=SelectedDataSource)</f>
        <v>0</v>
      </c>
      <c r="L2065" s="14" t="b">
        <f>TRUE</f>
        <v>1</v>
      </c>
      <c r="M2065" s="14" t="b">
        <f>(LCI_Table[[#This Row],[Dev Notes]]="Do not display")</f>
        <v>0</v>
      </c>
      <c r="N2065" s="14" t="b">
        <f>AND(LCI_Table[[#This Row],[Show Feedstock]:[Conditional]],NOT(LCI_Table[[#This Row],[Hide Row]]))</f>
        <v>0</v>
      </c>
      <c r="O2065" s="14" t="b">
        <f>LCI_Table[[#This Row],[GREET1 Name Range]]=""</f>
        <v>0</v>
      </c>
      <c r="P2065" s="358" t="s">
        <v>448</v>
      </c>
      <c r="Q2065" s="14" t="s">
        <v>1406</v>
      </c>
      <c r="R2065" s="14" t="s">
        <v>900</v>
      </c>
      <c r="S2065" s="37" cm="1">
        <f t="array" aca="1" ref="S20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1.5451617961629325</v>
      </c>
      <c r="T2065" s="346" t="s">
        <v>2138</v>
      </c>
      <c r="U2065" s="347">
        <f ca="1">S2065/g2lb*MJ2mmBTU</f>
        <v>0.6643</v>
      </c>
      <c r="V2065" s="347">
        <v>1.5451617961629325</v>
      </c>
      <c r="W2065" s="347">
        <v>0.6643</v>
      </c>
      <c r="X2065" s="14" t="s">
        <v>12</v>
      </c>
      <c r="Y2065" s="346" t="s">
        <v>1436</v>
      </c>
      <c r="Z2065" s="14" t="str">
        <f>IF(ISBLANK(LCI_Table[[#This Row],[Notes for user]])," ",LCI_Table[[#This Row],[Notes for user]])</f>
        <v xml:space="preserve"> </v>
      </c>
      <c r="AA2065" s="14"/>
      <c r="AB2065" s="14"/>
      <c r="AC2065" s="346">
        <f ca="1">LCI_Table[[#This Row],[Default Calculated Value]]-LCI_Table[[#This Row],[Calculated Value]]</f>
        <v>0</v>
      </c>
    </row>
    <row r="2066" spans="1:29" x14ac:dyDescent="0.3">
      <c r="A20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SugarcaneSIPICAOJRC(blank)_Sugarcane_SIP_HydrogenHydrogen</v>
      </c>
      <c r="B2066" s="14" t="s">
        <v>447</v>
      </c>
      <c r="C2066" s="14" t="s">
        <v>448</v>
      </c>
      <c r="D2066" s="358" t="s">
        <v>194</v>
      </c>
      <c r="E2066" s="14" t="s">
        <v>355</v>
      </c>
      <c r="F2066" s="48" t="s">
        <v>31</v>
      </c>
      <c r="G2066" s="14" t="b">
        <f>OR(LCI_Table[[#This Row],[Feedstock]]="All",LCI_Table[[#This Row],[Feedstock]]=SelectedFeedstock)</f>
        <v>0</v>
      </c>
      <c r="H2066" s="14" t="b">
        <f>OR(LCI_Table[[#This Row],[Conversion]]="All",LCI_Table[[#This Row],[Conversion]]=SelectedConversion)</f>
        <v>0</v>
      </c>
      <c r="I2066" s="14" t="b">
        <f>OR(LCI_Table[[#This Row],[Data Set]]="all",LCI_Table[[#This Row],[Data Set]]=SelectedDataSet)</f>
        <v>0</v>
      </c>
      <c r="J2066" s="14" t="b">
        <f>OR(LCI_Table[[#This Row],[Technology]]="All",LCI_Table[[#This Row],[Technology]]=SelectedTechnology)</f>
        <v>1</v>
      </c>
      <c r="K2066" s="14" t="b">
        <f>OR(LCI_Table[[#This Row],[Data Source]]="All",LCI_Table[[#This Row],[Data Source]]=SelectedDataSource)</f>
        <v>0</v>
      </c>
      <c r="L2066" s="14" t="b">
        <f>TRUE</f>
        <v>1</v>
      </c>
      <c r="M2066" s="14" t="b">
        <f>(LCI_Table[[#This Row],[Dev Notes]]="Do not display")</f>
        <v>0</v>
      </c>
      <c r="N2066" s="14" t="b">
        <f>AND(LCI_Table[[#This Row],[Show Feedstock]:[Conditional]],NOT(LCI_Table[[#This Row],[Hide Row]]))</f>
        <v>0</v>
      </c>
      <c r="O2066" s="14" t="b">
        <f>LCI_Table[[#This Row],[GREET1 Name Range]]=""</f>
        <v>0</v>
      </c>
      <c r="P2066" s="358" t="s">
        <v>1448</v>
      </c>
      <c r="Q2066" s="14" t="s">
        <v>996</v>
      </c>
      <c r="R2066" s="358" t="s">
        <v>73</v>
      </c>
      <c r="S2066" s="37" cm="1">
        <f t="array" aca="1" ref="S20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355.822757254902</v>
      </c>
      <c r="T2066" s="346" t="s">
        <v>2120</v>
      </c>
      <c r="U2066" s="347">
        <f ca="1">S2066*Fuel_Specs!$B$81/mmBTU2MJ</f>
        <v>97.803921568627473</v>
      </c>
      <c r="V2066" s="359">
        <v>355.822757254902</v>
      </c>
      <c r="W2066" s="347">
        <v>97.803921568627473</v>
      </c>
      <c r="X2066" s="360" t="s">
        <v>351</v>
      </c>
      <c r="Y2066" s="346" t="s">
        <v>416</v>
      </c>
      <c r="Z2066" s="14" t="str">
        <f>IF(ISBLANK(LCI_Table[[#This Row],[Notes for user]])," ",LCI_Table[[#This Row],[Notes for user]])</f>
        <v xml:space="preserve"> </v>
      </c>
      <c r="AA2066" s="14"/>
      <c r="AB2066" s="358"/>
      <c r="AC2066" s="346">
        <f ca="1">LCI_Table[[#This Row],[Default Calculated Value]]-LCI_Table[[#This Row],[Calculated Value]]</f>
        <v>0</v>
      </c>
    </row>
    <row r="2067" spans="1:29" x14ac:dyDescent="0.3">
      <c r="A20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SugarcaneSIPICAOJRC(blank)_Sugarcane_SIP_Allocation_FactorAllocation factor</v>
      </c>
      <c r="B2067" s="14" t="s">
        <v>447</v>
      </c>
      <c r="C2067" s="14" t="s">
        <v>448</v>
      </c>
      <c r="D2067" s="358" t="s">
        <v>194</v>
      </c>
      <c r="E2067" s="14" t="s">
        <v>355</v>
      </c>
      <c r="F2067" s="48" t="s">
        <v>31</v>
      </c>
      <c r="G2067" s="14" t="b">
        <f>OR(LCI_Table[[#This Row],[Feedstock]]="All",LCI_Table[[#This Row],[Feedstock]]=SelectedFeedstock)</f>
        <v>0</v>
      </c>
      <c r="H2067" s="14" t="b">
        <f>OR(LCI_Table[[#This Row],[Conversion]]="All",LCI_Table[[#This Row],[Conversion]]=SelectedConversion)</f>
        <v>0</v>
      </c>
      <c r="I2067" s="14" t="b">
        <f>OR(LCI_Table[[#This Row],[Data Set]]="all",LCI_Table[[#This Row],[Data Set]]=SelectedDataSet)</f>
        <v>0</v>
      </c>
      <c r="J2067" s="14" t="b">
        <f>OR(LCI_Table[[#This Row],[Technology]]="All",LCI_Table[[#This Row],[Technology]]=SelectedTechnology)</f>
        <v>1</v>
      </c>
      <c r="K2067" s="14" t="b">
        <f>OR(LCI_Table[[#This Row],[Data Source]]="All",LCI_Table[[#This Row],[Data Source]]=SelectedDataSource)</f>
        <v>0</v>
      </c>
      <c r="L2067" s="14" t="b">
        <f>TRUE</f>
        <v>1</v>
      </c>
      <c r="M2067" s="14" t="b">
        <f>(LCI_Table[[#This Row],[Dev Notes]]="Do not display")</f>
        <v>0</v>
      </c>
      <c r="N2067" s="14" t="b">
        <f>AND(LCI_Table[[#This Row],[Show Feedstock]:[Conditional]],NOT(LCI_Table[[#This Row],[Hide Row]]))</f>
        <v>0</v>
      </c>
      <c r="O2067" s="14" t="b">
        <f>LCI_Table[[#This Row],[GREET1 Name Range]]=""</f>
        <v>0</v>
      </c>
      <c r="P2067" s="358" t="s">
        <v>1448</v>
      </c>
      <c r="Q2067" s="14" t="s">
        <v>1125</v>
      </c>
      <c r="R2067" s="358" t="s">
        <v>1344</v>
      </c>
      <c r="S2067" s="37" cm="1">
        <f t="array" aca="1" ref="S20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97.465886939571149</v>
      </c>
      <c r="T2067" s="346" t="s">
        <v>1345</v>
      </c>
      <c r="U2067" s="347">
        <f ca="1">S2067/100</f>
        <v>0.97465886939571145</v>
      </c>
      <c r="V2067" s="359">
        <v>97.465886939571149</v>
      </c>
      <c r="W2067" s="359">
        <v>0.97465886939571145</v>
      </c>
      <c r="X2067" s="360"/>
      <c r="Y2067" s="346" t="s">
        <v>416</v>
      </c>
      <c r="Z2067" s="14" t="str">
        <f>IF(ISBLANK(LCI_Table[[#This Row],[Notes for user]])," ",LCI_Table[[#This Row],[Notes for user]])</f>
        <v xml:space="preserve"> </v>
      </c>
      <c r="AA2067" s="14"/>
      <c r="AB2067" s="358"/>
      <c r="AC2067" s="346">
        <f ca="1">LCI_Table[[#This Row],[Default Calculated Value]]-LCI_Table[[#This Row],[Calculated Value]]</f>
        <v>0</v>
      </c>
    </row>
    <row r="2068" spans="1:29" x14ac:dyDescent="0.3">
      <c r="A20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dash_SugarbeetSIPICAOMIT(blank)_Yield_Farming</v>
      </c>
      <c r="B2068" s="48" t="s">
        <v>449</v>
      </c>
      <c r="C2068" s="48" t="s">
        <v>448</v>
      </c>
      <c r="D2068" s="48" t="s">
        <v>194</v>
      </c>
      <c r="E2068" s="48" t="s">
        <v>377</v>
      </c>
      <c r="F2068" s="48" t="s">
        <v>31</v>
      </c>
      <c r="G2068" s="14" t="b">
        <f>OR(LCI_Table[[#This Row],[Feedstock]]="All",LCI_Table[[#This Row],[Feedstock]]=SelectedFeedstock)</f>
        <v>0</v>
      </c>
      <c r="H2068" s="14" t="b">
        <f>OR(LCI_Table[[#This Row],[Conversion]]="All",LCI_Table[[#This Row],[Conversion]]=SelectedConversion)</f>
        <v>0</v>
      </c>
      <c r="I2068" s="14" t="b">
        <f>OR(LCI_Table[[#This Row],[Data Set]]="all",LCI_Table[[#This Row],[Data Set]]=SelectedDataSet)</f>
        <v>0</v>
      </c>
      <c r="J2068" s="14" t="b">
        <f>OR(LCI_Table[[#This Row],[Technology]]="All",LCI_Table[[#This Row],[Technology]]=SelectedTechnology)</f>
        <v>1</v>
      </c>
      <c r="K2068" s="14" t="b">
        <f>OR(LCI_Table[[#This Row],[Data Source]]="All",LCI_Table[[#This Row],[Data Source]]=SelectedDataSource)</f>
        <v>0</v>
      </c>
      <c r="L2068" s="14" t="b">
        <f>TRUE</f>
        <v>1</v>
      </c>
      <c r="M2068" s="14" t="b">
        <f>(LCI_Table[[#This Row],[Dev Notes]]="Do not display")</f>
        <v>0</v>
      </c>
      <c r="N2068" s="14" t="b">
        <f>AND(LCI_Table[[#This Row],[Show Feedstock]:[Conditional]],NOT(LCI_Table[[#This Row],[Hide Row]]))</f>
        <v>0</v>
      </c>
      <c r="O2068" s="14" t="b">
        <f>LCI_Table[[#This Row],[GREET1 Name Range]]=""</f>
        <v>1</v>
      </c>
      <c r="P2068" s="48" t="s">
        <v>14</v>
      </c>
      <c r="Q2068" s="14" t="s">
        <v>361</v>
      </c>
      <c r="R2068" s="48" t="s">
        <v>200</v>
      </c>
      <c r="S2068" s="37" cm="1">
        <f t="array" aca="1" ref="S20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31.120373930110684</v>
      </c>
      <c r="T2068" s="346" t="s">
        <v>2116</v>
      </c>
      <c r="U2068" s="344"/>
      <c r="V2068" s="344">
        <v>31.120373930110684</v>
      </c>
      <c r="W2068" s="344"/>
      <c r="X2068" s="48" t="s">
        <v>55</v>
      </c>
      <c r="Y2068" s="346" t="s">
        <v>413</v>
      </c>
      <c r="Z2068" s="14" t="str">
        <f>IF(ISBLANK(LCI_Table[[#This Row],[Notes for user]])," ",LCI_Table[[#This Row],[Notes for user]])</f>
        <v xml:space="preserve"> </v>
      </c>
      <c r="AA2068" s="48"/>
      <c r="AB2068" s="345" t="s">
        <v>925</v>
      </c>
      <c r="AC2068" s="346">
        <f>LCI_Table[[#This Row],[Default Calculated Value]]-LCI_Table[[#This Row],[Calculated Value]]</f>
        <v>0</v>
      </c>
    </row>
    <row r="2069" spans="1:29" x14ac:dyDescent="0.3">
      <c r="A20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SugarbeetSIPICAOMIT(blank)_Sugarbeet_Nitrogen_fertilizerNitrogen fertilizer</v>
      </c>
      <c r="B2069" s="14" t="s">
        <v>449</v>
      </c>
      <c r="C2069" s="14" t="s">
        <v>448</v>
      </c>
      <c r="D2069" s="14" t="s">
        <v>194</v>
      </c>
      <c r="E2069" s="14" t="s">
        <v>377</v>
      </c>
      <c r="F2069" s="48" t="s">
        <v>31</v>
      </c>
      <c r="G2069" s="14" t="b">
        <f>OR(LCI_Table[[#This Row],[Feedstock]]="All",LCI_Table[[#This Row],[Feedstock]]=SelectedFeedstock)</f>
        <v>0</v>
      </c>
      <c r="H2069" s="14" t="b">
        <f>OR(LCI_Table[[#This Row],[Conversion]]="All",LCI_Table[[#This Row],[Conversion]]=SelectedConversion)</f>
        <v>0</v>
      </c>
      <c r="I2069" s="14" t="b">
        <f>OR(LCI_Table[[#This Row],[Data Set]]="all",LCI_Table[[#This Row],[Data Set]]=SelectedDataSet)</f>
        <v>0</v>
      </c>
      <c r="J2069" s="14" t="b">
        <f>OR(LCI_Table[[#This Row],[Technology]]="All",LCI_Table[[#This Row],[Technology]]=SelectedTechnology)</f>
        <v>1</v>
      </c>
      <c r="K2069" s="14" t="b">
        <f>OR(LCI_Table[[#This Row],[Data Source]]="All",LCI_Table[[#This Row],[Data Source]]=SelectedDataSource)</f>
        <v>0</v>
      </c>
      <c r="L2069" s="14" t="b">
        <f>TRUE</f>
        <v>1</v>
      </c>
      <c r="M2069" s="14" t="b">
        <f>(LCI_Table[[#This Row],[Dev Notes]]="Do not display")</f>
        <v>0</v>
      </c>
      <c r="N2069" s="14" t="b">
        <f>AND(LCI_Table[[#This Row],[Show Feedstock]:[Conditional]],NOT(LCI_Table[[#This Row],[Hide Row]]))</f>
        <v>0</v>
      </c>
      <c r="O2069" s="14" t="b">
        <f>LCI_Table[[#This Row],[GREET1 Name Range]]=""</f>
        <v>0</v>
      </c>
      <c r="P2069" s="14" t="s">
        <v>14</v>
      </c>
      <c r="Q2069" s="14" t="s">
        <v>997</v>
      </c>
      <c r="R2069" s="14" t="s">
        <v>111</v>
      </c>
      <c r="S2069" s="37" cm="1">
        <f t="array" aca="1" ref="S20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88.770866635640914</v>
      </c>
      <c r="T2069" s="346" t="s">
        <v>1485</v>
      </c>
      <c r="U2069" s="347">
        <f t="shared" ref="U2069:U2074" ca="1" si="142">S2069*lb2g/$S$2068</f>
        <v>1293.8722354250028</v>
      </c>
      <c r="V2069" s="347">
        <v>88.770866635640914</v>
      </c>
      <c r="W2069" s="347">
        <v>1293.8722354250028</v>
      </c>
      <c r="X2069" s="14" t="s">
        <v>12</v>
      </c>
      <c r="Y2069" s="346" t="s">
        <v>413</v>
      </c>
      <c r="Z2069" s="14" t="str">
        <f>IF(ISBLANK(LCI_Table[[#This Row],[Notes for user]])," ",LCI_Table[[#This Row],[Notes for user]])</f>
        <v xml:space="preserve"> </v>
      </c>
      <c r="AA2069" s="14"/>
      <c r="AB2069" s="358"/>
      <c r="AC2069" s="346">
        <f ca="1">LCI_Table[[#This Row],[Default Calculated Value]]-LCI_Table[[#This Row],[Calculated Value]]</f>
        <v>0</v>
      </c>
    </row>
    <row r="2070" spans="1:29" x14ac:dyDescent="0.3">
      <c r="A20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SugarbeetSIPICAOMIT(blank)_Sugarbeet_P2O5P2O5</v>
      </c>
      <c r="B2070" s="14" t="s">
        <v>449</v>
      </c>
      <c r="C2070" s="14" t="s">
        <v>448</v>
      </c>
      <c r="D2070" s="14" t="s">
        <v>194</v>
      </c>
      <c r="E2070" s="14" t="s">
        <v>377</v>
      </c>
      <c r="F2070" s="48" t="s">
        <v>31</v>
      </c>
      <c r="G2070" s="14" t="b">
        <f>OR(LCI_Table[[#This Row],[Feedstock]]="All",LCI_Table[[#This Row],[Feedstock]]=SelectedFeedstock)</f>
        <v>0</v>
      </c>
      <c r="H2070" s="14" t="b">
        <f>OR(LCI_Table[[#This Row],[Conversion]]="All",LCI_Table[[#This Row],[Conversion]]=SelectedConversion)</f>
        <v>0</v>
      </c>
      <c r="I2070" s="14" t="b">
        <f>OR(LCI_Table[[#This Row],[Data Set]]="all",LCI_Table[[#This Row],[Data Set]]=SelectedDataSet)</f>
        <v>0</v>
      </c>
      <c r="J2070" s="14" t="b">
        <f>OR(LCI_Table[[#This Row],[Technology]]="All",LCI_Table[[#This Row],[Technology]]=SelectedTechnology)</f>
        <v>1</v>
      </c>
      <c r="K2070" s="14" t="b">
        <f>OR(LCI_Table[[#This Row],[Data Source]]="All",LCI_Table[[#This Row],[Data Source]]=SelectedDataSource)</f>
        <v>0</v>
      </c>
      <c r="L2070" s="14" t="b">
        <f>TRUE</f>
        <v>1</v>
      </c>
      <c r="M2070" s="14" t="b">
        <f>(LCI_Table[[#This Row],[Dev Notes]]="Do not display")</f>
        <v>0</v>
      </c>
      <c r="N2070" s="14" t="b">
        <f>AND(LCI_Table[[#This Row],[Show Feedstock]:[Conditional]],NOT(LCI_Table[[#This Row],[Hide Row]]))</f>
        <v>0</v>
      </c>
      <c r="O2070" s="14" t="b">
        <f>LCI_Table[[#This Row],[GREET1 Name Range]]=""</f>
        <v>0</v>
      </c>
      <c r="P2070" s="14" t="s">
        <v>14</v>
      </c>
      <c r="Q2070" s="14" t="s">
        <v>998</v>
      </c>
      <c r="R2070" s="14" t="s">
        <v>112</v>
      </c>
      <c r="S2070" s="37" cm="1">
        <f t="array" aca="1" ref="S20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38.044657129560385</v>
      </c>
      <c r="T2070" s="346" t="s">
        <v>1485</v>
      </c>
      <c r="U2070" s="347">
        <f t="shared" ca="1" si="142"/>
        <v>554.51667232500108</v>
      </c>
      <c r="V2070" s="347">
        <v>38.044657129560385</v>
      </c>
      <c r="W2070" s="347">
        <v>554.51667232500108</v>
      </c>
      <c r="X2070" s="14" t="s">
        <v>12</v>
      </c>
      <c r="Y2070" s="346" t="s">
        <v>413</v>
      </c>
      <c r="Z2070" s="14" t="str">
        <f>IF(ISBLANK(LCI_Table[[#This Row],[Notes for user]])," ",LCI_Table[[#This Row],[Notes for user]])</f>
        <v xml:space="preserve"> </v>
      </c>
      <c r="AA2070" s="14"/>
      <c r="AB2070" s="349"/>
      <c r="AC2070" s="346">
        <f ca="1">LCI_Table[[#This Row],[Default Calculated Value]]-LCI_Table[[#This Row],[Calculated Value]]</f>
        <v>0</v>
      </c>
    </row>
    <row r="2071" spans="1:29" x14ac:dyDescent="0.3">
      <c r="A20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SugarbeetSIPICAOMIT(blank)_Sugarbeet_K2OK2O</v>
      </c>
      <c r="B2071" s="14" t="s">
        <v>449</v>
      </c>
      <c r="C2071" s="14" t="s">
        <v>448</v>
      </c>
      <c r="D2071" s="14" t="s">
        <v>194</v>
      </c>
      <c r="E2071" s="14" t="s">
        <v>377</v>
      </c>
      <c r="F2071" s="48" t="s">
        <v>31</v>
      </c>
      <c r="G2071" s="14" t="b">
        <f>OR(LCI_Table[[#This Row],[Feedstock]]="All",LCI_Table[[#This Row],[Feedstock]]=SelectedFeedstock)</f>
        <v>0</v>
      </c>
      <c r="H2071" s="14" t="b">
        <f>OR(LCI_Table[[#This Row],[Conversion]]="All",LCI_Table[[#This Row],[Conversion]]=SelectedConversion)</f>
        <v>0</v>
      </c>
      <c r="I2071" s="14" t="b">
        <f>OR(LCI_Table[[#This Row],[Data Set]]="all",LCI_Table[[#This Row],[Data Set]]=SelectedDataSet)</f>
        <v>0</v>
      </c>
      <c r="J2071" s="14" t="b">
        <f>OR(LCI_Table[[#This Row],[Technology]]="All",LCI_Table[[#This Row],[Technology]]=SelectedTechnology)</f>
        <v>1</v>
      </c>
      <c r="K2071" s="14" t="b">
        <f>OR(LCI_Table[[#This Row],[Data Source]]="All",LCI_Table[[#This Row],[Data Source]]=SelectedDataSource)</f>
        <v>0</v>
      </c>
      <c r="L2071" s="14" t="b">
        <f>TRUE</f>
        <v>1</v>
      </c>
      <c r="M2071" s="14" t="b">
        <f>(LCI_Table[[#This Row],[Dev Notes]]="Do not display")</f>
        <v>0</v>
      </c>
      <c r="N2071" s="14" t="b">
        <f>AND(LCI_Table[[#This Row],[Show Feedstock]:[Conditional]],NOT(LCI_Table[[#This Row],[Hide Row]]))</f>
        <v>0</v>
      </c>
      <c r="O2071" s="14" t="b">
        <f>LCI_Table[[#This Row],[GREET1 Name Range]]=""</f>
        <v>0</v>
      </c>
      <c r="P2071" s="14" t="s">
        <v>14</v>
      </c>
      <c r="Q2071" s="14" t="s">
        <v>999</v>
      </c>
      <c r="R2071" s="14" t="s">
        <v>113</v>
      </c>
      <c r="S2071" s="37" cm="1">
        <f t="array" aca="1" ref="S20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65.944072357904673</v>
      </c>
      <c r="T2071" s="346" t="s">
        <v>1485</v>
      </c>
      <c r="U2071" s="347">
        <f t="shared" ca="1" si="142"/>
        <v>961.16223203000197</v>
      </c>
      <c r="V2071" s="347">
        <v>65.944072357904673</v>
      </c>
      <c r="W2071" s="347">
        <v>961.16223203000197</v>
      </c>
      <c r="X2071" s="14" t="s">
        <v>12</v>
      </c>
      <c r="Y2071" s="346" t="s">
        <v>413</v>
      </c>
      <c r="Z2071" s="14" t="str">
        <f>IF(ISBLANK(LCI_Table[[#This Row],[Notes for user]])," ",LCI_Table[[#This Row],[Notes for user]])</f>
        <v xml:space="preserve"> </v>
      </c>
      <c r="AA2071" s="14"/>
      <c r="AB2071" s="14"/>
      <c r="AC2071" s="346">
        <f ca="1">LCI_Table[[#This Row],[Default Calculated Value]]-LCI_Table[[#This Row],[Calculated Value]]</f>
        <v>0</v>
      </c>
    </row>
    <row r="2072" spans="1:29" x14ac:dyDescent="0.3">
      <c r="A20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SugarbeetSIPICAOMIT(blank)_Sugarbeet_Lime_CaOLime (CaO)</v>
      </c>
      <c r="B2072" s="14" t="s">
        <v>449</v>
      </c>
      <c r="C2072" s="14" t="s">
        <v>448</v>
      </c>
      <c r="D2072" s="14" t="s">
        <v>194</v>
      </c>
      <c r="E2072" s="14" t="s">
        <v>377</v>
      </c>
      <c r="F2072" s="48" t="s">
        <v>31</v>
      </c>
      <c r="G2072" s="14" t="b">
        <f>OR(LCI_Table[[#This Row],[Feedstock]]="All",LCI_Table[[#This Row],[Feedstock]]=SelectedFeedstock)</f>
        <v>0</v>
      </c>
      <c r="H2072" s="14" t="b">
        <f>OR(LCI_Table[[#This Row],[Conversion]]="All",LCI_Table[[#This Row],[Conversion]]=SelectedConversion)</f>
        <v>0</v>
      </c>
      <c r="I2072" s="14" t="b">
        <f>OR(LCI_Table[[#This Row],[Data Set]]="all",LCI_Table[[#This Row],[Data Set]]=SelectedDataSet)</f>
        <v>0</v>
      </c>
      <c r="J2072" s="14" t="b">
        <f>OR(LCI_Table[[#This Row],[Technology]]="All",LCI_Table[[#This Row],[Technology]]=SelectedTechnology)</f>
        <v>1</v>
      </c>
      <c r="K2072" s="14" t="b">
        <f>OR(LCI_Table[[#This Row],[Data Source]]="All",LCI_Table[[#This Row],[Data Source]]=SelectedDataSource)</f>
        <v>0</v>
      </c>
      <c r="L2072" s="14" t="b">
        <f>TRUE</f>
        <v>1</v>
      </c>
      <c r="M2072" s="14" t="b">
        <f>(LCI_Table[[#This Row],[Dev Notes]]="Do not display")</f>
        <v>0</v>
      </c>
      <c r="N2072" s="14" t="b">
        <f>AND(LCI_Table[[#This Row],[Show Feedstock]:[Conditional]],NOT(LCI_Table[[#This Row],[Hide Row]]))</f>
        <v>0</v>
      </c>
      <c r="O2072" s="14" t="b">
        <f>LCI_Table[[#This Row],[GREET1 Name Range]]=""</f>
        <v>0</v>
      </c>
      <c r="P2072" s="14" t="s">
        <v>14</v>
      </c>
      <c r="Q2072" s="14" t="s">
        <v>1000</v>
      </c>
      <c r="R2072" s="14" t="s">
        <v>900</v>
      </c>
      <c r="S2072" s="37" cm="1">
        <f t="array" aca="1" ref="S20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273.92153133283477</v>
      </c>
      <c r="T2072" s="346" t="s">
        <v>1485</v>
      </c>
      <c r="U2072" s="347">
        <f t="shared" ca="1" si="142"/>
        <v>3992.520040740008</v>
      </c>
      <c r="V2072" s="347">
        <v>273.92153133283477</v>
      </c>
      <c r="W2072" s="347">
        <v>3992.520040740008</v>
      </c>
      <c r="X2072" s="14" t="s">
        <v>12</v>
      </c>
      <c r="Y2072" s="346" t="s">
        <v>413</v>
      </c>
      <c r="Z2072" s="14" t="str">
        <f>IF(ISBLANK(LCI_Table[[#This Row],[Notes for user]])," ",LCI_Table[[#This Row],[Notes for user]])</f>
        <v xml:space="preserve"> </v>
      </c>
      <c r="AA2072" s="14"/>
      <c r="AB2072" s="14"/>
      <c r="AC2072" s="346">
        <f ca="1">LCI_Table[[#This Row],[Default Calculated Value]]-LCI_Table[[#This Row],[Calculated Value]]</f>
        <v>0</v>
      </c>
    </row>
    <row r="2073" spans="1:29" x14ac:dyDescent="0.3">
      <c r="A20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SugarbeetSIPICAOMIT(blank)_Sugarbeet_HerbicidesHerbicides</v>
      </c>
      <c r="B2073" s="14" t="s">
        <v>449</v>
      </c>
      <c r="C2073" s="14" t="s">
        <v>448</v>
      </c>
      <c r="D2073" s="14" t="s">
        <v>194</v>
      </c>
      <c r="E2073" s="14" t="s">
        <v>377</v>
      </c>
      <c r="F2073" s="48" t="s">
        <v>31</v>
      </c>
      <c r="G2073" s="14" t="b">
        <f>OR(LCI_Table[[#This Row],[Feedstock]]="All",LCI_Table[[#This Row],[Feedstock]]=SelectedFeedstock)</f>
        <v>0</v>
      </c>
      <c r="H2073" s="14" t="b">
        <f>OR(LCI_Table[[#This Row],[Conversion]]="All",LCI_Table[[#This Row],[Conversion]]=SelectedConversion)</f>
        <v>0</v>
      </c>
      <c r="I2073" s="14" t="b">
        <f>OR(LCI_Table[[#This Row],[Data Set]]="all",LCI_Table[[#This Row],[Data Set]]=SelectedDataSet)</f>
        <v>0</v>
      </c>
      <c r="J2073" s="14" t="b">
        <f>OR(LCI_Table[[#This Row],[Technology]]="All",LCI_Table[[#This Row],[Technology]]=SelectedTechnology)</f>
        <v>1</v>
      </c>
      <c r="K2073" s="14" t="b">
        <f>OR(LCI_Table[[#This Row],[Data Source]]="All",LCI_Table[[#This Row],[Data Source]]=SelectedDataSource)</f>
        <v>0</v>
      </c>
      <c r="L2073" s="14" t="b">
        <f>TRUE</f>
        <v>1</v>
      </c>
      <c r="M2073" s="14" t="b">
        <f>(LCI_Table[[#This Row],[Dev Notes]]="Do not display")</f>
        <v>0</v>
      </c>
      <c r="N2073" s="14" t="b">
        <f>AND(LCI_Table[[#This Row],[Show Feedstock]:[Conditional]],NOT(LCI_Table[[#This Row],[Hide Row]]))</f>
        <v>0</v>
      </c>
      <c r="O2073" s="14" t="b">
        <f>LCI_Table[[#This Row],[GREET1 Name Range]]=""</f>
        <v>0</v>
      </c>
      <c r="P2073" s="14" t="s">
        <v>14</v>
      </c>
      <c r="Q2073" s="14" t="s">
        <v>1001</v>
      </c>
      <c r="R2073" s="14" t="s">
        <v>356</v>
      </c>
      <c r="S2073" s="37" cm="1">
        <f t="array" aca="1" ref="S20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12.681552376520131</v>
      </c>
      <c r="T2073" s="346" t="s">
        <v>1485</v>
      </c>
      <c r="U2073" s="347">
        <f t="shared" ca="1" si="142"/>
        <v>184.83889077500041</v>
      </c>
      <c r="V2073" s="347">
        <v>12.681552376520131</v>
      </c>
      <c r="W2073" s="347">
        <v>184.83889077500041</v>
      </c>
      <c r="X2073" s="14" t="s">
        <v>12</v>
      </c>
      <c r="Y2073" s="346" t="s">
        <v>413</v>
      </c>
      <c r="Z2073" s="14" t="str">
        <f>IF(ISBLANK(LCI_Table[[#This Row],[Notes for user]])," ",LCI_Table[[#This Row],[Notes for user]])</f>
        <v xml:space="preserve"> </v>
      </c>
      <c r="AA2073" s="14"/>
      <c r="AB2073" s="14"/>
      <c r="AC2073" s="346">
        <f ca="1">LCI_Table[[#This Row],[Default Calculated Value]]-LCI_Table[[#This Row],[Calculated Value]]</f>
        <v>0</v>
      </c>
    </row>
    <row r="2074" spans="1:29" x14ac:dyDescent="0.3">
      <c r="A20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SugarbeetSIPICAOMIT(blank)_Sugarbeet_InsecticideInsecticide</v>
      </c>
      <c r="B2074" s="14" t="s">
        <v>449</v>
      </c>
      <c r="C2074" s="14" t="s">
        <v>448</v>
      </c>
      <c r="D2074" s="14" t="s">
        <v>194</v>
      </c>
      <c r="E2074" s="14" t="s">
        <v>377</v>
      </c>
      <c r="F2074" s="48" t="s">
        <v>31</v>
      </c>
      <c r="G2074" s="14" t="b">
        <f>OR(LCI_Table[[#This Row],[Feedstock]]="All",LCI_Table[[#This Row],[Feedstock]]=SelectedFeedstock)</f>
        <v>0</v>
      </c>
      <c r="H2074" s="14" t="b">
        <f>OR(LCI_Table[[#This Row],[Conversion]]="All",LCI_Table[[#This Row],[Conversion]]=SelectedConversion)</f>
        <v>0</v>
      </c>
      <c r="I2074" s="14" t="b">
        <f>OR(LCI_Table[[#This Row],[Data Set]]="all",LCI_Table[[#This Row],[Data Set]]=SelectedDataSet)</f>
        <v>0</v>
      </c>
      <c r="J2074" s="14" t="b">
        <f>OR(LCI_Table[[#This Row],[Technology]]="All",LCI_Table[[#This Row],[Technology]]=SelectedTechnology)</f>
        <v>1</v>
      </c>
      <c r="K2074" s="14" t="b">
        <f>OR(LCI_Table[[#This Row],[Data Source]]="All",LCI_Table[[#This Row],[Data Source]]=SelectedDataSource)</f>
        <v>0</v>
      </c>
      <c r="L2074" s="14" t="b">
        <f>TRUE</f>
        <v>1</v>
      </c>
      <c r="M2074" s="14" t="b">
        <f>(LCI_Table[[#This Row],[Dev Notes]]="Do not display")</f>
        <v>0</v>
      </c>
      <c r="N2074" s="14" t="b">
        <f>AND(LCI_Table[[#This Row],[Show Feedstock]:[Conditional]],NOT(LCI_Table[[#This Row],[Hide Row]]))</f>
        <v>0</v>
      </c>
      <c r="O2074" s="14" t="b">
        <f>LCI_Table[[#This Row],[GREET1 Name Range]]=""</f>
        <v>0</v>
      </c>
      <c r="P2074" s="14" t="s">
        <v>14</v>
      </c>
      <c r="Q2074" s="14" t="s">
        <v>1002</v>
      </c>
      <c r="R2074" s="14" t="s">
        <v>114</v>
      </c>
      <c r="S2074" s="37" cm="1">
        <f t="array" aca="1" ref="S20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74" s="346" t="s">
        <v>1485</v>
      </c>
      <c r="U2074" s="347">
        <f t="shared" ca="1" si="142"/>
        <v>0</v>
      </c>
      <c r="V2074" s="347">
        <v>0</v>
      </c>
      <c r="W2074" s="347">
        <v>0</v>
      </c>
      <c r="X2074" s="14" t="s">
        <v>12</v>
      </c>
      <c r="Y2074" s="346" t="s">
        <v>413</v>
      </c>
      <c r="Z2074" s="14" t="str">
        <f>IF(ISBLANK(LCI_Table[[#This Row],[Notes for user]])," ",LCI_Table[[#This Row],[Notes for user]])</f>
        <v xml:space="preserve"> </v>
      </c>
      <c r="AA2074" s="14"/>
      <c r="AB2074" s="14"/>
      <c r="AC2074" s="346">
        <f ca="1">LCI_Table[[#This Row],[Default Calculated Value]]-LCI_Table[[#This Row],[Calculated Value]]</f>
        <v>0</v>
      </c>
    </row>
    <row r="2075" spans="1:29" x14ac:dyDescent="0.3">
      <c r="A20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SugarbeetSIPICAOMIT(blank)_Sugarbeet_Residual_oilResidual oil</v>
      </c>
      <c r="B2075" s="14" t="s">
        <v>449</v>
      </c>
      <c r="C2075" s="14" t="s">
        <v>448</v>
      </c>
      <c r="D2075" s="14" t="s">
        <v>194</v>
      </c>
      <c r="E2075" s="14" t="s">
        <v>377</v>
      </c>
      <c r="F2075" s="48" t="s">
        <v>31</v>
      </c>
      <c r="G2075" s="14" t="b">
        <f>OR(LCI_Table[[#This Row],[Feedstock]]="All",LCI_Table[[#This Row],[Feedstock]]=SelectedFeedstock)</f>
        <v>0</v>
      </c>
      <c r="H2075" s="14" t="b">
        <f>OR(LCI_Table[[#This Row],[Conversion]]="All",LCI_Table[[#This Row],[Conversion]]=SelectedConversion)</f>
        <v>0</v>
      </c>
      <c r="I2075" s="14" t="b">
        <f>OR(LCI_Table[[#This Row],[Data Set]]="all",LCI_Table[[#This Row],[Data Set]]=SelectedDataSet)</f>
        <v>0</v>
      </c>
      <c r="J2075" s="14" t="b">
        <f>OR(LCI_Table[[#This Row],[Technology]]="All",LCI_Table[[#This Row],[Technology]]=SelectedTechnology)</f>
        <v>1</v>
      </c>
      <c r="K2075" s="14" t="b">
        <f>OR(LCI_Table[[#This Row],[Data Source]]="All",LCI_Table[[#This Row],[Data Source]]=SelectedDataSource)</f>
        <v>0</v>
      </c>
      <c r="L2075" s="14" t="b">
        <f>TRUE</f>
        <v>1</v>
      </c>
      <c r="M2075" s="14" t="b">
        <f>(LCI_Table[[#This Row],[Dev Notes]]="Do not display")</f>
        <v>0</v>
      </c>
      <c r="N2075" s="14" t="b">
        <f>AND(LCI_Table[[#This Row],[Show Feedstock]:[Conditional]],NOT(LCI_Table[[#This Row],[Hide Row]]))</f>
        <v>0</v>
      </c>
      <c r="O2075" s="14" t="b">
        <f>LCI_Table[[#This Row],[GREET1 Name Range]]=""</f>
        <v>0</v>
      </c>
      <c r="P2075" s="14" t="s">
        <v>14</v>
      </c>
      <c r="Q2075" s="14" t="s">
        <v>1003</v>
      </c>
      <c r="R2075" s="14" t="s">
        <v>115</v>
      </c>
      <c r="S2075" s="37" cm="1">
        <f t="array" aca="1" ref="S20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75" s="346" t="s">
        <v>1484</v>
      </c>
      <c r="U2075" s="347">
        <f ca="1">S2075*Fuel_Specs!$B$28/S2068</f>
        <v>0</v>
      </c>
      <c r="V2075" s="347">
        <v>0</v>
      </c>
      <c r="W2075" s="347">
        <v>0</v>
      </c>
      <c r="X2075" s="14" t="s">
        <v>5</v>
      </c>
      <c r="Y2075" s="346" t="s">
        <v>413</v>
      </c>
      <c r="Z2075" s="14" t="str">
        <f>IF(ISBLANK(LCI_Table[[#This Row],[Notes for user]])," ",LCI_Table[[#This Row],[Notes for user]])</f>
        <v xml:space="preserve"> </v>
      </c>
      <c r="AA2075" s="14"/>
      <c r="AB2075" s="14"/>
      <c r="AC2075" s="346">
        <f ca="1">LCI_Table[[#This Row],[Default Calculated Value]]-LCI_Table[[#This Row],[Calculated Value]]</f>
        <v>0</v>
      </c>
    </row>
    <row r="2076" spans="1:29" x14ac:dyDescent="0.3">
      <c r="A20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SugarbeetSIPICAOMIT(blank)_Sugarbeet_DieselDiesel</v>
      </c>
      <c r="B2076" s="14" t="s">
        <v>449</v>
      </c>
      <c r="C2076" s="14" t="s">
        <v>448</v>
      </c>
      <c r="D2076" s="14" t="s">
        <v>194</v>
      </c>
      <c r="E2076" s="14" t="s">
        <v>377</v>
      </c>
      <c r="F2076" s="48" t="s">
        <v>31</v>
      </c>
      <c r="G2076" s="14" t="b">
        <f>OR(LCI_Table[[#This Row],[Feedstock]]="All",LCI_Table[[#This Row],[Feedstock]]=SelectedFeedstock)</f>
        <v>0</v>
      </c>
      <c r="H2076" s="14" t="b">
        <f>OR(LCI_Table[[#This Row],[Conversion]]="All",LCI_Table[[#This Row],[Conversion]]=SelectedConversion)</f>
        <v>0</v>
      </c>
      <c r="I2076" s="14" t="b">
        <f>OR(LCI_Table[[#This Row],[Data Set]]="all",LCI_Table[[#This Row],[Data Set]]=SelectedDataSet)</f>
        <v>0</v>
      </c>
      <c r="J2076" s="14" t="b">
        <f>OR(LCI_Table[[#This Row],[Technology]]="All",LCI_Table[[#This Row],[Technology]]=SelectedTechnology)</f>
        <v>1</v>
      </c>
      <c r="K2076" s="14" t="b">
        <f>OR(LCI_Table[[#This Row],[Data Source]]="All",LCI_Table[[#This Row],[Data Source]]=SelectedDataSource)</f>
        <v>0</v>
      </c>
      <c r="L2076" s="14" t="b">
        <f>TRUE</f>
        <v>1</v>
      </c>
      <c r="M2076" s="14" t="b">
        <f>(LCI_Table[[#This Row],[Dev Notes]]="Do not display")</f>
        <v>0</v>
      </c>
      <c r="N2076" s="14" t="b">
        <f>AND(LCI_Table[[#This Row],[Show Feedstock]:[Conditional]],NOT(LCI_Table[[#This Row],[Hide Row]]))</f>
        <v>0</v>
      </c>
      <c r="O2076" s="14" t="b">
        <f>LCI_Table[[#This Row],[GREET1 Name Range]]=""</f>
        <v>0</v>
      </c>
      <c r="P2076" s="14" t="s">
        <v>14</v>
      </c>
      <c r="Q2076" s="14" t="s">
        <v>1004</v>
      </c>
      <c r="R2076" s="14" t="s">
        <v>106</v>
      </c>
      <c r="S2076" s="37" cm="1">
        <f t="array" aca="1" ref="S20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8.9140131595899845</v>
      </c>
      <c r="T2076" s="346" t="s">
        <v>1484</v>
      </c>
      <c r="U2076" s="347">
        <f ca="1">S2076*Fuel_Specs!$B$19/S2068</f>
        <v>36792.777391452801</v>
      </c>
      <c r="V2076" s="347">
        <v>8.9140131595899845</v>
      </c>
      <c r="W2076" s="347">
        <v>36792.777391452801</v>
      </c>
      <c r="X2076" s="14" t="s">
        <v>5</v>
      </c>
      <c r="Y2076" s="346" t="s">
        <v>413</v>
      </c>
      <c r="Z2076" s="14" t="str">
        <f>IF(ISBLANK(LCI_Table[[#This Row],[Notes for user]])," ",LCI_Table[[#This Row],[Notes for user]])</f>
        <v xml:space="preserve"> </v>
      </c>
      <c r="AA2076" s="14"/>
      <c r="AB2076" s="14"/>
      <c r="AC2076" s="346">
        <f ca="1">LCI_Table[[#This Row],[Default Calculated Value]]-LCI_Table[[#This Row],[Calculated Value]]</f>
        <v>0</v>
      </c>
    </row>
    <row r="2077" spans="1:29" x14ac:dyDescent="0.3">
      <c r="A20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SugarbeetSIPICAOMIT(blank)_Sugarbeet_GasolineGasoline</v>
      </c>
      <c r="B2077" s="14" t="s">
        <v>449</v>
      </c>
      <c r="C2077" s="14" t="s">
        <v>448</v>
      </c>
      <c r="D2077" s="14" t="s">
        <v>194</v>
      </c>
      <c r="E2077" s="14" t="s">
        <v>377</v>
      </c>
      <c r="F2077" s="48" t="s">
        <v>31</v>
      </c>
      <c r="G2077" s="14" t="b">
        <f>OR(LCI_Table[[#This Row],[Feedstock]]="All",LCI_Table[[#This Row],[Feedstock]]=SelectedFeedstock)</f>
        <v>0</v>
      </c>
      <c r="H2077" s="14" t="b">
        <f>OR(LCI_Table[[#This Row],[Conversion]]="All",LCI_Table[[#This Row],[Conversion]]=SelectedConversion)</f>
        <v>0</v>
      </c>
      <c r="I2077" s="14" t="b">
        <f>OR(LCI_Table[[#This Row],[Data Set]]="all",LCI_Table[[#This Row],[Data Set]]=SelectedDataSet)</f>
        <v>0</v>
      </c>
      <c r="J2077" s="14" t="b">
        <f>OR(LCI_Table[[#This Row],[Technology]]="All",LCI_Table[[#This Row],[Technology]]=SelectedTechnology)</f>
        <v>1</v>
      </c>
      <c r="K2077" s="14" t="b">
        <f>OR(LCI_Table[[#This Row],[Data Source]]="All",LCI_Table[[#This Row],[Data Source]]=SelectedDataSource)</f>
        <v>0</v>
      </c>
      <c r="L2077" s="14" t="b">
        <f>TRUE</f>
        <v>1</v>
      </c>
      <c r="M2077" s="14" t="b">
        <f>(LCI_Table[[#This Row],[Dev Notes]]="Do not display")</f>
        <v>0</v>
      </c>
      <c r="N2077" s="14" t="b">
        <f>AND(LCI_Table[[#This Row],[Show Feedstock]:[Conditional]],NOT(LCI_Table[[#This Row],[Hide Row]]))</f>
        <v>0</v>
      </c>
      <c r="O2077" s="14" t="b">
        <f>LCI_Table[[#This Row],[GREET1 Name Range]]=""</f>
        <v>0</v>
      </c>
      <c r="P2077" s="14" t="s">
        <v>14</v>
      </c>
      <c r="Q2077" s="14" t="s">
        <v>1005</v>
      </c>
      <c r="R2077" s="14" t="s">
        <v>107</v>
      </c>
      <c r="S2077" s="37" cm="1">
        <f t="array" aca="1" ref="S20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77" s="346" t="s">
        <v>1484</v>
      </c>
      <c r="U2077" s="347">
        <f ca="1">S2077*Fuel_Specs!$B$15/S2068</f>
        <v>0</v>
      </c>
      <c r="V2077" s="347">
        <v>0</v>
      </c>
      <c r="W2077" s="347">
        <v>0</v>
      </c>
      <c r="X2077" s="14" t="s">
        <v>5</v>
      </c>
      <c r="Y2077" s="346" t="s">
        <v>413</v>
      </c>
      <c r="Z2077" s="14" t="str">
        <f>IF(ISBLANK(LCI_Table[[#This Row],[Notes for user]])," ",LCI_Table[[#This Row],[Notes for user]])</f>
        <v xml:space="preserve"> </v>
      </c>
      <c r="AA2077" s="14"/>
      <c r="AB2077" s="14"/>
      <c r="AC2077" s="346">
        <f ca="1">LCI_Table[[#This Row],[Default Calculated Value]]-LCI_Table[[#This Row],[Calculated Value]]</f>
        <v>0</v>
      </c>
    </row>
    <row r="2078" spans="1:29" x14ac:dyDescent="0.3">
      <c r="A20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SugarbeetSIPICAOMIT(blank)_Sugarbeet_Natural_gasNatural gas</v>
      </c>
      <c r="B2078" s="14" t="s">
        <v>449</v>
      </c>
      <c r="C2078" s="14" t="s">
        <v>448</v>
      </c>
      <c r="D2078" s="14" t="s">
        <v>194</v>
      </c>
      <c r="E2078" s="14" t="s">
        <v>377</v>
      </c>
      <c r="F2078" s="48" t="s">
        <v>31</v>
      </c>
      <c r="G2078" s="14" t="b">
        <f>OR(LCI_Table[[#This Row],[Feedstock]]="All",LCI_Table[[#This Row],[Feedstock]]=SelectedFeedstock)</f>
        <v>0</v>
      </c>
      <c r="H2078" s="14" t="b">
        <f>OR(LCI_Table[[#This Row],[Conversion]]="All",LCI_Table[[#This Row],[Conversion]]=SelectedConversion)</f>
        <v>0</v>
      </c>
      <c r="I2078" s="14" t="b">
        <f>OR(LCI_Table[[#This Row],[Data Set]]="all",LCI_Table[[#This Row],[Data Set]]=SelectedDataSet)</f>
        <v>0</v>
      </c>
      <c r="J2078" s="14" t="b">
        <f>OR(LCI_Table[[#This Row],[Technology]]="All",LCI_Table[[#This Row],[Technology]]=SelectedTechnology)</f>
        <v>1</v>
      </c>
      <c r="K2078" s="14" t="b">
        <f>OR(LCI_Table[[#This Row],[Data Source]]="All",LCI_Table[[#This Row],[Data Source]]=SelectedDataSource)</f>
        <v>0</v>
      </c>
      <c r="L2078" s="14" t="b">
        <f>TRUE</f>
        <v>1</v>
      </c>
      <c r="M2078" s="14" t="b">
        <f>(LCI_Table[[#This Row],[Dev Notes]]="Do not display")</f>
        <v>0</v>
      </c>
      <c r="N2078" s="14" t="b">
        <f>AND(LCI_Table[[#This Row],[Show Feedstock]:[Conditional]],NOT(LCI_Table[[#This Row],[Hide Row]]))</f>
        <v>0</v>
      </c>
      <c r="O2078" s="14" t="b">
        <f>LCI_Table[[#This Row],[GREET1 Name Range]]=""</f>
        <v>0</v>
      </c>
      <c r="P2078" s="14" t="s">
        <v>14</v>
      </c>
      <c r="Q2078" s="14" t="s">
        <v>1006</v>
      </c>
      <c r="R2078" s="14" t="s">
        <v>108</v>
      </c>
      <c r="S2078" s="37" cm="1">
        <f t="array" aca="1" ref="S20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78" s="346" t="s">
        <v>2109</v>
      </c>
      <c r="U2078" s="347">
        <f ca="1">S2078*Fuel_Specs!$B$79/S2068</f>
        <v>0</v>
      </c>
      <c r="V2078" s="347">
        <v>0</v>
      </c>
      <c r="W2078" s="347">
        <v>0</v>
      </c>
      <c r="X2078" s="14" t="s">
        <v>351</v>
      </c>
      <c r="Y2078" s="346" t="s">
        <v>413</v>
      </c>
      <c r="Z2078" s="14" t="str">
        <f>IF(ISBLANK(LCI_Table[[#This Row],[Notes for user]])," ",LCI_Table[[#This Row],[Notes for user]])</f>
        <v xml:space="preserve"> </v>
      </c>
      <c r="AA2078" s="14"/>
      <c r="AB2078" s="14"/>
      <c r="AC2078" s="346">
        <f ca="1">LCI_Table[[#This Row],[Default Calculated Value]]-LCI_Table[[#This Row],[Calculated Value]]</f>
        <v>0</v>
      </c>
    </row>
    <row r="2079" spans="1:29" x14ac:dyDescent="0.3">
      <c r="A20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SugarbeetSIPICAOMIT(blank)_Sugarbeet_CoalCoal</v>
      </c>
      <c r="B2079" s="14" t="s">
        <v>449</v>
      </c>
      <c r="C2079" s="14" t="s">
        <v>448</v>
      </c>
      <c r="D2079" s="14" t="s">
        <v>194</v>
      </c>
      <c r="E2079" s="14" t="s">
        <v>377</v>
      </c>
      <c r="F2079" s="48" t="s">
        <v>31</v>
      </c>
      <c r="G2079" s="14" t="b">
        <f>OR(LCI_Table[[#This Row],[Feedstock]]="All",LCI_Table[[#This Row],[Feedstock]]=SelectedFeedstock)</f>
        <v>0</v>
      </c>
      <c r="H2079" s="14" t="b">
        <f>OR(LCI_Table[[#This Row],[Conversion]]="All",LCI_Table[[#This Row],[Conversion]]=SelectedConversion)</f>
        <v>0</v>
      </c>
      <c r="I2079" s="14" t="b">
        <f>OR(LCI_Table[[#This Row],[Data Set]]="all",LCI_Table[[#This Row],[Data Set]]=SelectedDataSet)</f>
        <v>0</v>
      </c>
      <c r="J2079" s="14" t="b">
        <f>OR(LCI_Table[[#This Row],[Technology]]="All",LCI_Table[[#This Row],[Technology]]=SelectedTechnology)</f>
        <v>1</v>
      </c>
      <c r="K2079" s="14" t="b">
        <f>OR(LCI_Table[[#This Row],[Data Source]]="All",LCI_Table[[#This Row],[Data Source]]=SelectedDataSource)</f>
        <v>0</v>
      </c>
      <c r="L2079" s="14" t="b">
        <f>TRUE</f>
        <v>1</v>
      </c>
      <c r="M2079" s="14" t="b">
        <f>(LCI_Table[[#This Row],[Dev Notes]]="Do not display")</f>
        <v>0</v>
      </c>
      <c r="N2079" s="14" t="b">
        <f>AND(LCI_Table[[#This Row],[Show Feedstock]:[Conditional]],NOT(LCI_Table[[#This Row],[Hide Row]]))</f>
        <v>0</v>
      </c>
      <c r="O2079" s="14" t="b">
        <f>LCI_Table[[#This Row],[GREET1 Name Range]]=""</f>
        <v>0</v>
      </c>
      <c r="P2079" s="14" t="s">
        <v>14</v>
      </c>
      <c r="Q2079" s="14" t="s">
        <v>1007</v>
      </c>
      <c r="R2079" s="14" t="s">
        <v>9</v>
      </c>
      <c r="S2079" s="37" cm="1">
        <f t="array" aca="1" ref="S20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79" s="346" t="s">
        <v>2110</v>
      </c>
      <c r="U2079" s="347">
        <f ca="1">S2079/S2068</f>
        <v>0</v>
      </c>
      <c r="V2079" s="347">
        <v>0</v>
      </c>
      <c r="W2079" s="347">
        <v>0</v>
      </c>
      <c r="X2079" s="14" t="s">
        <v>117</v>
      </c>
      <c r="Y2079" s="346" t="s">
        <v>413</v>
      </c>
      <c r="Z2079" s="14" t="str">
        <f>IF(ISBLANK(LCI_Table[[#This Row],[Notes for user]])," ",LCI_Table[[#This Row],[Notes for user]])</f>
        <v xml:space="preserve"> </v>
      </c>
      <c r="AA2079" s="14"/>
      <c r="AB2079" s="14"/>
      <c r="AC2079" s="346">
        <f ca="1">LCI_Table[[#This Row],[Default Calculated Value]]-LCI_Table[[#This Row],[Calculated Value]]</f>
        <v>0</v>
      </c>
    </row>
    <row r="2080" spans="1:29" x14ac:dyDescent="0.3">
      <c r="A20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SugarbeetSIPICAOMIT(blank)_Sugarbeet_LPGLPG</v>
      </c>
      <c r="B2080" s="14" t="s">
        <v>449</v>
      </c>
      <c r="C2080" s="14" t="s">
        <v>448</v>
      </c>
      <c r="D2080" s="14" t="s">
        <v>194</v>
      </c>
      <c r="E2080" s="14" t="s">
        <v>377</v>
      </c>
      <c r="F2080" s="48" t="s">
        <v>31</v>
      </c>
      <c r="G2080" s="14" t="b">
        <f>OR(LCI_Table[[#This Row],[Feedstock]]="All",LCI_Table[[#This Row],[Feedstock]]=SelectedFeedstock)</f>
        <v>0</v>
      </c>
      <c r="H2080" s="14" t="b">
        <f>OR(LCI_Table[[#This Row],[Conversion]]="All",LCI_Table[[#This Row],[Conversion]]=SelectedConversion)</f>
        <v>0</v>
      </c>
      <c r="I2080" s="14" t="b">
        <f>OR(LCI_Table[[#This Row],[Data Set]]="all",LCI_Table[[#This Row],[Data Set]]=SelectedDataSet)</f>
        <v>0</v>
      </c>
      <c r="J2080" s="14" t="b">
        <f>OR(LCI_Table[[#This Row],[Technology]]="All",LCI_Table[[#This Row],[Technology]]=SelectedTechnology)</f>
        <v>1</v>
      </c>
      <c r="K2080" s="14" t="b">
        <f>OR(LCI_Table[[#This Row],[Data Source]]="All",LCI_Table[[#This Row],[Data Source]]=SelectedDataSource)</f>
        <v>0</v>
      </c>
      <c r="L2080" s="14" t="b">
        <f>TRUE</f>
        <v>1</v>
      </c>
      <c r="M2080" s="14" t="b">
        <f>(LCI_Table[[#This Row],[Dev Notes]]="Do not display")</f>
        <v>0</v>
      </c>
      <c r="N2080" s="14" t="b">
        <f>AND(LCI_Table[[#This Row],[Show Feedstock]:[Conditional]],NOT(LCI_Table[[#This Row],[Hide Row]]))</f>
        <v>0</v>
      </c>
      <c r="O2080" s="14" t="b">
        <f>LCI_Table[[#This Row],[GREET1 Name Range]]=""</f>
        <v>0</v>
      </c>
      <c r="P2080" s="14" t="s">
        <v>14</v>
      </c>
      <c r="Q2080" s="14" t="s">
        <v>1008</v>
      </c>
      <c r="R2080" s="14" t="s">
        <v>109</v>
      </c>
      <c r="S2080" s="37" cm="1">
        <f t="array" aca="1" ref="S20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80" s="346" t="s">
        <v>1484</v>
      </c>
      <c r="U2080" s="347">
        <f ca="1">S2080*Fuel_Specs!$B$35/S2068</f>
        <v>0</v>
      </c>
      <c r="V2080" s="347">
        <v>0</v>
      </c>
      <c r="W2080" s="347">
        <v>0</v>
      </c>
      <c r="X2080" s="14" t="s">
        <v>5</v>
      </c>
      <c r="Y2080" s="346" t="s">
        <v>413</v>
      </c>
      <c r="Z2080" s="14" t="str">
        <f>IF(ISBLANK(LCI_Table[[#This Row],[Notes for user]])," ",LCI_Table[[#This Row],[Notes for user]])</f>
        <v xml:space="preserve"> </v>
      </c>
      <c r="AA2080" s="14"/>
      <c r="AB2080" s="14"/>
      <c r="AC2080" s="346">
        <f ca="1">LCI_Table[[#This Row],[Default Calculated Value]]-LCI_Table[[#This Row],[Calculated Value]]</f>
        <v>0</v>
      </c>
    </row>
    <row r="2081" spans="1:29" x14ac:dyDescent="0.3">
      <c r="A20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SugarbeetSIPICAOMIT(blank)_Sugarbeet_ElectricityElectricity</v>
      </c>
      <c r="B2081" s="14" t="s">
        <v>449</v>
      </c>
      <c r="C2081" s="14" t="s">
        <v>448</v>
      </c>
      <c r="D2081" s="14" t="s">
        <v>194</v>
      </c>
      <c r="E2081" s="14" t="s">
        <v>377</v>
      </c>
      <c r="F2081" s="48" t="s">
        <v>31</v>
      </c>
      <c r="G2081" s="14" t="b">
        <f>OR(LCI_Table[[#This Row],[Feedstock]]="All",LCI_Table[[#This Row],[Feedstock]]=SelectedFeedstock)</f>
        <v>0</v>
      </c>
      <c r="H2081" s="14" t="b">
        <f>OR(LCI_Table[[#This Row],[Conversion]]="All",LCI_Table[[#This Row],[Conversion]]=SelectedConversion)</f>
        <v>0</v>
      </c>
      <c r="I2081" s="14" t="b">
        <f>OR(LCI_Table[[#This Row],[Data Set]]="all",LCI_Table[[#This Row],[Data Set]]=SelectedDataSet)</f>
        <v>0</v>
      </c>
      <c r="J2081" s="14" t="b">
        <f>OR(LCI_Table[[#This Row],[Technology]]="All",LCI_Table[[#This Row],[Technology]]=SelectedTechnology)</f>
        <v>1</v>
      </c>
      <c r="K2081" s="14" t="b">
        <f>OR(LCI_Table[[#This Row],[Data Source]]="All",LCI_Table[[#This Row],[Data Source]]=SelectedDataSource)</f>
        <v>0</v>
      </c>
      <c r="L2081" s="14" t="b">
        <f>TRUE</f>
        <v>1</v>
      </c>
      <c r="M2081" s="14" t="b">
        <f>(LCI_Table[[#This Row],[Dev Notes]]="Do not display")</f>
        <v>0</v>
      </c>
      <c r="N2081" s="14" t="b">
        <f>AND(LCI_Table[[#This Row],[Show Feedstock]:[Conditional]],NOT(LCI_Table[[#This Row],[Hide Row]]))</f>
        <v>0</v>
      </c>
      <c r="O2081" s="14" t="b">
        <f>LCI_Table[[#This Row],[GREET1 Name Range]]=""</f>
        <v>0</v>
      </c>
      <c r="P2081" s="14" t="s">
        <v>14</v>
      </c>
      <c r="Q2081" s="14" t="s">
        <v>1009</v>
      </c>
      <c r="R2081" s="348" t="s">
        <v>110</v>
      </c>
      <c r="S2081" s="37" cm="1">
        <f t="array" aca="1" ref="S20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81" s="346" t="s">
        <v>1561</v>
      </c>
      <c r="U2081" s="347">
        <f ca="1">S2081/BTU2kWh/S2068</f>
        <v>0</v>
      </c>
      <c r="V2081" s="347">
        <v>0</v>
      </c>
      <c r="W2081" s="347">
        <v>0</v>
      </c>
      <c r="X2081" s="14" t="s">
        <v>51</v>
      </c>
      <c r="Y2081" s="346" t="s">
        <v>413</v>
      </c>
      <c r="Z2081" s="14" t="str">
        <f>IF(ISBLANK(LCI_Table[[#This Row],[Notes for user]])," ",LCI_Table[[#This Row],[Notes for user]])</f>
        <v xml:space="preserve"> </v>
      </c>
      <c r="AA2081" s="14"/>
      <c r="AB2081" s="14"/>
      <c r="AC2081" s="346">
        <f ca="1">LCI_Table[[#This Row],[Default Calculated Value]]-LCI_Table[[#This Row],[Calculated Value]]</f>
        <v>0</v>
      </c>
    </row>
    <row r="2082" spans="1:29" x14ac:dyDescent="0.3">
      <c r="A20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SugarbeetSIPICAOMIT(blank)_Sugarbeet_SIP_SugarbeetSugarbeet</v>
      </c>
      <c r="B2082" s="348" t="s">
        <v>449</v>
      </c>
      <c r="C2082" s="348" t="s">
        <v>448</v>
      </c>
      <c r="D2082" s="348" t="s">
        <v>194</v>
      </c>
      <c r="E2082" s="348" t="s">
        <v>377</v>
      </c>
      <c r="F2082" s="48" t="s">
        <v>31</v>
      </c>
      <c r="G2082" s="14" t="b">
        <f>OR(LCI_Table[[#This Row],[Feedstock]]="All",LCI_Table[[#This Row],[Feedstock]]=SelectedFeedstock)</f>
        <v>0</v>
      </c>
      <c r="H2082" s="14" t="b">
        <f>OR(LCI_Table[[#This Row],[Conversion]]="All",LCI_Table[[#This Row],[Conversion]]=SelectedConversion)</f>
        <v>0</v>
      </c>
      <c r="I2082" s="14" t="b">
        <f>OR(LCI_Table[[#This Row],[Data Set]]="all",LCI_Table[[#This Row],[Data Set]]=SelectedDataSet)</f>
        <v>0</v>
      </c>
      <c r="J2082" s="14" t="b">
        <f>OR(LCI_Table[[#This Row],[Technology]]="All",LCI_Table[[#This Row],[Technology]]=SelectedTechnology)</f>
        <v>1</v>
      </c>
      <c r="K2082" s="14" t="b">
        <f>OR(LCI_Table[[#This Row],[Data Source]]="All",LCI_Table[[#This Row],[Data Source]]=SelectedDataSource)</f>
        <v>0</v>
      </c>
      <c r="L2082" s="14" t="b">
        <f>TRUE</f>
        <v>1</v>
      </c>
      <c r="M2082" s="14" t="b">
        <f>(LCI_Table[[#This Row],[Dev Notes]]="Do not display")</f>
        <v>0</v>
      </c>
      <c r="N2082" s="14" t="b">
        <f>AND(LCI_Table[[#This Row],[Show Feedstock]:[Conditional]],NOT(LCI_Table[[#This Row],[Hide Row]]))</f>
        <v>0</v>
      </c>
      <c r="O2082" s="14" t="b">
        <f>LCI_Table[[#This Row],[GREET1 Name Range]]=""</f>
        <v>0</v>
      </c>
      <c r="P2082" s="348" t="s">
        <v>448</v>
      </c>
      <c r="Q2082" s="14" t="s">
        <v>1010</v>
      </c>
      <c r="R2082" s="348" t="s">
        <v>449</v>
      </c>
      <c r="S2082" s="37" cm="1">
        <f t="array" aca="1" ref="S20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1977.5906462402086</v>
      </c>
      <c r="T2082" s="346" t="s">
        <v>2138</v>
      </c>
      <c r="U2082" s="369">
        <f ca="1">S2082*lb2kg/mmBTU2MJ</f>
        <v>0.8502109420254178</v>
      </c>
      <c r="V2082" s="368">
        <v>1977.5906462402086</v>
      </c>
      <c r="W2082" s="368">
        <v>0.8502109420254178</v>
      </c>
      <c r="X2082" s="348" t="s">
        <v>12</v>
      </c>
      <c r="Y2082" s="346" t="s">
        <v>1436</v>
      </c>
      <c r="Z2082" s="14" t="str">
        <f>IF(ISBLANK(LCI_Table[[#This Row],[Notes for user]])," ",LCI_Table[[#This Row],[Notes for user]])</f>
        <v xml:space="preserve"> </v>
      </c>
      <c r="AA2082" s="348"/>
      <c r="AB2082" s="348"/>
      <c r="AC2082" s="346">
        <f ca="1">LCI_Table[[#This Row],[Default Calculated Value]]-LCI_Table[[#This Row],[Calculated Value]]</f>
        <v>0</v>
      </c>
    </row>
    <row r="2083" spans="1:29" x14ac:dyDescent="0.3">
      <c r="A20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SugarbeetSIPICAOMIT(blank)_Sugarbeet_SIP_Sulfuric_acidSulfuric acid</v>
      </c>
      <c r="B2083" s="348" t="s">
        <v>449</v>
      </c>
      <c r="C2083" s="348" t="s">
        <v>448</v>
      </c>
      <c r="D2083" s="348" t="s">
        <v>194</v>
      </c>
      <c r="E2083" s="348" t="s">
        <v>377</v>
      </c>
      <c r="F2083" s="48" t="s">
        <v>31</v>
      </c>
      <c r="G2083" s="14" t="b">
        <f>OR(LCI_Table[[#This Row],[Feedstock]]="All",LCI_Table[[#This Row],[Feedstock]]=SelectedFeedstock)</f>
        <v>0</v>
      </c>
      <c r="H2083" s="14" t="b">
        <f>OR(LCI_Table[[#This Row],[Conversion]]="All",LCI_Table[[#This Row],[Conversion]]=SelectedConversion)</f>
        <v>0</v>
      </c>
      <c r="I2083" s="14" t="b">
        <f>OR(LCI_Table[[#This Row],[Data Set]]="all",LCI_Table[[#This Row],[Data Set]]=SelectedDataSet)</f>
        <v>0</v>
      </c>
      <c r="J2083" s="14" t="b">
        <f>OR(LCI_Table[[#This Row],[Technology]]="All",LCI_Table[[#This Row],[Technology]]=SelectedTechnology)</f>
        <v>1</v>
      </c>
      <c r="K2083" s="14" t="b">
        <f>OR(LCI_Table[[#This Row],[Data Source]]="All",LCI_Table[[#This Row],[Data Source]]=SelectedDataSource)</f>
        <v>0</v>
      </c>
      <c r="L2083" s="14" t="b">
        <f>TRUE</f>
        <v>1</v>
      </c>
      <c r="M2083" s="14" t="b">
        <f>(LCI_Table[[#This Row],[Dev Notes]]="Do not display")</f>
        <v>0</v>
      </c>
      <c r="N2083" s="14" t="b">
        <f>AND(LCI_Table[[#This Row],[Show Feedstock]:[Conditional]],NOT(LCI_Table[[#This Row],[Hide Row]]))</f>
        <v>0</v>
      </c>
      <c r="O2083" s="14" t="b">
        <f>LCI_Table[[#This Row],[GREET1 Name Range]]=""</f>
        <v>0</v>
      </c>
      <c r="P2083" s="348" t="s">
        <v>448</v>
      </c>
      <c r="Q2083" s="14" t="s">
        <v>1015</v>
      </c>
      <c r="R2083" s="348" t="s">
        <v>384</v>
      </c>
      <c r="S2083" s="37" cm="1">
        <f t="array" aca="1" ref="S20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0.34561747546559907</v>
      </c>
      <c r="T2083" s="346" t="s">
        <v>2138</v>
      </c>
      <c r="U2083" s="369">
        <f ca="1">S2083/g2lb*MJ2mmBTU</f>
        <v>0.14858876884087002</v>
      </c>
      <c r="V2083" s="370">
        <v>0.34561747546559907</v>
      </c>
      <c r="W2083" s="368">
        <v>0.14858876884087002</v>
      </c>
      <c r="X2083" s="348" t="s">
        <v>12</v>
      </c>
      <c r="Y2083" s="346" t="s">
        <v>1436</v>
      </c>
      <c r="Z2083" s="14" t="str">
        <f>IF(ISBLANK(LCI_Table[[#This Row],[Notes for user]])," ",LCI_Table[[#This Row],[Notes for user]])</f>
        <v xml:space="preserve"> </v>
      </c>
      <c r="AA2083" s="348"/>
      <c r="AB2083" s="371"/>
      <c r="AC2083" s="346">
        <f ca="1">LCI_Table[[#This Row],[Default Calculated Value]]-LCI_Table[[#This Row],[Calculated Value]]</f>
        <v>0</v>
      </c>
    </row>
    <row r="2084" spans="1:29" x14ac:dyDescent="0.3">
      <c r="A20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SugarbeetSIPICAOMIT(blank)_Sugarbeet_SIP_Sodium_carbonateSodium carbonate</v>
      </c>
      <c r="B2084" s="348" t="s">
        <v>449</v>
      </c>
      <c r="C2084" s="348" t="s">
        <v>448</v>
      </c>
      <c r="D2084" s="348" t="s">
        <v>194</v>
      </c>
      <c r="E2084" s="348" t="s">
        <v>377</v>
      </c>
      <c r="F2084" s="48" t="s">
        <v>31</v>
      </c>
      <c r="G2084" s="14" t="b">
        <f>OR(LCI_Table[[#This Row],[Feedstock]]="All",LCI_Table[[#This Row],[Feedstock]]=SelectedFeedstock)</f>
        <v>0</v>
      </c>
      <c r="H2084" s="14" t="b">
        <f>OR(LCI_Table[[#This Row],[Conversion]]="All",LCI_Table[[#This Row],[Conversion]]=SelectedConversion)</f>
        <v>0</v>
      </c>
      <c r="I2084" s="14" t="b">
        <f>OR(LCI_Table[[#This Row],[Data Set]]="all",LCI_Table[[#This Row],[Data Set]]=SelectedDataSet)</f>
        <v>0</v>
      </c>
      <c r="J2084" s="14" t="b">
        <f>OR(LCI_Table[[#This Row],[Technology]]="All",LCI_Table[[#This Row],[Technology]]=SelectedTechnology)</f>
        <v>1</v>
      </c>
      <c r="K2084" s="14" t="b">
        <f>OR(LCI_Table[[#This Row],[Data Source]]="All",LCI_Table[[#This Row],[Data Source]]=SelectedDataSource)</f>
        <v>0</v>
      </c>
      <c r="L2084" s="14" t="b">
        <f>TRUE</f>
        <v>1</v>
      </c>
      <c r="M2084" s="14" t="b">
        <f>(LCI_Table[[#This Row],[Dev Notes]]="Do not display")</f>
        <v>0</v>
      </c>
      <c r="N2084" s="14" t="b">
        <f>AND(LCI_Table[[#This Row],[Show Feedstock]:[Conditional]],NOT(LCI_Table[[#This Row],[Hide Row]]))</f>
        <v>0</v>
      </c>
      <c r="O2084" s="14" t="b">
        <f>LCI_Table[[#This Row],[GREET1 Name Range]]=""</f>
        <v>0</v>
      </c>
      <c r="P2084" s="348" t="s">
        <v>448</v>
      </c>
      <c r="Q2084" s="14" t="s">
        <v>1405</v>
      </c>
      <c r="R2084" s="348" t="s">
        <v>1128</v>
      </c>
      <c r="S2084" s="37" cm="1">
        <f t="array" aca="1" ref="S20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0.1027426495247734</v>
      </c>
      <c r="T2084" s="346" t="s">
        <v>2138</v>
      </c>
      <c r="U2084" s="369">
        <f ca="1">S2084/g2lb*MJ2mmBTU</f>
        <v>4.41713885554222E-2</v>
      </c>
      <c r="V2084" s="368">
        <v>0.1027426495247734</v>
      </c>
      <c r="W2084" s="368">
        <v>4.41713885554222E-2</v>
      </c>
      <c r="X2084" s="348" t="s">
        <v>12</v>
      </c>
      <c r="Y2084" s="346" t="s">
        <v>1436</v>
      </c>
      <c r="Z2084" s="14" t="str">
        <f>IF(ISBLANK(LCI_Table[[#This Row],[Notes for user]])," ",LCI_Table[[#This Row],[Notes for user]])</f>
        <v xml:space="preserve"> </v>
      </c>
      <c r="AA2084" s="348"/>
      <c r="AB2084" s="371"/>
      <c r="AC2084" s="346">
        <f ca="1">LCI_Table[[#This Row],[Default Calculated Value]]-LCI_Table[[#This Row],[Calculated Value]]</f>
        <v>0</v>
      </c>
    </row>
    <row r="2085" spans="1:29" x14ac:dyDescent="0.3">
      <c r="A20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SugarbeetSIPICAOMIT(blank)_Sugarbeet_SIP_HClHydrochloric acid</v>
      </c>
      <c r="B2085" s="348" t="s">
        <v>449</v>
      </c>
      <c r="C2085" s="348" t="s">
        <v>448</v>
      </c>
      <c r="D2085" s="348" t="s">
        <v>194</v>
      </c>
      <c r="E2085" s="348" t="s">
        <v>377</v>
      </c>
      <c r="F2085" s="48" t="s">
        <v>31</v>
      </c>
      <c r="G2085" s="14" t="b">
        <f>OR(LCI_Table[[#This Row],[Feedstock]]="All",LCI_Table[[#This Row],[Feedstock]]=SelectedFeedstock)</f>
        <v>0</v>
      </c>
      <c r="H2085" s="14" t="b">
        <f>OR(LCI_Table[[#This Row],[Conversion]]="All",LCI_Table[[#This Row],[Conversion]]=SelectedConversion)</f>
        <v>0</v>
      </c>
      <c r="I2085" s="14" t="b">
        <f>OR(LCI_Table[[#This Row],[Data Set]]="all",LCI_Table[[#This Row],[Data Set]]=SelectedDataSet)</f>
        <v>0</v>
      </c>
      <c r="J2085" s="14" t="b">
        <f>OR(LCI_Table[[#This Row],[Technology]]="All",LCI_Table[[#This Row],[Technology]]=SelectedTechnology)</f>
        <v>1</v>
      </c>
      <c r="K2085" s="14" t="b">
        <f>OR(LCI_Table[[#This Row],[Data Source]]="All",LCI_Table[[#This Row],[Data Source]]=SelectedDataSource)</f>
        <v>0</v>
      </c>
      <c r="L2085" s="14" t="b">
        <f>TRUE</f>
        <v>1</v>
      </c>
      <c r="M2085" s="14" t="b">
        <f>(LCI_Table[[#This Row],[Dev Notes]]="Do not display")</f>
        <v>0</v>
      </c>
      <c r="N2085" s="14" t="b">
        <f>AND(LCI_Table[[#This Row],[Show Feedstock]:[Conditional]],NOT(LCI_Table[[#This Row],[Hide Row]]))</f>
        <v>0</v>
      </c>
      <c r="O2085" s="14" t="b">
        <f>LCI_Table[[#This Row],[GREET1 Name Range]]=""</f>
        <v>0</v>
      </c>
      <c r="P2085" s="348" t="s">
        <v>448</v>
      </c>
      <c r="Q2085" s="14" t="s">
        <v>1404</v>
      </c>
      <c r="R2085" s="348" t="s">
        <v>1129</v>
      </c>
      <c r="S2085" s="37" cm="1">
        <f t="array" aca="1" ref="S20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5.0271632794996059E-2</v>
      </c>
      <c r="T2085" s="346" t="s">
        <v>2138</v>
      </c>
      <c r="U2085" s="369">
        <f ca="1">S2085/g2lb*MJ2mmBTU</f>
        <v>2.1612911831399201E-2</v>
      </c>
      <c r="V2085" s="368">
        <v>5.0271632794996059E-2</v>
      </c>
      <c r="W2085" s="368">
        <v>2.1612911831399201E-2</v>
      </c>
      <c r="X2085" s="348" t="s">
        <v>12</v>
      </c>
      <c r="Y2085" s="346" t="s">
        <v>1436</v>
      </c>
      <c r="Z2085" s="14" t="str">
        <f>IF(ISBLANK(LCI_Table[[#This Row],[Notes for user]])," ",LCI_Table[[#This Row],[Notes for user]])</f>
        <v xml:space="preserve"> </v>
      </c>
      <c r="AA2085" s="348"/>
      <c r="AB2085" s="371"/>
      <c r="AC2085" s="346">
        <f ca="1">LCI_Table[[#This Row],[Default Calculated Value]]-LCI_Table[[#This Row],[Calculated Value]]</f>
        <v>0</v>
      </c>
    </row>
    <row r="2086" spans="1:29" x14ac:dyDescent="0.3">
      <c r="A20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SugarbeetSIPICAOMIT(blank)_Sugarbeet_SIP_FormaldehydeFormaldehyde</v>
      </c>
      <c r="B2086" s="348" t="s">
        <v>449</v>
      </c>
      <c r="C2086" s="348" t="s">
        <v>448</v>
      </c>
      <c r="D2086" s="348" t="s">
        <v>194</v>
      </c>
      <c r="E2086" s="348" t="s">
        <v>377</v>
      </c>
      <c r="F2086" s="48" t="s">
        <v>31</v>
      </c>
      <c r="G2086" s="14" t="b">
        <f>OR(LCI_Table[[#This Row],[Feedstock]]="All",LCI_Table[[#This Row],[Feedstock]]=SelectedFeedstock)</f>
        <v>0</v>
      </c>
      <c r="H2086" s="14" t="b">
        <f>OR(LCI_Table[[#This Row],[Conversion]]="All",LCI_Table[[#This Row],[Conversion]]=SelectedConversion)</f>
        <v>0</v>
      </c>
      <c r="I2086" s="14" t="b">
        <f>OR(LCI_Table[[#This Row],[Data Set]]="all",LCI_Table[[#This Row],[Data Set]]=SelectedDataSet)</f>
        <v>0</v>
      </c>
      <c r="J2086" s="14" t="b">
        <f>OR(LCI_Table[[#This Row],[Technology]]="All",LCI_Table[[#This Row],[Technology]]=SelectedTechnology)</f>
        <v>1</v>
      </c>
      <c r="K2086" s="14" t="b">
        <f>OR(LCI_Table[[#This Row],[Data Source]]="All",LCI_Table[[#This Row],[Data Source]]=SelectedDataSource)</f>
        <v>0</v>
      </c>
      <c r="L2086" s="14" t="b">
        <f>TRUE</f>
        <v>1</v>
      </c>
      <c r="M2086" s="14" t="b">
        <f>(LCI_Table[[#This Row],[Dev Notes]]="Do not display")</f>
        <v>0</v>
      </c>
      <c r="N2086" s="14" t="b">
        <f>AND(LCI_Table[[#This Row],[Show Feedstock]:[Conditional]],NOT(LCI_Table[[#This Row],[Hide Row]]))</f>
        <v>0</v>
      </c>
      <c r="O2086" s="14" t="b">
        <f>LCI_Table[[#This Row],[GREET1 Name Range]]=""</f>
        <v>0</v>
      </c>
      <c r="P2086" s="348" t="s">
        <v>448</v>
      </c>
      <c r="Q2086" s="14" t="s">
        <v>1403</v>
      </c>
      <c r="R2086" s="348" t="s">
        <v>1130</v>
      </c>
      <c r="S2086" s="37" cm="1">
        <f t="array" aca="1" ref="S20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0.30854214627928922</v>
      </c>
      <c r="T2086" s="346" t="s">
        <v>2138</v>
      </c>
      <c r="U2086" s="369">
        <f ca="1">S2086/g2lb*MJ2mmBTU</f>
        <v>0.132649246365213</v>
      </c>
      <c r="V2086" s="368">
        <v>0.30854214627928922</v>
      </c>
      <c r="W2086" s="368">
        <v>0.132649246365213</v>
      </c>
      <c r="X2086" s="348" t="s">
        <v>12</v>
      </c>
      <c r="Y2086" s="346" t="s">
        <v>1436</v>
      </c>
      <c r="Z2086" s="14" t="str">
        <f>IF(ISBLANK(LCI_Table[[#This Row],[Notes for user]])," ",LCI_Table[[#This Row],[Notes for user]])</f>
        <v xml:space="preserve"> </v>
      </c>
      <c r="AA2086" s="348"/>
      <c r="AB2086" s="371"/>
      <c r="AC2086" s="346">
        <f ca="1">LCI_Table[[#This Row],[Default Calculated Value]]-LCI_Table[[#This Row],[Calculated Value]]</f>
        <v>0</v>
      </c>
    </row>
    <row r="2087" spans="1:29" x14ac:dyDescent="0.3">
      <c r="A20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SugarbeetSIPICAOMIT(blank)_Sugarbeet_SIP_Pet_cokePet coke</v>
      </c>
      <c r="B2087" s="14" t="s">
        <v>449</v>
      </c>
      <c r="C2087" s="14" t="s">
        <v>448</v>
      </c>
      <c r="D2087" s="14" t="s">
        <v>194</v>
      </c>
      <c r="E2087" s="14" t="s">
        <v>377</v>
      </c>
      <c r="F2087" s="48" t="s">
        <v>31</v>
      </c>
      <c r="G2087" s="14" t="b">
        <f>OR(LCI_Table[[#This Row],[Feedstock]]="All",LCI_Table[[#This Row],[Feedstock]]=SelectedFeedstock)</f>
        <v>0</v>
      </c>
      <c r="H2087" s="14" t="b">
        <f>OR(LCI_Table[[#This Row],[Conversion]]="All",LCI_Table[[#This Row],[Conversion]]=SelectedConversion)</f>
        <v>0</v>
      </c>
      <c r="I2087" s="14" t="b">
        <f>OR(LCI_Table[[#This Row],[Data Set]]="all",LCI_Table[[#This Row],[Data Set]]=SelectedDataSet)</f>
        <v>0</v>
      </c>
      <c r="J2087" s="14" t="b">
        <f>OR(LCI_Table[[#This Row],[Technology]]="All",LCI_Table[[#This Row],[Technology]]=SelectedTechnology)</f>
        <v>1</v>
      </c>
      <c r="K2087" s="14" t="b">
        <f>OR(LCI_Table[[#This Row],[Data Source]]="All",LCI_Table[[#This Row],[Data Source]]=SelectedDataSource)</f>
        <v>0</v>
      </c>
      <c r="L2087" s="14" t="b">
        <f>TRUE</f>
        <v>1</v>
      </c>
      <c r="M2087" s="14" t="b">
        <f>(LCI_Table[[#This Row],[Dev Notes]]="Do not display")</f>
        <v>0</v>
      </c>
      <c r="N2087" s="14" t="b">
        <f>AND(LCI_Table[[#This Row],[Show Feedstock]:[Conditional]],NOT(LCI_Table[[#This Row],[Hide Row]]))</f>
        <v>0</v>
      </c>
      <c r="O2087" s="14" t="b">
        <f>LCI_Table[[#This Row],[GREET1 Name Range]]=""</f>
        <v>0</v>
      </c>
      <c r="P2087" s="348" t="s">
        <v>448</v>
      </c>
      <c r="Q2087" s="14" t="s">
        <v>1016</v>
      </c>
      <c r="R2087" s="14" t="s">
        <v>1131</v>
      </c>
      <c r="S2087" s="37" cm="1">
        <f t="array" aca="1" ref="S20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3.3482678903442835</v>
      </c>
      <c r="T2087" s="346" t="s">
        <v>2138</v>
      </c>
      <c r="U2087" s="372">
        <f ca="1">S2087*lb2ton*Fuel_Specs!$B$91*BTU2MJ/mmBTU2MJ</f>
        <v>4.51169534480459E-2</v>
      </c>
      <c r="V2087" s="347">
        <v>3.3482678903442835</v>
      </c>
      <c r="W2087" s="347">
        <v>4.51169534480459E-2</v>
      </c>
      <c r="X2087" s="14" t="s">
        <v>12</v>
      </c>
      <c r="Y2087" s="346" t="s">
        <v>1436</v>
      </c>
      <c r="Z2087" s="14" t="str">
        <f>IF(ISBLANK(LCI_Table[[#This Row],[Notes for user]])," ",LCI_Table[[#This Row],[Notes for user]])</f>
        <v xml:space="preserve"> </v>
      </c>
      <c r="AA2087" s="14"/>
      <c r="AB2087" s="14"/>
      <c r="AC2087" s="346">
        <f ca="1">LCI_Table[[#This Row],[Default Calculated Value]]-LCI_Table[[#This Row],[Calculated Value]]</f>
        <v>0</v>
      </c>
    </row>
    <row r="2088" spans="1:29" x14ac:dyDescent="0.3">
      <c r="A20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SugarbeetSIPICAOMIT(blank)_Sugarbeet_SIP_Allocation_FactorAllocation factor</v>
      </c>
      <c r="B2088" s="14" t="s">
        <v>449</v>
      </c>
      <c r="C2088" s="14" t="s">
        <v>448</v>
      </c>
      <c r="D2088" s="14" t="s">
        <v>194</v>
      </c>
      <c r="E2088" s="14" t="s">
        <v>377</v>
      </c>
      <c r="F2088" s="48" t="s">
        <v>31</v>
      </c>
      <c r="G2088" s="14" t="b">
        <f>OR(LCI_Table[[#This Row],[Feedstock]]="All",LCI_Table[[#This Row],[Feedstock]]=SelectedFeedstock)</f>
        <v>0</v>
      </c>
      <c r="H2088" s="14" t="b">
        <f>OR(LCI_Table[[#This Row],[Conversion]]="All",LCI_Table[[#This Row],[Conversion]]=SelectedConversion)</f>
        <v>0</v>
      </c>
      <c r="I2088" s="14" t="b">
        <f>OR(LCI_Table[[#This Row],[Data Set]]="all",LCI_Table[[#This Row],[Data Set]]=SelectedDataSet)</f>
        <v>0</v>
      </c>
      <c r="J2088" s="14" t="b">
        <f>OR(LCI_Table[[#This Row],[Technology]]="All",LCI_Table[[#This Row],[Technology]]=SelectedTechnology)</f>
        <v>1</v>
      </c>
      <c r="K2088" s="14" t="b">
        <f>OR(LCI_Table[[#This Row],[Data Source]]="All",LCI_Table[[#This Row],[Data Source]]=SelectedDataSource)</f>
        <v>0</v>
      </c>
      <c r="L2088" s="14" t="b">
        <f>TRUE</f>
        <v>1</v>
      </c>
      <c r="M2088" s="14" t="b">
        <f>(LCI_Table[[#This Row],[Dev Notes]]="Do not display")</f>
        <v>0</v>
      </c>
      <c r="N2088" s="14" t="b">
        <f>AND(LCI_Table[[#This Row],[Show Feedstock]:[Conditional]],NOT(LCI_Table[[#This Row],[Hide Row]]))</f>
        <v>0</v>
      </c>
      <c r="O2088" s="14" t="b">
        <f>LCI_Table[[#This Row],[GREET1 Name Range]]=""</f>
        <v>0</v>
      </c>
      <c r="P2088" s="348" t="s">
        <v>448</v>
      </c>
      <c r="Q2088" s="14" t="s">
        <v>1126</v>
      </c>
      <c r="R2088" s="14" t="s">
        <v>1344</v>
      </c>
      <c r="S2088" s="37" cm="1">
        <f t="array" aca="1" ref="S20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96.733299570654907</v>
      </c>
      <c r="T2088" s="346" t="s">
        <v>1345</v>
      </c>
      <c r="U2088" s="372">
        <f ca="1">S2088/100</f>
        <v>0.96733299570654907</v>
      </c>
      <c r="V2088" s="347">
        <v>96.733299570654907</v>
      </c>
      <c r="W2088" s="347">
        <v>0.96733299570654907</v>
      </c>
      <c r="X2088" s="14"/>
      <c r="Y2088" s="346" t="s">
        <v>1436</v>
      </c>
      <c r="Z2088" s="14" t="str">
        <f>IF(ISBLANK(LCI_Table[[#This Row],[Notes for user]])," ",LCI_Table[[#This Row],[Notes for user]])</f>
        <v xml:space="preserve"> </v>
      </c>
      <c r="AA2088" s="14"/>
      <c r="AB2088" s="14"/>
      <c r="AC2088" s="346">
        <f ca="1">LCI_Table[[#This Row],[Default Calculated Value]]-LCI_Table[[#This Row],[Calculated Value]]</f>
        <v>0</v>
      </c>
    </row>
    <row r="2089" spans="1:29" x14ac:dyDescent="0.3">
      <c r="A20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SugarbeetSIPICAOMIT(blank)_Sugarbeet_SIP_ElectricityGrid Electricity</v>
      </c>
      <c r="B2089" s="14" t="s">
        <v>449</v>
      </c>
      <c r="C2089" s="14" t="s">
        <v>448</v>
      </c>
      <c r="D2089" s="14" t="s">
        <v>194</v>
      </c>
      <c r="E2089" s="14" t="s">
        <v>377</v>
      </c>
      <c r="F2089" s="48" t="s">
        <v>31</v>
      </c>
      <c r="G2089" s="14" t="b">
        <f>OR(LCI_Table[[#This Row],[Feedstock]]="All",LCI_Table[[#This Row],[Feedstock]]=SelectedFeedstock)</f>
        <v>0</v>
      </c>
      <c r="H2089" s="14" t="b">
        <f>OR(LCI_Table[[#This Row],[Conversion]]="All",LCI_Table[[#This Row],[Conversion]]=SelectedConversion)</f>
        <v>0</v>
      </c>
      <c r="I2089" s="14" t="b">
        <f>OR(LCI_Table[[#This Row],[Data Set]]="all",LCI_Table[[#This Row],[Data Set]]=SelectedDataSet)</f>
        <v>0</v>
      </c>
      <c r="J2089" s="14" t="b">
        <f>OR(LCI_Table[[#This Row],[Technology]]="All",LCI_Table[[#This Row],[Technology]]=SelectedTechnology)</f>
        <v>1</v>
      </c>
      <c r="K2089" s="14" t="b">
        <f>OR(LCI_Table[[#This Row],[Data Source]]="All",LCI_Table[[#This Row],[Data Source]]=SelectedDataSource)</f>
        <v>0</v>
      </c>
      <c r="L2089" s="14" t="b">
        <f>TRUE</f>
        <v>1</v>
      </c>
      <c r="M2089" s="14" t="b">
        <f>(LCI_Table[[#This Row],[Dev Notes]]="Do not display")</f>
        <v>0</v>
      </c>
      <c r="N2089" s="14" t="b">
        <f>AND(LCI_Table[[#This Row],[Show Feedstock]:[Conditional]],NOT(LCI_Table[[#This Row],[Hide Row]]))</f>
        <v>0</v>
      </c>
      <c r="O2089" s="14" t="b">
        <f>LCI_Table[[#This Row],[GREET1 Name Range]]=""</f>
        <v>0</v>
      </c>
      <c r="P2089" s="358" t="s">
        <v>1448</v>
      </c>
      <c r="Q2089" s="14" t="s">
        <v>1017</v>
      </c>
      <c r="R2089" s="14" t="s">
        <v>1684</v>
      </c>
      <c r="S2089" s="37" cm="1">
        <f t="array" aca="1" ref="S20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89" s="346" t="s">
        <v>2121</v>
      </c>
      <c r="U2089" s="347">
        <f ca="1">S2089/BTU2kWh/mmBTU2MJ/Allocations!$O$206</f>
        <v>0</v>
      </c>
      <c r="V2089" s="347">
        <v>0</v>
      </c>
      <c r="W2089" s="347">
        <v>0</v>
      </c>
      <c r="X2089" s="14" t="s">
        <v>51</v>
      </c>
      <c r="Y2089" s="346" t="s">
        <v>416</v>
      </c>
      <c r="Z2089" s="14" t="str">
        <f>IF(ISBLANK(LCI_Table[[#This Row],[Notes for user]])," ",LCI_Table[[#This Row],[Notes for user]])</f>
        <v xml:space="preserve"> </v>
      </c>
      <c r="AA2089" s="14"/>
      <c r="AB2089" s="14"/>
      <c r="AC2089" s="346">
        <f ca="1">LCI_Table[[#This Row],[Default Calculated Value]]-LCI_Table[[#This Row],[Calculated Value]]</f>
        <v>0</v>
      </c>
    </row>
    <row r="2090" spans="1:29" x14ac:dyDescent="0.3">
      <c r="A20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SugarbeetSIPICAOMIT(blank)_Sugarbeet_SIP_HydrogenHydrogen</v>
      </c>
      <c r="B2090" s="14" t="s">
        <v>449</v>
      </c>
      <c r="C2090" s="14" t="s">
        <v>448</v>
      </c>
      <c r="D2090" s="358" t="s">
        <v>194</v>
      </c>
      <c r="E2090" s="358" t="s">
        <v>377</v>
      </c>
      <c r="F2090" s="48" t="s">
        <v>31</v>
      </c>
      <c r="G2090" s="14" t="b">
        <f>OR(LCI_Table[[#This Row],[Feedstock]]="All",LCI_Table[[#This Row],[Feedstock]]=SelectedFeedstock)</f>
        <v>0</v>
      </c>
      <c r="H2090" s="14" t="b">
        <f>OR(LCI_Table[[#This Row],[Conversion]]="All",LCI_Table[[#This Row],[Conversion]]=SelectedConversion)</f>
        <v>0</v>
      </c>
      <c r="I2090" s="14" t="b">
        <f>OR(LCI_Table[[#This Row],[Data Set]]="all",LCI_Table[[#This Row],[Data Set]]=SelectedDataSet)</f>
        <v>0</v>
      </c>
      <c r="J2090" s="14" t="b">
        <f>OR(LCI_Table[[#This Row],[Technology]]="All",LCI_Table[[#This Row],[Technology]]=SelectedTechnology)</f>
        <v>1</v>
      </c>
      <c r="K2090" s="14" t="b">
        <f>OR(LCI_Table[[#This Row],[Data Source]]="All",LCI_Table[[#This Row],[Data Source]]=SelectedDataSource)</f>
        <v>0</v>
      </c>
      <c r="L2090" s="14" t="b">
        <f>TRUE</f>
        <v>1</v>
      </c>
      <c r="M2090" s="14" t="b">
        <f>(LCI_Table[[#This Row],[Dev Notes]]="Do not display")</f>
        <v>0</v>
      </c>
      <c r="N2090" s="14" t="b">
        <f>AND(LCI_Table[[#This Row],[Show Feedstock]:[Conditional]],NOT(LCI_Table[[#This Row],[Hide Row]]))</f>
        <v>0</v>
      </c>
      <c r="O2090" s="14" t="b">
        <f>LCI_Table[[#This Row],[GREET1 Name Range]]=""</f>
        <v>0</v>
      </c>
      <c r="P2090" s="358" t="s">
        <v>1448</v>
      </c>
      <c r="Q2090" s="14" t="s">
        <v>1018</v>
      </c>
      <c r="R2090" s="358" t="s">
        <v>73</v>
      </c>
      <c r="S2090" s="37" cm="1">
        <f t="array" aca="1" ref="S20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369.65186510159606</v>
      </c>
      <c r="T2090" s="346" t="s">
        <v>2120</v>
      </c>
      <c r="U2090" s="347">
        <f ca="1">S2090*Fuel_Specs!$B$81/mmBTU2MJ</f>
        <v>101.60508647903603</v>
      </c>
      <c r="V2090" s="359">
        <v>369.65186510159606</v>
      </c>
      <c r="W2090" s="347">
        <v>101.60508647903603</v>
      </c>
      <c r="X2090" s="360" t="s">
        <v>351</v>
      </c>
      <c r="Y2090" s="346" t="s">
        <v>416</v>
      </c>
      <c r="Z2090" s="14" t="str">
        <f>IF(ISBLANK(LCI_Table[[#This Row],[Notes for user]])," ",LCI_Table[[#This Row],[Notes for user]])</f>
        <v>CORSIA reports 0.91 MJ H2/MJ SAF</v>
      </c>
      <c r="AA2090" s="14" t="s">
        <v>1155</v>
      </c>
      <c r="AB2090" s="358"/>
      <c r="AC2090" s="346">
        <f ca="1">LCI_Table[[#This Row],[Default Calculated Value]]-LCI_Table[[#This Row],[Calculated Value]]</f>
        <v>0</v>
      </c>
    </row>
    <row r="2091" spans="1:29" x14ac:dyDescent="0.3">
      <c r="A20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dash_SugarbeetSIPICAOJRC(blank)_Yield_Farming</v>
      </c>
      <c r="B2091" s="48" t="s">
        <v>449</v>
      </c>
      <c r="C2091" s="48" t="s">
        <v>448</v>
      </c>
      <c r="D2091" s="48" t="s">
        <v>194</v>
      </c>
      <c r="E2091" s="48" t="s">
        <v>355</v>
      </c>
      <c r="F2091" s="48" t="s">
        <v>31</v>
      </c>
      <c r="G2091" s="14" t="b">
        <f>OR(LCI_Table[[#This Row],[Feedstock]]="All",LCI_Table[[#This Row],[Feedstock]]=SelectedFeedstock)</f>
        <v>0</v>
      </c>
      <c r="H2091" s="14" t="b">
        <f>OR(LCI_Table[[#This Row],[Conversion]]="All",LCI_Table[[#This Row],[Conversion]]=SelectedConversion)</f>
        <v>0</v>
      </c>
      <c r="I2091" s="14" t="b">
        <f>OR(LCI_Table[[#This Row],[Data Set]]="all",LCI_Table[[#This Row],[Data Set]]=SelectedDataSet)</f>
        <v>0</v>
      </c>
      <c r="J2091" s="14" t="b">
        <f>OR(LCI_Table[[#This Row],[Technology]]="All",LCI_Table[[#This Row],[Technology]]=SelectedTechnology)</f>
        <v>1</v>
      </c>
      <c r="K2091" s="14" t="b">
        <f>OR(LCI_Table[[#This Row],[Data Source]]="All",LCI_Table[[#This Row],[Data Source]]=SelectedDataSource)</f>
        <v>0</v>
      </c>
      <c r="L2091" s="14" t="b">
        <f>TRUE</f>
        <v>1</v>
      </c>
      <c r="M2091" s="14" t="b">
        <f>(LCI_Table[[#This Row],[Dev Notes]]="Do not display")</f>
        <v>0</v>
      </c>
      <c r="N2091" s="14" t="b">
        <f>AND(LCI_Table[[#This Row],[Show Feedstock]:[Conditional]],NOT(LCI_Table[[#This Row],[Hide Row]]))</f>
        <v>0</v>
      </c>
      <c r="O2091" s="14" t="b">
        <f>LCI_Table[[#This Row],[GREET1 Name Range]]=""</f>
        <v>1</v>
      </c>
      <c r="P2091" s="48" t="s">
        <v>14</v>
      </c>
      <c r="Q2091" s="14" t="s">
        <v>361</v>
      </c>
      <c r="R2091" s="48" t="s">
        <v>200</v>
      </c>
      <c r="S2091" s="37" cm="1">
        <f t="array" aca="1" ref="S20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31.120373930110684</v>
      </c>
      <c r="T2091" s="346" t="s">
        <v>2116</v>
      </c>
      <c r="U2091" s="344"/>
      <c r="V2091" s="344">
        <v>31.120373930110684</v>
      </c>
      <c r="W2091" s="344"/>
      <c r="X2091" s="48" t="s">
        <v>55</v>
      </c>
      <c r="Y2091" s="346" t="s">
        <v>413</v>
      </c>
      <c r="Z2091" s="14" t="str">
        <f>IF(ISBLANK(LCI_Table[[#This Row],[Notes for user]])," ",LCI_Table[[#This Row],[Notes for user]])</f>
        <v xml:space="preserve"> </v>
      </c>
      <c r="AA2091" s="48"/>
      <c r="AB2091" s="345" t="s">
        <v>925</v>
      </c>
      <c r="AC2091" s="346">
        <f>LCI_Table[[#This Row],[Default Calculated Value]]-LCI_Table[[#This Row],[Calculated Value]]</f>
        <v>0</v>
      </c>
    </row>
    <row r="2092" spans="1:29" x14ac:dyDescent="0.3">
      <c r="A20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SugarbeetSIPICAOJRC(blank)_Sugarbeet_Nitrogen_fertilizerNitrogen fertilizer</v>
      </c>
      <c r="B2092" s="14" t="s">
        <v>449</v>
      </c>
      <c r="C2092" s="14" t="s">
        <v>448</v>
      </c>
      <c r="D2092" s="14" t="s">
        <v>194</v>
      </c>
      <c r="E2092" s="14" t="s">
        <v>355</v>
      </c>
      <c r="F2092" s="48" t="s">
        <v>31</v>
      </c>
      <c r="G2092" s="14" t="b">
        <f>OR(LCI_Table[[#This Row],[Feedstock]]="All",LCI_Table[[#This Row],[Feedstock]]=SelectedFeedstock)</f>
        <v>0</v>
      </c>
      <c r="H2092" s="14" t="b">
        <f>OR(LCI_Table[[#This Row],[Conversion]]="All",LCI_Table[[#This Row],[Conversion]]=SelectedConversion)</f>
        <v>0</v>
      </c>
      <c r="I2092" s="14" t="b">
        <f>OR(LCI_Table[[#This Row],[Data Set]]="all",LCI_Table[[#This Row],[Data Set]]=SelectedDataSet)</f>
        <v>0</v>
      </c>
      <c r="J2092" s="14" t="b">
        <f>OR(LCI_Table[[#This Row],[Technology]]="All",LCI_Table[[#This Row],[Technology]]=SelectedTechnology)</f>
        <v>1</v>
      </c>
      <c r="K2092" s="14" t="b">
        <f>OR(LCI_Table[[#This Row],[Data Source]]="All",LCI_Table[[#This Row],[Data Source]]=SelectedDataSource)</f>
        <v>0</v>
      </c>
      <c r="L2092" s="14" t="b">
        <f>TRUE</f>
        <v>1</v>
      </c>
      <c r="M2092" s="14" t="b">
        <f>(LCI_Table[[#This Row],[Dev Notes]]="Do not display")</f>
        <v>0</v>
      </c>
      <c r="N2092" s="14" t="b">
        <f>AND(LCI_Table[[#This Row],[Show Feedstock]:[Conditional]],NOT(LCI_Table[[#This Row],[Hide Row]]))</f>
        <v>0</v>
      </c>
      <c r="O2092" s="14" t="b">
        <f>LCI_Table[[#This Row],[GREET1 Name Range]]=""</f>
        <v>0</v>
      </c>
      <c r="P2092" s="14" t="s">
        <v>14</v>
      </c>
      <c r="Q2092" s="14" t="s">
        <v>997</v>
      </c>
      <c r="R2092" s="14" t="s">
        <v>111</v>
      </c>
      <c r="S2092" s="37" cm="1">
        <f t="array" aca="1" ref="S20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354.77226280326187</v>
      </c>
      <c r="T2092" s="346" t="s">
        <v>1485</v>
      </c>
      <c r="U2092" s="347">
        <f ca="1">S2092/S2091*lb2g</f>
        <v>5170.9530180000011</v>
      </c>
      <c r="V2092" s="347">
        <v>354.77226280326187</v>
      </c>
      <c r="W2092" s="347">
        <v>5170.9530180000011</v>
      </c>
      <c r="X2092" s="14" t="s">
        <v>12</v>
      </c>
      <c r="Y2092" s="346" t="s">
        <v>413</v>
      </c>
      <c r="Z2092" s="14" t="str">
        <f>IF(ISBLANK(LCI_Table[[#This Row],[Notes for user]])," ",LCI_Table[[#This Row],[Notes for user]])</f>
        <v xml:space="preserve"> </v>
      </c>
      <c r="AA2092" s="14"/>
      <c r="AB2092" s="14"/>
      <c r="AC2092" s="346">
        <f ca="1">LCI_Table[[#This Row],[Default Calculated Value]]-LCI_Table[[#This Row],[Calculated Value]]</f>
        <v>0</v>
      </c>
    </row>
    <row r="2093" spans="1:29" x14ac:dyDescent="0.3">
      <c r="A20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SugarbeetSIPICAOJRC(blank)_Sugarbeet_P2O5P2O5</v>
      </c>
      <c r="B2093" s="14" t="s">
        <v>449</v>
      </c>
      <c r="C2093" s="14" t="s">
        <v>448</v>
      </c>
      <c r="D2093" s="14" t="s">
        <v>194</v>
      </c>
      <c r="E2093" s="14" t="s">
        <v>355</v>
      </c>
      <c r="F2093" s="48" t="s">
        <v>31</v>
      </c>
      <c r="G2093" s="14" t="b">
        <f>OR(LCI_Table[[#This Row],[Feedstock]]="All",LCI_Table[[#This Row],[Feedstock]]=SelectedFeedstock)</f>
        <v>0</v>
      </c>
      <c r="H2093" s="14" t="b">
        <f>OR(LCI_Table[[#This Row],[Conversion]]="All",LCI_Table[[#This Row],[Conversion]]=SelectedConversion)</f>
        <v>0</v>
      </c>
      <c r="I2093" s="14" t="b">
        <f>OR(LCI_Table[[#This Row],[Data Set]]="all",LCI_Table[[#This Row],[Data Set]]=SelectedDataSet)</f>
        <v>0</v>
      </c>
      <c r="J2093" s="14" t="b">
        <f>OR(LCI_Table[[#This Row],[Technology]]="All",LCI_Table[[#This Row],[Technology]]=SelectedTechnology)</f>
        <v>1</v>
      </c>
      <c r="K2093" s="14" t="b">
        <f>OR(LCI_Table[[#This Row],[Data Source]]="All",LCI_Table[[#This Row],[Data Source]]=SelectedDataSource)</f>
        <v>0</v>
      </c>
      <c r="L2093" s="14" t="b">
        <f>TRUE</f>
        <v>1</v>
      </c>
      <c r="M2093" s="14" t="b">
        <f>(LCI_Table[[#This Row],[Dev Notes]]="Do not display")</f>
        <v>0</v>
      </c>
      <c r="N2093" s="14" t="b">
        <f>AND(LCI_Table[[#This Row],[Show Feedstock]:[Conditional]],NOT(LCI_Table[[#This Row],[Hide Row]]))</f>
        <v>0</v>
      </c>
      <c r="O2093" s="14" t="b">
        <f>LCI_Table[[#This Row],[GREET1 Name Range]]=""</f>
        <v>0</v>
      </c>
      <c r="P2093" s="14" t="s">
        <v>14</v>
      </c>
      <c r="Q2093" s="14" t="s">
        <v>998</v>
      </c>
      <c r="R2093" s="14" t="s">
        <v>112</v>
      </c>
      <c r="S2093" s="37" cm="1">
        <f t="array" aca="1" ref="S20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151.24501730033793</v>
      </c>
      <c r="T2093" s="346" t="s">
        <v>1485</v>
      </c>
      <c r="U2093" s="347">
        <f ca="1">S2093/S2091*lb2g</f>
        <v>2204.4589182000004</v>
      </c>
      <c r="V2093" s="347">
        <v>151.24501730033793</v>
      </c>
      <c r="W2093" s="347">
        <v>2204.4589182000004</v>
      </c>
      <c r="X2093" s="14" t="s">
        <v>12</v>
      </c>
      <c r="Y2093" s="346" t="s">
        <v>413</v>
      </c>
      <c r="Z2093" s="14" t="str">
        <f>IF(ISBLANK(LCI_Table[[#This Row],[Notes for user]])," ",LCI_Table[[#This Row],[Notes for user]])</f>
        <v xml:space="preserve"> </v>
      </c>
      <c r="AA2093" s="14"/>
      <c r="AB2093" s="14"/>
      <c r="AC2093" s="346">
        <f ca="1">LCI_Table[[#This Row],[Default Calculated Value]]-LCI_Table[[#This Row],[Calculated Value]]</f>
        <v>0</v>
      </c>
    </row>
    <row r="2094" spans="1:29" x14ac:dyDescent="0.3">
      <c r="A20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SugarbeetSIPICAOJRC(blank)_Sugarbeet_K2OK2O</v>
      </c>
      <c r="B2094" s="14" t="s">
        <v>449</v>
      </c>
      <c r="C2094" s="14" t="s">
        <v>448</v>
      </c>
      <c r="D2094" s="14" t="s">
        <v>194</v>
      </c>
      <c r="E2094" s="14" t="s">
        <v>355</v>
      </c>
      <c r="F2094" s="48" t="s">
        <v>31</v>
      </c>
      <c r="G2094" s="14" t="b">
        <f>OR(LCI_Table[[#This Row],[Feedstock]]="All",LCI_Table[[#This Row],[Feedstock]]=SelectedFeedstock)</f>
        <v>0</v>
      </c>
      <c r="H2094" s="14" t="b">
        <f>OR(LCI_Table[[#This Row],[Conversion]]="All",LCI_Table[[#This Row],[Conversion]]=SelectedConversion)</f>
        <v>0</v>
      </c>
      <c r="I2094" s="14" t="b">
        <f>OR(LCI_Table[[#This Row],[Data Set]]="all",LCI_Table[[#This Row],[Data Set]]=SelectedDataSet)</f>
        <v>0</v>
      </c>
      <c r="J2094" s="14" t="b">
        <f>OR(LCI_Table[[#This Row],[Technology]]="All",LCI_Table[[#This Row],[Technology]]=SelectedTechnology)</f>
        <v>1</v>
      </c>
      <c r="K2094" s="14" t="b">
        <f>OR(LCI_Table[[#This Row],[Data Source]]="All",LCI_Table[[#This Row],[Data Source]]=SelectedDataSource)</f>
        <v>0</v>
      </c>
      <c r="L2094" s="14" t="b">
        <f>TRUE</f>
        <v>1</v>
      </c>
      <c r="M2094" s="14" t="b">
        <f>(LCI_Table[[#This Row],[Dev Notes]]="Do not display")</f>
        <v>0</v>
      </c>
      <c r="N2094" s="14" t="b">
        <f>AND(LCI_Table[[#This Row],[Show Feedstock]:[Conditional]],NOT(LCI_Table[[#This Row],[Hide Row]]))</f>
        <v>0</v>
      </c>
      <c r="O2094" s="14" t="b">
        <f>LCI_Table[[#This Row],[GREET1 Name Range]]=""</f>
        <v>0</v>
      </c>
      <c r="P2094" s="14" t="s">
        <v>14</v>
      </c>
      <c r="Q2094" s="14" t="s">
        <v>999</v>
      </c>
      <c r="R2094" s="14" t="s">
        <v>113</v>
      </c>
      <c r="S2094" s="37" cm="1">
        <f t="array" aca="1" ref="S20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265.14558588454298</v>
      </c>
      <c r="T2094" s="346" t="s">
        <v>1485</v>
      </c>
      <c r="U2094" s="347">
        <f ca="1">S2094/S2091*lb2g</f>
        <v>3864.6069923999989</v>
      </c>
      <c r="V2094" s="347">
        <v>265.14558588454298</v>
      </c>
      <c r="W2094" s="347">
        <v>3864.6069923999989</v>
      </c>
      <c r="X2094" s="14" t="s">
        <v>12</v>
      </c>
      <c r="Y2094" s="346" t="s">
        <v>413</v>
      </c>
      <c r="Z2094" s="14" t="str">
        <f>IF(ISBLANK(LCI_Table[[#This Row],[Notes for user]])," ",LCI_Table[[#This Row],[Notes for user]])</f>
        <v xml:space="preserve"> </v>
      </c>
      <c r="AA2094" s="14"/>
      <c r="AB2094" s="14"/>
      <c r="AC2094" s="346">
        <f ca="1">LCI_Table[[#This Row],[Default Calculated Value]]-LCI_Table[[#This Row],[Calculated Value]]</f>
        <v>0</v>
      </c>
    </row>
    <row r="2095" spans="1:29" x14ac:dyDescent="0.3">
      <c r="A20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SugarbeetSIPICAOJRC(blank)_Sugarbeet_Lime_CaOLime (CaO)</v>
      </c>
      <c r="B2095" s="14" t="s">
        <v>449</v>
      </c>
      <c r="C2095" s="14" t="s">
        <v>448</v>
      </c>
      <c r="D2095" s="14" t="s">
        <v>194</v>
      </c>
      <c r="E2095" s="14" t="s">
        <v>355</v>
      </c>
      <c r="F2095" s="48" t="s">
        <v>31</v>
      </c>
      <c r="G2095" s="14" t="b">
        <f>OR(LCI_Table[[#This Row],[Feedstock]]="All",LCI_Table[[#This Row],[Feedstock]]=SelectedFeedstock)</f>
        <v>0</v>
      </c>
      <c r="H2095" s="14" t="b">
        <f>OR(LCI_Table[[#This Row],[Conversion]]="All",LCI_Table[[#This Row],[Conversion]]=SelectedConversion)</f>
        <v>0</v>
      </c>
      <c r="I2095" s="14" t="b">
        <f>OR(LCI_Table[[#This Row],[Data Set]]="all",LCI_Table[[#This Row],[Data Set]]=SelectedDataSet)</f>
        <v>0</v>
      </c>
      <c r="J2095" s="14" t="b">
        <f>OR(LCI_Table[[#This Row],[Technology]]="All",LCI_Table[[#This Row],[Technology]]=SelectedTechnology)</f>
        <v>1</v>
      </c>
      <c r="K2095" s="14" t="b">
        <f>OR(LCI_Table[[#This Row],[Data Source]]="All",LCI_Table[[#This Row],[Data Source]]=SelectedDataSource)</f>
        <v>0</v>
      </c>
      <c r="L2095" s="14" t="b">
        <f>TRUE</f>
        <v>1</v>
      </c>
      <c r="M2095" s="14" t="b">
        <f>(LCI_Table[[#This Row],[Dev Notes]]="Do not display")</f>
        <v>0</v>
      </c>
      <c r="N2095" s="14" t="b">
        <f>AND(LCI_Table[[#This Row],[Show Feedstock]:[Conditional]],NOT(LCI_Table[[#This Row],[Hide Row]]))</f>
        <v>0</v>
      </c>
      <c r="O2095" s="14" t="b">
        <f>LCI_Table[[#This Row],[GREET1 Name Range]]=""</f>
        <v>0</v>
      </c>
      <c r="P2095" s="14" t="s">
        <v>14</v>
      </c>
      <c r="Q2095" s="14" t="s">
        <v>1000</v>
      </c>
      <c r="R2095" s="14" t="s">
        <v>900</v>
      </c>
      <c r="S2095" s="37" cm="1">
        <f t="array" aca="1" ref="S20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616.80581129479378</v>
      </c>
      <c r="T2095" s="346" t="s">
        <v>1485</v>
      </c>
      <c r="U2095" s="347">
        <f ca="1">S2095/S2091*lb2g</f>
        <v>8990.2007733999999</v>
      </c>
      <c r="V2095" s="347">
        <v>616.80581129479378</v>
      </c>
      <c r="W2095" s="347">
        <v>8990.2007733999999</v>
      </c>
      <c r="X2095" s="14" t="s">
        <v>12</v>
      </c>
      <c r="Y2095" s="346" t="s">
        <v>413</v>
      </c>
      <c r="Z2095" s="14" t="str">
        <f>IF(ISBLANK(LCI_Table[[#This Row],[Notes for user]])," ",LCI_Table[[#This Row],[Notes for user]])</f>
        <v xml:space="preserve"> </v>
      </c>
      <c r="AA2095" s="14"/>
      <c r="AB2095" s="14"/>
      <c r="AC2095" s="346">
        <f ca="1">LCI_Table[[#This Row],[Default Calculated Value]]-LCI_Table[[#This Row],[Calculated Value]]</f>
        <v>0</v>
      </c>
    </row>
    <row r="2096" spans="1:29" x14ac:dyDescent="0.3">
      <c r="A20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SugarbeetSIPICAOJRC(blank)_Sugarbeet_HerbicidesHerbicides</v>
      </c>
      <c r="B2096" s="14" t="s">
        <v>449</v>
      </c>
      <c r="C2096" s="14" t="s">
        <v>448</v>
      </c>
      <c r="D2096" s="14" t="s">
        <v>194</v>
      </c>
      <c r="E2096" s="14" t="s">
        <v>355</v>
      </c>
      <c r="F2096" s="48" t="s">
        <v>31</v>
      </c>
      <c r="G2096" s="14" t="b">
        <f>OR(LCI_Table[[#This Row],[Feedstock]]="All",LCI_Table[[#This Row],[Feedstock]]=SelectedFeedstock)</f>
        <v>0</v>
      </c>
      <c r="H2096" s="14" t="b">
        <f>OR(LCI_Table[[#This Row],[Conversion]]="All",LCI_Table[[#This Row],[Conversion]]=SelectedConversion)</f>
        <v>0</v>
      </c>
      <c r="I2096" s="14" t="b">
        <f>OR(LCI_Table[[#This Row],[Data Set]]="all",LCI_Table[[#This Row],[Data Set]]=SelectedDataSet)</f>
        <v>0</v>
      </c>
      <c r="J2096" s="14" t="b">
        <f>OR(LCI_Table[[#This Row],[Technology]]="All",LCI_Table[[#This Row],[Technology]]=SelectedTechnology)</f>
        <v>1</v>
      </c>
      <c r="K2096" s="14" t="b">
        <f>OR(LCI_Table[[#This Row],[Data Source]]="All",LCI_Table[[#This Row],[Data Source]]=SelectedDataSource)</f>
        <v>0</v>
      </c>
      <c r="L2096" s="14" t="b">
        <f>TRUE</f>
        <v>1</v>
      </c>
      <c r="M2096" s="14" t="b">
        <f>(LCI_Table[[#This Row],[Dev Notes]]="Do not display")</f>
        <v>0</v>
      </c>
      <c r="N2096" s="14" t="b">
        <f>AND(LCI_Table[[#This Row],[Show Feedstock]:[Conditional]],NOT(LCI_Table[[#This Row],[Hide Row]]))</f>
        <v>0</v>
      </c>
      <c r="O2096" s="14" t="b">
        <f>LCI_Table[[#This Row],[GREET1 Name Range]]=""</f>
        <v>0</v>
      </c>
      <c r="P2096" s="14" t="s">
        <v>14</v>
      </c>
      <c r="Q2096" s="14" t="s">
        <v>1001</v>
      </c>
      <c r="R2096" s="14" t="s">
        <v>356</v>
      </c>
      <c r="S2096" s="37" cm="1">
        <f t="array" aca="1" ref="S20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96" s="346" t="s">
        <v>1485</v>
      </c>
      <c r="U2096" s="347">
        <f ca="1">S2096/S2091*lb2g</f>
        <v>0</v>
      </c>
      <c r="V2096" s="347">
        <v>0</v>
      </c>
      <c r="W2096" s="347">
        <v>0</v>
      </c>
      <c r="X2096" s="14" t="s">
        <v>12</v>
      </c>
      <c r="Y2096" s="346" t="s">
        <v>413</v>
      </c>
      <c r="Z2096" s="14" t="str">
        <f>IF(ISBLANK(LCI_Table[[#This Row],[Notes for user]])," ",LCI_Table[[#This Row],[Notes for user]])</f>
        <v xml:space="preserve"> </v>
      </c>
      <c r="AA2096" s="14"/>
      <c r="AB2096" s="14"/>
      <c r="AC2096" s="346">
        <f ca="1">LCI_Table[[#This Row],[Default Calculated Value]]-LCI_Table[[#This Row],[Calculated Value]]</f>
        <v>0</v>
      </c>
    </row>
    <row r="2097" spans="1:29" x14ac:dyDescent="0.3">
      <c r="A20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SugarbeetSIPICAOJRC(blank)_Sugarbeet_InsecticideInsecticide</v>
      </c>
      <c r="B2097" s="14" t="s">
        <v>449</v>
      </c>
      <c r="C2097" s="14" t="s">
        <v>448</v>
      </c>
      <c r="D2097" s="14" t="s">
        <v>194</v>
      </c>
      <c r="E2097" s="14" t="s">
        <v>355</v>
      </c>
      <c r="F2097" s="48" t="s">
        <v>31</v>
      </c>
      <c r="G2097" s="14" t="b">
        <f>OR(LCI_Table[[#This Row],[Feedstock]]="All",LCI_Table[[#This Row],[Feedstock]]=SelectedFeedstock)</f>
        <v>0</v>
      </c>
      <c r="H2097" s="14" t="b">
        <f>OR(LCI_Table[[#This Row],[Conversion]]="All",LCI_Table[[#This Row],[Conversion]]=SelectedConversion)</f>
        <v>0</v>
      </c>
      <c r="I2097" s="14" t="b">
        <f>OR(LCI_Table[[#This Row],[Data Set]]="all",LCI_Table[[#This Row],[Data Set]]=SelectedDataSet)</f>
        <v>0</v>
      </c>
      <c r="J2097" s="14" t="b">
        <f>OR(LCI_Table[[#This Row],[Technology]]="All",LCI_Table[[#This Row],[Technology]]=SelectedTechnology)</f>
        <v>1</v>
      </c>
      <c r="K2097" s="14" t="b">
        <f>OR(LCI_Table[[#This Row],[Data Source]]="All",LCI_Table[[#This Row],[Data Source]]=SelectedDataSource)</f>
        <v>0</v>
      </c>
      <c r="L2097" s="14" t="b">
        <f>TRUE</f>
        <v>1</v>
      </c>
      <c r="M2097" s="14" t="b">
        <f>(LCI_Table[[#This Row],[Dev Notes]]="Do not display")</f>
        <v>0</v>
      </c>
      <c r="N2097" s="14" t="b">
        <f>AND(LCI_Table[[#This Row],[Show Feedstock]:[Conditional]],NOT(LCI_Table[[#This Row],[Hide Row]]))</f>
        <v>0</v>
      </c>
      <c r="O2097" s="14" t="b">
        <f>LCI_Table[[#This Row],[GREET1 Name Range]]=""</f>
        <v>0</v>
      </c>
      <c r="P2097" s="14" t="s">
        <v>14</v>
      </c>
      <c r="Q2097" s="14" t="s">
        <v>1002</v>
      </c>
      <c r="R2097" s="14" t="s">
        <v>114</v>
      </c>
      <c r="S2097" s="37" cm="1">
        <f t="array" aca="1" ref="S20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55.39426559559702</v>
      </c>
      <c r="T2097" s="346" t="s">
        <v>1485</v>
      </c>
      <c r="U2097" s="347">
        <f ca="1">S2097/S2091*lb2g</f>
        <v>807.39441859999999</v>
      </c>
      <c r="V2097" s="347">
        <v>55.39426559559702</v>
      </c>
      <c r="W2097" s="347">
        <v>807.39441859999999</v>
      </c>
      <c r="X2097" s="14" t="s">
        <v>12</v>
      </c>
      <c r="Y2097" s="346" t="s">
        <v>413</v>
      </c>
      <c r="Z2097" s="14" t="str">
        <f>IF(ISBLANK(LCI_Table[[#This Row],[Notes for user]])," ",LCI_Table[[#This Row],[Notes for user]])</f>
        <v xml:space="preserve"> </v>
      </c>
      <c r="AA2097" s="14"/>
      <c r="AB2097" s="14"/>
      <c r="AC2097" s="346">
        <f ca="1">LCI_Table[[#This Row],[Default Calculated Value]]-LCI_Table[[#This Row],[Calculated Value]]</f>
        <v>0</v>
      </c>
    </row>
    <row r="2098" spans="1:29" x14ac:dyDescent="0.3">
      <c r="A20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SugarbeetSIPICAOJRC(blank)_Sugarbeet_Residual_oilResidual oil</v>
      </c>
      <c r="B2098" s="14" t="s">
        <v>449</v>
      </c>
      <c r="C2098" s="14" t="s">
        <v>448</v>
      </c>
      <c r="D2098" s="14" t="s">
        <v>194</v>
      </c>
      <c r="E2098" s="14" t="s">
        <v>355</v>
      </c>
      <c r="F2098" s="48" t="s">
        <v>31</v>
      </c>
      <c r="G2098" s="14" t="b">
        <f>OR(LCI_Table[[#This Row],[Feedstock]]="All",LCI_Table[[#This Row],[Feedstock]]=SelectedFeedstock)</f>
        <v>0</v>
      </c>
      <c r="H2098" s="14" t="b">
        <f>OR(LCI_Table[[#This Row],[Conversion]]="All",LCI_Table[[#This Row],[Conversion]]=SelectedConversion)</f>
        <v>0</v>
      </c>
      <c r="I2098" s="14" t="b">
        <f>OR(LCI_Table[[#This Row],[Data Set]]="all",LCI_Table[[#This Row],[Data Set]]=SelectedDataSet)</f>
        <v>0</v>
      </c>
      <c r="J2098" s="14" t="b">
        <f>OR(LCI_Table[[#This Row],[Technology]]="All",LCI_Table[[#This Row],[Technology]]=SelectedTechnology)</f>
        <v>1</v>
      </c>
      <c r="K2098" s="14" t="b">
        <f>OR(LCI_Table[[#This Row],[Data Source]]="All",LCI_Table[[#This Row],[Data Source]]=SelectedDataSource)</f>
        <v>0</v>
      </c>
      <c r="L2098" s="14" t="b">
        <f>TRUE</f>
        <v>1</v>
      </c>
      <c r="M2098" s="14" t="b">
        <f>(LCI_Table[[#This Row],[Dev Notes]]="Do not display")</f>
        <v>0</v>
      </c>
      <c r="N2098" s="14" t="b">
        <f>AND(LCI_Table[[#This Row],[Show Feedstock]:[Conditional]],NOT(LCI_Table[[#This Row],[Hide Row]]))</f>
        <v>0</v>
      </c>
      <c r="O2098" s="14" t="b">
        <f>LCI_Table[[#This Row],[GREET1 Name Range]]=""</f>
        <v>0</v>
      </c>
      <c r="P2098" s="14" t="s">
        <v>14</v>
      </c>
      <c r="Q2098" s="14" t="s">
        <v>1003</v>
      </c>
      <c r="R2098" s="14" t="s">
        <v>115</v>
      </c>
      <c r="S2098" s="37" cm="1">
        <f t="array" aca="1" ref="S20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098" s="346" t="s">
        <v>1484</v>
      </c>
      <c r="U2098" s="347">
        <f ca="1">S2098*Fuel_Specs!$B$28/S2091</f>
        <v>0</v>
      </c>
      <c r="V2098" s="347">
        <v>0</v>
      </c>
      <c r="W2098" s="347">
        <v>0</v>
      </c>
      <c r="X2098" s="14" t="s">
        <v>5</v>
      </c>
      <c r="Y2098" s="346" t="s">
        <v>413</v>
      </c>
      <c r="Z2098" s="14" t="str">
        <f>IF(ISBLANK(LCI_Table[[#This Row],[Notes for user]])," ",LCI_Table[[#This Row],[Notes for user]])</f>
        <v xml:space="preserve"> </v>
      </c>
      <c r="AA2098" s="14"/>
      <c r="AB2098" s="14"/>
      <c r="AC2098" s="346">
        <f ca="1">LCI_Table[[#This Row],[Default Calculated Value]]-LCI_Table[[#This Row],[Calculated Value]]</f>
        <v>0</v>
      </c>
    </row>
    <row r="2099" spans="1:29" x14ac:dyDescent="0.3">
      <c r="A20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SugarbeetSIPICAOJRC(blank)_Sugarbeet_DieselDiesel</v>
      </c>
      <c r="B2099" s="14" t="s">
        <v>449</v>
      </c>
      <c r="C2099" s="14" t="s">
        <v>448</v>
      </c>
      <c r="D2099" s="14" t="s">
        <v>194</v>
      </c>
      <c r="E2099" s="14" t="s">
        <v>355</v>
      </c>
      <c r="F2099" s="48" t="s">
        <v>31</v>
      </c>
      <c r="G2099" s="14" t="b">
        <f>OR(LCI_Table[[#This Row],[Feedstock]]="All",LCI_Table[[#This Row],[Feedstock]]=SelectedFeedstock)</f>
        <v>0</v>
      </c>
      <c r="H2099" s="14" t="b">
        <f>OR(LCI_Table[[#This Row],[Conversion]]="All",LCI_Table[[#This Row],[Conversion]]=SelectedConversion)</f>
        <v>0</v>
      </c>
      <c r="I2099" s="14" t="b">
        <f>OR(LCI_Table[[#This Row],[Data Set]]="all",LCI_Table[[#This Row],[Data Set]]=SelectedDataSet)</f>
        <v>0</v>
      </c>
      <c r="J2099" s="14" t="b">
        <f>OR(LCI_Table[[#This Row],[Technology]]="All",LCI_Table[[#This Row],[Technology]]=SelectedTechnology)</f>
        <v>1</v>
      </c>
      <c r="K2099" s="14" t="b">
        <f>OR(LCI_Table[[#This Row],[Data Source]]="All",LCI_Table[[#This Row],[Data Source]]=SelectedDataSource)</f>
        <v>0</v>
      </c>
      <c r="L2099" s="14" t="b">
        <f>TRUE</f>
        <v>1</v>
      </c>
      <c r="M2099" s="14" t="b">
        <f>(LCI_Table[[#This Row],[Dev Notes]]="Do not display")</f>
        <v>0</v>
      </c>
      <c r="N2099" s="14" t="b">
        <f>AND(LCI_Table[[#This Row],[Show Feedstock]:[Conditional]],NOT(LCI_Table[[#This Row],[Hide Row]]))</f>
        <v>0</v>
      </c>
      <c r="O2099" s="14" t="b">
        <f>LCI_Table[[#This Row],[GREET1 Name Range]]=""</f>
        <v>0</v>
      </c>
      <c r="P2099" s="14" t="s">
        <v>14</v>
      </c>
      <c r="Q2099" s="14" t="s">
        <v>1004</v>
      </c>
      <c r="R2099" s="14" t="s">
        <v>106</v>
      </c>
      <c r="S2099" s="37" cm="1">
        <f t="array" aca="1" ref="S20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3.7364171401505109E-2</v>
      </c>
      <c r="T2099" s="346" t="s">
        <v>1484</v>
      </c>
      <c r="U2099" s="347">
        <f ca="1">S2099*Fuel_Specs!$B$19/S2091</f>
        <v>154.22140579999967</v>
      </c>
      <c r="V2099" s="347">
        <v>3.7364171401505109E-2</v>
      </c>
      <c r="W2099" s="347">
        <v>154.22140579999967</v>
      </c>
      <c r="X2099" s="14" t="s">
        <v>5</v>
      </c>
      <c r="Y2099" s="346" t="s">
        <v>413</v>
      </c>
      <c r="Z2099" s="14" t="str">
        <f>IF(ISBLANK(LCI_Table[[#This Row],[Notes for user]])," ",LCI_Table[[#This Row],[Notes for user]])</f>
        <v xml:space="preserve"> </v>
      </c>
      <c r="AA2099" s="14"/>
      <c r="AB2099" s="14"/>
      <c r="AC2099" s="346">
        <f ca="1">LCI_Table[[#This Row],[Default Calculated Value]]-LCI_Table[[#This Row],[Calculated Value]]</f>
        <v>0</v>
      </c>
    </row>
    <row r="2100" spans="1:29" x14ac:dyDescent="0.3">
      <c r="A21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SugarbeetSIPICAOJRC(blank)_Sugarbeet_GasolineGasoline</v>
      </c>
      <c r="B2100" s="14" t="s">
        <v>449</v>
      </c>
      <c r="C2100" s="14" t="s">
        <v>448</v>
      </c>
      <c r="D2100" s="14" t="s">
        <v>194</v>
      </c>
      <c r="E2100" s="14" t="s">
        <v>355</v>
      </c>
      <c r="F2100" s="48" t="s">
        <v>31</v>
      </c>
      <c r="G2100" s="14" t="b">
        <f>OR(LCI_Table[[#This Row],[Feedstock]]="All",LCI_Table[[#This Row],[Feedstock]]=SelectedFeedstock)</f>
        <v>0</v>
      </c>
      <c r="H2100" s="14" t="b">
        <f>OR(LCI_Table[[#This Row],[Conversion]]="All",LCI_Table[[#This Row],[Conversion]]=SelectedConversion)</f>
        <v>0</v>
      </c>
      <c r="I2100" s="14" t="b">
        <f>OR(LCI_Table[[#This Row],[Data Set]]="all",LCI_Table[[#This Row],[Data Set]]=SelectedDataSet)</f>
        <v>0</v>
      </c>
      <c r="J2100" s="14" t="b">
        <f>OR(LCI_Table[[#This Row],[Technology]]="All",LCI_Table[[#This Row],[Technology]]=SelectedTechnology)</f>
        <v>1</v>
      </c>
      <c r="K2100" s="14" t="b">
        <f>OR(LCI_Table[[#This Row],[Data Source]]="All",LCI_Table[[#This Row],[Data Source]]=SelectedDataSource)</f>
        <v>0</v>
      </c>
      <c r="L2100" s="14" t="b">
        <f>TRUE</f>
        <v>1</v>
      </c>
      <c r="M2100" s="14" t="b">
        <f>(LCI_Table[[#This Row],[Dev Notes]]="Do not display")</f>
        <v>0</v>
      </c>
      <c r="N2100" s="14" t="b">
        <f>AND(LCI_Table[[#This Row],[Show Feedstock]:[Conditional]],NOT(LCI_Table[[#This Row],[Hide Row]]))</f>
        <v>0</v>
      </c>
      <c r="O2100" s="14" t="b">
        <f>LCI_Table[[#This Row],[GREET1 Name Range]]=""</f>
        <v>0</v>
      </c>
      <c r="P2100" s="14" t="s">
        <v>14</v>
      </c>
      <c r="Q2100" s="14" t="s">
        <v>1005</v>
      </c>
      <c r="R2100" s="14" t="s">
        <v>107</v>
      </c>
      <c r="S2100" s="37" cm="1">
        <f t="array" aca="1" ref="S21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00" s="346" t="s">
        <v>1484</v>
      </c>
      <c r="U2100" s="347">
        <f ca="1">S2100*Fuel_Specs!$B$15/S2091</f>
        <v>0</v>
      </c>
      <c r="V2100" s="347">
        <v>0</v>
      </c>
      <c r="W2100" s="347">
        <v>0</v>
      </c>
      <c r="X2100" s="14" t="s">
        <v>5</v>
      </c>
      <c r="Y2100" s="346" t="s">
        <v>413</v>
      </c>
      <c r="Z2100" s="14" t="str">
        <f>IF(ISBLANK(LCI_Table[[#This Row],[Notes for user]])," ",LCI_Table[[#This Row],[Notes for user]])</f>
        <v xml:space="preserve"> </v>
      </c>
      <c r="AA2100" s="14"/>
      <c r="AB2100" s="14"/>
      <c r="AC2100" s="346">
        <f ca="1">LCI_Table[[#This Row],[Default Calculated Value]]-LCI_Table[[#This Row],[Calculated Value]]</f>
        <v>0</v>
      </c>
    </row>
    <row r="2101" spans="1:29" x14ac:dyDescent="0.3">
      <c r="A21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SugarbeetSIPICAOJRC(blank)_Sugarbeet_Natural_gasNatural gas</v>
      </c>
      <c r="B2101" s="14" t="s">
        <v>449</v>
      </c>
      <c r="C2101" s="14" t="s">
        <v>448</v>
      </c>
      <c r="D2101" s="14" t="s">
        <v>194</v>
      </c>
      <c r="E2101" s="14" t="s">
        <v>355</v>
      </c>
      <c r="F2101" s="48" t="s">
        <v>31</v>
      </c>
      <c r="G2101" s="14" t="b">
        <f>OR(LCI_Table[[#This Row],[Feedstock]]="All",LCI_Table[[#This Row],[Feedstock]]=SelectedFeedstock)</f>
        <v>0</v>
      </c>
      <c r="H2101" s="14" t="b">
        <f>OR(LCI_Table[[#This Row],[Conversion]]="All",LCI_Table[[#This Row],[Conversion]]=SelectedConversion)</f>
        <v>0</v>
      </c>
      <c r="I2101" s="14" t="b">
        <f>OR(LCI_Table[[#This Row],[Data Set]]="all",LCI_Table[[#This Row],[Data Set]]=SelectedDataSet)</f>
        <v>0</v>
      </c>
      <c r="J2101" s="14" t="b">
        <f>OR(LCI_Table[[#This Row],[Technology]]="All",LCI_Table[[#This Row],[Technology]]=SelectedTechnology)</f>
        <v>1</v>
      </c>
      <c r="K2101" s="14" t="b">
        <f>OR(LCI_Table[[#This Row],[Data Source]]="All",LCI_Table[[#This Row],[Data Source]]=SelectedDataSource)</f>
        <v>0</v>
      </c>
      <c r="L2101" s="14" t="b">
        <f>TRUE</f>
        <v>1</v>
      </c>
      <c r="M2101" s="14" t="b">
        <f>(LCI_Table[[#This Row],[Dev Notes]]="Do not display")</f>
        <v>0</v>
      </c>
      <c r="N2101" s="14" t="b">
        <f>AND(LCI_Table[[#This Row],[Show Feedstock]:[Conditional]],NOT(LCI_Table[[#This Row],[Hide Row]]))</f>
        <v>0</v>
      </c>
      <c r="O2101" s="14" t="b">
        <f>LCI_Table[[#This Row],[GREET1 Name Range]]=""</f>
        <v>0</v>
      </c>
      <c r="P2101" s="14" t="s">
        <v>14</v>
      </c>
      <c r="Q2101" s="14" t="s">
        <v>1006</v>
      </c>
      <c r="R2101" s="14" t="s">
        <v>108</v>
      </c>
      <c r="S2101" s="37" cm="1">
        <f t="array" aca="1" ref="S21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01" s="346" t="s">
        <v>2109</v>
      </c>
      <c r="U2101" s="347">
        <f ca="1">S2101*Fuel_Specs!$B$79/S2091</f>
        <v>0</v>
      </c>
      <c r="V2101" s="347">
        <v>0</v>
      </c>
      <c r="W2101" s="347">
        <v>0</v>
      </c>
      <c r="X2101" s="14" t="s">
        <v>351</v>
      </c>
      <c r="Y2101" s="346" t="s">
        <v>413</v>
      </c>
      <c r="Z2101" s="14" t="str">
        <f>IF(ISBLANK(LCI_Table[[#This Row],[Notes for user]])," ",LCI_Table[[#This Row],[Notes for user]])</f>
        <v xml:space="preserve"> </v>
      </c>
      <c r="AA2101" s="14"/>
      <c r="AB2101" s="14"/>
      <c r="AC2101" s="346">
        <f ca="1">LCI_Table[[#This Row],[Default Calculated Value]]-LCI_Table[[#This Row],[Calculated Value]]</f>
        <v>0</v>
      </c>
    </row>
    <row r="2102" spans="1:29" x14ac:dyDescent="0.3">
      <c r="A21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SugarbeetSIPICAOJRC(blank)_Sugarbeet_CoalCoal</v>
      </c>
      <c r="B2102" s="14" t="s">
        <v>449</v>
      </c>
      <c r="C2102" s="14" t="s">
        <v>448</v>
      </c>
      <c r="D2102" s="14" t="s">
        <v>194</v>
      </c>
      <c r="E2102" s="14" t="s">
        <v>355</v>
      </c>
      <c r="F2102" s="48" t="s">
        <v>31</v>
      </c>
      <c r="G2102" s="14" t="b">
        <f>OR(LCI_Table[[#This Row],[Feedstock]]="All",LCI_Table[[#This Row],[Feedstock]]=SelectedFeedstock)</f>
        <v>0</v>
      </c>
      <c r="H2102" s="14" t="b">
        <f>OR(LCI_Table[[#This Row],[Conversion]]="All",LCI_Table[[#This Row],[Conversion]]=SelectedConversion)</f>
        <v>0</v>
      </c>
      <c r="I2102" s="14" t="b">
        <f>OR(LCI_Table[[#This Row],[Data Set]]="all",LCI_Table[[#This Row],[Data Set]]=SelectedDataSet)</f>
        <v>0</v>
      </c>
      <c r="J2102" s="14" t="b">
        <f>OR(LCI_Table[[#This Row],[Technology]]="All",LCI_Table[[#This Row],[Technology]]=SelectedTechnology)</f>
        <v>1</v>
      </c>
      <c r="K2102" s="14" t="b">
        <f>OR(LCI_Table[[#This Row],[Data Source]]="All",LCI_Table[[#This Row],[Data Source]]=SelectedDataSource)</f>
        <v>0</v>
      </c>
      <c r="L2102" s="14" t="b">
        <f>TRUE</f>
        <v>1</v>
      </c>
      <c r="M2102" s="14" t="b">
        <f>(LCI_Table[[#This Row],[Dev Notes]]="Do not display")</f>
        <v>0</v>
      </c>
      <c r="N2102" s="14" t="b">
        <f>AND(LCI_Table[[#This Row],[Show Feedstock]:[Conditional]],NOT(LCI_Table[[#This Row],[Hide Row]]))</f>
        <v>0</v>
      </c>
      <c r="O2102" s="14" t="b">
        <f>LCI_Table[[#This Row],[GREET1 Name Range]]=""</f>
        <v>0</v>
      </c>
      <c r="P2102" s="14" t="s">
        <v>14</v>
      </c>
      <c r="Q2102" s="14" t="s">
        <v>1007</v>
      </c>
      <c r="R2102" s="14" t="s">
        <v>9</v>
      </c>
      <c r="S2102" s="37" cm="1">
        <f t="array" aca="1" ref="S21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02" s="346" t="s">
        <v>2110</v>
      </c>
      <c r="U2102" s="347">
        <f ca="1">S2102/S2091</f>
        <v>0</v>
      </c>
      <c r="V2102" s="347">
        <v>0</v>
      </c>
      <c r="W2102" s="347">
        <v>0</v>
      </c>
      <c r="X2102" s="14" t="s">
        <v>117</v>
      </c>
      <c r="Y2102" s="346" t="s">
        <v>413</v>
      </c>
      <c r="Z2102" s="14" t="str">
        <f>IF(ISBLANK(LCI_Table[[#This Row],[Notes for user]])," ",LCI_Table[[#This Row],[Notes for user]])</f>
        <v xml:space="preserve"> </v>
      </c>
      <c r="AA2102" s="14"/>
      <c r="AB2102" s="14"/>
      <c r="AC2102" s="346">
        <f ca="1">LCI_Table[[#This Row],[Default Calculated Value]]-LCI_Table[[#This Row],[Calculated Value]]</f>
        <v>0</v>
      </c>
    </row>
    <row r="2103" spans="1:29" x14ac:dyDescent="0.3">
      <c r="A21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SugarbeetSIPICAOJRC(blank)_Sugarbeet_LPGLPG</v>
      </c>
      <c r="B2103" s="14" t="s">
        <v>449</v>
      </c>
      <c r="C2103" s="14" t="s">
        <v>448</v>
      </c>
      <c r="D2103" s="14" t="s">
        <v>194</v>
      </c>
      <c r="E2103" s="14" t="s">
        <v>355</v>
      </c>
      <c r="F2103" s="48" t="s">
        <v>31</v>
      </c>
      <c r="G2103" s="14" t="b">
        <f>OR(LCI_Table[[#This Row],[Feedstock]]="All",LCI_Table[[#This Row],[Feedstock]]=SelectedFeedstock)</f>
        <v>0</v>
      </c>
      <c r="H2103" s="14" t="b">
        <f>OR(LCI_Table[[#This Row],[Conversion]]="All",LCI_Table[[#This Row],[Conversion]]=SelectedConversion)</f>
        <v>0</v>
      </c>
      <c r="I2103" s="14" t="b">
        <f>OR(LCI_Table[[#This Row],[Data Set]]="all",LCI_Table[[#This Row],[Data Set]]=SelectedDataSet)</f>
        <v>0</v>
      </c>
      <c r="J2103" s="14" t="b">
        <f>OR(LCI_Table[[#This Row],[Technology]]="All",LCI_Table[[#This Row],[Technology]]=SelectedTechnology)</f>
        <v>1</v>
      </c>
      <c r="K2103" s="14" t="b">
        <f>OR(LCI_Table[[#This Row],[Data Source]]="All",LCI_Table[[#This Row],[Data Source]]=SelectedDataSource)</f>
        <v>0</v>
      </c>
      <c r="L2103" s="14" t="b">
        <f>TRUE</f>
        <v>1</v>
      </c>
      <c r="M2103" s="14" t="b">
        <f>(LCI_Table[[#This Row],[Dev Notes]]="Do not display")</f>
        <v>0</v>
      </c>
      <c r="N2103" s="14" t="b">
        <f>AND(LCI_Table[[#This Row],[Show Feedstock]:[Conditional]],NOT(LCI_Table[[#This Row],[Hide Row]]))</f>
        <v>0</v>
      </c>
      <c r="O2103" s="14" t="b">
        <f>LCI_Table[[#This Row],[GREET1 Name Range]]=""</f>
        <v>0</v>
      </c>
      <c r="P2103" s="14" t="s">
        <v>14</v>
      </c>
      <c r="Q2103" s="14" t="s">
        <v>1008</v>
      </c>
      <c r="R2103" s="14" t="s">
        <v>109</v>
      </c>
      <c r="S2103" s="37" cm="1">
        <f t="array" aca="1" ref="S21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03" s="346" t="s">
        <v>1484</v>
      </c>
      <c r="U2103" s="347">
        <f ca="1">S2103*Fuel_Specs!$B$35/S2091</f>
        <v>0</v>
      </c>
      <c r="V2103" s="347">
        <v>0</v>
      </c>
      <c r="W2103" s="347">
        <v>0</v>
      </c>
      <c r="X2103" s="14" t="s">
        <v>5</v>
      </c>
      <c r="Y2103" s="346" t="s">
        <v>413</v>
      </c>
      <c r="Z2103" s="14" t="str">
        <f>IF(ISBLANK(LCI_Table[[#This Row],[Notes for user]])," ",LCI_Table[[#This Row],[Notes for user]])</f>
        <v xml:space="preserve"> </v>
      </c>
      <c r="AA2103" s="14"/>
      <c r="AB2103" s="14"/>
      <c r="AC2103" s="346">
        <f ca="1">LCI_Table[[#This Row],[Default Calculated Value]]-LCI_Table[[#This Row],[Calculated Value]]</f>
        <v>0</v>
      </c>
    </row>
    <row r="2104" spans="1:29" x14ac:dyDescent="0.3">
      <c r="A21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SugarbeetSIPICAOJRC(blank)_Sugarbeet_ElectricityElectricity</v>
      </c>
      <c r="B2104" s="14" t="s">
        <v>449</v>
      </c>
      <c r="C2104" s="14" t="s">
        <v>448</v>
      </c>
      <c r="D2104" s="14" t="s">
        <v>194</v>
      </c>
      <c r="E2104" s="14" t="s">
        <v>355</v>
      </c>
      <c r="F2104" s="48" t="s">
        <v>31</v>
      </c>
      <c r="G2104" s="14" t="b">
        <f>OR(LCI_Table[[#This Row],[Feedstock]]="All",LCI_Table[[#This Row],[Feedstock]]=SelectedFeedstock)</f>
        <v>0</v>
      </c>
      <c r="H2104" s="14" t="b">
        <f>OR(LCI_Table[[#This Row],[Conversion]]="All",LCI_Table[[#This Row],[Conversion]]=SelectedConversion)</f>
        <v>0</v>
      </c>
      <c r="I2104" s="14" t="b">
        <f>OR(LCI_Table[[#This Row],[Data Set]]="all",LCI_Table[[#This Row],[Data Set]]=SelectedDataSet)</f>
        <v>0</v>
      </c>
      <c r="J2104" s="14" t="b">
        <f>OR(LCI_Table[[#This Row],[Technology]]="All",LCI_Table[[#This Row],[Technology]]=SelectedTechnology)</f>
        <v>1</v>
      </c>
      <c r="K2104" s="14" t="b">
        <f>OR(LCI_Table[[#This Row],[Data Source]]="All",LCI_Table[[#This Row],[Data Source]]=SelectedDataSource)</f>
        <v>0</v>
      </c>
      <c r="L2104" s="14" t="b">
        <f>TRUE</f>
        <v>1</v>
      </c>
      <c r="M2104" s="14" t="b">
        <f>(LCI_Table[[#This Row],[Dev Notes]]="Do not display")</f>
        <v>0</v>
      </c>
      <c r="N2104" s="14" t="b">
        <f>AND(LCI_Table[[#This Row],[Show Feedstock]:[Conditional]],NOT(LCI_Table[[#This Row],[Hide Row]]))</f>
        <v>0</v>
      </c>
      <c r="O2104" s="14" t="b">
        <f>LCI_Table[[#This Row],[GREET1 Name Range]]=""</f>
        <v>0</v>
      </c>
      <c r="P2104" s="14" t="s">
        <v>14</v>
      </c>
      <c r="Q2104" s="14" t="s">
        <v>1009</v>
      </c>
      <c r="R2104" s="348" t="s">
        <v>110</v>
      </c>
      <c r="S2104" s="37" cm="1">
        <f t="array" aca="1" ref="S21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04" s="346" t="s">
        <v>1561</v>
      </c>
      <c r="U2104" s="347">
        <f ca="1">S2104/BTU2kWh/S2091</f>
        <v>0</v>
      </c>
      <c r="V2104" s="347">
        <v>0</v>
      </c>
      <c r="W2104" s="347">
        <v>0</v>
      </c>
      <c r="X2104" s="14" t="s">
        <v>51</v>
      </c>
      <c r="Y2104" s="346" t="s">
        <v>413</v>
      </c>
      <c r="Z2104" s="14" t="str">
        <f>IF(ISBLANK(LCI_Table[[#This Row],[Notes for user]])," ",LCI_Table[[#This Row],[Notes for user]])</f>
        <v xml:space="preserve"> </v>
      </c>
      <c r="AA2104" s="14"/>
      <c r="AB2104" s="14"/>
      <c r="AC2104" s="346">
        <f ca="1">LCI_Table[[#This Row],[Default Calculated Value]]-LCI_Table[[#This Row],[Calculated Value]]</f>
        <v>0</v>
      </c>
    </row>
    <row r="2105" spans="1:29" x14ac:dyDescent="0.3">
      <c r="A21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SugarbeetSIPICAOJRC(blank)_Sugarbeet_SIP_SugarbeetSugarbeet</v>
      </c>
      <c r="B2105" s="348" t="s">
        <v>449</v>
      </c>
      <c r="C2105" s="348" t="s">
        <v>448</v>
      </c>
      <c r="D2105" s="348" t="s">
        <v>194</v>
      </c>
      <c r="E2105" s="348" t="s">
        <v>355</v>
      </c>
      <c r="F2105" s="48" t="s">
        <v>31</v>
      </c>
      <c r="G2105" s="14" t="b">
        <f>OR(LCI_Table[[#This Row],[Feedstock]]="All",LCI_Table[[#This Row],[Feedstock]]=SelectedFeedstock)</f>
        <v>0</v>
      </c>
      <c r="H2105" s="14" t="b">
        <f>OR(LCI_Table[[#This Row],[Conversion]]="All",LCI_Table[[#This Row],[Conversion]]=SelectedConversion)</f>
        <v>0</v>
      </c>
      <c r="I2105" s="14" t="b">
        <f>OR(LCI_Table[[#This Row],[Data Set]]="all",LCI_Table[[#This Row],[Data Set]]=SelectedDataSet)</f>
        <v>0</v>
      </c>
      <c r="J2105" s="14" t="b">
        <f>OR(LCI_Table[[#This Row],[Technology]]="All",LCI_Table[[#This Row],[Technology]]=SelectedTechnology)</f>
        <v>1</v>
      </c>
      <c r="K2105" s="14" t="b">
        <f>OR(LCI_Table[[#This Row],[Data Source]]="All",LCI_Table[[#This Row],[Data Source]]=SelectedDataSource)</f>
        <v>0</v>
      </c>
      <c r="L2105" s="14" t="b">
        <f>TRUE</f>
        <v>1</v>
      </c>
      <c r="M2105" s="14" t="b">
        <f>(LCI_Table[[#This Row],[Dev Notes]]="Do not display")</f>
        <v>0</v>
      </c>
      <c r="N2105" s="14" t="b">
        <f>AND(LCI_Table[[#This Row],[Show Feedstock]:[Conditional]],NOT(LCI_Table[[#This Row],[Hide Row]]))</f>
        <v>0</v>
      </c>
      <c r="O2105" s="14" t="b">
        <f>LCI_Table[[#This Row],[GREET1 Name Range]]=""</f>
        <v>0</v>
      </c>
      <c r="P2105" s="348" t="s">
        <v>1448</v>
      </c>
      <c r="Q2105" s="14" t="s">
        <v>1010</v>
      </c>
      <c r="R2105" s="348" t="s">
        <v>449</v>
      </c>
      <c r="S2105" s="37" cm="1">
        <f t="array" aca="1" ref="S21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1646.8079959105166</v>
      </c>
      <c r="T2105" s="346" t="s">
        <v>2119</v>
      </c>
      <c r="U2105" s="368">
        <f ca="1">S2105*lb2kg/Allocations!$O$206/mmBTU2MJ</f>
        <v>0.70800000000000152</v>
      </c>
      <c r="V2105" s="368">
        <v>1646.8079959105166</v>
      </c>
      <c r="W2105" s="368">
        <v>0.70800000000000152</v>
      </c>
      <c r="X2105" s="348" t="s">
        <v>12</v>
      </c>
      <c r="Y2105" s="346" t="s">
        <v>416</v>
      </c>
      <c r="Z2105" s="14" t="str">
        <f>IF(ISBLANK(LCI_Table[[#This Row],[Notes for user]])," ",LCI_Table[[#This Row],[Notes for user]])</f>
        <v xml:space="preserve"> </v>
      </c>
      <c r="AA2105" s="348"/>
      <c r="AB2105" s="348"/>
      <c r="AC2105" s="346">
        <f ca="1">LCI_Table[[#This Row],[Default Calculated Value]]-LCI_Table[[#This Row],[Calculated Value]]</f>
        <v>0</v>
      </c>
    </row>
    <row r="2106" spans="1:29" x14ac:dyDescent="0.3">
      <c r="A21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SugarbeetSIPICAOJRC(blank)_Sugarbeet_SIP_Alpha_amylaseAlpha-amylase</v>
      </c>
      <c r="B2106" s="348" t="s">
        <v>449</v>
      </c>
      <c r="C2106" s="348" t="s">
        <v>448</v>
      </c>
      <c r="D2106" s="348" t="s">
        <v>194</v>
      </c>
      <c r="E2106" s="348" t="s">
        <v>355</v>
      </c>
      <c r="F2106" s="48" t="s">
        <v>31</v>
      </c>
      <c r="G2106" s="14" t="b">
        <f>OR(LCI_Table[[#This Row],[Feedstock]]="All",LCI_Table[[#This Row],[Feedstock]]=SelectedFeedstock)</f>
        <v>0</v>
      </c>
      <c r="H2106" s="14" t="b">
        <f>OR(LCI_Table[[#This Row],[Conversion]]="All",LCI_Table[[#This Row],[Conversion]]=SelectedConversion)</f>
        <v>0</v>
      </c>
      <c r="I2106" s="14" t="b">
        <f>OR(LCI_Table[[#This Row],[Data Set]]="all",LCI_Table[[#This Row],[Data Set]]=SelectedDataSet)</f>
        <v>0</v>
      </c>
      <c r="J2106" s="14" t="b">
        <f>OR(LCI_Table[[#This Row],[Technology]]="All",LCI_Table[[#This Row],[Technology]]=SelectedTechnology)</f>
        <v>1</v>
      </c>
      <c r="K2106" s="14" t="b">
        <f>OR(LCI_Table[[#This Row],[Data Source]]="All",LCI_Table[[#This Row],[Data Source]]=SelectedDataSource)</f>
        <v>0</v>
      </c>
      <c r="L2106" s="14" t="b">
        <f>TRUE</f>
        <v>1</v>
      </c>
      <c r="M2106" s="14" t="b">
        <f>(LCI_Table[[#This Row],[Dev Notes]]="Do not display")</f>
        <v>0</v>
      </c>
      <c r="N2106" s="14" t="b">
        <f>AND(LCI_Table[[#This Row],[Show Feedstock]:[Conditional]],NOT(LCI_Table[[#This Row],[Hide Row]]))</f>
        <v>0</v>
      </c>
      <c r="O2106" s="14" t="b">
        <f>LCI_Table[[#This Row],[GREET1 Name Range]]=""</f>
        <v>0</v>
      </c>
      <c r="P2106" s="348" t="s">
        <v>1448</v>
      </c>
      <c r="Q2106" s="14" t="s">
        <v>1011</v>
      </c>
      <c r="R2106" s="348" t="s">
        <v>353</v>
      </c>
      <c r="S2106" s="37" cm="1">
        <f t="array" aca="1" ref="S21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06" s="346" t="s">
        <v>2119</v>
      </c>
      <c r="U2106" s="368">
        <f ca="1">S2106/g2lb*MJ2mmBTU/Allocations!$O$206</f>
        <v>0</v>
      </c>
      <c r="V2106" s="368">
        <v>0</v>
      </c>
      <c r="W2106" s="368">
        <v>0</v>
      </c>
      <c r="X2106" s="348" t="s">
        <v>12</v>
      </c>
      <c r="Y2106" s="346" t="s">
        <v>416</v>
      </c>
      <c r="Z2106" s="14" t="str">
        <f>IF(ISBLANK(LCI_Table[[#This Row],[Notes for user]])," ",LCI_Table[[#This Row],[Notes for user]])</f>
        <v xml:space="preserve"> </v>
      </c>
      <c r="AA2106" s="348"/>
      <c r="AB2106" s="371"/>
      <c r="AC2106" s="346">
        <f ca="1">LCI_Table[[#This Row],[Default Calculated Value]]-LCI_Table[[#This Row],[Calculated Value]]</f>
        <v>0</v>
      </c>
    </row>
    <row r="2107" spans="1:29" x14ac:dyDescent="0.3">
      <c r="A21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SugarbeetSIPICAOJRC(blank)_Sugarbeet_SIP_Gluco_amylaseGluco-amylase</v>
      </c>
      <c r="B2107" s="348" t="s">
        <v>449</v>
      </c>
      <c r="C2107" s="348" t="s">
        <v>448</v>
      </c>
      <c r="D2107" s="348" t="s">
        <v>194</v>
      </c>
      <c r="E2107" s="348" t="s">
        <v>355</v>
      </c>
      <c r="F2107" s="48" t="s">
        <v>31</v>
      </c>
      <c r="G2107" s="14" t="b">
        <f>OR(LCI_Table[[#This Row],[Feedstock]]="All",LCI_Table[[#This Row],[Feedstock]]=SelectedFeedstock)</f>
        <v>0</v>
      </c>
      <c r="H2107" s="14" t="b">
        <f>OR(LCI_Table[[#This Row],[Conversion]]="All",LCI_Table[[#This Row],[Conversion]]=SelectedConversion)</f>
        <v>0</v>
      </c>
      <c r="I2107" s="14" t="b">
        <f>OR(LCI_Table[[#This Row],[Data Set]]="all",LCI_Table[[#This Row],[Data Set]]=SelectedDataSet)</f>
        <v>0</v>
      </c>
      <c r="J2107" s="14" t="b">
        <f>OR(LCI_Table[[#This Row],[Technology]]="All",LCI_Table[[#This Row],[Technology]]=SelectedTechnology)</f>
        <v>1</v>
      </c>
      <c r="K2107" s="14" t="b">
        <f>OR(LCI_Table[[#This Row],[Data Source]]="All",LCI_Table[[#This Row],[Data Source]]=SelectedDataSource)</f>
        <v>0</v>
      </c>
      <c r="L2107" s="14" t="b">
        <f>TRUE</f>
        <v>1</v>
      </c>
      <c r="M2107" s="14" t="b">
        <f>(LCI_Table[[#This Row],[Dev Notes]]="Do not display")</f>
        <v>0</v>
      </c>
      <c r="N2107" s="14" t="b">
        <f>AND(LCI_Table[[#This Row],[Show Feedstock]:[Conditional]],NOT(LCI_Table[[#This Row],[Hide Row]]))</f>
        <v>0</v>
      </c>
      <c r="O2107" s="14" t="b">
        <f>LCI_Table[[#This Row],[GREET1 Name Range]]=""</f>
        <v>0</v>
      </c>
      <c r="P2107" s="348" t="s">
        <v>1448</v>
      </c>
      <c r="Q2107" s="14" t="s">
        <v>1012</v>
      </c>
      <c r="R2107" s="348" t="s">
        <v>354</v>
      </c>
      <c r="S2107" s="37" cm="1">
        <f t="array" aca="1" ref="S21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07" s="346" t="s">
        <v>2119</v>
      </c>
      <c r="U2107" s="368">
        <f ca="1">S2107/g2lb*MJ2mmBTU/Allocations!$O$206</f>
        <v>0</v>
      </c>
      <c r="V2107" s="368">
        <v>0</v>
      </c>
      <c r="W2107" s="368">
        <v>0</v>
      </c>
      <c r="X2107" s="348" t="s">
        <v>12</v>
      </c>
      <c r="Y2107" s="346" t="s">
        <v>416</v>
      </c>
      <c r="Z2107" s="14" t="str">
        <f>IF(ISBLANK(LCI_Table[[#This Row],[Notes for user]])," ",LCI_Table[[#This Row],[Notes for user]])</f>
        <v xml:space="preserve"> </v>
      </c>
      <c r="AA2107" s="348"/>
      <c r="AB2107" s="371"/>
      <c r="AC2107" s="346">
        <f ca="1">LCI_Table[[#This Row],[Default Calculated Value]]-LCI_Table[[#This Row],[Calculated Value]]</f>
        <v>0</v>
      </c>
    </row>
    <row r="2108" spans="1:29" x14ac:dyDescent="0.3">
      <c r="A21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SugarbeetSIPICAOJRC(blank)_Sugarbeet_SIP_CellulaseCellulase</v>
      </c>
      <c r="B2108" s="348" t="s">
        <v>449</v>
      </c>
      <c r="C2108" s="348" t="s">
        <v>448</v>
      </c>
      <c r="D2108" s="348" t="s">
        <v>194</v>
      </c>
      <c r="E2108" s="348" t="s">
        <v>355</v>
      </c>
      <c r="F2108" s="48" t="s">
        <v>31</v>
      </c>
      <c r="G2108" s="14" t="b">
        <f>OR(LCI_Table[[#This Row],[Feedstock]]="All",LCI_Table[[#This Row],[Feedstock]]=SelectedFeedstock)</f>
        <v>0</v>
      </c>
      <c r="H2108" s="14" t="b">
        <f>OR(LCI_Table[[#This Row],[Conversion]]="All",LCI_Table[[#This Row],[Conversion]]=SelectedConversion)</f>
        <v>0</v>
      </c>
      <c r="I2108" s="14" t="b">
        <f>OR(LCI_Table[[#This Row],[Data Set]]="all",LCI_Table[[#This Row],[Data Set]]=SelectedDataSet)</f>
        <v>0</v>
      </c>
      <c r="J2108" s="14" t="b">
        <f>OR(LCI_Table[[#This Row],[Technology]]="All",LCI_Table[[#This Row],[Technology]]=SelectedTechnology)</f>
        <v>1</v>
      </c>
      <c r="K2108" s="14" t="b">
        <f>OR(LCI_Table[[#This Row],[Data Source]]="All",LCI_Table[[#This Row],[Data Source]]=SelectedDataSource)</f>
        <v>0</v>
      </c>
      <c r="L2108" s="14" t="b">
        <f>TRUE</f>
        <v>1</v>
      </c>
      <c r="M2108" s="14" t="b">
        <f>(LCI_Table[[#This Row],[Dev Notes]]="Do not display")</f>
        <v>0</v>
      </c>
      <c r="N2108" s="14" t="b">
        <f>AND(LCI_Table[[#This Row],[Show Feedstock]:[Conditional]],NOT(LCI_Table[[#This Row],[Hide Row]]))</f>
        <v>0</v>
      </c>
      <c r="O2108" s="14" t="b">
        <f>LCI_Table[[#This Row],[GREET1 Name Range]]=""</f>
        <v>0</v>
      </c>
      <c r="P2108" s="348" t="s">
        <v>1448</v>
      </c>
      <c r="Q2108" s="14" t="s">
        <v>1013</v>
      </c>
      <c r="R2108" s="348" t="s">
        <v>402</v>
      </c>
      <c r="S2108" s="37" cm="1">
        <f t="array" aca="1" ref="S21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08" s="346" t="s">
        <v>2119</v>
      </c>
      <c r="U2108" s="368">
        <f ca="1">S2108/g2lb*MJ2mmBTU/Allocations!$O$206</f>
        <v>0</v>
      </c>
      <c r="V2108" s="368">
        <v>0</v>
      </c>
      <c r="W2108" s="368">
        <v>0</v>
      </c>
      <c r="X2108" s="348" t="s">
        <v>12</v>
      </c>
      <c r="Y2108" s="346" t="s">
        <v>416</v>
      </c>
      <c r="Z2108" s="14" t="str">
        <f>IF(ISBLANK(LCI_Table[[#This Row],[Notes for user]])," ",LCI_Table[[#This Row],[Notes for user]])</f>
        <v xml:space="preserve"> </v>
      </c>
      <c r="AA2108" s="348"/>
      <c r="AB2108" s="371"/>
      <c r="AC2108" s="346">
        <f ca="1">LCI_Table[[#This Row],[Default Calculated Value]]-LCI_Table[[#This Row],[Calculated Value]]</f>
        <v>0</v>
      </c>
    </row>
    <row r="2109" spans="1:29" x14ac:dyDescent="0.3">
      <c r="A21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SugarbeetSIPICAOJRC(blank)_Sugarbeet_SIP_YeastYeast</v>
      </c>
      <c r="B2109" s="348" t="s">
        <v>449</v>
      </c>
      <c r="C2109" s="348" t="s">
        <v>448</v>
      </c>
      <c r="D2109" s="348" t="s">
        <v>194</v>
      </c>
      <c r="E2109" s="348" t="s">
        <v>355</v>
      </c>
      <c r="F2109" s="48" t="s">
        <v>31</v>
      </c>
      <c r="G2109" s="14" t="b">
        <f>OR(LCI_Table[[#This Row],[Feedstock]]="All",LCI_Table[[#This Row],[Feedstock]]=SelectedFeedstock)</f>
        <v>0</v>
      </c>
      <c r="H2109" s="14" t="b">
        <f>OR(LCI_Table[[#This Row],[Conversion]]="All",LCI_Table[[#This Row],[Conversion]]=SelectedConversion)</f>
        <v>0</v>
      </c>
      <c r="I2109" s="14" t="b">
        <f>OR(LCI_Table[[#This Row],[Data Set]]="all",LCI_Table[[#This Row],[Data Set]]=SelectedDataSet)</f>
        <v>0</v>
      </c>
      <c r="J2109" s="14" t="b">
        <f>OR(LCI_Table[[#This Row],[Technology]]="All",LCI_Table[[#This Row],[Technology]]=SelectedTechnology)</f>
        <v>1</v>
      </c>
      <c r="K2109" s="14" t="b">
        <f>OR(LCI_Table[[#This Row],[Data Source]]="All",LCI_Table[[#This Row],[Data Source]]=SelectedDataSource)</f>
        <v>0</v>
      </c>
      <c r="L2109" s="14" t="b">
        <f>TRUE</f>
        <v>1</v>
      </c>
      <c r="M2109" s="14" t="b">
        <f>(LCI_Table[[#This Row],[Dev Notes]]="Do not display")</f>
        <v>0</v>
      </c>
      <c r="N2109" s="14" t="b">
        <f>AND(LCI_Table[[#This Row],[Show Feedstock]:[Conditional]],NOT(LCI_Table[[#This Row],[Hide Row]]))</f>
        <v>0</v>
      </c>
      <c r="O2109" s="14" t="b">
        <f>LCI_Table[[#This Row],[GREET1 Name Range]]=""</f>
        <v>0</v>
      </c>
      <c r="P2109" s="348" t="s">
        <v>1448</v>
      </c>
      <c r="Q2109" s="14" t="s">
        <v>1014</v>
      </c>
      <c r="R2109" s="348" t="s">
        <v>145</v>
      </c>
      <c r="S2109" s="37" cm="1">
        <f t="array" aca="1" ref="S21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09" s="346" t="s">
        <v>2119</v>
      </c>
      <c r="U2109" s="368">
        <f ca="1">S2109/g2lb*MJ2mmBTU/Allocations!$O$206</f>
        <v>0</v>
      </c>
      <c r="V2109" s="368">
        <v>0</v>
      </c>
      <c r="W2109" s="368">
        <v>0</v>
      </c>
      <c r="X2109" s="348" t="s">
        <v>12</v>
      </c>
      <c r="Y2109" s="346" t="s">
        <v>416</v>
      </c>
      <c r="Z2109" s="14" t="str">
        <f>IF(ISBLANK(LCI_Table[[#This Row],[Notes for user]])," ",LCI_Table[[#This Row],[Notes for user]])</f>
        <v xml:space="preserve"> </v>
      </c>
      <c r="AA2109" s="348"/>
      <c r="AB2109" s="371"/>
      <c r="AC2109" s="346">
        <f ca="1">LCI_Table[[#This Row],[Default Calculated Value]]-LCI_Table[[#This Row],[Calculated Value]]</f>
        <v>0</v>
      </c>
    </row>
    <row r="2110" spans="1:29" x14ac:dyDescent="0.3">
      <c r="A21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SugarbeetSIPICAOJRC(blank)_Sugarbeet_SIP_Sulfuric_acidSulfuric acid</v>
      </c>
      <c r="B2110" s="14" t="s">
        <v>449</v>
      </c>
      <c r="C2110" s="14" t="s">
        <v>448</v>
      </c>
      <c r="D2110" s="14" t="s">
        <v>194</v>
      </c>
      <c r="E2110" s="14" t="s">
        <v>355</v>
      </c>
      <c r="F2110" s="48" t="s">
        <v>31</v>
      </c>
      <c r="G2110" s="14" t="b">
        <f>OR(LCI_Table[[#This Row],[Feedstock]]="All",LCI_Table[[#This Row],[Feedstock]]=SelectedFeedstock)</f>
        <v>0</v>
      </c>
      <c r="H2110" s="14" t="b">
        <f>OR(LCI_Table[[#This Row],[Conversion]]="All",LCI_Table[[#This Row],[Conversion]]=SelectedConversion)</f>
        <v>0</v>
      </c>
      <c r="I2110" s="14" t="b">
        <f>OR(LCI_Table[[#This Row],[Data Set]]="all",LCI_Table[[#This Row],[Data Set]]=SelectedDataSet)</f>
        <v>0</v>
      </c>
      <c r="J2110" s="14" t="b">
        <f>OR(LCI_Table[[#This Row],[Technology]]="All",LCI_Table[[#This Row],[Technology]]=SelectedTechnology)</f>
        <v>1</v>
      </c>
      <c r="K2110" s="14" t="b">
        <f>OR(LCI_Table[[#This Row],[Data Source]]="All",LCI_Table[[#This Row],[Data Source]]=SelectedDataSource)</f>
        <v>0</v>
      </c>
      <c r="L2110" s="14" t="b">
        <f>TRUE</f>
        <v>1</v>
      </c>
      <c r="M2110" s="14" t="b">
        <f>(LCI_Table[[#This Row],[Dev Notes]]="Do not display")</f>
        <v>0</v>
      </c>
      <c r="N2110" s="14" t="b">
        <f>AND(LCI_Table[[#This Row],[Show Feedstock]:[Conditional]],NOT(LCI_Table[[#This Row],[Hide Row]]))</f>
        <v>0</v>
      </c>
      <c r="O2110" s="14" t="b">
        <f>LCI_Table[[#This Row],[GREET1 Name Range]]=""</f>
        <v>0</v>
      </c>
      <c r="P2110" s="358" t="s">
        <v>1448</v>
      </c>
      <c r="Q2110" s="14" t="s">
        <v>1015</v>
      </c>
      <c r="R2110" s="14" t="s">
        <v>384</v>
      </c>
      <c r="S2110" s="37" cm="1">
        <f t="array" aca="1" ref="S21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10" s="346" t="s">
        <v>2119</v>
      </c>
      <c r="U2110" s="347">
        <f ca="1">S2110/g2lb*MJ2mmBTU/Allocations!$O$206</f>
        <v>0</v>
      </c>
      <c r="V2110" s="347">
        <v>0</v>
      </c>
      <c r="W2110" s="347">
        <v>0</v>
      </c>
      <c r="X2110" s="14" t="s">
        <v>12</v>
      </c>
      <c r="Y2110" s="346" t="s">
        <v>416</v>
      </c>
      <c r="Z2110" s="14" t="str">
        <f>IF(ISBLANK(LCI_Table[[#This Row],[Notes for user]])," ",LCI_Table[[#This Row],[Notes for user]])</f>
        <v xml:space="preserve"> </v>
      </c>
      <c r="AA2110" s="14"/>
      <c r="AB2110" s="14"/>
      <c r="AC2110" s="346">
        <f ca="1">LCI_Table[[#This Row],[Default Calculated Value]]-LCI_Table[[#This Row],[Calculated Value]]</f>
        <v>0</v>
      </c>
    </row>
    <row r="2111" spans="1:29" x14ac:dyDescent="0.3">
      <c r="A21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SugarbeetSIPICAOJRC(blank)_Sugarbeet_SIP_Pet_cokePet coke</v>
      </c>
      <c r="B2111" s="14" t="s">
        <v>449</v>
      </c>
      <c r="C2111" s="14" t="s">
        <v>448</v>
      </c>
      <c r="D2111" s="14" t="s">
        <v>194</v>
      </c>
      <c r="E2111" s="14" t="s">
        <v>355</v>
      </c>
      <c r="F2111" s="48" t="s">
        <v>31</v>
      </c>
      <c r="G2111" s="14" t="b">
        <f>OR(LCI_Table[[#This Row],[Feedstock]]="All",LCI_Table[[#This Row],[Feedstock]]=SelectedFeedstock)</f>
        <v>0</v>
      </c>
      <c r="H2111" s="14" t="b">
        <f>OR(LCI_Table[[#This Row],[Conversion]]="All",LCI_Table[[#This Row],[Conversion]]=SelectedConversion)</f>
        <v>0</v>
      </c>
      <c r="I2111" s="14" t="b">
        <f>OR(LCI_Table[[#This Row],[Data Set]]="all",LCI_Table[[#This Row],[Data Set]]=SelectedDataSet)</f>
        <v>0</v>
      </c>
      <c r="J2111" s="14" t="b">
        <f>OR(LCI_Table[[#This Row],[Technology]]="All",LCI_Table[[#This Row],[Technology]]=SelectedTechnology)</f>
        <v>1</v>
      </c>
      <c r="K2111" s="14" t="b">
        <f>OR(LCI_Table[[#This Row],[Data Source]]="All",LCI_Table[[#This Row],[Data Source]]=SelectedDataSource)</f>
        <v>0</v>
      </c>
      <c r="L2111" s="14" t="b">
        <f>TRUE</f>
        <v>1</v>
      </c>
      <c r="M2111" s="14" t="b">
        <f>(LCI_Table[[#This Row],[Dev Notes]]="Do not display")</f>
        <v>0</v>
      </c>
      <c r="N2111" s="14" t="b">
        <f>AND(LCI_Table[[#This Row],[Show Feedstock]:[Conditional]],NOT(LCI_Table[[#This Row],[Hide Row]]))</f>
        <v>0</v>
      </c>
      <c r="O2111" s="14" t="b">
        <f>LCI_Table[[#This Row],[GREET1 Name Range]]=""</f>
        <v>0</v>
      </c>
      <c r="P2111" s="358" t="s">
        <v>1448</v>
      </c>
      <c r="Q2111" s="14" t="s">
        <v>1016</v>
      </c>
      <c r="R2111" s="14" t="s">
        <v>1131</v>
      </c>
      <c r="S2111" s="37" cm="1">
        <f t="array" aca="1" ref="S21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1.6208135775241799</v>
      </c>
      <c r="T2111" s="346" t="s">
        <v>2119</v>
      </c>
      <c r="U2111" s="347">
        <f ca="1">S2111/MJ2BTU*Fuel_Specs!$B$91/ton2lb/Allocations!$O$206*MJ2mmBTU</f>
        <v>2.1840000000000002E-2</v>
      </c>
      <c r="V2111" s="347">
        <v>1.6208135775241799</v>
      </c>
      <c r="W2111" s="347">
        <v>2.1840000000000002E-2</v>
      </c>
      <c r="X2111" s="14" t="s">
        <v>12</v>
      </c>
      <c r="Y2111" s="346" t="s">
        <v>416</v>
      </c>
      <c r="Z2111" s="14" t="str">
        <f>IF(ISBLANK(LCI_Table[[#This Row],[Notes for user]])," ",LCI_Table[[#This Row],[Notes for user]])</f>
        <v xml:space="preserve"> </v>
      </c>
      <c r="AA2111" s="14"/>
      <c r="AB2111" s="14"/>
      <c r="AC2111" s="346">
        <f ca="1">LCI_Table[[#This Row],[Default Calculated Value]]-LCI_Table[[#This Row],[Calculated Value]]</f>
        <v>0</v>
      </c>
    </row>
    <row r="2112" spans="1:29" x14ac:dyDescent="0.3">
      <c r="A21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SugarbeetSIPICAOJRC(blank)_Sugarbeet_SIP_ElectricityGrid Electricity</v>
      </c>
      <c r="B2112" s="14" t="s">
        <v>449</v>
      </c>
      <c r="C2112" s="14" t="s">
        <v>448</v>
      </c>
      <c r="D2112" s="14" t="s">
        <v>194</v>
      </c>
      <c r="E2112" s="14" t="s">
        <v>355</v>
      </c>
      <c r="F2112" s="48" t="s">
        <v>31</v>
      </c>
      <c r="G2112" s="14" t="b">
        <f>OR(LCI_Table[[#This Row],[Feedstock]]="All",LCI_Table[[#This Row],[Feedstock]]=SelectedFeedstock)</f>
        <v>0</v>
      </c>
      <c r="H2112" s="14" t="b">
        <f>OR(LCI_Table[[#This Row],[Conversion]]="All",LCI_Table[[#This Row],[Conversion]]=SelectedConversion)</f>
        <v>0</v>
      </c>
      <c r="I2112" s="14" t="b">
        <f>OR(LCI_Table[[#This Row],[Data Set]]="all",LCI_Table[[#This Row],[Data Set]]=SelectedDataSet)</f>
        <v>0</v>
      </c>
      <c r="J2112" s="14" t="b">
        <f>OR(LCI_Table[[#This Row],[Technology]]="All",LCI_Table[[#This Row],[Technology]]=SelectedTechnology)</f>
        <v>1</v>
      </c>
      <c r="K2112" s="14" t="b">
        <f>OR(LCI_Table[[#This Row],[Data Source]]="All",LCI_Table[[#This Row],[Data Source]]=SelectedDataSource)</f>
        <v>0</v>
      </c>
      <c r="L2112" s="14" t="b">
        <f>TRUE</f>
        <v>1</v>
      </c>
      <c r="M2112" s="14" t="b">
        <f>(LCI_Table[[#This Row],[Dev Notes]]="Do not display")</f>
        <v>0</v>
      </c>
      <c r="N2112" s="14" t="b">
        <f>AND(LCI_Table[[#This Row],[Show Feedstock]:[Conditional]],NOT(LCI_Table[[#This Row],[Hide Row]]))</f>
        <v>0</v>
      </c>
      <c r="O2112" s="14" t="b">
        <f>LCI_Table[[#This Row],[GREET1 Name Range]]=""</f>
        <v>0</v>
      </c>
      <c r="P2112" s="358" t="s">
        <v>1448</v>
      </c>
      <c r="Q2112" s="14" t="s">
        <v>1017</v>
      </c>
      <c r="R2112" s="14" t="s">
        <v>1684</v>
      </c>
      <c r="S2112" s="37" cm="1">
        <f t="array" aca="1" ref="S21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7.0337056666666671</v>
      </c>
      <c r="T2112" s="346" t="s">
        <v>2121</v>
      </c>
      <c r="U2112" s="347">
        <f ca="1">S2112/BTU2kWh/mmBTU2MJ/Allocations!$O$206</f>
        <v>22.747610944008322</v>
      </c>
      <c r="V2112" s="347">
        <v>7.0337056666666671</v>
      </c>
      <c r="W2112" s="347">
        <v>22.747610944008322</v>
      </c>
      <c r="X2112" s="14" t="s">
        <v>51</v>
      </c>
      <c r="Y2112" s="346" t="s">
        <v>416</v>
      </c>
      <c r="Z2112" s="14" t="str">
        <f>IF(ISBLANK(LCI_Table[[#This Row],[Notes for user]])," ",LCI_Table[[#This Row],[Notes for user]])</f>
        <v xml:space="preserve"> </v>
      </c>
      <c r="AA2112" s="14"/>
      <c r="AB2112" s="14"/>
      <c r="AC2112" s="346">
        <f ca="1">LCI_Table[[#This Row],[Default Calculated Value]]-LCI_Table[[#This Row],[Calculated Value]]</f>
        <v>0</v>
      </c>
    </row>
    <row r="2113" spans="1:29" x14ac:dyDescent="0.3">
      <c r="A21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SugarbeetSIPICAOJRC(blank)_Sugarbeet_SIP_HydrogenHydrogen</v>
      </c>
      <c r="B2113" s="14" t="s">
        <v>449</v>
      </c>
      <c r="C2113" s="14" t="s">
        <v>448</v>
      </c>
      <c r="D2113" s="358" t="s">
        <v>194</v>
      </c>
      <c r="E2113" s="14" t="s">
        <v>355</v>
      </c>
      <c r="F2113" s="48" t="s">
        <v>31</v>
      </c>
      <c r="G2113" s="14" t="b">
        <f>OR(LCI_Table[[#This Row],[Feedstock]]="All",LCI_Table[[#This Row],[Feedstock]]=SelectedFeedstock)</f>
        <v>0</v>
      </c>
      <c r="H2113" s="14" t="b">
        <f>OR(LCI_Table[[#This Row],[Conversion]]="All",LCI_Table[[#This Row],[Conversion]]=SelectedConversion)</f>
        <v>0</v>
      </c>
      <c r="I2113" s="14" t="b">
        <f>OR(LCI_Table[[#This Row],[Data Set]]="all",LCI_Table[[#This Row],[Data Set]]=SelectedDataSet)</f>
        <v>0</v>
      </c>
      <c r="J2113" s="14" t="b">
        <f>OR(LCI_Table[[#This Row],[Technology]]="All",LCI_Table[[#This Row],[Technology]]=SelectedTechnology)</f>
        <v>1</v>
      </c>
      <c r="K2113" s="14" t="b">
        <f>OR(LCI_Table[[#This Row],[Data Source]]="All",LCI_Table[[#This Row],[Data Source]]=SelectedDataSource)</f>
        <v>0</v>
      </c>
      <c r="L2113" s="14" t="b">
        <f>TRUE</f>
        <v>1</v>
      </c>
      <c r="M2113" s="14" t="b">
        <f>(LCI_Table[[#This Row],[Dev Notes]]="Do not display")</f>
        <v>0</v>
      </c>
      <c r="N2113" s="14" t="b">
        <f>AND(LCI_Table[[#This Row],[Show Feedstock]:[Conditional]],NOT(LCI_Table[[#This Row],[Hide Row]]))</f>
        <v>0</v>
      </c>
      <c r="O2113" s="14" t="b">
        <f>LCI_Table[[#This Row],[GREET1 Name Range]]=""</f>
        <v>0</v>
      </c>
      <c r="P2113" s="358" t="s">
        <v>1448</v>
      </c>
      <c r="Q2113" s="14" t="s">
        <v>1018</v>
      </c>
      <c r="R2113" s="358" t="s">
        <v>73</v>
      </c>
      <c r="S2113" s="37" cm="1">
        <f t="array" aca="1" ref="S21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344.82758620689657</v>
      </c>
      <c r="T2113" s="346" t="s">
        <v>2120</v>
      </c>
      <c r="U2113" s="347">
        <f ca="1">S2113*Fuel_Specs!$B$81/mmBTU2MJ/Allocations!$O$206</f>
        <v>94.781712266701334</v>
      </c>
      <c r="V2113" s="359">
        <v>344.82758620689657</v>
      </c>
      <c r="W2113" s="347">
        <v>94.781712266701334</v>
      </c>
      <c r="X2113" s="360" t="s">
        <v>351</v>
      </c>
      <c r="Y2113" s="346" t="s">
        <v>416</v>
      </c>
      <c r="Z2113" s="14" t="str">
        <f>IF(ISBLANK(LCI_Table[[#This Row],[Notes for user]])," ",LCI_Table[[#This Row],[Notes for user]])</f>
        <v>CORSIA reports 0.91 MJ H2/MJ SAF</v>
      </c>
      <c r="AA2113" s="14" t="s">
        <v>1155</v>
      </c>
      <c r="AB2113" s="358"/>
      <c r="AC2113" s="346">
        <f ca="1">LCI_Table[[#This Row],[Default Calculated Value]]-LCI_Table[[#This Row],[Calculated Value]]</f>
        <v>0</v>
      </c>
    </row>
    <row r="2114" spans="1:29" x14ac:dyDescent="0.3">
      <c r="A21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dash_Sugarcanei-BuOH ATJICAOMIT(blank)_Yield_Farming</v>
      </c>
      <c r="B2114" s="48" t="s">
        <v>447</v>
      </c>
      <c r="C2114" s="48" t="s">
        <v>883</v>
      </c>
      <c r="D2114" s="48" t="s">
        <v>194</v>
      </c>
      <c r="E2114" s="48" t="s">
        <v>377</v>
      </c>
      <c r="F2114" s="48" t="s">
        <v>31</v>
      </c>
      <c r="G2114" s="14" t="b">
        <f>OR(LCI_Table[[#This Row],[Feedstock]]="All",LCI_Table[[#This Row],[Feedstock]]=SelectedFeedstock)</f>
        <v>0</v>
      </c>
      <c r="H2114" s="14" t="b">
        <f>OR(LCI_Table[[#This Row],[Conversion]]="All",LCI_Table[[#This Row],[Conversion]]=SelectedConversion)</f>
        <v>0</v>
      </c>
      <c r="I2114" s="14" t="b">
        <f>OR(LCI_Table[[#This Row],[Data Set]]="all",LCI_Table[[#This Row],[Data Set]]=SelectedDataSet)</f>
        <v>0</v>
      </c>
      <c r="J2114" s="14" t="b">
        <f>OR(LCI_Table[[#This Row],[Technology]]="All",LCI_Table[[#This Row],[Technology]]=SelectedTechnology)</f>
        <v>1</v>
      </c>
      <c r="K2114" s="14" t="b">
        <f>OR(LCI_Table[[#This Row],[Data Source]]="All",LCI_Table[[#This Row],[Data Source]]=SelectedDataSource)</f>
        <v>0</v>
      </c>
      <c r="L2114" s="14" t="b">
        <f>TRUE</f>
        <v>1</v>
      </c>
      <c r="M2114" s="14" t="b">
        <f>(LCI_Table[[#This Row],[Dev Notes]]="Do not display")</f>
        <v>0</v>
      </c>
      <c r="N2114" s="14" t="b">
        <f>AND(LCI_Table[[#This Row],[Show Feedstock]:[Conditional]],NOT(LCI_Table[[#This Row],[Hide Row]]))</f>
        <v>0</v>
      </c>
      <c r="O2114" s="14" t="b">
        <f>LCI_Table[[#This Row],[GREET1 Name Range]]=""</f>
        <v>1</v>
      </c>
      <c r="P2114" s="48" t="s">
        <v>14</v>
      </c>
      <c r="Q2114" s="14" t="s">
        <v>361</v>
      </c>
      <c r="R2114" s="48" t="s">
        <v>200</v>
      </c>
      <c r="S2114" s="37" cm="1">
        <f t="array" aca="1" ref="S21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38.676024628050598</v>
      </c>
      <c r="T2114" s="346" t="s">
        <v>2116</v>
      </c>
      <c r="U2114" s="344"/>
      <c r="V2114" s="344">
        <v>38.676024628050598</v>
      </c>
      <c r="W2114" s="344"/>
      <c r="X2114" s="48" t="s">
        <v>55</v>
      </c>
      <c r="Y2114" s="346" t="s">
        <v>413</v>
      </c>
      <c r="Z2114" s="14" t="str">
        <f>IF(ISBLANK(LCI_Table[[#This Row],[Notes for user]])," ",LCI_Table[[#This Row],[Notes for user]])</f>
        <v xml:space="preserve"> </v>
      </c>
      <c r="AA2114" s="48"/>
      <c r="AB2114" s="345" t="s">
        <v>923</v>
      </c>
      <c r="AC2114" s="346">
        <f>LCI_Table[[#This Row],[Default Calculated Value]]-LCI_Table[[#This Row],[Calculated Value]]</f>
        <v>0</v>
      </c>
    </row>
    <row r="2115" spans="1:29" x14ac:dyDescent="0.3">
      <c r="A21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ATJICAOMIT(blank)_Sugarcane_Nitrogen_fertilizerNitrogen fertilizer</v>
      </c>
      <c r="B2115" s="14" t="s">
        <v>447</v>
      </c>
      <c r="C2115" s="14" t="s">
        <v>883</v>
      </c>
      <c r="D2115" s="14" t="s">
        <v>194</v>
      </c>
      <c r="E2115" s="14" t="s">
        <v>377</v>
      </c>
      <c r="F2115" s="48" t="s">
        <v>31</v>
      </c>
      <c r="G2115" s="14" t="b">
        <f>OR(LCI_Table[[#This Row],[Feedstock]]="All",LCI_Table[[#This Row],[Feedstock]]=SelectedFeedstock)</f>
        <v>0</v>
      </c>
      <c r="H2115" s="14" t="b">
        <f>OR(LCI_Table[[#This Row],[Conversion]]="All",LCI_Table[[#This Row],[Conversion]]=SelectedConversion)</f>
        <v>0</v>
      </c>
      <c r="I2115" s="14" t="b">
        <f>OR(LCI_Table[[#This Row],[Data Set]]="all",LCI_Table[[#This Row],[Data Set]]=SelectedDataSet)</f>
        <v>0</v>
      </c>
      <c r="J2115" s="14" t="b">
        <f>OR(LCI_Table[[#This Row],[Technology]]="All",LCI_Table[[#This Row],[Technology]]=SelectedTechnology)</f>
        <v>1</v>
      </c>
      <c r="K2115" s="14" t="b">
        <f>OR(LCI_Table[[#This Row],[Data Source]]="All",LCI_Table[[#This Row],[Data Source]]=SelectedDataSource)</f>
        <v>0</v>
      </c>
      <c r="L2115" s="14" t="b">
        <f>TRUE</f>
        <v>1</v>
      </c>
      <c r="M2115" s="14" t="b">
        <f>(LCI_Table[[#This Row],[Dev Notes]]="Do not display")</f>
        <v>0</v>
      </c>
      <c r="N2115" s="14" t="b">
        <f>AND(LCI_Table[[#This Row],[Show Feedstock]:[Conditional]],NOT(LCI_Table[[#This Row],[Hide Row]]))</f>
        <v>0</v>
      </c>
      <c r="O2115" s="14" t="b">
        <f>LCI_Table[[#This Row],[GREET1 Name Range]]=""</f>
        <v>0</v>
      </c>
      <c r="P2115" s="14" t="s">
        <v>14</v>
      </c>
      <c r="Q2115" s="14" t="s">
        <v>968</v>
      </c>
      <c r="R2115" s="14" t="s">
        <v>111</v>
      </c>
      <c r="S2115" s="37" cm="1">
        <f t="array" aca="1" ref="S21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71.93740580817412</v>
      </c>
      <c r="T2115" s="346" t="s">
        <v>1485</v>
      </c>
      <c r="U2115" s="347">
        <f t="shared" ref="U2115:U2120" ca="1" si="143">S2115/$S$2114*lb2g/ton2MT</f>
        <v>930</v>
      </c>
      <c r="V2115" s="347">
        <v>71.93740580817412</v>
      </c>
      <c r="W2115" s="347">
        <v>930</v>
      </c>
      <c r="X2115" s="14" t="s">
        <v>12</v>
      </c>
      <c r="Y2115" s="346" t="s">
        <v>413</v>
      </c>
      <c r="Z2115" s="14" t="str">
        <f>IF(ISBLANK(LCI_Table[[#This Row],[Notes for user]])," ",LCI_Table[[#This Row],[Notes for user]])</f>
        <v xml:space="preserve"> </v>
      </c>
      <c r="AA2115" s="14"/>
      <c r="AB2115" s="14"/>
      <c r="AC2115" s="346">
        <f ca="1">LCI_Table[[#This Row],[Default Calculated Value]]-LCI_Table[[#This Row],[Calculated Value]]</f>
        <v>0</v>
      </c>
    </row>
    <row r="2116" spans="1:29" x14ac:dyDescent="0.3">
      <c r="A21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ATJICAOMIT(blank)_Sugarcane_P2O5P2O5</v>
      </c>
      <c r="B2116" s="14" t="s">
        <v>447</v>
      </c>
      <c r="C2116" s="14" t="s">
        <v>883</v>
      </c>
      <c r="D2116" s="14" t="s">
        <v>194</v>
      </c>
      <c r="E2116" s="14" t="s">
        <v>377</v>
      </c>
      <c r="F2116" s="48" t="s">
        <v>31</v>
      </c>
      <c r="G2116" s="14" t="b">
        <f>OR(LCI_Table[[#This Row],[Feedstock]]="All",LCI_Table[[#This Row],[Feedstock]]=SelectedFeedstock)</f>
        <v>0</v>
      </c>
      <c r="H2116" s="14" t="b">
        <f>OR(LCI_Table[[#This Row],[Conversion]]="All",LCI_Table[[#This Row],[Conversion]]=SelectedConversion)</f>
        <v>0</v>
      </c>
      <c r="I2116" s="14" t="b">
        <f>OR(LCI_Table[[#This Row],[Data Set]]="all",LCI_Table[[#This Row],[Data Set]]=SelectedDataSet)</f>
        <v>0</v>
      </c>
      <c r="J2116" s="14" t="b">
        <f>OR(LCI_Table[[#This Row],[Technology]]="All",LCI_Table[[#This Row],[Technology]]=SelectedTechnology)</f>
        <v>1</v>
      </c>
      <c r="K2116" s="14" t="b">
        <f>OR(LCI_Table[[#This Row],[Data Source]]="All",LCI_Table[[#This Row],[Data Source]]=SelectedDataSource)</f>
        <v>0</v>
      </c>
      <c r="L2116" s="14" t="b">
        <f>TRUE</f>
        <v>1</v>
      </c>
      <c r="M2116" s="14" t="b">
        <f>(LCI_Table[[#This Row],[Dev Notes]]="Do not display")</f>
        <v>0</v>
      </c>
      <c r="N2116" s="14" t="b">
        <f>AND(LCI_Table[[#This Row],[Show Feedstock]:[Conditional]],NOT(LCI_Table[[#This Row],[Hide Row]]))</f>
        <v>0</v>
      </c>
      <c r="O2116" s="14" t="b">
        <f>LCI_Table[[#This Row],[GREET1 Name Range]]=""</f>
        <v>0</v>
      </c>
      <c r="P2116" s="14" t="s">
        <v>14</v>
      </c>
      <c r="Q2116" s="14" t="s">
        <v>969</v>
      </c>
      <c r="R2116" s="14" t="s">
        <v>112</v>
      </c>
      <c r="S2116" s="37" cm="1">
        <f t="array" aca="1" ref="S21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24.752655761952383</v>
      </c>
      <c r="T2116" s="346" t="s">
        <v>1485</v>
      </c>
      <c r="U2116" s="347">
        <f t="shared" ca="1" si="143"/>
        <v>320</v>
      </c>
      <c r="V2116" s="347">
        <v>24.752655761952383</v>
      </c>
      <c r="W2116" s="347">
        <v>320</v>
      </c>
      <c r="X2116" s="14" t="s">
        <v>12</v>
      </c>
      <c r="Y2116" s="346" t="s">
        <v>413</v>
      </c>
      <c r="Z2116" s="14" t="str">
        <f>IF(ISBLANK(LCI_Table[[#This Row],[Notes for user]])," ",LCI_Table[[#This Row],[Notes for user]])</f>
        <v xml:space="preserve"> </v>
      </c>
      <c r="AA2116" s="14"/>
      <c r="AB2116" s="14"/>
      <c r="AC2116" s="346">
        <f ca="1">LCI_Table[[#This Row],[Default Calculated Value]]-LCI_Table[[#This Row],[Calculated Value]]</f>
        <v>0</v>
      </c>
    </row>
    <row r="2117" spans="1:29" x14ac:dyDescent="0.3">
      <c r="A21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ATJICAOMIT(blank)_Sugarcane_K2OK2O</v>
      </c>
      <c r="B2117" s="14" t="s">
        <v>447</v>
      </c>
      <c r="C2117" s="14" t="s">
        <v>883</v>
      </c>
      <c r="D2117" s="14" t="s">
        <v>194</v>
      </c>
      <c r="E2117" s="14" t="s">
        <v>377</v>
      </c>
      <c r="F2117" s="48" t="s">
        <v>31</v>
      </c>
      <c r="G2117" s="14" t="b">
        <f>OR(LCI_Table[[#This Row],[Feedstock]]="All",LCI_Table[[#This Row],[Feedstock]]=SelectedFeedstock)</f>
        <v>0</v>
      </c>
      <c r="H2117" s="14" t="b">
        <f>OR(LCI_Table[[#This Row],[Conversion]]="All",LCI_Table[[#This Row],[Conversion]]=SelectedConversion)</f>
        <v>0</v>
      </c>
      <c r="I2117" s="14" t="b">
        <f>OR(LCI_Table[[#This Row],[Data Set]]="all",LCI_Table[[#This Row],[Data Set]]=SelectedDataSet)</f>
        <v>0</v>
      </c>
      <c r="J2117" s="14" t="b">
        <f>OR(LCI_Table[[#This Row],[Technology]]="All",LCI_Table[[#This Row],[Technology]]=SelectedTechnology)</f>
        <v>1</v>
      </c>
      <c r="K2117" s="14" t="b">
        <f>OR(LCI_Table[[#This Row],[Data Source]]="All",LCI_Table[[#This Row],[Data Source]]=SelectedDataSource)</f>
        <v>0</v>
      </c>
      <c r="L2117" s="14" t="b">
        <f>TRUE</f>
        <v>1</v>
      </c>
      <c r="M2117" s="14" t="b">
        <f>(LCI_Table[[#This Row],[Dev Notes]]="Do not display")</f>
        <v>0</v>
      </c>
      <c r="N2117" s="14" t="b">
        <f>AND(LCI_Table[[#This Row],[Show Feedstock]:[Conditional]],NOT(LCI_Table[[#This Row],[Hide Row]]))</f>
        <v>0</v>
      </c>
      <c r="O2117" s="14" t="b">
        <f>LCI_Table[[#This Row],[GREET1 Name Range]]=""</f>
        <v>0</v>
      </c>
      <c r="P2117" s="14" t="s">
        <v>14</v>
      </c>
      <c r="Q2117" s="14" t="s">
        <v>970</v>
      </c>
      <c r="R2117" s="14" t="s">
        <v>113</v>
      </c>
      <c r="S2117" s="37" cm="1">
        <f t="array" aca="1" ref="S21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116.80159437671281</v>
      </c>
      <c r="T2117" s="346" t="s">
        <v>1485</v>
      </c>
      <c r="U2117" s="347">
        <f t="shared" ca="1" si="143"/>
        <v>1510</v>
      </c>
      <c r="V2117" s="347">
        <v>116.80159437671281</v>
      </c>
      <c r="W2117" s="347">
        <v>1510</v>
      </c>
      <c r="X2117" s="14" t="s">
        <v>12</v>
      </c>
      <c r="Y2117" s="346" t="s">
        <v>413</v>
      </c>
      <c r="Z2117" s="14" t="str">
        <f>IF(ISBLANK(LCI_Table[[#This Row],[Notes for user]])," ",LCI_Table[[#This Row],[Notes for user]])</f>
        <v xml:space="preserve"> </v>
      </c>
      <c r="AA2117" s="14"/>
      <c r="AB2117" s="14"/>
      <c r="AC2117" s="346">
        <f ca="1">LCI_Table[[#This Row],[Default Calculated Value]]-LCI_Table[[#This Row],[Calculated Value]]</f>
        <v>0</v>
      </c>
    </row>
    <row r="2118" spans="1:29" x14ac:dyDescent="0.3">
      <c r="A21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ATJICAOMIT(blank)_Sugarcane_CaCO3CaCO3</v>
      </c>
      <c r="B2118" s="14" t="s">
        <v>447</v>
      </c>
      <c r="C2118" s="14" t="s">
        <v>883</v>
      </c>
      <c r="D2118" s="14" t="s">
        <v>194</v>
      </c>
      <c r="E2118" s="14" t="s">
        <v>377</v>
      </c>
      <c r="F2118" s="48" t="s">
        <v>31</v>
      </c>
      <c r="G2118" s="14" t="b">
        <f>OR(LCI_Table[[#This Row],[Feedstock]]="All",LCI_Table[[#This Row],[Feedstock]]=SelectedFeedstock)</f>
        <v>0</v>
      </c>
      <c r="H2118" s="14" t="b">
        <f>OR(LCI_Table[[#This Row],[Conversion]]="All",LCI_Table[[#This Row],[Conversion]]=SelectedConversion)</f>
        <v>0</v>
      </c>
      <c r="I2118" s="14" t="b">
        <f>OR(LCI_Table[[#This Row],[Data Set]]="all",LCI_Table[[#This Row],[Data Set]]=SelectedDataSet)</f>
        <v>0</v>
      </c>
      <c r="J2118" s="14" t="b">
        <f>OR(LCI_Table[[#This Row],[Technology]]="All",LCI_Table[[#This Row],[Technology]]=SelectedTechnology)</f>
        <v>1</v>
      </c>
      <c r="K2118" s="14" t="b">
        <f>OR(LCI_Table[[#This Row],[Data Source]]="All",LCI_Table[[#This Row],[Data Source]]=SelectedDataSource)</f>
        <v>0</v>
      </c>
      <c r="L2118" s="14" t="b">
        <f>TRUE</f>
        <v>1</v>
      </c>
      <c r="M2118" s="14" t="b">
        <f>(LCI_Table[[#This Row],[Dev Notes]]="Do not display")</f>
        <v>0</v>
      </c>
      <c r="N2118" s="14" t="b">
        <f>AND(LCI_Table[[#This Row],[Show Feedstock]:[Conditional]],NOT(LCI_Table[[#This Row],[Hide Row]]))</f>
        <v>0</v>
      </c>
      <c r="O2118" s="14" t="b">
        <f>LCI_Table[[#This Row],[GREET1 Name Range]]=""</f>
        <v>0</v>
      </c>
      <c r="P2118" s="14" t="s">
        <v>14</v>
      </c>
      <c r="Q2118" s="14" t="s">
        <v>971</v>
      </c>
      <c r="R2118" s="14" t="s">
        <v>141</v>
      </c>
      <c r="S2118" s="37" cm="1">
        <f t="array" aca="1" ref="S21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402.23065613172622</v>
      </c>
      <c r="T2118" s="346" t="s">
        <v>1485</v>
      </c>
      <c r="U2118" s="347">
        <f t="shared" ca="1" si="143"/>
        <v>5200.0000000000009</v>
      </c>
      <c r="V2118" s="347">
        <v>402.23065613172622</v>
      </c>
      <c r="W2118" s="347">
        <v>5200.0000000000009</v>
      </c>
      <c r="X2118" s="14" t="s">
        <v>12</v>
      </c>
      <c r="Y2118" s="346" t="s">
        <v>413</v>
      </c>
      <c r="Z2118" s="14" t="str">
        <f>IF(ISBLANK(LCI_Table[[#This Row],[Notes for user]])," ",LCI_Table[[#This Row],[Notes for user]])</f>
        <v xml:space="preserve"> </v>
      </c>
      <c r="AA2118" s="14"/>
      <c r="AB2118" s="14" t="s">
        <v>924</v>
      </c>
      <c r="AC2118" s="346">
        <f ca="1">LCI_Table[[#This Row],[Default Calculated Value]]-LCI_Table[[#This Row],[Calculated Value]]</f>
        <v>0</v>
      </c>
    </row>
    <row r="2119" spans="1:29" x14ac:dyDescent="0.3">
      <c r="A21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ATJICAOMIT(blank)_Sugarcane_HerbicidesHerbicides</v>
      </c>
      <c r="B2119" s="14" t="s">
        <v>447</v>
      </c>
      <c r="C2119" s="14" t="s">
        <v>883</v>
      </c>
      <c r="D2119" s="14" t="s">
        <v>194</v>
      </c>
      <c r="E2119" s="14" t="s">
        <v>377</v>
      </c>
      <c r="F2119" s="48" t="s">
        <v>31</v>
      </c>
      <c r="G2119" s="14" t="b">
        <f>OR(LCI_Table[[#This Row],[Feedstock]]="All",LCI_Table[[#This Row],[Feedstock]]=SelectedFeedstock)</f>
        <v>0</v>
      </c>
      <c r="H2119" s="14" t="b">
        <f>OR(LCI_Table[[#This Row],[Conversion]]="All",LCI_Table[[#This Row],[Conversion]]=SelectedConversion)</f>
        <v>0</v>
      </c>
      <c r="I2119" s="14" t="b">
        <f>OR(LCI_Table[[#This Row],[Data Set]]="all",LCI_Table[[#This Row],[Data Set]]=SelectedDataSet)</f>
        <v>0</v>
      </c>
      <c r="J2119" s="14" t="b">
        <f>OR(LCI_Table[[#This Row],[Technology]]="All",LCI_Table[[#This Row],[Technology]]=SelectedTechnology)</f>
        <v>1</v>
      </c>
      <c r="K2119" s="14" t="b">
        <f>OR(LCI_Table[[#This Row],[Data Source]]="All",LCI_Table[[#This Row],[Data Source]]=SelectedDataSource)</f>
        <v>0</v>
      </c>
      <c r="L2119" s="14" t="b">
        <f>TRUE</f>
        <v>1</v>
      </c>
      <c r="M2119" s="14" t="b">
        <f>(LCI_Table[[#This Row],[Dev Notes]]="Do not display")</f>
        <v>0</v>
      </c>
      <c r="N2119" s="14" t="b">
        <f>AND(LCI_Table[[#This Row],[Show Feedstock]:[Conditional]],NOT(LCI_Table[[#This Row],[Hide Row]]))</f>
        <v>0</v>
      </c>
      <c r="O2119" s="14" t="b">
        <f>LCI_Table[[#This Row],[GREET1 Name Range]]=""</f>
        <v>0</v>
      </c>
      <c r="P2119" s="14" t="s">
        <v>14</v>
      </c>
      <c r="Q2119" s="14" t="s">
        <v>972</v>
      </c>
      <c r="R2119" s="14" t="s">
        <v>356</v>
      </c>
      <c r="S2119" s="37" cm="1">
        <f t="array" aca="1" ref="S21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19" s="346" t="s">
        <v>1485</v>
      </c>
      <c r="U2119" s="347">
        <f t="shared" ca="1" si="143"/>
        <v>0</v>
      </c>
      <c r="V2119" s="347">
        <v>0</v>
      </c>
      <c r="W2119" s="347">
        <v>0</v>
      </c>
      <c r="X2119" s="14" t="s">
        <v>12</v>
      </c>
      <c r="Y2119" s="346" t="s">
        <v>413</v>
      </c>
      <c r="Z2119" s="14" t="str">
        <f>IF(ISBLANK(LCI_Table[[#This Row],[Notes for user]])," ",LCI_Table[[#This Row],[Notes for user]])</f>
        <v xml:space="preserve"> </v>
      </c>
      <c r="AA2119" s="14"/>
      <c r="AB2119" s="14"/>
      <c r="AC2119" s="346">
        <f ca="1">LCI_Table[[#This Row],[Default Calculated Value]]-LCI_Table[[#This Row],[Calculated Value]]</f>
        <v>0</v>
      </c>
    </row>
    <row r="2120" spans="1:29" x14ac:dyDescent="0.3">
      <c r="A21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ATJICAOMIT(blank)_Sugarcane_InsecticideInsecticide</v>
      </c>
      <c r="B2120" s="14" t="s">
        <v>447</v>
      </c>
      <c r="C2120" s="14" t="s">
        <v>883</v>
      </c>
      <c r="D2120" s="14" t="s">
        <v>194</v>
      </c>
      <c r="E2120" s="14" t="s">
        <v>377</v>
      </c>
      <c r="F2120" s="48" t="s">
        <v>31</v>
      </c>
      <c r="G2120" s="14" t="b">
        <f>OR(LCI_Table[[#This Row],[Feedstock]]="All",LCI_Table[[#This Row],[Feedstock]]=SelectedFeedstock)</f>
        <v>0</v>
      </c>
      <c r="H2120" s="14" t="b">
        <f>OR(LCI_Table[[#This Row],[Conversion]]="All",LCI_Table[[#This Row],[Conversion]]=SelectedConversion)</f>
        <v>0</v>
      </c>
      <c r="I2120" s="14" t="b">
        <f>OR(LCI_Table[[#This Row],[Data Set]]="all",LCI_Table[[#This Row],[Data Set]]=SelectedDataSet)</f>
        <v>0</v>
      </c>
      <c r="J2120" s="14" t="b">
        <f>OR(LCI_Table[[#This Row],[Technology]]="All",LCI_Table[[#This Row],[Technology]]=SelectedTechnology)</f>
        <v>1</v>
      </c>
      <c r="K2120" s="14" t="b">
        <f>OR(LCI_Table[[#This Row],[Data Source]]="All",LCI_Table[[#This Row],[Data Source]]=SelectedDataSource)</f>
        <v>0</v>
      </c>
      <c r="L2120" s="14" t="b">
        <f>TRUE</f>
        <v>1</v>
      </c>
      <c r="M2120" s="14" t="b">
        <f>(LCI_Table[[#This Row],[Dev Notes]]="Do not display")</f>
        <v>0</v>
      </c>
      <c r="N2120" s="14" t="b">
        <f>AND(LCI_Table[[#This Row],[Show Feedstock]:[Conditional]],NOT(LCI_Table[[#This Row],[Hide Row]]))</f>
        <v>0</v>
      </c>
      <c r="O2120" s="14" t="b">
        <f>LCI_Table[[#This Row],[GREET1 Name Range]]=""</f>
        <v>0</v>
      </c>
      <c r="P2120" s="14" t="s">
        <v>14</v>
      </c>
      <c r="Q2120" s="14" t="s">
        <v>973</v>
      </c>
      <c r="R2120" s="14" t="s">
        <v>114</v>
      </c>
      <c r="S2120" s="37" cm="1">
        <f t="array" aca="1" ref="S21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3.7128983642928577</v>
      </c>
      <c r="T2120" s="346" t="s">
        <v>1485</v>
      </c>
      <c r="U2120" s="347">
        <f t="shared" ca="1" si="143"/>
        <v>48</v>
      </c>
      <c r="V2120" s="347">
        <v>3.7128983642928577</v>
      </c>
      <c r="W2120" s="347">
        <v>48</v>
      </c>
      <c r="X2120" s="14" t="s">
        <v>12</v>
      </c>
      <c r="Y2120" s="346" t="s">
        <v>413</v>
      </c>
      <c r="Z2120" s="14" t="str">
        <f>IF(ISBLANK(LCI_Table[[#This Row],[Notes for user]])," ",LCI_Table[[#This Row],[Notes for user]])</f>
        <v xml:space="preserve"> </v>
      </c>
      <c r="AA2120" s="14"/>
      <c r="AB2120" s="14"/>
      <c r="AC2120" s="346">
        <f ca="1">LCI_Table[[#This Row],[Default Calculated Value]]-LCI_Table[[#This Row],[Calculated Value]]</f>
        <v>0</v>
      </c>
    </row>
    <row r="2121" spans="1:29" x14ac:dyDescent="0.3">
      <c r="A21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ATJICAOMIT(blank)_Sugarcane_Residual_oilResidual oil</v>
      </c>
      <c r="B2121" s="14" t="s">
        <v>447</v>
      </c>
      <c r="C2121" s="14" t="s">
        <v>883</v>
      </c>
      <c r="D2121" s="14" t="s">
        <v>194</v>
      </c>
      <c r="E2121" s="14" t="s">
        <v>377</v>
      </c>
      <c r="F2121" s="48" t="s">
        <v>31</v>
      </c>
      <c r="G2121" s="14" t="b">
        <f>OR(LCI_Table[[#This Row],[Feedstock]]="All",LCI_Table[[#This Row],[Feedstock]]=SelectedFeedstock)</f>
        <v>0</v>
      </c>
      <c r="H2121" s="14" t="b">
        <f>OR(LCI_Table[[#This Row],[Conversion]]="All",LCI_Table[[#This Row],[Conversion]]=SelectedConversion)</f>
        <v>0</v>
      </c>
      <c r="I2121" s="14" t="b">
        <f>OR(LCI_Table[[#This Row],[Data Set]]="all",LCI_Table[[#This Row],[Data Set]]=SelectedDataSet)</f>
        <v>0</v>
      </c>
      <c r="J2121" s="14" t="b">
        <f>OR(LCI_Table[[#This Row],[Technology]]="All",LCI_Table[[#This Row],[Technology]]=SelectedTechnology)</f>
        <v>1</v>
      </c>
      <c r="K2121" s="14" t="b">
        <f>OR(LCI_Table[[#This Row],[Data Source]]="All",LCI_Table[[#This Row],[Data Source]]=SelectedDataSource)</f>
        <v>0</v>
      </c>
      <c r="L2121" s="14" t="b">
        <f>TRUE</f>
        <v>1</v>
      </c>
      <c r="M2121" s="14" t="b">
        <f>(LCI_Table[[#This Row],[Dev Notes]]="Do not display")</f>
        <v>0</v>
      </c>
      <c r="N2121" s="14" t="b">
        <f>AND(LCI_Table[[#This Row],[Show Feedstock]:[Conditional]],NOT(LCI_Table[[#This Row],[Hide Row]]))</f>
        <v>0</v>
      </c>
      <c r="O2121" s="14" t="b">
        <f>LCI_Table[[#This Row],[GREET1 Name Range]]=""</f>
        <v>0</v>
      </c>
      <c r="P2121" s="14" t="s">
        <v>14</v>
      </c>
      <c r="Q2121" s="14" t="s">
        <v>974</v>
      </c>
      <c r="R2121" s="14" t="s">
        <v>115</v>
      </c>
      <c r="S2121" s="37" cm="1">
        <f t="array" aca="1" ref="S21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21" s="346" t="s">
        <v>1484</v>
      </c>
      <c r="U2121" s="347">
        <f ca="1">$S2121/$S$2114*Fuel_Specs!$B$28/ton2MT</f>
        <v>0</v>
      </c>
      <c r="V2121" s="347">
        <v>0</v>
      </c>
      <c r="W2121" s="347">
        <v>0</v>
      </c>
      <c r="X2121" s="14" t="s">
        <v>5</v>
      </c>
      <c r="Y2121" s="346" t="s">
        <v>413</v>
      </c>
      <c r="Z2121" s="14" t="str">
        <f>IF(ISBLANK(LCI_Table[[#This Row],[Notes for user]])," ",LCI_Table[[#This Row],[Notes for user]])</f>
        <v xml:space="preserve"> </v>
      </c>
      <c r="AA2121" s="14"/>
      <c r="AB2121" s="14"/>
      <c r="AC2121" s="346">
        <f ca="1">LCI_Table[[#This Row],[Default Calculated Value]]-LCI_Table[[#This Row],[Calculated Value]]</f>
        <v>0</v>
      </c>
    </row>
    <row r="2122" spans="1:29" x14ac:dyDescent="0.3">
      <c r="A21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ATJICAOMIT(blank)_Sugarcane_DieselDiesel</v>
      </c>
      <c r="B2122" s="14" t="s">
        <v>447</v>
      </c>
      <c r="C2122" s="14" t="s">
        <v>883</v>
      </c>
      <c r="D2122" s="14" t="s">
        <v>194</v>
      </c>
      <c r="E2122" s="14" t="s">
        <v>377</v>
      </c>
      <c r="F2122" s="48" t="s">
        <v>31</v>
      </c>
      <c r="G2122" s="14" t="b">
        <f>OR(LCI_Table[[#This Row],[Feedstock]]="All",LCI_Table[[#This Row],[Feedstock]]=SelectedFeedstock)</f>
        <v>0</v>
      </c>
      <c r="H2122" s="14" t="b">
        <f>OR(LCI_Table[[#This Row],[Conversion]]="All",LCI_Table[[#This Row],[Conversion]]=SelectedConversion)</f>
        <v>0</v>
      </c>
      <c r="I2122" s="14" t="b">
        <f>OR(LCI_Table[[#This Row],[Data Set]]="all",LCI_Table[[#This Row],[Data Set]]=SelectedDataSet)</f>
        <v>0</v>
      </c>
      <c r="J2122" s="14" t="b">
        <f>OR(LCI_Table[[#This Row],[Technology]]="All",LCI_Table[[#This Row],[Technology]]=SelectedTechnology)</f>
        <v>1</v>
      </c>
      <c r="K2122" s="14" t="b">
        <f>OR(LCI_Table[[#This Row],[Data Source]]="All",LCI_Table[[#This Row],[Data Source]]=SelectedDataSource)</f>
        <v>0</v>
      </c>
      <c r="L2122" s="14" t="b">
        <f>TRUE</f>
        <v>1</v>
      </c>
      <c r="M2122" s="14" t="b">
        <f>(LCI_Table[[#This Row],[Dev Notes]]="Do not display")</f>
        <v>0</v>
      </c>
      <c r="N2122" s="14" t="b">
        <f>AND(LCI_Table[[#This Row],[Show Feedstock]:[Conditional]],NOT(LCI_Table[[#This Row],[Hide Row]]))</f>
        <v>0</v>
      </c>
      <c r="O2122" s="14" t="b">
        <f>LCI_Table[[#This Row],[GREET1 Name Range]]=""</f>
        <v>0</v>
      </c>
      <c r="P2122" s="14" t="s">
        <v>14</v>
      </c>
      <c r="Q2122" s="14" t="s">
        <v>975</v>
      </c>
      <c r="R2122" s="14" t="s">
        <v>106</v>
      </c>
      <c r="S2122" s="37" cm="1">
        <f t="array" aca="1" ref="S21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9.9416674129717642</v>
      </c>
      <c r="T2122" s="346" t="s">
        <v>1484</v>
      </c>
      <c r="U2122" s="347">
        <f ca="1">$S2122/$S$2114*Fuel_Specs!$B$19/ton2MT</f>
        <v>36396.177510413232</v>
      </c>
      <c r="V2122" s="347">
        <v>9.9416674129717642</v>
      </c>
      <c r="W2122" s="347">
        <v>36396.177510413232</v>
      </c>
      <c r="X2122" s="14" t="s">
        <v>5</v>
      </c>
      <c r="Y2122" s="346" t="s">
        <v>413</v>
      </c>
      <c r="Z2122" s="14" t="str">
        <f>IF(ISBLANK(LCI_Table[[#This Row],[Notes for user]])," ",LCI_Table[[#This Row],[Notes for user]])</f>
        <v xml:space="preserve"> </v>
      </c>
      <c r="AA2122" s="14"/>
      <c r="AB2122" s="14"/>
      <c r="AC2122" s="346">
        <f ca="1">LCI_Table[[#This Row],[Default Calculated Value]]-LCI_Table[[#This Row],[Calculated Value]]</f>
        <v>0</v>
      </c>
    </row>
    <row r="2123" spans="1:29" x14ac:dyDescent="0.3">
      <c r="A21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ATJICAOMIT(blank)_Sugarcane_GasolineGasoline</v>
      </c>
      <c r="B2123" s="14" t="s">
        <v>447</v>
      </c>
      <c r="C2123" s="14" t="s">
        <v>883</v>
      </c>
      <c r="D2123" s="14" t="s">
        <v>194</v>
      </c>
      <c r="E2123" s="14" t="s">
        <v>377</v>
      </c>
      <c r="F2123" s="48" t="s">
        <v>31</v>
      </c>
      <c r="G2123" s="14" t="b">
        <f>OR(LCI_Table[[#This Row],[Feedstock]]="All",LCI_Table[[#This Row],[Feedstock]]=SelectedFeedstock)</f>
        <v>0</v>
      </c>
      <c r="H2123" s="14" t="b">
        <f>OR(LCI_Table[[#This Row],[Conversion]]="All",LCI_Table[[#This Row],[Conversion]]=SelectedConversion)</f>
        <v>0</v>
      </c>
      <c r="I2123" s="14" t="b">
        <f>OR(LCI_Table[[#This Row],[Data Set]]="all",LCI_Table[[#This Row],[Data Set]]=SelectedDataSet)</f>
        <v>0</v>
      </c>
      <c r="J2123" s="14" t="b">
        <f>OR(LCI_Table[[#This Row],[Technology]]="All",LCI_Table[[#This Row],[Technology]]=SelectedTechnology)</f>
        <v>1</v>
      </c>
      <c r="K2123" s="14" t="b">
        <f>OR(LCI_Table[[#This Row],[Data Source]]="All",LCI_Table[[#This Row],[Data Source]]=SelectedDataSource)</f>
        <v>0</v>
      </c>
      <c r="L2123" s="14" t="b">
        <f>TRUE</f>
        <v>1</v>
      </c>
      <c r="M2123" s="14" t="b">
        <f>(LCI_Table[[#This Row],[Dev Notes]]="Do not display")</f>
        <v>0</v>
      </c>
      <c r="N2123" s="14" t="b">
        <f>AND(LCI_Table[[#This Row],[Show Feedstock]:[Conditional]],NOT(LCI_Table[[#This Row],[Hide Row]]))</f>
        <v>0</v>
      </c>
      <c r="O2123" s="14" t="b">
        <f>LCI_Table[[#This Row],[GREET1 Name Range]]=""</f>
        <v>0</v>
      </c>
      <c r="P2123" s="14" t="s">
        <v>14</v>
      </c>
      <c r="Q2123" s="14" t="s">
        <v>976</v>
      </c>
      <c r="R2123" s="14" t="s">
        <v>107</v>
      </c>
      <c r="S2123" s="37" cm="1">
        <f t="array" aca="1" ref="S21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23" s="346" t="s">
        <v>1484</v>
      </c>
      <c r="U2123" s="347">
        <f ca="1">$S2123/$S$2114*Fuel_Specs!$B$15/ton2MT</f>
        <v>0</v>
      </c>
      <c r="V2123" s="347">
        <v>0</v>
      </c>
      <c r="W2123" s="347">
        <v>0</v>
      </c>
      <c r="X2123" s="14" t="s">
        <v>5</v>
      </c>
      <c r="Y2123" s="346" t="s">
        <v>413</v>
      </c>
      <c r="Z2123" s="14" t="str">
        <f>IF(ISBLANK(LCI_Table[[#This Row],[Notes for user]])," ",LCI_Table[[#This Row],[Notes for user]])</f>
        <v xml:space="preserve"> </v>
      </c>
      <c r="AA2123" s="14"/>
      <c r="AB2123" s="14"/>
      <c r="AC2123" s="346">
        <f ca="1">LCI_Table[[#This Row],[Default Calculated Value]]-LCI_Table[[#This Row],[Calculated Value]]</f>
        <v>0</v>
      </c>
    </row>
    <row r="2124" spans="1:29" x14ac:dyDescent="0.3">
      <c r="A21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ATJICAOMIT(blank)_Sugarcane_Natural_gasNatural gas</v>
      </c>
      <c r="B2124" s="14" t="s">
        <v>447</v>
      </c>
      <c r="C2124" s="14" t="s">
        <v>883</v>
      </c>
      <c r="D2124" s="14" t="s">
        <v>194</v>
      </c>
      <c r="E2124" s="14" t="s">
        <v>377</v>
      </c>
      <c r="F2124" s="48" t="s">
        <v>31</v>
      </c>
      <c r="G2124" s="14" t="b">
        <f>OR(LCI_Table[[#This Row],[Feedstock]]="All",LCI_Table[[#This Row],[Feedstock]]=SelectedFeedstock)</f>
        <v>0</v>
      </c>
      <c r="H2124" s="14" t="b">
        <f>OR(LCI_Table[[#This Row],[Conversion]]="All",LCI_Table[[#This Row],[Conversion]]=SelectedConversion)</f>
        <v>0</v>
      </c>
      <c r="I2124" s="14" t="b">
        <f>OR(LCI_Table[[#This Row],[Data Set]]="all",LCI_Table[[#This Row],[Data Set]]=SelectedDataSet)</f>
        <v>0</v>
      </c>
      <c r="J2124" s="14" t="b">
        <f>OR(LCI_Table[[#This Row],[Technology]]="All",LCI_Table[[#This Row],[Technology]]=SelectedTechnology)</f>
        <v>1</v>
      </c>
      <c r="K2124" s="14" t="b">
        <f>OR(LCI_Table[[#This Row],[Data Source]]="All",LCI_Table[[#This Row],[Data Source]]=SelectedDataSource)</f>
        <v>0</v>
      </c>
      <c r="L2124" s="14" t="b">
        <f>TRUE</f>
        <v>1</v>
      </c>
      <c r="M2124" s="14" t="b">
        <f>(LCI_Table[[#This Row],[Dev Notes]]="Do not display")</f>
        <v>0</v>
      </c>
      <c r="N2124" s="14" t="b">
        <f>AND(LCI_Table[[#This Row],[Show Feedstock]:[Conditional]],NOT(LCI_Table[[#This Row],[Hide Row]]))</f>
        <v>0</v>
      </c>
      <c r="O2124" s="14" t="b">
        <f>LCI_Table[[#This Row],[GREET1 Name Range]]=""</f>
        <v>0</v>
      </c>
      <c r="P2124" s="14" t="s">
        <v>14</v>
      </c>
      <c r="Q2124" s="14" t="s">
        <v>977</v>
      </c>
      <c r="R2124" s="14" t="s">
        <v>108</v>
      </c>
      <c r="S2124" s="37" cm="1">
        <f t="array" aca="1" ref="S21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24" s="346" t="s">
        <v>2109</v>
      </c>
      <c r="U2124" s="347">
        <f ca="1">$S2124/$S$2114*Fuel_Specs!$B$79/ton2MT</f>
        <v>0</v>
      </c>
      <c r="V2124" s="347">
        <v>0</v>
      </c>
      <c r="W2124" s="347">
        <v>0</v>
      </c>
      <c r="X2124" s="14" t="s">
        <v>351</v>
      </c>
      <c r="Y2124" s="346" t="s">
        <v>413</v>
      </c>
      <c r="Z2124" s="14" t="str">
        <f>IF(ISBLANK(LCI_Table[[#This Row],[Notes for user]])," ",LCI_Table[[#This Row],[Notes for user]])</f>
        <v xml:space="preserve"> </v>
      </c>
      <c r="AA2124" s="14"/>
      <c r="AB2124" s="14"/>
      <c r="AC2124" s="346">
        <f ca="1">LCI_Table[[#This Row],[Default Calculated Value]]-LCI_Table[[#This Row],[Calculated Value]]</f>
        <v>0</v>
      </c>
    </row>
    <row r="2125" spans="1:29" x14ac:dyDescent="0.3">
      <c r="A21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ATJICAOMIT(blank)_Sugarcane_CoalCoal</v>
      </c>
      <c r="B2125" s="14" t="s">
        <v>447</v>
      </c>
      <c r="C2125" s="14" t="s">
        <v>883</v>
      </c>
      <c r="D2125" s="14" t="s">
        <v>194</v>
      </c>
      <c r="E2125" s="14" t="s">
        <v>377</v>
      </c>
      <c r="F2125" s="48" t="s">
        <v>31</v>
      </c>
      <c r="G2125" s="14" t="b">
        <f>OR(LCI_Table[[#This Row],[Feedstock]]="All",LCI_Table[[#This Row],[Feedstock]]=SelectedFeedstock)</f>
        <v>0</v>
      </c>
      <c r="H2125" s="14" t="b">
        <f>OR(LCI_Table[[#This Row],[Conversion]]="All",LCI_Table[[#This Row],[Conversion]]=SelectedConversion)</f>
        <v>0</v>
      </c>
      <c r="I2125" s="14" t="b">
        <f>OR(LCI_Table[[#This Row],[Data Set]]="all",LCI_Table[[#This Row],[Data Set]]=SelectedDataSet)</f>
        <v>0</v>
      </c>
      <c r="J2125" s="14" t="b">
        <f>OR(LCI_Table[[#This Row],[Technology]]="All",LCI_Table[[#This Row],[Technology]]=SelectedTechnology)</f>
        <v>1</v>
      </c>
      <c r="K2125" s="14" t="b">
        <f>OR(LCI_Table[[#This Row],[Data Source]]="All",LCI_Table[[#This Row],[Data Source]]=SelectedDataSource)</f>
        <v>0</v>
      </c>
      <c r="L2125" s="14" t="b">
        <f>TRUE</f>
        <v>1</v>
      </c>
      <c r="M2125" s="14" t="b">
        <f>(LCI_Table[[#This Row],[Dev Notes]]="Do not display")</f>
        <v>0</v>
      </c>
      <c r="N2125" s="14" t="b">
        <f>AND(LCI_Table[[#This Row],[Show Feedstock]:[Conditional]],NOT(LCI_Table[[#This Row],[Hide Row]]))</f>
        <v>0</v>
      </c>
      <c r="O2125" s="14" t="b">
        <f>LCI_Table[[#This Row],[GREET1 Name Range]]=""</f>
        <v>0</v>
      </c>
      <c r="P2125" s="14" t="s">
        <v>14</v>
      </c>
      <c r="Q2125" s="14" t="s">
        <v>978</v>
      </c>
      <c r="R2125" s="14" t="s">
        <v>9</v>
      </c>
      <c r="S2125" s="37" cm="1">
        <f t="array" aca="1" ref="S21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25" s="346" t="s">
        <v>2110</v>
      </c>
      <c r="U2125" s="347">
        <f ca="1">S2125/$S$2114/ton2MT</f>
        <v>0</v>
      </c>
      <c r="V2125" s="347">
        <v>0</v>
      </c>
      <c r="W2125" s="347">
        <v>0</v>
      </c>
      <c r="X2125" s="14" t="s">
        <v>117</v>
      </c>
      <c r="Y2125" s="346" t="s">
        <v>413</v>
      </c>
      <c r="Z2125" s="14" t="str">
        <f>IF(ISBLANK(LCI_Table[[#This Row],[Notes for user]])," ",LCI_Table[[#This Row],[Notes for user]])</f>
        <v xml:space="preserve"> </v>
      </c>
      <c r="AA2125" s="14"/>
      <c r="AB2125" s="14"/>
      <c r="AC2125" s="346">
        <f ca="1">LCI_Table[[#This Row],[Default Calculated Value]]-LCI_Table[[#This Row],[Calculated Value]]</f>
        <v>0</v>
      </c>
    </row>
    <row r="2126" spans="1:29" x14ac:dyDescent="0.3">
      <c r="A21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ATJICAOMIT(blank)_Sugarcane_LPGLPG</v>
      </c>
      <c r="B2126" s="14" t="s">
        <v>447</v>
      </c>
      <c r="C2126" s="14" t="s">
        <v>883</v>
      </c>
      <c r="D2126" s="14" t="s">
        <v>194</v>
      </c>
      <c r="E2126" s="14" t="s">
        <v>377</v>
      </c>
      <c r="F2126" s="48" t="s">
        <v>31</v>
      </c>
      <c r="G2126" s="14" t="b">
        <f>OR(LCI_Table[[#This Row],[Feedstock]]="All",LCI_Table[[#This Row],[Feedstock]]=SelectedFeedstock)</f>
        <v>0</v>
      </c>
      <c r="H2126" s="14" t="b">
        <f>OR(LCI_Table[[#This Row],[Conversion]]="All",LCI_Table[[#This Row],[Conversion]]=SelectedConversion)</f>
        <v>0</v>
      </c>
      <c r="I2126" s="14" t="b">
        <f>OR(LCI_Table[[#This Row],[Data Set]]="all",LCI_Table[[#This Row],[Data Set]]=SelectedDataSet)</f>
        <v>0</v>
      </c>
      <c r="J2126" s="14" t="b">
        <f>OR(LCI_Table[[#This Row],[Technology]]="All",LCI_Table[[#This Row],[Technology]]=SelectedTechnology)</f>
        <v>1</v>
      </c>
      <c r="K2126" s="14" t="b">
        <f>OR(LCI_Table[[#This Row],[Data Source]]="All",LCI_Table[[#This Row],[Data Source]]=SelectedDataSource)</f>
        <v>0</v>
      </c>
      <c r="L2126" s="14" t="b">
        <f>TRUE</f>
        <v>1</v>
      </c>
      <c r="M2126" s="14" t="b">
        <f>(LCI_Table[[#This Row],[Dev Notes]]="Do not display")</f>
        <v>0</v>
      </c>
      <c r="N2126" s="14" t="b">
        <f>AND(LCI_Table[[#This Row],[Show Feedstock]:[Conditional]],NOT(LCI_Table[[#This Row],[Hide Row]]))</f>
        <v>0</v>
      </c>
      <c r="O2126" s="14" t="b">
        <f>LCI_Table[[#This Row],[GREET1 Name Range]]=""</f>
        <v>0</v>
      </c>
      <c r="P2126" s="14" t="s">
        <v>14</v>
      </c>
      <c r="Q2126" s="14" t="s">
        <v>979</v>
      </c>
      <c r="R2126" s="14" t="s">
        <v>109</v>
      </c>
      <c r="S2126" s="37" cm="1">
        <f t="array" aca="1" ref="S21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26" s="346" t="s">
        <v>1484</v>
      </c>
      <c r="U2126" s="347">
        <f ca="1">$S2126/$S$2114*Fuel_Specs!$B$35/ton2MT</f>
        <v>0</v>
      </c>
      <c r="V2126" s="347">
        <v>0</v>
      </c>
      <c r="W2126" s="347">
        <v>0</v>
      </c>
      <c r="X2126" s="14" t="s">
        <v>5</v>
      </c>
      <c r="Y2126" s="346" t="s">
        <v>413</v>
      </c>
      <c r="Z2126" s="14" t="str">
        <f>IF(ISBLANK(LCI_Table[[#This Row],[Notes for user]])," ",LCI_Table[[#This Row],[Notes for user]])</f>
        <v xml:space="preserve"> </v>
      </c>
      <c r="AA2126" s="14"/>
      <c r="AB2126" s="14"/>
      <c r="AC2126" s="346">
        <f ca="1">LCI_Table[[#This Row],[Default Calculated Value]]-LCI_Table[[#This Row],[Calculated Value]]</f>
        <v>0</v>
      </c>
    </row>
    <row r="2127" spans="1:29" x14ac:dyDescent="0.3">
      <c r="A21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ATJICAOMIT(blank)_Sugarcane_ElectricityElectricity</v>
      </c>
      <c r="B2127" s="14" t="s">
        <v>447</v>
      </c>
      <c r="C2127" s="14" t="s">
        <v>883</v>
      </c>
      <c r="D2127" s="14" t="s">
        <v>194</v>
      </c>
      <c r="E2127" s="14" t="s">
        <v>377</v>
      </c>
      <c r="F2127" s="48" t="s">
        <v>31</v>
      </c>
      <c r="G2127" s="14" t="b">
        <f>OR(LCI_Table[[#This Row],[Feedstock]]="All",LCI_Table[[#This Row],[Feedstock]]=SelectedFeedstock)</f>
        <v>0</v>
      </c>
      <c r="H2127" s="14" t="b">
        <f>OR(LCI_Table[[#This Row],[Conversion]]="All",LCI_Table[[#This Row],[Conversion]]=SelectedConversion)</f>
        <v>0</v>
      </c>
      <c r="I2127" s="14" t="b">
        <f>OR(LCI_Table[[#This Row],[Data Set]]="all",LCI_Table[[#This Row],[Data Set]]=SelectedDataSet)</f>
        <v>0</v>
      </c>
      <c r="J2127" s="14" t="b">
        <f>OR(LCI_Table[[#This Row],[Technology]]="All",LCI_Table[[#This Row],[Technology]]=SelectedTechnology)</f>
        <v>1</v>
      </c>
      <c r="K2127" s="14" t="b">
        <f>OR(LCI_Table[[#This Row],[Data Source]]="All",LCI_Table[[#This Row],[Data Source]]=SelectedDataSource)</f>
        <v>0</v>
      </c>
      <c r="L2127" s="14" t="b">
        <f>TRUE</f>
        <v>1</v>
      </c>
      <c r="M2127" s="14" t="b">
        <f>(LCI_Table[[#This Row],[Dev Notes]]="Do not display")</f>
        <v>0</v>
      </c>
      <c r="N2127" s="14" t="b">
        <f>AND(LCI_Table[[#This Row],[Show Feedstock]:[Conditional]],NOT(LCI_Table[[#This Row],[Hide Row]]))</f>
        <v>0</v>
      </c>
      <c r="O2127" s="14" t="b">
        <f>LCI_Table[[#This Row],[GREET1 Name Range]]=""</f>
        <v>0</v>
      </c>
      <c r="P2127" s="14" t="s">
        <v>14</v>
      </c>
      <c r="Q2127" s="14" t="s">
        <v>980</v>
      </c>
      <c r="R2127" s="348" t="s">
        <v>110</v>
      </c>
      <c r="S2127" s="37" cm="1">
        <f t="array" aca="1" ref="S21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27" s="346" t="s">
        <v>1561</v>
      </c>
      <c r="U2127" s="347">
        <f ca="1">S2127/BTU2kWh/$S$2114/ton2MT</f>
        <v>0</v>
      </c>
      <c r="V2127" s="347">
        <v>0</v>
      </c>
      <c r="W2127" s="347">
        <v>0</v>
      </c>
      <c r="X2127" s="14" t="s">
        <v>51</v>
      </c>
      <c r="Y2127" s="346" t="s">
        <v>413</v>
      </c>
      <c r="Z2127" s="14" t="str">
        <f>IF(ISBLANK(LCI_Table[[#This Row],[Notes for user]])," ",LCI_Table[[#This Row],[Notes for user]])</f>
        <v xml:space="preserve"> </v>
      </c>
      <c r="AA2127" s="14"/>
      <c r="AB2127" s="14"/>
      <c r="AC2127" s="346">
        <f ca="1">LCI_Table[[#This Row],[Default Calculated Value]]-LCI_Table[[#This Row],[Calculated Value]]</f>
        <v>0</v>
      </c>
    </row>
    <row r="2128" spans="1:29" x14ac:dyDescent="0.3">
      <c r="A21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ATJICAOMIT(blank)_Sugarcane_BiodieselBiodiesel</v>
      </c>
      <c r="B2128" s="14" t="s">
        <v>447</v>
      </c>
      <c r="C2128" s="14" t="s">
        <v>883</v>
      </c>
      <c r="D2128" s="14" t="s">
        <v>194</v>
      </c>
      <c r="E2128" s="14" t="s">
        <v>377</v>
      </c>
      <c r="F2128" s="48" t="s">
        <v>31</v>
      </c>
      <c r="G2128" s="14" t="b">
        <f>OR(LCI_Table[[#This Row],[Feedstock]]="All",LCI_Table[[#This Row],[Feedstock]]=SelectedFeedstock)</f>
        <v>0</v>
      </c>
      <c r="H2128" s="14" t="b">
        <f>OR(LCI_Table[[#This Row],[Conversion]]="All",LCI_Table[[#This Row],[Conversion]]=SelectedConversion)</f>
        <v>0</v>
      </c>
      <c r="I2128" s="14" t="b">
        <f>OR(LCI_Table[[#This Row],[Data Set]]="all",LCI_Table[[#This Row],[Data Set]]=SelectedDataSet)</f>
        <v>0</v>
      </c>
      <c r="J2128" s="14" t="b">
        <f>OR(LCI_Table[[#This Row],[Technology]]="All",LCI_Table[[#This Row],[Technology]]=SelectedTechnology)</f>
        <v>1</v>
      </c>
      <c r="K2128" s="14" t="b">
        <f>OR(LCI_Table[[#This Row],[Data Source]]="All",LCI_Table[[#This Row],[Data Source]]=SelectedDataSource)</f>
        <v>0</v>
      </c>
      <c r="L2128" s="14" t="b">
        <f>TRUE</f>
        <v>1</v>
      </c>
      <c r="M2128" s="14" t="b">
        <f>(LCI_Table[[#This Row],[Dev Notes]]="Do not display")</f>
        <v>0</v>
      </c>
      <c r="N2128" s="14" t="b">
        <f>AND(LCI_Table[[#This Row],[Show Feedstock]:[Conditional]],NOT(LCI_Table[[#This Row],[Hide Row]]))</f>
        <v>0</v>
      </c>
      <c r="O2128" s="14" t="b">
        <f>LCI_Table[[#This Row],[GREET1 Name Range]]=""</f>
        <v>0</v>
      </c>
      <c r="P2128" s="14" t="s">
        <v>14</v>
      </c>
      <c r="Q2128" s="14" t="s">
        <v>1393</v>
      </c>
      <c r="R2128" s="348" t="s">
        <v>1394</v>
      </c>
      <c r="S2128" s="37" cm="1">
        <f t="array" aca="1" ref="S21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28" s="346" t="s">
        <v>1484</v>
      </c>
      <c r="U2128" s="347">
        <f ca="1">S2128/BTU2kWh/$S$2114/ton2MT</f>
        <v>0</v>
      </c>
      <c r="V2128" s="347">
        <v>0</v>
      </c>
      <c r="W2128" s="347">
        <v>0</v>
      </c>
      <c r="X2128" s="14" t="s">
        <v>5</v>
      </c>
      <c r="Y2128" s="346" t="s">
        <v>413</v>
      </c>
      <c r="Z2128" s="14" t="str">
        <f>IF(ISBLANK(LCI_Table[[#This Row],[Notes for user]])," ",LCI_Table[[#This Row],[Notes for user]])</f>
        <v xml:space="preserve"> </v>
      </c>
      <c r="AA2128" s="14"/>
      <c r="AB2128" s="14"/>
      <c r="AC2128" s="346">
        <f ca="1">LCI_Table[[#This Row],[Default Calculated Value]]-LCI_Table[[#This Row],[Calculated Value]]</f>
        <v>0</v>
      </c>
    </row>
    <row r="2129" spans="1:29" x14ac:dyDescent="0.3">
      <c r="A21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ATJICAOMIT(blank)_Sugarcane_i_BuOH_ATJ_SugarcaneSugarcane</v>
      </c>
      <c r="B2129" s="14" t="s">
        <v>447</v>
      </c>
      <c r="C2129" s="14" t="s">
        <v>883</v>
      </c>
      <c r="D2129" s="14" t="s">
        <v>194</v>
      </c>
      <c r="E2129" s="14" t="s">
        <v>377</v>
      </c>
      <c r="F2129" s="48" t="s">
        <v>31</v>
      </c>
      <c r="G2129" s="14" t="b">
        <f>OR(LCI_Table[[#This Row],[Feedstock]]="All",LCI_Table[[#This Row],[Feedstock]]=SelectedFeedstock)</f>
        <v>0</v>
      </c>
      <c r="H2129" s="14" t="b">
        <f>OR(LCI_Table[[#This Row],[Conversion]]="All",LCI_Table[[#This Row],[Conversion]]=SelectedConversion)</f>
        <v>0</v>
      </c>
      <c r="I2129" s="14" t="b">
        <f>OR(LCI_Table[[#This Row],[Data Set]]="all",LCI_Table[[#This Row],[Data Set]]=SelectedDataSet)</f>
        <v>0</v>
      </c>
      <c r="J2129" s="14" t="b">
        <f>OR(LCI_Table[[#This Row],[Technology]]="All",LCI_Table[[#This Row],[Technology]]=SelectedTechnology)</f>
        <v>1</v>
      </c>
      <c r="K2129" s="14" t="b">
        <f>OR(LCI_Table[[#This Row],[Data Source]]="All",LCI_Table[[#This Row],[Data Source]]=SelectedDataSource)</f>
        <v>0</v>
      </c>
      <c r="L2129" s="14" t="b">
        <f>TRUE</f>
        <v>1</v>
      </c>
      <c r="M2129" s="14" t="b">
        <f>(LCI_Table[[#This Row],[Dev Notes]]="Do not display")</f>
        <v>0</v>
      </c>
      <c r="N2129" s="14" t="b">
        <f>AND(LCI_Table[[#This Row],[Show Feedstock]:[Conditional]],NOT(LCI_Table[[#This Row],[Hide Row]]))</f>
        <v>0</v>
      </c>
      <c r="O2129" s="14" t="b">
        <f>LCI_Table[[#This Row],[GREET1 Name Range]]=""</f>
        <v>0</v>
      </c>
      <c r="P2129" s="358" t="s">
        <v>1448</v>
      </c>
      <c r="Q2129" s="14" t="s">
        <v>1019</v>
      </c>
      <c r="R2129" s="14" t="s">
        <v>447</v>
      </c>
      <c r="S2129" s="37" cm="1">
        <f t="array" aca="1" ref="S21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1476.8253931580271</v>
      </c>
      <c r="T2129" s="346" t="s">
        <v>2119</v>
      </c>
      <c r="U2129" s="347">
        <f ca="1">S2129/kg2lb*MJ2mmBTU</f>
        <v>0.63492063492063466</v>
      </c>
      <c r="V2129" s="347">
        <v>1476.8253931580271</v>
      </c>
      <c r="W2129" s="347">
        <v>0.63492063492063466</v>
      </c>
      <c r="X2129" s="14" t="s">
        <v>12</v>
      </c>
      <c r="Y2129" s="346" t="s">
        <v>416</v>
      </c>
      <c r="Z2129" s="14" t="str">
        <f>IF(ISBLANK(LCI_Table[[#This Row],[Notes for user]])," ",LCI_Table[[#This Row],[Notes for user]])</f>
        <v xml:space="preserve"> </v>
      </c>
      <c r="AA2129" s="14"/>
      <c r="AB2129" s="358"/>
      <c r="AC2129" s="346">
        <f ca="1">LCI_Table[[#This Row],[Default Calculated Value]]-LCI_Table[[#This Row],[Calculated Value]]</f>
        <v>0</v>
      </c>
    </row>
    <row r="2130" spans="1:29" x14ac:dyDescent="0.3">
      <c r="A21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ATJICAOMIT(blank)_Sugarcane_i_BuOH_ATJ_Quicklime_CaOQuicklime (CaO)</v>
      </c>
      <c r="B2130" s="14" t="s">
        <v>447</v>
      </c>
      <c r="C2130" s="14" t="s">
        <v>883</v>
      </c>
      <c r="D2130" s="14" t="s">
        <v>194</v>
      </c>
      <c r="E2130" s="14" t="s">
        <v>377</v>
      </c>
      <c r="F2130" s="48" t="s">
        <v>31</v>
      </c>
      <c r="G2130" s="14" t="b">
        <f>OR(LCI_Table[[#This Row],[Feedstock]]="All",LCI_Table[[#This Row],[Feedstock]]=SelectedFeedstock)</f>
        <v>0</v>
      </c>
      <c r="H2130" s="14" t="b">
        <f>OR(LCI_Table[[#This Row],[Conversion]]="All",LCI_Table[[#This Row],[Conversion]]=SelectedConversion)</f>
        <v>0</v>
      </c>
      <c r="I2130" s="14" t="b">
        <f>OR(LCI_Table[[#This Row],[Data Set]]="all",LCI_Table[[#This Row],[Data Set]]=SelectedDataSet)</f>
        <v>0</v>
      </c>
      <c r="J2130" s="14" t="b">
        <f>OR(LCI_Table[[#This Row],[Technology]]="All",LCI_Table[[#This Row],[Technology]]=SelectedTechnology)</f>
        <v>1</v>
      </c>
      <c r="K2130" s="14" t="b">
        <f>OR(LCI_Table[[#This Row],[Data Source]]="All",LCI_Table[[#This Row],[Data Source]]=SelectedDataSource)</f>
        <v>0</v>
      </c>
      <c r="L2130" s="14" t="b">
        <f>TRUE</f>
        <v>1</v>
      </c>
      <c r="M2130" s="14" t="b">
        <f>(LCI_Table[[#This Row],[Dev Notes]]="Do not display")</f>
        <v>0</v>
      </c>
      <c r="N2130" s="14" t="b">
        <f>AND(LCI_Table[[#This Row],[Show Feedstock]:[Conditional]],NOT(LCI_Table[[#This Row],[Hide Row]]))</f>
        <v>0</v>
      </c>
      <c r="O2130" s="14" t="b">
        <f>LCI_Table[[#This Row],[GREET1 Name Range]]=""</f>
        <v>0</v>
      </c>
      <c r="P2130" s="358" t="s">
        <v>1448</v>
      </c>
      <c r="Q2130" s="14" t="s">
        <v>1020</v>
      </c>
      <c r="R2130" s="14" t="s">
        <v>404</v>
      </c>
      <c r="S2130" s="37" cm="1">
        <f t="array" aca="1" ref="S21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1.4293560055208048</v>
      </c>
      <c r="T2130" s="346" t="s">
        <v>2119</v>
      </c>
      <c r="U2130" s="347">
        <f ca="1">S2130/g2lb*MJ2mmBTU</f>
        <v>0.61451247165532863</v>
      </c>
      <c r="V2130" s="347">
        <v>1.4293560055208048</v>
      </c>
      <c r="W2130" s="347">
        <v>0.61451247165532863</v>
      </c>
      <c r="X2130" s="14" t="s">
        <v>12</v>
      </c>
      <c r="Y2130" s="346" t="s">
        <v>416</v>
      </c>
      <c r="Z2130" s="14" t="str">
        <f>IF(ISBLANK(LCI_Table[[#This Row],[Notes for user]])," ",LCI_Table[[#This Row],[Notes for user]])</f>
        <v xml:space="preserve"> </v>
      </c>
      <c r="AA2130" s="14"/>
      <c r="AB2130" s="14"/>
      <c r="AC2130" s="346">
        <f ca="1">LCI_Table[[#This Row],[Default Calculated Value]]-LCI_Table[[#This Row],[Calculated Value]]</f>
        <v>0</v>
      </c>
    </row>
    <row r="2131" spans="1:29" x14ac:dyDescent="0.3">
      <c r="A21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ATJICAOMIT(blank)_Sugarcane_i_BuOH_ATJ_HydrogenHydrogen</v>
      </c>
      <c r="B2131" s="14" t="s">
        <v>447</v>
      </c>
      <c r="C2131" s="14" t="s">
        <v>883</v>
      </c>
      <c r="D2131" s="358" t="s">
        <v>194</v>
      </c>
      <c r="E2131" s="358" t="s">
        <v>377</v>
      </c>
      <c r="F2131" s="48" t="s">
        <v>31</v>
      </c>
      <c r="G2131" s="14" t="b">
        <f>OR(LCI_Table[[#This Row],[Feedstock]]="All",LCI_Table[[#This Row],[Feedstock]]=SelectedFeedstock)</f>
        <v>0</v>
      </c>
      <c r="H2131" s="14" t="b">
        <f>OR(LCI_Table[[#This Row],[Conversion]]="All",LCI_Table[[#This Row],[Conversion]]=SelectedConversion)</f>
        <v>0</v>
      </c>
      <c r="I2131" s="14" t="b">
        <f>OR(LCI_Table[[#This Row],[Data Set]]="all",LCI_Table[[#This Row],[Data Set]]=SelectedDataSet)</f>
        <v>0</v>
      </c>
      <c r="J2131" s="14" t="b">
        <f>OR(LCI_Table[[#This Row],[Technology]]="All",LCI_Table[[#This Row],[Technology]]=SelectedTechnology)</f>
        <v>1</v>
      </c>
      <c r="K2131" s="14" t="b">
        <f>OR(LCI_Table[[#This Row],[Data Source]]="All",LCI_Table[[#This Row],[Data Source]]=SelectedDataSource)</f>
        <v>0</v>
      </c>
      <c r="L2131" s="14" t="b">
        <f>TRUE</f>
        <v>1</v>
      </c>
      <c r="M2131" s="14" t="b">
        <f>(LCI_Table[[#This Row],[Dev Notes]]="Do not display")</f>
        <v>0</v>
      </c>
      <c r="N2131" s="14" t="b">
        <f>AND(LCI_Table[[#This Row],[Show Feedstock]:[Conditional]],NOT(LCI_Table[[#This Row],[Hide Row]]))</f>
        <v>0</v>
      </c>
      <c r="O2131" s="14" t="b">
        <f>LCI_Table[[#This Row],[GREET1 Name Range]]=""</f>
        <v>0</v>
      </c>
      <c r="P2131" s="358" t="s">
        <v>1448</v>
      </c>
      <c r="Q2131" s="14" t="s">
        <v>1021</v>
      </c>
      <c r="R2131" s="358" t="s">
        <v>73</v>
      </c>
      <c r="S2131" s="37" cm="1">
        <f t="array" aca="1" ref="S21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138.85400008892444</v>
      </c>
      <c r="T2131" s="346" t="s">
        <v>2120</v>
      </c>
      <c r="U2131" s="347">
        <f ca="1">S2131*Fuel_Specs!$B$81/mmBTU2MJ</f>
        <v>38.166377662175975</v>
      </c>
      <c r="V2131" s="359">
        <v>138.85400008892444</v>
      </c>
      <c r="W2131" s="359">
        <v>38.166377662175975</v>
      </c>
      <c r="X2131" s="360" t="s">
        <v>351</v>
      </c>
      <c r="Y2131" s="346" t="s">
        <v>416</v>
      </c>
      <c r="Z2131" s="14" t="str">
        <f>IF(ISBLANK(LCI_Table[[#This Row],[Notes for user]])," ",LCI_Table[[#This Row],[Notes for user]])</f>
        <v xml:space="preserve"> </v>
      </c>
      <c r="AA2131" s="14"/>
      <c r="AB2131" s="358"/>
      <c r="AC2131" s="346">
        <f ca="1">LCI_Table[[#This Row],[Default Calculated Value]]-LCI_Table[[#This Row],[Calculated Value]]</f>
        <v>0</v>
      </c>
    </row>
    <row r="2132" spans="1:29" x14ac:dyDescent="0.3">
      <c r="A21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ATJICAOMIT(blank)_Sugarcane_i_BuOH_ATJ_Natural_gasNatural gas</v>
      </c>
      <c r="B2132" s="14" t="s">
        <v>447</v>
      </c>
      <c r="C2132" s="14" t="s">
        <v>883</v>
      </c>
      <c r="D2132" s="14" t="s">
        <v>194</v>
      </c>
      <c r="E2132" s="14" t="s">
        <v>377</v>
      </c>
      <c r="F2132" s="48" t="s">
        <v>31</v>
      </c>
      <c r="G2132" s="14" t="b">
        <f>OR(LCI_Table[[#This Row],[Feedstock]]="All",LCI_Table[[#This Row],[Feedstock]]=SelectedFeedstock)</f>
        <v>0</v>
      </c>
      <c r="H2132" s="14" t="b">
        <f>OR(LCI_Table[[#This Row],[Conversion]]="All",LCI_Table[[#This Row],[Conversion]]=SelectedConversion)</f>
        <v>0</v>
      </c>
      <c r="I2132" s="14" t="b">
        <f>OR(LCI_Table[[#This Row],[Data Set]]="all",LCI_Table[[#This Row],[Data Set]]=SelectedDataSet)</f>
        <v>0</v>
      </c>
      <c r="J2132" s="14" t="b">
        <f>OR(LCI_Table[[#This Row],[Technology]]="All",LCI_Table[[#This Row],[Technology]]=SelectedTechnology)</f>
        <v>1</v>
      </c>
      <c r="K2132" s="14" t="b">
        <f>OR(LCI_Table[[#This Row],[Data Source]]="All",LCI_Table[[#This Row],[Data Source]]=SelectedDataSource)</f>
        <v>0</v>
      </c>
      <c r="L2132" s="14" t="b">
        <f>TRUE</f>
        <v>1</v>
      </c>
      <c r="M2132" s="14" t="b">
        <f>(LCI_Table[[#This Row],[Dev Notes]]="Do not display")</f>
        <v>0</v>
      </c>
      <c r="N2132" s="14" t="b">
        <f>AND(LCI_Table[[#This Row],[Show Feedstock]:[Conditional]],NOT(LCI_Table[[#This Row],[Hide Row]]))</f>
        <v>0</v>
      </c>
      <c r="O2132" s="14" t="b">
        <f>LCI_Table[[#This Row],[GREET1 Name Range]]=""</f>
        <v>0</v>
      </c>
      <c r="P2132" s="14" t="s">
        <v>1448</v>
      </c>
      <c r="Q2132" s="14" t="s">
        <v>1022</v>
      </c>
      <c r="R2132" s="14" t="s">
        <v>108</v>
      </c>
      <c r="S2132" s="37" cm="1">
        <f t="array" aca="1" ref="S21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21.525940996948119</v>
      </c>
      <c r="T2132" s="346" t="s">
        <v>2120</v>
      </c>
      <c r="U2132" s="347">
        <f ca="1">S2132*Fuel_Specs!$B$79/mmBTU2MJ</f>
        <v>20.055810315634002</v>
      </c>
      <c r="V2132" s="347">
        <v>21.525940996948119</v>
      </c>
      <c r="W2132" s="347">
        <v>20.055810315634002</v>
      </c>
      <c r="X2132" s="14" t="s">
        <v>351</v>
      </c>
      <c r="Y2132" s="346" t="s">
        <v>416</v>
      </c>
      <c r="Z2132" s="14" t="str">
        <f>IF(ISBLANK(LCI_Table[[#This Row],[Notes for user]])," ",LCI_Table[[#This Row],[Notes for user]])</f>
        <v xml:space="preserve"> </v>
      </c>
      <c r="AA2132" s="14"/>
      <c r="AB2132" s="14"/>
      <c r="AC2132" s="346">
        <f ca="1">LCI_Table[[#This Row],[Default Calculated Value]]-LCI_Table[[#This Row],[Calculated Value]]</f>
        <v>0</v>
      </c>
    </row>
    <row r="2133" spans="1:29" x14ac:dyDescent="0.3">
      <c r="A21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ATJICAOMIT(blank)_Sugarcane_i_BuOH_ATJ_Allocation_FactorAllocation factor</v>
      </c>
      <c r="B2133" s="14" t="s">
        <v>447</v>
      </c>
      <c r="C2133" s="14" t="s">
        <v>883</v>
      </c>
      <c r="D2133" s="14" t="s">
        <v>194</v>
      </c>
      <c r="E2133" s="14" t="s">
        <v>377</v>
      </c>
      <c r="F2133" s="48" t="s">
        <v>31</v>
      </c>
      <c r="G2133" s="14" t="b">
        <f>OR(LCI_Table[[#This Row],[Feedstock]]="All",LCI_Table[[#This Row],[Feedstock]]=SelectedFeedstock)</f>
        <v>0</v>
      </c>
      <c r="H2133" s="14" t="b">
        <f>OR(LCI_Table[[#This Row],[Conversion]]="All",LCI_Table[[#This Row],[Conversion]]=SelectedConversion)</f>
        <v>0</v>
      </c>
      <c r="I2133" s="14" t="b">
        <f>OR(LCI_Table[[#This Row],[Data Set]]="all",LCI_Table[[#This Row],[Data Set]]=SelectedDataSet)</f>
        <v>0</v>
      </c>
      <c r="J2133" s="14" t="b">
        <f>OR(LCI_Table[[#This Row],[Technology]]="All",LCI_Table[[#This Row],[Technology]]=SelectedTechnology)</f>
        <v>1</v>
      </c>
      <c r="K2133" s="14" t="b">
        <f>OR(LCI_Table[[#This Row],[Data Source]]="All",LCI_Table[[#This Row],[Data Source]]=SelectedDataSource)</f>
        <v>0</v>
      </c>
      <c r="L2133" s="14" t="b">
        <f>TRUE</f>
        <v>1</v>
      </c>
      <c r="M2133" s="14" t="b">
        <f>(LCI_Table[[#This Row],[Dev Notes]]="Do not display")</f>
        <v>0</v>
      </c>
      <c r="N2133" s="14" t="b">
        <f>AND(LCI_Table[[#This Row],[Show Feedstock]:[Conditional]],NOT(LCI_Table[[#This Row],[Hide Row]]))</f>
        <v>0</v>
      </c>
      <c r="O2133" s="14" t="b">
        <f>LCI_Table[[#This Row],[GREET1 Name Range]]=""</f>
        <v>0</v>
      </c>
      <c r="P2133" s="14" t="s">
        <v>1448</v>
      </c>
      <c r="Q2133" s="14" t="s">
        <v>1097</v>
      </c>
      <c r="R2133" s="14" t="s">
        <v>1344</v>
      </c>
      <c r="S2133" s="37" cm="1">
        <f t="array" aca="1" ref="S21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83.10719131614654</v>
      </c>
      <c r="T2133" s="346" t="s">
        <v>1345</v>
      </c>
      <c r="U2133" s="347">
        <f ca="1">LCI_Table[[#This Row],[Dashboard Value]]/100</f>
        <v>0.83107191316146545</v>
      </c>
      <c r="V2133" s="347">
        <v>83.10719131614654</v>
      </c>
      <c r="W2133" s="347">
        <v>0.83107191316146545</v>
      </c>
      <c r="X2133" s="14"/>
      <c r="Y2133" s="346"/>
      <c r="Z2133" s="14" t="str">
        <f>IF(ISBLANK(LCI_Table[[#This Row],[Notes for user]])," ",LCI_Table[[#This Row],[Notes for user]])</f>
        <v xml:space="preserve"> </v>
      </c>
      <c r="AA2133" s="14"/>
      <c r="AB2133" s="14"/>
      <c r="AC2133" s="346">
        <f ca="1">LCI_Table[[#This Row],[Default Calculated Value]]-LCI_Table[[#This Row],[Calculated Value]]</f>
        <v>0</v>
      </c>
    </row>
    <row r="2134" spans="1:29" x14ac:dyDescent="0.3">
      <c r="A21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dash_Sugarcanei-BuOH ATJICAOJRC(blank)_Yield_Farming</v>
      </c>
      <c r="B2134" s="48" t="s">
        <v>447</v>
      </c>
      <c r="C2134" s="48" t="s">
        <v>883</v>
      </c>
      <c r="D2134" s="48" t="s">
        <v>194</v>
      </c>
      <c r="E2134" s="48" t="s">
        <v>355</v>
      </c>
      <c r="F2134" s="48" t="s">
        <v>31</v>
      </c>
      <c r="G2134" s="14" t="b">
        <f>OR(LCI_Table[[#This Row],[Feedstock]]="All",LCI_Table[[#This Row],[Feedstock]]=SelectedFeedstock)</f>
        <v>0</v>
      </c>
      <c r="H2134" s="14" t="b">
        <f>OR(LCI_Table[[#This Row],[Conversion]]="All",LCI_Table[[#This Row],[Conversion]]=SelectedConversion)</f>
        <v>0</v>
      </c>
      <c r="I2134" s="14" t="b">
        <f>OR(LCI_Table[[#This Row],[Data Set]]="all",LCI_Table[[#This Row],[Data Set]]=SelectedDataSet)</f>
        <v>0</v>
      </c>
      <c r="J2134" s="14" t="b">
        <f>OR(LCI_Table[[#This Row],[Technology]]="All",LCI_Table[[#This Row],[Technology]]=SelectedTechnology)</f>
        <v>1</v>
      </c>
      <c r="K2134" s="14" t="b">
        <f>OR(LCI_Table[[#This Row],[Data Source]]="All",LCI_Table[[#This Row],[Data Source]]=SelectedDataSource)</f>
        <v>0</v>
      </c>
      <c r="L2134" s="14" t="b">
        <f>TRUE</f>
        <v>1</v>
      </c>
      <c r="M2134" s="14" t="b">
        <f>(LCI_Table[[#This Row],[Dev Notes]]="Do not display")</f>
        <v>0</v>
      </c>
      <c r="N2134" s="14" t="b">
        <f>AND(LCI_Table[[#This Row],[Show Feedstock]:[Conditional]],NOT(LCI_Table[[#This Row],[Hide Row]]))</f>
        <v>0</v>
      </c>
      <c r="O2134" s="14" t="b">
        <f>LCI_Table[[#This Row],[GREET1 Name Range]]=""</f>
        <v>1</v>
      </c>
      <c r="P2134" s="48" t="s">
        <v>14</v>
      </c>
      <c r="Q2134" s="14" t="s">
        <v>361</v>
      </c>
      <c r="R2134" s="48" t="s">
        <v>200</v>
      </c>
      <c r="S2134" s="37" cm="1">
        <f t="array" aca="1" ref="S21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27.925249616101123</v>
      </c>
      <c r="T2134" s="346" t="s">
        <v>2116</v>
      </c>
      <c r="U2134" s="344"/>
      <c r="V2134" s="344">
        <v>27.925249616101123</v>
      </c>
      <c r="W2134" s="344"/>
      <c r="X2134" s="48" t="s">
        <v>55</v>
      </c>
      <c r="Y2134" s="346" t="s">
        <v>413</v>
      </c>
      <c r="Z2134" s="14" t="str">
        <f>IF(ISBLANK(LCI_Table[[#This Row],[Notes for user]])," ",LCI_Table[[#This Row],[Notes for user]])</f>
        <v xml:space="preserve"> </v>
      </c>
      <c r="AA2134" s="48"/>
      <c r="AB2134" s="345" t="s">
        <v>923</v>
      </c>
      <c r="AC2134" s="346">
        <f>LCI_Table[[#This Row],[Default Calculated Value]]-LCI_Table[[#This Row],[Calculated Value]]</f>
        <v>0</v>
      </c>
    </row>
    <row r="2135" spans="1:29" x14ac:dyDescent="0.3">
      <c r="A21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ATJICAOJRC(blank)_Sugarcane_Nitrogen_fertilizerNitrogen fertilizer</v>
      </c>
      <c r="B2135" s="14" t="s">
        <v>447</v>
      </c>
      <c r="C2135" s="14" t="s">
        <v>883</v>
      </c>
      <c r="D2135" s="14" t="s">
        <v>194</v>
      </c>
      <c r="E2135" s="14" t="s">
        <v>355</v>
      </c>
      <c r="F2135" s="48" t="s">
        <v>31</v>
      </c>
      <c r="G2135" s="14" t="b">
        <f>OR(LCI_Table[[#This Row],[Feedstock]]="All",LCI_Table[[#This Row],[Feedstock]]=SelectedFeedstock)</f>
        <v>0</v>
      </c>
      <c r="H2135" s="14" t="b">
        <f>OR(LCI_Table[[#This Row],[Conversion]]="All",LCI_Table[[#This Row],[Conversion]]=SelectedConversion)</f>
        <v>0</v>
      </c>
      <c r="I2135" s="14" t="b">
        <f>OR(LCI_Table[[#This Row],[Data Set]]="all",LCI_Table[[#This Row],[Data Set]]=SelectedDataSet)</f>
        <v>0</v>
      </c>
      <c r="J2135" s="14" t="b">
        <f>OR(LCI_Table[[#This Row],[Technology]]="All",LCI_Table[[#This Row],[Technology]]=SelectedTechnology)</f>
        <v>1</v>
      </c>
      <c r="K2135" s="14" t="b">
        <f>OR(LCI_Table[[#This Row],[Data Source]]="All",LCI_Table[[#This Row],[Data Source]]=SelectedDataSource)</f>
        <v>0</v>
      </c>
      <c r="L2135" s="14" t="b">
        <f>TRUE</f>
        <v>1</v>
      </c>
      <c r="M2135" s="14" t="b">
        <f>(LCI_Table[[#This Row],[Dev Notes]]="Do not display")</f>
        <v>0</v>
      </c>
      <c r="N2135" s="14" t="b">
        <f>AND(LCI_Table[[#This Row],[Show Feedstock]:[Conditional]],NOT(LCI_Table[[#This Row],[Hide Row]]))</f>
        <v>0</v>
      </c>
      <c r="O2135" s="14" t="b">
        <f>LCI_Table[[#This Row],[GREET1 Name Range]]=""</f>
        <v>0</v>
      </c>
      <c r="P2135" s="14" t="s">
        <v>14</v>
      </c>
      <c r="Q2135" s="14" t="s">
        <v>968</v>
      </c>
      <c r="R2135" s="14" t="s">
        <v>111</v>
      </c>
      <c r="S2135" s="37" cm="1">
        <f t="array" aca="1" ref="S21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70.390364823052082</v>
      </c>
      <c r="T2135" s="346" t="s">
        <v>1485</v>
      </c>
      <c r="U2135" s="347">
        <f t="shared" ref="U2135:U2140" ca="1" si="144">S2135/$S$2134*lb2g/ton2MT</f>
        <v>1260.3354632587857</v>
      </c>
      <c r="V2135" s="347">
        <v>70.390364823052082</v>
      </c>
      <c r="W2135" s="347">
        <v>1260.3354632587857</v>
      </c>
      <c r="X2135" s="14" t="s">
        <v>12</v>
      </c>
      <c r="Y2135" s="346" t="s">
        <v>413</v>
      </c>
      <c r="Z2135" s="14" t="str">
        <f>IF(ISBLANK(LCI_Table[[#This Row],[Notes for user]])," ",LCI_Table[[#This Row],[Notes for user]])</f>
        <v xml:space="preserve"> </v>
      </c>
      <c r="AA2135" s="14"/>
      <c r="AB2135" s="14"/>
      <c r="AC2135" s="346">
        <f ca="1">LCI_Table[[#This Row],[Default Calculated Value]]-LCI_Table[[#This Row],[Calculated Value]]</f>
        <v>0</v>
      </c>
    </row>
    <row r="2136" spans="1:29" x14ac:dyDescent="0.3">
      <c r="A21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ATJICAOJRC(blank)_Sugarcane_P2O5P2O5</v>
      </c>
      <c r="B2136" s="14" t="s">
        <v>447</v>
      </c>
      <c r="C2136" s="14" t="s">
        <v>883</v>
      </c>
      <c r="D2136" s="14" t="s">
        <v>194</v>
      </c>
      <c r="E2136" s="14" t="s">
        <v>355</v>
      </c>
      <c r="F2136" s="48" t="s">
        <v>31</v>
      </c>
      <c r="G2136" s="14" t="b">
        <f>OR(LCI_Table[[#This Row],[Feedstock]]="All",LCI_Table[[#This Row],[Feedstock]]=SelectedFeedstock)</f>
        <v>0</v>
      </c>
      <c r="H2136" s="14" t="b">
        <f>OR(LCI_Table[[#This Row],[Conversion]]="All",LCI_Table[[#This Row],[Conversion]]=SelectedConversion)</f>
        <v>0</v>
      </c>
      <c r="I2136" s="14" t="b">
        <f>OR(LCI_Table[[#This Row],[Data Set]]="all",LCI_Table[[#This Row],[Data Set]]=SelectedDataSet)</f>
        <v>0</v>
      </c>
      <c r="J2136" s="14" t="b">
        <f>OR(LCI_Table[[#This Row],[Technology]]="All",LCI_Table[[#This Row],[Technology]]=SelectedTechnology)</f>
        <v>1</v>
      </c>
      <c r="K2136" s="14" t="b">
        <f>OR(LCI_Table[[#This Row],[Data Source]]="All",LCI_Table[[#This Row],[Data Source]]=SelectedDataSource)</f>
        <v>0</v>
      </c>
      <c r="L2136" s="14" t="b">
        <f>TRUE</f>
        <v>1</v>
      </c>
      <c r="M2136" s="14" t="b">
        <f>(LCI_Table[[#This Row],[Dev Notes]]="Do not display")</f>
        <v>0</v>
      </c>
      <c r="N2136" s="14" t="b">
        <f>AND(LCI_Table[[#This Row],[Show Feedstock]:[Conditional]],NOT(LCI_Table[[#This Row],[Hide Row]]))</f>
        <v>0</v>
      </c>
      <c r="O2136" s="14" t="b">
        <f>LCI_Table[[#This Row],[GREET1 Name Range]]=""</f>
        <v>0</v>
      </c>
      <c r="P2136" s="14" t="s">
        <v>14</v>
      </c>
      <c r="Q2136" s="14" t="s">
        <v>969</v>
      </c>
      <c r="R2136" s="14" t="s">
        <v>112</v>
      </c>
      <c r="S2136" s="37" cm="1">
        <f t="array" aca="1" ref="S21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24.752655761952383</v>
      </c>
      <c r="T2136" s="346" t="s">
        <v>1485</v>
      </c>
      <c r="U2136" s="347">
        <f t="shared" ca="1" si="144"/>
        <v>443.19488817891369</v>
      </c>
      <c r="V2136" s="347">
        <v>24.752655761952383</v>
      </c>
      <c r="W2136" s="347">
        <v>443.19488817891369</v>
      </c>
      <c r="X2136" s="14" t="s">
        <v>12</v>
      </c>
      <c r="Y2136" s="346" t="s">
        <v>413</v>
      </c>
      <c r="Z2136" s="14" t="str">
        <f>IF(ISBLANK(LCI_Table[[#This Row],[Notes for user]])," ",LCI_Table[[#This Row],[Notes for user]])</f>
        <v xml:space="preserve"> </v>
      </c>
      <c r="AA2136" s="14"/>
      <c r="AB2136" s="14"/>
      <c r="AC2136" s="346">
        <f ca="1">LCI_Table[[#This Row],[Default Calculated Value]]-LCI_Table[[#This Row],[Calculated Value]]</f>
        <v>0</v>
      </c>
    </row>
    <row r="2137" spans="1:29" x14ac:dyDescent="0.3">
      <c r="A21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ATJICAOJRC(blank)_Sugarcane_K2OK2O</v>
      </c>
      <c r="B2137" s="14" t="s">
        <v>447</v>
      </c>
      <c r="C2137" s="14" t="s">
        <v>883</v>
      </c>
      <c r="D2137" s="14" t="s">
        <v>194</v>
      </c>
      <c r="E2137" s="14" t="s">
        <v>355</v>
      </c>
      <c r="F2137" s="48" t="s">
        <v>31</v>
      </c>
      <c r="G2137" s="14" t="b">
        <f>OR(LCI_Table[[#This Row],[Feedstock]]="All",LCI_Table[[#This Row],[Feedstock]]=SelectedFeedstock)</f>
        <v>0</v>
      </c>
      <c r="H2137" s="14" t="b">
        <f>OR(LCI_Table[[#This Row],[Conversion]]="All",LCI_Table[[#This Row],[Conversion]]=SelectedConversion)</f>
        <v>0</v>
      </c>
      <c r="I2137" s="14" t="b">
        <f>OR(LCI_Table[[#This Row],[Data Set]]="all",LCI_Table[[#This Row],[Data Set]]=SelectedDataSet)</f>
        <v>0</v>
      </c>
      <c r="J2137" s="14" t="b">
        <f>OR(LCI_Table[[#This Row],[Technology]]="All",LCI_Table[[#This Row],[Technology]]=SelectedTechnology)</f>
        <v>1</v>
      </c>
      <c r="K2137" s="14" t="b">
        <f>OR(LCI_Table[[#This Row],[Data Source]]="All",LCI_Table[[#This Row],[Data Source]]=SelectedDataSource)</f>
        <v>0</v>
      </c>
      <c r="L2137" s="14" t="b">
        <f>TRUE</f>
        <v>1</v>
      </c>
      <c r="M2137" s="14" t="b">
        <f>(LCI_Table[[#This Row],[Dev Notes]]="Do not display")</f>
        <v>0</v>
      </c>
      <c r="N2137" s="14" t="b">
        <f>AND(LCI_Table[[#This Row],[Show Feedstock]:[Conditional]],NOT(LCI_Table[[#This Row],[Hide Row]]))</f>
        <v>0</v>
      </c>
      <c r="O2137" s="14" t="b">
        <f>LCI_Table[[#This Row],[GREET1 Name Range]]=""</f>
        <v>0</v>
      </c>
      <c r="P2137" s="14" t="s">
        <v>14</v>
      </c>
      <c r="Q2137" s="14" t="s">
        <v>970</v>
      </c>
      <c r="R2137" s="14" t="s">
        <v>113</v>
      </c>
      <c r="S2137" s="37" cm="1">
        <f t="array" aca="1" ref="S21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78.89909024122322</v>
      </c>
      <c r="T2137" s="346" t="s">
        <v>1485</v>
      </c>
      <c r="U2137" s="347">
        <f t="shared" ca="1" si="144"/>
        <v>1412.6837060702874</v>
      </c>
      <c r="V2137" s="347">
        <v>78.89909024122322</v>
      </c>
      <c r="W2137" s="347">
        <v>1412.6837060702874</v>
      </c>
      <c r="X2137" s="14" t="s">
        <v>12</v>
      </c>
      <c r="Y2137" s="346" t="s">
        <v>413</v>
      </c>
      <c r="Z2137" s="14" t="str">
        <f>IF(ISBLANK(LCI_Table[[#This Row],[Notes for user]])," ",LCI_Table[[#This Row],[Notes for user]])</f>
        <v xml:space="preserve"> </v>
      </c>
      <c r="AA2137" s="14"/>
      <c r="AB2137" s="14"/>
      <c r="AC2137" s="346">
        <f ca="1">LCI_Table[[#This Row],[Default Calculated Value]]-LCI_Table[[#This Row],[Calculated Value]]</f>
        <v>0</v>
      </c>
    </row>
    <row r="2138" spans="1:29" x14ac:dyDescent="0.3">
      <c r="A21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ATJICAOJRC(blank)_Sugarcane_CaCO3CaCO3</v>
      </c>
      <c r="B2138" s="14" t="s">
        <v>447</v>
      </c>
      <c r="C2138" s="14" t="s">
        <v>883</v>
      </c>
      <c r="D2138" s="14" t="s">
        <v>194</v>
      </c>
      <c r="E2138" s="14" t="s">
        <v>355</v>
      </c>
      <c r="F2138" s="48" t="s">
        <v>31</v>
      </c>
      <c r="G2138" s="14" t="b">
        <f>OR(LCI_Table[[#This Row],[Feedstock]]="All",LCI_Table[[#This Row],[Feedstock]]=SelectedFeedstock)</f>
        <v>0</v>
      </c>
      <c r="H2138" s="14" t="b">
        <f>OR(LCI_Table[[#This Row],[Conversion]]="All",LCI_Table[[#This Row],[Conversion]]=SelectedConversion)</f>
        <v>0</v>
      </c>
      <c r="I2138" s="14" t="b">
        <f>OR(LCI_Table[[#This Row],[Data Set]]="all",LCI_Table[[#This Row],[Data Set]]=SelectedDataSet)</f>
        <v>0</v>
      </c>
      <c r="J2138" s="14" t="b">
        <f>OR(LCI_Table[[#This Row],[Technology]]="All",LCI_Table[[#This Row],[Technology]]=SelectedTechnology)</f>
        <v>1</v>
      </c>
      <c r="K2138" s="14" t="b">
        <f>OR(LCI_Table[[#This Row],[Data Source]]="All",LCI_Table[[#This Row],[Data Source]]=SelectedDataSource)</f>
        <v>0</v>
      </c>
      <c r="L2138" s="14" t="b">
        <f>TRUE</f>
        <v>1</v>
      </c>
      <c r="M2138" s="14" t="b">
        <f>(LCI_Table[[#This Row],[Dev Notes]]="Do not display")</f>
        <v>0</v>
      </c>
      <c r="N2138" s="14" t="b">
        <f>AND(LCI_Table[[#This Row],[Show Feedstock]:[Conditional]],NOT(LCI_Table[[#This Row],[Hide Row]]))</f>
        <v>0</v>
      </c>
      <c r="O2138" s="14" t="b">
        <f>LCI_Table[[#This Row],[GREET1 Name Range]]=""</f>
        <v>0</v>
      </c>
      <c r="P2138" s="14" t="s">
        <v>14</v>
      </c>
      <c r="Q2138" s="14" t="s">
        <v>971</v>
      </c>
      <c r="R2138" s="14" t="s">
        <v>141</v>
      </c>
      <c r="S2138" s="37" cm="1">
        <f t="array" aca="1" ref="S21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78.89909024122322</v>
      </c>
      <c r="T2138" s="346" t="s">
        <v>1485</v>
      </c>
      <c r="U2138" s="347">
        <f t="shared" ca="1" si="144"/>
        <v>1412.6837060702874</v>
      </c>
      <c r="V2138" s="347">
        <v>78.89909024122322</v>
      </c>
      <c r="W2138" s="347">
        <v>1412.6837060702874</v>
      </c>
      <c r="X2138" s="14" t="s">
        <v>12</v>
      </c>
      <c r="Y2138" s="346" t="s">
        <v>413</v>
      </c>
      <c r="Z2138" s="14" t="str">
        <f>IF(ISBLANK(LCI_Table[[#This Row],[Notes for user]])," ",LCI_Table[[#This Row],[Notes for user]])</f>
        <v xml:space="preserve"> </v>
      </c>
      <c r="AA2138" s="14"/>
      <c r="AB2138" s="14" t="s">
        <v>924</v>
      </c>
      <c r="AC2138" s="346">
        <f ca="1">LCI_Table[[#This Row],[Default Calculated Value]]-LCI_Table[[#This Row],[Calculated Value]]</f>
        <v>0</v>
      </c>
    </row>
    <row r="2139" spans="1:29" x14ac:dyDescent="0.3">
      <c r="A21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ATJICAOJRC(blank)_Sugarcane_HerbicidesHerbicides</v>
      </c>
      <c r="B2139" s="14" t="s">
        <v>447</v>
      </c>
      <c r="C2139" s="14" t="s">
        <v>883</v>
      </c>
      <c r="D2139" s="14" t="s">
        <v>194</v>
      </c>
      <c r="E2139" s="14" t="s">
        <v>355</v>
      </c>
      <c r="F2139" s="48" t="s">
        <v>31</v>
      </c>
      <c r="G2139" s="14" t="b">
        <f>OR(LCI_Table[[#This Row],[Feedstock]]="All",LCI_Table[[#This Row],[Feedstock]]=SelectedFeedstock)</f>
        <v>0</v>
      </c>
      <c r="H2139" s="14" t="b">
        <f>OR(LCI_Table[[#This Row],[Conversion]]="All",LCI_Table[[#This Row],[Conversion]]=SelectedConversion)</f>
        <v>0</v>
      </c>
      <c r="I2139" s="14" t="b">
        <f>OR(LCI_Table[[#This Row],[Data Set]]="all",LCI_Table[[#This Row],[Data Set]]=SelectedDataSet)</f>
        <v>0</v>
      </c>
      <c r="J2139" s="14" t="b">
        <f>OR(LCI_Table[[#This Row],[Technology]]="All",LCI_Table[[#This Row],[Technology]]=SelectedTechnology)</f>
        <v>1</v>
      </c>
      <c r="K2139" s="14" t="b">
        <f>OR(LCI_Table[[#This Row],[Data Source]]="All",LCI_Table[[#This Row],[Data Source]]=SelectedDataSource)</f>
        <v>0</v>
      </c>
      <c r="L2139" s="14" t="b">
        <f>TRUE</f>
        <v>1</v>
      </c>
      <c r="M2139" s="14" t="b">
        <f>(LCI_Table[[#This Row],[Dev Notes]]="Do not display")</f>
        <v>0</v>
      </c>
      <c r="N2139" s="14" t="b">
        <f>AND(LCI_Table[[#This Row],[Show Feedstock]:[Conditional]],NOT(LCI_Table[[#This Row],[Hide Row]]))</f>
        <v>0</v>
      </c>
      <c r="O2139" s="14" t="b">
        <f>LCI_Table[[#This Row],[GREET1 Name Range]]=""</f>
        <v>0</v>
      </c>
      <c r="P2139" s="14" t="s">
        <v>14</v>
      </c>
      <c r="Q2139" s="14" t="s">
        <v>972</v>
      </c>
      <c r="R2139" s="14" t="s">
        <v>356</v>
      </c>
      <c r="S2139" s="37" cm="1">
        <f t="array" aca="1" ref="S21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39" s="346" t="s">
        <v>1485</v>
      </c>
      <c r="U2139" s="347">
        <f t="shared" ca="1" si="144"/>
        <v>0</v>
      </c>
      <c r="V2139" s="347">
        <v>0</v>
      </c>
      <c r="W2139" s="347">
        <v>0</v>
      </c>
      <c r="X2139" s="14" t="s">
        <v>12</v>
      </c>
      <c r="Y2139" s="346" t="s">
        <v>413</v>
      </c>
      <c r="Z2139" s="14" t="str">
        <f>IF(ISBLANK(LCI_Table[[#This Row],[Notes for user]])," ",LCI_Table[[#This Row],[Notes for user]])</f>
        <v xml:space="preserve"> </v>
      </c>
      <c r="AA2139" s="14"/>
      <c r="AB2139" s="14"/>
      <c r="AC2139" s="346">
        <f ca="1">LCI_Table[[#This Row],[Default Calculated Value]]-LCI_Table[[#This Row],[Calculated Value]]</f>
        <v>0</v>
      </c>
    </row>
    <row r="2140" spans="1:29" x14ac:dyDescent="0.3">
      <c r="A21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ATJICAOJRC(blank)_Sugarcane_InsecticideInsecticide</v>
      </c>
      <c r="B2140" s="14" t="s">
        <v>447</v>
      </c>
      <c r="C2140" s="14" t="s">
        <v>883</v>
      </c>
      <c r="D2140" s="14" t="s">
        <v>194</v>
      </c>
      <c r="E2140" s="14" t="s">
        <v>355</v>
      </c>
      <c r="F2140" s="48" t="s">
        <v>31</v>
      </c>
      <c r="G2140" s="14" t="b">
        <f>OR(LCI_Table[[#This Row],[Feedstock]]="All",LCI_Table[[#This Row],[Feedstock]]=SelectedFeedstock)</f>
        <v>0</v>
      </c>
      <c r="H2140" s="14" t="b">
        <f>OR(LCI_Table[[#This Row],[Conversion]]="All",LCI_Table[[#This Row],[Conversion]]=SelectedConversion)</f>
        <v>0</v>
      </c>
      <c r="I2140" s="14" t="b">
        <f>OR(LCI_Table[[#This Row],[Data Set]]="all",LCI_Table[[#This Row],[Data Set]]=SelectedDataSet)</f>
        <v>0</v>
      </c>
      <c r="J2140" s="14" t="b">
        <f>OR(LCI_Table[[#This Row],[Technology]]="All",LCI_Table[[#This Row],[Technology]]=SelectedTechnology)</f>
        <v>1</v>
      </c>
      <c r="K2140" s="14" t="b">
        <f>OR(LCI_Table[[#This Row],[Data Source]]="All",LCI_Table[[#This Row],[Data Source]]=SelectedDataSource)</f>
        <v>0</v>
      </c>
      <c r="L2140" s="14" t="b">
        <f>TRUE</f>
        <v>1</v>
      </c>
      <c r="M2140" s="14" t="b">
        <f>(LCI_Table[[#This Row],[Dev Notes]]="Do not display")</f>
        <v>0</v>
      </c>
      <c r="N2140" s="14" t="b">
        <f>AND(LCI_Table[[#This Row],[Show Feedstock]:[Conditional]],NOT(LCI_Table[[#This Row],[Hide Row]]))</f>
        <v>0</v>
      </c>
      <c r="O2140" s="14" t="b">
        <f>LCI_Table[[#This Row],[GREET1 Name Range]]=""</f>
        <v>0</v>
      </c>
      <c r="P2140" s="14" t="s">
        <v>14</v>
      </c>
      <c r="Q2140" s="14" t="s">
        <v>973</v>
      </c>
      <c r="R2140" s="14" t="s">
        <v>114</v>
      </c>
      <c r="S2140" s="37" cm="1">
        <f t="array" aca="1" ref="S21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2.862025822475744</v>
      </c>
      <c r="T2140" s="346" t="s">
        <v>1485</v>
      </c>
      <c r="U2140" s="347">
        <f t="shared" ca="1" si="144"/>
        <v>51.244408945686892</v>
      </c>
      <c r="V2140" s="347">
        <v>2.862025822475744</v>
      </c>
      <c r="W2140" s="347">
        <v>51.244408945686892</v>
      </c>
      <c r="X2140" s="14" t="s">
        <v>12</v>
      </c>
      <c r="Y2140" s="346" t="s">
        <v>413</v>
      </c>
      <c r="Z2140" s="14" t="str">
        <f>IF(ISBLANK(LCI_Table[[#This Row],[Notes for user]])," ",LCI_Table[[#This Row],[Notes for user]])</f>
        <v xml:space="preserve"> </v>
      </c>
      <c r="AA2140" s="14"/>
      <c r="AB2140" s="14"/>
      <c r="AC2140" s="346">
        <f ca="1">LCI_Table[[#This Row],[Default Calculated Value]]-LCI_Table[[#This Row],[Calculated Value]]</f>
        <v>0</v>
      </c>
    </row>
    <row r="2141" spans="1:29" x14ac:dyDescent="0.3">
      <c r="A21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ATJICAOJRC(blank)_Sugarcane_Residual_oilResidual oil</v>
      </c>
      <c r="B2141" s="14" t="s">
        <v>447</v>
      </c>
      <c r="C2141" s="14" t="s">
        <v>883</v>
      </c>
      <c r="D2141" s="14" t="s">
        <v>194</v>
      </c>
      <c r="E2141" s="14" t="s">
        <v>355</v>
      </c>
      <c r="F2141" s="48" t="s">
        <v>31</v>
      </c>
      <c r="G2141" s="14" t="b">
        <f>OR(LCI_Table[[#This Row],[Feedstock]]="All",LCI_Table[[#This Row],[Feedstock]]=SelectedFeedstock)</f>
        <v>0</v>
      </c>
      <c r="H2141" s="14" t="b">
        <f>OR(LCI_Table[[#This Row],[Conversion]]="All",LCI_Table[[#This Row],[Conversion]]=SelectedConversion)</f>
        <v>0</v>
      </c>
      <c r="I2141" s="14" t="b">
        <f>OR(LCI_Table[[#This Row],[Data Set]]="all",LCI_Table[[#This Row],[Data Set]]=SelectedDataSet)</f>
        <v>0</v>
      </c>
      <c r="J2141" s="14" t="b">
        <f>OR(LCI_Table[[#This Row],[Technology]]="All",LCI_Table[[#This Row],[Technology]]=SelectedTechnology)</f>
        <v>1</v>
      </c>
      <c r="K2141" s="14" t="b">
        <f>OR(LCI_Table[[#This Row],[Data Source]]="All",LCI_Table[[#This Row],[Data Source]]=SelectedDataSource)</f>
        <v>0</v>
      </c>
      <c r="L2141" s="14" t="b">
        <f>TRUE</f>
        <v>1</v>
      </c>
      <c r="M2141" s="14" t="b">
        <f>(LCI_Table[[#This Row],[Dev Notes]]="Do not display")</f>
        <v>0</v>
      </c>
      <c r="N2141" s="14" t="b">
        <f>AND(LCI_Table[[#This Row],[Show Feedstock]:[Conditional]],NOT(LCI_Table[[#This Row],[Hide Row]]))</f>
        <v>0</v>
      </c>
      <c r="O2141" s="14" t="b">
        <f>LCI_Table[[#This Row],[GREET1 Name Range]]=""</f>
        <v>0</v>
      </c>
      <c r="P2141" s="14" t="s">
        <v>14</v>
      </c>
      <c r="Q2141" s="14" t="s">
        <v>974</v>
      </c>
      <c r="R2141" s="14" t="s">
        <v>115</v>
      </c>
      <c r="S2141" s="37" cm="1">
        <f t="array" aca="1" ref="S21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41" s="346" t="s">
        <v>1484</v>
      </c>
      <c r="U2141" s="347">
        <f ca="1">$S2141/$S$2134*Fuel_Specs!$B$28/ton2MT</f>
        <v>0</v>
      </c>
      <c r="V2141" s="347">
        <v>0</v>
      </c>
      <c r="W2141" s="347">
        <v>0</v>
      </c>
      <c r="X2141" s="14" t="s">
        <v>5</v>
      </c>
      <c r="Y2141" s="346" t="s">
        <v>413</v>
      </c>
      <c r="Z2141" s="14" t="str">
        <f>IF(ISBLANK(LCI_Table[[#This Row],[Notes for user]])," ",LCI_Table[[#This Row],[Notes for user]])</f>
        <v xml:space="preserve"> </v>
      </c>
      <c r="AA2141" s="14"/>
      <c r="AB2141" s="14"/>
      <c r="AC2141" s="346">
        <f ca="1">LCI_Table[[#This Row],[Default Calculated Value]]-LCI_Table[[#This Row],[Calculated Value]]</f>
        <v>0</v>
      </c>
    </row>
    <row r="2142" spans="1:29" x14ac:dyDescent="0.3">
      <c r="A21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ATJICAOJRC(blank)_Sugarcane_DieselDiesel</v>
      </c>
      <c r="B2142" s="14" t="s">
        <v>447</v>
      </c>
      <c r="C2142" s="14" t="s">
        <v>883</v>
      </c>
      <c r="D2142" s="14" t="s">
        <v>194</v>
      </c>
      <c r="E2142" s="14" t="s">
        <v>355</v>
      </c>
      <c r="F2142" s="48" t="s">
        <v>31</v>
      </c>
      <c r="G2142" s="14" t="b">
        <f>OR(LCI_Table[[#This Row],[Feedstock]]="All",LCI_Table[[#This Row],[Feedstock]]=SelectedFeedstock)</f>
        <v>0</v>
      </c>
      <c r="H2142" s="14" t="b">
        <f>OR(LCI_Table[[#This Row],[Conversion]]="All",LCI_Table[[#This Row],[Conversion]]=SelectedConversion)</f>
        <v>0</v>
      </c>
      <c r="I2142" s="14" t="b">
        <f>OR(LCI_Table[[#This Row],[Data Set]]="all",LCI_Table[[#This Row],[Data Set]]=SelectedDataSet)</f>
        <v>0</v>
      </c>
      <c r="J2142" s="14" t="b">
        <f>OR(LCI_Table[[#This Row],[Technology]]="All",LCI_Table[[#This Row],[Technology]]=SelectedTechnology)</f>
        <v>1</v>
      </c>
      <c r="K2142" s="14" t="b">
        <f>OR(LCI_Table[[#This Row],[Data Source]]="All",LCI_Table[[#This Row],[Data Source]]=SelectedDataSource)</f>
        <v>0</v>
      </c>
      <c r="L2142" s="14" t="b">
        <f>TRUE</f>
        <v>1</v>
      </c>
      <c r="M2142" s="14" t="b">
        <f>(LCI_Table[[#This Row],[Dev Notes]]="Do not display")</f>
        <v>0</v>
      </c>
      <c r="N2142" s="14" t="b">
        <f>AND(LCI_Table[[#This Row],[Show Feedstock]:[Conditional]],NOT(LCI_Table[[#This Row],[Hide Row]]))</f>
        <v>0</v>
      </c>
      <c r="O2142" s="14" t="b">
        <f>LCI_Table[[#This Row],[GREET1 Name Range]]=""</f>
        <v>0</v>
      </c>
      <c r="P2142" s="14" t="s">
        <v>14</v>
      </c>
      <c r="Q2142" s="14" t="s">
        <v>975</v>
      </c>
      <c r="R2142" s="14" t="s">
        <v>106</v>
      </c>
      <c r="S2142" s="37" cm="1">
        <f t="array" aca="1" ref="S21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2.6148656476826777</v>
      </c>
      <c r="T2142" s="346" t="s">
        <v>1484</v>
      </c>
      <c r="U2142" s="347">
        <f ca="1">$S2142/$S$2134*Fuel_Specs!$B$19/ton2MT</f>
        <v>13258.386897856579</v>
      </c>
      <c r="V2142" s="347">
        <v>2.6148656476826777</v>
      </c>
      <c r="W2142" s="347">
        <v>13258.386897856579</v>
      </c>
      <c r="X2142" s="14" t="s">
        <v>5</v>
      </c>
      <c r="Y2142" s="346" t="s">
        <v>413</v>
      </c>
      <c r="Z2142" s="14" t="str">
        <f>IF(ISBLANK(LCI_Table[[#This Row],[Notes for user]])," ",LCI_Table[[#This Row],[Notes for user]])</f>
        <v xml:space="preserve"> </v>
      </c>
      <c r="AA2142" s="14"/>
      <c r="AB2142" s="14"/>
      <c r="AC2142" s="346">
        <f ca="1">LCI_Table[[#This Row],[Default Calculated Value]]-LCI_Table[[#This Row],[Calculated Value]]</f>
        <v>0</v>
      </c>
    </row>
    <row r="2143" spans="1:29" x14ac:dyDescent="0.3">
      <c r="A21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ATJICAOJRC(blank)_Sugarcane_GasolineGasoline</v>
      </c>
      <c r="B2143" s="14" t="s">
        <v>447</v>
      </c>
      <c r="C2143" s="14" t="s">
        <v>883</v>
      </c>
      <c r="D2143" s="14" t="s">
        <v>194</v>
      </c>
      <c r="E2143" s="14" t="s">
        <v>355</v>
      </c>
      <c r="F2143" s="48" t="s">
        <v>31</v>
      </c>
      <c r="G2143" s="14" t="b">
        <f>OR(LCI_Table[[#This Row],[Feedstock]]="All",LCI_Table[[#This Row],[Feedstock]]=SelectedFeedstock)</f>
        <v>0</v>
      </c>
      <c r="H2143" s="14" t="b">
        <f>OR(LCI_Table[[#This Row],[Conversion]]="All",LCI_Table[[#This Row],[Conversion]]=SelectedConversion)</f>
        <v>0</v>
      </c>
      <c r="I2143" s="14" t="b">
        <f>OR(LCI_Table[[#This Row],[Data Set]]="all",LCI_Table[[#This Row],[Data Set]]=SelectedDataSet)</f>
        <v>0</v>
      </c>
      <c r="J2143" s="14" t="b">
        <f>OR(LCI_Table[[#This Row],[Technology]]="All",LCI_Table[[#This Row],[Technology]]=SelectedTechnology)</f>
        <v>1</v>
      </c>
      <c r="K2143" s="14" t="b">
        <f>OR(LCI_Table[[#This Row],[Data Source]]="All",LCI_Table[[#This Row],[Data Source]]=SelectedDataSource)</f>
        <v>0</v>
      </c>
      <c r="L2143" s="14" t="b">
        <f>TRUE</f>
        <v>1</v>
      </c>
      <c r="M2143" s="14" t="b">
        <f>(LCI_Table[[#This Row],[Dev Notes]]="Do not display")</f>
        <v>0</v>
      </c>
      <c r="N2143" s="14" t="b">
        <f>AND(LCI_Table[[#This Row],[Show Feedstock]:[Conditional]],NOT(LCI_Table[[#This Row],[Hide Row]]))</f>
        <v>0</v>
      </c>
      <c r="O2143" s="14" t="b">
        <f>LCI_Table[[#This Row],[GREET1 Name Range]]=""</f>
        <v>0</v>
      </c>
      <c r="P2143" s="14" t="s">
        <v>14</v>
      </c>
      <c r="Q2143" s="14" t="s">
        <v>976</v>
      </c>
      <c r="R2143" s="14" t="s">
        <v>107</v>
      </c>
      <c r="S2143" s="37" cm="1">
        <f t="array" aca="1" ref="S21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43" s="346" t="s">
        <v>1484</v>
      </c>
      <c r="U2143" s="347">
        <f ca="1">$S2143/$S$2134*Fuel_Specs!$B$15/ton2MT</f>
        <v>0</v>
      </c>
      <c r="V2143" s="347">
        <v>0</v>
      </c>
      <c r="W2143" s="347">
        <v>0</v>
      </c>
      <c r="X2143" s="14" t="s">
        <v>5</v>
      </c>
      <c r="Y2143" s="346" t="s">
        <v>413</v>
      </c>
      <c r="Z2143" s="14" t="str">
        <f>IF(ISBLANK(LCI_Table[[#This Row],[Notes for user]])," ",LCI_Table[[#This Row],[Notes for user]])</f>
        <v xml:space="preserve"> </v>
      </c>
      <c r="AA2143" s="14"/>
      <c r="AB2143" s="14"/>
      <c r="AC2143" s="346">
        <f ca="1">LCI_Table[[#This Row],[Default Calculated Value]]-LCI_Table[[#This Row],[Calculated Value]]</f>
        <v>0</v>
      </c>
    </row>
    <row r="2144" spans="1:29" x14ac:dyDescent="0.3">
      <c r="A21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ATJICAOJRC(blank)_Sugarcane_Natural_gasNatural gas</v>
      </c>
      <c r="B2144" s="14" t="s">
        <v>447</v>
      </c>
      <c r="C2144" s="14" t="s">
        <v>883</v>
      </c>
      <c r="D2144" s="14" t="s">
        <v>194</v>
      </c>
      <c r="E2144" s="14" t="s">
        <v>355</v>
      </c>
      <c r="F2144" s="48" t="s">
        <v>31</v>
      </c>
      <c r="G2144" s="14" t="b">
        <f>OR(LCI_Table[[#This Row],[Feedstock]]="All",LCI_Table[[#This Row],[Feedstock]]=SelectedFeedstock)</f>
        <v>0</v>
      </c>
      <c r="H2144" s="14" t="b">
        <f>OR(LCI_Table[[#This Row],[Conversion]]="All",LCI_Table[[#This Row],[Conversion]]=SelectedConversion)</f>
        <v>0</v>
      </c>
      <c r="I2144" s="14" t="b">
        <f>OR(LCI_Table[[#This Row],[Data Set]]="all",LCI_Table[[#This Row],[Data Set]]=SelectedDataSet)</f>
        <v>0</v>
      </c>
      <c r="J2144" s="14" t="b">
        <f>OR(LCI_Table[[#This Row],[Technology]]="All",LCI_Table[[#This Row],[Technology]]=SelectedTechnology)</f>
        <v>1</v>
      </c>
      <c r="K2144" s="14" t="b">
        <f>OR(LCI_Table[[#This Row],[Data Source]]="All",LCI_Table[[#This Row],[Data Source]]=SelectedDataSource)</f>
        <v>0</v>
      </c>
      <c r="L2144" s="14" t="b">
        <f>TRUE</f>
        <v>1</v>
      </c>
      <c r="M2144" s="14" t="b">
        <f>(LCI_Table[[#This Row],[Dev Notes]]="Do not display")</f>
        <v>0</v>
      </c>
      <c r="N2144" s="14" t="b">
        <f>AND(LCI_Table[[#This Row],[Show Feedstock]:[Conditional]],NOT(LCI_Table[[#This Row],[Hide Row]]))</f>
        <v>0</v>
      </c>
      <c r="O2144" s="14" t="b">
        <f>LCI_Table[[#This Row],[GREET1 Name Range]]=""</f>
        <v>0</v>
      </c>
      <c r="P2144" s="14" t="s">
        <v>14</v>
      </c>
      <c r="Q2144" s="14" t="s">
        <v>977</v>
      </c>
      <c r="R2144" s="14" t="s">
        <v>108</v>
      </c>
      <c r="S2144" s="37" cm="1">
        <f t="array" aca="1" ref="S21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44" s="346" t="s">
        <v>2109</v>
      </c>
      <c r="U2144" s="347">
        <f ca="1">$S2144/$S$2134*Fuel_Specs!$B$79/ton2MT</f>
        <v>0</v>
      </c>
      <c r="V2144" s="347">
        <v>0</v>
      </c>
      <c r="W2144" s="347">
        <v>0</v>
      </c>
      <c r="X2144" s="14" t="s">
        <v>351</v>
      </c>
      <c r="Y2144" s="346" t="s">
        <v>413</v>
      </c>
      <c r="Z2144" s="14" t="str">
        <f>IF(ISBLANK(LCI_Table[[#This Row],[Notes for user]])," ",LCI_Table[[#This Row],[Notes for user]])</f>
        <v xml:space="preserve"> </v>
      </c>
      <c r="AA2144" s="14"/>
      <c r="AB2144" s="14"/>
      <c r="AC2144" s="346">
        <f ca="1">LCI_Table[[#This Row],[Default Calculated Value]]-LCI_Table[[#This Row],[Calculated Value]]</f>
        <v>0</v>
      </c>
    </row>
    <row r="2145" spans="1:29" x14ac:dyDescent="0.3">
      <c r="A21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ATJICAOJRC(blank)_Sugarcane_CoalCoal</v>
      </c>
      <c r="B2145" s="14" t="s">
        <v>447</v>
      </c>
      <c r="C2145" s="14" t="s">
        <v>883</v>
      </c>
      <c r="D2145" s="14" t="s">
        <v>194</v>
      </c>
      <c r="E2145" s="14" t="s">
        <v>355</v>
      </c>
      <c r="F2145" s="48" t="s">
        <v>31</v>
      </c>
      <c r="G2145" s="14" t="b">
        <f>OR(LCI_Table[[#This Row],[Feedstock]]="All",LCI_Table[[#This Row],[Feedstock]]=SelectedFeedstock)</f>
        <v>0</v>
      </c>
      <c r="H2145" s="14" t="b">
        <f>OR(LCI_Table[[#This Row],[Conversion]]="All",LCI_Table[[#This Row],[Conversion]]=SelectedConversion)</f>
        <v>0</v>
      </c>
      <c r="I2145" s="14" t="b">
        <f>OR(LCI_Table[[#This Row],[Data Set]]="all",LCI_Table[[#This Row],[Data Set]]=SelectedDataSet)</f>
        <v>0</v>
      </c>
      <c r="J2145" s="14" t="b">
        <f>OR(LCI_Table[[#This Row],[Technology]]="All",LCI_Table[[#This Row],[Technology]]=SelectedTechnology)</f>
        <v>1</v>
      </c>
      <c r="K2145" s="14" t="b">
        <f>OR(LCI_Table[[#This Row],[Data Source]]="All",LCI_Table[[#This Row],[Data Source]]=SelectedDataSource)</f>
        <v>0</v>
      </c>
      <c r="L2145" s="14" t="b">
        <f>TRUE</f>
        <v>1</v>
      </c>
      <c r="M2145" s="14" t="b">
        <f>(LCI_Table[[#This Row],[Dev Notes]]="Do not display")</f>
        <v>0</v>
      </c>
      <c r="N2145" s="14" t="b">
        <f>AND(LCI_Table[[#This Row],[Show Feedstock]:[Conditional]],NOT(LCI_Table[[#This Row],[Hide Row]]))</f>
        <v>0</v>
      </c>
      <c r="O2145" s="14" t="b">
        <f>LCI_Table[[#This Row],[GREET1 Name Range]]=""</f>
        <v>0</v>
      </c>
      <c r="P2145" s="14" t="s">
        <v>14</v>
      </c>
      <c r="Q2145" s="14" t="s">
        <v>978</v>
      </c>
      <c r="R2145" s="14" t="s">
        <v>9</v>
      </c>
      <c r="S2145" s="37" cm="1">
        <f t="array" aca="1" ref="S21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45" s="346" t="s">
        <v>2110</v>
      </c>
      <c r="U2145" s="347">
        <f ca="1">S2145/$S$2134/ton2MT</f>
        <v>0</v>
      </c>
      <c r="V2145" s="347">
        <v>0</v>
      </c>
      <c r="W2145" s="347">
        <v>0</v>
      </c>
      <c r="X2145" s="14" t="s">
        <v>117</v>
      </c>
      <c r="Y2145" s="346" t="s">
        <v>413</v>
      </c>
      <c r="Z2145" s="14" t="str">
        <f>IF(ISBLANK(LCI_Table[[#This Row],[Notes for user]])," ",LCI_Table[[#This Row],[Notes for user]])</f>
        <v xml:space="preserve"> </v>
      </c>
      <c r="AA2145" s="14"/>
      <c r="AB2145" s="14"/>
      <c r="AC2145" s="346">
        <f ca="1">LCI_Table[[#This Row],[Default Calculated Value]]-LCI_Table[[#This Row],[Calculated Value]]</f>
        <v>0</v>
      </c>
    </row>
    <row r="2146" spans="1:29" x14ac:dyDescent="0.3">
      <c r="A21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ATJICAOJRC(blank)_Sugarcane_LPGLPG</v>
      </c>
      <c r="B2146" s="14" t="s">
        <v>447</v>
      </c>
      <c r="C2146" s="14" t="s">
        <v>883</v>
      </c>
      <c r="D2146" s="14" t="s">
        <v>194</v>
      </c>
      <c r="E2146" s="14" t="s">
        <v>355</v>
      </c>
      <c r="F2146" s="48" t="s">
        <v>31</v>
      </c>
      <c r="G2146" s="14" t="b">
        <f>OR(LCI_Table[[#This Row],[Feedstock]]="All",LCI_Table[[#This Row],[Feedstock]]=SelectedFeedstock)</f>
        <v>0</v>
      </c>
      <c r="H2146" s="14" t="b">
        <f>OR(LCI_Table[[#This Row],[Conversion]]="All",LCI_Table[[#This Row],[Conversion]]=SelectedConversion)</f>
        <v>0</v>
      </c>
      <c r="I2146" s="14" t="b">
        <f>OR(LCI_Table[[#This Row],[Data Set]]="all",LCI_Table[[#This Row],[Data Set]]=SelectedDataSet)</f>
        <v>0</v>
      </c>
      <c r="J2146" s="14" t="b">
        <f>OR(LCI_Table[[#This Row],[Technology]]="All",LCI_Table[[#This Row],[Technology]]=SelectedTechnology)</f>
        <v>1</v>
      </c>
      <c r="K2146" s="14" t="b">
        <f>OR(LCI_Table[[#This Row],[Data Source]]="All",LCI_Table[[#This Row],[Data Source]]=SelectedDataSource)</f>
        <v>0</v>
      </c>
      <c r="L2146" s="14" t="b">
        <f>TRUE</f>
        <v>1</v>
      </c>
      <c r="M2146" s="14" t="b">
        <f>(LCI_Table[[#This Row],[Dev Notes]]="Do not display")</f>
        <v>0</v>
      </c>
      <c r="N2146" s="14" t="b">
        <f>AND(LCI_Table[[#This Row],[Show Feedstock]:[Conditional]],NOT(LCI_Table[[#This Row],[Hide Row]]))</f>
        <v>0</v>
      </c>
      <c r="O2146" s="14" t="b">
        <f>LCI_Table[[#This Row],[GREET1 Name Range]]=""</f>
        <v>0</v>
      </c>
      <c r="P2146" s="14" t="s">
        <v>14</v>
      </c>
      <c r="Q2146" s="14" t="s">
        <v>979</v>
      </c>
      <c r="R2146" s="14" t="s">
        <v>109</v>
      </c>
      <c r="S2146" s="37" cm="1">
        <f t="array" aca="1" ref="S21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46" s="346" t="s">
        <v>1484</v>
      </c>
      <c r="U2146" s="347">
        <f ca="1">$S2146/$S$2134*Fuel_Specs!$B$35/ton2MT</f>
        <v>0</v>
      </c>
      <c r="V2146" s="347">
        <v>0</v>
      </c>
      <c r="W2146" s="347">
        <v>0</v>
      </c>
      <c r="X2146" s="14" t="s">
        <v>5</v>
      </c>
      <c r="Y2146" s="346" t="s">
        <v>413</v>
      </c>
      <c r="Z2146" s="14" t="str">
        <f>IF(ISBLANK(LCI_Table[[#This Row],[Notes for user]])," ",LCI_Table[[#This Row],[Notes for user]])</f>
        <v xml:space="preserve"> </v>
      </c>
      <c r="AA2146" s="14"/>
      <c r="AB2146" s="14"/>
      <c r="AC2146" s="346">
        <f ca="1">LCI_Table[[#This Row],[Default Calculated Value]]-LCI_Table[[#This Row],[Calculated Value]]</f>
        <v>0</v>
      </c>
    </row>
    <row r="2147" spans="1:29" x14ac:dyDescent="0.3">
      <c r="A21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ATJICAOJRC(blank)_Sugarcane_ElectricityElectricity</v>
      </c>
      <c r="B2147" s="14" t="s">
        <v>447</v>
      </c>
      <c r="C2147" s="14" t="s">
        <v>883</v>
      </c>
      <c r="D2147" s="14" t="s">
        <v>194</v>
      </c>
      <c r="E2147" s="14" t="s">
        <v>355</v>
      </c>
      <c r="F2147" s="48" t="s">
        <v>31</v>
      </c>
      <c r="G2147" s="14" t="b">
        <f>OR(LCI_Table[[#This Row],[Feedstock]]="All",LCI_Table[[#This Row],[Feedstock]]=SelectedFeedstock)</f>
        <v>0</v>
      </c>
      <c r="H2147" s="14" t="b">
        <f>OR(LCI_Table[[#This Row],[Conversion]]="All",LCI_Table[[#This Row],[Conversion]]=SelectedConversion)</f>
        <v>0</v>
      </c>
      <c r="I2147" s="14" t="b">
        <f>OR(LCI_Table[[#This Row],[Data Set]]="all",LCI_Table[[#This Row],[Data Set]]=SelectedDataSet)</f>
        <v>0</v>
      </c>
      <c r="J2147" s="14" t="b">
        <f>OR(LCI_Table[[#This Row],[Technology]]="All",LCI_Table[[#This Row],[Technology]]=SelectedTechnology)</f>
        <v>1</v>
      </c>
      <c r="K2147" s="14" t="b">
        <f>OR(LCI_Table[[#This Row],[Data Source]]="All",LCI_Table[[#This Row],[Data Source]]=SelectedDataSource)</f>
        <v>0</v>
      </c>
      <c r="L2147" s="14" t="b">
        <f>TRUE</f>
        <v>1</v>
      </c>
      <c r="M2147" s="14" t="b">
        <f>(LCI_Table[[#This Row],[Dev Notes]]="Do not display")</f>
        <v>0</v>
      </c>
      <c r="N2147" s="14" t="b">
        <f>AND(LCI_Table[[#This Row],[Show Feedstock]:[Conditional]],NOT(LCI_Table[[#This Row],[Hide Row]]))</f>
        <v>0</v>
      </c>
      <c r="O2147" s="14" t="b">
        <f>LCI_Table[[#This Row],[GREET1 Name Range]]=""</f>
        <v>0</v>
      </c>
      <c r="P2147" s="14" t="s">
        <v>14</v>
      </c>
      <c r="Q2147" s="14" t="s">
        <v>980</v>
      </c>
      <c r="R2147" s="348" t="s">
        <v>110</v>
      </c>
      <c r="S2147" s="37" cm="1">
        <f t="array" aca="1" ref="S21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47" s="346" t="s">
        <v>1561</v>
      </c>
      <c r="U2147" s="347">
        <f ca="1">S2147/BTU2kWh/$S$2134/ton2MT</f>
        <v>0</v>
      </c>
      <c r="V2147" s="347">
        <v>0</v>
      </c>
      <c r="W2147" s="347">
        <v>0</v>
      </c>
      <c r="X2147" s="14" t="s">
        <v>51</v>
      </c>
      <c r="Y2147" s="346" t="s">
        <v>413</v>
      </c>
      <c r="Z2147" s="14" t="str">
        <f>IF(ISBLANK(LCI_Table[[#This Row],[Notes for user]])," ",LCI_Table[[#This Row],[Notes for user]])</f>
        <v xml:space="preserve"> </v>
      </c>
      <c r="AA2147" s="14"/>
      <c r="AB2147" s="14"/>
      <c r="AC2147" s="346">
        <f ca="1">LCI_Table[[#This Row],[Default Calculated Value]]-LCI_Table[[#This Row],[Calculated Value]]</f>
        <v>0</v>
      </c>
    </row>
    <row r="2148" spans="1:29" x14ac:dyDescent="0.3">
      <c r="A21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ATJICAOJRC(blank)_Sugarcane_BiodieselBiodiesel</v>
      </c>
      <c r="B2148" s="14" t="s">
        <v>447</v>
      </c>
      <c r="C2148" s="14" t="s">
        <v>883</v>
      </c>
      <c r="D2148" s="14" t="s">
        <v>194</v>
      </c>
      <c r="E2148" s="14" t="s">
        <v>355</v>
      </c>
      <c r="F2148" s="48" t="s">
        <v>31</v>
      </c>
      <c r="G2148" s="14" t="b">
        <f>OR(LCI_Table[[#This Row],[Feedstock]]="All",LCI_Table[[#This Row],[Feedstock]]=SelectedFeedstock)</f>
        <v>0</v>
      </c>
      <c r="H2148" s="14" t="b">
        <f>OR(LCI_Table[[#This Row],[Conversion]]="All",LCI_Table[[#This Row],[Conversion]]=SelectedConversion)</f>
        <v>0</v>
      </c>
      <c r="I2148" s="14" t="b">
        <f>OR(LCI_Table[[#This Row],[Data Set]]="all",LCI_Table[[#This Row],[Data Set]]=SelectedDataSet)</f>
        <v>0</v>
      </c>
      <c r="J2148" s="14" t="b">
        <f>OR(LCI_Table[[#This Row],[Technology]]="All",LCI_Table[[#This Row],[Technology]]=SelectedTechnology)</f>
        <v>1</v>
      </c>
      <c r="K2148" s="14" t="b">
        <f>OR(LCI_Table[[#This Row],[Data Source]]="All",LCI_Table[[#This Row],[Data Source]]=SelectedDataSource)</f>
        <v>0</v>
      </c>
      <c r="L2148" s="14" t="b">
        <f>TRUE</f>
        <v>1</v>
      </c>
      <c r="M2148" s="14" t="b">
        <f>(LCI_Table[[#This Row],[Dev Notes]]="Do not display")</f>
        <v>0</v>
      </c>
      <c r="N2148" s="14" t="b">
        <f>AND(LCI_Table[[#This Row],[Show Feedstock]:[Conditional]],NOT(LCI_Table[[#This Row],[Hide Row]]))</f>
        <v>0</v>
      </c>
      <c r="O2148" s="14" t="b">
        <f>LCI_Table[[#This Row],[GREET1 Name Range]]=""</f>
        <v>0</v>
      </c>
      <c r="P2148" s="14" t="s">
        <v>14</v>
      </c>
      <c r="Q2148" s="14" t="s">
        <v>1393</v>
      </c>
      <c r="R2148" s="348" t="s">
        <v>1394</v>
      </c>
      <c r="S2148" s="37" cm="1">
        <f t="array" aca="1" ref="S21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48" s="346" t="s">
        <v>1484</v>
      </c>
      <c r="U2148" s="347">
        <f ca="1">S2148/BTU2kWh/$S$2114/ton2MT</f>
        <v>0</v>
      </c>
      <c r="V2148" s="347">
        <v>0</v>
      </c>
      <c r="W2148" s="347">
        <v>0</v>
      </c>
      <c r="X2148" s="14" t="s">
        <v>5</v>
      </c>
      <c r="Y2148" s="346" t="s">
        <v>413</v>
      </c>
      <c r="Z2148" s="14" t="str">
        <f>IF(ISBLANK(LCI_Table[[#This Row],[Notes for user]])," ",LCI_Table[[#This Row],[Notes for user]])</f>
        <v xml:space="preserve"> </v>
      </c>
      <c r="AA2148" s="14"/>
      <c r="AB2148" s="14"/>
      <c r="AC2148" s="346">
        <f ca="1">LCI_Table[[#This Row],[Default Calculated Value]]-LCI_Table[[#This Row],[Calculated Value]]</f>
        <v>0</v>
      </c>
    </row>
    <row r="2149" spans="1:29" x14ac:dyDescent="0.3">
      <c r="A21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ATJICAOJRC(blank)_Sugarcane_i_BuOH_ATJ_SugarcaneSugarcane</v>
      </c>
      <c r="B2149" s="14" t="s">
        <v>447</v>
      </c>
      <c r="C2149" s="14" t="s">
        <v>883</v>
      </c>
      <c r="D2149" s="14" t="s">
        <v>194</v>
      </c>
      <c r="E2149" s="14" t="s">
        <v>355</v>
      </c>
      <c r="F2149" s="48" t="s">
        <v>31</v>
      </c>
      <c r="G2149" s="14" t="b">
        <f>OR(LCI_Table[[#This Row],[Feedstock]]="All",LCI_Table[[#This Row],[Feedstock]]=SelectedFeedstock)</f>
        <v>0</v>
      </c>
      <c r="H2149" s="14" t="b">
        <f>OR(LCI_Table[[#This Row],[Conversion]]="All",LCI_Table[[#This Row],[Conversion]]=SelectedConversion)</f>
        <v>0</v>
      </c>
      <c r="I2149" s="14" t="b">
        <f>OR(LCI_Table[[#This Row],[Data Set]]="all",LCI_Table[[#This Row],[Data Set]]=SelectedDataSet)</f>
        <v>0</v>
      </c>
      <c r="J2149" s="14" t="b">
        <f>OR(LCI_Table[[#This Row],[Technology]]="All",LCI_Table[[#This Row],[Technology]]=SelectedTechnology)</f>
        <v>1</v>
      </c>
      <c r="K2149" s="14" t="b">
        <f>OR(LCI_Table[[#This Row],[Data Source]]="All",LCI_Table[[#This Row],[Data Source]]=SelectedDataSource)</f>
        <v>0</v>
      </c>
      <c r="L2149" s="14" t="b">
        <f>TRUE</f>
        <v>1</v>
      </c>
      <c r="M2149" s="14" t="b">
        <f>(LCI_Table[[#This Row],[Dev Notes]]="Do not display")</f>
        <v>0</v>
      </c>
      <c r="N2149" s="14" t="b">
        <f>AND(LCI_Table[[#This Row],[Show Feedstock]:[Conditional]],NOT(LCI_Table[[#This Row],[Hide Row]]))</f>
        <v>0</v>
      </c>
      <c r="O2149" s="14" t="b">
        <f>LCI_Table[[#This Row],[GREET1 Name Range]]=""</f>
        <v>0</v>
      </c>
      <c r="P2149" s="358" t="s">
        <v>1448</v>
      </c>
      <c r="Q2149" s="14" t="s">
        <v>1019</v>
      </c>
      <c r="R2149" s="14" t="s">
        <v>447</v>
      </c>
      <c r="S2149" s="37" cm="1">
        <f t="array" aca="1" ref="S21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1112.8934212726563</v>
      </c>
      <c r="T2149" s="346" t="s">
        <v>2119</v>
      </c>
      <c r="U2149" s="347">
        <f ca="1">S2149/kg2lb*MJ2mmBTU</f>
        <v>0.47845804988662122</v>
      </c>
      <c r="V2149" s="347">
        <v>1112.8934212726563</v>
      </c>
      <c r="W2149" s="347">
        <v>0.47845804988662122</v>
      </c>
      <c r="X2149" s="14" t="s">
        <v>12</v>
      </c>
      <c r="Y2149" s="346" t="s">
        <v>416</v>
      </c>
      <c r="Z2149" s="14" t="str">
        <f>IF(ISBLANK(LCI_Table[[#This Row],[Notes for user]])," ",LCI_Table[[#This Row],[Notes for user]])</f>
        <v xml:space="preserve"> </v>
      </c>
      <c r="AA2149" s="14"/>
      <c r="AB2149" s="358"/>
      <c r="AC2149" s="346">
        <f ca="1">LCI_Table[[#This Row],[Default Calculated Value]]-LCI_Table[[#This Row],[Calculated Value]]</f>
        <v>0</v>
      </c>
    </row>
    <row r="2150" spans="1:29" x14ac:dyDescent="0.3">
      <c r="A21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ATJICAOJRC(blank)_Sugarcane_i_BuOH_ATJ_Quicklime_CaOQuicklime (CaO)</v>
      </c>
      <c r="B2150" s="14" t="s">
        <v>447</v>
      </c>
      <c r="C2150" s="14" t="s">
        <v>883</v>
      </c>
      <c r="D2150" s="14" t="s">
        <v>194</v>
      </c>
      <c r="E2150" s="14" t="s">
        <v>355</v>
      </c>
      <c r="F2150" s="48" t="s">
        <v>31</v>
      </c>
      <c r="G2150" s="14" t="b">
        <f>OR(LCI_Table[[#This Row],[Feedstock]]="All",LCI_Table[[#This Row],[Feedstock]]=SelectedFeedstock)</f>
        <v>0</v>
      </c>
      <c r="H2150" s="14" t="b">
        <f>OR(LCI_Table[[#This Row],[Conversion]]="All",LCI_Table[[#This Row],[Conversion]]=SelectedConversion)</f>
        <v>0</v>
      </c>
      <c r="I2150" s="14" t="b">
        <f>OR(LCI_Table[[#This Row],[Data Set]]="all",LCI_Table[[#This Row],[Data Set]]=SelectedDataSet)</f>
        <v>0</v>
      </c>
      <c r="J2150" s="14" t="b">
        <f>OR(LCI_Table[[#This Row],[Technology]]="All",LCI_Table[[#This Row],[Technology]]=SelectedTechnology)</f>
        <v>1</v>
      </c>
      <c r="K2150" s="14" t="b">
        <f>OR(LCI_Table[[#This Row],[Data Source]]="All",LCI_Table[[#This Row],[Data Source]]=SelectedDataSource)</f>
        <v>0</v>
      </c>
      <c r="L2150" s="14" t="b">
        <f>TRUE</f>
        <v>1</v>
      </c>
      <c r="M2150" s="14" t="b">
        <f>(LCI_Table[[#This Row],[Dev Notes]]="Do not display")</f>
        <v>0</v>
      </c>
      <c r="N2150" s="14" t="b">
        <f>AND(LCI_Table[[#This Row],[Show Feedstock]:[Conditional]],NOT(LCI_Table[[#This Row],[Hide Row]]))</f>
        <v>0</v>
      </c>
      <c r="O2150" s="14" t="b">
        <f>LCI_Table[[#This Row],[GREET1 Name Range]]=""</f>
        <v>0</v>
      </c>
      <c r="P2150" s="358" t="s">
        <v>1448</v>
      </c>
      <c r="Q2150" s="14" t="s">
        <v>1020</v>
      </c>
      <c r="R2150" s="14" t="s">
        <v>404</v>
      </c>
      <c r="S2150" s="37" cm="1">
        <f t="array" aca="1" ref="S21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0.98103401116926081</v>
      </c>
      <c r="T2150" s="346" t="s">
        <v>2119</v>
      </c>
      <c r="U2150" s="347">
        <f ca="1">S2150/g2lb*MJ2mmBTU</f>
        <v>0.42176870748299305</v>
      </c>
      <c r="V2150" s="347">
        <v>0.98103401116926081</v>
      </c>
      <c r="W2150" s="347">
        <v>0.42176870748299305</v>
      </c>
      <c r="X2150" s="14" t="s">
        <v>12</v>
      </c>
      <c r="Y2150" s="346" t="s">
        <v>416</v>
      </c>
      <c r="Z2150" s="14" t="str">
        <f>IF(ISBLANK(LCI_Table[[#This Row],[Notes for user]])," ",LCI_Table[[#This Row],[Notes for user]])</f>
        <v xml:space="preserve"> </v>
      </c>
      <c r="AA2150" s="14"/>
      <c r="AB2150" s="14"/>
      <c r="AC2150" s="346">
        <f ca="1">LCI_Table[[#This Row],[Default Calculated Value]]-LCI_Table[[#This Row],[Calculated Value]]</f>
        <v>0</v>
      </c>
    </row>
    <row r="2151" spans="1:29" x14ac:dyDescent="0.3">
      <c r="A21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ATJICAOJRC(blank)_Sugarcane_i_BuOH_ATJ_HydrogenHydrogen</v>
      </c>
      <c r="B2151" s="14" t="s">
        <v>447</v>
      </c>
      <c r="C2151" s="14" t="s">
        <v>883</v>
      </c>
      <c r="D2151" s="358" t="s">
        <v>194</v>
      </c>
      <c r="E2151" s="14" t="s">
        <v>355</v>
      </c>
      <c r="F2151" s="48" t="s">
        <v>31</v>
      </c>
      <c r="G2151" s="14" t="b">
        <f>OR(LCI_Table[[#This Row],[Feedstock]]="All",LCI_Table[[#This Row],[Feedstock]]=SelectedFeedstock)</f>
        <v>0</v>
      </c>
      <c r="H2151" s="14" t="b">
        <f>OR(LCI_Table[[#This Row],[Conversion]]="All",LCI_Table[[#This Row],[Conversion]]=SelectedConversion)</f>
        <v>0</v>
      </c>
      <c r="I2151" s="14" t="b">
        <f>OR(LCI_Table[[#This Row],[Data Set]]="all",LCI_Table[[#This Row],[Data Set]]=SelectedDataSet)</f>
        <v>0</v>
      </c>
      <c r="J2151" s="14" t="b">
        <f>OR(LCI_Table[[#This Row],[Technology]]="All",LCI_Table[[#This Row],[Technology]]=SelectedTechnology)</f>
        <v>1</v>
      </c>
      <c r="K2151" s="14" t="b">
        <f>OR(LCI_Table[[#This Row],[Data Source]]="All",LCI_Table[[#This Row],[Data Source]]=SelectedDataSource)</f>
        <v>0</v>
      </c>
      <c r="L2151" s="14" t="b">
        <f>TRUE</f>
        <v>1</v>
      </c>
      <c r="M2151" s="14" t="b">
        <f>(LCI_Table[[#This Row],[Dev Notes]]="Do not display")</f>
        <v>0</v>
      </c>
      <c r="N2151" s="14" t="b">
        <f>AND(LCI_Table[[#This Row],[Show Feedstock]:[Conditional]],NOT(LCI_Table[[#This Row],[Hide Row]]))</f>
        <v>0</v>
      </c>
      <c r="O2151" s="14" t="b">
        <f>LCI_Table[[#This Row],[GREET1 Name Range]]=""</f>
        <v>0</v>
      </c>
      <c r="P2151" s="358" t="s">
        <v>1448</v>
      </c>
      <c r="Q2151" s="14" t="s">
        <v>1021</v>
      </c>
      <c r="R2151" s="358" t="s">
        <v>73</v>
      </c>
      <c r="S2151" s="37" cm="1">
        <f t="array" aca="1" ref="S21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67.550594637855127</v>
      </c>
      <c r="T2151" s="346" t="s">
        <v>2120</v>
      </c>
      <c r="U2151" s="347">
        <f ca="1">S2151*Fuel_Specs!$B$81/mmBTU2MJ</f>
        <v>18.567426970788311</v>
      </c>
      <c r="V2151" s="359">
        <v>67.550594637855127</v>
      </c>
      <c r="W2151" s="347">
        <v>18.567426970788311</v>
      </c>
      <c r="X2151" s="360" t="s">
        <v>351</v>
      </c>
      <c r="Y2151" s="346" t="s">
        <v>416</v>
      </c>
      <c r="Z2151" s="14" t="str">
        <f>IF(ISBLANK(LCI_Table[[#This Row],[Notes for user]])," ",LCI_Table[[#This Row],[Notes for user]])</f>
        <v xml:space="preserve"> </v>
      </c>
      <c r="AA2151" s="14"/>
      <c r="AB2151" s="358"/>
      <c r="AC2151" s="346">
        <f ca="1">LCI_Table[[#This Row],[Default Calculated Value]]-LCI_Table[[#This Row],[Calculated Value]]</f>
        <v>0</v>
      </c>
    </row>
    <row r="2152" spans="1:29" x14ac:dyDescent="0.3">
      <c r="A21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ATJICAOJRC(blank)_Sugarcane_i_BuOH_ATJ_Natural_gasNatural gas</v>
      </c>
      <c r="B2152" s="14" t="s">
        <v>447</v>
      </c>
      <c r="C2152" s="14" t="s">
        <v>883</v>
      </c>
      <c r="D2152" s="14" t="s">
        <v>194</v>
      </c>
      <c r="E2152" s="14" t="s">
        <v>355</v>
      </c>
      <c r="F2152" s="48" t="s">
        <v>31</v>
      </c>
      <c r="G2152" s="14" t="b">
        <f>OR(LCI_Table[[#This Row],[Feedstock]]="All",LCI_Table[[#This Row],[Feedstock]]=SelectedFeedstock)</f>
        <v>0</v>
      </c>
      <c r="H2152" s="14" t="b">
        <f>OR(LCI_Table[[#This Row],[Conversion]]="All",LCI_Table[[#This Row],[Conversion]]=SelectedConversion)</f>
        <v>0</v>
      </c>
      <c r="I2152" s="14" t="b">
        <f>OR(LCI_Table[[#This Row],[Data Set]]="all",LCI_Table[[#This Row],[Data Set]]=SelectedDataSet)</f>
        <v>0</v>
      </c>
      <c r="J2152" s="14" t="b">
        <f>OR(LCI_Table[[#This Row],[Technology]]="All",LCI_Table[[#This Row],[Technology]]=SelectedTechnology)</f>
        <v>1</v>
      </c>
      <c r="K2152" s="14" t="b">
        <f>OR(LCI_Table[[#This Row],[Data Source]]="All",LCI_Table[[#This Row],[Data Source]]=SelectedDataSource)</f>
        <v>0</v>
      </c>
      <c r="L2152" s="14" t="b">
        <f>TRUE</f>
        <v>1</v>
      </c>
      <c r="M2152" s="14" t="b">
        <f>(LCI_Table[[#This Row],[Dev Notes]]="Do not display")</f>
        <v>0</v>
      </c>
      <c r="N2152" s="14" t="b">
        <f>AND(LCI_Table[[#This Row],[Show Feedstock]:[Conditional]],NOT(LCI_Table[[#This Row],[Hide Row]]))</f>
        <v>0</v>
      </c>
      <c r="O2152" s="14" t="b">
        <f>LCI_Table[[#This Row],[GREET1 Name Range]]=""</f>
        <v>0</v>
      </c>
      <c r="P2152" s="14" t="s">
        <v>1448</v>
      </c>
      <c r="Q2152" s="14" t="s">
        <v>1022</v>
      </c>
      <c r="R2152" s="14" t="s">
        <v>108</v>
      </c>
      <c r="S2152" s="37" cm="1">
        <f t="array" aca="1" ref="S21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52" s="346" t="s">
        <v>2120</v>
      </c>
      <c r="U2152" s="347">
        <f ca="1">S2152*Fuel_Specs!$B$79/mmBTU2MJ</f>
        <v>0</v>
      </c>
      <c r="V2152" s="347">
        <v>0</v>
      </c>
      <c r="W2152" s="347">
        <v>0</v>
      </c>
      <c r="X2152" s="14" t="s">
        <v>351</v>
      </c>
      <c r="Y2152" s="346" t="s">
        <v>416</v>
      </c>
      <c r="Z2152" s="14" t="str">
        <f>IF(ISBLANK(LCI_Table[[#This Row],[Notes for user]])," ",LCI_Table[[#This Row],[Notes for user]])</f>
        <v xml:space="preserve"> </v>
      </c>
      <c r="AA2152" s="14"/>
      <c r="AB2152" s="14"/>
      <c r="AC2152" s="346">
        <f ca="1">LCI_Table[[#This Row],[Default Calculated Value]]-LCI_Table[[#This Row],[Calculated Value]]</f>
        <v>0</v>
      </c>
    </row>
    <row r="2153" spans="1:29" x14ac:dyDescent="0.3">
      <c r="A21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ATJICAOJRC(blank)_Sugarcane_i_BuOH_ATJ_Allocation_FactorAllocation factor</v>
      </c>
      <c r="B2153" s="14" t="s">
        <v>447</v>
      </c>
      <c r="C2153" s="14" t="s">
        <v>883</v>
      </c>
      <c r="D2153" s="14" t="s">
        <v>194</v>
      </c>
      <c r="E2153" s="14" t="s">
        <v>355</v>
      </c>
      <c r="F2153" s="48" t="s">
        <v>31</v>
      </c>
      <c r="G2153" s="14" t="b">
        <f>OR(LCI_Table[[#This Row],[Feedstock]]="All",LCI_Table[[#This Row],[Feedstock]]=SelectedFeedstock)</f>
        <v>0</v>
      </c>
      <c r="H2153" s="14" t="b">
        <f>OR(LCI_Table[[#This Row],[Conversion]]="All",LCI_Table[[#This Row],[Conversion]]=SelectedConversion)</f>
        <v>0</v>
      </c>
      <c r="I2153" s="14" t="b">
        <f>OR(LCI_Table[[#This Row],[Data Set]]="all",LCI_Table[[#This Row],[Data Set]]=SelectedDataSet)</f>
        <v>0</v>
      </c>
      <c r="J2153" s="14" t="b">
        <f>OR(LCI_Table[[#This Row],[Technology]]="All",LCI_Table[[#This Row],[Technology]]=SelectedTechnology)</f>
        <v>1</v>
      </c>
      <c r="K2153" s="14" t="b">
        <f>OR(LCI_Table[[#This Row],[Data Source]]="All",LCI_Table[[#This Row],[Data Source]]=SelectedDataSource)</f>
        <v>0</v>
      </c>
      <c r="L2153" s="14" t="b">
        <f>TRUE</f>
        <v>1</v>
      </c>
      <c r="M2153" s="14" t="b">
        <f>(LCI_Table[[#This Row],[Dev Notes]]="Do not display")</f>
        <v>0</v>
      </c>
      <c r="N2153" s="14" t="b">
        <f>AND(LCI_Table[[#This Row],[Show Feedstock]:[Conditional]],NOT(LCI_Table[[#This Row],[Hide Row]]))</f>
        <v>0</v>
      </c>
      <c r="O2153" s="14" t="b">
        <f>LCI_Table[[#This Row],[GREET1 Name Range]]=""</f>
        <v>0</v>
      </c>
      <c r="P2153" s="14" t="s">
        <v>1448</v>
      </c>
      <c r="Q2153" s="14" t="s">
        <v>1097</v>
      </c>
      <c r="R2153" s="14" t="s">
        <v>1344</v>
      </c>
      <c r="S2153" s="37" cm="1">
        <f t="array" aca="1" ref="S21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83.055581099301151</v>
      </c>
      <c r="T2153" s="346" t="s">
        <v>1345</v>
      </c>
      <c r="U2153" s="347">
        <f ca="1">LCI_Table[[#This Row],[Dashboard Value]]/100</f>
        <v>0.83055581099301146</v>
      </c>
      <c r="V2153" s="347">
        <v>83.055581099301151</v>
      </c>
      <c r="W2153" s="347">
        <v>0.83055581099301146</v>
      </c>
      <c r="X2153" s="14"/>
      <c r="Y2153" s="346"/>
      <c r="Z2153" s="14" t="str">
        <f>IF(ISBLANK(LCI_Table[[#This Row],[Notes for user]])," ",LCI_Table[[#This Row],[Notes for user]])</f>
        <v xml:space="preserve"> </v>
      </c>
      <c r="AA2153" s="14"/>
      <c r="AB2153" s="14"/>
      <c r="AC2153" s="346">
        <f ca="1">LCI_Table[[#This Row],[Default Calculated Value]]-LCI_Table[[#This Row],[Calculated Value]]</f>
        <v>0</v>
      </c>
    </row>
    <row r="2154" spans="1:29" x14ac:dyDescent="0.3">
      <c r="A21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dash_Sugarcanei-BuOH ATJICAOCTBE(blank)_Yield_Farming</v>
      </c>
      <c r="B2154" s="48" t="s">
        <v>447</v>
      </c>
      <c r="C2154" s="48" t="s">
        <v>883</v>
      </c>
      <c r="D2154" s="48" t="s">
        <v>194</v>
      </c>
      <c r="E2154" s="48" t="s">
        <v>882</v>
      </c>
      <c r="F2154" s="48" t="s">
        <v>31</v>
      </c>
      <c r="G2154" s="14" t="b">
        <f>OR(LCI_Table[[#This Row],[Feedstock]]="All",LCI_Table[[#This Row],[Feedstock]]=SelectedFeedstock)</f>
        <v>0</v>
      </c>
      <c r="H2154" s="14" t="b">
        <f>OR(LCI_Table[[#This Row],[Conversion]]="All",LCI_Table[[#This Row],[Conversion]]=SelectedConversion)</f>
        <v>0</v>
      </c>
      <c r="I2154" s="14" t="b">
        <f>OR(LCI_Table[[#This Row],[Data Set]]="all",LCI_Table[[#This Row],[Data Set]]=SelectedDataSet)</f>
        <v>0</v>
      </c>
      <c r="J2154" s="14" t="b">
        <f>OR(LCI_Table[[#This Row],[Technology]]="All",LCI_Table[[#This Row],[Technology]]=SelectedTechnology)</f>
        <v>1</v>
      </c>
      <c r="K2154" s="14" t="b">
        <f>OR(LCI_Table[[#This Row],[Data Source]]="All",LCI_Table[[#This Row],[Data Source]]=SelectedDataSource)</f>
        <v>0</v>
      </c>
      <c r="L2154" s="14" t="b">
        <f>TRUE</f>
        <v>1</v>
      </c>
      <c r="M2154" s="14" t="b">
        <f>(LCI_Table[[#This Row],[Dev Notes]]="Do not display")</f>
        <v>0</v>
      </c>
      <c r="N2154" s="14" t="b">
        <f>AND(LCI_Table[[#This Row],[Show Feedstock]:[Conditional]],NOT(LCI_Table[[#This Row],[Hide Row]]))</f>
        <v>0</v>
      </c>
      <c r="O2154" s="14" t="b">
        <f>LCI_Table[[#This Row],[GREET1 Name Range]]=""</f>
        <v>1</v>
      </c>
      <c r="P2154" s="48" t="s">
        <v>14</v>
      </c>
      <c r="Q2154" s="14" t="s">
        <v>361</v>
      </c>
      <c r="R2154" s="48" t="s">
        <v>200</v>
      </c>
      <c r="S2154" s="37" cm="1">
        <f t="array" aca="1" ref="S21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33.90285895884481</v>
      </c>
      <c r="T2154" s="346" t="s">
        <v>2116</v>
      </c>
      <c r="U2154" s="344"/>
      <c r="V2154" s="344">
        <v>33.90285895884481</v>
      </c>
      <c r="W2154" s="344"/>
      <c r="X2154" s="48" t="s">
        <v>55</v>
      </c>
      <c r="Y2154" s="346" t="s">
        <v>413</v>
      </c>
      <c r="Z2154" s="14" t="str">
        <f>IF(ISBLANK(LCI_Table[[#This Row],[Notes for user]])," ",LCI_Table[[#This Row],[Notes for user]])</f>
        <v xml:space="preserve"> </v>
      </c>
      <c r="AA2154" s="48"/>
      <c r="AB2154" s="345" t="s">
        <v>923</v>
      </c>
      <c r="AC2154" s="346">
        <f>LCI_Table[[#This Row],[Default Calculated Value]]-LCI_Table[[#This Row],[Calculated Value]]</f>
        <v>0</v>
      </c>
    </row>
    <row r="2155" spans="1:29" x14ac:dyDescent="0.3">
      <c r="A21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ATJICAOCTBE(blank)_Sugarcane_Nitrogen_fertilizerNitrogen fertilizer</v>
      </c>
      <c r="B2155" s="14" t="s">
        <v>447</v>
      </c>
      <c r="C2155" s="14" t="s">
        <v>883</v>
      </c>
      <c r="D2155" s="14" t="s">
        <v>194</v>
      </c>
      <c r="E2155" s="14" t="s">
        <v>882</v>
      </c>
      <c r="F2155" s="48" t="s">
        <v>31</v>
      </c>
      <c r="G2155" s="14" t="b">
        <f>OR(LCI_Table[[#This Row],[Feedstock]]="All",LCI_Table[[#This Row],[Feedstock]]=SelectedFeedstock)</f>
        <v>0</v>
      </c>
      <c r="H2155" s="14" t="b">
        <f>OR(LCI_Table[[#This Row],[Conversion]]="All",LCI_Table[[#This Row],[Conversion]]=SelectedConversion)</f>
        <v>0</v>
      </c>
      <c r="I2155" s="14" t="b">
        <f>OR(LCI_Table[[#This Row],[Data Set]]="all",LCI_Table[[#This Row],[Data Set]]=SelectedDataSet)</f>
        <v>0</v>
      </c>
      <c r="J2155" s="14" t="b">
        <f>OR(LCI_Table[[#This Row],[Technology]]="All",LCI_Table[[#This Row],[Technology]]=SelectedTechnology)</f>
        <v>1</v>
      </c>
      <c r="K2155" s="14" t="b">
        <f>OR(LCI_Table[[#This Row],[Data Source]]="All",LCI_Table[[#This Row],[Data Source]]=SelectedDataSource)</f>
        <v>0</v>
      </c>
      <c r="L2155" s="14" t="b">
        <f>TRUE</f>
        <v>1</v>
      </c>
      <c r="M2155" s="14" t="b">
        <f>(LCI_Table[[#This Row],[Dev Notes]]="Do not display")</f>
        <v>0</v>
      </c>
      <c r="N2155" s="14" t="b">
        <f>AND(LCI_Table[[#This Row],[Show Feedstock]:[Conditional]],NOT(LCI_Table[[#This Row],[Hide Row]]))</f>
        <v>0</v>
      </c>
      <c r="O2155" s="14" t="b">
        <f>LCI_Table[[#This Row],[GREET1 Name Range]]=""</f>
        <v>0</v>
      </c>
      <c r="P2155" s="14" t="s">
        <v>14</v>
      </c>
      <c r="Q2155" s="14" t="s">
        <v>968</v>
      </c>
      <c r="R2155" s="14" t="s">
        <v>111</v>
      </c>
      <c r="S2155" s="37" cm="1">
        <f t="array" aca="1" ref="S21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100.55766403293156</v>
      </c>
      <c r="T2155" s="346" t="s">
        <v>1485</v>
      </c>
      <c r="U2155" s="347">
        <f t="shared" ref="U2155:U2160" ca="1" si="145">S2155*lb2g/$S$2154/ton2MT</f>
        <v>1483.0263157894738</v>
      </c>
      <c r="V2155" s="347">
        <v>100.55766403293156</v>
      </c>
      <c r="W2155" s="347">
        <v>1483.0263157894738</v>
      </c>
      <c r="X2155" s="14" t="s">
        <v>12</v>
      </c>
      <c r="Y2155" s="346" t="s">
        <v>413</v>
      </c>
      <c r="Z2155" s="14" t="str">
        <f>IF(ISBLANK(LCI_Table[[#This Row],[Notes for user]])," ",LCI_Table[[#This Row],[Notes for user]])</f>
        <v xml:space="preserve"> </v>
      </c>
      <c r="AA2155" s="14"/>
      <c r="AB2155" s="14"/>
      <c r="AC2155" s="346">
        <f ca="1">LCI_Table[[#This Row],[Default Calculated Value]]-LCI_Table[[#This Row],[Calculated Value]]</f>
        <v>0</v>
      </c>
    </row>
    <row r="2156" spans="1:29" x14ac:dyDescent="0.3">
      <c r="A21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ATJICAOCTBE(blank)_Sugarcane_P2O5P2O5</v>
      </c>
      <c r="B2156" s="14" t="s">
        <v>447</v>
      </c>
      <c r="C2156" s="14" t="s">
        <v>883</v>
      </c>
      <c r="D2156" s="14" t="s">
        <v>194</v>
      </c>
      <c r="E2156" s="14" t="s">
        <v>882</v>
      </c>
      <c r="F2156" s="48" t="s">
        <v>31</v>
      </c>
      <c r="G2156" s="14" t="b">
        <f>OR(LCI_Table[[#This Row],[Feedstock]]="All",LCI_Table[[#This Row],[Feedstock]]=SelectedFeedstock)</f>
        <v>0</v>
      </c>
      <c r="H2156" s="14" t="b">
        <f>OR(LCI_Table[[#This Row],[Conversion]]="All",LCI_Table[[#This Row],[Conversion]]=SelectedConversion)</f>
        <v>0</v>
      </c>
      <c r="I2156" s="14" t="b">
        <f>OR(LCI_Table[[#This Row],[Data Set]]="all",LCI_Table[[#This Row],[Data Set]]=SelectedDataSet)</f>
        <v>0</v>
      </c>
      <c r="J2156" s="14" t="b">
        <f>OR(LCI_Table[[#This Row],[Technology]]="All",LCI_Table[[#This Row],[Technology]]=SelectedTechnology)</f>
        <v>1</v>
      </c>
      <c r="K2156" s="14" t="b">
        <f>OR(LCI_Table[[#This Row],[Data Source]]="All",LCI_Table[[#This Row],[Data Source]]=SelectedDataSource)</f>
        <v>0</v>
      </c>
      <c r="L2156" s="14" t="b">
        <f>TRUE</f>
        <v>1</v>
      </c>
      <c r="M2156" s="14" t="b">
        <f>(LCI_Table[[#This Row],[Dev Notes]]="Do not display")</f>
        <v>0</v>
      </c>
      <c r="N2156" s="14" t="b">
        <f>AND(LCI_Table[[#This Row],[Show Feedstock]:[Conditional]],NOT(LCI_Table[[#This Row],[Hide Row]]))</f>
        <v>0</v>
      </c>
      <c r="O2156" s="14" t="b">
        <f>LCI_Table[[#This Row],[GREET1 Name Range]]=""</f>
        <v>0</v>
      </c>
      <c r="P2156" s="14" t="s">
        <v>14</v>
      </c>
      <c r="Q2156" s="14" t="s">
        <v>969</v>
      </c>
      <c r="R2156" s="14" t="s">
        <v>112</v>
      </c>
      <c r="S2156" s="37" cm="1">
        <f t="array" aca="1" ref="S21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8.5087254181711316</v>
      </c>
      <c r="T2156" s="346" t="s">
        <v>1485</v>
      </c>
      <c r="U2156" s="347">
        <f t="shared" ca="1" si="145"/>
        <v>125.48684210526318</v>
      </c>
      <c r="V2156" s="347">
        <v>8.5087254181711316</v>
      </c>
      <c r="W2156" s="347">
        <v>125.48684210526318</v>
      </c>
      <c r="X2156" s="14" t="s">
        <v>12</v>
      </c>
      <c r="Y2156" s="346" t="s">
        <v>413</v>
      </c>
      <c r="Z2156" s="14" t="str">
        <f>IF(ISBLANK(LCI_Table[[#This Row],[Notes for user]])," ",LCI_Table[[#This Row],[Notes for user]])</f>
        <v xml:space="preserve"> </v>
      </c>
      <c r="AA2156" s="14"/>
      <c r="AB2156" s="14"/>
      <c r="AC2156" s="346">
        <f ca="1">LCI_Table[[#This Row],[Default Calculated Value]]-LCI_Table[[#This Row],[Calculated Value]]</f>
        <v>0</v>
      </c>
    </row>
    <row r="2157" spans="1:29" x14ac:dyDescent="0.3">
      <c r="A21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ATJICAOCTBE(blank)_Sugarcane_K2OK2O</v>
      </c>
      <c r="B2157" s="14" t="s">
        <v>447</v>
      </c>
      <c r="C2157" s="14" t="s">
        <v>883</v>
      </c>
      <c r="D2157" s="14" t="s">
        <v>194</v>
      </c>
      <c r="E2157" s="14" t="s">
        <v>882</v>
      </c>
      <c r="F2157" s="48" t="s">
        <v>31</v>
      </c>
      <c r="G2157" s="14" t="b">
        <f>OR(LCI_Table[[#This Row],[Feedstock]]="All",LCI_Table[[#This Row],[Feedstock]]=SelectedFeedstock)</f>
        <v>0</v>
      </c>
      <c r="H2157" s="14" t="b">
        <f>OR(LCI_Table[[#This Row],[Conversion]]="All",LCI_Table[[#This Row],[Conversion]]=SelectedConversion)</f>
        <v>0</v>
      </c>
      <c r="I2157" s="14" t="b">
        <f>OR(LCI_Table[[#This Row],[Data Set]]="all",LCI_Table[[#This Row],[Data Set]]=SelectedDataSet)</f>
        <v>0</v>
      </c>
      <c r="J2157" s="14" t="b">
        <f>OR(LCI_Table[[#This Row],[Technology]]="All",LCI_Table[[#This Row],[Technology]]=SelectedTechnology)</f>
        <v>1</v>
      </c>
      <c r="K2157" s="14" t="b">
        <f>OR(LCI_Table[[#This Row],[Data Source]]="All",LCI_Table[[#This Row],[Data Source]]=SelectedDataSource)</f>
        <v>0</v>
      </c>
      <c r="L2157" s="14" t="b">
        <f>TRUE</f>
        <v>1</v>
      </c>
      <c r="M2157" s="14" t="b">
        <f>(LCI_Table[[#This Row],[Dev Notes]]="Do not display")</f>
        <v>0</v>
      </c>
      <c r="N2157" s="14" t="b">
        <f>AND(LCI_Table[[#This Row],[Show Feedstock]:[Conditional]],NOT(LCI_Table[[#This Row],[Hide Row]]))</f>
        <v>0</v>
      </c>
      <c r="O2157" s="14" t="b">
        <f>LCI_Table[[#This Row],[GREET1 Name Range]]=""</f>
        <v>0</v>
      </c>
      <c r="P2157" s="14" t="s">
        <v>14</v>
      </c>
      <c r="Q2157" s="14" t="s">
        <v>970</v>
      </c>
      <c r="R2157" s="14" t="s">
        <v>113</v>
      </c>
      <c r="S2157" s="37" cm="1">
        <f t="array" aca="1" ref="S21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99.010623047809531</v>
      </c>
      <c r="T2157" s="346" t="s">
        <v>1485</v>
      </c>
      <c r="U2157" s="347">
        <f t="shared" ca="1" si="145"/>
        <v>1460.2105263157898</v>
      </c>
      <c r="V2157" s="347">
        <v>99.010623047809531</v>
      </c>
      <c r="W2157" s="347">
        <v>1460.2105263157898</v>
      </c>
      <c r="X2157" s="14" t="s">
        <v>12</v>
      </c>
      <c r="Y2157" s="346" t="s">
        <v>413</v>
      </c>
      <c r="Z2157" s="14" t="str">
        <f>IF(ISBLANK(LCI_Table[[#This Row],[Notes for user]])," ",LCI_Table[[#This Row],[Notes for user]])</f>
        <v xml:space="preserve"> </v>
      </c>
      <c r="AA2157" s="14"/>
      <c r="AB2157" s="14"/>
      <c r="AC2157" s="346">
        <f ca="1">LCI_Table[[#This Row],[Default Calculated Value]]-LCI_Table[[#This Row],[Calculated Value]]</f>
        <v>0</v>
      </c>
    </row>
    <row r="2158" spans="1:29" x14ac:dyDescent="0.3">
      <c r="A21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ATJICAOCTBE(blank)_Sugarcane_CaCO3CaCO3</v>
      </c>
      <c r="B2158" s="14" t="s">
        <v>447</v>
      </c>
      <c r="C2158" s="14" t="s">
        <v>883</v>
      </c>
      <c r="D2158" s="14" t="s">
        <v>194</v>
      </c>
      <c r="E2158" s="14" t="s">
        <v>882</v>
      </c>
      <c r="F2158" s="48" t="s">
        <v>31</v>
      </c>
      <c r="G2158" s="14" t="b">
        <f>OR(LCI_Table[[#This Row],[Feedstock]]="All",LCI_Table[[#This Row],[Feedstock]]=SelectedFeedstock)</f>
        <v>0</v>
      </c>
      <c r="H2158" s="14" t="b">
        <f>OR(LCI_Table[[#This Row],[Conversion]]="All",LCI_Table[[#This Row],[Conversion]]=SelectedConversion)</f>
        <v>0</v>
      </c>
      <c r="I2158" s="14" t="b">
        <f>OR(LCI_Table[[#This Row],[Data Set]]="all",LCI_Table[[#This Row],[Data Set]]=SelectedDataSet)</f>
        <v>0</v>
      </c>
      <c r="J2158" s="14" t="b">
        <f>OR(LCI_Table[[#This Row],[Technology]]="All",LCI_Table[[#This Row],[Technology]]=SelectedTechnology)</f>
        <v>1</v>
      </c>
      <c r="K2158" s="14" t="b">
        <f>OR(LCI_Table[[#This Row],[Data Source]]="All",LCI_Table[[#This Row],[Data Source]]=SelectedDataSource)</f>
        <v>0</v>
      </c>
      <c r="L2158" s="14" t="b">
        <f>TRUE</f>
        <v>1</v>
      </c>
      <c r="M2158" s="14" t="b">
        <f>(LCI_Table[[#This Row],[Dev Notes]]="Do not display")</f>
        <v>0</v>
      </c>
      <c r="N2158" s="14" t="b">
        <f>AND(LCI_Table[[#This Row],[Show Feedstock]:[Conditional]],NOT(LCI_Table[[#This Row],[Hide Row]]))</f>
        <v>0</v>
      </c>
      <c r="O2158" s="14" t="b">
        <f>LCI_Table[[#This Row],[GREET1 Name Range]]=""</f>
        <v>0</v>
      </c>
      <c r="P2158" s="14" t="s">
        <v>14</v>
      </c>
      <c r="Q2158" s="14" t="s">
        <v>971</v>
      </c>
      <c r="R2158" s="14" t="s">
        <v>141</v>
      </c>
      <c r="S2158" s="37" cm="1">
        <f t="array" aca="1" ref="S21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406.87177908709225</v>
      </c>
      <c r="T2158" s="346" t="s">
        <v>1485</v>
      </c>
      <c r="U2158" s="347">
        <f t="shared" ca="1" si="145"/>
        <v>6000.5526315789484</v>
      </c>
      <c r="V2158" s="347">
        <v>406.87177908709225</v>
      </c>
      <c r="W2158" s="347">
        <v>6000.5526315789484</v>
      </c>
      <c r="X2158" s="14" t="s">
        <v>12</v>
      </c>
      <c r="Y2158" s="346" t="s">
        <v>413</v>
      </c>
      <c r="Z2158" s="14" t="str">
        <f>IF(ISBLANK(LCI_Table[[#This Row],[Notes for user]])," ",LCI_Table[[#This Row],[Notes for user]])</f>
        <v xml:space="preserve"> </v>
      </c>
      <c r="AA2158" s="14"/>
      <c r="AB2158" s="14" t="s">
        <v>924</v>
      </c>
      <c r="AC2158" s="346">
        <f ca="1">LCI_Table[[#This Row],[Default Calculated Value]]-LCI_Table[[#This Row],[Calculated Value]]</f>
        <v>0</v>
      </c>
    </row>
    <row r="2159" spans="1:29" x14ac:dyDescent="0.3">
      <c r="A21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ATJICAOCTBE(blank)_Sugarcane_HerbicidesHerbicides</v>
      </c>
      <c r="B2159" s="14" t="s">
        <v>447</v>
      </c>
      <c r="C2159" s="14" t="s">
        <v>883</v>
      </c>
      <c r="D2159" s="14" t="s">
        <v>194</v>
      </c>
      <c r="E2159" s="14" t="s">
        <v>882</v>
      </c>
      <c r="F2159" s="48" t="s">
        <v>31</v>
      </c>
      <c r="G2159" s="14" t="b">
        <f>OR(LCI_Table[[#This Row],[Feedstock]]="All",LCI_Table[[#This Row],[Feedstock]]=SelectedFeedstock)</f>
        <v>0</v>
      </c>
      <c r="H2159" s="14" t="b">
        <f>OR(LCI_Table[[#This Row],[Conversion]]="All",LCI_Table[[#This Row],[Conversion]]=SelectedConversion)</f>
        <v>0</v>
      </c>
      <c r="I2159" s="14" t="b">
        <f>OR(LCI_Table[[#This Row],[Data Set]]="all",LCI_Table[[#This Row],[Data Set]]=SelectedDataSet)</f>
        <v>0</v>
      </c>
      <c r="J2159" s="14" t="b">
        <f>OR(LCI_Table[[#This Row],[Technology]]="All",LCI_Table[[#This Row],[Technology]]=SelectedTechnology)</f>
        <v>1</v>
      </c>
      <c r="K2159" s="14" t="b">
        <f>OR(LCI_Table[[#This Row],[Data Source]]="All",LCI_Table[[#This Row],[Data Source]]=SelectedDataSource)</f>
        <v>0</v>
      </c>
      <c r="L2159" s="14" t="b">
        <f>TRUE</f>
        <v>1</v>
      </c>
      <c r="M2159" s="14" t="b">
        <f>(LCI_Table[[#This Row],[Dev Notes]]="Do not display")</f>
        <v>0</v>
      </c>
      <c r="N2159" s="14" t="b">
        <f>AND(LCI_Table[[#This Row],[Show Feedstock]:[Conditional]],NOT(LCI_Table[[#This Row],[Hide Row]]))</f>
        <v>0</v>
      </c>
      <c r="O2159" s="14" t="b">
        <f>LCI_Table[[#This Row],[GREET1 Name Range]]=""</f>
        <v>0</v>
      </c>
      <c r="P2159" s="14" t="s">
        <v>14</v>
      </c>
      <c r="Q2159" s="14" t="s">
        <v>972</v>
      </c>
      <c r="R2159" s="14" t="s">
        <v>356</v>
      </c>
      <c r="S2159" s="37" cm="1">
        <f t="array" aca="1" ref="S21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59" s="346" t="s">
        <v>1485</v>
      </c>
      <c r="U2159" s="347">
        <f t="shared" ca="1" si="145"/>
        <v>0</v>
      </c>
      <c r="V2159" s="347">
        <v>0</v>
      </c>
      <c r="W2159" s="347">
        <v>0</v>
      </c>
      <c r="X2159" s="14" t="s">
        <v>12</v>
      </c>
      <c r="Y2159" s="346" t="s">
        <v>413</v>
      </c>
      <c r="Z2159" s="14" t="str">
        <f>IF(ISBLANK(LCI_Table[[#This Row],[Notes for user]])," ",LCI_Table[[#This Row],[Notes for user]])</f>
        <v xml:space="preserve"> </v>
      </c>
      <c r="AA2159" s="14"/>
      <c r="AB2159" s="14"/>
      <c r="AC2159" s="346">
        <f ca="1">LCI_Table[[#This Row],[Default Calculated Value]]-LCI_Table[[#This Row],[Calculated Value]]</f>
        <v>0</v>
      </c>
    </row>
    <row r="2160" spans="1:29" x14ac:dyDescent="0.3">
      <c r="A21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ATJICAOCTBE(blank)_Sugarcane_InsecticideInsecticide</v>
      </c>
      <c r="B2160" s="14" t="s">
        <v>447</v>
      </c>
      <c r="C2160" s="14" t="s">
        <v>883</v>
      </c>
      <c r="D2160" s="14" t="s">
        <v>194</v>
      </c>
      <c r="E2160" s="14" t="s">
        <v>882</v>
      </c>
      <c r="F2160" s="48" t="s">
        <v>31</v>
      </c>
      <c r="G2160" s="14" t="b">
        <f>OR(LCI_Table[[#This Row],[Feedstock]]="All",LCI_Table[[#This Row],[Feedstock]]=SelectedFeedstock)</f>
        <v>0</v>
      </c>
      <c r="H2160" s="14" t="b">
        <f>OR(LCI_Table[[#This Row],[Conversion]]="All",LCI_Table[[#This Row],[Conversion]]=SelectedConversion)</f>
        <v>0</v>
      </c>
      <c r="I2160" s="14" t="b">
        <f>OR(LCI_Table[[#This Row],[Data Set]]="all",LCI_Table[[#This Row],[Data Set]]=SelectedDataSet)</f>
        <v>0</v>
      </c>
      <c r="J2160" s="14" t="b">
        <f>OR(LCI_Table[[#This Row],[Technology]]="All",LCI_Table[[#This Row],[Technology]]=SelectedTechnology)</f>
        <v>1</v>
      </c>
      <c r="K2160" s="14" t="b">
        <f>OR(LCI_Table[[#This Row],[Data Source]]="All",LCI_Table[[#This Row],[Data Source]]=SelectedDataSource)</f>
        <v>0</v>
      </c>
      <c r="L2160" s="14" t="b">
        <f>TRUE</f>
        <v>1</v>
      </c>
      <c r="M2160" s="14" t="b">
        <f>(LCI_Table[[#This Row],[Dev Notes]]="Do not display")</f>
        <v>0</v>
      </c>
      <c r="N2160" s="14" t="b">
        <f>AND(LCI_Table[[#This Row],[Show Feedstock]:[Conditional]],NOT(LCI_Table[[#This Row],[Hide Row]]))</f>
        <v>0</v>
      </c>
      <c r="O2160" s="14" t="b">
        <f>LCI_Table[[#This Row],[GREET1 Name Range]]=""</f>
        <v>0</v>
      </c>
      <c r="P2160" s="14" t="s">
        <v>14</v>
      </c>
      <c r="Q2160" s="14" t="s">
        <v>973</v>
      </c>
      <c r="R2160" s="14" t="s">
        <v>114</v>
      </c>
      <c r="S2160" s="37" cm="1">
        <f t="array" aca="1" ref="S21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1.3923368866098214</v>
      </c>
      <c r="T2160" s="346" t="s">
        <v>1485</v>
      </c>
      <c r="U2160" s="347">
        <f t="shared" ca="1" si="145"/>
        <v>20.534210526315789</v>
      </c>
      <c r="V2160" s="347">
        <v>1.3923368866098214</v>
      </c>
      <c r="W2160" s="347">
        <v>20.534210526315789</v>
      </c>
      <c r="X2160" s="14" t="s">
        <v>12</v>
      </c>
      <c r="Y2160" s="346" t="s">
        <v>413</v>
      </c>
      <c r="Z2160" s="14" t="str">
        <f>IF(ISBLANK(LCI_Table[[#This Row],[Notes for user]])," ",LCI_Table[[#This Row],[Notes for user]])</f>
        <v xml:space="preserve"> </v>
      </c>
      <c r="AA2160" s="14"/>
      <c r="AB2160" s="14"/>
      <c r="AC2160" s="346">
        <f ca="1">LCI_Table[[#This Row],[Default Calculated Value]]-LCI_Table[[#This Row],[Calculated Value]]</f>
        <v>0</v>
      </c>
    </row>
    <row r="2161" spans="1:29" x14ac:dyDescent="0.3">
      <c r="A21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ATJICAOCTBE(blank)_Sugarcane_Residual_oilResidual oil</v>
      </c>
      <c r="B2161" s="14" t="s">
        <v>447</v>
      </c>
      <c r="C2161" s="14" t="s">
        <v>883</v>
      </c>
      <c r="D2161" s="14" t="s">
        <v>194</v>
      </c>
      <c r="E2161" s="14" t="s">
        <v>882</v>
      </c>
      <c r="F2161" s="48" t="s">
        <v>31</v>
      </c>
      <c r="G2161" s="14" t="b">
        <f>OR(LCI_Table[[#This Row],[Feedstock]]="All",LCI_Table[[#This Row],[Feedstock]]=SelectedFeedstock)</f>
        <v>0</v>
      </c>
      <c r="H2161" s="14" t="b">
        <f>OR(LCI_Table[[#This Row],[Conversion]]="All",LCI_Table[[#This Row],[Conversion]]=SelectedConversion)</f>
        <v>0</v>
      </c>
      <c r="I2161" s="14" t="b">
        <f>OR(LCI_Table[[#This Row],[Data Set]]="all",LCI_Table[[#This Row],[Data Set]]=SelectedDataSet)</f>
        <v>0</v>
      </c>
      <c r="J2161" s="14" t="b">
        <f>OR(LCI_Table[[#This Row],[Technology]]="All",LCI_Table[[#This Row],[Technology]]=SelectedTechnology)</f>
        <v>1</v>
      </c>
      <c r="K2161" s="14" t="b">
        <f>OR(LCI_Table[[#This Row],[Data Source]]="All",LCI_Table[[#This Row],[Data Source]]=SelectedDataSource)</f>
        <v>0</v>
      </c>
      <c r="L2161" s="14" t="b">
        <f>TRUE</f>
        <v>1</v>
      </c>
      <c r="M2161" s="14" t="b">
        <f>(LCI_Table[[#This Row],[Dev Notes]]="Do not display")</f>
        <v>0</v>
      </c>
      <c r="N2161" s="14" t="b">
        <f>AND(LCI_Table[[#This Row],[Show Feedstock]:[Conditional]],NOT(LCI_Table[[#This Row],[Hide Row]]))</f>
        <v>0</v>
      </c>
      <c r="O2161" s="14" t="b">
        <f>LCI_Table[[#This Row],[GREET1 Name Range]]=""</f>
        <v>0</v>
      </c>
      <c r="P2161" s="14" t="s">
        <v>14</v>
      </c>
      <c r="Q2161" s="14" t="s">
        <v>974</v>
      </c>
      <c r="R2161" s="14" t="s">
        <v>115</v>
      </c>
      <c r="S2161" s="37" cm="1">
        <f t="array" aca="1" ref="S21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61" s="346" t="s">
        <v>1484</v>
      </c>
      <c r="U2161" s="347">
        <f ca="1">$S2161/$S$2154*Fuel_Specs!$B$28/ton2MT</f>
        <v>0</v>
      </c>
      <c r="V2161" s="347">
        <v>0</v>
      </c>
      <c r="W2161" s="347">
        <v>0</v>
      </c>
      <c r="X2161" s="14" t="s">
        <v>5</v>
      </c>
      <c r="Y2161" s="346" t="s">
        <v>413</v>
      </c>
      <c r="Z2161" s="14" t="str">
        <f>IF(ISBLANK(LCI_Table[[#This Row],[Notes for user]])," ",LCI_Table[[#This Row],[Notes for user]])</f>
        <v xml:space="preserve"> </v>
      </c>
      <c r="AA2161" s="14"/>
      <c r="AB2161" s="14"/>
      <c r="AC2161" s="346">
        <f ca="1">LCI_Table[[#This Row],[Default Calculated Value]]-LCI_Table[[#This Row],[Calculated Value]]</f>
        <v>0</v>
      </c>
    </row>
    <row r="2162" spans="1:29" x14ac:dyDescent="0.3">
      <c r="A21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ATJICAOCTBE(blank)_Sugarcane_DieselDiesel</v>
      </c>
      <c r="B2162" s="14" t="s">
        <v>447</v>
      </c>
      <c r="C2162" s="14" t="s">
        <v>883</v>
      </c>
      <c r="D2162" s="14" t="s">
        <v>194</v>
      </c>
      <c r="E2162" s="14" t="s">
        <v>882</v>
      </c>
      <c r="F2162" s="48" t="s">
        <v>31</v>
      </c>
      <c r="G2162" s="14" t="b">
        <f>OR(LCI_Table[[#This Row],[Feedstock]]="All",LCI_Table[[#This Row],[Feedstock]]=SelectedFeedstock)</f>
        <v>0</v>
      </c>
      <c r="H2162" s="14" t="b">
        <f>OR(LCI_Table[[#This Row],[Conversion]]="All",LCI_Table[[#This Row],[Conversion]]=SelectedConversion)</f>
        <v>0</v>
      </c>
      <c r="I2162" s="14" t="b">
        <f>OR(LCI_Table[[#This Row],[Data Set]]="all",LCI_Table[[#This Row],[Data Set]]=SelectedDataSet)</f>
        <v>0</v>
      </c>
      <c r="J2162" s="14" t="b">
        <f>OR(LCI_Table[[#This Row],[Technology]]="All",LCI_Table[[#This Row],[Technology]]=SelectedTechnology)</f>
        <v>1</v>
      </c>
      <c r="K2162" s="14" t="b">
        <f>OR(LCI_Table[[#This Row],[Data Source]]="All",LCI_Table[[#This Row],[Data Source]]=SelectedDataSource)</f>
        <v>0</v>
      </c>
      <c r="L2162" s="14" t="b">
        <f>TRUE</f>
        <v>1</v>
      </c>
      <c r="M2162" s="14" t="b">
        <f>(LCI_Table[[#This Row],[Dev Notes]]="Do not display")</f>
        <v>0</v>
      </c>
      <c r="N2162" s="14" t="b">
        <f>AND(LCI_Table[[#This Row],[Show Feedstock]:[Conditional]],NOT(LCI_Table[[#This Row],[Hide Row]]))</f>
        <v>0</v>
      </c>
      <c r="O2162" s="14" t="b">
        <f>LCI_Table[[#This Row],[GREET1 Name Range]]=""</f>
        <v>0</v>
      </c>
      <c r="P2162" s="14" t="s">
        <v>14</v>
      </c>
      <c r="Q2162" s="14" t="s">
        <v>975</v>
      </c>
      <c r="R2162" s="14" t="s">
        <v>106</v>
      </c>
      <c r="S2162" s="37" cm="1">
        <f t="array" aca="1" ref="S21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0.36245662443126236</v>
      </c>
      <c r="T2162" s="346" t="s">
        <v>1484</v>
      </c>
      <c r="U2162" s="347">
        <f ca="1">$S2162/$S$2154*Fuel_Specs!$B$19/ton2MT</f>
        <v>1513.7637151226563</v>
      </c>
      <c r="V2162" s="347">
        <v>0.36245662443126236</v>
      </c>
      <c r="W2162" s="347">
        <v>1513.7637151226563</v>
      </c>
      <c r="X2162" s="14" t="s">
        <v>5</v>
      </c>
      <c r="Y2162" s="346" t="s">
        <v>413</v>
      </c>
      <c r="Z2162" s="14" t="str">
        <f>IF(ISBLANK(LCI_Table[[#This Row],[Notes for user]])," ",LCI_Table[[#This Row],[Notes for user]])</f>
        <v xml:space="preserve"> </v>
      </c>
      <c r="AA2162" s="14"/>
      <c r="AB2162" s="14"/>
      <c r="AC2162" s="346">
        <f ca="1">LCI_Table[[#This Row],[Default Calculated Value]]-LCI_Table[[#This Row],[Calculated Value]]</f>
        <v>0</v>
      </c>
    </row>
    <row r="2163" spans="1:29" x14ac:dyDescent="0.3">
      <c r="A21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ATJICAOCTBE(blank)_Sugarcane_GasolineGasoline</v>
      </c>
      <c r="B2163" s="14" t="s">
        <v>447</v>
      </c>
      <c r="C2163" s="14" t="s">
        <v>883</v>
      </c>
      <c r="D2163" s="14" t="s">
        <v>194</v>
      </c>
      <c r="E2163" s="14" t="s">
        <v>882</v>
      </c>
      <c r="F2163" s="48" t="s">
        <v>31</v>
      </c>
      <c r="G2163" s="14" t="b">
        <f>OR(LCI_Table[[#This Row],[Feedstock]]="All",LCI_Table[[#This Row],[Feedstock]]=SelectedFeedstock)</f>
        <v>0</v>
      </c>
      <c r="H2163" s="14" t="b">
        <f>OR(LCI_Table[[#This Row],[Conversion]]="All",LCI_Table[[#This Row],[Conversion]]=SelectedConversion)</f>
        <v>0</v>
      </c>
      <c r="I2163" s="14" t="b">
        <f>OR(LCI_Table[[#This Row],[Data Set]]="all",LCI_Table[[#This Row],[Data Set]]=SelectedDataSet)</f>
        <v>0</v>
      </c>
      <c r="J2163" s="14" t="b">
        <f>OR(LCI_Table[[#This Row],[Technology]]="All",LCI_Table[[#This Row],[Technology]]=SelectedTechnology)</f>
        <v>1</v>
      </c>
      <c r="K2163" s="14" t="b">
        <f>OR(LCI_Table[[#This Row],[Data Source]]="All",LCI_Table[[#This Row],[Data Source]]=SelectedDataSource)</f>
        <v>0</v>
      </c>
      <c r="L2163" s="14" t="b">
        <f>TRUE</f>
        <v>1</v>
      </c>
      <c r="M2163" s="14" t="b">
        <f>(LCI_Table[[#This Row],[Dev Notes]]="Do not display")</f>
        <v>0</v>
      </c>
      <c r="N2163" s="14" t="b">
        <f>AND(LCI_Table[[#This Row],[Show Feedstock]:[Conditional]],NOT(LCI_Table[[#This Row],[Hide Row]]))</f>
        <v>0</v>
      </c>
      <c r="O2163" s="14" t="b">
        <f>LCI_Table[[#This Row],[GREET1 Name Range]]=""</f>
        <v>0</v>
      </c>
      <c r="P2163" s="14" t="s">
        <v>14</v>
      </c>
      <c r="Q2163" s="14" t="s">
        <v>976</v>
      </c>
      <c r="R2163" s="14" t="s">
        <v>107</v>
      </c>
      <c r="S2163" s="37" cm="1">
        <f t="array" aca="1" ref="S21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63" s="346" t="s">
        <v>1484</v>
      </c>
      <c r="U2163" s="347">
        <f ca="1">$S2163/$S$2154*Fuel_Specs!$B$15/ton2MT</f>
        <v>0</v>
      </c>
      <c r="V2163" s="347">
        <v>0</v>
      </c>
      <c r="W2163" s="347">
        <v>0</v>
      </c>
      <c r="X2163" s="14" t="s">
        <v>5</v>
      </c>
      <c r="Y2163" s="346" t="s">
        <v>413</v>
      </c>
      <c r="Z2163" s="14" t="str">
        <f>IF(ISBLANK(LCI_Table[[#This Row],[Notes for user]])," ",LCI_Table[[#This Row],[Notes for user]])</f>
        <v xml:space="preserve"> </v>
      </c>
      <c r="AA2163" s="14"/>
      <c r="AB2163" s="14"/>
      <c r="AC2163" s="346">
        <f ca="1">LCI_Table[[#This Row],[Default Calculated Value]]-LCI_Table[[#This Row],[Calculated Value]]</f>
        <v>0</v>
      </c>
    </row>
    <row r="2164" spans="1:29" x14ac:dyDescent="0.3">
      <c r="A21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ATJICAOCTBE(blank)_Sugarcane_Natural_gasNatural gas</v>
      </c>
      <c r="B2164" s="14" t="s">
        <v>447</v>
      </c>
      <c r="C2164" s="14" t="s">
        <v>883</v>
      </c>
      <c r="D2164" s="14" t="s">
        <v>194</v>
      </c>
      <c r="E2164" s="14" t="s">
        <v>882</v>
      </c>
      <c r="F2164" s="48" t="s">
        <v>31</v>
      </c>
      <c r="G2164" s="14" t="b">
        <f>OR(LCI_Table[[#This Row],[Feedstock]]="All",LCI_Table[[#This Row],[Feedstock]]=SelectedFeedstock)</f>
        <v>0</v>
      </c>
      <c r="H2164" s="14" t="b">
        <f>OR(LCI_Table[[#This Row],[Conversion]]="All",LCI_Table[[#This Row],[Conversion]]=SelectedConversion)</f>
        <v>0</v>
      </c>
      <c r="I2164" s="14" t="b">
        <f>OR(LCI_Table[[#This Row],[Data Set]]="all",LCI_Table[[#This Row],[Data Set]]=SelectedDataSet)</f>
        <v>0</v>
      </c>
      <c r="J2164" s="14" t="b">
        <f>OR(LCI_Table[[#This Row],[Technology]]="All",LCI_Table[[#This Row],[Technology]]=SelectedTechnology)</f>
        <v>1</v>
      </c>
      <c r="K2164" s="14" t="b">
        <f>OR(LCI_Table[[#This Row],[Data Source]]="All",LCI_Table[[#This Row],[Data Source]]=SelectedDataSource)</f>
        <v>0</v>
      </c>
      <c r="L2164" s="14" t="b">
        <f>TRUE</f>
        <v>1</v>
      </c>
      <c r="M2164" s="14" t="b">
        <f>(LCI_Table[[#This Row],[Dev Notes]]="Do not display")</f>
        <v>0</v>
      </c>
      <c r="N2164" s="14" t="b">
        <f>AND(LCI_Table[[#This Row],[Show Feedstock]:[Conditional]],NOT(LCI_Table[[#This Row],[Hide Row]]))</f>
        <v>0</v>
      </c>
      <c r="O2164" s="14" t="b">
        <f>LCI_Table[[#This Row],[GREET1 Name Range]]=""</f>
        <v>0</v>
      </c>
      <c r="P2164" s="14" t="s">
        <v>14</v>
      </c>
      <c r="Q2164" s="14" t="s">
        <v>977</v>
      </c>
      <c r="R2164" s="14" t="s">
        <v>108</v>
      </c>
      <c r="S2164" s="37" cm="1">
        <f t="array" aca="1" ref="S21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64" s="346" t="s">
        <v>2109</v>
      </c>
      <c r="U2164" s="347">
        <f ca="1">$S2164/$S$2154*Fuel_Specs!$B$79/ton2MT</f>
        <v>0</v>
      </c>
      <c r="V2164" s="347">
        <v>0</v>
      </c>
      <c r="W2164" s="347">
        <v>0</v>
      </c>
      <c r="X2164" s="14" t="s">
        <v>351</v>
      </c>
      <c r="Y2164" s="346" t="s">
        <v>413</v>
      </c>
      <c r="Z2164" s="14" t="str">
        <f>IF(ISBLANK(LCI_Table[[#This Row],[Notes for user]])," ",LCI_Table[[#This Row],[Notes for user]])</f>
        <v xml:space="preserve"> </v>
      </c>
      <c r="AA2164" s="14"/>
      <c r="AB2164" s="14"/>
      <c r="AC2164" s="346">
        <f ca="1">LCI_Table[[#This Row],[Default Calculated Value]]-LCI_Table[[#This Row],[Calculated Value]]</f>
        <v>0</v>
      </c>
    </row>
    <row r="2165" spans="1:29" x14ac:dyDescent="0.3">
      <c r="A21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ATJICAOCTBE(blank)_Sugarcane_CoalCoal</v>
      </c>
      <c r="B2165" s="14" t="s">
        <v>447</v>
      </c>
      <c r="C2165" s="14" t="s">
        <v>883</v>
      </c>
      <c r="D2165" s="14" t="s">
        <v>194</v>
      </c>
      <c r="E2165" s="14" t="s">
        <v>882</v>
      </c>
      <c r="F2165" s="48" t="s">
        <v>31</v>
      </c>
      <c r="G2165" s="14" t="b">
        <f>OR(LCI_Table[[#This Row],[Feedstock]]="All",LCI_Table[[#This Row],[Feedstock]]=SelectedFeedstock)</f>
        <v>0</v>
      </c>
      <c r="H2165" s="14" t="b">
        <f>OR(LCI_Table[[#This Row],[Conversion]]="All",LCI_Table[[#This Row],[Conversion]]=SelectedConversion)</f>
        <v>0</v>
      </c>
      <c r="I2165" s="14" t="b">
        <f>OR(LCI_Table[[#This Row],[Data Set]]="all",LCI_Table[[#This Row],[Data Set]]=SelectedDataSet)</f>
        <v>0</v>
      </c>
      <c r="J2165" s="14" t="b">
        <f>OR(LCI_Table[[#This Row],[Technology]]="All",LCI_Table[[#This Row],[Technology]]=SelectedTechnology)</f>
        <v>1</v>
      </c>
      <c r="K2165" s="14" t="b">
        <f>OR(LCI_Table[[#This Row],[Data Source]]="All",LCI_Table[[#This Row],[Data Source]]=SelectedDataSource)</f>
        <v>0</v>
      </c>
      <c r="L2165" s="14" t="b">
        <f>TRUE</f>
        <v>1</v>
      </c>
      <c r="M2165" s="14" t="b">
        <f>(LCI_Table[[#This Row],[Dev Notes]]="Do not display")</f>
        <v>0</v>
      </c>
      <c r="N2165" s="14" t="b">
        <f>AND(LCI_Table[[#This Row],[Show Feedstock]:[Conditional]],NOT(LCI_Table[[#This Row],[Hide Row]]))</f>
        <v>0</v>
      </c>
      <c r="O2165" s="14" t="b">
        <f>LCI_Table[[#This Row],[GREET1 Name Range]]=""</f>
        <v>0</v>
      </c>
      <c r="P2165" s="14" t="s">
        <v>14</v>
      </c>
      <c r="Q2165" s="14" t="s">
        <v>978</v>
      </c>
      <c r="R2165" s="14" t="s">
        <v>9</v>
      </c>
      <c r="S2165" s="37" cm="1">
        <f t="array" aca="1" ref="S21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65" s="346" t="s">
        <v>2110</v>
      </c>
      <c r="U2165" s="347">
        <f ca="1">S2165/$S$2154/ton2MT</f>
        <v>0</v>
      </c>
      <c r="V2165" s="347">
        <v>0</v>
      </c>
      <c r="W2165" s="347">
        <v>0</v>
      </c>
      <c r="X2165" s="14" t="s">
        <v>117</v>
      </c>
      <c r="Y2165" s="346" t="s">
        <v>413</v>
      </c>
      <c r="Z2165" s="14" t="str">
        <f>IF(ISBLANK(LCI_Table[[#This Row],[Notes for user]])," ",LCI_Table[[#This Row],[Notes for user]])</f>
        <v xml:space="preserve"> </v>
      </c>
      <c r="AA2165" s="14"/>
      <c r="AB2165" s="14"/>
      <c r="AC2165" s="346">
        <f ca="1">LCI_Table[[#This Row],[Default Calculated Value]]-LCI_Table[[#This Row],[Calculated Value]]</f>
        <v>0</v>
      </c>
    </row>
    <row r="2166" spans="1:29" x14ac:dyDescent="0.3">
      <c r="A21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ATJICAOCTBE(blank)_Sugarcane_LPGLPG</v>
      </c>
      <c r="B2166" s="14" t="s">
        <v>447</v>
      </c>
      <c r="C2166" s="14" t="s">
        <v>883</v>
      </c>
      <c r="D2166" s="14" t="s">
        <v>194</v>
      </c>
      <c r="E2166" s="14" t="s">
        <v>882</v>
      </c>
      <c r="F2166" s="48" t="s">
        <v>31</v>
      </c>
      <c r="G2166" s="14" t="b">
        <f>OR(LCI_Table[[#This Row],[Feedstock]]="All",LCI_Table[[#This Row],[Feedstock]]=SelectedFeedstock)</f>
        <v>0</v>
      </c>
      <c r="H2166" s="14" t="b">
        <f>OR(LCI_Table[[#This Row],[Conversion]]="All",LCI_Table[[#This Row],[Conversion]]=SelectedConversion)</f>
        <v>0</v>
      </c>
      <c r="I2166" s="14" t="b">
        <f>OR(LCI_Table[[#This Row],[Data Set]]="all",LCI_Table[[#This Row],[Data Set]]=SelectedDataSet)</f>
        <v>0</v>
      </c>
      <c r="J2166" s="14" t="b">
        <f>OR(LCI_Table[[#This Row],[Technology]]="All",LCI_Table[[#This Row],[Technology]]=SelectedTechnology)</f>
        <v>1</v>
      </c>
      <c r="K2166" s="14" t="b">
        <f>OR(LCI_Table[[#This Row],[Data Source]]="All",LCI_Table[[#This Row],[Data Source]]=SelectedDataSource)</f>
        <v>0</v>
      </c>
      <c r="L2166" s="14" t="b">
        <f>TRUE</f>
        <v>1</v>
      </c>
      <c r="M2166" s="14" t="b">
        <f>(LCI_Table[[#This Row],[Dev Notes]]="Do not display")</f>
        <v>0</v>
      </c>
      <c r="N2166" s="14" t="b">
        <f>AND(LCI_Table[[#This Row],[Show Feedstock]:[Conditional]],NOT(LCI_Table[[#This Row],[Hide Row]]))</f>
        <v>0</v>
      </c>
      <c r="O2166" s="14" t="b">
        <f>LCI_Table[[#This Row],[GREET1 Name Range]]=""</f>
        <v>0</v>
      </c>
      <c r="P2166" s="14" t="s">
        <v>14</v>
      </c>
      <c r="Q2166" s="14" t="s">
        <v>979</v>
      </c>
      <c r="R2166" s="14" t="s">
        <v>109</v>
      </c>
      <c r="S2166" s="37" cm="1">
        <f t="array" aca="1" ref="S21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66" s="346" t="s">
        <v>1484</v>
      </c>
      <c r="U2166" s="347">
        <f ca="1">$S2166/$S$2154*Fuel_Specs!$B$35/ton2MT</f>
        <v>0</v>
      </c>
      <c r="V2166" s="347">
        <v>0</v>
      </c>
      <c r="W2166" s="347">
        <v>0</v>
      </c>
      <c r="X2166" s="14" t="s">
        <v>5</v>
      </c>
      <c r="Y2166" s="346" t="s">
        <v>413</v>
      </c>
      <c r="Z2166" s="14" t="str">
        <f>IF(ISBLANK(LCI_Table[[#This Row],[Notes for user]])," ",LCI_Table[[#This Row],[Notes for user]])</f>
        <v xml:space="preserve"> </v>
      </c>
      <c r="AA2166" s="14"/>
      <c r="AB2166" s="14"/>
      <c r="AC2166" s="346">
        <f ca="1">LCI_Table[[#This Row],[Default Calculated Value]]-LCI_Table[[#This Row],[Calculated Value]]</f>
        <v>0</v>
      </c>
    </row>
    <row r="2167" spans="1:29" x14ac:dyDescent="0.3">
      <c r="A21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ATJICAOCTBE(blank)_Sugarcane_ElectricityElectricity</v>
      </c>
      <c r="B2167" s="14" t="s">
        <v>447</v>
      </c>
      <c r="C2167" s="14" t="s">
        <v>883</v>
      </c>
      <c r="D2167" s="14" t="s">
        <v>194</v>
      </c>
      <c r="E2167" s="14" t="s">
        <v>882</v>
      </c>
      <c r="F2167" s="48" t="s">
        <v>31</v>
      </c>
      <c r="G2167" s="14" t="b">
        <f>OR(LCI_Table[[#This Row],[Feedstock]]="All",LCI_Table[[#This Row],[Feedstock]]=SelectedFeedstock)</f>
        <v>0</v>
      </c>
      <c r="H2167" s="14" t="b">
        <f>OR(LCI_Table[[#This Row],[Conversion]]="All",LCI_Table[[#This Row],[Conversion]]=SelectedConversion)</f>
        <v>0</v>
      </c>
      <c r="I2167" s="14" t="b">
        <f>OR(LCI_Table[[#This Row],[Data Set]]="all",LCI_Table[[#This Row],[Data Set]]=SelectedDataSet)</f>
        <v>0</v>
      </c>
      <c r="J2167" s="14" t="b">
        <f>OR(LCI_Table[[#This Row],[Technology]]="All",LCI_Table[[#This Row],[Technology]]=SelectedTechnology)</f>
        <v>1</v>
      </c>
      <c r="K2167" s="14" t="b">
        <f>OR(LCI_Table[[#This Row],[Data Source]]="All",LCI_Table[[#This Row],[Data Source]]=SelectedDataSource)</f>
        <v>0</v>
      </c>
      <c r="L2167" s="14" t="b">
        <f>TRUE</f>
        <v>1</v>
      </c>
      <c r="M2167" s="14" t="b">
        <f>(LCI_Table[[#This Row],[Dev Notes]]="Do not display")</f>
        <v>0</v>
      </c>
      <c r="N2167" s="14" t="b">
        <f>AND(LCI_Table[[#This Row],[Show Feedstock]:[Conditional]],NOT(LCI_Table[[#This Row],[Hide Row]]))</f>
        <v>0</v>
      </c>
      <c r="O2167" s="14" t="b">
        <f>LCI_Table[[#This Row],[GREET1 Name Range]]=""</f>
        <v>0</v>
      </c>
      <c r="P2167" s="14" t="s">
        <v>14</v>
      </c>
      <c r="Q2167" s="14" t="s">
        <v>980</v>
      </c>
      <c r="R2167" s="348" t="s">
        <v>110</v>
      </c>
      <c r="S2167" s="37" cm="1">
        <f t="array" aca="1" ref="S21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67" s="346" t="s">
        <v>1561</v>
      </c>
      <c r="U2167" s="347">
        <f ca="1">S2167/BTU2kWh/$S$2154/ton2MT</f>
        <v>0</v>
      </c>
      <c r="V2167" s="347">
        <v>0</v>
      </c>
      <c r="W2167" s="347">
        <v>0</v>
      </c>
      <c r="X2167" s="14" t="s">
        <v>51</v>
      </c>
      <c r="Y2167" s="346" t="s">
        <v>413</v>
      </c>
      <c r="Z2167" s="14" t="str">
        <f>IF(ISBLANK(LCI_Table[[#This Row],[Notes for user]])," ",LCI_Table[[#This Row],[Notes for user]])</f>
        <v xml:space="preserve"> </v>
      </c>
      <c r="AA2167" s="14"/>
      <c r="AB2167" s="14"/>
      <c r="AC2167" s="346">
        <f ca="1">LCI_Table[[#This Row],[Default Calculated Value]]-LCI_Table[[#This Row],[Calculated Value]]</f>
        <v>0</v>
      </c>
    </row>
    <row r="2168" spans="1:29" x14ac:dyDescent="0.3">
      <c r="A21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ATJICAOCTBE(blank)_Sugarcane_BiodieselBiodiesel</v>
      </c>
      <c r="B2168" s="14" t="s">
        <v>447</v>
      </c>
      <c r="C2168" s="14" t="s">
        <v>883</v>
      </c>
      <c r="D2168" s="14" t="s">
        <v>194</v>
      </c>
      <c r="E2168" s="14" t="s">
        <v>882</v>
      </c>
      <c r="F2168" s="48" t="s">
        <v>31</v>
      </c>
      <c r="G2168" s="14" t="b">
        <f>OR(LCI_Table[[#This Row],[Feedstock]]="All",LCI_Table[[#This Row],[Feedstock]]=SelectedFeedstock)</f>
        <v>0</v>
      </c>
      <c r="H2168" s="14" t="b">
        <f>OR(LCI_Table[[#This Row],[Conversion]]="All",LCI_Table[[#This Row],[Conversion]]=SelectedConversion)</f>
        <v>0</v>
      </c>
      <c r="I2168" s="14" t="b">
        <f>OR(LCI_Table[[#This Row],[Data Set]]="all",LCI_Table[[#This Row],[Data Set]]=SelectedDataSet)</f>
        <v>0</v>
      </c>
      <c r="J2168" s="14" t="b">
        <f>OR(LCI_Table[[#This Row],[Technology]]="All",LCI_Table[[#This Row],[Technology]]=SelectedTechnology)</f>
        <v>1</v>
      </c>
      <c r="K2168" s="14" t="b">
        <f>OR(LCI_Table[[#This Row],[Data Source]]="All",LCI_Table[[#This Row],[Data Source]]=SelectedDataSource)</f>
        <v>0</v>
      </c>
      <c r="L2168" s="14" t="b">
        <f>TRUE</f>
        <v>1</v>
      </c>
      <c r="M2168" s="14" t="b">
        <f>(LCI_Table[[#This Row],[Dev Notes]]="Do not display")</f>
        <v>0</v>
      </c>
      <c r="N2168" s="14" t="b">
        <f>AND(LCI_Table[[#This Row],[Show Feedstock]:[Conditional]],NOT(LCI_Table[[#This Row],[Hide Row]]))</f>
        <v>0</v>
      </c>
      <c r="O2168" s="14" t="b">
        <f>LCI_Table[[#This Row],[GREET1 Name Range]]=""</f>
        <v>0</v>
      </c>
      <c r="P2168" s="14" t="s">
        <v>14</v>
      </c>
      <c r="Q2168" s="14" t="s">
        <v>1393</v>
      </c>
      <c r="R2168" s="348" t="s">
        <v>1394</v>
      </c>
      <c r="S2168" s="37" cm="1">
        <f t="array" aca="1" ref="S21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68" s="346" t="s">
        <v>1484</v>
      </c>
      <c r="U2168" s="347">
        <f ca="1">S2168/BTU2kWh/$S$2114/ton2MT</f>
        <v>0</v>
      </c>
      <c r="V2168" s="347">
        <v>0</v>
      </c>
      <c r="W2168" s="347">
        <v>0</v>
      </c>
      <c r="X2168" s="14" t="s">
        <v>5</v>
      </c>
      <c r="Y2168" s="346" t="s">
        <v>413</v>
      </c>
      <c r="Z2168" s="14" t="str">
        <f>IF(ISBLANK(LCI_Table[[#This Row],[Notes for user]])," ",LCI_Table[[#This Row],[Notes for user]])</f>
        <v xml:space="preserve"> </v>
      </c>
      <c r="AA2168" s="14"/>
      <c r="AB2168" s="14"/>
      <c r="AC2168" s="346">
        <f ca="1">LCI_Table[[#This Row],[Default Calculated Value]]-LCI_Table[[#This Row],[Calculated Value]]</f>
        <v>0</v>
      </c>
    </row>
    <row r="2169" spans="1:29" x14ac:dyDescent="0.3">
      <c r="A21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ATJICAOCTBE(blank)_Sugarcane_i_BuOH_ATJ_SugarcaneSugarcane</v>
      </c>
      <c r="B2169" s="14" t="s">
        <v>447</v>
      </c>
      <c r="C2169" s="14" t="s">
        <v>883</v>
      </c>
      <c r="D2169" s="14" t="s">
        <v>194</v>
      </c>
      <c r="E2169" s="14" t="s">
        <v>882</v>
      </c>
      <c r="F2169" s="48" t="s">
        <v>31</v>
      </c>
      <c r="G2169" s="14" t="b">
        <f>OR(LCI_Table[[#This Row],[Feedstock]]="All",LCI_Table[[#This Row],[Feedstock]]=SelectedFeedstock)</f>
        <v>0</v>
      </c>
      <c r="H2169" s="14" t="b">
        <f>OR(LCI_Table[[#This Row],[Conversion]]="All",LCI_Table[[#This Row],[Conversion]]=SelectedConversion)</f>
        <v>0</v>
      </c>
      <c r="I2169" s="14" t="b">
        <f>OR(LCI_Table[[#This Row],[Data Set]]="all",LCI_Table[[#This Row],[Data Set]]=SelectedDataSet)</f>
        <v>0</v>
      </c>
      <c r="J2169" s="14" t="b">
        <f>OR(LCI_Table[[#This Row],[Technology]]="All",LCI_Table[[#This Row],[Technology]]=SelectedTechnology)</f>
        <v>1</v>
      </c>
      <c r="K2169" s="14" t="b">
        <f>OR(LCI_Table[[#This Row],[Data Source]]="All",LCI_Table[[#This Row],[Data Source]]=SelectedDataSource)</f>
        <v>0</v>
      </c>
      <c r="L2169" s="14" t="b">
        <f>TRUE</f>
        <v>1</v>
      </c>
      <c r="M2169" s="14" t="b">
        <f>(LCI_Table[[#This Row],[Dev Notes]]="Do not display")</f>
        <v>0</v>
      </c>
      <c r="N2169" s="14" t="b">
        <f>AND(LCI_Table[[#This Row],[Show Feedstock]:[Conditional]],NOT(LCI_Table[[#This Row],[Hide Row]]))</f>
        <v>0</v>
      </c>
      <c r="O2169" s="14" t="b">
        <f>LCI_Table[[#This Row],[GREET1 Name Range]]=""</f>
        <v>0</v>
      </c>
      <c r="P2169" s="358" t="s">
        <v>1448</v>
      </c>
      <c r="Q2169" s="14" t="s">
        <v>1019</v>
      </c>
      <c r="R2169" s="14" t="s">
        <v>447</v>
      </c>
      <c r="S2169" s="37" cm="1">
        <f t="array" aca="1" ref="S21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1487.3741459662986</v>
      </c>
      <c r="T2169" s="346" t="s">
        <v>2119</v>
      </c>
      <c r="U2169" s="347">
        <f ca="1">S2169/kg2lb*MJ2mmBTU</f>
        <v>0.63945578231292488</v>
      </c>
      <c r="V2169" s="347">
        <v>1487.3741459662986</v>
      </c>
      <c r="W2169" s="347">
        <v>0.63945578231292488</v>
      </c>
      <c r="X2169" s="14" t="s">
        <v>12</v>
      </c>
      <c r="Y2169" s="346" t="s">
        <v>416</v>
      </c>
      <c r="Z2169" s="14" t="str">
        <f>IF(ISBLANK(LCI_Table[[#This Row],[Notes for user]])," ",LCI_Table[[#This Row],[Notes for user]])</f>
        <v xml:space="preserve"> </v>
      </c>
      <c r="AA2169" s="14"/>
      <c r="AB2169" s="358"/>
      <c r="AC2169" s="346">
        <f ca="1">LCI_Table[[#This Row],[Default Calculated Value]]-LCI_Table[[#This Row],[Calculated Value]]</f>
        <v>0</v>
      </c>
    </row>
    <row r="2170" spans="1:29" x14ac:dyDescent="0.3">
      <c r="A21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ATJICAOCTBE(blank)_Sugarcane_i_BuOH_ATJ_Quicklime_CaOQuicklime (CaO)</v>
      </c>
      <c r="B2170" s="14" t="s">
        <v>447</v>
      </c>
      <c r="C2170" s="14" t="s">
        <v>883</v>
      </c>
      <c r="D2170" s="14" t="s">
        <v>194</v>
      </c>
      <c r="E2170" s="14" t="s">
        <v>882</v>
      </c>
      <c r="F2170" s="48" t="s">
        <v>31</v>
      </c>
      <c r="G2170" s="14" t="b">
        <f>OR(LCI_Table[[#This Row],[Feedstock]]="All",LCI_Table[[#This Row],[Feedstock]]=SelectedFeedstock)</f>
        <v>0</v>
      </c>
      <c r="H2170" s="14" t="b">
        <f>OR(LCI_Table[[#This Row],[Conversion]]="All",LCI_Table[[#This Row],[Conversion]]=SelectedConversion)</f>
        <v>0</v>
      </c>
      <c r="I2170" s="14" t="b">
        <f>OR(LCI_Table[[#This Row],[Data Set]]="all",LCI_Table[[#This Row],[Data Set]]=SelectedDataSet)</f>
        <v>0</v>
      </c>
      <c r="J2170" s="14" t="b">
        <f>OR(LCI_Table[[#This Row],[Technology]]="All",LCI_Table[[#This Row],[Technology]]=SelectedTechnology)</f>
        <v>1</v>
      </c>
      <c r="K2170" s="14" t="b">
        <f>OR(LCI_Table[[#This Row],[Data Source]]="All",LCI_Table[[#This Row],[Data Source]]=SelectedDataSource)</f>
        <v>0</v>
      </c>
      <c r="L2170" s="14" t="b">
        <f>TRUE</f>
        <v>1</v>
      </c>
      <c r="M2170" s="14" t="b">
        <f>(LCI_Table[[#This Row],[Dev Notes]]="Do not display")</f>
        <v>0</v>
      </c>
      <c r="N2170" s="14" t="b">
        <f>AND(LCI_Table[[#This Row],[Show Feedstock]:[Conditional]],NOT(LCI_Table[[#This Row],[Hide Row]]))</f>
        <v>0</v>
      </c>
      <c r="O2170" s="14" t="b">
        <f>LCI_Table[[#This Row],[GREET1 Name Range]]=""</f>
        <v>0</v>
      </c>
      <c r="P2170" s="358" t="s">
        <v>1448</v>
      </c>
      <c r="Q2170" s="14" t="s">
        <v>1020</v>
      </c>
      <c r="R2170" s="14" t="s">
        <v>404</v>
      </c>
      <c r="S2170" s="37" cm="1">
        <f t="array" aca="1" ref="S21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0.90719274151135965</v>
      </c>
      <c r="T2170" s="346" t="s">
        <v>2119</v>
      </c>
      <c r="U2170" s="347">
        <f ca="1">S2170/g2lb*MJ2mmBTU</f>
        <v>0.39002267573696137</v>
      </c>
      <c r="V2170" s="347">
        <v>0.90719274151135965</v>
      </c>
      <c r="W2170" s="347">
        <v>0.39002267573696137</v>
      </c>
      <c r="X2170" s="14" t="s">
        <v>12</v>
      </c>
      <c r="Y2170" s="346" t="s">
        <v>416</v>
      </c>
      <c r="Z2170" s="14" t="str">
        <f>IF(ISBLANK(LCI_Table[[#This Row],[Notes for user]])," ",LCI_Table[[#This Row],[Notes for user]])</f>
        <v xml:space="preserve"> </v>
      </c>
      <c r="AA2170" s="14"/>
      <c r="AB2170" s="14"/>
      <c r="AC2170" s="346">
        <f ca="1">LCI_Table[[#This Row],[Default Calculated Value]]-LCI_Table[[#This Row],[Calculated Value]]</f>
        <v>0</v>
      </c>
    </row>
    <row r="2171" spans="1:29" x14ac:dyDescent="0.3">
      <c r="A21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ATJICAOCTBE(blank)_Sugarcane_i_BuOH_ATJ_HydrogenHydrogen</v>
      </c>
      <c r="B2171" s="14" t="s">
        <v>447</v>
      </c>
      <c r="C2171" s="14" t="s">
        <v>883</v>
      </c>
      <c r="D2171" s="358" t="s">
        <v>194</v>
      </c>
      <c r="E2171" s="14" t="s">
        <v>882</v>
      </c>
      <c r="F2171" s="48" t="s">
        <v>31</v>
      </c>
      <c r="G2171" s="14" t="b">
        <f>OR(LCI_Table[[#This Row],[Feedstock]]="All",LCI_Table[[#This Row],[Feedstock]]=SelectedFeedstock)</f>
        <v>0</v>
      </c>
      <c r="H2171" s="14" t="b">
        <f>OR(LCI_Table[[#This Row],[Conversion]]="All",LCI_Table[[#This Row],[Conversion]]=SelectedConversion)</f>
        <v>0</v>
      </c>
      <c r="I2171" s="14" t="b">
        <f>OR(LCI_Table[[#This Row],[Data Set]]="all",LCI_Table[[#This Row],[Data Set]]=SelectedDataSet)</f>
        <v>0</v>
      </c>
      <c r="J2171" s="14" t="b">
        <f>OR(LCI_Table[[#This Row],[Technology]]="All",LCI_Table[[#This Row],[Technology]]=SelectedTechnology)</f>
        <v>1</v>
      </c>
      <c r="K2171" s="14" t="b">
        <f>OR(LCI_Table[[#This Row],[Data Source]]="All",LCI_Table[[#This Row],[Data Source]]=SelectedDataSource)</f>
        <v>0</v>
      </c>
      <c r="L2171" s="14" t="b">
        <f>TRUE</f>
        <v>1</v>
      </c>
      <c r="M2171" s="14" t="b">
        <f>(LCI_Table[[#This Row],[Dev Notes]]="Do not display")</f>
        <v>0</v>
      </c>
      <c r="N2171" s="14" t="b">
        <f>AND(LCI_Table[[#This Row],[Show Feedstock]:[Conditional]],NOT(LCI_Table[[#This Row],[Hide Row]]))</f>
        <v>0</v>
      </c>
      <c r="O2171" s="14" t="b">
        <f>LCI_Table[[#This Row],[GREET1 Name Range]]=""</f>
        <v>0</v>
      </c>
      <c r="P2171" s="358" t="s">
        <v>1448</v>
      </c>
      <c r="Q2171" s="14" t="s">
        <v>1021</v>
      </c>
      <c r="R2171" s="358" t="s">
        <v>73</v>
      </c>
      <c r="S2171" s="37" cm="1">
        <f t="array" aca="1" ref="S21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138.85400008892444</v>
      </c>
      <c r="T2171" s="346" t="s">
        <v>2120</v>
      </c>
      <c r="U2171" s="347">
        <f ca="1">S2171*Fuel_Specs!$B$81/mmBTU2MJ</f>
        <v>38.166377662175975</v>
      </c>
      <c r="V2171" s="359">
        <v>138.85400008892444</v>
      </c>
      <c r="W2171" s="347">
        <v>38.166377662175975</v>
      </c>
      <c r="X2171" s="360" t="s">
        <v>351</v>
      </c>
      <c r="Y2171" s="346" t="s">
        <v>416</v>
      </c>
      <c r="Z2171" s="14" t="str">
        <f>IF(ISBLANK(LCI_Table[[#This Row],[Notes for user]])," ",LCI_Table[[#This Row],[Notes for user]])</f>
        <v xml:space="preserve"> </v>
      </c>
      <c r="AA2171" s="14"/>
      <c r="AB2171" s="358"/>
      <c r="AC2171" s="346">
        <f ca="1">LCI_Table[[#This Row],[Default Calculated Value]]-LCI_Table[[#This Row],[Calculated Value]]</f>
        <v>0</v>
      </c>
    </row>
    <row r="2172" spans="1:29" x14ac:dyDescent="0.3">
      <c r="A21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ATJICAOCTBE(blank)_Sugarcane_i_BuOH_ATJ_Natural_gasNatural gas</v>
      </c>
      <c r="B2172" s="14" t="s">
        <v>447</v>
      </c>
      <c r="C2172" s="14" t="s">
        <v>883</v>
      </c>
      <c r="D2172" s="14" t="s">
        <v>194</v>
      </c>
      <c r="E2172" s="14" t="s">
        <v>882</v>
      </c>
      <c r="F2172" s="48" t="s">
        <v>31</v>
      </c>
      <c r="G2172" s="14" t="b">
        <f>OR(LCI_Table[[#This Row],[Feedstock]]="All",LCI_Table[[#This Row],[Feedstock]]=SelectedFeedstock)</f>
        <v>0</v>
      </c>
      <c r="H2172" s="14" t="b">
        <f>OR(LCI_Table[[#This Row],[Conversion]]="All",LCI_Table[[#This Row],[Conversion]]=SelectedConversion)</f>
        <v>0</v>
      </c>
      <c r="I2172" s="14" t="b">
        <f>OR(LCI_Table[[#This Row],[Data Set]]="all",LCI_Table[[#This Row],[Data Set]]=SelectedDataSet)</f>
        <v>0</v>
      </c>
      <c r="J2172" s="14" t="b">
        <f>OR(LCI_Table[[#This Row],[Technology]]="All",LCI_Table[[#This Row],[Technology]]=SelectedTechnology)</f>
        <v>1</v>
      </c>
      <c r="K2172" s="14" t="b">
        <f>OR(LCI_Table[[#This Row],[Data Source]]="All",LCI_Table[[#This Row],[Data Source]]=SelectedDataSource)</f>
        <v>0</v>
      </c>
      <c r="L2172" s="14" t="b">
        <f>TRUE</f>
        <v>1</v>
      </c>
      <c r="M2172" s="14" t="b">
        <f>(LCI_Table[[#This Row],[Dev Notes]]="Do not display")</f>
        <v>0</v>
      </c>
      <c r="N2172" s="14" t="b">
        <f>AND(LCI_Table[[#This Row],[Show Feedstock]:[Conditional]],NOT(LCI_Table[[#This Row],[Hide Row]]))</f>
        <v>0</v>
      </c>
      <c r="O2172" s="14" t="b">
        <f>LCI_Table[[#This Row],[GREET1 Name Range]]=""</f>
        <v>0</v>
      </c>
      <c r="P2172" s="14" t="s">
        <v>1448</v>
      </c>
      <c r="Q2172" s="14" t="s">
        <v>1022</v>
      </c>
      <c r="R2172" s="14" t="s">
        <v>108</v>
      </c>
      <c r="S2172" s="37" cm="1">
        <f t="array" aca="1" ref="S21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72" s="346" t="s">
        <v>2120</v>
      </c>
      <c r="U2172" s="347">
        <f ca="1">S2172*Fuel_Specs!$B$79/mmBTU2MJ</f>
        <v>0</v>
      </c>
      <c r="V2172" s="347">
        <v>0</v>
      </c>
      <c r="W2172" s="347">
        <v>0</v>
      </c>
      <c r="X2172" s="14" t="s">
        <v>351</v>
      </c>
      <c r="Y2172" s="346" t="s">
        <v>416</v>
      </c>
      <c r="Z2172" s="14" t="str">
        <f>IF(ISBLANK(LCI_Table[[#This Row],[Notes for user]])," ",LCI_Table[[#This Row],[Notes for user]])</f>
        <v xml:space="preserve"> </v>
      </c>
      <c r="AA2172" s="14"/>
      <c r="AB2172" s="14"/>
      <c r="AC2172" s="346">
        <f ca="1">LCI_Table[[#This Row],[Default Calculated Value]]-LCI_Table[[#This Row],[Calculated Value]]</f>
        <v>0</v>
      </c>
    </row>
    <row r="2173" spans="1:29" x14ac:dyDescent="0.3">
      <c r="A21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Sugarcanei-BuOH ATJICAOCTBE(blank)_Sugarcane_i_BuOH_ATJ_Allocation_FactorAllocation factor</v>
      </c>
      <c r="B2173" s="14" t="s">
        <v>447</v>
      </c>
      <c r="C2173" s="14" t="s">
        <v>883</v>
      </c>
      <c r="D2173" s="14" t="s">
        <v>194</v>
      </c>
      <c r="E2173" s="14" t="s">
        <v>882</v>
      </c>
      <c r="F2173" s="48" t="s">
        <v>31</v>
      </c>
      <c r="G2173" s="14" t="b">
        <f>OR(LCI_Table[[#This Row],[Feedstock]]="All",LCI_Table[[#This Row],[Feedstock]]=SelectedFeedstock)</f>
        <v>0</v>
      </c>
      <c r="H2173" s="14" t="b">
        <f>OR(LCI_Table[[#This Row],[Conversion]]="All",LCI_Table[[#This Row],[Conversion]]=SelectedConversion)</f>
        <v>0</v>
      </c>
      <c r="I2173" s="14" t="b">
        <f>OR(LCI_Table[[#This Row],[Data Set]]="all",LCI_Table[[#This Row],[Data Set]]=SelectedDataSet)</f>
        <v>0</v>
      </c>
      <c r="J2173" s="14" t="b">
        <f>OR(LCI_Table[[#This Row],[Technology]]="All",LCI_Table[[#This Row],[Technology]]=SelectedTechnology)</f>
        <v>1</v>
      </c>
      <c r="K2173" s="14" t="b">
        <f>OR(LCI_Table[[#This Row],[Data Source]]="All",LCI_Table[[#This Row],[Data Source]]=SelectedDataSource)</f>
        <v>0</v>
      </c>
      <c r="L2173" s="14" t="b">
        <f>TRUE</f>
        <v>1</v>
      </c>
      <c r="M2173" s="14" t="b">
        <f>(LCI_Table[[#This Row],[Dev Notes]]="Do not display")</f>
        <v>0</v>
      </c>
      <c r="N2173" s="14" t="b">
        <f>AND(LCI_Table[[#This Row],[Show Feedstock]:[Conditional]],NOT(LCI_Table[[#This Row],[Hide Row]]))</f>
        <v>0</v>
      </c>
      <c r="O2173" s="14" t="b">
        <f>LCI_Table[[#This Row],[GREET1 Name Range]]=""</f>
        <v>0</v>
      </c>
      <c r="P2173" s="14" t="s">
        <v>1448</v>
      </c>
      <c r="Q2173" s="14" t="s">
        <v>1097</v>
      </c>
      <c r="R2173" s="14" t="s">
        <v>1344</v>
      </c>
      <c r="S2173" s="37" cm="1">
        <f t="array" aca="1" ref="S21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66.075851631365893</v>
      </c>
      <c r="T2173" s="346" t="s">
        <v>1345</v>
      </c>
      <c r="U2173" s="347">
        <f ca="1">LCI_Table[[#This Row],[Dashboard Value]]/100</f>
        <v>0.66075851631365889</v>
      </c>
      <c r="V2173" s="347">
        <v>66.075851631365893</v>
      </c>
      <c r="W2173" s="347">
        <v>0.66075851631365889</v>
      </c>
      <c r="X2173" s="14"/>
      <c r="Y2173" s="346"/>
      <c r="Z2173" s="14" t="str">
        <f>IF(ISBLANK(LCI_Table[[#This Row],[Notes for user]])," ",LCI_Table[[#This Row],[Notes for user]])</f>
        <v xml:space="preserve"> </v>
      </c>
      <c r="AA2173" s="14"/>
      <c r="AB2173" s="14"/>
      <c r="AC2173" s="346">
        <f ca="1">LCI_Table[[#This Row],[Default Calculated Value]]-LCI_Table[[#This Row],[Calculated Value]]</f>
        <v>0</v>
      </c>
    </row>
    <row r="2174" spans="1:29" x14ac:dyDescent="0.3">
      <c r="A21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stoveri-BuOH ATJICAOMIT(blank)_Yield_Collection</v>
      </c>
      <c r="B2174" s="48" t="s">
        <v>135</v>
      </c>
      <c r="C2174" s="48" t="s">
        <v>883</v>
      </c>
      <c r="D2174" s="48" t="s">
        <v>194</v>
      </c>
      <c r="E2174" s="48" t="s">
        <v>377</v>
      </c>
      <c r="F2174" s="48" t="s">
        <v>31</v>
      </c>
      <c r="G2174" s="14" t="b">
        <f>OR(LCI_Table[[#This Row],[Feedstock]]="All",LCI_Table[[#This Row],[Feedstock]]=SelectedFeedstock)</f>
        <v>0</v>
      </c>
      <c r="H2174" s="14" t="b">
        <f>OR(LCI_Table[[#This Row],[Conversion]]="All",LCI_Table[[#This Row],[Conversion]]=SelectedConversion)</f>
        <v>0</v>
      </c>
      <c r="I2174" s="14" t="b">
        <f>OR(LCI_Table[[#This Row],[Data Set]]="all",LCI_Table[[#This Row],[Data Set]]=SelectedDataSet)</f>
        <v>0</v>
      </c>
      <c r="J2174" s="14" t="b">
        <f>OR(LCI_Table[[#This Row],[Technology]]="All",LCI_Table[[#This Row],[Technology]]=SelectedTechnology)</f>
        <v>1</v>
      </c>
      <c r="K2174" s="14" t="b">
        <f>OR(LCI_Table[[#This Row],[Data Source]]="All",LCI_Table[[#This Row],[Data Source]]=SelectedDataSource)</f>
        <v>0</v>
      </c>
      <c r="L2174" s="14" t="b">
        <f>TRUE</f>
        <v>1</v>
      </c>
      <c r="M2174" s="14" t="b">
        <f>(LCI_Table[[#This Row],[Dev Notes]]="Do not display")</f>
        <v>0</v>
      </c>
      <c r="N2174" s="14" t="b">
        <f>AND(LCI_Table[[#This Row],[Show Feedstock]:[Conditional]],NOT(LCI_Table[[#This Row],[Hide Row]]))</f>
        <v>0</v>
      </c>
      <c r="O2174" s="14" t="b">
        <f>LCI_Table[[#This Row],[GREET1 Name Range]]=""</f>
        <v>1</v>
      </c>
      <c r="P2174" s="48" t="s">
        <v>147</v>
      </c>
      <c r="Q2174" s="14" t="s">
        <v>361</v>
      </c>
      <c r="R2174" s="48" t="s">
        <v>200</v>
      </c>
      <c r="S2174" s="37" cm="1">
        <f t="array" aca="1" ref="S21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83.055581099301151</v>
      </c>
      <c r="T2174" s="346" t="s">
        <v>2116</v>
      </c>
      <c r="U2174" s="347">
        <f ca="1">LCI_Table[[#This Row],[Dashboard Value]]/100</f>
        <v>0.83055581099301146</v>
      </c>
      <c r="V2174" s="347">
        <v>83.055581099301151</v>
      </c>
      <c r="W2174" s="347">
        <v>0.83055581099301146</v>
      </c>
      <c r="X2174" s="48" t="s">
        <v>55</v>
      </c>
      <c r="Y2174" s="346" t="s">
        <v>413</v>
      </c>
      <c r="Z2174" s="14" t="str">
        <f>IF(ISBLANK(LCI_Table[[#This Row],[Notes for user]])," ",LCI_Table[[#This Row],[Notes for user]])</f>
        <v xml:space="preserve"> </v>
      </c>
      <c r="AA2174" s="48"/>
      <c r="AB2174" s="345"/>
      <c r="AC2174" s="346">
        <f ca="1">LCI_Table[[#This Row],[Default Calculated Value]]-LCI_Table[[#This Row],[Calculated Value]]</f>
        <v>0</v>
      </c>
    </row>
    <row r="2175" spans="1:29" x14ac:dyDescent="0.3">
      <c r="A21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ATJICAOMIT(blank)_CornStover_Farming_Nitrogen_fertilizerNitrogen fertilizer</v>
      </c>
      <c r="B2175" s="14" t="s">
        <v>135</v>
      </c>
      <c r="C2175" s="14" t="s">
        <v>883</v>
      </c>
      <c r="D2175" s="14" t="s">
        <v>194</v>
      </c>
      <c r="E2175" s="14" t="s">
        <v>377</v>
      </c>
      <c r="F2175" s="48" t="s">
        <v>31</v>
      </c>
      <c r="G2175" s="14" t="b">
        <f>OR(LCI_Table[[#This Row],[Feedstock]]="All",LCI_Table[[#This Row],[Feedstock]]=SelectedFeedstock)</f>
        <v>0</v>
      </c>
      <c r="H2175" s="14" t="b">
        <f>OR(LCI_Table[[#This Row],[Conversion]]="All",LCI_Table[[#This Row],[Conversion]]=SelectedConversion)</f>
        <v>0</v>
      </c>
      <c r="I2175" s="14" t="b">
        <f>OR(LCI_Table[[#This Row],[Data Set]]="all",LCI_Table[[#This Row],[Data Set]]=SelectedDataSet)</f>
        <v>0</v>
      </c>
      <c r="J2175" s="14" t="b">
        <f>OR(LCI_Table[[#This Row],[Technology]]="All",LCI_Table[[#This Row],[Technology]]=SelectedTechnology)</f>
        <v>1</v>
      </c>
      <c r="K2175" s="14" t="b">
        <f>OR(LCI_Table[[#This Row],[Data Source]]="All",LCI_Table[[#This Row],[Data Source]]=SelectedDataSource)</f>
        <v>0</v>
      </c>
      <c r="L2175" s="14" t="b">
        <f>TRUE</f>
        <v>1</v>
      </c>
      <c r="M2175" s="14" t="b">
        <f>(LCI_Table[[#This Row],[Dev Notes]]="Do not display")</f>
        <v>0</v>
      </c>
      <c r="N2175" s="14" t="b">
        <f>AND(LCI_Table[[#This Row],[Show Feedstock]:[Conditional]],NOT(LCI_Table[[#This Row],[Hide Row]]))</f>
        <v>0</v>
      </c>
      <c r="O2175" s="14" t="b">
        <f>LCI_Table[[#This Row],[GREET1 Name Range]]=""</f>
        <v>0</v>
      </c>
      <c r="P2175" s="14" t="s">
        <v>147</v>
      </c>
      <c r="Q2175" s="14" t="s">
        <v>614</v>
      </c>
      <c r="R2175" s="14" t="s">
        <v>111</v>
      </c>
      <c r="S2175" s="37" cm="1">
        <f t="array" aca="1" ref="S21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75" s="346" t="s">
        <v>1485</v>
      </c>
      <c r="U2175" s="347">
        <f ca="1">S2175/S2174*lb2g</f>
        <v>0</v>
      </c>
      <c r="V2175" s="347">
        <v>0</v>
      </c>
      <c r="W2175" s="347">
        <v>0</v>
      </c>
      <c r="X2175" s="14" t="s">
        <v>12</v>
      </c>
      <c r="Y2175" s="346" t="s">
        <v>413</v>
      </c>
      <c r="Z2175" s="14" t="str">
        <f>IF(ISBLANK(LCI_Table[[#This Row],[Notes for user]])," ",LCI_Table[[#This Row],[Notes for user]])</f>
        <v xml:space="preserve"> </v>
      </c>
      <c r="AA2175" s="14"/>
      <c r="AB2175" s="14"/>
      <c r="AC2175" s="346">
        <f ca="1">LCI_Table[[#This Row],[Default Calculated Value]]-LCI_Table[[#This Row],[Calculated Value]]</f>
        <v>0</v>
      </c>
    </row>
    <row r="2176" spans="1:29" x14ac:dyDescent="0.3">
      <c r="A21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ATJICAOMIT(blank)_CornStover_Farming_P2O5P2O5</v>
      </c>
      <c r="B2176" s="14" t="s">
        <v>135</v>
      </c>
      <c r="C2176" s="14" t="s">
        <v>883</v>
      </c>
      <c r="D2176" s="14" t="s">
        <v>194</v>
      </c>
      <c r="E2176" s="14" t="s">
        <v>377</v>
      </c>
      <c r="F2176" s="48" t="s">
        <v>31</v>
      </c>
      <c r="G2176" s="14" t="b">
        <f>OR(LCI_Table[[#This Row],[Feedstock]]="All",LCI_Table[[#This Row],[Feedstock]]=SelectedFeedstock)</f>
        <v>0</v>
      </c>
      <c r="H2176" s="14" t="b">
        <f>OR(LCI_Table[[#This Row],[Conversion]]="All",LCI_Table[[#This Row],[Conversion]]=SelectedConversion)</f>
        <v>0</v>
      </c>
      <c r="I2176" s="14" t="b">
        <f>OR(LCI_Table[[#This Row],[Data Set]]="all",LCI_Table[[#This Row],[Data Set]]=SelectedDataSet)</f>
        <v>0</v>
      </c>
      <c r="J2176" s="14" t="b">
        <f>OR(LCI_Table[[#This Row],[Technology]]="All",LCI_Table[[#This Row],[Technology]]=SelectedTechnology)</f>
        <v>1</v>
      </c>
      <c r="K2176" s="14" t="b">
        <f>OR(LCI_Table[[#This Row],[Data Source]]="All",LCI_Table[[#This Row],[Data Source]]=SelectedDataSource)</f>
        <v>0</v>
      </c>
      <c r="L2176" s="14" t="b">
        <f>TRUE</f>
        <v>1</v>
      </c>
      <c r="M2176" s="14" t="b">
        <f>(LCI_Table[[#This Row],[Dev Notes]]="Do not display")</f>
        <v>0</v>
      </c>
      <c r="N2176" s="14" t="b">
        <f>AND(LCI_Table[[#This Row],[Show Feedstock]:[Conditional]],NOT(LCI_Table[[#This Row],[Hide Row]]))</f>
        <v>0</v>
      </c>
      <c r="O2176" s="14" t="b">
        <f>LCI_Table[[#This Row],[GREET1 Name Range]]=""</f>
        <v>0</v>
      </c>
      <c r="P2176" s="14" t="s">
        <v>147</v>
      </c>
      <c r="Q2176" s="14" t="s">
        <v>615</v>
      </c>
      <c r="R2176" s="14" t="s">
        <v>112</v>
      </c>
      <c r="S2176" s="37" cm="1">
        <f t="array" aca="1" ref="S21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76" s="346" t="s">
        <v>1485</v>
      </c>
      <c r="U2176" s="347">
        <f ca="1">S2176/S2174*lb2g</f>
        <v>0</v>
      </c>
      <c r="V2176" s="347">
        <v>0</v>
      </c>
      <c r="W2176" s="347">
        <v>0</v>
      </c>
      <c r="X2176" s="14" t="s">
        <v>12</v>
      </c>
      <c r="Y2176" s="346" t="s">
        <v>413</v>
      </c>
      <c r="Z2176" s="14" t="str">
        <f>IF(ISBLANK(LCI_Table[[#This Row],[Notes for user]])," ",LCI_Table[[#This Row],[Notes for user]])</f>
        <v xml:space="preserve"> </v>
      </c>
      <c r="AA2176" s="14"/>
      <c r="AB2176" s="14"/>
      <c r="AC2176" s="346">
        <f ca="1">LCI_Table[[#This Row],[Default Calculated Value]]-LCI_Table[[#This Row],[Calculated Value]]</f>
        <v>0</v>
      </c>
    </row>
    <row r="2177" spans="1:29" x14ac:dyDescent="0.3">
      <c r="A21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ATJICAOMIT(blank)_CornStover_Farming_K2OK2O</v>
      </c>
      <c r="B2177" s="14" t="s">
        <v>135</v>
      </c>
      <c r="C2177" s="14" t="s">
        <v>883</v>
      </c>
      <c r="D2177" s="14" t="s">
        <v>194</v>
      </c>
      <c r="E2177" s="14" t="s">
        <v>377</v>
      </c>
      <c r="F2177" s="48" t="s">
        <v>31</v>
      </c>
      <c r="G2177" s="14" t="b">
        <f>OR(LCI_Table[[#This Row],[Feedstock]]="All",LCI_Table[[#This Row],[Feedstock]]=SelectedFeedstock)</f>
        <v>0</v>
      </c>
      <c r="H2177" s="14" t="b">
        <f>OR(LCI_Table[[#This Row],[Conversion]]="All",LCI_Table[[#This Row],[Conversion]]=SelectedConversion)</f>
        <v>0</v>
      </c>
      <c r="I2177" s="14" t="b">
        <f>OR(LCI_Table[[#This Row],[Data Set]]="all",LCI_Table[[#This Row],[Data Set]]=SelectedDataSet)</f>
        <v>0</v>
      </c>
      <c r="J2177" s="14" t="b">
        <f>OR(LCI_Table[[#This Row],[Technology]]="All",LCI_Table[[#This Row],[Technology]]=SelectedTechnology)</f>
        <v>1</v>
      </c>
      <c r="K2177" s="14" t="b">
        <f>OR(LCI_Table[[#This Row],[Data Source]]="All",LCI_Table[[#This Row],[Data Source]]=SelectedDataSource)</f>
        <v>0</v>
      </c>
      <c r="L2177" s="14" t="b">
        <f>TRUE</f>
        <v>1</v>
      </c>
      <c r="M2177" s="14" t="b">
        <f>(LCI_Table[[#This Row],[Dev Notes]]="Do not display")</f>
        <v>0</v>
      </c>
      <c r="N2177" s="14" t="b">
        <f>AND(LCI_Table[[#This Row],[Show Feedstock]:[Conditional]],NOT(LCI_Table[[#This Row],[Hide Row]]))</f>
        <v>0</v>
      </c>
      <c r="O2177" s="14" t="b">
        <f>LCI_Table[[#This Row],[GREET1 Name Range]]=""</f>
        <v>0</v>
      </c>
      <c r="P2177" s="14" t="s">
        <v>147</v>
      </c>
      <c r="Q2177" s="14" t="s">
        <v>611</v>
      </c>
      <c r="R2177" s="14" t="s">
        <v>113</v>
      </c>
      <c r="S2177" s="37" cm="1">
        <f t="array" aca="1" ref="S21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77" s="346" t="s">
        <v>1485</v>
      </c>
      <c r="U2177" s="347">
        <f ca="1">S2177/S2174*lb2g</f>
        <v>0</v>
      </c>
      <c r="V2177" s="347">
        <v>0</v>
      </c>
      <c r="W2177" s="347">
        <v>0</v>
      </c>
      <c r="X2177" s="14" t="s">
        <v>12</v>
      </c>
      <c r="Y2177" s="346" t="s">
        <v>413</v>
      </c>
      <c r="Z2177" s="14" t="str">
        <f>IF(ISBLANK(LCI_Table[[#This Row],[Notes for user]])," ",LCI_Table[[#This Row],[Notes for user]])</f>
        <v xml:space="preserve"> </v>
      </c>
      <c r="AA2177" s="14"/>
      <c r="AB2177" s="14"/>
      <c r="AC2177" s="346">
        <f ca="1">LCI_Table[[#This Row],[Default Calculated Value]]-LCI_Table[[#This Row],[Calculated Value]]</f>
        <v>0</v>
      </c>
    </row>
    <row r="2178" spans="1:29" x14ac:dyDescent="0.3">
      <c r="A21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ATJICAOMIT(blank)_CornStover_Farming_HerbicidesHerbicides</v>
      </c>
      <c r="B2178" s="14" t="s">
        <v>135</v>
      </c>
      <c r="C2178" s="14" t="s">
        <v>883</v>
      </c>
      <c r="D2178" s="14" t="s">
        <v>194</v>
      </c>
      <c r="E2178" s="14" t="s">
        <v>377</v>
      </c>
      <c r="F2178" s="48" t="s">
        <v>31</v>
      </c>
      <c r="G2178" s="14" t="b">
        <f>OR(LCI_Table[[#This Row],[Feedstock]]="All",LCI_Table[[#This Row],[Feedstock]]=SelectedFeedstock)</f>
        <v>0</v>
      </c>
      <c r="H2178" s="14" t="b">
        <f>OR(LCI_Table[[#This Row],[Conversion]]="All",LCI_Table[[#This Row],[Conversion]]=SelectedConversion)</f>
        <v>0</v>
      </c>
      <c r="I2178" s="14" t="b">
        <f>OR(LCI_Table[[#This Row],[Data Set]]="all",LCI_Table[[#This Row],[Data Set]]=SelectedDataSet)</f>
        <v>0</v>
      </c>
      <c r="J2178" s="14" t="b">
        <f>OR(LCI_Table[[#This Row],[Technology]]="All",LCI_Table[[#This Row],[Technology]]=SelectedTechnology)</f>
        <v>1</v>
      </c>
      <c r="K2178" s="14" t="b">
        <f>OR(LCI_Table[[#This Row],[Data Source]]="All",LCI_Table[[#This Row],[Data Source]]=SelectedDataSource)</f>
        <v>0</v>
      </c>
      <c r="L2178" s="14" t="b">
        <f>TRUE</f>
        <v>1</v>
      </c>
      <c r="M2178" s="14" t="b">
        <f>(LCI_Table[[#This Row],[Dev Notes]]="Do not display")</f>
        <v>0</v>
      </c>
      <c r="N2178" s="14" t="b">
        <f>AND(LCI_Table[[#This Row],[Show Feedstock]:[Conditional]],NOT(LCI_Table[[#This Row],[Hide Row]]))</f>
        <v>0</v>
      </c>
      <c r="O2178" s="14" t="b">
        <f>LCI_Table[[#This Row],[GREET1 Name Range]]=""</f>
        <v>0</v>
      </c>
      <c r="P2178" s="14" t="s">
        <v>147</v>
      </c>
      <c r="Q2178" s="14" t="s">
        <v>609</v>
      </c>
      <c r="R2178" s="14" t="s">
        <v>356</v>
      </c>
      <c r="S2178" s="37" cm="1">
        <f t="array" aca="1" ref="S21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78" s="346" t="s">
        <v>1485</v>
      </c>
      <c r="U2178" s="347">
        <f ca="1">S2178/S2174*lb2g</f>
        <v>0</v>
      </c>
      <c r="V2178" s="347">
        <v>0</v>
      </c>
      <c r="W2178" s="347">
        <v>0</v>
      </c>
      <c r="X2178" s="14" t="s">
        <v>12</v>
      </c>
      <c r="Y2178" s="346" t="s">
        <v>413</v>
      </c>
      <c r="Z2178" s="14" t="str">
        <f>IF(ISBLANK(LCI_Table[[#This Row],[Notes for user]])," ",LCI_Table[[#This Row],[Notes for user]])</f>
        <v xml:space="preserve"> </v>
      </c>
      <c r="AA2178" s="14"/>
      <c r="AB2178" s="14"/>
      <c r="AC2178" s="346">
        <f ca="1">LCI_Table[[#This Row],[Default Calculated Value]]-LCI_Table[[#This Row],[Calculated Value]]</f>
        <v>0</v>
      </c>
    </row>
    <row r="2179" spans="1:29" x14ac:dyDescent="0.3">
      <c r="A21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ATJICAOMIT(blank)_CornStover_Farming_InsecticideInsecticide</v>
      </c>
      <c r="B2179" s="14" t="s">
        <v>135</v>
      </c>
      <c r="C2179" s="14" t="s">
        <v>883</v>
      </c>
      <c r="D2179" s="14" t="s">
        <v>194</v>
      </c>
      <c r="E2179" s="14" t="s">
        <v>377</v>
      </c>
      <c r="F2179" s="48" t="s">
        <v>31</v>
      </c>
      <c r="G2179" s="14" t="b">
        <f>OR(LCI_Table[[#This Row],[Feedstock]]="All",LCI_Table[[#This Row],[Feedstock]]=SelectedFeedstock)</f>
        <v>0</v>
      </c>
      <c r="H2179" s="14" t="b">
        <f>OR(LCI_Table[[#This Row],[Conversion]]="All",LCI_Table[[#This Row],[Conversion]]=SelectedConversion)</f>
        <v>0</v>
      </c>
      <c r="I2179" s="14" t="b">
        <f>OR(LCI_Table[[#This Row],[Data Set]]="all",LCI_Table[[#This Row],[Data Set]]=SelectedDataSet)</f>
        <v>0</v>
      </c>
      <c r="J2179" s="14" t="b">
        <f>OR(LCI_Table[[#This Row],[Technology]]="All",LCI_Table[[#This Row],[Technology]]=SelectedTechnology)</f>
        <v>1</v>
      </c>
      <c r="K2179" s="14" t="b">
        <f>OR(LCI_Table[[#This Row],[Data Source]]="All",LCI_Table[[#This Row],[Data Source]]=SelectedDataSource)</f>
        <v>0</v>
      </c>
      <c r="L2179" s="14" t="b">
        <f>TRUE</f>
        <v>1</v>
      </c>
      <c r="M2179" s="14" t="b">
        <f>(LCI_Table[[#This Row],[Dev Notes]]="Do not display")</f>
        <v>0</v>
      </c>
      <c r="N2179" s="14" t="b">
        <f>AND(LCI_Table[[#This Row],[Show Feedstock]:[Conditional]],NOT(LCI_Table[[#This Row],[Hide Row]]))</f>
        <v>0</v>
      </c>
      <c r="O2179" s="14" t="b">
        <f>LCI_Table[[#This Row],[GREET1 Name Range]]=""</f>
        <v>0</v>
      </c>
      <c r="P2179" s="14" t="s">
        <v>147</v>
      </c>
      <c r="Q2179" s="14" t="s">
        <v>610</v>
      </c>
      <c r="R2179" s="14" t="s">
        <v>114</v>
      </c>
      <c r="S2179" s="37" cm="1">
        <f t="array" aca="1" ref="S21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79" s="346" t="s">
        <v>1485</v>
      </c>
      <c r="U2179" s="347">
        <f ca="1">S2179/S2174*lb2g</f>
        <v>0</v>
      </c>
      <c r="V2179" s="347">
        <v>0</v>
      </c>
      <c r="W2179" s="347">
        <v>0</v>
      </c>
      <c r="X2179" s="14" t="s">
        <v>12</v>
      </c>
      <c r="Y2179" s="346" t="s">
        <v>413</v>
      </c>
      <c r="Z2179" s="14" t="str">
        <f>IF(ISBLANK(LCI_Table[[#This Row],[Notes for user]])," ",LCI_Table[[#This Row],[Notes for user]])</f>
        <v xml:space="preserve"> </v>
      </c>
      <c r="AA2179" s="14"/>
      <c r="AB2179" s="14"/>
      <c r="AC2179" s="346">
        <f ca="1">LCI_Table[[#This Row],[Default Calculated Value]]-LCI_Table[[#This Row],[Calculated Value]]</f>
        <v>0</v>
      </c>
    </row>
    <row r="2180" spans="1:29" x14ac:dyDescent="0.3">
      <c r="A21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ATJICAOMIT(blank)_CornStover_Farming_HDPEHDPE</v>
      </c>
      <c r="B2180" s="14" t="s">
        <v>135</v>
      </c>
      <c r="C2180" s="14" t="s">
        <v>883</v>
      </c>
      <c r="D2180" s="14" t="s">
        <v>194</v>
      </c>
      <c r="E2180" s="14" t="s">
        <v>377</v>
      </c>
      <c r="F2180" s="48" t="s">
        <v>31</v>
      </c>
      <c r="G2180" s="14" t="b">
        <f>OR(LCI_Table[[#This Row],[Feedstock]]="All",LCI_Table[[#This Row],[Feedstock]]=SelectedFeedstock)</f>
        <v>0</v>
      </c>
      <c r="H2180" s="14" t="b">
        <f>OR(LCI_Table[[#This Row],[Conversion]]="All",LCI_Table[[#This Row],[Conversion]]=SelectedConversion)</f>
        <v>0</v>
      </c>
      <c r="I2180" s="14" t="b">
        <f>OR(LCI_Table[[#This Row],[Data Set]]="all",LCI_Table[[#This Row],[Data Set]]=SelectedDataSet)</f>
        <v>0</v>
      </c>
      <c r="J2180" s="14" t="b">
        <f>OR(LCI_Table[[#This Row],[Technology]]="All",LCI_Table[[#This Row],[Technology]]=SelectedTechnology)</f>
        <v>1</v>
      </c>
      <c r="K2180" s="14" t="b">
        <f>OR(LCI_Table[[#This Row],[Data Source]]="All",LCI_Table[[#This Row],[Data Source]]=SelectedDataSource)</f>
        <v>0</v>
      </c>
      <c r="L2180" s="14" t="b">
        <f>TRUE</f>
        <v>1</v>
      </c>
      <c r="M2180" s="14" t="b">
        <f>(LCI_Table[[#This Row],[Dev Notes]]="Do not display")</f>
        <v>0</v>
      </c>
      <c r="N2180" s="14" t="b">
        <f>AND(LCI_Table[[#This Row],[Show Feedstock]:[Conditional]],NOT(LCI_Table[[#This Row],[Hide Row]]))</f>
        <v>0</v>
      </c>
      <c r="O2180" s="14" t="b">
        <f>LCI_Table[[#This Row],[GREET1 Name Range]]=""</f>
        <v>0</v>
      </c>
      <c r="P2180" s="14" t="s">
        <v>147</v>
      </c>
      <c r="Q2180" s="14" t="s">
        <v>608</v>
      </c>
      <c r="R2180" s="14" t="s">
        <v>357</v>
      </c>
      <c r="S2180" s="37" cm="1">
        <f t="array" aca="1" ref="S21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80" s="346" t="s">
        <v>1485</v>
      </c>
      <c r="U2180" s="347">
        <f ca="1">S2180/S2174*lb2g</f>
        <v>0</v>
      </c>
      <c r="V2180" s="347">
        <v>0</v>
      </c>
      <c r="W2180" s="347">
        <v>0</v>
      </c>
      <c r="X2180" s="14" t="s">
        <v>12</v>
      </c>
      <c r="Y2180" s="346" t="s">
        <v>413</v>
      </c>
      <c r="Z2180" s="14" t="str">
        <f>IF(ISBLANK(LCI_Table[[#This Row],[Notes for user]])," ",LCI_Table[[#This Row],[Notes for user]])</f>
        <v xml:space="preserve"> </v>
      </c>
      <c r="AA2180" s="14"/>
      <c r="AB2180" s="14"/>
      <c r="AC2180" s="346">
        <f ca="1">LCI_Table[[#This Row],[Default Calculated Value]]-LCI_Table[[#This Row],[Calculated Value]]</f>
        <v>0</v>
      </c>
    </row>
    <row r="2181" spans="1:29" x14ac:dyDescent="0.3">
      <c r="A21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ATJICAOMIT(blank)_CornStover_Farming_Residual_oilResidual oil</v>
      </c>
      <c r="B2181" s="14" t="s">
        <v>135</v>
      </c>
      <c r="C2181" s="14" t="s">
        <v>883</v>
      </c>
      <c r="D2181" s="14" t="s">
        <v>194</v>
      </c>
      <c r="E2181" s="14" t="s">
        <v>377</v>
      </c>
      <c r="F2181" s="48" t="s">
        <v>31</v>
      </c>
      <c r="G2181" s="14" t="b">
        <f>OR(LCI_Table[[#This Row],[Feedstock]]="All",LCI_Table[[#This Row],[Feedstock]]=SelectedFeedstock)</f>
        <v>0</v>
      </c>
      <c r="H2181" s="14" t="b">
        <f>OR(LCI_Table[[#This Row],[Conversion]]="All",LCI_Table[[#This Row],[Conversion]]=SelectedConversion)</f>
        <v>0</v>
      </c>
      <c r="I2181" s="14" t="b">
        <f>OR(LCI_Table[[#This Row],[Data Set]]="all",LCI_Table[[#This Row],[Data Set]]=SelectedDataSet)</f>
        <v>0</v>
      </c>
      <c r="J2181" s="14" t="b">
        <f>OR(LCI_Table[[#This Row],[Technology]]="All",LCI_Table[[#This Row],[Technology]]=SelectedTechnology)</f>
        <v>1</v>
      </c>
      <c r="K2181" s="14" t="b">
        <f>OR(LCI_Table[[#This Row],[Data Source]]="All",LCI_Table[[#This Row],[Data Source]]=SelectedDataSource)</f>
        <v>0</v>
      </c>
      <c r="L2181" s="14" t="b">
        <f>TRUE</f>
        <v>1</v>
      </c>
      <c r="M2181" s="14" t="b">
        <f>(LCI_Table[[#This Row],[Dev Notes]]="Do not display")</f>
        <v>0</v>
      </c>
      <c r="N2181" s="14" t="b">
        <f>AND(LCI_Table[[#This Row],[Show Feedstock]:[Conditional]],NOT(LCI_Table[[#This Row],[Hide Row]]))</f>
        <v>0</v>
      </c>
      <c r="O2181" s="14" t="b">
        <f>LCI_Table[[#This Row],[GREET1 Name Range]]=""</f>
        <v>0</v>
      </c>
      <c r="P2181" s="14" t="s">
        <v>147</v>
      </c>
      <c r="Q2181" s="14" t="s">
        <v>616</v>
      </c>
      <c r="R2181" s="14" t="s">
        <v>115</v>
      </c>
      <c r="S2181" s="37" cm="1">
        <f t="array" aca="1" ref="S21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81" s="346" t="s">
        <v>1484</v>
      </c>
      <c r="U2181" s="347">
        <f ca="1">S2181*Fuel_Specs!$B$28/S2174</f>
        <v>0</v>
      </c>
      <c r="V2181" s="347">
        <v>0</v>
      </c>
      <c r="W2181" s="347">
        <v>0</v>
      </c>
      <c r="X2181" s="14" t="s">
        <v>5</v>
      </c>
      <c r="Y2181" s="346" t="s">
        <v>413</v>
      </c>
      <c r="Z2181" s="14" t="str">
        <f>IF(ISBLANK(LCI_Table[[#This Row],[Notes for user]])," ",LCI_Table[[#This Row],[Notes for user]])</f>
        <v xml:space="preserve"> </v>
      </c>
      <c r="AA2181" s="14"/>
      <c r="AB2181" s="14"/>
      <c r="AC2181" s="346">
        <f ca="1">LCI_Table[[#This Row],[Default Calculated Value]]-LCI_Table[[#This Row],[Calculated Value]]</f>
        <v>0</v>
      </c>
    </row>
    <row r="2182" spans="1:29" x14ac:dyDescent="0.3">
      <c r="A21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ATJICAOMIT(blank)_CornStover_Farming_DieselDiesel</v>
      </c>
      <c r="B2182" s="14" t="s">
        <v>135</v>
      </c>
      <c r="C2182" s="14" t="s">
        <v>883</v>
      </c>
      <c r="D2182" s="14" t="s">
        <v>194</v>
      </c>
      <c r="E2182" s="14" t="s">
        <v>377</v>
      </c>
      <c r="F2182" s="48" t="s">
        <v>31</v>
      </c>
      <c r="G2182" s="14" t="b">
        <f>OR(LCI_Table[[#This Row],[Feedstock]]="All",LCI_Table[[#This Row],[Feedstock]]=SelectedFeedstock)</f>
        <v>0</v>
      </c>
      <c r="H2182" s="14" t="b">
        <f>OR(LCI_Table[[#This Row],[Conversion]]="All",LCI_Table[[#This Row],[Conversion]]=SelectedConversion)</f>
        <v>0</v>
      </c>
      <c r="I2182" s="14" t="b">
        <f>OR(LCI_Table[[#This Row],[Data Set]]="all",LCI_Table[[#This Row],[Data Set]]=SelectedDataSet)</f>
        <v>0</v>
      </c>
      <c r="J2182" s="14" t="b">
        <f>OR(LCI_Table[[#This Row],[Technology]]="All",LCI_Table[[#This Row],[Technology]]=SelectedTechnology)</f>
        <v>1</v>
      </c>
      <c r="K2182" s="14" t="b">
        <f>OR(LCI_Table[[#This Row],[Data Source]]="All",LCI_Table[[#This Row],[Data Source]]=SelectedDataSource)</f>
        <v>0</v>
      </c>
      <c r="L2182" s="14" t="b">
        <f>TRUE</f>
        <v>1</v>
      </c>
      <c r="M2182" s="14" t="b">
        <f>(LCI_Table[[#This Row],[Dev Notes]]="Do not display")</f>
        <v>0</v>
      </c>
      <c r="N2182" s="14" t="b">
        <f>AND(LCI_Table[[#This Row],[Show Feedstock]:[Conditional]],NOT(LCI_Table[[#This Row],[Hide Row]]))</f>
        <v>0</v>
      </c>
      <c r="O2182" s="14" t="b">
        <f>LCI_Table[[#This Row],[GREET1 Name Range]]=""</f>
        <v>0</v>
      </c>
      <c r="P2182" s="14" t="s">
        <v>147</v>
      </c>
      <c r="Q2182" s="14" t="s">
        <v>605</v>
      </c>
      <c r="R2182" s="14" t="s">
        <v>106</v>
      </c>
      <c r="S2182" s="37" cm="1">
        <f t="array" aca="1" ref="S21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4.2707883207096966</v>
      </c>
      <c r="T2182" s="346" t="s">
        <v>1484</v>
      </c>
      <c r="U2182" s="347">
        <f ca="1">S2182*Fuel_Specs!$B$19/S2174</f>
        <v>6605.0077855607997</v>
      </c>
      <c r="V2182" s="347">
        <v>4.2707883207096966</v>
      </c>
      <c r="W2182" s="347">
        <v>6605.0077855607997</v>
      </c>
      <c r="X2182" s="14" t="s">
        <v>5</v>
      </c>
      <c r="Y2182" s="346" t="s">
        <v>413</v>
      </c>
      <c r="Z2182" s="14" t="str">
        <f>IF(ISBLANK(LCI_Table[[#This Row],[Notes for user]])," ",LCI_Table[[#This Row],[Notes for user]])</f>
        <v xml:space="preserve"> </v>
      </c>
      <c r="AA2182" s="14"/>
      <c r="AB2182" s="14"/>
      <c r="AC2182" s="346">
        <f ca="1">LCI_Table[[#This Row],[Default Calculated Value]]-LCI_Table[[#This Row],[Calculated Value]]</f>
        <v>0</v>
      </c>
    </row>
    <row r="2183" spans="1:29" x14ac:dyDescent="0.3">
      <c r="A21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ATJICAOMIT(blank)_CornStover_Farming_GasolineGasoline</v>
      </c>
      <c r="B2183" s="14" t="s">
        <v>135</v>
      </c>
      <c r="C2183" s="14" t="s">
        <v>883</v>
      </c>
      <c r="D2183" s="14" t="s">
        <v>194</v>
      </c>
      <c r="E2183" s="14" t="s">
        <v>377</v>
      </c>
      <c r="F2183" s="48" t="s">
        <v>31</v>
      </c>
      <c r="G2183" s="14" t="b">
        <f>OR(LCI_Table[[#This Row],[Feedstock]]="All",LCI_Table[[#This Row],[Feedstock]]=SelectedFeedstock)</f>
        <v>0</v>
      </c>
      <c r="H2183" s="14" t="b">
        <f>OR(LCI_Table[[#This Row],[Conversion]]="All",LCI_Table[[#This Row],[Conversion]]=SelectedConversion)</f>
        <v>0</v>
      </c>
      <c r="I2183" s="14" t="b">
        <f>OR(LCI_Table[[#This Row],[Data Set]]="all",LCI_Table[[#This Row],[Data Set]]=SelectedDataSet)</f>
        <v>0</v>
      </c>
      <c r="J2183" s="14" t="b">
        <f>OR(LCI_Table[[#This Row],[Technology]]="All",LCI_Table[[#This Row],[Technology]]=SelectedTechnology)</f>
        <v>1</v>
      </c>
      <c r="K2183" s="14" t="b">
        <f>OR(LCI_Table[[#This Row],[Data Source]]="All",LCI_Table[[#This Row],[Data Source]]=SelectedDataSource)</f>
        <v>0</v>
      </c>
      <c r="L2183" s="14" t="b">
        <f>TRUE</f>
        <v>1</v>
      </c>
      <c r="M2183" s="14" t="b">
        <f>(LCI_Table[[#This Row],[Dev Notes]]="Do not display")</f>
        <v>0</v>
      </c>
      <c r="N2183" s="14" t="b">
        <f>AND(LCI_Table[[#This Row],[Show Feedstock]:[Conditional]],NOT(LCI_Table[[#This Row],[Hide Row]]))</f>
        <v>0</v>
      </c>
      <c r="O2183" s="14" t="b">
        <f>LCI_Table[[#This Row],[GREET1 Name Range]]=""</f>
        <v>0</v>
      </c>
      <c r="P2183" s="14" t="s">
        <v>147</v>
      </c>
      <c r="Q2183" s="14" t="s">
        <v>607</v>
      </c>
      <c r="R2183" s="14" t="s">
        <v>107</v>
      </c>
      <c r="S2183" s="37" cm="1">
        <f t="array" aca="1" ref="S21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83" s="346" t="s">
        <v>1484</v>
      </c>
      <c r="U2183" s="347">
        <f ca="1">S2183*Fuel_Specs!$B$15/S2174</f>
        <v>0</v>
      </c>
      <c r="V2183" s="347">
        <v>0</v>
      </c>
      <c r="W2183" s="347">
        <v>0</v>
      </c>
      <c r="X2183" s="14" t="s">
        <v>5</v>
      </c>
      <c r="Y2183" s="346" t="s">
        <v>413</v>
      </c>
      <c r="Z2183" s="14" t="str">
        <f>IF(ISBLANK(LCI_Table[[#This Row],[Notes for user]])," ",LCI_Table[[#This Row],[Notes for user]])</f>
        <v xml:space="preserve"> </v>
      </c>
      <c r="AA2183" s="14"/>
      <c r="AB2183" s="14"/>
      <c r="AC2183" s="346">
        <f ca="1">LCI_Table[[#This Row],[Default Calculated Value]]-LCI_Table[[#This Row],[Calculated Value]]</f>
        <v>0</v>
      </c>
    </row>
    <row r="2184" spans="1:29" x14ac:dyDescent="0.3">
      <c r="A21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ATJICAOMIT(blank)_CornStover_Farming_Natural_gasNatural gas</v>
      </c>
      <c r="B2184" s="14" t="s">
        <v>135</v>
      </c>
      <c r="C2184" s="14" t="s">
        <v>883</v>
      </c>
      <c r="D2184" s="14" t="s">
        <v>194</v>
      </c>
      <c r="E2184" s="14" t="s">
        <v>377</v>
      </c>
      <c r="F2184" s="48" t="s">
        <v>31</v>
      </c>
      <c r="G2184" s="14" t="b">
        <f>OR(LCI_Table[[#This Row],[Feedstock]]="All",LCI_Table[[#This Row],[Feedstock]]=SelectedFeedstock)</f>
        <v>0</v>
      </c>
      <c r="H2184" s="14" t="b">
        <f>OR(LCI_Table[[#This Row],[Conversion]]="All",LCI_Table[[#This Row],[Conversion]]=SelectedConversion)</f>
        <v>0</v>
      </c>
      <c r="I2184" s="14" t="b">
        <f>OR(LCI_Table[[#This Row],[Data Set]]="all",LCI_Table[[#This Row],[Data Set]]=SelectedDataSet)</f>
        <v>0</v>
      </c>
      <c r="J2184" s="14" t="b">
        <f>OR(LCI_Table[[#This Row],[Technology]]="All",LCI_Table[[#This Row],[Technology]]=SelectedTechnology)</f>
        <v>1</v>
      </c>
      <c r="K2184" s="14" t="b">
        <f>OR(LCI_Table[[#This Row],[Data Source]]="All",LCI_Table[[#This Row],[Data Source]]=SelectedDataSource)</f>
        <v>0</v>
      </c>
      <c r="L2184" s="14" t="b">
        <f>TRUE</f>
        <v>1</v>
      </c>
      <c r="M2184" s="14" t="b">
        <f>(LCI_Table[[#This Row],[Dev Notes]]="Do not display")</f>
        <v>0</v>
      </c>
      <c r="N2184" s="14" t="b">
        <f>AND(LCI_Table[[#This Row],[Show Feedstock]:[Conditional]],NOT(LCI_Table[[#This Row],[Hide Row]]))</f>
        <v>0</v>
      </c>
      <c r="O2184" s="14" t="b">
        <f>LCI_Table[[#This Row],[GREET1 Name Range]]=""</f>
        <v>0</v>
      </c>
      <c r="P2184" s="14" t="s">
        <v>147</v>
      </c>
      <c r="Q2184" s="14" t="s">
        <v>613</v>
      </c>
      <c r="R2184" s="14" t="s">
        <v>108</v>
      </c>
      <c r="S2184" s="37" cm="1">
        <f t="array" aca="1" ref="S21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84" s="346" t="s">
        <v>2109</v>
      </c>
      <c r="U2184" s="347">
        <f ca="1">S2184*Fuel_Specs!$B$79/S2174</f>
        <v>0</v>
      </c>
      <c r="V2184" s="347">
        <v>0</v>
      </c>
      <c r="W2184" s="347">
        <v>0</v>
      </c>
      <c r="X2184" s="14" t="s">
        <v>351</v>
      </c>
      <c r="Y2184" s="346" t="s">
        <v>413</v>
      </c>
      <c r="Z2184" s="14" t="str">
        <f>IF(ISBLANK(LCI_Table[[#This Row],[Notes for user]])," ",LCI_Table[[#This Row],[Notes for user]])</f>
        <v xml:space="preserve"> </v>
      </c>
      <c r="AA2184" s="14"/>
      <c r="AB2184" s="14"/>
      <c r="AC2184" s="346">
        <f ca="1">LCI_Table[[#This Row],[Default Calculated Value]]-LCI_Table[[#This Row],[Calculated Value]]</f>
        <v>0</v>
      </c>
    </row>
    <row r="2185" spans="1:29" x14ac:dyDescent="0.3">
      <c r="A21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ATJICAOMIT(blank)_CornStover_Farming_CoalCoal</v>
      </c>
      <c r="B2185" s="14" t="s">
        <v>135</v>
      </c>
      <c r="C2185" s="14" t="s">
        <v>883</v>
      </c>
      <c r="D2185" s="14" t="s">
        <v>194</v>
      </c>
      <c r="E2185" s="14" t="s">
        <v>377</v>
      </c>
      <c r="F2185" s="48" t="s">
        <v>31</v>
      </c>
      <c r="G2185" s="14" t="b">
        <f>OR(LCI_Table[[#This Row],[Feedstock]]="All",LCI_Table[[#This Row],[Feedstock]]=SelectedFeedstock)</f>
        <v>0</v>
      </c>
      <c r="H2185" s="14" t="b">
        <f>OR(LCI_Table[[#This Row],[Conversion]]="All",LCI_Table[[#This Row],[Conversion]]=SelectedConversion)</f>
        <v>0</v>
      </c>
      <c r="I2185" s="14" t="b">
        <f>OR(LCI_Table[[#This Row],[Data Set]]="all",LCI_Table[[#This Row],[Data Set]]=SelectedDataSet)</f>
        <v>0</v>
      </c>
      <c r="J2185" s="14" t="b">
        <f>OR(LCI_Table[[#This Row],[Technology]]="All",LCI_Table[[#This Row],[Technology]]=SelectedTechnology)</f>
        <v>1</v>
      </c>
      <c r="K2185" s="14" t="b">
        <f>OR(LCI_Table[[#This Row],[Data Source]]="All",LCI_Table[[#This Row],[Data Source]]=SelectedDataSource)</f>
        <v>0</v>
      </c>
      <c r="L2185" s="14" t="b">
        <f>TRUE</f>
        <v>1</v>
      </c>
      <c r="M2185" s="14" t="b">
        <f>(LCI_Table[[#This Row],[Dev Notes]]="Do not display")</f>
        <v>0</v>
      </c>
      <c r="N2185" s="14" t="b">
        <f>AND(LCI_Table[[#This Row],[Show Feedstock]:[Conditional]],NOT(LCI_Table[[#This Row],[Hide Row]]))</f>
        <v>0</v>
      </c>
      <c r="O2185" s="14" t="b">
        <f>LCI_Table[[#This Row],[GREET1 Name Range]]=""</f>
        <v>0</v>
      </c>
      <c r="P2185" s="14" t="s">
        <v>147</v>
      </c>
      <c r="Q2185" s="14" t="s">
        <v>604</v>
      </c>
      <c r="R2185" s="14" t="s">
        <v>9</v>
      </c>
      <c r="S2185" s="37" cm="1">
        <f t="array" aca="1" ref="S21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85" s="346" t="s">
        <v>2110</v>
      </c>
      <c r="U2185" s="347">
        <f ca="1">S2185/S2174</f>
        <v>0</v>
      </c>
      <c r="V2185" s="347">
        <v>0</v>
      </c>
      <c r="W2185" s="347">
        <v>0</v>
      </c>
      <c r="X2185" s="14" t="s">
        <v>117</v>
      </c>
      <c r="Y2185" s="346" t="s">
        <v>413</v>
      </c>
      <c r="Z2185" s="14" t="str">
        <f>IF(ISBLANK(LCI_Table[[#This Row],[Notes for user]])," ",LCI_Table[[#This Row],[Notes for user]])</f>
        <v xml:space="preserve"> </v>
      </c>
      <c r="AA2185" s="14"/>
      <c r="AB2185" s="14"/>
      <c r="AC2185" s="346">
        <f ca="1">LCI_Table[[#This Row],[Default Calculated Value]]-LCI_Table[[#This Row],[Calculated Value]]</f>
        <v>0</v>
      </c>
    </row>
    <row r="2186" spans="1:29" x14ac:dyDescent="0.3">
      <c r="A21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ATJICAOMIT(blank)_CornStover_Farming_LPGLPG</v>
      </c>
      <c r="B2186" s="14" t="s">
        <v>135</v>
      </c>
      <c r="C2186" s="14" t="s">
        <v>883</v>
      </c>
      <c r="D2186" s="14" t="s">
        <v>194</v>
      </c>
      <c r="E2186" s="14" t="s">
        <v>377</v>
      </c>
      <c r="F2186" s="48" t="s">
        <v>31</v>
      </c>
      <c r="G2186" s="14" t="b">
        <f>OR(LCI_Table[[#This Row],[Feedstock]]="All",LCI_Table[[#This Row],[Feedstock]]=SelectedFeedstock)</f>
        <v>0</v>
      </c>
      <c r="H2186" s="14" t="b">
        <f>OR(LCI_Table[[#This Row],[Conversion]]="All",LCI_Table[[#This Row],[Conversion]]=SelectedConversion)</f>
        <v>0</v>
      </c>
      <c r="I2186" s="14" t="b">
        <f>OR(LCI_Table[[#This Row],[Data Set]]="all",LCI_Table[[#This Row],[Data Set]]=SelectedDataSet)</f>
        <v>0</v>
      </c>
      <c r="J2186" s="14" t="b">
        <f>OR(LCI_Table[[#This Row],[Technology]]="All",LCI_Table[[#This Row],[Technology]]=SelectedTechnology)</f>
        <v>1</v>
      </c>
      <c r="K2186" s="14" t="b">
        <f>OR(LCI_Table[[#This Row],[Data Source]]="All",LCI_Table[[#This Row],[Data Source]]=SelectedDataSource)</f>
        <v>0</v>
      </c>
      <c r="L2186" s="14" t="b">
        <f>TRUE</f>
        <v>1</v>
      </c>
      <c r="M2186" s="14" t="b">
        <f>(LCI_Table[[#This Row],[Dev Notes]]="Do not display")</f>
        <v>0</v>
      </c>
      <c r="N2186" s="14" t="b">
        <f>AND(LCI_Table[[#This Row],[Show Feedstock]:[Conditional]],NOT(LCI_Table[[#This Row],[Hide Row]]))</f>
        <v>0</v>
      </c>
      <c r="O2186" s="14" t="b">
        <f>LCI_Table[[#This Row],[GREET1 Name Range]]=""</f>
        <v>0</v>
      </c>
      <c r="P2186" s="14" t="s">
        <v>147</v>
      </c>
      <c r="Q2186" s="14" t="s">
        <v>612</v>
      </c>
      <c r="R2186" s="14" t="s">
        <v>109</v>
      </c>
      <c r="S2186" s="37" cm="1">
        <f t="array" aca="1" ref="S21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86" s="346" t="s">
        <v>1484</v>
      </c>
      <c r="U2186" s="347">
        <f ca="1">S2186*Fuel_Specs!$B$35/S2174</f>
        <v>0</v>
      </c>
      <c r="V2186" s="347">
        <v>0</v>
      </c>
      <c r="W2186" s="347">
        <v>0</v>
      </c>
      <c r="X2186" s="14" t="s">
        <v>5</v>
      </c>
      <c r="Y2186" s="346" t="s">
        <v>413</v>
      </c>
      <c r="Z2186" s="14" t="str">
        <f>IF(ISBLANK(LCI_Table[[#This Row],[Notes for user]])," ",LCI_Table[[#This Row],[Notes for user]])</f>
        <v xml:space="preserve"> </v>
      </c>
      <c r="AA2186" s="14"/>
      <c r="AB2186" s="14"/>
      <c r="AC2186" s="346">
        <f ca="1">LCI_Table[[#This Row],[Default Calculated Value]]-LCI_Table[[#This Row],[Calculated Value]]</f>
        <v>0</v>
      </c>
    </row>
    <row r="2187" spans="1:29" x14ac:dyDescent="0.3">
      <c r="A21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ATJICAOMIT(blank)_CornStover_Farming_ElectricityElectricity</v>
      </c>
      <c r="B2187" s="14" t="s">
        <v>135</v>
      </c>
      <c r="C2187" s="14" t="s">
        <v>883</v>
      </c>
      <c r="D2187" s="14" t="s">
        <v>194</v>
      </c>
      <c r="E2187" s="14" t="s">
        <v>377</v>
      </c>
      <c r="F2187" s="48" t="s">
        <v>31</v>
      </c>
      <c r="G2187" s="14" t="b">
        <f>OR(LCI_Table[[#This Row],[Feedstock]]="All",LCI_Table[[#This Row],[Feedstock]]=SelectedFeedstock)</f>
        <v>0</v>
      </c>
      <c r="H2187" s="14" t="b">
        <f>OR(LCI_Table[[#This Row],[Conversion]]="All",LCI_Table[[#This Row],[Conversion]]=SelectedConversion)</f>
        <v>0</v>
      </c>
      <c r="I2187" s="14" t="b">
        <f>OR(LCI_Table[[#This Row],[Data Set]]="all",LCI_Table[[#This Row],[Data Set]]=SelectedDataSet)</f>
        <v>0</v>
      </c>
      <c r="J2187" s="14" t="b">
        <f>OR(LCI_Table[[#This Row],[Technology]]="All",LCI_Table[[#This Row],[Technology]]=SelectedTechnology)</f>
        <v>1</v>
      </c>
      <c r="K2187" s="14" t="b">
        <f>OR(LCI_Table[[#This Row],[Data Source]]="All",LCI_Table[[#This Row],[Data Source]]=SelectedDataSource)</f>
        <v>0</v>
      </c>
      <c r="L2187" s="14" t="b">
        <f>TRUE</f>
        <v>1</v>
      </c>
      <c r="M2187" s="14" t="b">
        <f>(LCI_Table[[#This Row],[Dev Notes]]="Do not display")</f>
        <v>0</v>
      </c>
      <c r="N2187" s="14" t="b">
        <f>AND(LCI_Table[[#This Row],[Show Feedstock]:[Conditional]],NOT(LCI_Table[[#This Row],[Hide Row]]))</f>
        <v>0</v>
      </c>
      <c r="O2187" s="14" t="b">
        <f>LCI_Table[[#This Row],[GREET1 Name Range]]=""</f>
        <v>0</v>
      </c>
      <c r="P2187" s="14" t="s">
        <v>147</v>
      </c>
      <c r="Q2187" s="14" t="s">
        <v>606</v>
      </c>
      <c r="R2187" s="348" t="s">
        <v>110</v>
      </c>
      <c r="S2187" s="37" cm="1">
        <f t="array" aca="1" ref="S21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187" s="346" t="s">
        <v>1561</v>
      </c>
      <c r="U2187" s="347">
        <f ca="1">S2187/BTU2kWh/S2174</f>
        <v>0</v>
      </c>
      <c r="V2187" s="347">
        <v>0</v>
      </c>
      <c r="W2187" s="347">
        <v>0</v>
      </c>
      <c r="X2187" s="14" t="s">
        <v>51</v>
      </c>
      <c r="Y2187" s="346" t="s">
        <v>413</v>
      </c>
      <c r="Z2187" s="14" t="str">
        <f>IF(ISBLANK(LCI_Table[[#This Row],[Notes for user]])," ",LCI_Table[[#This Row],[Notes for user]])</f>
        <v xml:space="preserve"> </v>
      </c>
      <c r="AA2187" s="14"/>
      <c r="AB2187" s="14"/>
      <c r="AC2187" s="346">
        <f ca="1">LCI_Table[[#This Row],[Default Calculated Value]]-LCI_Table[[#This Row],[Calculated Value]]</f>
        <v>0</v>
      </c>
    </row>
    <row r="2188" spans="1:29" x14ac:dyDescent="0.3">
      <c r="A21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ATJICAOMIT(blank)_Corn_stover_i_BuOH_ATJ_Corn_stoverCorn stover</v>
      </c>
      <c r="B2188" s="14" t="s">
        <v>135</v>
      </c>
      <c r="C2188" s="14" t="s">
        <v>883</v>
      </c>
      <c r="D2188" s="14" t="s">
        <v>194</v>
      </c>
      <c r="E2188" s="14" t="s">
        <v>377</v>
      </c>
      <c r="F2188" s="48" t="s">
        <v>31</v>
      </c>
      <c r="G2188" s="14" t="b">
        <f>OR(LCI_Table[[#This Row],[Feedstock]]="All",LCI_Table[[#This Row],[Feedstock]]=SelectedFeedstock)</f>
        <v>0</v>
      </c>
      <c r="H2188" s="14" t="b">
        <f>OR(LCI_Table[[#This Row],[Conversion]]="All",LCI_Table[[#This Row],[Conversion]]=SelectedConversion)</f>
        <v>0</v>
      </c>
      <c r="I2188" s="14" t="b">
        <f>OR(LCI_Table[[#This Row],[Data Set]]="all",LCI_Table[[#This Row],[Data Set]]=SelectedDataSet)</f>
        <v>0</v>
      </c>
      <c r="J2188" s="14" t="b">
        <f>OR(LCI_Table[[#This Row],[Technology]]="All",LCI_Table[[#This Row],[Technology]]=SelectedTechnology)</f>
        <v>1</v>
      </c>
      <c r="K2188" s="14" t="b">
        <f>OR(LCI_Table[[#This Row],[Data Source]]="All",LCI_Table[[#This Row],[Data Source]]=SelectedDataSource)</f>
        <v>0</v>
      </c>
      <c r="L2188" s="14" t="b">
        <f>TRUE</f>
        <v>1</v>
      </c>
      <c r="M2188" s="14" t="b">
        <f>(LCI_Table[[#This Row],[Dev Notes]]="Do not display")</f>
        <v>0</v>
      </c>
      <c r="N2188" s="14" t="b">
        <f>AND(LCI_Table[[#This Row],[Show Feedstock]:[Conditional]],NOT(LCI_Table[[#This Row],[Hide Row]]))</f>
        <v>0</v>
      </c>
      <c r="O2188" s="14" t="b">
        <f>LCI_Table[[#This Row],[GREET1 Name Range]]=""</f>
        <v>0</v>
      </c>
      <c r="P2188" s="358" t="s">
        <v>1448</v>
      </c>
      <c r="Q2188" s="14" t="s">
        <v>1023</v>
      </c>
      <c r="R2188" s="14" t="s">
        <v>135</v>
      </c>
      <c r="S2188" s="37" cm="1">
        <f t="array" aca="1" ref="S21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352.62159912434225</v>
      </c>
      <c r="T2188" s="346" t="s">
        <v>2119</v>
      </c>
      <c r="U2188" s="373">
        <f ca="1">LCI_Table[[#This Row],[Dashboard Value]]*lb2kg/mmBTU2MJ</f>
        <v>0.15160000000000032</v>
      </c>
      <c r="V2188" s="347">
        <v>352.62159912434225</v>
      </c>
      <c r="W2188" s="347">
        <v>0.15160000000000032</v>
      </c>
      <c r="X2188" s="14" t="s">
        <v>12</v>
      </c>
      <c r="Y2188" s="346" t="s">
        <v>416</v>
      </c>
      <c r="Z2188" s="14" t="str">
        <f>IF(ISBLANK(LCI_Table[[#This Row],[Notes for user]])," ",LCI_Table[[#This Row],[Notes for user]])</f>
        <v xml:space="preserve"> </v>
      </c>
      <c r="AA2188" s="14"/>
      <c r="AB2188" s="358"/>
      <c r="AC2188" s="346">
        <f ca="1">LCI_Table[[#This Row],[Default Calculated Value]]-LCI_Table[[#This Row],[Calculated Value]]</f>
        <v>0</v>
      </c>
    </row>
    <row r="2189" spans="1:29" x14ac:dyDescent="0.3">
      <c r="A21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ATJICAOMIT(blank)_Corn_stover_i_BuOH_ATJ_CellulaseCellulase</v>
      </c>
      <c r="B2189" s="14" t="s">
        <v>135</v>
      </c>
      <c r="C2189" s="14" t="s">
        <v>883</v>
      </c>
      <c r="D2189" s="14" t="s">
        <v>194</v>
      </c>
      <c r="E2189" s="14" t="s">
        <v>377</v>
      </c>
      <c r="F2189" s="48" t="s">
        <v>31</v>
      </c>
      <c r="G2189" s="14" t="b">
        <f>OR(LCI_Table[[#This Row],[Feedstock]]="All",LCI_Table[[#This Row],[Feedstock]]=SelectedFeedstock)</f>
        <v>0</v>
      </c>
      <c r="H2189" s="14" t="b">
        <f>OR(LCI_Table[[#This Row],[Conversion]]="All",LCI_Table[[#This Row],[Conversion]]=SelectedConversion)</f>
        <v>0</v>
      </c>
      <c r="I2189" s="14" t="b">
        <f>OR(LCI_Table[[#This Row],[Data Set]]="all",LCI_Table[[#This Row],[Data Set]]=SelectedDataSet)</f>
        <v>0</v>
      </c>
      <c r="J2189" s="14" t="b">
        <f>OR(LCI_Table[[#This Row],[Technology]]="All",LCI_Table[[#This Row],[Technology]]=SelectedTechnology)</f>
        <v>1</v>
      </c>
      <c r="K2189" s="14" t="b">
        <f>OR(LCI_Table[[#This Row],[Data Source]]="All",LCI_Table[[#This Row],[Data Source]]=SelectedDataSource)</f>
        <v>0</v>
      </c>
      <c r="L2189" s="14" t="b">
        <f>TRUE</f>
        <v>1</v>
      </c>
      <c r="M2189" s="14" t="b">
        <f>(LCI_Table[[#This Row],[Dev Notes]]="Do not display")</f>
        <v>0</v>
      </c>
      <c r="N2189" s="14" t="b">
        <f>AND(LCI_Table[[#This Row],[Show Feedstock]:[Conditional]],NOT(LCI_Table[[#This Row],[Hide Row]]))</f>
        <v>0</v>
      </c>
      <c r="O2189" s="14" t="b">
        <f>LCI_Table[[#This Row],[GREET1 Name Range]]=""</f>
        <v>0</v>
      </c>
      <c r="P2189" s="358" t="s">
        <v>1448</v>
      </c>
      <c r="Q2189" s="14" t="s">
        <v>1024</v>
      </c>
      <c r="R2189" s="14" t="s">
        <v>402</v>
      </c>
      <c r="S2189" s="37" cm="1">
        <f t="array" aca="1" ref="S21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3.1689423921306328</v>
      </c>
      <c r="T2189" s="346" t="s">
        <v>2119</v>
      </c>
      <c r="U2189" s="347">
        <f ca="1">LCI_Table[[#This Row],[Dashboard Value]]*lb2g/mmBTU2MJ</f>
        <v>1.3624000000000029</v>
      </c>
      <c r="V2189" s="347">
        <v>3.1689423921306328</v>
      </c>
      <c r="W2189" s="347">
        <v>1.3624000000000029</v>
      </c>
      <c r="X2189" s="14" t="s">
        <v>12</v>
      </c>
      <c r="Y2189" s="346" t="s">
        <v>416</v>
      </c>
      <c r="Z2189" s="14" t="str">
        <f>IF(ISBLANK(LCI_Table[[#This Row],[Notes for user]])," ",LCI_Table[[#This Row],[Notes for user]])</f>
        <v xml:space="preserve"> </v>
      </c>
      <c r="AA2189" s="14"/>
      <c r="AB2189" s="14"/>
      <c r="AC2189" s="346">
        <f ca="1">LCI_Table[[#This Row],[Default Calculated Value]]-LCI_Table[[#This Row],[Calculated Value]]</f>
        <v>0</v>
      </c>
    </row>
    <row r="2190" spans="1:29" x14ac:dyDescent="0.3">
      <c r="A21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ATJICAOMIT(blank)_Corn_stover_i_BuOH_ATJ_YeastYeast</v>
      </c>
      <c r="B2190" s="14" t="s">
        <v>135</v>
      </c>
      <c r="C2190" s="14" t="s">
        <v>883</v>
      </c>
      <c r="D2190" s="14" t="s">
        <v>194</v>
      </c>
      <c r="E2190" s="14" t="s">
        <v>377</v>
      </c>
      <c r="F2190" s="48" t="s">
        <v>31</v>
      </c>
      <c r="G2190" s="14" t="b">
        <f>OR(LCI_Table[[#This Row],[Feedstock]]="All",LCI_Table[[#This Row],[Feedstock]]=SelectedFeedstock)</f>
        <v>0</v>
      </c>
      <c r="H2190" s="14" t="b">
        <f>OR(LCI_Table[[#This Row],[Conversion]]="All",LCI_Table[[#This Row],[Conversion]]=SelectedConversion)</f>
        <v>0</v>
      </c>
      <c r="I2190" s="14" t="b">
        <f>OR(LCI_Table[[#This Row],[Data Set]]="all",LCI_Table[[#This Row],[Data Set]]=SelectedDataSet)</f>
        <v>0</v>
      </c>
      <c r="J2190" s="14" t="b">
        <f>OR(LCI_Table[[#This Row],[Technology]]="All",LCI_Table[[#This Row],[Technology]]=SelectedTechnology)</f>
        <v>1</v>
      </c>
      <c r="K2190" s="14" t="b">
        <f>OR(LCI_Table[[#This Row],[Data Source]]="All",LCI_Table[[#This Row],[Data Source]]=SelectedDataSource)</f>
        <v>0</v>
      </c>
      <c r="L2190" s="14" t="b">
        <f>TRUE</f>
        <v>1</v>
      </c>
      <c r="M2190" s="14" t="b">
        <f>(LCI_Table[[#This Row],[Dev Notes]]="Do not display")</f>
        <v>0</v>
      </c>
      <c r="N2190" s="14" t="b">
        <f>AND(LCI_Table[[#This Row],[Show Feedstock]:[Conditional]],NOT(LCI_Table[[#This Row],[Hide Row]]))</f>
        <v>0</v>
      </c>
      <c r="O2190" s="14" t="b">
        <f>LCI_Table[[#This Row],[GREET1 Name Range]]=""</f>
        <v>0</v>
      </c>
      <c r="P2190" s="358" t="s">
        <v>1448</v>
      </c>
      <c r="Q2190" s="14" t="s">
        <v>1025</v>
      </c>
      <c r="R2190" s="14" t="s">
        <v>145</v>
      </c>
      <c r="S2190" s="37" cm="1">
        <f t="array" aca="1" ref="S21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0.7089647982394427</v>
      </c>
      <c r="T2190" s="346" t="s">
        <v>2119</v>
      </c>
      <c r="U2190" s="347">
        <f ca="1">LCI_Table[[#This Row],[Dashboard Value]]*lb2g/mmBTU2MJ</f>
        <v>0.30480000000000063</v>
      </c>
      <c r="V2190" s="347">
        <v>0.7089647982394427</v>
      </c>
      <c r="W2190" s="347">
        <v>0.30480000000000063</v>
      </c>
      <c r="X2190" s="14" t="s">
        <v>12</v>
      </c>
      <c r="Y2190" s="346" t="s">
        <v>416</v>
      </c>
      <c r="Z2190" s="14" t="str">
        <f>IF(ISBLANK(LCI_Table[[#This Row],[Notes for user]])," ",LCI_Table[[#This Row],[Notes for user]])</f>
        <v xml:space="preserve"> </v>
      </c>
      <c r="AA2190" s="14"/>
      <c r="AB2190" s="14"/>
      <c r="AC2190" s="346">
        <f ca="1">LCI_Table[[#This Row],[Default Calculated Value]]-LCI_Table[[#This Row],[Calculated Value]]</f>
        <v>0</v>
      </c>
    </row>
    <row r="2191" spans="1:29" x14ac:dyDescent="0.3">
      <c r="A21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ATJICAOMIT(blank)_Corn_stover_i_BuOH_ATJ_Sulfuric_acidSulfuric acid</v>
      </c>
      <c r="B2191" s="14" t="s">
        <v>135</v>
      </c>
      <c r="C2191" s="14" t="s">
        <v>883</v>
      </c>
      <c r="D2191" s="14" t="s">
        <v>194</v>
      </c>
      <c r="E2191" s="14" t="s">
        <v>377</v>
      </c>
      <c r="F2191" s="48" t="s">
        <v>31</v>
      </c>
      <c r="G2191" s="14" t="b">
        <f>OR(LCI_Table[[#This Row],[Feedstock]]="All",LCI_Table[[#This Row],[Feedstock]]=SelectedFeedstock)</f>
        <v>0</v>
      </c>
      <c r="H2191" s="14" t="b">
        <f>OR(LCI_Table[[#This Row],[Conversion]]="All",LCI_Table[[#This Row],[Conversion]]=SelectedConversion)</f>
        <v>0</v>
      </c>
      <c r="I2191" s="14" t="b">
        <f>OR(LCI_Table[[#This Row],[Data Set]]="all",LCI_Table[[#This Row],[Data Set]]=SelectedDataSet)</f>
        <v>0</v>
      </c>
      <c r="J2191" s="14" t="b">
        <f>OR(LCI_Table[[#This Row],[Technology]]="All",LCI_Table[[#This Row],[Technology]]=SelectedTechnology)</f>
        <v>1</v>
      </c>
      <c r="K2191" s="14" t="b">
        <f>OR(LCI_Table[[#This Row],[Data Source]]="All",LCI_Table[[#This Row],[Data Source]]=SelectedDataSource)</f>
        <v>0</v>
      </c>
      <c r="L2191" s="14" t="b">
        <f>TRUE</f>
        <v>1</v>
      </c>
      <c r="M2191" s="14" t="b">
        <f>(LCI_Table[[#This Row],[Dev Notes]]="Do not display")</f>
        <v>0</v>
      </c>
      <c r="N2191" s="14" t="b">
        <f>AND(LCI_Table[[#This Row],[Show Feedstock]:[Conditional]],NOT(LCI_Table[[#This Row],[Hide Row]]))</f>
        <v>0</v>
      </c>
      <c r="O2191" s="14" t="b">
        <f>LCI_Table[[#This Row],[GREET1 Name Range]]=""</f>
        <v>0</v>
      </c>
      <c r="P2191" s="358" t="s">
        <v>1448</v>
      </c>
      <c r="Q2191" s="14" t="s">
        <v>1026</v>
      </c>
      <c r="R2191" s="14" t="s">
        <v>384</v>
      </c>
      <c r="S2191" s="37" cm="1">
        <f t="array" aca="1" ref="S21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9.5086879763872769</v>
      </c>
      <c r="T2191" s="346" t="s">
        <v>2119</v>
      </c>
      <c r="U2191" s="347">
        <f ca="1">LCI_Table[[#This Row],[Dashboard Value]]*lb2g/mmBTU2MJ</f>
        <v>4.088000000000009</v>
      </c>
      <c r="V2191" s="347">
        <v>9.5086879763872769</v>
      </c>
      <c r="W2191" s="347">
        <v>4.088000000000009</v>
      </c>
      <c r="X2191" s="14" t="s">
        <v>12</v>
      </c>
      <c r="Y2191" s="346" t="s">
        <v>416</v>
      </c>
      <c r="Z2191" s="14" t="str">
        <f>IF(ISBLANK(LCI_Table[[#This Row],[Notes for user]])," ",LCI_Table[[#This Row],[Notes for user]])</f>
        <v xml:space="preserve"> </v>
      </c>
      <c r="AA2191" s="14"/>
      <c r="AB2191" s="14"/>
      <c r="AC2191" s="346">
        <f ca="1">LCI_Table[[#This Row],[Default Calculated Value]]-LCI_Table[[#This Row],[Calculated Value]]</f>
        <v>0</v>
      </c>
    </row>
    <row r="2192" spans="1:29" x14ac:dyDescent="0.3">
      <c r="A21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ATJICAOMIT(blank)_Corn_stover_i_BuOH_ATJ_AmmoniaAmmonia</v>
      </c>
      <c r="B2192" s="14" t="s">
        <v>135</v>
      </c>
      <c r="C2192" s="14" t="s">
        <v>883</v>
      </c>
      <c r="D2192" s="14" t="s">
        <v>194</v>
      </c>
      <c r="E2192" s="14" t="s">
        <v>377</v>
      </c>
      <c r="F2192" s="48" t="s">
        <v>31</v>
      </c>
      <c r="G2192" s="14" t="b">
        <f>OR(LCI_Table[[#This Row],[Feedstock]]="All",LCI_Table[[#This Row],[Feedstock]]=SelectedFeedstock)</f>
        <v>0</v>
      </c>
      <c r="H2192" s="14" t="b">
        <f>OR(LCI_Table[[#This Row],[Conversion]]="All",LCI_Table[[#This Row],[Conversion]]=SelectedConversion)</f>
        <v>0</v>
      </c>
      <c r="I2192" s="14" t="b">
        <f>OR(LCI_Table[[#This Row],[Data Set]]="all",LCI_Table[[#This Row],[Data Set]]=SelectedDataSet)</f>
        <v>0</v>
      </c>
      <c r="J2192" s="14" t="b">
        <f>OR(LCI_Table[[#This Row],[Technology]]="All",LCI_Table[[#This Row],[Technology]]=SelectedTechnology)</f>
        <v>1</v>
      </c>
      <c r="K2192" s="14" t="b">
        <f>OR(LCI_Table[[#This Row],[Data Source]]="All",LCI_Table[[#This Row],[Data Source]]=SelectedDataSource)</f>
        <v>0</v>
      </c>
      <c r="L2192" s="14" t="b">
        <f>TRUE</f>
        <v>1</v>
      </c>
      <c r="M2192" s="14" t="b">
        <f>(LCI_Table[[#This Row],[Dev Notes]]="Do not display")</f>
        <v>0</v>
      </c>
      <c r="N2192" s="14" t="b">
        <f>AND(LCI_Table[[#This Row],[Show Feedstock]:[Conditional]],NOT(LCI_Table[[#This Row],[Hide Row]]))</f>
        <v>0</v>
      </c>
      <c r="O2192" s="14" t="b">
        <f>LCI_Table[[#This Row],[GREET1 Name Range]]=""</f>
        <v>0</v>
      </c>
      <c r="P2192" s="358" t="s">
        <v>1448</v>
      </c>
      <c r="Q2192" s="14" t="s">
        <v>1027</v>
      </c>
      <c r="R2192" s="14" t="s">
        <v>382</v>
      </c>
      <c r="S2192" s="37" cm="1">
        <f t="array" aca="1" ref="S21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6.336721784264153</v>
      </c>
      <c r="T2192" s="346" t="s">
        <v>2119</v>
      </c>
      <c r="U2192" s="347">
        <f ca="1">LCI_Table[[#This Row],[Dashboard Value]]*lb2g/mmBTU2MJ</f>
        <v>2.7243000000000057</v>
      </c>
      <c r="V2192" s="347">
        <v>6.336721784264153</v>
      </c>
      <c r="W2192" s="347">
        <v>2.7243000000000057</v>
      </c>
      <c r="X2192" s="14" t="s">
        <v>12</v>
      </c>
      <c r="Y2192" s="346" t="s">
        <v>416</v>
      </c>
      <c r="Z2192" s="14" t="str">
        <f>IF(ISBLANK(LCI_Table[[#This Row],[Notes for user]])," ",LCI_Table[[#This Row],[Notes for user]])</f>
        <v xml:space="preserve"> </v>
      </c>
      <c r="AA2192" s="14"/>
      <c r="AB2192" s="14"/>
      <c r="AC2192" s="346">
        <f ca="1">LCI_Table[[#This Row],[Default Calculated Value]]-LCI_Table[[#This Row],[Calculated Value]]</f>
        <v>0</v>
      </c>
    </row>
    <row r="2193" spans="1:29" x14ac:dyDescent="0.3">
      <c r="A21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ATJICAOMIT(blank)_Corn_stover_i_BuOH_ATJ_Corn_steep_liquorCorn steep liquor</v>
      </c>
      <c r="B2193" s="14" t="s">
        <v>135</v>
      </c>
      <c r="C2193" s="14" t="s">
        <v>883</v>
      </c>
      <c r="D2193" s="14" t="s">
        <v>194</v>
      </c>
      <c r="E2193" s="14" t="s">
        <v>377</v>
      </c>
      <c r="F2193" s="48" t="s">
        <v>31</v>
      </c>
      <c r="G2193" s="14" t="b">
        <f>OR(LCI_Table[[#This Row],[Feedstock]]="All",LCI_Table[[#This Row],[Feedstock]]=SelectedFeedstock)</f>
        <v>0</v>
      </c>
      <c r="H2193" s="14" t="b">
        <f>OR(LCI_Table[[#This Row],[Conversion]]="All",LCI_Table[[#This Row],[Conversion]]=SelectedConversion)</f>
        <v>0</v>
      </c>
      <c r="I2193" s="14" t="b">
        <f>OR(LCI_Table[[#This Row],[Data Set]]="all",LCI_Table[[#This Row],[Data Set]]=SelectedDataSet)</f>
        <v>0</v>
      </c>
      <c r="J2193" s="14" t="b">
        <f>OR(LCI_Table[[#This Row],[Technology]]="All",LCI_Table[[#This Row],[Technology]]=SelectedTechnology)</f>
        <v>1</v>
      </c>
      <c r="K2193" s="14" t="b">
        <f>OR(LCI_Table[[#This Row],[Data Source]]="All",LCI_Table[[#This Row],[Data Source]]=SelectedDataSource)</f>
        <v>0</v>
      </c>
      <c r="L2193" s="14" t="b">
        <f>TRUE</f>
        <v>1</v>
      </c>
      <c r="M2193" s="14" t="b">
        <f>(LCI_Table[[#This Row],[Dev Notes]]="Do not display")</f>
        <v>0</v>
      </c>
      <c r="N2193" s="14" t="b">
        <f>AND(LCI_Table[[#This Row],[Show Feedstock]:[Conditional]],NOT(LCI_Table[[#This Row],[Hide Row]]))</f>
        <v>0</v>
      </c>
      <c r="O2193" s="14" t="b">
        <f>LCI_Table[[#This Row],[GREET1 Name Range]]=""</f>
        <v>0</v>
      </c>
      <c r="P2193" s="358" t="s">
        <v>1448</v>
      </c>
      <c r="Q2193" s="14" t="s">
        <v>1028</v>
      </c>
      <c r="R2193" s="14" t="s">
        <v>386</v>
      </c>
      <c r="S2193" s="37" cm="1">
        <f t="array" aca="1" ref="S21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5.6712531859166972</v>
      </c>
      <c r="T2193" s="346" t="s">
        <v>2119</v>
      </c>
      <c r="U2193" s="347">
        <f ca="1">LCI_Table[[#This Row],[Dashboard Value]]*lb2g/mmBTU2MJ</f>
        <v>2.438200000000005</v>
      </c>
      <c r="V2193" s="347">
        <v>5.6712531859166972</v>
      </c>
      <c r="W2193" s="347">
        <v>2.438200000000005</v>
      </c>
      <c r="X2193" s="14" t="s">
        <v>12</v>
      </c>
      <c r="Y2193" s="346" t="s">
        <v>416</v>
      </c>
      <c r="Z2193" s="14" t="str">
        <f>IF(ISBLANK(LCI_Table[[#This Row],[Notes for user]])," ",LCI_Table[[#This Row],[Notes for user]])</f>
        <v xml:space="preserve"> </v>
      </c>
      <c r="AA2193" s="14"/>
      <c r="AB2193" s="14"/>
      <c r="AC2193" s="346">
        <f ca="1">LCI_Table[[#This Row],[Default Calculated Value]]-LCI_Table[[#This Row],[Calculated Value]]</f>
        <v>0</v>
      </c>
    </row>
    <row r="2194" spans="1:29" x14ac:dyDescent="0.3">
      <c r="A21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ATJICAOMIT(blank)_Corn_stover_i_BuOH_ATJ_DAPDAP</v>
      </c>
      <c r="B2194" s="14" t="s">
        <v>135</v>
      </c>
      <c r="C2194" s="14" t="s">
        <v>883</v>
      </c>
      <c r="D2194" s="14" t="s">
        <v>194</v>
      </c>
      <c r="E2194" s="14" t="s">
        <v>377</v>
      </c>
      <c r="F2194" s="48" t="s">
        <v>31</v>
      </c>
      <c r="G2194" s="14" t="b">
        <f>OR(LCI_Table[[#This Row],[Feedstock]]="All",LCI_Table[[#This Row],[Feedstock]]=SelectedFeedstock)</f>
        <v>0</v>
      </c>
      <c r="H2194" s="14" t="b">
        <f>OR(LCI_Table[[#This Row],[Conversion]]="All",LCI_Table[[#This Row],[Conversion]]=SelectedConversion)</f>
        <v>0</v>
      </c>
      <c r="I2194" s="14" t="b">
        <f>OR(LCI_Table[[#This Row],[Data Set]]="all",LCI_Table[[#This Row],[Data Set]]=SelectedDataSet)</f>
        <v>0</v>
      </c>
      <c r="J2194" s="14" t="b">
        <f>OR(LCI_Table[[#This Row],[Technology]]="All",LCI_Table[[#This Row],[Technology]]=SelectedTechnology)</f>
        <v>1</v>
      </c>
      <c r="K2194" s="14" t="b">
        <f>OR(LCI_Table[[#This Row],[Data Source]]="All",LCI_Table[[#This Row],[Data Source]]=SelectedDataSource)</f>
        <v>0</v>
      </c>
      <c r="L2194" s="14" t="b">
        <f>TRUE</f>
        <v>1</v>
      </c>
      <c r="M2194" s="14" t="b">
        <f>(LCI_Table[[#This Row],[Dev Notes]]="Do not display")</f>
        <v>0</v>
      </c>
      <c r="N2194" s="14" t="b">
        <f>AND(LCI_Table[[#This Row],[Show Feedstock]:[Conditional]],NOT(LCI_Table[[#This Row],[Hide Row]]))</f>
        <v>0</v>
      </c>
      <c r="O2194" s="14" t="b">
        <f>LCI_Table[[#This Row],[GREET1 Name Range]]=""</f>
        <v>0</v>
      </c>
      <c r="P2194" s="358" t="s">
        <v>1448</v>
      </c>
      <c r="Q2194" s="14" t="s">
        <v>1029</v>
      </c>
      <c r="R2194" s="14" t="s">
        <v>383</v>
      </c>
      <c r="S2194" s="37" cm="1">
        <f t="array" aca="1" ref="S21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0.7089647982394427</v>
      </c>
      <c r="T2194" s="346" t="s">
        <v>2119</v>
      </c>
      <c r="U2194" s="347">
        <f ca="1">LCI_Table[[#This Row],[Dashboard Value]]*lb2g/mmBTU2MJ</f>
        <v>0.30480000000000063</v>
      </c>
      <c r="V2194" s="347">
        <v>0.7089647982394427</v>
      </c>
      <c r="W2194" s="347">
        <v>0.30480000000000063</v>
      </c>
      <c r="X2194" s="14" t="s">
        <v>12</v>
      </c>
      <c r="Y2194" s="346" t="s">
        <v>416</v>
      </c>
      <c r="Z2194" s="14" t="str">
        <f>IF(ISBLANK(LCI_Table[[#This Row],[Notes for user]])," ",LCI_Table[[#This Row],[Notes for user]])</f>
        <v xml:space="preserve"> </v>
      </c>
      <c r="AA2194" s="14"/>
      <c r="AB2194" s="14"/>
      <c r="AC2194" s="346">
        <f ca="1">LCI_Table[[#This Row],[Default Calculated Value]]-LCI_Table[[#This Row],[Calculated Value]]</f>
        <v>0</v>
      </c>
    </row>
    <row r="2195" spans="1:29" x14ac:dyDescent="0.3">
      <c r="A21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ATJICAOMIT(blank)_Corn_stover_i_BuOH_Fermentation_Natural_gasNatural gas (fermentation)</v>
      </c>
      <c r="B2195" s="14" t="s">
        <v>135</v>
      </c>
      <c r="C2195" s="14" t="s">
        <v>883</v>
      </c>
      <c r="D2195" s="14" t="s">
        <v>194</v>
      </c>
      <c r="E2195" s="14" t="s">
        <v>377</v>
      </c>
      <c r="F2195" s="48" t="s">
        <v>31</v>
      </c>
      <c r="G2195" s="14" t="b">
        <f>OR(LCI_Table[[#This Row],[Feedstock]]="All",LCI_Table[[#This Row],[Feedstock]]=SelectedFeedstock)</f>
        <v>0</v>
      </c>
      <c r="H2195" s="14" t="b">
        <f>OR(LCI_Table[[#This Row],[Conversion]]="All",LCI_Table[[#This Row],[Conversion]]=SelectedConversion)</f>
        <v>0</v>
      </c>
      <c r="I2195" s="14" t="b">
        <f>OR(LCI_Table[[#This Row],[Data Set]]="all",LCI_Table[[#This Row],[Data Set]]=SelectedDataSet)</f>
        <v>0</v>
      </c>
      <c r="J2195" s="14" t="b">
        <f>OR(LCI_Table[[#This Row],[Technology]]="All",LCI_Table[[#This Row],[Technology]]=SelectedTechnology)</f>
        <v>1</v>
      </c>
      <c r="K2195" s="14" t="b">
        <f>OR(LCI_Table[[#This Row],[Data Source]]="All",LCI_Table[[#This Row],[Data Source]]=SelectedDataSource)</f>
        <v>0</v>
      </c>
      <c r="L2195" s="14" t="b">
        <f>TRUE</f>
        <v>1</v>
      </c>
      <c r="M2195" s="14" t="b">
        <f>(LCI_Table[[#This Row],[Dev Notes]]="Do not display")</f>
        <v>0</v>
      </c>
      <c r="N2195" s="14" t="b">
        <f>AND(LCI_Table[[#This Row],[Show Feedstock]:[Conditional]],NOT(LCI_Table[[#This Row],[Hide Row]]))</f>
        <v>0</v>
      </c>
      <c r="O2195" s="14" t="b">
        <f>LCI_Table[[#This Row],[GREET1 Name Range]]=""</f>
        <v>0</v>
      </c>
      <c r="P2195" s="358" t="s">
        <v>1448</v>
      </c>
      <c r="Q2195" s="14" t="s">
        <v>1101</v>
      </c>
      <c r="R2195" s="14" t="s">
        <v>1132</v>
      </c>
      <c r="S2195" s="37" cm="1">
        <f t="array" aca="1" ref="S21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32.063072227873832</v>
      </c>
      <c r="T2195" s="346" t="s">
        <v>2120</v>
      </c>
      <c r="U2195" s="347">
        <f ca="1">LCI_Table[[#This Row],[Dashboard Value]]*Fuel_Specs!$B$79/mmBTU2MJ</f>
        <v>29.873300072218907</v>
      </c>
      <c r="V2195" s="347">
        <v>32.063072227873832</v>
      </c>
      <c r="W2195" s="347">
        <v>29.873300072218907</v>
      </c>
      <c r="X2195" s="14" t="s">
        <v>351</v>
      </c>
      <c r="Y2195" s="346" t="s">
        <v>416</v>
      </c>
      <c r="Z2195" s="14" t="str">
        <f>IF(ISBLANK(LCI_Table[[#This Row],[Notes for user]])," ",LCI_Table[[#This Row],[Notes for user]])</f>
        <v xml:space="preserve"> </v>
      </c>
      <c r="AA2195" s="14"/>
      <c r="AB2195" s="14"/>
      <c r="AC2195" s="346">
        <f ca="1">LCI_Table[[#This Row],[Default Calculated Value]]-LCI_Table[[#This Row],[Calculated Value]]</f>
        <v>0</v>
      </c>
    </row>
    <row r="2196" spans="1:29" x14ac:dyDescent="0.3">
      <c r="A21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ATJICAOMIT(blank)_Corn_stover_i_BuOH_ATJ_HydrogenHydrogen</v>
      </c>
      <c r="B2196" s="14" t="s">
        <v>135</v>
      </c>
      <c r="C2196" s="14" t="s">
        <v>883</v>
      </c>
      <c r="D2196" s="358" t="s">
        <v>194</v>
      </c>
      <c r="E2196" s="358" t="s">
        <v>377</v>
      </c>
      <c r="F2196" s="48" t="s">
        <v>31</v>
      </c>
      <c r="G2196" s="14" t="b">
        <f>OR(LCI_Table[[#This Row],[Feedstock]]="All",LCI_Table[[#This Row],[Feedstock]]=SelectedFeedstock)</f>
        <v>0</v>
      </c>
      <c r="H2196" s="14" t="b">
        <f>OR(LCI_Table[[#This Row],[Conversion]]="All",LCI_Table[[#This Row],[Conversion]]=SelectedConversion)</f>
        <v>0</v>
      </c>
      <c r="I2196" s="14" t="b">
        <f>OR(LCI_Table[[#This Row],[Data Set]]="all",LCI_Table[[#This Row],[Data Set]]=SelectedDataSet)</f>
        <v>0</v>
      </c>
      <c r="J2196" s="14" t="b">
        <f>OR(LCI_Table[[#This Row],[Technology]]="All",LCI_Table[[#This Row],[Technology]]=SelectedTechnology)</f>
        <v>1</v>
      </c>
      <c r="K2196" s="14" t="b">
        <f>OR(LCI_Table[[#This Row],[Data Source]]="All",LCI_Table[[#This Row],[Data Source]]=SelectedDataSource)</f>
        <v>0</v>
      </c>
      <c r="L2196" s="14" t="b">
        <f>TRUE</f>
        <v>1</v>
      </c>
      <c r="M2196" s="14" t="b">
        <f>(LCI_Table[[#This Row],[Dev Notes]]="Do not display")</f>
        <v>0</v>
      </c>
      <c r="N2196" s="14" t="b">
        <f>AND(LCI_Table[[#This Row],[Show Feedstock]:[Conditional]],NOT(LCI_Table[[#This Row],[Hide Row]]))</f>
        <v>0</v>
      </c>
      <c r="O2196" s="14" t="b">
        <f>LCI_Table[[#This Row],[GREET1 Name Range]]=""</f>
        <v>0</v>
      </c>
      <c r="P2196" s="358" t="s">
        <v>1448</v>
      </c>
      <c r="Q2196" s="14" t="s">
        <v>1031</v>
      </c>
      <c r="R2196" s="358" t="s">
        <v>73</v>
      </c>
      <c r="S2196" s="37" cm="1">
        <f t="array" aca="1" ref="S21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77.818850759039151</v>
      </c>
      <c r="T2196" s="346" t="s">
        <v>2120</v>
      </c>
      <c r="U2196" s="347">
        <f ca="1">LCI_Table[[#This Row],[Dashboard Value]]*Fuel_Specs!$B$81/mmBTU2MJ</f>
        <v>21.389831372549001</v>
      </c>
      <c r="V2196" s="359">
        <v>77.818850759039151</v>
      </c>
      <c r="W2196" s="359">
        <v>21.389831372549001</v>
      </c>
      <c r="X2196" s="360" t="s">
        <v>351</v>
      </c>
      <c r="Y2196" s="346" t="s">
        <v>416</v>
      </c>
      <c r="Z2196" s="14" t="str">
        <f>IF(ISBLANK(LCI_Table[[#This Row],[Notes for user]])," ",LCI_Table[[#This Row],[Notes for user]])</f>
        <v xml:space="preserve"> </v>
      </c>
      <c r="AA2196" s="14"/>
      <c r="AB2196" s="358"/>
      <c r="AC2196" s="346">
        <f ca="1">LCI_Table[[#This Row],[Default Calculated Value]]-LCI_Table[[#This Row],[Calculated Value]]</f>
        <v>0</v>
      </c>
    </row>
    <row r="2197" spans="1:29" x14ac:dyDescent="0.3">
      <c r="A21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ATJICAOMIT(blank)_Corn_stover_i_BuOH_ATJ_Natural_gasNatural gas (ATJ)</v>
      </c>
      <c r="B2197" s="14" t="s">
        <v>135</v>
      </c>
      <c r="C2197" s="14" t="s">
        <v>883</v>
      </c>
      <c r="D2197" s="14" t="s">
        <v>194</v>
      </c>
      <c r="E2197" s="14" t="s">
        <v>377</v>
      </c>
      <c r="F2197" s="48" t="s">
        <v>31</v>
      </c>
      <c r="G2197" s="14" t="b">
        <f>OR(LCI_Table[[#This Row],[Feedstock]]="All",LCI_Table[[#This Row],[Feedstock]]=SelectedFeedstock)</f>
        <v>0</v>
      </c>
      <c r="H2197" s="14" t="b">
        <f>OR(LCI_Table[[#This Row],[Conversion]]="All",LCI_Table[[#This Row],[Conversion]]=SelectedConversion)</f>
        <v>0</v>
      </c>
      <c r="I2197" s="14" t="b">
        <f>OR(LCI_Table[[#This Row],[Data Set]]="all",LCI_Table[[#This Row],[Data Set]]=SelectedDataSet)</f>
        <v>0</v>
      </c>
      <c r="J2197" s="14" t="b">
        <f>OR(LCI_Table[[#This Row],[Technology]]="All",LCI_Table[[#This Row],[Technology]]=SelectedTechnology)</f>
        <v>1</v>
      </c>
      <c r="K2197" s="14" t="b">
        <f>OR(LCI_Table[[#This Row],[Data Source]]="All",LCI_Table[[#This Row],[Data Source]]=SelectedDataSource)</f>
        <v>0</v>
      </c>
      <c r="L2197" s="14" t="b">
        <f>TRUE</f>
        <v>1</v>
      </c>
      <c r="M2197" s="14" t="b">
        <f>(LCI_Table[[#This Row],[Dev Notes]]="Do not display")</f>
        <v>0</v>
      </c>
      <c r="N2197" s="14" t="b">
        <f>AND(LCI_Table[[#This Row],[Show Feedstock]:[Conditional]],NOT(LCI_Table[[#This Row],[Hide Row]]))</f>
        <v>0</v>
      </c>
      <c r="O2197" s="14" t="b">
        <f>LCI_Table[[#This Row],[GREET1 Name Range]]=""</f>
        <v>0</v>
      </c>
      <c r="P2197" s="14" t="s">
        <v>1448</v>
      </c>
      <c r="Q2197" s="14" t="s">
        <v>1030</v>
      </c>
      <c r="R2197" s="14" t="s">
        <v>1369</v>
      </c>
      <c r="S2197" s="37" cm="1">
        <f t="array" aca="1" ref="S21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63.462868769074312</v>
      </c>
      <c r="T2197" s="346" t="s">
        <v>2120</v>
      </c>
      <c r="U2197" s="347">
        <f ca="1">LCI_Table[[#This Row],[Dashboard Value]]*Fuel_Specs!$B$79/mmBTU2MJ</f>
        <v>59.128623380459011</v>
      </c>
      <c r="V2197" s="347">
        <v>63.462868769074312</v>
      </c>
      <c r="W2197" s="347">
        <v>59.128623380459011</v>
      </c>
      <c r="X2197" s="14" t="s">
        <v>351</v>
      </c>
      <c r="Y2197" s="346" t="s">
        <v>416</v>
      </c>
      <c r="Z2197" s="14" t="str">
        <f>IF(ISBLANK(LCI_Table[[#This Row],[Notes for user]])," ",LCI_Table[[#This Row],[Notes for user]])</f>
        <v xml:space="preserve"> </v>
      </c>
      <c r="AA2197" s="14"/>
      <c r="AB2197" s="14"/>
      <c r="AC2197" s="346">
        <f ca="1">LCI_Table[[#This Row],[Default Calculated Value]]-LCI_Table[[#This Row],[Calculated Value]]</f>
        <v>0</v>
      </c>
    </row>
    <row r="2198" spans="1:29" x14ac:dyDescent="0.3">
      <c r="A21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ATJICAOMIT(blank)_Corn_stover_i_BuOH_ATJ_Allocation_FactorAllocation factor</v>
      </c>
      <c r="B2198" s="14" t="s">
        <v>135</v>
      </c>
      <c r="C2198" s="14" t="s">
        <v>883</v>
      </c>
      <c r="D2198" s="14" t="s">
        <v>194</v>
      </c>
      <c r="E2198" s="14" t="s">
        <v>377</v>
      </c>
      <c r="F2198" s="48" t="s">
        <v>31</v>
      </c>
      <c r="G2198" s="14" t="b">
        <f>OR(LCI_Table[[#This Row],[Feedstock]]="All",LCI_Table[[#This Row],[Feedstock]]=SelectedFeedstock)</f>
        <v>0</v>
      </c>
      <c r="H2198" s="14" t="b">
        <f>OR(LCI_Table[[#This Row],[Conversion]]="All",LCI_Table[[#This Row],[Conversion]]=SelectedConversion)</f>
        <v>0</v>
      </c>
      <c r="I2198" s="14" t="b">
        <f>OR(LCI_Table[[#This Row],[Data Set]]="all",LCI_Table[[#This Row],[Data Set]]=SelectedDataSet)</f>
        <v>0</v>
      </c>
      <c r="J2198" s="14" t="b">
        <f>OR(LCI_Table[[#This Row],[Technology]]="All",LCI_Table[[#This Row],[Technology]]=SelectedTechnology)</f>
        <v>1</v>
      </c>
      <c r="K2198" s="14" t="b">
        <f>OR(LCI_Table[[#This Row],[Data Source]]="All",LCI_Table[[#This Row],[Data Source]]=SelectedDataSource)</f>
        <v>0</v>
      </c>
      <c r="L2198" s="14" t="b">
        <f>TRUE</f>
        <v>1</v>
      </c>
      <c r="M2198" s="14" t="b">
        <f>(LCI_Table[[#This Row],[Dev Notes]]="Do not display")</f>
        <v>0</v>
      </c>
      <c r="N2198" s="14" t="b">
        <f>AND(LCI_Table[[#This Row],[Show Feedstock]:[Conditional]],NOT(LCI_Table[[#This Row],[Hide Row]]))</f>
        <v>0</v>
      </c>
      <c r="O2198" s="14" t="b">
        <f>LCI_Table[[#This Row],[GREET1 Name Range]]=""</f>
        <v>0</v>
      </c>
      <c r="P2198" s="14" t="s">
        <v>1448</v>
      </c>
      <c r="Q2198" s="14" t="s">
        <v>1098</v>
      </c>
      <c r="R2198" s="14" t="s">
        <v>1344</v>
      </c>
      <c r="S2198" s="37" cm="1">
        <f t="array" aca="1" ref="S21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96.061479346781994</v>
      </c>
      <c r="T2198" s="346" t="s">
        <v>1345</v>
      </c>
      <c r="U2198" s="347">
        <f ca="1">LCI_Table[[#This Row],[Dashboard Value]]/100</f>
        <v>0.96061479346781997</v>
      </c>
      <c r="V2198" s="347">
        <v>96.061479346781994</v>
      </c>
      <c r="W2198" s="347">
        <v>0.96061479346781997</v>
      </c>
      <c r="X2198" s="14"/>
      <c r="Y2198" s="346"/>
      <c r="Z2198" s="14" t="str">
        <f>IF(ISBLANK(LCI_Table[[#This Row],[Notes for user]])," ",LCI_Table[[#This Row],[Notes for user]])</f>
        <v>Energy allocation (there's co-produced electricity)</v>
      </c>
      <c r="AA2198" s="14" t="s">
        <v>1370</v>
      </c>
      <c r="AB2198" s="14"/>
      <c r="AC2198" s="346">
        <f ca="1">LCI_Table[[#This Row],[Default Calculated Value]]-LCI_Table[[#This Row],[Calculated Value]]</f>
        <v>0</v>
      </c>
    </row>
    <row r="2199" spans="1:29" x14ac:dyDescent="0.3">
      <c r="A21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stoveri-BuOH ATJICAOJRC(blank)_Yield_Collection</v>
      </c>
      <c r="B2199" s="48" t="s">
        <v>135</v>
      </c>
      <c r="C2199" s="48" t="s">
        <v>883</v>
      </c>
      <c r="D2199" s="48" t="s">
        <v>194</v>
      </c>
      <c r="E2199" s="48" t="s">
        <v>355</v>
      </c>
      <c r="F2199" s="48" t="s">
        <v>31</v>
      </c>
      <c r="G2199" s="14" t="b">
        <f>OR(LCI_Table[[#This Row],[Feedstock]]="All",LCI_Table[[#This Row],[Feedstock]]=SelectedFeedstock)</f>
        <v>0</v>
      </c>
      <c r="H2199" s="14" t="b">
        <f>OR(LCI_Table[[#This Row],[Conversion]]="All",LCI_Table[[#This Row],[Conversion]]=SelectedConversion)</f>
        <v>0</v>
      </c>
      <c r="I2199" s="14" t="b">
        <f>OR(LCI_Table[[#This Row],[Data Set]]="all",LCI_Table[[#This Row],[Data Set]]=SelectedDataSet)</f>
        <v>0</v>
      </c>
      <c r="J2199" s="14" t="b">
        <f>OR(LCI_Table[[#This Row],[Technology]]="All",LCI_Table[[#This Row],[Technology]]=SelectedTechnology)</f>
        <v>1</v>
      </c>
      <c r="K2199" s="14" t="b">
        <f>OR(LCI_Table[[#This Row],[Data Source]]="All",LCI_Table[[#This Row],[Data Source]]=SelectedDataSource)</f>
        <v>0</v>
      </c>
      <c r="L2199" s="14" t="b">
        <f>TRUE</f>
        <v>1</v>
      </c>
      <c r="M2199" s="14" t="b">
        <f>(LCI_Table[[#This Row],[Dev Notes]]="Do not display")</f>
        <v>0</v>
      </c>
      <c r="N2199" s="14" t="b">
        <f>AND(LCI_Table[[#This Row],[Show Feedstock]:[Conditional]],NOT(LCI_Table[[#This Row],[Hide Row]]))</f>
        <v>0</v>
      </c>
      <c r="O2199" s="14" t="b">
        <f>LCI_Table[[#This Row],[GREET1 Name Range]]=""</f>
        <v>1</v>
      </c>
      <c r="P2199" s="48" t="s">
        <v>147</v>
      </c>
      <c r="Q2199" s="14" t="s">
        <v>361</v>
      </c>
      <c r="R2199" s="48" t="s">
        <v>200</v>
      </c>
      <c r="S2199" s="37" cm="1">
        <f t="array" aca="1" ref="S21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2.4534963720216694</v>
      </c>
      <c r="T2199" s="346" t="s">
        <v>2116</v>
      </c>
      <c r="U2199" s="344"/>
      <c r="V2199" s="344">
        <v>2.4534963720216694</v>
      </c>
      <c r="W2199" s="344"/>
      <c r="X2199" s="48" t="s">
        <v>55</v>
      </c>
      <c r="Y2199" s="346" t="s">
        <v>413</v>
      </c>
      <c r="Z2199" s="14" t="str">
        <f>IF(ISBLANK(LCI_Table[[#This Row],[Notes for user]])," ",LCI_Table[[#This Row],[Notes for user]])</f>
        <v xml:space="preserve"> </v>
      </c>
      <c r="AA2199" s="48"/>
      <c r="AB2199" s="345"/>
      <c r="AC2199" s="346">
        <f>LCI_Table[[#This Row],[Default Calculated Value]]-LCI_Table[[#This Row],[Calculated Value]]</f>
        <v>0</v>
      </c>
    </row>
    <row r="2200" spans="1:29" x14ac:dyDescent="0.3">
      <c r="A22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ATJICAOJRC(blank)_CornStover_Farming_Nitrogen_fertilizerNitrogen fertilizer</v>
      </c>
      <c r="B2200" s="14" t="s">
        <v>135</v>
      </c>
      <c r="C2200" s="14" t="s">
        <v>883</v>
      </c>
      <c r="D2200" s="14" t="s">
        <v>194</v>
      </c>
      <c r="E2200" s="14" t="s">
        <v>355</v>
      </c>
      <c r="F2200" s="48" t="s">
        <v>31</v>
      </c>
      <c r="G2200" s="14" t="b">
        <f>OR(LCI_Table[[#This Row],[Feedstock]]="All",LCI_Table[[#This Row],[Feedstock]]=SelectedFeedstock)</f>
        <v>0</v>
      </c>
      <c r="H2200" s="14" t="b">
        <f>OR(LCI_Table[[#This Row],[Conversion]]="All",LCI_Table[[#This Row],[Conversion]]=SelectedConversion)</f>
        <v>0</v>
      </c>
      <c r="I2200" s="14" t="b">
        <f>OR(LCI_Table[[#This Row],[Data Set]]="all",LCI_Table[[#This Row],[Data Set]]=SelectedDataSet)</f>
        <v>0</v>
      </c>
      <c r="J2200" s="14" t="b">
        <f>OR(LCI_Table[[#This Row],[Technology]]="All",LCI_Table[[#This Row],[Technology]]=SelectedTechnology)</f>
        <v>1</v>
      </c>
      <c r="K2200" s="14" t="b">
        <f>OR(LCI_Table[[#This Row],[Data Source]]="All",LCI_Table[[#This Row],[Data Source]]=SelectedDataSource)</f>
        <v>0</v>
      </c>
      <c r="L2200" s="14" t="b">
        <f>TRUE</f>
        <v>1</v>
      </c>
      <c r="M2200" s="14" t="b">
        <f>(LCI_Table[[#This Row],[Dev Notes]]="Do not display")</f>
        <v>0</v>
      </c>
      <c r="N2200" s="14" t="b">
        <f>AND(LCI_Table[[#This Row],[Show Feedstock]:[Conditional]],NOT(LCI_Table[[#This Row],[Hide Row]]))</f>
        <v>0</v>
      </c>
      <c r="O2200" s="14" t="b">
        <f>LCI_Table[[#This Row],[GREET1 Name Range]]=""</f>
        <v>0</v>
      </c>
      <c r="P2200" s="14" t="s">
        <v>147</v>
      </c>
      <c r="Q2200" s="14" t="s">
        <v>614</v>
      </c>
      <c r="R2200" s="14" t="s">
        <v>111</v>
      </c>
      <c r="S2200" s="37" cm="1">
        <f t="array" aca="1" ref="S22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00" s="346" t="s">
        <v>1485</v>
      </c>
      <c r="U2200" s="347">
        <f ca="1">S2200/S2199*lb2g</f>
        <v>0</v>
      </c>
      <c r="V2200" s="347">
        <v>0</v>
      </c>
      <c r="W2200" s="347">
        <v>0</v>
      </c>
      <c r="X2200" s="14" t="s">
        <v>12</v>
      </c>
      <c r="Y2200" s="346" t="s">
        <v>413</v>
      </c>
      <c r="Z2200" s="14" t="str">
        <f>IF(ISBLANK(LCI_Table[[#This Row],[Notes for user]])," ",LCI_Table[[#This Row],[Notes for user]])</f>
        <v xml:space="preserve"> </v>
      </c>
      <c r="AA2200" s="14"/>
      <c r="AB2200" s="14"/>
      <c r="AC2200" s="346">
        <f ca="1">LCI_Table[[#This Row],[Default Calculated Value]]-LCI_Table[[#This Row],[Calculated Value]]</f>
        <v>0</v>
      </c>
    </row>
    <row r="2201" spans="1:29" x14ac:dyDescent="0.3">
      <c r="A22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ATJICAOJRC(blank)_CornStover_Farming_P2O5P2O5</v>
      </c>
      <c r="B2201" s="14" t="s">
        <v>135</v>
      </c>
      <c r="C2201" s="14" t="s">
        <v>883</v>
      </c>
      <c r="D2201" s="14" t="s">
        <v>194</v>
      </c>
      <c r="E2201" s="14" t="s">
        <v>355</v>
      </c>
      <c r="F2201" s="48" t="s">
        <v>31</v>
      </c>
      <c r="G2201" s="14" t="b">
        <f>OR(LCI_Table[[#This Row],[Feedstock]]="All",LCI_Table[[#This Row],[Feedstock]]=SelectedFeedstock)</f>
        <v>0</v>
      </c>
      <c r="H2201" s="14" t="b">
        <f>OR(LCI_Table[[#This Row],[Conversion]]="All",LCI_Table[[#This Row],[Conversion]]=SelectedConversion)</f>
        <v>0</v>
      </c>
      <c r="I2201" s="14" t="b">
        <f>OR(LCI_Table[[#This Row],[Data Set]]="all",LCI_Table[[#This Row],[Data Set]]=SelectedDataSet)</f>
        <v>0</v>
      </c>
      <c r="J2201" s="14" t="b">
        <f>OR(LCI_Table[[#This Row],[Technology]]="All",LCI_Table[[#This Row],[Technology]]=SelectedTechnology)</f>
        <v>1</v>
      </c>
      <c r="K2201" s="14" t="b">
        <f>OR(LCI_Table[[#This Row],[Data Source]]="All",LCI_Table[[#This Row],[Data Source]]=SelectedDataSource)</f>
        <v>0</v>
      </c>
      <c r="L2201" s="14" t="b">
        <f>TRUE</f>
        <v>1</v>
      </c>
      <c r="M2201" s="14" t="b">
        <f>(LCI_Table[[#This Row],[Dev Notes]]="Do not display")</f>
        <v>0</v>
      </c>
      <c r="N2201" s="14" t="b">
        <f>AND(LCI_Table[[#This Row],[Show Feedstock]:[Conditional]],NOT(LCI_Table[[#This Row],[Hide Row]]))</f>
        <v>0</v>
      </c>
      <c r="O2201" s="14" t="b">
        <f>LCI_Table[[#This Row],[GREET1 Name Range]]=""</f>
        <v>0</v>
      </c>
      <c r="P2201" s="14" t="s">
        <v>147</v>
      </c>
      <c r="Q2201" s="14" t="s">
        <v>615</v>
      </c>
      <c r="R2201" s="14" t="s">
        <v>112</v>
      </c>
      <c r="S2201" s="37" cm="1">
        <f t="array" aca="1" ref="S22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01" s="346" t="s">
        <v>1485</v>
      </c>
      <c r="U2201" s="347">
        <f ca="1">S2201/S2199*lb2g</f>
        <v>0</v>
      </c>
      <c r="V2201" s="347">
        <v>0</v>
      </c>
      <c r="W2201" s="347">
        <v>0</v>
      </c>
      <c r="X2201" s="14" t="s">
        <v>12</v>
      </c>
      <c r="Y2201" s="346" t="s">
        <v>413</v>
      </c>
      <c r="Z2201" s="14" t="str">
        <f>IF(ISBLANK(LCI_Table[[#This Row],[Notes for user]])," ",LCI_Table[[#This Row],[Notes for user]])</f>
        <v xml:space="preserve"> </v>
      </c>
      <c r="AA2201" s="14"/>
      <c r="AB2201" s="14"/>
      <c r="AC2201" s="346">
        <f ca="1">LCI_Table[[#This Row],[Default Calculated Value]]-LCI_Table[[#This Row],[Calculated Value]]</f>
        <v>0</v>
      </c>
    </row>
    <row r="2202" spans="1:29" x14ac:dyDescent="0.3">
      <c r="A22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ATJICAOJRC(blank)_CornStover_Farming_K2OK2O</v>
      </c>
      <c r="B2202" s="14" t="s">
        <v>135</v>
      </c>
      <c r="C2202" s="14" t="s">
        <v>883</v>
      </c>
      <c r="D2202" s="14" t="s">
        <v>194</v>
      </c>
      <c r="E2202" s="14" t="s">
        <v>355</v>
      </c>
      <c r="F2202" s="48" t="s">
        <v>31</v>
      </c>
      <c r="G2202" s="14" t="b">
        <f>OR(LCI_Table[[#This Row],[Feedstock]]="All",LCI_Table[[#This Row],[Feedstock]]=SelectedFeedstock)</f>
        <v>0</v>
      </c>
      <c r="H2202" s="14" t="b">
        <f>OR(LCI_Table[[#This Row],[Conversion]]="All",LCI_Table[[#This Row],[Conversion]]=SelectedConversion)</f>
        <v>0</v>
      </c>
      <c r="I2202" s="14" t="b">
        <f>OR(LCI_Table[[#This Row],[Data Set]]="all",LCI_Table[[#This Row],[Data Set]]=SelectedDataSet)</f>
        <v>0</v>
      </c>
      <c r="J2202" s="14" t="b">
        <f>OR(LCI_Table[[#This Row],[Technology]]="All",LCI_Table[[#This Row],[Technology]]=SelectedTechnology)</f>
        <v>1</v>
      </c>
      <c r="K2202" s="14" t="b">
        <f>OR(LCI_Table[[#This Row],[Data Source]]="All",LCI_Table[[#This Row],[Data Source]]=SelectedDataSource)</f>
        <v>0</v>
      </c>
      <c r="L2202" s="14" t="b">
        <f>TRUE</f>
        <v>1</v>
      </c>
      <c r="M2202" s="14" t="b">
        <f>(LCI_Table[[#This Row],[Dev Notes]]="Do not display")</f>
        <v>0</v>
      </c>
      <c r="N2202" s="14" t="b">
        <f>AND(LCI_Table[[#This Row],[Show Feedstock]:[Conditional]],NOT(LCI_Table[[#This Row],[Hide Row]]))</f>
        <v>0</v>
      </c>
      <c r="O2202" s="14" t="b">
        <f>LCI_Table[[#This Row],[GREET1 Name Range]]=""</f>
        <v>0</v>
      </c>
      <c r="P2202" s="14" t="s">
        <v>147</v>
      </c>
      <c r="Q2202" s="14" t="s">
        <v>611</v>
      </c>
      <c r="R2202" s="14" t="s">
        <v>113</v>
      </c>
      <c r="S2202" s="37" cm="1">
        <f t="array" aca="1" ref="S22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02" s="346" t="s">
        <v>1485</v>
      </c>
      <c r="U2202" s="347">
        <f ca="1">S2202/S2199*lb2g</f>
        <v>0</v>
      </c>
      <c r="V2202" s="347">
        <v>0</v>
      </c>
      <c r="W2202" s="347">
        <v>0</v>
      </c>
      <c r="X2202" s="14" t="s">
        <v>12</v>
      </c>
      <c r="Y2202" s="346" t="s">
        <v>413</v>
      </c>
      <c r="Z2202" s="14" t="str">
        <f>IF(ISBLANK(LCI_Table[[#This Row],[Notes for user]])," ",LCI_Table[[#This Row],[Notes for user]])</f>
        <v xml:space="preserve"> </v>
      </c>
      <c r="AA2202" s="14"/>
      <c r="AB2202" s="14"/>
      <c r="AC2202" s="346">
        <f ca="1">LCI_Table[[#This Row],[Default Calculated Value]]-LCI_Table[[#This Row],[Calculated Value]]</f>
        <v>0</v>
      </c>
    </row>
    <row r="2203" spans="1:29" x14ac:dyDescent="0.3">
      <c r="A22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ATJICAOJRC(blank)_CornStover_Farming_HerbicidesHerbicides</v>
      </c>
      <c r="B2203" s="14" t="s">
        <v>135</v>
      </c>
      <c r="C2203" s="14" t="s">
        <v>883</v>
      </c>
      <c r="D2203" s="14" t="s">
        <v>194</v>
      </c>
      <c r="E2203" s="14" t="s">
        <v>355</v>
      </c>
      <c r="F2203" s="48" t="s">
        <v>31</v>
      </c>
      <c r="G2203" s="14" t="b">
        <f>OR(LCI_Table[[#This Row],[Feedstock]]="All",LCI_Table[[#This Row],[Feedstock]]=SelectedFeedstock)</f>
        <v>0</v>
      </c>
      <c r="H2203" s="14" t="b">
        <f>OR(LCI_Table[[#This Row],[Conversion]]="All",LCI_Table[[#This Row],[Conversion]]=SelectedConversion)</f>
        <v>0</v>
      </c>
      <c r="I2203" s="14" t="b">
        <f>OR(LCI_Table[[#This Row],[Data Set]]="all",LCI_Table[[#This Row],[Data Set]]=SelectedDataSet)</f>
        <v>0</v>
      </c>
      <c r="J2203" s="14" t="b">
        <f>OR(LCI_Table[[#This Row],[Technology]]="All",LCI_Table[[#This Row],[Technology]]=SelectedTechnology)</f>
        <v>1</v>
      </c>
      <c r="K2203" s="14" t="b">
        <f>OR(LCI_Table[[#This Row],[Data Source]]="All",LCI_Table[[#This Row],[Data Source]]=SelectedDataSource)</f>
        <v>0</v>
      </c>
      <c r="L2203" s="14" t="b">
        <f>TRUE</f>
        <v>1</v>
      </c>
      <c r="M2203" s="14" t="b">
        <f>(LCI_Table[[#This Row],[Dev Notes]]="Do not display")</f>
        <v>0</v>
      </c>
      <c r="N2203" s="14" t="b">
        <f>AND(LCI_Table[[#This Row],[Show Feedstock]:[Conditional]],NOT(LCI_Table[[#This Row],[Hide Row]]))</f>
        <v>0</v>
      </c>
      <c r="O2203" s="14" t="b">
        <f>LCI_Table[[#This Row],[GREET1 Name Range]]=""</f>
        <v>0</v>
      </c>
      <c r="P2203" s="14" t="s">
        <v>147</v>
      </c>
      <c r="Q2203" s="14" t="s">
        <v>609</v>
      </c>
      <c r="R2203" s="14" t="s">
        <v>356</v>
      </c>
      <c r="S2203" s="37" cm="1">
        <f t="array" aca="1" ref="S22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03" s="346" t="s">
        <v>1485</v>
      </c>
      <c r="U2203" s="347">
        <f ca="1">S2203/S2199*lb2g</f>
        <v>0</v>
      </c>
      <c r="V2203" s="347">
        <v>0</v>
      </c>
      <c r="W2203" s="347">
        <v>0</v>
      </c>
      <c r="X2203" s="14" t="s">
        <v>12</v>
      </c>
      <c r="Y2203" s="346" t="s">
        <v>413</v>
      </c>
      <c r="Z2203" s="14" t="str">
        <f>IF(ISBLANK(LCI_Table[[#This Row],[Notes for user]])," ",LCI_Table[[#This Row],[Notes for user]])</f>
        <v xml:space="preserve"> </v>
      </c>
      <c r="AA2203" s="14"/>
      <c r="AB2203" s="14"/>
      <c r="AC2203" s="346">
        <f ca="1">LCI_Table[[#This Row],[Default Calculated Value]]-LCI_Table[[#This Row],[Calculated Value]]</f>
        <v>0</v>
      </c>
    </row>
    <row r="2204" spans="1:29" x14ac:dyDescent="0.3">
      <c r="A22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ATJICAOJRC(blank)_CornStover_Farming_InsecticideInsecticide</v>
      </c>
      <c r="B2204" s="14" t="s">
        <v>135</v>
      </c>
      <c r="C2204" s="14" t="s">
        <v>883</v>
      </c>
      <c r="D2204" s="14" t="s">
        <v>194</v>
      </c>
      <c r="E2204" s="14" t="s">
        <v>355</v>
      </c>
      <c r="F2204" s="48" t="s">
        <v>31</v>
      </c>
      <c r="G2204" s="14" t="b">
        <f>OR(LCI_Table[[#This Row],[Feedstock]]="All",LCI_Table[[#This Row],[Feedstock]]=SelectedFeedstock)</f>
        <v>0</v>
      </c>
      <c r="H2204" s="14" t="b">
        <f>OR(LCI_Table[[#This Row],[Conversion]]="All",LCI_Table[[#This Row],[Conversion]]=SelectedConversion)</f>
        <v>0</v>
      </c>
      <c r="I2204" s="14" t="b">
        <f>OR(LCI_Table[[#This Row],[Data Set]]="all",LCI_Table[[#This Row],[Data Set]]=SelectedDataSet)</f>
        <v>0</v>
      </c>
      <c r="J2204" s="14" t="b">
        <f>OR(LCI_Table[[#This Row],[Technology]]="All",LCI_Table[[#This Row],[Technology]]=SelectedTechnology)</f>
        <v>1</v>
      </c>
      <c r="K2204" s="14" t="b">
        <f>OR(LCI_Table[[#This Row],[Data Source]]="All",LCI_Table[[#This Row],[Data Source]]=SelectedDataSource)</f>
        <v>0</v>
      </c>
      <c r="L2204" s="14" t="b">
        <f>TRUE</f>
        <v>1</v>
      </c>
      <c r="M2204" s="14" t="b">
        <f>(LCI_Table[[#This Row],[Dev Notes]]="Do not display")</f>
        <v>0</v>
      </c>
      <c r="N2204" s="14" t="b">
        <f>AND(LCI_Table[[#This Row],[Show Feedstock]:[Conditional]],NOT(LCI_Table[[#This Row],[Hide Row]]))</f>
        <v>0</v>
      </c>
      <c r="O2204" s="14" t="b">
        <f>LCI_Table[[#This Row],[GREET1 Name Range]]=""</f>
        <v>0</v>
      </c>
      <c r="P2204" s="14" t="s">
        <v>147</v>
      </c>
      <c r="Q2204" s="14" t="s">
        <v>610</v>
      </c>
      <c r="R2204" s="14" t="s">
        <v>114</v>
      </c>
      <c r="S2204" s="37" cm="1">
        <f t="array" aca="1" ref="S22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04" s="346" t="s">
        <v>1485</v>
      </c>
      <c r="U2204" s="347">
        <f ca="1">S2204/S2199*lb2g</f>
        <v>0</v>
      </c>
      <c r="V2204" s="347">
        <v>0</v>
      </c>
      <c r="W2204" s="347">
        <v>0</v>
      </c>
      <c r="X2204" s="14" t="s">
        <v>12</v>
      </c>
      <c r="Y2204" s="346" t="s">
        <v>413</v>
      </c>
      <c r="Z2204" s="14" t="str">
        <f>IF(ISBLANK(LCI_Table[[#This Row],[Notes for user]])," ",LCI_Table[[#This Row],[Notes for user]])</f>
        <v xml:space="preserve"> </v>
      </c>
      <c r="AA2204" s="14"/>
      <c r="AB2204" s="14"/>
      <c r="AC2204" s="346">
        <f ca="1">LCI_Table[[#This Row],[Default Calculated Value]]-LCI_Table[[#This Row],[Calculated Value]]</f>
        <v>0</v>
      </c>
    </row>
    <row r="2205" spans="1:29" x14ac:dyDescent="0.3">
      <c r="A22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ATJICAOJRC(blank)_CornStover_Farming_HDPEHDPE</v>
      </c>
      <c r="B2205" s="14" t="s">
        <v>135</v>
      </c>
      <c r="C2205" s="14" t="s">
        <v>883</v>
      </c>
      <c r="D2205" s="14" t="s">
        <v>194</v>
      </c>
      <c r="E2205" s="14" t="s">
        <v>355</v>
      </c>
      <c r="F2205" s="48" t="s">
        <v>31</v>
      </c>
      <c r="G2205" s="14" t="b">
        <f>OR(LCI_Table[[#This Row],[Feedstock]]="All",LCI_Table[[#This Row],[Feedstock]]=SelectedFeedstock)</f>
        <v>0</v>
      </c>
      <c r="H2205" s="14" t="b">
        <f>OR(LCI_Table[[#This Row],[Conversion]]="All",LCI_Table[[#This Row],[Conversion]]=SelectedConversion)</f>
        <v>0</v>
      </c>
      <c r="I2205" s="14" t="b">
        <f>OR(LCI_Table[[#This Row],[Data Set]]="all",LCI_Table[[#This Row],[Data Set]]=SelectedDataSet)</f>
        <v>0</v>
      </c>
      <c r="J2205" s="14" t="b">
        <f>OR(LCI_Table[[#This Row],[Technology]]="All",LCI_Table[[#This Row],[Technology]]=SelectedTechnology)</f>
        <v>1</v>
      </c>
      <c r="K2205" s="14" t="b">
        <f>OR(LCI_Table[[#This Row],[Data Source]]="All",LCI_Table[[#This Row],[Data Source]]=SelectedDataSource)</f>
        <v>0</v>
      </c>
      <c r="L2205" s="14" t="b">
        <f>TRUE</f>
        <v>1</v>
      </c>
      <c r="M2205" s="14" t="b">
        <f>(LCI_Table[[#This Row],[Dev Notes]]="Do not display")</f>
        <v>0</v>
      </c>
      <c r="N2205" s="14" t="b">
        <f>AND(LCI_Table[[#This Row],[Show Feedstock]:[Conditional]],NOT(LCI_Table[[#This Row],[Hide Row]]))</f>
        <v>0</v>
      </c>
      <c r="O2205" s="14" t="b">
        <f>LCI_Table[[#This Row],[GREET1 Name Range]]=""</f>
        <v>0</v>
      </c>
      <c r="P2205" s="14" t="s">
        <v>147</v>
      </c>
      <c r="Q2205" s="14" t="s">
        <v>608</v>
      </c>
      <c r="R2205" s="14" t="s">
        <v>357</v>
      </c>
      <c r="S2205" s="37" cm="1">
        <f t="array" aca="1" ref="S22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05" s="346" t="s">
        <v>1485</v>
      </c>
      <c r="U2205" s="347">
        <f ca="1">S2205/S2199*lb2g</f>
        <v>0</v>
      </c>
      <c r="V2205" s="347">
        <v>0</v>
      </c>
      <c r="W2205" s="347">
        <v>0</v>
      </c>
      <c r="X2205" s="14" t="s">
        <v>12</v>
      </c>
      <c r="Y2205" s="346" t="s">
        <v>413</v>
      </c>
      <c r="Z2205" s="14" t="str">
        <f>IF(ISBLANK(LCI_Table[[#This Row],[Notes for user]])," ",LCI_Table[[#This Row],[Notes for user]])</f>
        <v xml:space="preserve"> </v>
      </c>
      <c r="AA2205" s="14"/>
      <c r="AB2205" s="14"/>
      <c r="AC2205" s="346">
        <f ca="1">LCI_Table[[#This Row],[Default Calculated Value]]-LCI_Table[[#This Row],[Calculated Value]]</f>
        <v>0</v>
      </c>
    </row>
    <row r="2206" spans="1:29" x14ac:dyDescent="0.3">
      <c r="A22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ATJICAOJRC(blank)_CornStover_Farming_Residual_oilResidual oil</v>
      </c>
      <c r="B2206" s="14" t="s">
        <v>135</v>
      </c>
      <c r="C2206" s="14" t="s">
        <v>883</v>
      </c>
      <c r="D2206" s="14" t="s">
        <v>194</v>
      </c>
      <c r="E2206" s="14" t="s">
        <v>355</v>
      </c>
      <c r="F2206" s="48" t="s">
        <v>31</v>
      </c>
      <c r="G2206" s="14" t="b">
        <f>OR(LCI_Table[[#This Row],[Feedstock]]="All",LCI_Table[[#This Row],[Feedstock]]=SelectedFeedstock)</f>
        <v>0</v>
      </c>
      <c r="H2206" s="14" t="b">
        <f>OR(LCI_Table[[#This Row],[Conversion]]="All",LCI_Table[[#This Row],[Conversion]]=SelectedConversion)</f>
        <v>0</v>
      </c>
      <c r="I2206" s="14" t="b">
        <f>OR(LCI_Table[[#This Row],[Data Set]]="all",LCI_Table[[#This Row],[Data Set]]=SelectedDataSet)</f>
        <v>0</v>
      </c>
      <c r="J2206" s="14" t="b">
        <f>OR(LCI_Table[[#This Row],[Technology]]="All",LCI_Table[[#This Row],[Technology]]=SelectedTechnology)</f>
        <v>1</v>
      </c>
      <c r="K2206" s="14" t="b">
        <f>OR(LCI_Table[[#This Row],[Data Source]]="All",LCI_Table[[#This Row],[Data Source]]=SelectedDataSource)</f>
        <v>0</v>
      </c>
      <c r="L2206" s="14" t="b">
        <f>TRUE</f>
        <v>1</v>
      </c>
      <c r="M2206" s="14" t="b">
        <f>(LCI_Table[[#This Row],[Dev Notes]]="Do not display")</f>
        <v>0</v>
      </c>
      <c r="N2206" s="14" t="b">
        <f>AND(LCI_Table[[#This Row],[Show Feedstock]:[Conditional]],NOT(LCI_Table[[#This Row],[Hide Row]]))</f>
        <v>0</v>
      </c>
      <c r="O2206" s="14" t="b">
        <f>LCI_Table[[#This Row],[GREET1 Name Range]]=""</f>
        <v>0</v>
      </c>
      <c r="P2206" s="14" t="s">
        <v>147</v>
      </c>
      <c r="Q2206" s="14" t="s">
        <v>616</v>
      </c>
      <c r="R2206" s="14" t="s">
        <v>115</v>
      </c>
      <c r="S2206" s="37" cm="1">
        <f t="array" aca="1" ref="S22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06" s="346" t="s">
        <v>1484</v>
      </c>
      <c r="U2206" s="347">
        <f ca="1">S2206*Fuel_Specs!$B$28/S2199</f>
        <v>0</v>
      </c>
      <c r="V2206" s="347">
        <v>0</v>
      </c>
      <c r="W2206" s="347">
        <v>0</v>
      </c>
      <c r="X2206" s="14" t="s">
        <v>5</v>
      </c>
      <c r="Y2206" s="346" t="s">
        <v>413</v>
      </c>
      <c r="Z2206" s="14" t="str">
        <f>IF(ISBLANK(LCI_Table[[#This Row],[Notes for user]])," ",LCI_Table[[#This Row],[Notes for user]])</f>
        <v xml:space="preserve"> </v>
      </c>
      <c r="AA2206" s="14"/>
      <c r="AB2206" s="14"/>
      <c r="AC2206" s="346">
        <f ca="1">LCI_Table[[#This Row],[Default Calculated Value]]-LCI_Table[[#This Row],[Calculated Value]]</f>
        <v>0</v>
      </c>
    </row>
    <row r="2207" spans="1:29" x14ac:dyDescent="0.3">
      <c r="A22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ATJICAOJRC(blank)_CornStover_Farming_DieselDiesel</v>
      </c>
      <c r="B2207" s="14" t="s">
        <v>135</v>
      </c>
      <c r="C2207" s="14" t="s">
        <v>883</v>
      </c>
      <c r="D2207" s="14" t="s">
        <v>194</v>
      </c>
      <c r="E2207" s="14" t="s">
        <v>355</v>
      </c>
      <c r="F2207" s="48" t="s">
        <v>31</v>
      </c>
      <c r="G2207" s="14" t="b">
        <f>OR(LCI_Table[[#This Row],[Feedstock]]="All",LCI_Table[[#This Row],[Feedstock]]=SelectedFeedstock)</f>
        <v>0</v>
      </c>
      <c r="H2207" s="14" t="b">
        <f>OR(LCI_Table[[#This Row],[Conversion]]="All",LCI_Table[[#This Row],[Conversion]]=SelectedConversion)</f>
        <v>0</v>
      </c>
      <c r="I2207" s="14" t="b">
        <f>OR(LCI_Table[[#This Row],[Data Set]]="all",LCI_Table[[#This Row],[Data Set]]=SelectedDataSet)</f>
        <v>0</v>
      </c>
      <c r="J2207" s="14" t="b">
        <f>OR(LCI_Table[[#This Row],[Technology]]="All",LCI_Table[[#This Row],[Technology]]=SelectedTechnology)</f>
        <v>1</v>
      </c>
      <c r="K2207" s="14" t="b">
        <f>OR(LCI_Table[[#This Row],[Data Source]]="All",LCI_Table[[#This Row],[Data Source]]=SelectedDataSource)</f>
        <v>0</v>
      </c>
      <c r="L2207" s="14" t="b">
        <f>TRUE</f>
        <v>1</v>
      </c>
      <c r="M2207" s="14" t="b">
        <f>(LCI_Table[[#This Row],[Dev Notes]]="Do not display")</f>
        <v>0</v>
      </c>
      <c r="N2207" s="14" t="b">
        <f>AND(LCI_Table[[#This Row],[Show Feedstock]:[Conditional]],NOT(LCI_Table[[#This Row],[Hide Row]]))</f>
        <v>0</v>
      </c>
      <c r="O2207" s="14" t="b">
        <f>LCI_Table[[#This Row],[GREET1 Name Range]]=""</f>
        <v>0</v>
      </c>
      <c r="P2207" s="14" t="s">
        <v>147</v>
      </c>
      <c r="Q2207" s="14" t="s">
        <v>605</v>
      </c>
      <c r="R2207" s="14" t="s">
        <v>106</v>
      </c>
      <c r="S2207" s="37" cm="1">
        <f t="array" aca="1" ref="S22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4.2280184529061406</v>
      </c>
      <c r="T2207" s="346" t="s">
        <v>1484</v>
      </c>
      <c r="U2207" s="347">
        <f ca="1">S2207*Fuel_Specs!$B$19/S2199</f>
        <v>221353.07655999958</v>
      </c>
      <c r="V2207" s="347">
        <v>4.2280184529061406</v>
      </c>
      <c r="W2207" s="347">
        <v>221353.07655999958</v>
      </c>
      <c r="X2207" s="14" t="s">
        <v>5</v>
      </c>
      <c r="Y2207" s="346" t="s">
        <v>413</v>
      </c>
      <c r="Z2207" s="14" t="str">
        <f>IF(ISBLANK(LCI_Table[[#This Row],[Notes for user]])," ",LCI_Table[[#This Row],[Notes for user]])</f>
        <v xml:space="preserve"> </v>
      </c>
      <c r="AA2207" s="14"/>
      <c r="AB2207" s="14"/>
      <c r="AC2207" s="346">
        <f ca="1">LCI_Table[[#This Row],[Default Calculated Value]]-LCI_Table[[#This Row],[Calculated Value]]</f>
        <v>0</v>
      </c>
    </row>
    <row r="2208" spans="1:29" x14ac:dyDescent="0.3">
      <c r="A22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ATJICAOJRC(blank)_CornStover_Farming_GasolineGasoline</v>
      </c>
      <c r="B2208" s="14" t="s">
        <v>135</v>
      </c>
      <c r="C2208" s="14" t="s">
        <v>883</v>
      </c>
      <c r="D2208" s="14" t="s">
        <v>194</v>
      </c>
      <c r="E2208" s="14" t="s">
        <v>355</v>
      </c>
      <c r="F2208" s="48" t="s">
        <v>31</v>
      </c>
      <c r="G2208" s="14" t="b">
        <f>OR(LCI_Table[[#This Row],[Feedstock]]="All",LCI_Table[[#This Row],[Feedstock]]=SelectedFeedstock)</f>
        <v>0</v>
      </c>
      <c r="H2208" s="14" t="b">
        <f>OR(LCI_Table[[#This Row],[Conversion]]="All",LCI_Table[[#This Row],[Conversion]]=SelectedConversion)</f>
        <v>0</v>
      </c>
      <c r="I2208" s="14" t="b">
        <f>OR(LCI_Table[[#This Row],[Data Set]]="all",LCI_Table[[#This Row],[Data Set]]=SelectedDataSet)</f>
        <v>0</v>
      </c>
      <c r="J2208" s="14" t="b">
        <f>OR(LCI_Table[[#This Row],[Technology]]="All",LCI_Table[[#This Row],[Technology]]=SelectedTechnology)</f>
        <v>1</v>
      </c>
      <c r="K2208" s="14" t="b">
        <f>OR(LCI_Table[[#This Row],[Data Source]]="All",LCI_Table[[#This Row],[Data Source]]=SelectedDataSource)</f>
        <v>0</v>
      </c>
      <c r="L2208" s="14" t="b">
        <f>TRUE</f>
        <v>1</v>
      </c>
      <c r="M2208" s="14" t="b">
        <f>(LCI_Table[[#This Row],[Dev Notes]]="Do not display")</f>
        <v>0</v>
      </c>
      <c r="N2208" s="14" t="b">
        <f>AND(LCI_Table[[#This Row],[Show Feedstock]:[Conditional]],NOT(LCI_Table[[#This Row],[Hide Row]]))</f>
        <v>0</v>
      </c>
      <c r="O2208" s="14" t="b">
        <f>LCI_Table[[#This Row],[GREET1 Name Range]]=""</f>
        <v>0</v>
      </c>
      <c r="P2208" s="14" t="s">
        <v>147</v>
      </c>
      <c r="Q2208" s="14" t="s">
        <v>607</v>
      </c>
      <c r="R2208" s="14" t="s">
        <v>107</v>
      </c>
      <c r="S2208" s="37" cm="1">
        <f t="array" aca="1" ref="S22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08" s="346" t="s">
        <v>1484</v>
      </c>
      <c r="U2208" s="347">
        <f ca="1">S2208*Fuel_Specs!$B$15/S2199</f>
        <v>0</v>
      </c>
      <c r="V2208" s="347">
        <v>0</v>
      </c>
      <c r="W2208" s="347">
        <v>0</v>
      </c>
      <c r="X2208" s="14" t="s">
        <v>5</v>
      </c>
      <c r="Y2208" s="346" t="s">
        <v>413</v>
      </c>
      <c r="Z2208" s="14" t="str">
        <f>IF(ISBLANK(LCI_Table[[#This Row],[Notes for user]])," ",LCI_Table[[#This Row],[Notes for user]])</f>
        <v xml:space="preserve"> </v>
      </c>
      <c r="AA2208" s="14"/>
      <c r="AB2208" s="14"/>
      <c r="AC2208" s="346">
        <f ca="1">LCI_Table[[#This Row],[Default Calculated Value]]-LCI_Table[[#This Row],[Calculated Value]]</f>
        <v>0</v>
      </c>
    </row>
    <row r="2209" spans="1:29" x14ac:dyDescent="0.3">
      <c r="A22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ATJICAOJRC(blank)_CornStover_Farming_Natural_gasNatural gas</v>
      </c>
      <c r="B2209" s="14" t="s">
        <v>135</v>
      </c>
      <c r="C2209" s="14" t="s">
        <v>883</v>
      </c>
      <c r="D2209" s="14" t="s">
        <v>194</v>
      </c>
      <c r="E2209" s="14" t="s">
        <v>355</v>
      </c>
      <c r="F2209" s="48" t="s">
        <v>31</v>
      </c>
      <c r="G2209" s="14" t="b">
        <f>OR(LCI_Table[[#This Row],[Feedstock]]="All",LCI_Table[[#This Row],[Feedstock]]=SelectedFeedstock)</f>
        <v>0</v>
      </c>
      <c r="H2209" s="14" t="b">
        <f>OR(LCI_Table[[#This Row],[Conversion]]="All",LCI_Table[[#This Row],[Conversion]]=SelectedConversion)</f>
        <v>0</v>
      </c>
      <c r="I2209" s="14" t="b">
        <f>OR(LCI_Table[[#This Row],[Data Set]]="all",LCI_Table[[#This Row],[Data Set]]=SelectedDataSet)</f>
        <v>0</v>
      </c>
      <c r="J2209" s="14" t="b">
        <f>OR(LCI_Table[[#This Row],[Technology]]="All",LCI_Table[[#This Row],[Technology]]=SelectedTechnology)</f>
        <v>1</v>
      </c>
      <c r="K2209" s="14" t="b">
        <f>OR(LCI_Table[[#This Row],[Data Source]]="All",LCI_Table[[#This Row],[Data Source]]=SelectedDataSource)</f>
        <v>0</v>
      </c>
      <c r="L2209" s="14" t="b">
        <f>TRUE</f>
        <v>1</v>
      </c>
      <c r="M2209" s="14" t="b">
        <f>(LCI_Table[[#This Row],[Dev Notes]]="Do not display")</f>
        <v>0</v>
      </c>
      <c r="N2209" s="14" t="b">
        <f>AND(LCI_Table[[#This Row],[Show Feedstock]:[Conditional]],NOT(LCI_Table[[#This Row],[Hide Row]]))</f>
        <v>0</v>
      </c>
      <c r="O2209" s="14" t="b">
        <f>LCI_Table[[#This Row],[GREET1 Name Range]]=""</f>
        <v>0</v>
      </c>
      <c r="P2209" s="14" t="s">
        <v>147</v>
      </c>
      <c r="Q2209" s="14" t="s">
        <v>613</v>
      </c>
      <c r="R2209" s="14" t="s">
        <v>108</v>
      </c>
      <c r="S2209" s="37" cm="1">
        <f t="array" aca="1" ref="S22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09" s="346" t="s">
        <v>2109</v>
      </c>
      <c r="U2209" s="347">
        <f ca="1">S2209*Fuel_Specs!$B$79/S2199</f>
        <v>0</v>
      </c>
      <c r="V2209" s="347">
        <v>0</v>
      </c>
      <c r="W2209" s="347">
        <v>0</v>
      </c>
      <c r="X2209" s="14" t="s">
        <v>351</v>
      </c>
      <c r="Y2209" s="346" t="s">
        <v>413</v>
      </c>
      <c r="Z2209" s="14" t="str">
        <f>IF(ISBLANK(LCI_Table[[#This Row],[Notes for user]])," ",LCI_Table[[#This Row],[Notes for user]])</f>
        <v xml:space="preserve"> </v>
      </c>
      <c r="AA2209" s="14"/>
      <c r="AB2209" s="14"/>
      <c r="AC2209" s="346">
        <f ca="1">LCI_Table[[#This Row],[Default Calculated Value]]-LCI_Table[[#This Row],[Calculated Value]]</f>
        <v>0</v>
      </c>
    </row>
    <row r="2210" spans="1:29" x14ac:dyDescent="0.3">
      <c r="A22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ATJICAOJRC(blank)_CornStover_Farming_CoalCoal</v>
      </c>
      <c r="B2210" s="14" t="s">
        <v>135</v>
      </c>
      <c r="C2210" s="14" t="s">
        <v>883</v>
      </c>
      <c r="D2210" s="14" t="s">
        <v>194</v>
      </c>
      <c r="E2210" s="14" t="s">
        <v>355</v>
      </c>
      <c r="F2210" s="48" t="s">
        <v>31</v>
      </c>
      <c r="G2210" s="14" t="b">
        <f>OR(LCI_Table[[#This Row],[Feedstock]]="All",LCI_Table[[#This Row],[Feedstock]]=SelectedFeedstock)</f>
        <v>0</v>
      </c>
      <c r="H2210" s="14" t="b">
        <f>OR(LCI_Table[[#This Row],[Conversion]]="All",LCI_Table[[#This Row],[Conversion]]=SelectedConversion)</f>
        <v>0</v>
      </c>
      <c r="I2210" s="14" t="b">
        <f>OR(LCI_Table[[#This Row],[Data Set]]="all",LCI_Table[[#This Row],[Data Set]]=SelectedDataSet)</f>
        <v>0</v>
      </c>
      <c r="J2210" s="14" t="b">
        <f>OR(LCI_Table[[#This Row],[Technology]]="All",LCI_Table[[#This Row],[Technology]]=SelectedTechnology)</f>
        <v>1</v>
      </c>
      <c r="K2210" s="14" t="b">
        <f>OR(LCI_Table[[#This Row],[Data Source]]="All",LCI_Table[[#This Row],[Data Source]]=SelectedDataSource)</f>
        <v>0</v>
      </c>
      <c r="L2210" s="14" t="b">
        <f>TRUE</f>
        <v>1</v>
      </c>
      <c r="M2210" s="14" t="b">
        <f>(LCI_Table[[#This Row],[Dev Notes]]="Do not display")</f>
        <v>0</v>
      </c>
      <c r="N2210" s="14" t="b">
        <f>AND(LCI_Table[[#This Row],[Show Feedstock]:[Conditional]],NOT(LCI_Table[[#This Row],[Hide Row]]))</f>
        <v>0</v>
      </c>
      <c r="O2210" s="14" t="b">
        <f>LCI_Table[[#This Row],[GREET1 Name Range]]=""</f>
        <v>0</v>
      </c>
      <c r="P2210" s="14" t="s">
        <v>147</v>
      </c>
      <c r="Q2210" s="14" t="s">
        <v>604</v>
      </c>
      <c r="R2210" s="14" t="s">
        <v>9</v>
      </c>
      <c r="S2210" s="37" cm="1">
        <f t="array" aca="1" ref="S22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10" s="346" t="s">
        <v>2110</v>
      </c>
      <c r="U2210" s="347">
        <f ca="1">S2210/S2199</f>
        <v>0</v>
      </c>
      <c r="V2210" s="347">
        <v>0</v>
      </c>
      <c r="W2210" s="347">
        <v>0</v>
      </c>
      <c r="X2210" s="14" t="s">
        <v>117</v>
      </c>
      <c r="Y2210" s="346" t="s">
        <v>413</v>
      </c>
      <c r="Z2210" s="14" t="str">
        <f>IF(ISBLANK(LCI_Table[[#This Row],[Notes for user]])," ",LCI_Table[[#This Row],[Notes for user]])</f>
        <v xml:space="preserve"> </v>
      </c>
      <c r="AA2210" s="14"/>
      <c r="AB2210" s="14"/>
      <c r="AC2210" s="346">
        <f ca="1">LCI_Table[[#This Row],[Default Calculated Value]]-LCI_Table[[#This Row],[Calculated Value]]</f>
        <v>0</v>
      </c>
    </row>
    <row r="2211" spans="1:29" x14ac:dyDescent="0.3">
      <c r="A22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ATJICAOJRC(blank)_CornStover_Farming_LPGLPG</v>
      </c>
      <c r="B2211" s="14" t="s">
        <v>135</v>
      </c>
      <c r="C2211" s="14" t="s">
        <v>883</v>
      </c>
      <c r="D2211" s="14" t="s">
        <v>194</v>
      </c>
      <c r="E2211" s="14" t="s">
        <v>355</v>
      </c>
      <c r="F2211" s="48" t="s">
        <v>31</v>
      </c>
      <c r="G2211" s="14" t="b">
        <f>OR(LCI_Table[[#This Row],[Feedstock]]="All",LCI_Table[[#This Row],[Feedstock]]=SelectedFeedstock)</f>
        <v>0</v>
      </c>
      <c r="H2211" s="14" t="b">
        <f>OR(LCI_Table[[#This Row],[Conversion]]="All",LCI_Table[[#This Row],[Conversion]]=SelectedConversion)</f>
        <v>0</v>
      </c>
      <c r="I2211" s="14" t="b">
        <f>OR(LCI_Table[[#This Row],[Data Set]]="all",LCI_Table[[#This Row],[Data Set]]=SelectedDataSet)</f>
        <v>0</v>
      </c>
      <c r="J2211" s="14" t="b">
        <f>OR(LCI_Table[[#This Row],[Technology]]="All",LCI_Table[[#This Row],[Technology]]=SelectedTechnology)</f>
        <v>1</v>
      </c>
      <c r="K2211" s="14" t="b">
        <f>OR(LCI_Table[[#This Row],[Data Source]]="All",LCI_Table[[#This Row],[Data Source]]=SelectedDataSource)</f>
        <v>0</v>
      </c>
      <c r="L2211" s="14" t="b">
        <f>TRUE</f>
        <v>1</v>
      </c>
      <c r="M2211" s="14" t="b">
        <f>(LCI_Table[[#This Row],[Dev Notes]]="Do not display")</f>
        <v>0</v>
      </c>
      <c r="N2211" s="14" t="b">
        <f>AND(LCI_Table[[#This Row],[Show Feedstock]:[Conditional]],NOT(LCI_Table[[#This Row],[Hide Row]]))</f>
        <v>0</v>
      </c>
      <c r="O2211" s="14" t="b">
        <f>LCI_Table[[#This Row],[GREET1 Name Range]]=""</f>
        <v>0</v>
      </c>
      <c r="P2211" s="14" t="s">
        <v>147</v>
      </c>
      <c r="Q2211" s="14" t="s">
        <v>612</v>
      </c>
      <c r="R2211" s="14" t="s">
        <v>109</v>
      </c>
      <c r="S2211" s="37" cm="1">
        <f t="array" aca="1" ref="S22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11" s="346" t="s">
        <v>1484</v>
      </c>
      <c r="U2211" s="347">
        <f ca="1">S2211*Fuel_Specs!$B$35/S2199</f>
        <v>0</v>
      </c>
      <c r="V2211" s="347">
        <v>0</v>
      </c>
      <c r="W2211" s="347">
        <v>0</v>
      </c>
      <c r="X2211" s="14" t="s">
        <v>5</v>
      </c>
      <c r="Y2211" s="346" t="s">
        <v>413</v>
      </c>
      <c r="Z2211" s="14" t="str">
        <f>IF(ISBLANK(LCI_Table[[#This Row],[Notes for user]])," ",LCI_Table[[#This Row],[Notes for user]])</f>
        <v xml:space="preserve"> </v>
      </c>
      <c r="AA2211" s="14"/>
      <c r="AB2211" s="14"/>
      <c r="AC2211" s="346">
        <f ca="1">LCI_Table[[#This Row],[Default Calculated Value]]-LCI_Table[[#This Row],[Calculated Value]]</f>
        <v>0</v>
      </c>
    </row>
    <row r="2212" spans="1:29" x14ac:dyDescent="0.3">
      <c r="A22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ATJICAOJRC(blank)_CornStover_Farming_ElectricityElectricity</v>
      </c>
      <c r="B2212" s="14" t="s">
        <v>135</v>
      </c>
      <c r="C2212" s="14" t="s">
        <v>883</v>
      </c>
      <c r="D2212" s="14" t="s">
        <v>194</v>
      </c>
      <c r="E2212" s="14" t="s">
        <v>355</v>
      </c>
      <c r="F2212" s="48" t="s">
        <v>31</v>
      </c>
      <c r="G2212" s="14" t="b">
        <f>OR(LCI_Table[[#This Row],[Feedstock]]="All",LCI_Table[[#This Row],[Feedstock]]=SelectedFeedstock)</f>
        <v>0</v>
      </c>
      <c r="H2212" s="14" t="b">
        <f>OR(LCI_Table[[#This Row],[Conversion]]="All",LCI_Table[[#This Row],[Conversion]]=SelectedConversion)</f>
        <v>0</v>
      </c>
      <c r="I2212" s="14" t="b">
        <f>OR(LCI_Table[[#This Row],[Data Set]]="all",LCI_Table[[#This Row],[Data Set]]=SelectedDataSet)</f>
        <v>0</v>
      </c>
      <c r="J2212" s="14" t="b">
        <f>OR(LCI_Table[[#This Row],[Technology]]="All",LCI_Table[[#This Row],[Technology]]=SelectedTechnology)</f>
        <v>1</v>
      </c>
      <c r="K2212" s="14" t="b">
        <f>OR(LCI_Table[[#This Row],[Data Source]]="All",LCI_Table[[#This Row],[Data Source]]=SelectedDataSource)</f>
        <v>0</v>
      </c>
      <c r="L2212" s="14" t="b">
        <f>TRUE</f>
        <v>1</v>
      </c>
      <c r="M2212" s="14" t="b">
        <f>(LCI_Table[[#This Row],[Dev Notes]]="Do not display")</f>
        <v>0</v>
      </c>
      <c r="N2212" s="14" t="b">
        <f>AND(LCI_Table[[#This Row],[Show Feedstock]:[Conditional]],NOT(LCI_Table[[#This Row],[Hide Row]]))</f>
        <v>0</v>
      </c>
      <c r="O2212" s="14" t="b">
        <f>LCI_Table[[#This Row],[GREET1 Name Range]]=""</f>
        <v>0</v>
      </c>
      <c r="P2212" s="14" t="s">
        <v>147</v>
      </c>
      <c r="Q2212" s="14" t="s">
        <v>606</v>
      </c>
      <c r="R2212" s="348" t="s">
        <v>110</v>
      </c>
      <c r="S2212" s="37" cm="1">
        <f t="array" aca="1" ref="S22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12" s="346" t="s">
        <v>1561</v>
      </c>
      <c r="U2212" s="347">
        <f ca="1">S2212/BTU2kWh/S2199</f>
        <v>0</v>
      </c>
      <c r="V2212" s="347">
        <v>0</v>
      </c>
      <c r="W2212" s="347">
        <v>0</v>
      </c>
      <c r="X2212" s="14" t="s">
        <v>51</v>
      </c>
      <c r="Y2212" s="346" t="s">
        <v>413</v>
      </c>
      <c r="Z2212" s="14" t="str">
        <f>IF(ISBLANK(LCI_Table[[#This Row],[Notes for user]])," ",LCI_Table[[#This Row],[Notes for user]])</f>
        <v xml:space="preserve"> </v>
      </c>
      <c r="AA2212" s="14"/>
      <c r="AB2212" s="14"/>
      <c r="AC2212" s="346">
        <f ca="1">LCI_Table[[#This Row],[Default Calculated Value]]-LCI_Table[[#This Row],[Calculated Value]]</f>
        <v>0</v>
      </c>
    </row>
    <row r="2213" spans="1:29" x14ac:dyDescent="0.3">
      <c r="A22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ATJICAOJRC(blank)_Corn_stover_i_BuOH_ATJ_Corn_stoverCorn stover</v>
      </c>
      <c r="B2213" s="14" t="s">
        <v>135</v>
      </c>
      <c r="C2213" s="14" t="s">
        <v>883</v>
      </c>
      <c r="D2213" s="14" t="s">
        <v>194</v>
      </c>
      <c r="E2213" s="14" t="s">
        <v>355</v>
      </c>
      <c r="F2213" s="48" t="s">
        <v>31</v>
      </c>
      <c r="G2213" s="14" t="b">
        <f>OR(LCI_Table[[#This Row],[Feedstock]]="All",LCI_Table[[#This Row],[Feedstock]]=SelectedFeedstock)</f>
        <v>0</v>
      </c>
      <c r="H2213" s="14" t="b">
        <f>OR(LCI_Table[[#This Row],[Conversion]]="All",LCI_Table[[#This Row],[Conversion]]=SelectedConversion)</f>
        <v>0</v>
      </c>
      <c r="I2213" s="14" t="b">
        <f>OR(LCI_Table[[#This Row],[Data Set]]="all",LCI_Table[[#This Row],[Data Set]]=SelectedDataSet)</f>
        <v>0</v>
      </c>
      <c r="J2213" s="14" t="b">
        <f>OR(LCI_Table[[#This Row],[Technology]]="All",LCI_Table[[#This Row],[Technology]]=SelectedTechnology)</f>
        <v>1</v>
      </c>
      <c r="K2213" s="14" t="b">
        <f>OR(LCI_Table[[#This Row],[Data Source]]="All",LCI_Table[[#This Row],[Data Source]]=SelectedDataSource)</f>
        <v>0</v>
      </c>
      <c r="L2213" s="14" t="b">
        <f>TRUE</f>
        <v>1</v>
      </c>
      <c r="M2213" s="14" t="b">
        <f>(LCI_Table[[#This Row],[Dev Notes]]="Do not display")</f>
        <v>0</v>
      </c>
      <c r="N2213" s="14" t="b">
        <f>AND(LCI_Table[[#This Row],[Show Feedstock]:[Conditional]],NOT(LCI_Table[[#This Row],[Hide Row]]))</f>
        <v>0</v>
      </c>
      <c r="O2213" s="14" t="b">
        <f>LCI_Table[[#This Row],[GREET1 Name Range]]=""</f>
        <v>0</v>
      </c>
      <c r="P2213" s="358" t="s">
        <v>1448</v>
      </c>
      <c r="Q2213" s="14" t="s">
        <v>1023</v>
      </c>
      <c r="R2213" s="14" t="s">
        <v>135</v>
      </c>
      <c r="S2213" s="37" cm="1">
        <f t="array" aca="1" ref="S22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372.1599990758225</v>
      </c>
      <c r="T2213" s="346" t="s">
        <v>2119</v>
      </c>
      <c r="U2213" s="347">
        <f ca="1">S2213/kg2lb*MJ2mmBTU</f>
        <v>0.15999999999999981</v>
      </c>
      <c r="V2213" s="347">
        <v>372.1599990758225</v>
      </c>
      <c r="W2213" s="347">
        <v>0.15999999999999981</v>
      </c>
      <c r="X2213" s="14" t="s">
        <v>12</v>
      </c>
      <c r="Y2213" s="346" t="s">
        <v>416</v>
      </c>
      <c r="Z2213" s="14" t="str">
        <f>IF(ISBLANK(LCI_Table[[#This Row],[Notes for user]])," ",LCI_Table[[#This Row],[Notes for user]])</f>
        <v xml:space="preserve"> </v>
      </c>
      <c r="AA2213" s="14"/>
      <c r="AB2213" s="358"/>
      <c r="AC2213" s="346">
        <f ca="1">LCI_Table[[#This Row],[Default Calculated Value]]-LCI_Table[[#This Row],[Calculated Value]]</f>
        <v>0</v>
      </c>
    </row>
    <row r="2214" spans="1:29" x14ac:dyDescent="0.3">
      <c r="A22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ATJICAOJRC(blank)_Corn_stover_i_BuOH_ATJ_CellulaseCellulase</v>
      </c>
      <c r="B2214" s="14" t="s">
        <v>135</v>
      </c>
      <c r="C2214" s="14" t="s">
        <v>883</v>
      </c>
      <c r="D2214" s="14" t="s">
        <v>194</v>
      </c>
      <c r="E2214" s="14" t="s">
        <v>355</v>
      </c>
      <c r="F2214" s="48" t="s">
        <v>31</v>
      </c>
      <c r="G2214" s="14" t="b">
        <f>OR(LCI_Table[[#This Row],[Feedstock]]="All",LCI_Table[[#This Row],[Feedstock]]=SelectedFeedstock)</f>
        <v>0</v>
      </c>
      <c r="H2214" s="14" t="b">
        <f>OR(LCI_Table[[#This Row],[Conversion]]="All",LCI_Table[[#This Row],[Conversion]]=SelectedConversion)</f>
        <v>0</v>
      </c>
      <c r="I2214" s="14" t="b">
        <f>OR(LCI_Table[[#This Row],[Data Set]]="all",LCI_Table[[#This Row],[Data Set]]=SelectedDataSet)</f>
        <v>0</v>
      </c>
      <c r="J2214" s="14" t="b">
        <f>OR(LCI_Table[[#This Row],[Technology]]="All",LCI_Table[[#This Row],[Technology]]=SelectedTechnology)</f>
        <v>1</v>
      </c>
      <c r="K2214" s="14" t="b">
        <f>OR(LCI_Table[[#This Row],[Data Source]]="All",LCI_Table[[#This Row],[Data Source]]=SelectedDataSource)</f>
        <v>0</v>
      </c>
      <c r="L2214" s="14" t="b">
        <f>TRUE</f>
        <v>1</v>
      </c>
      <c r="M2214" s="14" t="b">
        <f>(LCI_Table[[#This Row],[Dev Notes]]="Do not display")</f>
        <v>0</v>
      </c>
      <c r="N2214" s="14" t="b">
        <f>AND(LCI_Table[[#This Row],[Show Feedstock]:[Conditional]],NOT(LCI_Table[[#This Row],[Hide Row]]))</f>
        <v>0</v>
      </c>
      <c r="O2214" s="14" t="b">
        <f>LCI_Table[[#This Row],[GREET1 Name Range]]=""</f>
        <v>0</v>
      </c>
      <c r="P2214" s="358" t="s">
        <v>1448</v>
      </c>
      <c r="Q2214" s="14" t="s">
        <v>1024</v>
      </c>
      <c r="R2214" s="14" t="s">
        <v>402</v>
      </c>
      <c r="S2214" s="37" cm="1">
        <f t="array" aca="1" ref="S22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1.9538399951480669</v>
      </c>
      <c r="T2214" s="346" t="s">
        <v>2119</v>
      </c>
      <c r="U2214" s="347">
        <f ca="1">S2214/g2lb*MJ2mmBTU</f>
        <v>0.83999999999999853</v>
      </c>
      <c r="V2214" s="347">
        <v>1.9538399951480669</v>
      </c>
      <c r="W2214" s="347">
        <v>0.83999999999999853</v>
      </c>
      <c r="X2214" s="14" t="s">
        <v>12</v>
      </c>
      <c r="Y2214" s="346" t="s">
        <v>416</v>
      </c>
      <c r="Z2214" s="14" t="str">
        <f>IF(ISBLANK(LCI_Table[[#This Row],[Notes for user]])," ",LCI_Table[[#This Row],[Notes for user]])</f>
        <v xml:space="preserve"> </v>
      </c>
      <c r="AA2214" s="14"/>
      <c r="AB2214" s="14"/>
      <c r="AC2214" s="346">
        <f ca="1">LCI_Table[[#This Row],[Default Calculated Value]]-LCI_Table[[#This Row],[Calculated Value]]</f>
        <v>0</v>
      </c>
    </row>
    <row r="2215" spans="1:29" x14ac:dyDescent="0.3">
      <c r="A22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ATJICAOJRC(blank)_Corn_stover_i_BuOH_ATJ_YeastYeast</v>
      </c>
      <c r="B2215" s="14" t="s">
        <v>135</v>
      </c>
      <c r="C2215" s="14" t="s">
        <v>883</v>
      </c>
      <c r="D2215" s="14" t="s">
        <v>194</v>
      </c>
      <c r="E2215" s="14" t="s">
        <v>355</v>
      </c>
      <c r="F2215" s="48" t="s">
        <v>31</v>
      </c>
      <c r="G2215" s="14" t="b">
        <f>OR(LCI_Table[[#This Row],[Feedstock]]="All",LCI_Table[[#This Row],[Feedstock]]=SelectedFeedstock)</f>
        <v>0</v>
      </c>
      <c r="H2215" s="14" t="b">
        <f>OR(LCI_Table[[#This Row],[Conversion]]="All",LCI_Table[[#This Row],[Conversion]]=SelectedConversion)</f>
        <v>0</v>
      </c>
      <c r="I2215" s="14" t="b">
        <f>OR(LCI_Table[[#This Row],[Data Set]]="all",LCI_Table[[#This Row],[Data Set]]=SelectedDataSet)</f>
        <v>0</v>
      </c>
      <c r="J2215" s="14" t="b">
        <f>OR(LCI_Table[[#This Row],[Technology]]="All",LCI_Table[[#This Row],[Technology]]=SelectedTechnology)</f>
        <v>1</v>
      </c>
      <c r="K2215" s="14" t="b">
        <f>OR(LCI_Table[[#This Row],[Data Source]]="All",LCI_Table[[#This Row],[Data Source]]=SelectedDataSource)</f>
        <v>0</v>
      </c>
      <c r="L2215" s="14" t="b">
        <f>TRUE</f>
        <v>1</v>
      </c>
      <c r="M2215" s="14" t="b">
        <f>(LCI_Table[[#This Row],[Dev Notes]]="Do not display")</f>
        <v>0</v>
      </c>
      <c r="N2215" s="14" t="b">
        <f>AND(LCI_Table[[#This Row],[Show Feedstock]:[Conditional]],NOT(LCI_Table[[#This Row],[Hide Row]]))</f>
        <v>0</v>
      </c>
      <c r="O2215" s="14" t="b">
        <f>LCI_Table[[#This Row],[GREET1 Name Range]]=""</f>
        <v>0</v>
      </c>
      <c r="P2215" s="358" t="s">
        <v>1448</v>
      </c>
      <c r="Q2215" s="14" t="s">
        <v>1025</v>
      </c>
      <c r="R2215" s="14" t="s">
        <v>145</v>
      </c>
      <c r="S2215" s="37" cm="1">
        <f t="array" aca="1" ref="S22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15" s="346" t="s">
        <v>2119</v>
      </c>
      <c r="U2215" s="347">
        <f ca="1">S2215/g2lb*MJ2mmBTU/Allocations!$O$216</f>
        <v>0</v>
      </c>
      <c r="V2215" s="347">
        <v>0</v>
      </c>
      <c r="W2215" s="347">
        <v>0</v>
      </c>
      <c r="X2215" s="14" t="s">
        <v>12</v>
      </c>
      <c r="Y2215" s="346" t="s">
        <v>416</v>
      </c>
      <c r="Z2215" s="14" t="str">
        <f>IF(ISBLANK(LCI_Table[[#This Row],[Notes for user]])," ",LCI_Table[[#This Row],[Notes for user]])</f>
        <v xml:space="preserve"> </v>
      </c>
      <c r="AA2215" s="14"/>
      <c r="AB2215" s="14"/>
      <c r="AC2215" s="346">
        <f ca="1">LCI_Table[[#This Row],[Default Calculated Value]]-LCI_Table[[#This Row],[Calculated Value]]</f>
        <v>0</v>
      </c>
    </row>
    <row r="2216" spans="1:29" x14ac:dyDescent="0.3">
      <c r="A22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ATJICAOJRC(blank)_Corn_stover_i_BuOH_ATJ_Sulfuric_acidSulfuric acid</v>
      </c>
      <c r="B2216" s="14" t="s">
        <v>135</v>
      </c>
      <c r="C2216" s="14" t="s">
        <v>883</v>
      </c>
      <c r="D2216" s="14" t="s">
        <v>194</v>
      </c>
      <c r="E2216" s="14" t="s">
        <v>355</v>
      </c>
      <c r="F2216" s="48" t="s">
        <v>31</v>
      </c>
      <c r="G2216" s="14" t="b">
        <f>OR(LCI_Table[[#This Row],[Feedstock]]="All",LCI_Table[[#This Row],[Feedstock]]=SelectedFeedstock)</f>
        <v>0</v>
      </c>
      <c r="H2216" s="14" t="b">
        <f>OR(LCI_Table[[#This Row],[Conversion]]="All",LCI_Table[[#This Row],[Conversion]]=SelectedConversion)</f>
        <v>0</v>
      </c>
      <c r="I2216" s="14" t="b">
        <f>OR(LCI_Table[[#This Row],[Data Set]]="all",LCI_Table[[#This Row],[Data Set]]=SelectedDataSet)</f>
        <v>0</v>
      </c>
      <c r="J2216" s="14" t="b">
        <f>OR(LCI_Table[[#This Row],[Technology]]="All",LCI_Table[[#This Row],[Technology]]=SelectedTechnology)</f>
        <v>1</v>
      </c>
      <c r="K2216" s="14" t="b">
        <f>OR(LCI_Table[[#This Row],[Data Source]]="All",LCI_Table[[#This Row],[Data Source]]=SelectedDataSource)</f>
        <v>0</v>
      </c>
      <c r="L2216" s="14" t="b">
        <f>TRUE</f>
        <v>1</v>
      </c>
      <c r="M2216" s="14" t="b">
        <f>(LCI_Table[[#This Row],[Dev Notes]]="Do not display")</f>
        <v>0</v>
      </c>
      <c r="N2216" s="14" t="b">
        <f>AND(LCI_Table[[#This Row],[Show Feedstock]:[Conditional]],NOT(LCI_Table[[#This Row],[Hide Row]]))</f>
        <v>0</v>
      </c>
      <c r="O2216" s="14" t="b">
        <f>LCI_Table[[#This Row],[GREET1 Name Range]]=""</f>
        <v>0</v>
      </c>
      <c r="P2216" s="358" t="s">
        <v>1448</v>
      </c>
      <c r="Q2216" s="14" t="s">
        <v>1026</v>
      </c>
      <c r="R2216" s="14" t="s">
        <v>384</v>
      </c>
      <c r="S2216" s="37" cm="1">
        <f t="array" aca="1" ref="S22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8.58293997868617</v>
      </c>
      <c r="T2216" s="346" t="s">
        <v>2119</v>
      </c>
      <c r="U2216" s="347">
        <f ca="1">S2216/g2lb*MJ2mmBTU</f>
        <v>3.6900000000000013</v>
      </c>
      <c r="V2216" s="347">
        <v>8.58293997868617</v>
      </c>
      <c r="W2216" s="347">
        <v>3.6900000000000013</v>
      </c>
      <c r="X2216" s="14" t="s">
        <v>12</v>
      </c>
      <c r="Y2216" s="346" t="s">
        <v>416</v>
      </c>
      <c r="Z2216" s="14" t="str">
        <f>IF(ISBLANK(LCI_Table[[#This Row],[Notes for user]])," ",LCI_Table[[#This Row],[Notes for user]])</f>
        <v xml:space="preserve"> </v>
      </c>
      <c r="AA2216" s="14"/>
      <c r="AB2216" s="14"/>
      <c r="AC2216" s="346">
        <f ca="1">LCI_Table[[#This Row],[Default Calculated Value]]-LCI_Table[[#This Row],[Calculated Value]]</f>
        <v>0</v>
      </c>
    </row>
    <row r="2217" spans="1:29" x14ac:dyDescent="0.3">
      <c r="A22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ATJICAOJRC(blank)_Corn_stover_i_BuOH_ATJ_AmmoniaAmmonia</v>
      </c>
      <c r="B2217" s="14" t="s">
        <v>135</v>
      </c>
      <c r="C2217" s="14" t="s">
        <v>883</v>
      </c>
      <c r="D2217" s="14" t="s">
        <v>194</v>
      </c>
      <c r="E2217" s="14" t="s">
        <v>355</v>
      </c>
      <c r="F2217" s="48" t="s">
        <v>31</v>
      </c>
      <c r="G2217" s="14" t="b">
        <f>OR(LCI_Table[[#This Row],[Feedstock]]="All",LCI_Table[[#This Row],[Feedstock]]=SelectedFeedstock)</f>
        <v>0</v>
      </c>
      <c r="H2217" s="14" t="b">
        <f>OR(LCI_Table[[#This Row],[Conversion]]="All",LCI_Table[[#This Row],[Conversion]]=SelectedConversion)</f>
        <v>0</v>
      </c>
      <c r="I2217" s="14" t="b">
        <f>OR(LCI_Table[[#This Row],[Data Set]]="all",LCI_Table[[#This Row],[Data Set]]=SelectedDataSet)</f>
        <v>0</v>
      </c>
      <c r="J2217" s="14" t="b">
        <f>OR(LCI_Table[[#This Row],[Technology]]="All",LCI_Table[[#This Row],[Technology]]=SelectedTechnology)</f>
        <v>1</v>
      </c>
      <c r="K2217" s="14" t="b">
        <f>OR(LCI_Table[[#This Row],[Data Source]]="All",LCI_Table[[#This Row],[Data Source]]=SelectedDataSource)</f>
        <v>0</v>
      </c>
      <c r="L2217" s="14" t="b">
        <f>TRUE</f>
        <v>1</v>
      </c>
      <c r="M2217" s="14" t="b">
        <f>(LCI_Table[[#This Row],[Dev Notes]]="Do not display")</f>
        <v>0</v>
      </c>
      <c r="N2217" s="14" t="b">
        <f>AND(LCI_Table[[#This Row],[Show Feedstock]:[Conditional]],NOT(LCI_Table[[#This Row],[Hide Row]]))</f>
        <v>0</v>
      </c>
      <c r="O2217" s="14" t="b">
        <f>LCI_Table[[#This Row],[GREET1 Name Range]]=""</f>
        <v>0</v>
      </c>
      <c r="P2217" s="358" t="s">
        <v>1448</v>
      </c>
      <c r="Q2217" s="14" t="s">
        <v>1027</v>
      </c>
      <c r="R2217" s="14" t="s">
        <v>382</v>
      </c>
      <c r="S2217" s="37" cm="1">
        <f t="array" aca="1" ref="S22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5.1869799871192788</v>
      </c>
      <c r="T2217" s="346" t="s">
        <v>2119</v>
      </c>
      <c r="U2217" s="347">
        <f ca="1">S2217/g2lb*MJ2mmBTU</f>
        <v>2.2299999999999986</v>
      </c>
      <c r="V2217" s="347">
        <v>5.1869799871192788</v>
      </c>
      <c r="W2217" s="347">
        <v>2.2299999999999986</v>
      </c>
      <c r="X2217" s="14" t="s">
        <v>12</v>
      </c>
      <c r="Y2217" s="346" t="s">
        <v>416</v>
      </c>
      <c r="Z2217" s="14" t="str">
        <f>IF(ISBLANK(LCI_Table[[#This Row],[Notes for user]])," ",LCI_Table[[#This Row],[Notes for user]])</f>
        <v xml:space="preserve"> </v>
      </c>
      <c r="AA2217" s="14"/>
      <c r="AB2217" s="14"/>
      <c r="AC2217" s="346">
        <f ca="1">LCI_Table[[#This Row],[Default Calculated Value]]-LCI_Table[[#This Row],[Calculated Value]]</f>
        <v>0</v>
      </c>
    </row>
    <row r="2218" spans="1:29" x14ac:dyDescent="0.3">
      <c r="A22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ATJICAOJRC(blank)_Corn_stover_i_BuOH_ATJ_Corn_steep_liquorCorn steep liquor</v>
      </c>
      <c r="B2218" s="14" t="s">
        <v>135</v>
      </c>
      <c r="C2218" s="14" t="s">
        <v>883</v>
      </c>
      <c r="D2218" s="14" t="s">
        <v>194</v>
      </c>
      <c r="E2218" s="14" t="s">
        <v>355</v>
      </c>
      <c r="F2218" s="48" t="s">
        <v>31</v>
      </c>
      <c r="G2218" s="14" t="b">
        <f>OR(LCI_Table[[#This Row],[Feedstock]]="All",LCI_Table[[#This Row],[Feedstock]]=SelectedFeedstock)</f>
        <v>0</v>
      </c>
      <c r="H2218" s="14" t="b">
        <f>OR(LCI_Table[[#This Row],[Conversion]]="All",LCI_Table[[#This Row],[Conversion]]=SelectedConversion)</f>
        <v>0</v>
      </c>
      <c r="I2218" s="14" t="b">
        <f>OR(LCI_Table[[#This Row],[Data Set]]="all",LCI_Table[[#This Row],[Data Set]]=SelectedDataSet)</f>
        <v>0</v>
      </c>
      <c r="J2218" s="14" t="b">
        <f>OR(LCI_Table[[#This Row],[Technology]]="All",LCI_Table[[#This Row],[Technology]]=SelectedTechnology)</f>
        <v>1</v>
      </c>
      <c r="K2218" s="14" t="b">
        <f>OR(LCI_Table[[#This Row],[Data Source]]="All",LCI_Table[[#This Row],[Data Source]]=SelectedDataSource)</f>
        <v>0</v>
      </c>
      <c r="L2218" s="14" t="b">
        <f>TRUE</f>
        <v>1</v>
      </c>
      <c r="M2218" s="14" t="b">
        <f>(LCI_Table[[#This Row],[Dev Notes]]="Do not display")</f>
        <v>0</v>
      </c>
      <c r="N2218" s="14" t="b">
        <f>AND(LCI_Table[[#This Row],[Show Feedstock]:[Conditional]],NOT(LCI_Table[[#This Row],[Hide Row]]))</f>
        <v>0</v>
      </c>
      <c r="O2218" s="14" t="b">
        <f>LCI_Table[[#This Row],[GREET1 Name Range]]=""</f>
        <v>0</v>
      </c>
      <c r="P2218" s="358" t="s">
        <v>1448</v>
      </c>
      <c r="Q2218" s="14" t="s">
        <v>1028</v>
      </c>
      <c r="R2218" s="14" t="s">
        <v>386</v>
      </c>
      <c r="S2218" s="37" cm="1">
        <f t="array" aca="1" ref="S22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5.4195799865416712</v>
      </c>
      <c r="T2218" s="346" t="s">
        <v>2119</v>
      </c>
      <c r="U2218" s="347">
        <f ca="1">S2218/g2lb*MJ2mmBTU</f>
        <v>2.3299999999999996</v>
      </c>
      <c r="V2218" s="347">
        <v>5.4195799865416712</v>
      </c>
      <c r="W2218" s="347">
        <v>2.3299999999999996</v>
      </c>
      <c r="X2218" s="14" t="s">
        <v>12</v>
      </c>
      <c r="Y2218" s="346" t="s">
        <v>416</v>
      </c>
      <c r="Z2218" s="14" t="str">
        <f>IF(ISBLANK(LCI_Table[[#This Row],[Notes for user]])," ",LCI_Table[[#This Row],[Notes for user]])</f>
        <v xml:space="preserve"> </v>
      </c>
      <c r="AA2218" s="14"/>
      <c r="AB2218" s="14"/>
      <c r="AC2218" s="346">
        <f ca="1">LCI_Table[[#This Row],[Default Calculated Value]]-LCI_Table[[#This Row],[Calculated Value]]</f>
        <v>0</v>
      </c>
    </row>
    <row r="2219" spans="1:29" x14ac:dyDescent="0.3">
      <c r="A22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ATJICAOJRC(blank)_Corn_stover_i_BuOH_ATJ_DAPDAP</v>
      </c>
      <c r="B2219" s="14" t="s">
        <v>135</v>
      </c>
      <c r="C2219" s="14" t="s">
        <v>883</v>
      </c>
      <c r="D2219" s="14" t="s">
        <v>194</v>
      </c>
      <c r="E2219" s="14" t="s">
        <v>355</v>
      </c>
      <c r="F2219" s="48" t="s">
        <v>31</v>
      </c>
      <c r="G2219" s="14" t="b">
        <f>OR(LCI_Table[[#This Row],[Feedstock]]="All",LCI_Table[[#This Row],[Feedstock]]=SelectedFeedstock)</f>
        <v>0</v>
      </c>
      <c r="H2219" s="14" t="b">
        <f>OR(LCI_Table[[#This Row],[Conversion]]="All",LCI_Table[[#This Row],[Conversion]]=SelectedConversion)</f>
        <v>0</v>
      </c>
      <c r="I2219" s="14" t="b">
        <f>OR(LCI_Table[[#This Row],[Data Set]]="all",LCI_Table[[#This Row],[Data Set]]=SelectedDataSet)</f>
        <v>0</v>
      </c>
      <c r="J2219" s="14" t="b">
        <f>OR(LCI_Table[[#This Row],[Technology]]="All",LCI_Table[[#This Row],[Technology]]=SelectedTechnology)</f>
        <v>1</v>
      </c>
      <c r="K2219" s="14" t="b">
        <f>OR(LCI_Table[[#This Row],[Data Source]]="All",LCI_Table[[#This Row],[Data Source]]=SelectedDataSource)</f>
        <v>0</v>
      </c>
      <c r="L2219" s="14" t="b">
        <f>TRUE</f>
        <v>1</v>
      </c>
      <c r="M2219" s="14" t="b">
        <f>(LCI_Table[[#This Row],[Dev Notes]]="Do not display")</f>
        <v>0</v>
      </c>
      <c r="N2219" s="14" t="b">
        <f>AND(LCI_Table[[#This Row],[Show Feedstock]:[Conditional]],NOT(LCI_Table[[#This Row],[Hide Row]]))</f>
        <v>0</v>
      </c>
      <c r="O2219" s="14" t="b">
        <f>LCI_Table[[#This Row],[GREET1 Name Range]]=""</f>
        <v>0</v>
      </c>
      <c r="P2219" s="358" t="s">
        <v>1448</v>
      </c>
      <c r="Q2219" s="14" t="s">
        <v>1029</v>
      </c>
      <c r="R2219" s="14" t="s">
        <v>383</v>
      </c>
      <c r="S2219" s="37" cm="1">
        <f t="array" aca="1" ref="S22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0.58149999855597301</v>
      </c>
      <c r="T2219" s="346" t="s">
        <v>2119</v>
      </c>
      <c r="U2219" s="347">
        <f ca="1">S2219/g2lb*MJ2mmBTU</f>
        <v>0.24999999999999981</v>
      </c>
      <c r="V2219" s="347">
        <v>0.58149999855597301</v>
      </c>
      <c r="W2219" s="347">
        <v>0.24999999999999981</v>
      </c>
      <c r="X2219" s="14" t="s">
        <v>12</v>
      </c>
      <c r="Y2219" s="346" t="s">
        <v>416</v>
      </c>
      <c r="Z2219" s="14" t="str">
        <f>IF(ISBLANK(LCI_Table[[#This Row],[Notes for user]])," ",LCI_Table[[#This Row],[Notes for user]])</f>
        <v xml:space="preserve"> </v>
      </c>
      <c r="AA2219" s="14"/>
      <c r="AB2219" s="14"/>
      <c r="AC2219" s="346">
        <f ca="1">LCI_Table[[#This Row],[Default Calculated Value]]-LCI_Table[[#This Row],[Calculated Value]]</f>
        <v>0</v>
      </c>
    </row>
    <row r="2220" spans="1:29" x14ac:dyDescent="0.3">
      <c r="A22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ATJICAOJRC(blank)_Corn_stover_i_BuOH_Fermentation_Natural_gasNatural gas (fermentation)</v>
      </c>
      <c r="B2220" s="14" t="s">
        <v>135</v>
      </c>
      <c r="C2220" s="14" t="s">
        <v>883</v>
      </c>
      <c r="D2220" s="14" t="s">
        <v>194</v>
      </c>
      <c r="E2220" s="14" t="s">
        <v>355</v>
      </c>
      <c r="F2220" s="48" t="s">
        <v>31</v>
      </c>
      <c r="G2220" s="14" t="b">
        <f>OR(LCI_Table[[#This Row],[Feedstock]]="All",LCI_Table[[#This Row],[Feedstock]]=SelectedFeedstock)</f>
        <v>0</v>
      </c>
      <c r="H2220" s="14" t="b">
        <f>OR(LCI_Table[[#This Row],[Conversion]]="All",LCI_Table[[#This Row],[Conversion]]=SelectedConversion)</f>
        <v>0</v>
      </c>
      <c r="I2220" s="14" t="b">
        <f>OR(LCI_Table[[#This Row],[Data Set]]="all",LCI_Table[[#This Row],[Data Set]]=SelectedDataSet)</f>
        <v>0</v>
      </c>
      <c r="J2220" s="14" t="b">
        <f>OR(LCI_Table[[#This Row],[Technology]]="All",LCI_Table[[#This Row],[Technology]]=SelectedTechnology)</f>
        <v>1</v>
      </c>
      <c r="K2220" s="14" t="b">
        <f>OR(LCI_Table[[#This Row],[Data Source]]="All",LCI_Table[[#This Row],[Data Source]]=SelectedDataSource)</f>
        <v>0</v>
      </c>
      <c r="L2220" s="14" t="b">
        <f>TRUE</f>
        <v>1</v>
      </c>
      <c r="M2220" s="14" t="b">
        <f>(LCI_Table[[#This Row],[Dev Notes]]="Do not display")</f>
        <v>0</v>
      </c>
      <c r="N2220" s="14" t="b">
        <f>AND(LCI_Table[[#This Row],[Show Feedstock]:[Conditional]],NOT(LCI_Table[[#This Row],[Hide Row]]))</f>
        <v>0</v>
      </c>
      <c r="O2220" s="14" t="b">
        <f>LCI_Table[[#This Row],[GREET1 Name Range]]=""</f>
        <v>0</v>
      </c>
      <c r="P2220" s="358" t="s">
        <v>1448</v>
      </c>
      <c r="Q2220" s="14" t="s">
        <v>1101</v>
      </c>
      <c r="R2220" s="14" t="s">
        <v>1132</v>
      </c>
      <c r="S2220" s="37" cm="1">
        <f t="array" aca="1" ref="S22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10.172939979654124</v>
      </c>
      <c r="T2220" s="346" t="s">
        <v>2120</v>
      </c>
      <c r="U2220" s="347">
        <f ca="1">S2220*Fuel_Specs!$B$79/mmBTU2MJ</f>
        <v>9.4781712266701366</v>
      </c>
      <c r="V2220" s="347">
        <v>10.172939979654124</v>
      </c>
      <c r="W2220" s="347">
        <v>9.4781712266701366</v>
      </c>
      <c r="X2220" s="14" t="s">
        <v>351</v>
      </c>
      <c r="Y2220" s="346" t="s">
        <v>416</v>
      </c>
      <c r="Z2220" s="14" t="str">
        <f>IF(ISBLANK(LCI_Table[[#This Row],[Notes for user]])," ",LCI_Table[[#This Row],[Notes for user]])</f>
        <v xml:space="preserve"> </v>
      </c>
      <c r="AA2220" s="14"/>
      <c r="AB2220" s="14"/>
      <c r="AC2220" s="346">
        <f ca="1">LCI_Table[[#This Row],[Default Calculated Value]]-LCI_Table[[#This Row],[Calculated Value]]</f>
        <v>0</v>
      </c>
    </row>
    <row r="2221" spans="1:29" x14ac:dyDescent="0.3">
      <c r="A22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ATJICAOJRC(blank)_Corn_stover_i_BuOH_ATJ_HydrogenHydrogen</v>
      </c>
      <c r="B2221" s="14" t="s">
        <v>135</v>
      </c>
      <c r="C2221" s="14" t="s">
        <v>883</v>
      </c>
      <c r="D2221" s="358" t="s">
        <v>194</v>
      </c>
      <c r="E2221" s="14" t="s">
        <v>355</v>
      </c>
      <c r="F2221" s="48" t="s">
        <v>31</v>
      </c>
      <c r="G2221" s="14" t="b">
        <f>OR(LCI_Table[[#This Row],[Feedstock]]="All",LCI_Table[[#This Row],[Feedstock]]=SelectedFeedstock)</f>
        <v>0</v>
      </c>
      <c r="H2221" s="14" t="b">
        <f>OR(LCI_Table[[#This Row],[Conversion]]="All",LCI_Table[[#This Row],[Conversion]]=SelectedConversion)</f>
        <v>0</v>
      </c>
      <c r="I2221" s="14" t="b">
        <f>OR(LCI_Table[[#This Row],[Data Set]]="all",LCI_Table[[#This Row],[Data Set]]=SelectedDataSet)</f>
        <v>0</v>
      </c>
      <c r="J2221" s="14" t="b">
        <f>OR(LCI_Table[[#This Row],[Technology]]="All",LCI_Table[[#This Row],[Technology]]=SelectedTechnology)</f>
        <v>1</v>
      </c>
      <c r="K2221" s="14" t="b">
        <f>OR(LCI_Table[[#This Row],[Data Source]]="All",LCI_Table[[#This Row],[Data Source]]=SelectedDataSource)</f>
        <v>0</v>
      </c>
      <c r="L2221" s="14" t="b">
        <f>TRUE</f>
        <v>1</v>
      </c>
      <c r="M2221" s="14" t="b">
        <f>(LCI_Table[[#This Row],[Dev Notes]]="Do not display")</f>
        <v>0</v>
      </c>
      <c r="N2221" s="14" t="b">
        <f>AND(LCI_Table[[#This Row],[Show Feedstock]:[Conditional]],NOT(LCI_Table[[#This Row],[Hide Row]]))</f>
        <v>0</v>
      </c>
      <c r="O2221" s="14" t="b">
        <f>LCI_Table[[#This Row],[GREET1 Name Range]]=""</f>
        <v>0</v>
      </c>
      <c r="P2221" s="358" t="s">
        <v>1448</v>
      </c>
      <c r="Q2221" s="14" t="s">
        <v>1031</v>
      </c>
      <c r="R2221" s="358" t="s">
        <v>73</v>
      </c>
      <c r="S2221" s="37" cm="1">
        <f t="array" aca="1" ref="S22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82.749478431372594</v>
      </c>
      <c r="T2221" s="346" t="s">
        <v>2120</v>
      </c>
      <c r="U2221" s="347">
        <f ca="1">S2221*Fuel_Specs!$B$81/mmBTU2MJ</f>
        <v>22.745098039215701</v>
      </c>
      <c r="V2221" s="359">
        <v>82.749478431372594</v>
      </c>
      <c r="W2221" s="347">
        <v>22.745098039215701</v>
      </c>
      <c r="X2221" s="360" t="s">
        <v>351</v>
      </c>
      <c r="Y2221" s="346" t="s">
        <v>416</v>
      </c>
      <c r="Z2221" s="14" t="str">
        <f>IF(ISBLANK(LCI_Table[[#This Row],[Notes for user]])," ",LCI_Table[[#This Row],[Notes for user]])</f>
        <v xml:space="preserve"> </v>
      </c>
      <c r="AA2221" s="14"/>
      <c r="AB2221" s="358"/>
      <c r="AC2221" s="346">
        <f ca="1">LCI_Table[[#This Row],[Default Calculated Value]]-LCI_Table[[#This Row],[Calculated Value]]</f>
        <v>0</v>
      </c>
    </row>
    <row r="2222" spans="1:29" x14ac:dyDescent="0.3">
      <c r="A22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ATJICAOJRC(blank)_Corn_stover_i_BuOH_ATJ_Natural_gasNatural gas (ATJ)</v>
      </c>
      <c r="B2222" s="14" t="s">
        <v>135</v>
      </c>
      <c r="C2222" s="14" t="s">
        <v>883</v>
      </c>
      <c r="D2222" s="14" t="s">
        <v>194</v>
      </c>
      <c r="E2222" s="14" t="s">
        <v>355</v>
      </c>
      <c r="F2222" s="48" t="s">
        <v>31</v>
      </c>
      <c r="G2222" s="14" t="b">
        <f>OR(LCI_Table[[#This Row],[Feedstock]]="All",LCI_Table[[#This Row],[Feedstock]]=SelectedFeedstock)</f>
        <v>0</v>
      </c>
      <c r="H2222" s="14" t="b">
        <f>OR(LCI_Table[[#This Row],[Conversion]]="All",LCI_Table[[#This Row],[Conversion]]=SelectedConversion)</f>
        <v>0</v>
      </c>
      <c r="I2222" s="14" t="b">
        <f>OR(LCI_Table[[#This Row],[Data Set]]="all",LCI_Table[[#This Row],[Data Set]]=SelectedDataSet)</f>
        <v>0</v>
      </c>
      <c r="J2222" s="14" t="b">
        <f>OR(LCI_Table[[#This Row],[Technology]]="All",LCI_Table[[#This Row],[Technology]]=SelectedTechnology)</f>
        <v>1</v>
      </c>
      <c r="K2222" s="14" t="b">
        <f>OR(LCI_Table[[#This Row],[Data Source]]="All",LCI_Table[[#This Row],[Data Source]]=SelectedDataSource)</f>
        <v>0</v>
      </c>
      <c r="L2222" s="14" t="b">
        <f>TRUE</f>
        <v>1</v>
      </c>
      <c r="M2222" s="14" t="b">
        <f>(LCI_Table[[#This Row],[Dev Notes]]="Do not display")</f>
        <v>0</v>
      </c>
      <c r="N2222" s="14" t="b">
        <f>AND(LCI_Table[[#This Row],[Show Feedstock]:[Conditional]],NOT(LCI_Table[[#This Row],[Hide Row]]))</f>
        <v>0</v>
      </c>
      <c r="O2222" s="14" t="b">
        <f>LCI_Table[[#This Row],[GREET1 Name Range]]=""</f>
        <v>0</v>
      </c>
      <c r="P2222" s="14" t="s">
        <v>1448</v>
      </c>
      <c r="Q2222" s="14" t="s">
        <v>1030</v>
      </c>
      <c r="R2222" s="14" t="s">
        <v>1369</v>
      </c>
      <c r="S2222" s="37" cm="1">
        <f t="array" aca="1" ref="S22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71.210579857578878</v>
      </c>
      <c r="T2222" s="346" t="s">
        <v>2120</v>
      </c>
      <c r="U2222" s="347">
        <f ca="1">S2222*Fuel_Specs!$B$79/mmBTU2MJ</f>
        <v>66.347198586690979</v>
      </c>
      <c r="V2222" s="347">
        <v>71.210579857578878</v>
      </c>
      <c r="W2222" s="347">
        <v>66.347198586690979</v>
      </c>
      <c r="X2222" s="14" t="s">
        <v>351</v>
      </c>
      <c r="Y2222" s="346" t="s">
        <v>416</v>
      </c>
      <c r="Z2222" s="14" t="str">
        <f>IF(ISBLANK(LCI_Table[[#This Row],[Notes for user]])," ",LCI_Table[[#This Row],[Notes for user]])</f>
        <v xml:space="preserve"> </v>
      </c>
      <c r="AA2222" s="14"/>
      <c r="AB2222" s="14"/>
      <c r="AC2222" s="346">
        <f ca="1">LCI_Table[[#This Row],[Default Calculated Value]]-LCI_Table[[#This Row],[Calculated Value]]</f>
        <v>0</v>
      </c>
    </row>
    <row r="2223" spans="1:29" x14ac:dyDescent="0.3">
      <c r="A22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stoveri-BuOH ATJICAOJRC(blank)_Corn_stover_i_BuOH_ATJ_Allocation_FactorAllocation factor</v>
      </c>
      <c r="B2223" s="14" t="s">
        <v>135</v>
      </c>
      <c r="C2223" s="14" t="s">
        <v>883</v>
      </c>
      <c r="D2223" s="14" t="s">
        <v>194</v>
      </c>
      <c r="E2223" s="14" t="s">
        <v>355</v>
      </c>
      <c r="F2223" s="48" t="s">
        <v>31</v>
      </c>
      <c r="G2223" s="14" t="b">
        <f>OR(LCI_Table[[#This Row],[Feedstock]]="All",LCI_Table[[#This Row],[Feedstock]]=SelectedFeedstock)</f>
        <v>0</v>
      </c>
      <c r="H2223" s="14" t="b">
        <f>OR(LCI_Table[[#This Row],[Conversion]]="All",LCI_Table[[#This Row],[Conversion]]=SelectedConversion)</f>
        <v>0</v>
      </c>
      <c r="I2223" s="14" t="b">
        <f>OR(LCI_Table[[#This Row],[Data Set]]="all",LCI_Table[[#This Row],[Data Set]]=SelectedDataSet)</f>
        <v>0</v>
      </c>
      <c r="J2223" s="14" t="b">
        <f>OR(LCI_Table[[#This Row],[Technology]]="All",LCI_Table[[#This Row],[Technology]]=SelectedTechnology)</f>
        <v>1</v>
      </c>
      <c r="K2223" s="14" t="b">
        <f>OR(LCI_Table[[#This Row],[Data Source]]="All",LCI_Table[[#This Row],[Data Source]]=SelectedDataSource)</f>
        <v>0</v>
      </c>
      <c r="L2223" s="14" t="b">
        <f>TRUE</f>
        <v>1</v>
      </c>
      <c r="M2223" s="14" t="b">
        <f>(LCI_Table[[#This Row],[Dev Notes]]="Do not display")</f>
        <v>0</v>
      </c>
      <c r="N2223" s="14" t="b">
        <f>AND(LCI_Table[[#This Row],[Show Feedstock]:[Conditional]],NOT(LCI_Table[[#This Row],[Hide Row]]))</f>
        <v>0</v>
      </c>
      <c r="O2223" s="14" t="b">
        <f>LCI_Table[[#This Row],[GREET1 Name Range]]=""</f>
        <v>0</v>
      </c>
      <c r="P2223" s="14" t="s">
        <v>1448</v>
      </c>
      <c r="Q2223" s="14" t="s">
        <v>1098</v>
      </c>
      <c r="R2223" s="14" t="s">
        <v>1344</v>
      </c>
      <c r="S2223" s="37" cm="1">
        <f t="array" aca="1" ref="S22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77.08</v>
      </c>
      <c r="T2223" s="346" t="s">
        <v>1345</v>
      </c>
      <c r="U2223" s="347">
        <f ca="1">LCI_Table[[#This Row],[Dashboard Value]]/100</f>
        <v>0.77079999999999993</v>
      </c>
      <c r="V2223" s="347">
        <v>77.08</v>
      </c>
      <c r="W2223" s="347">
        <v>0.77079999999999993</v>
      </c>
      <c r="X2223" s="14"/>
      <c r="Y2223" s="346"/>
      <c r="Z2223" s="14" t="str">
        <f>IF(ISBLANK(LCI_Table[[#This Row],[Notes for user]])," ",LCI_Table[[#This Row],[Notes for user]])</f>
        <v>Energy allocation (there's co-produced electricity)</v>
      </c>
      <c r="AA2223" s="14" t="s">
        <v>1370</v>
      </c>
      <c r="AB2223" s="14"/>
      <c r="AC2223" s="346">
        <f ca="1">LCI_Table[[#This Row],[Default Calculated Value]]-LCI_Table[[#This Row],[Calculated Value]]</f>
        <v>0</v>
      </c>
    </row>
    <row r="2224" spans="1:29" x14ac:dyDescent="0.3">
      <c r="A22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dash_Forest residuei-BuOH ATJICAOMIT(blank)_Yield_Collection</v>
      </c>
      <c r="B2224" s="48" t="s">
        <v>316</v>
      </c>
      <c r="C2224" s="48" t="s">
        <v>883</v>
      </c>
      <c r="D2224" s="48" t="s">
        <v>194</v>
      </c>
      <c r="E2224" s="48" t="s">
        <v>377</v>
      </c>
      <c r="F2224" s="48" t="s">
        <v>31</v>
      </c>
      <c r="G2224" s="14" t="b">
        <f>OR(LCI_Table[[#This Row],[Feedstock]]="All",LCI_Table[[#This Row],[Feedstock]]=SelectedFeedstock)</f>
        <v>0</v>
      </c>
      <c r="H2224" s="14" t="b">
        <f>OR(LCI_Table[[#This Row],[Conversion]]="All",LCI_Table[[#This Row],[Conversion]]=SelectedConversion)</f>
        <v>0</v>
      </c>
      <c r="I2224" s="14" t="b">
        <f>OR(LCI_Table[[#This Row],[Data Set]]="all",LCI_Table[[#This Row],[Data Set]]=SelectedDataSet)</f>
        <v>0</v>
      </c>
      <c r="J2224" s="14" t="b">
        <f>OR(LCI_Table[[#This Row],[Technology]]="All",LCI_Table[[#This Row],[Technology]]=SelectedTechnology)</f>
        <v>1</v>
      </c>
      <c r="K2224" s="14" t="b">
        <f>OR(LCI_Table[[#This Row],[Data Source]]="All",LCI_Table[[#This Row],[Data Source]]=SelectedDataSource)</f>
        <v>0</v>
      </c>
      <c r="L2224" s="14" t="b">
        <f>TRUE</f>
        <v>1</v>
      </c>
      <c r="M2224" s="14" t="b">
        <f>(LCI_Table[[#This Row],[Dev Notes]]="Do not display")</f>
        <v>0</v>
      </c>
      <c r="N2224" s="14" t="b">
        <f>AND(LCI_Table[[#This Row],[Show Feedstock]:[Conditional]],NOT(LCI_Table[[#This Row],[Hide Row]]))</f>
        <v>0</v>
      </c>
      <c r="O2224" s="14" t="b">
        <f>LCI_Table[[#This Row],[GREET1 Name Range]]=""</f>
        <v>1</v>
      </c>
      <c r="P2224" s="48" t="s">
        <v>147</v>
      </c>
      <c r="Q2224" s="14" t="s">
        <v>361</v>
      </c>
      <c r="R2224" s="48" t="s">
        <v>200</v>
      </c>
      <c r="S2224" s="37" cm="1">
        <f t="array" aca="1" ref="S22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0.22304512472924265</v>
      </c>
      <c r="T2224" s="346" t="s">
        <v>2116</v>
      </c>
      <c r="U2224" s="344"/>
      <c r="V2224" s="344">
        <v>0.22304512472924265</v>
      </c>
      <c r="W2224" s="344"/>
      <c r="X2224" s="48" t="s">
        <v>55</v>
      </c>
      <c r="Y2224" s="346" t="s">
        <v>413</v>
      </c>
      <c r="Z2224" s="14" t="str">
        <f>IF(ISBLANK(LCI_Table[[#This Row],[Notes for user]])," ",LCI_Table[[#This Row],[Notes for user]])</f>
        <v xml:space="preserve"> </v>
      </c>
      <c r="AA2224" s="48"/>
      <c r="AB2224" s="345"/>
      <c r="AC2224" s="346">
        <f>LCI_Table[[#This Row],[Default Calculated Value]]-LCI_Table[[#This Row],[Calculated Value]]</f>
        <v>0</v>
      </c>
    </row>
    <row r="2225" spans="1:29" x14ac:dyDescent="0.3">
      <c r="A22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ATJICAOMIT(blank)_ForestResidue_Collection_Residual_oilResidual oil</v>
      </c>
      <c r="B2225" s="14" t="s">
        <v>316</v>
      </c>
      <c r="C2225" s="14" t="s">
        <v>883</v>
      </c>
      <c r="D2225" s="14" t="s">
        <v>194</v>
      </c>
      <c r="E2225" s="14" t="s">
        <v>377</v>
      </c>
      <c r="F2225" s="48" t="s">
        <v>31</v>
      </c>
      <c r="G2225" s="14" t="b">
        <f>OR(LCI_Table[[#This Row],[Feedstock]]="All",LCI_Table[[#This Row],[Feedstock]]=SelectedFeedstock)</f>
        <v>0</v>
      </c>
      <c r="H2225" s="14" t="b">
        <f>OR(LCI_Table[[#This Row],[Conversion]]="All",LCI_Table[[#This Row],[Conversion]]=SelectedConversion)</f>
        <v>0</v>
      </c>
      <c r="I2225" s="14" t="b">
        <f>OR(LCI_Table[[#This Row],[Data Set]]="all",LCI_Table[[#This Row],[Data Set]]=SelectedDataSet)</f>
        <v>0</v>
      </c>
      <c r="J2225" s="14" t="b">
        <f>OR(LCI_Table[[#This Row],[Technology]]="All",LCI_Table[[#This Row],[Technology]]=SelectedTechnology)</f>
        <v>1</v>
      </c>
      <c r="K2225" s="14" t="b">
        <f>OR(LCI_Table[[#This Row],[Data Source]]="All",LCI_Table[[#This Row],[Data Source]]=SelectedDataSource)</f>
        <v>0</v>
      </c>
      <c r="L2225" s="14" t="b">
        <f>TRUE</f>
        <v>1</v>
      </c>
      <c r="M2225" s="14" t="b">
        <f>(LCI_Table[[#This Row],[Dev Notes]]="Do not display")</f>
        <v>0</v>
      </c>
      <c r="N2225" s="14" t="b">
        <f>AND(LCI_Table[[#This Row],[Show Feedstock]:[Conditional]],NOT(LCI_Table[[#This Row],[Hide Row]]))</f>
        <v>0</v>
      </c>
      <c r="O2225" s="14" t="b">
        <f>LCI_Table[[#This Row],[GREET1 Name Range]]=""</f>
        <v>0</v>
      </c>
      <c r="P2225" s="14" t="s">
        <v>147</v>
      </c>
      <c r="Q2225" s="14" t="s">
        <v>651</v>
      </c>
      <c r="R2225" s="14" t="s">
        <v>115</v>
      </c>
      <c r="S2225" s="37" cm="1">
        <f t="array" aca="1" ref="S22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25" s="346" t="s">
        <v>1484</v>
      </c>
      <c r="U2225" s="347">
        <f ca="1">S2225*Fuel_Specs!$B$28/S2224</f>
        <v>0</v>
      </c>
      <c r="V2225" s="347">
        <v>0</v>
      </c>
      <c r="W2225" s="347">
        <v>0</v>
      </c>
      <c r="X2225" s="14" t="s">
        <v>5</v>
      </c>
      <c r="Y2225" s="346" t="s">
        <v>413</v>
      </c>
      <c r="Z2225" s="14" t="str">
        <f>IF(ISBLANK(LCI_Table[[#This Row],[Notes for user]])," ",LCI_Table[[#This Row],[Notes for user]])</f>
        <v xml:space="preserve"> </v>
      </c>
      <c r="AA2225" s="14"/>
      <c r="AB2225" s="14"/>
      <c r="AC2225" s="346">
        <f ca="1">LCI_Table[[#This Row],[Default Calculated Value]]-LCI_Table[[#This Row],[Calculated Value]]</f>
        <v>0</v>
      </c>
    </row>
    <row r="2226" spans="1:29" x14ac:dyDescent="0.3">
      <c r="A22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ATJICAOMIT(blank)_ForestResidue_Collection_DieselDiesel</v>
      </c>
      <c r="B2226" s="14" t="s">
        <v>316</v>
      </c>
      <c r="C2226" s="14" t="s">
        <v>883</v>
      </c>
      <c r="D2226" s="14" t="s">
        <v>194</v>
      </c>
      <c r="E2226" s="14" t="s">
        <v>377</v>
      </c>
      <c r="F2226" s="48" t="s">
        <v>31</v>
      </c>
      <c r="G2226" s="14" t="b">
        <f>OR(LCI_Table[[#This Row],[Feedstock]]="All",LCI_Table[[#This Row],[Feedstock]]=SelectedFeedstock)</f>
        <v>0</v>
      </c>
      <c r="H2226" s="14" t="b">
        <f>OR(LCI_Table[[#This Row],[Conversion]]="All",LCI_Table[[#This Row],[Conversion]]=SelectedConversion)</f>
        <v>0</v>
      </c>
      <c r="I2226" s="14" t="b">
        <f>OR(LCI_Table[[#This Row],[Data Set]]="all",LCI_Table[[#This Row],[Data Set]]=SelectedDataSet)</f>
        <v>0</v>
      </c>
      <c r="J2226" s="14" t="b">
        <f>OR(LCI_Table[[#This Row],[Technology]]="All",LCI_Table[[#This Row],[Technology]]=SelectedTechnology)</f>
        <v>1</v>
      </c>
      <c r="K2226" s="14" t="b">
        <f>OR(LCI_Table[[#This Row],[Data Source]]="All",LCI_Table[[#This Row],[Data Source]]=SelectedDataSource)</f>
        <v>0</v>
      </c>
      <c r="L2226" s="14" t="b">
        <f>TRUE</f>
        <v>1</v>
      </c>
      <c r="M2226" s="14" t="b">
        <f>(LCI_Table[[#This Row],[Dev Notes]]="Do not display")</f>
        <v>0</v>
      </c>
      <c r="N2226" s="14" t="b">
        <f>AND(LCI_Table[[#This Row],[Show Feedstock]:[Conditional]],NOT(LCI_Table[[#This Row],[Hide Row]]))</f>
        <v>0</v>
      </c>
      <c r="O2226" s="14" t="b">
        <f>LCI_Table[[#This Row],[GREET1 Name Range]]=""</f>
        <v>0</v>
      </c>
      <c r="P2226" s="14" t="s">
        <v>147</v>
      </c>
      <c r="Q2226" s="14" t="s">
        <v>646</v>
      </c>
      <c r="R2226" s="14" t="s">
        <v>106</v>
      </c>
      <c r="S2226" s="37" cm="1">
        <f t="array" aca="1" ref="S22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0.229521160483837</v>
      </c>
      <c r="T2226" s="346" t="s">
        <v>1484</v>
      </c>
      <c r="U2226" s="347">
        <f ca="1">S2226*Fuel_Specs!$B$19/S2224</f>
        <v>132179.49999999971</v>
      </c>
      <c r="V2226" s="347">
        <v>0.229521160483837</v>
      </c>
      <c r="W2226" s="347">
        <v>132179.49999999971</v>
      </c>
      <c r="X2226" s="14" t="s">
        <v>5</v>
      </c>
      <c r="Y2226" s="346" t="s">
        <v>413</v>
      </c>
      <c r="Z2226" s="14" t="str">
        <f>IF(ISBLANK(LCI_Table[[#This Row],[Notes for user]])," ",LCI_Table[[#This Row],[Notes for user]])</f>
        <v xml:space="preserve"> </v>
      </c>
      <c r="AA2226" s="14"/>
      <c r="AB2226" s="14"/>
      <c r="AC2226" s="346">
        <f ca="1">LCI_Table[[#This Row],[Default Calculated Value]]-LCI_Table[[#This Row],[Calculated Value]]</f>
        <v>0</v>
      </c>
    </row>
    <row r="2227" spans="1:29" x14ac:dyDescent="0.3">
      <c r="A22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ATJICAOMIT(blank)_ForestResidue_Collection_GasolineGasoline</v>
      </c>
      <c r="B2227" s="14" t="s">
        <v>316</v>
      </c>
      <c r="C2227" s="14" t="s">
        <v>883</v>
      </c>
      <c r="D2227" s="14" t="s">
        <v>194</v>
      </c>
      <c r="E2227" s="14" t="s">
        <v>377</v>
      </c>
      <c r="F2227" s="48" t="s">
        <v>31</v>
      </c>
      <c r="G2227" s="14" t="b">
        <f>OR(LCI_Table[[#This Row],[Feedstock]]="All",LCI_Table[[#This Row],[Feedstock]]=SelectedFeedstock)</f>
        <v>0</v>
      </c>
      <c r="H2227" s="14" t="b">
        <f>OR(LCI_Table[[#This Row],[Conversion]]="All",LCI_Table[[#This Row],[Conversion]]=SelectedConversion)</f>
        <v>0</v>
      </c>
      <c r="I2227" s="14" t="b">
        <f>OR(LCI_Table[[#This Row],[Data Set]]="all",LCI_Table[[#This Row],[Data Set]]=SelectedDataSet)</f>
        <v>0</v>
      </c>
      <c r="J2227" s="14" t="b">
        <f>OR(LCI_Table[[#This Row],[Technology]]="All",LCI_Table[[#This Row],[Technology]]=SelectedTechnology)</f>
        <v>1</v>
      </c>
      <c r="K2227" s="14" t="b">
        <f>OR(LCI_Table[[#This Row],[Data Source]]="All",LCI_Table[[#This Row],[Data Source]]=SelectedDataSource)</f>
        <v>0</v>
      </c>
      <c r="L2227" s="14" t="b">
        <f>TRUE</f>
        <v>1</v>
      </c>
      <c r="M2227" s="14" t="b">
        <f>(LCI_Table[[#This Row],[Dev Notes]]="Do not display")</f>
        <v>0</v>
      </c>
      <c r="N2227" s="14" t="b">
        <f>AND(LCI_Table[[#This Row],[Show Feedstock]:[Conditional]],NOT(LCI_Table[[#This Row],[Hide Row]]))</f>
        <v>0</v>
      </c>
      <c r="O2227" s="14" t="b">
        <f>LCI_Table[[#This Row],[GREET1 Name Range]]=""</f>
        <v>0</v>
      </c>
      <c r="P2227" s="14" t="s">
        <v>147</v>
      </c>
      <c r="Q2227" s="14" t="s">
        <v>648</v>
      </c>
      <c r="R2227" s="14" t="s">
        <v>107</v>
      </c>
      <c r="S2227" s="37" cm="1">
        <f t="array" aca="1" ref="S22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27" s="346" t="s">
        <v>1484</v>
      </c>
      <c r="U2227" s="347">
        <f ca="1">S2227*Fuel_Specs!$B$15/S2224</f>
        <v>0</v>
      </c>
      <c r="V2227" s="347">
        <v>0</v>
      </c>
      <c r="W2227" s="347">
        <v>0</v>
      </c>
      <c r="X2227" s="14" t="s">
        <v>5</v>
      </c>
      <c r="Y2227" s="346" t="s">
        <v>413</v>
      </c>
      <c r="Z2227" s="14" t="str">
        <f>IF(ISBLANK(LCI_Table[[#This Row],[Notes for user]])," ",LCI_Table[[#This Row],[Notes for user]])</f>
        <v xml:space="preserve"> </v>
      </c>
      <c r="AA2227" s="14"/>
      <c r="AB2227" s="14"/>
      <c r="AC2227" s="346">
        <f ca="1">LCI_Table[[#This Row],[Default Calculated Value]]-LCI_Table[[#This Row],[Calculated Value]]</f>
        <v>0</v>
      </c>
    </row>
    <row r="2228" spans="1:29" x14ac:dyDescent="0.3">
      <c r="A22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ATJICAOMIT(blank)_ForestResidue_Collection_Natural_gasNatural gas</v>
      </c>
      <c r="B2228" s="14" t="s">
        <v>316</v>
      </c>
      <c r="C2228" s="14" t="s">
        <v>883</v>
      </c>
      <c r="D2228" s="14" t="s">
        <v>194</v>
      </c>
      <c r="E2228" s="14" t="s">
        <v>377</v>
      </c>
      <c r="F2228" s="48" t="s">
        <v>31</v>
      </c>
      <c r="G2228" s="14" t="b">
        <f>OR(LCI_Table[[#This Row],[Feedstock]]="All",LCI_Table[[#This Row],[Feedstock]]=SelectedFeedstock)</f>
        <v>0</v>
      </c>
      <c r="H2228" s="14" t="b">
        <f>OR(LCI_Table[[#This Row],[Conversion]]="All",LCI_Table[[#This Row],[Conversion]]=SelectedConversion)</f>
        <v>0</v>
      </c>
      <c r="I2228" s="14" t="b">
        <f>OR(LCI_Table[[#This Row],[Data Set]]="all",LCI_Table[[#This Row],[Data Set]]=SelectedDataSet)</f>
        <v>0</v>
      </c>
      <c r="J2228" s="14" t="b">
        <f>OR(LCI_Table[[#This Row],[Technology]]="All",LCI_Table[[#This Row],[Technology]]=SelectedTechnology)</f>
        <v>1</v>
      </c>
      <c r="K2228" s="14" t="b">
        <f>OR(LCI_Table[[#This Row],[Data Source]]="All",LCI_Table[[#This Row],[Data Source]]=SelectedDataSource)</f>
        <v>0</v>
      </c>
      <c r="L2228" s="14" t="b">
        <f>TRUE</f>
        <v>1</v>
      </c>
      <c r="M2228" s="14" t="b">
        <f>(LCI_Table[[#This Row],[Dev Notes]]="Do not display")</f>
        <v>0</v>
      </c>
      <c r="N2228" s="14" t="b">
        <f>AND(LCI_Table[[#This Row],[Show Feedstock]:[Conditional]],NOT(LCI_Table[[#This Row],[Hide Row]]))</f>
        <v>0</v>
      </c>
      <c r="O2228" s="14" t="b">
        <f>LCI_Table[[#This Row],[GREET1 Name Range]]=""</f>
        <v>0</v>
      </c>
      <c r="P2228" s="14" t="s">
        <v>147</v>
      </c>
      <c r="Q2228" s="14" t="s">
        <v>650</v>
      </c>
      <c r="R2228" s="14" t="s">
        <v>108</v>
      </c>
      <c r="S2228" s="37" cm="1">
        <f t="array" aca="1" ref="S22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28" s="346" t="s">
        <v>2109</v>
      </c>
      <c r="U2228" s="347">
        <f ca="1">S2228*Fuel_Specs!$B$79/S2224</f>
        <v>0</v>
      </c>
      <c r="V2228" s="347">
        <v>0</v>
      </c>
      <c r="W2228" s="347">
        <v>0</v>
      </c>
      <c r="X2228" s="14" t="s">
        <v>351</v>
      </c>
      <c r="Y2228" s="346" t="s">
        <v>413</v>
      </c>
      <c r="Z2228" s="14" t="str">
        <f>IF(ISBLANK(LCI_Table[[#This Row],[Notes for user]])," ",LCI_Table[[#This Row],[Notes for user]])</f>
        <v xml:space="preserve"> </v>
      </c>
      <c r="AA2228" s="14"/>
      <c r="AB2228" s="14"/>
      <c r="AC2228" s="346">
        <f ca="1">LCI_Table[[#This Row],[Default Calculated Value]]-LCI_Table[[#This Row],[Calculated Value]]</f>
        <v>0</v>
      </c>
    </row>
    <row r="2229" spans="1:29" x14ac:dyDescent="0.3">
      <c r="A22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ATJICAOMIT(blank)_ForestResidue_Collection_CoalCoal</v>
      </c>
      <c r="B2229" s="14" t="s">
        <v>316</v>
      </c>
      <c r="C2229" s="14" t="s">
        <v>883</v>
      </c>
      <c r="D2229" s="14" t="s">
        <v>194</v>
      </c>
      <c r="E2229" s="14" t="s">
        <v>377</v>
      </c>
      <c r="F2229" s="48" t="s">
        <v>31</v>
      </c>
      <c r="G2229" s="14" t="b">
        <f>OR(LCI_Table[[#This Row],[Feedstock]]="All",LCI_Table[[#This Row],[Feedstock]]=SelectedFeedstock)</f>
        <v>0</v>
      </c>
      <c r="H2229" s="14" t="b">
        <f>OR(LCI_Table[[#This Row],[Conversion]]="All",LCI_Table[[#This Row],[Conversion]]=SelectedConversion)</f>
        <v>0</v>
      </c>
      <c r="I2229" s="14" t="b">
        <f>OR(LCI_Table[[#This Row],[Data Set]]="all",LCI_Table[[#This Row],[Data Set]]=SelectedDataSet)</f>
        <v>0</v>
      </c>
      <c r="J2229" s="14" t="b">
        <f>OR(LCI_Table[[#This Row],[Technology]]="All",LCI_Table[[#This Row],[Technology]]=SelectedTechnology)</f>
        <v>1</v>
      </c>
      <c r="K2229" s="14" t="b">
        <f>OR(LCI_Table[[#This Row],[Data Source]]="All",LCI_Table[[#This Row],[Data Source]]=SelectedDataSource)</f>
        <v>0</v>
      </c>
      <c r="L2229" s="14" t="b">
        <f>TRUE</f>
        <v>1</v>
      </c>
      <c r="M2229" s="14" t="b">
        <f>(LCI_Table[[#This Row],[Dev Notes]]="Do not display")</f>
        <v>0</v>
      </c>
      <c r="N2229" s="14" t="b">
        <f>AND(LCI_Table[[#This Row],[Show Feedstock]:[Conditional]],NOT(LCI_Table[[#This Row],[Hide Row]]))</f>
        <v>0</v>
      </c>
      <c r="O2229" s="14" t="b">
        <f>LCI_Table[[#This Row],[GREET1 Name Range]]=""</f>
        <v>0</v>
      </c>
      <c r="P2229" s="14" t="s">
        <v>147</v>
      </c>
      <c r="Q2229" s="14" t="s">
        <v>645</v>
      </c>
      <c r="R2229" s="14" t="s">
        <v>9</v>
      </c>
      <c r="S2229" s="37" cm="1">
        <f t="array" aca="1" ref="S22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29" s="346" t="s">
        <v>2110</v>
      </c>
      <c r="U2229" s="347">
        <f ca="1">S2229/S2224</f>
        <v>0</v>
      </c>
      <c r="V2229" s="347">
        <v>0</v>
      </c>
      <c r="W2229" s="347">
        <v>0</v>
      </c>
      <c r="X2229" s="14" t="s">
        <v>117</v>
      </c>
      <c r="Y2229" s="346" t="s">
        <v>413</v>
      </c>
      <c r="Z2229" s="14" t="str">
        <f>IF(ISBLANK(LCI_Table[[#This Row],[Notes for user]])," ",LCI_Table[[#This Row],[Notes for user]])</f>
        <v xml:space="preserve"> </v>
      </c>
      <c r="AA2229" s="14"/>
      <c r="AB2229" s="14"/>
      <c r="AC2229" s="346">
        <f ca="1">LCI_Table[[#This Row],[Default Calculated Value]]-LCI_Table[[#This Row],[Calculated Value]]</f>
        <v>0</v>
      </c>
    </row>
    <row r="2230" spans="1:29" x14ac:dyDescent="0.3">
      <c r="A22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ATJICAOMIT(blank)_ForestResidue_Collection_LPGLPG</v>
      </c>
      <c r="B2230" s="14" t="s">
        <v>316</v>
      </c>
      <c r="C2230" s="14" t="s">
        <v>883</v>
      </c>
      <c r="D2230" s="14" t="s">
        <v>194</v>
      </c>
      <c r="E2230" s="14" t="s">
        <v>377</v>
      </c>
      <c r="F2230" s="48" t="s">
        <v>31</v>
      </c>
      <c r="G2230" s="14" t="b">
        <f>OR(LCI_Table[[#This Row],[Feedstock]]="All",LCI_Table[[#This Row],[Feedstock]]=SelectedFeedstock)</f>
        <v>0</v>
      </c>
      <c r="H2230" s="14" t="b">
        <f>OR(LCI_Table[[#This Row],[Conversion]]="All",LCI_Table[[#This Row],[Conversion]]=SelectedConversion)</f>
        <v>0</v>
      </c>
      <c r="I2230" s="14" t="b">
        <f>OR(LCI_Table[[#This Row],[Data Set]]="all",LCI_Table[[#This Row],[Data Set]]=SelectedDataSet)</f>
        <v>0</v>
      </c>
      <c r="J2230" s="14" t="b">
        <f>OR(LCI_Table[[#This Row],[Technology]]="All",LCI_Table[[#This Row],[Technology]]=SelectedTechnology)</f>
        <v>1</v>
      </c>
      <c r="K2230" s="14" t="b">
        <f>OR(LCI_Table[[#This Row],[Data Source]]="All",LCI_Table[[#This Row],[Data Source]]=SelectedDataSource)</f>
        <v>0</v>
      </c>
      <c r="L2230" s="14" t="b">
        <f>TRUE</f>
        <v>1</v>
      </c>
      <c r="M2230" s="14" t="b">
        <f>(LCI_Table[[#This Row],[Dev Notes]]="Do not display")</f>
        <v>0</v>
      </c>
      <c r="N2230" s="14" t="b">
        <f>AND(LCI_Table[[#This Row],[Show Feedstock]:[Conditional]],NOT(LCI_Table[[#This Row],[Hide Row]]))</f>
        <v>0</v>
      </c>
      <c r="O2230" s="14" t="b">
        <f>LCI_Table[[#This Row],[GREET1 Name Range]]=""</f>
        <v>0</v>
      </c>
      <c r="P2230" s="14" t="s">
        <v>147</v>
      </c>
      <c r="Q2230" s="14" t="s">
        <v>649</v>
      </c>
      <c r="R2230" s="14" t="s">
        <v>109</v>
      </c>
      <c r="S2230" s="37" cm="1">
        <f t="array" aca="1" ref="S22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30" s="346" t="s">
        <v>1484</v>
      </c>
      <c r="U2230" s="347">
        <f ca="1">S2230*Fuel_Specs!$B$35/S2224</f>
        <v>0</v>
      </c>
      <c r="V2230" s="347">
        <v>0</v>
      </c>
      <c r="W2230" s="347">
        <v>0</v>
      </c>
      <c r="X2230" s="14" t="s">
        <v>5</v>
      </c>
      <c r="Y2230" s="346" t="s">
        <v>413</v>
      </c>
      <c r="Z2230" s="14" t="str">
        <f>IF(ISBLANK(LCI_Table[[#This Row],[Notes for user]])," ",LCI_Table[[#This Row],[Notes for user]])</f>
        <v xml:space="preserve"> </v>
      </c>
      <c r="AA2230" s="14"/>
      <c r="AB2230" s="14"/>
      <c r="AC2230" s="346">
        <f ca="1">LCI_Table[[#This Row],[Default Calculated Value]]-LCI_Table[[#This Row],[Calculated Value]]</f>
        <v>0</v>
      </c>
    </row>
    <row r="2231" spans="1:29" x14ac:dyDescent="0.3">
      <c r="A22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ATJICAOMIT(blank)_ForestResidue_Collection_ElectricityElectricity</v>
      </c>
      <c r="B2231" s="14" t="s">
        <v>316</v>
      </c>
      <c r="C2231" s="14" t="s">
        <v>883</v>
      </c>
      <c r="D2231" s="14" t="s">
        <v>194</v>
      </c>
      <c r="E2231" s="14" t="s">
        <v>377</v>
      </c>
      <c r="F2231" s="48" t="s">
        <v>31</v>
      </c>
      <c r="G2231" s="14" t="b">
        <f>OR(LCI_Table[[#This Row],[Feedstock]]="All",LCI_Table[[#This Row],[Feedstock]]=SelectedFeedstock)</f>
        <v>0</v>
      </c>
      <c r="H2231" s="14" t="b">
        <f>OR(LCI_Table[[#This Row],[Conversion]]="All",LCI_Table[[#This Row],[Conversion]]=SelectedConversion)</f>
        <v>0</v>
      </c>
      <c r="I2231" s="14" t="b">
        <f>OR(LCI_Table[[#This Row],[Data Set]]="all",LCI_Table[[#This Row],[Data Set]]=SelectedDataSet)</f>
        <v>0</v>
      </c>
      <c r="J2231" s="14" t="b">
        <f>OR(LCI_Table[[#This Row],[Technology]]="All",LCI_Table[[#This Row],[Technology]]=SelectedTechnology)</f>
        <v>1</v>
      </c>
      <c r="K2231" s="14" t="b">
        <f>OR(LCI_Table[[#This Row],[Data Source]]="All",LCI_Table[[#This Row],[Data Source]]=SelectedDataSource)</f>
        <v>0</v>
      </c>
      <c r="L2231" s="14" t="b">
        <f>TRUE</f>
        <v>1</v>
      </c>
      <c r="M2231" s="14" t="b">
        <f>(LCI_Table[[#This Row],[Dev Notes]]="Do not display")</f>
        <v>0</v>
      </c>
      <c r="N2231" s="14" t="b">
        <f>AND(LCI_Table[[#This Row],[Show Feedstock]:[Conditional]],NOT(LCI_Table[[#This Row],[Hide Row]]))</f>
        <v>0</v>
      </c>
      <c r="O2231" s="14" t="b">
        <f>LCI_Table[[#This Row],[GREET1 Name Range]]=""</f>
        <v>0</v>
      </c>
      <c r="P2231" s="14" t="s">
        <v>147</v>
      </c>
      <c r="Q2231" s="14" t="s">
        <v>647</v>
      </c>
      <c r="R2231" s="348" t="s">
        <v>110</v>
      </c>
      <c r="S2231" s="37" cm="1">
        <f t="array" aca="1" ref="S22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31" s="346" t="s">
        <v>1561</v>
      </c>
      <c r="U2231" s="347">
        <f ca="1">S2231/BTU2kWh/S2224</f>
        <v>0</v>
      </c>
      <c r="V2231" s="347">
        <v>0</v>
      </c>
      <c r="W2231" s="347">
        <v>0</v>
      </c>
      <c r="X2231" s="14" t="s">
        <v>51</v>
      </c>
      <c r="Y2231" s="346" t="s">
        <v>413</v>
      </c>
      <c r="Z2231" s="14" t="str">
        <f>IF(ISBLANK(LCI_Table[[#This Row],[Notes for user]])," ",LCI_Table[[#This Row],[Notes for user]])</f>
        <v xml:space="preserve"> </v>
      </c>
      <c r="AA2231" s="14"/>
      <c r="AB2231" s="14"/>
      <c r="AC2231" s="346">
        <f ca="1">LCI_Table[[#This Row],[Default Calculated Value]]-LCI_Table[[#This Row],[Calculated Value]]</f>
        <v>0</v>
      </c>
    </row>
    <row r="2232" spans="1:29" x14ac:dyDescent="0.3">
      <c r="A22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ATJICAOMIT(blank)_Forest_residue_i_BuOH_ATJ_Forest_residueForest residue</v>
      </c>
      <c r="B2232" s="14" t="s">
        <v>316</v>
      </c>
      <c r="C2232" s="14" t="s">
        <v>883</v>
      </c>
      <c r="D2232" s="14" t="s">
        <v>194</v>
      </c>
      <c r="E2232" s="14" t="s">
        <v>377</v>
      </c>
      <c r="F2232" s="48" t="s">
        <v>31</v>
      </c>
      <c r="G2232" s="14" t="b">
        <f>OR(LCI_Table[[#This Row],[Feedstock]]="All",LCI_Table[[#This Row],[Feedstock]]=SelectedFeedstock)</f>
        <v>0</v>
      </c>
      <c r="H2232" s="14" t="b">
        <f>OR(LCI_Table[[#This Row],[Conversion]]="All",LCI_Table[[#This Row],[Conversion]]=SelectedConversion)</f>
        <v>0</v>
      </c>
      <c r="I2232" s="14" t="b">
        <f>OR(LCI_Table[[#This Row],[Data Set]]="all",LCI_Table[[#This Row],[Data Set]]=SelectedDataSet)</f>
        <v>0</v>
      </c>
      <c r="J2232" s="14" t="b">
        <f>OR(LCI_Table[[#This Row],[Technology]]="All",LCI_Table[[#This Row],[Technology]]=SelectedTechnology)</f>
        <v>1</v>
      </c>
      <c r="K2232" s="14" t="b">
        <f>OR(LCI_Table[[#This Row],[Data Source]]="All",LCI_Table[[#This Row],[Data Source]]=SelectedDataSource)</f>
        <v>0</v>
      </c>
      <c r="L2232" s="14" t="b">
        <f>TRUE</f>
        <v>1</v>
      </c>
      <c r="M2232" s="14" t="b">
        <f>(LCI_Table[[#This Row],[Dev Notes]]="Do not display")</f>
        <v>0</v>
      </c>
      <c r="N2232" s="14" t="b">
        <f>AND(LCI_Table[[#This Row],[Show Feedstock]:[Conditional]],NOT(LCI_Table[[#This Row],[Hide Row]]))</f>
        <v>0</v>
      </c>
      <c r="O2232" s="14" t="b">
        <f>LCI_Table[[#This Row],[GREET1 Name Range]]=""</f>
        <v>0</v>
      </c>
      <c r="P2232" s="358" t="s">
        <v>1448</v>
      </c>
      <c r="Q2232" s="14" t="s">
        <v>1032</v>
      </c>
      <c r="R2232" s="14" t="s">
        <v>316</v>
      </c>
      <c r="S2232" s="37" cm="1">
        <f t="array" aca="1" ref="S22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352.62159912434225</v>
      </c>
      <c r="T2232" s="346" t="s">
        <v>2119</v>
      </c>
      <c r="U2232" s="347">
        <f ca="1">S2232/kg2lb*MJ2mmBTU</f>
        <v>0.15160000000000001</v>
      </c>
      <c r="V2232" s="347">
        <v>352.62159912434225</v>
      </c>
      <c r="W2232" s="347">
        <v>0.15160000000000001</v>
      </c>
      <c r="X2232" s="14" t="s">
        <v>12</v>
      </c>
      <c r="Y2232" s="346" t="s">
        <v>416</v>
      </c>
      <c r="Z2232" s="14" t="str">
        <f>IF(ISBLANK(LCI_Table[[#This Row],[Notes for user]])," ",LCI_Table[[#This Row],[Notes for user]])</f>
        <v xml:space="preserve"> </v>
      </c>
      <c r="AA2232" s="14"/>
      <c r="AB2232" s="358"/>
      <c r="AC2232" s="346">
        <f ca="1">LCI_Table[[#This Row],[Default Calculated Value]]-LCI_Table[[#This Row],[Calculated Value]]</f>
        <v>0</v>
      </c>
    </row>
    <row r="2233" spans="1:29" x14ac:dyDescent="0.3">
      <c r="A22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ATJICAOMIT(blank)_Forest_residue_i_BuOH_ATJ_CellulaseCellulase</v>
      </c>
      <c r="B2233" s="14" t="s">
        <v>316</v>
      </c>
      <c r="C2233" s="14" t="s">
        <v>883</v>
      </c>
      <c r="D2233" s="14" t="s">
        <v>194</v>
      </c>
      <c r="E2233" s="14" t="s">
        <v>377</v>
      </c>
      <c r="F2233" s="48" t="s">
        <v>31</v>
      </c>
      <c r="G2233" s="14" t="b">
        <f>OR(LCI_Table[[#This Row],[Feedstock]]="All",LCI_Table[[#This Row],[Feedstock]]=SelectedFeedstock)</f>
        <v>0</v>
      </c>
      <c r="H2233" s="14" t="b">
        <f>OR(LCI_Table[[#This Row],[Conversion]]="All",LCI_Table[[#This Row],[Conversion]]=SelectedConversion)</f>
        <v>0</v>
      </c>
      <c r="I2233" s="14" t="b">
        <f>OR(LCI_Table[[#This Row],[Data Set]]="all",LCI_Table[[#This Row],[Data Set]]=SelectedDataSet)</f>
        <v>0</v>
      </c>
      <c r="J2233" s="14" t="b">
        <f>OR(LCI_Table[[#This Row],[Technology]]="All",LCI_Table[[#This Row],[Technology]]=SelectedTechnology)</f>
        <v>1</v>
      </c>
      <c r="K2233" s="14" t="b">
        <f>OR(LCI_Table[[#This Row],[Data Source]]="All",LCI_Table[[#This Row],[Data Source]]=SelectedDataSource)</f>
        <v>0</v>
      </c>
      <c r="L2233" s="14" t="b">
        <f>TRUE</f>
        <v>1</v>
      </c>
      <c r="M2233" s="14" t="b">
        <f>(LCI_Table[[#This Row],[Dev Notes]]="Do not display")</f>
        <v>0</v>
      </c>
      <c r="N2233" s="14" t="b">
        <f>AND(LCI_Table[[#This Row],[Show Feedstock]:[Conditional]],NOT(LCI_Table[[#This Row],[Hide Row]]))</f>
        <v>0</v>
      </c>
      <c r="O2233" s="14" t="b">
        <f>LCI_Table[[#This Row],[GREET1 Name Range]]=""</f>
        <v>0</v>
      </c>
      <c r="P2233" s="358" t="s">
        <v>1448</v>
      </c>
      <c r="Q2233" s="14" t="s">
        <v>1033</v>
      </c>
      <c r="R2233" s="14" t="s">
        <v>402</v>
      </c>
      <c r="S2233" s="37" cm="1">
        <f t="array" aca="1" ref="S22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3.1689423921306328</v>
      </c>
      <c r="T2233" s="346" t="s">
        <v>2119</v>
      </c>
      <c r="U2233" s="347">
        <f t="shared" ref="U2233" ca="1" si="146">S2233/g2lb*MJ2mmBTU</f>
        <v>1.3624000000000001</v>
      </c>
      <c r="V2233" s="347">
        <v>3.1689423921306328</v>
      </c>
      <c r="W2233" s="347">
        <v>1.3624000000000001</v>
      </c>
      <c r="X2233" s="14" t="s">
        <v>12</v>
      </c>
      <c r="Y2233" s="346" t="s">
        <v>416</v>
      </c>
      <c r="Z2233" s="14" t="str">
        <f>IF(ISBLANK(LCI_Table[[#This Row],[Notes for user]])," ",LCI_Table[[#This Row],[Notes for user]])</f>
        <v xml:space="preserve"> </v>
      </c>
      <c r="AA2233" s="14"/>
      <c r="AB2233" s="14"/>
      <c r="AC2233" s="346">
        <f ca="1">LCI_Table[[#This Row],[Default Calculated Value]]-LCI_Table[[#This Row],[Calculated Value]]</f>
        <v>0</v>
      </c>
    </row>
    <row r="2234" spans="1:29" x14ac:dyDescent="0.3">
      <c r="A22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ATJICAOMIT(blank)_Forest_residue_i_BuOH_ATJ_YeastYeast</v>
      </c>
      <c r="B2234" s="14" t="s">
        <v>316</v>
      </c>
      <c r="C2234" s="14" t="s">
        <v>883</v>
      </c>
      <c r="D2234" s="14" t="s">
        <v>194</v>
      </c>
      <c r="E2234" s="14" t="s">
        <v>377</v>
      </c>
      <c r="F2234" s="48" t="s">
        <v>31</v>
      </c>
      <c r="G2234" s="14" t="b">
        <f>OR(LCI_Table[[#This Row],[Feedstock]]="All",LCI_Table[[#This Row],[Feedstock]]=SelectedFeedstock)</f>
        <v>0</v>
      </c>
      <c r="H2234" s="14" t="b">
        <f>OR(LCI_Table[[#This Row],[Conversion]]="All",LCI_Table[[#This Row],[Conversion]]=SelectedConversion)</f>
        <v>0</v>
      </c>
      <c r="I2234" s="14" t="b">
        <f>OR(LCI_Table[[#This Row],[Data Set]]="all",LCI_Table[[#This Row],[Data Set]]=SelectedDataSet)</f>
        <v>0</v>
      </c>
      <c r="J2234" s="14" t="b">
        <f>OR(LCI_Table[[#This Row],[Technology]]="All",LCI_Table[[#This Row],[Technology]]=SelectedTechnology)</f>
        <v>1</v>
      </c>
      <c r="K2234" s="14" t="b">
        <f>OR(LCI_Table[[#This Row],[Data Source]]="All",LCI_Table[[#This Row],[Data Source]]=SelectedDataSource)</f>
        <v>0</v>
      </c>
      <c r="L2234" s="14" t="b">
        <f>TRUE</f>
        <v>1</v>
      </c>
      <c r="M2234" s="14" t="b">
        <f>(LCI_Table[[#This Row],[Dev Notes]]="Do not display")</f>
        <v>0</v>
      </c>
      <c r="N2234" s="14" t="b">
        <f>AND(LCI_Table[[#This Row],[Show Feedstock]:[Conditional]],NOT(LCI_Table[[#This Row],[Hide Row]]))</f>
        <v>0</v>
      </c>
      <c r="O2234" s="14" t="b">
        <f>LCI_Table[[#This Row],[GREET1 Name Range]]=""</f>
        <v>0</v>
      </c>
      <c r="P2234" s="358" t="s">
        <v>1448</v>
      </c>
      <c r="Q2234" s="14" t="s">
        <v>1034</v>
      </c>
      <c r="R2234" s="14" t="s">
        <v>145</v>
      </c>
      <c r="S2234" s="37" cm="1">
        <f t="array" aca="1" ref="S22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0.7089647982394427</v>
      </c>
      <c r="T2234" s="346" t="s">
        <v>2119</v>
      </c>
      <c r="U2234" s="347">
        <f t="shared" ref="U2234" ca="1" si="147">S2234/g2lb*MJ2mmBTU</f>
        <v>0.30480000000000002</v>
      </c>
      <c r="V2234" s="347">
        <v>0.7089647982394427</v>
      </c>
      <c r="W2234" s="347">
        <v>0.30480000000000002</v>
      </c>
      <c r="X2234" s="14" t="s">
        <v>12</v>
      </c>
      <c r="Y2234" s="346" t="s">
        <v>416</v>
      </c>
      <c r="Z2234" s="14" t="str">
        <f>IF(ISBLANK(LCI_Table[[#This Row],[Notes for user]])," ",LCI_Table[[#This Row],[Notes for user]])</f>
        <v xml:space="preserve"> </v>
      </c>
      <c r="AA2234" s="14"/>
      <c r="AB2234" s="14"/>
      <c r="AC2234" s="346">
        <f ca="1">LCI_Table[[#This Row],[Default Calculated Value]]-LCI_Table[[#This Row],[Calculated Value]]</f>
        <v>0</v>
      </c>
    </row>
    <row r="2235" spans="1:29" x14ac:dyDescent="0.3">
      <c r="A22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ATJICAOMIT(blank)_Forest_residue_i_BuOH_ATJ_Sulfuric_acidSulfuric acid</v>
      </c>
      <c r="B2235" s="14" t="s">
        <v>316</v>
      </c>
      <c r="C2235" s="14" t="s">
        <v>883</v>
      </c>
      <c r="D2235" s="14" t="s">
        <v>194</v>
      </c>
      <c r="E2235" s="14" t="s">
        <v>377</v>
      </c>
      <c r="F2235" s="48" t="s">
        <v>31</v>
      </c>
      <c r="G2235" s="14" t="b">
        <f>OR(LCI_Table[[#This Row],[Feedstock]]="All",LCI_Table[[#This Row],[Feedstock]]=SelectedFeedstock)</f>
        <v>0</v>
      </c>
      <c r="H2235" s="14" t="b">
        <f>OR(LCI_Table[[#This Row],[Conversion]]="All",LCI_Table[[#This Row],[Conversion]]=SelectedConversion)</f>
        <v>0</v>
      </c>
      <c r="I2235" s="14" t="b">
        <f>OR(LCI_Table[[#This Row],[Data Set]]="all",LCI_Table[[#This Row],[Data Set]]=SelectedDataSet)</f>
        <v>0</v>
      </c>
      <c r="J2235" s="14" t="b">
        <f>OR(LCI_Table[[#This Row],[Technology]]="All",LCI_Table[[#This Row],[Technology]]=SelectedTechnology)</f>
        <v>1</v>
      </c>
      <c r="K2235" s="14" t="b">
        <f>OR(LCI_Table[[#This Row],[Data Source]]="All",LCI_Table[[#This Row],[Data Source]]=SelectedDataSource)</f>
        <v>0</v>
      </c>
      <c r="L2235" s="14" t="b">
        <f>TRUE</f>
        <v>1</v>
      </c>
      <c r="M2235" s="14" t="b">
        <f>(LCI_Table[[#This Row],[Dev Notes]]="Do not display")</f>
        <v>0</v>
      </c>
      <c r="N2235" s="14" t="b">
        <f>AND(LCI_Table[[#This Row],[Show Feedstock]:[Conditional]],NOT(LCI_Table[[#This Row],[Hide Row]]))</f>
        <v>0</v>
      </c>
      <c r="O2235" s="14" t="b">
        <f>LCI_Table[[#This Row],[GREET1 Name Range]]=""</f>
        <v>0</v>
      </c>
      <c r="P2235" s="358" t="s">
        <v>1448</v>
      </c>
      <c r="Q2235" s="14" t="s">
        <v>1035</v>
      </c>
      <c r="R2235" s="14" t="s">
        <v>384</v>
      </c>
      <c r="S2235" s="37" cm="1">
        <f t="array" aca="1" ref="S22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9.5086879763872769</v>
      </c>
      <c r="T2235" s="346" t="s">
        <v>2119</v>
      </c>
      <c r="U2235" s="347">
        <f t="shared" ref="U2235" ca="1" si="148">S2235/g2lb*MJ2mmBTU</f>
        <v>4.0880000000000001</v>
      </c>
      <c r="V2235" s="347">
        <v>9.5086879763872769</v>
      </c>
      <c r="W2235" s="347">
        <v>4.0880000000000001</v>
      </c>
      <c r="X2235" s="14" t="s">
        <v>12</v>
      </c>
      <c r="Y2235" s="346" t="s">
        <v>416</v>
      </c>
      <c r="Z2235" s="14" t="str">
        <f>IF(ISBLANK(LCI_Table[[#This Row],[Notes for user]])," ",LCI_Table[[#This Row],[Notes for user]])</f>
        <v xml:space="preserve"> </v>
      </c>
      <c r="AA2235" s="14"/>
      <c r="AB2235" s="14"/>
      <c r="AC2235" s="346">
        <f ca="1">LCI_Table[[#This Row],[Default Calculated Value]]-LCI_Table[[#This Row],[Calculated Value]]</f>
        <v>0</v>
      </c>
    </row>
    <row r="2236" spans="1:29" x14ac:dyDescent="0.3">
      <c r="A22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ATJICAOMIT(blank)_Forest_residue_i_BuOH_ATJ_AmmoniaAmmonia</v>
      </c>
      <c r="B2236" s="14" t="s">
        <v>316</v>
      </c>
      <c r="C2236" s="14" t="s">
        <v>883</v>
      </c>
      <c r="D2236" s="14" t="s">
        <v>194</v>
      </c>
      <c r="E2236" s="14" t="s">
        <v>377</v>
      </c>
      <c r="F2236" s="48" t="s">
        <v>31</v>
      </c>
      <c r="G2236" s="14" t="b">
        <f>OR(LCI_Table[[#This Row],[Feedstock]]="All",LCI_Table[[#This Row],[Feedstock]]=SelectedFeedstock)</f>
        <v>0</v>
      </c>
      <c r="H2236" s="14" t="b">
        <f>OR(LCI_Table[[#This Row],[Conversion]]="All",LCI_Table[[#This Row],[Conversion]]=SelectedConversion)</f>
        <v>0</v>
      </c>
      <c r="I2236" s="14" t="b">
        <f>OR(LCI_Table[[#This Row],[Data Set]]="all",LCI_Table[[#This Row],[Data Set]]=SelectedDataSet)</f>
        <v>0</v>
      </c>
      <c r="J2236" s="14" t="b">
        <f>OR(LCI_Table[[#This Row],[Technology]]="All",LCI_Table[[#This Row],[Technology]]=SelectedTechnology)</f>
        <v>1</v>
      </c>
      <c r="K2236" s="14" t="b">
        <f>OR(LCI_Table[[#This Row],[Data Source]]="All",LCI_Table[[#This Row],[Data Source]]=SelectedDataSource)</f>
        <v>0</v>
      </c>
      <c r="L2236" s="14" t="b">
        <f>TRUE</f>
        <v>1</v>
      </c>
      <c r="M2236" s="14" t="b">
        <f>(LCI_Table[[#This Row],[Dev Notes]]="Do not display")</f>
        <v>0</v>
      </c>
      <c r="N2236" s="14" t="b">
        <f>AND(LCI_Table[[#This Row],[Show Feedstock]:[Conditional]],NOT(LCI_Table[[#This Row],[Hide Row]]))</f>
        <v>0</v>
      </c>
      <c r="O2236" s="14" t="b">
        <f>LCI_Table[[#This Row],[GREET1 Name Range]]=""</f>
        <v>0</v>
      </c>
      <c r="P2236" s="358" t="s">
        <v>1448</v>
      </c>
      <c r="Q2236" s="14" t="s">
        <v>1036</v>
      </c>
      <c r="R2236" s="14" t="s">
        <v>382</v>
      </c>
      <c r="S2236" s="37" cm="1">
        <f t="array" aca="1" ref="S22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6.336721784264153</v>
      </c>
      <c r="T2236" s="346" t="s">
        <v>2119</v>
      </c>
      <c r="U2236" s="347">
        <f t="shared" ref="U2236" ca="1" si="149">S2236/g2lb*MJ2mmBTU</f>
        <v>2.7243000000000004</v>
      </c>
      <c r="V2236" s="347">
        <v>6.336721784264153</v>
      </c>
      <c r="W2236" s="347">
        <v>2.7243000000000004</v>
      </c>
      <c r="X2236" s="14" t="s">
        <v>12</v>
      </c>
      <c r="Y2236" s="346" t="s">
        <v>416</v>
      </c>
      <c r="Z2236" s="14" t="str">
        <f>IF(ISBLANK(LCI_Table[[#This Row],[Notes for user]])," ",LCI_Table[[#This Row],[Notes for user]])</f>
        <v xml:space="preserve"> </v>
      </c>
      <c r="AA2236" s="14"/>
      <c r="AB2236" s="14"/>
      <c r="AC2236" s="346">
        <f ca="1">LCI_Table[[#This Row],[Default Calculated Value]]-LCI_Table[[#This Row],[Calculated Value]]</f>
        <v>0</v>
      </c>
    </row>
    <row r="2237" spans="1:29" x14ac:dyDescent="0.3">
      <c r="A22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ATJICAOMIT(blank)_Forest_residue_i_BuOH_ATJ_Corn_steep_liquorCorn steep liquor</v>
      </c>
      <c r="B2237" s="14" t="s">
        <v>316</v>
      </c>
      <c r="C2237" s="14" t="s">
        <v>883</v>
      </c>
      <c r="D2237" s="14" t="s">
        <v>194</v>
      </c>
      <c r="E2237" s="14" t="s">
        <v>377</v>
      </c>
      <c r="F2237" s="48" t="s">
        <v>31</v>
      </c>
      <c r="G2237" s="14" t="b">
        <f>OR(LCI_Table[[#This Row],[Feedstock]]="All",LCI_Table[[#This Row],[Feedstock]]=SelectedFeedstock)</f>
        <v>0</v>
      </c>
      <c r="H2237" s="14" t="b">
        <f>OR(LCI_Table[[#This Row],[Conversion]]="All",LCI_Table[[#This Row],[Conversion]]=SelectedConversion)</f>
        <v>0</v>
      </c>
      <c r="I2237" s="14" t="b">
        <f>OR(LCI_Table[[#This Row],[Data Set]]="all",LCI_Table[[#This Row],[Data Set]]=SelectedDataSet)</f>
        <v>0</v>
      </c>
      <c r="J2237" s="14" t="b">
        <f>OR(LCI_Table[[#This Row],[Technology]]="All",LCI_Table[[#This Row],[Technology]]=SelectedTechnology)</f>
        <v>1</v>
      </c>
      <c r="K2237" s="14" t="b">
        <f>OR(LCI_Table[[#This Row],[Data Source]]="All",LCI_Table[[#This Row],[Data Source]]=SelectedDataSource)</f>
        <v>0</v>
      </c>
      <c r="L2237" s="14" t="b">
        <f>TRUE</f>
        <v>1</v>
      </c>
      <c r="M2237" s="14" t="b">
        <f>(LCI_Table[[#This Row],[Dev Notes]]="Do not display")</f>
        <v>0</v>
      </c>
      <c r="N2237" s="14" t="b">
        <f>AND(LCI_Table[[#This Row],[Show Feedstock]:[Conditional]],NOT(LCI_Table[[#This Row],[Hide Row]]))</f>
        <v>0</v>
      </c>
      <c r="O2237" s="14" t="b">
        <f>LCI_Table[[#This Row],[GREET1 Name Range]]=""</f>
        <v>0</v>
      </c>
      <c r="P2237" s="358" t="s">
        <v>1448</v>
      </c>
      <c r="Q2237" s="14" t="s">
        <v>1037</v>
      </c>
      <c r="R2237" s="14" t="s">
        <v>386</v>
      </c>
      <c r="S2237" s="37" cm="1">
        <f t="array" aca="1" ref="S22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5.6712531859166972</v>
      </c>
      <c r="T2237" s="346" t="s">
        <v>2119</v>
      </c>
      <c r="U2237" s="347">
        <f t="shared" ref="U2237" ca="1" si="150">S2237/g2lb*MJ2mmBTU</f>
        <v>2.4382000000000001</v>
      </c>
      <c r="V2237" s="347">
        <v>5.6712531859166972</v>
      </c>
      <c r="W2237" s="347">
        <v>2.4382000000000001</v>
      </c>
      <c r="X2237" s="14" t="s">
        <v>12</v>
      </c>
      <c r="Y2237" s="346" t="s">
        <v>416</v>
      </c>
      <c r="Z2237" s="14" t="str">
        <f>IF(ISBLANK(LCI_Table[[#This Row],[Notes for user]])," ",LCI_Table[[#This Row],[Notes for user]])</f>
        <v xml:space="preserve"> </v>
      </c>
      <c r="AA2237" s="14"/>
      <c r="AB2237" s="14"/>
      <c r="AC2237" s="346">
        <f ca="1">LCI_Table[[#This Row],[Default Calculated Value]]-LCI_Table[[#This Row],[Calculated Value]]</f>
        <v>0</v>
      </c>
    </row>
    <row r="2238" spans="1:29" x14ac:dyDescent="0.3">
      <c r="A22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ATJICAOMIT(blank)_Forest_residue_i_BuOH_ATJ_DAPDAP</v>
      </c>
      <c r="B2238" s="14" t="s">
        <v>316</v>
      </c>
      <c r="C2238" s="14" t="s">
        <v>883</v>
      </c>
      <c r="D2238" s="14" t="s">
        <v>194</v>
      </c>
      <c r="E2238" s="14" t="s">
        <v>377</v>
      </c>
      <c r="F2238" s="48" t="s">
        <v>31</v>
      </c>
      <c r="G2238" s="14" t="b">
        <f>OR(LCI_Table[[#This Row],[Feedstock]]="All",LCI_Table[[#This Row],[Feedstock]]=SelectedFeedstock)</f>
        <v>0</v>
      </c>
      <c r="H2238" s="14" t="b">
        <f>OR(LCI_Table[[#This Row],[Conversion]]="All",LCI_Table[[#This Row],[Conversion]]=SelectedConversion)</f>
        <v>0</v>
      </c>
      <c r="I2238" s="14" t="b">
        <f>OR(LCI_Table[[#This Row],[Data Set]]="all",LCI_Table[[#This Row],[Data Set]]=SelectedDataSet)</f>
        <v>0</v>
      </c>
      <c r="J2238" s="14" t="b">
        <f>OR(LCI_Table[[#This Row],[Technology]]="All",LCI_Table[[#This Row],[Technology]]=SelectedTechnology)</f>
        <v>1</v>
      </c>
      <c r="K2238" s="14" t="b">
        <f>OR(LCI_Table[[#This Row],[Data Source]]="All",LCI_Table[[#This Row],[Data Source]]=SelectedDataSource)</f>
        <v>0</v>
      </c>
      <c r="L2238" s="14" t="b">
        <f>TRUE</f>
        <v>1</v>
      </c>
      <c r="M2238" s="14" t="b">
        <f>(LCI_Table[[#This Row],[Dev Notes]]="Do not display")</f>
        <v>0</v>
      </c>
      <c r="N2238" s="14" t="b">
        <f>AND(LCI_Table[[#This Row],[Show Feedstock]:[Conditional]],NOT(LCI_Table[[#This Row],[Hide Row]]))</f>
        <v>0</v>
      </c>
      <c r="O2238" s="14" t="b">
        <f>LCI_Table[[#This Row],[GREET1 Name Range]]=""</f>
        <v>0</v>
      </c>
      <c r="P2238" s="358" t="s">
        <v>1448</v>
      </c>
      <c r="Q2238" s="14" t="s">
        <v>1038</v>
      </c>
      <c r="R2238" s="14" t="s">
        <v>383</v>
      </c>
      <c r="S2238" s="37" cm="1">
        <f t="array" aca="1" ref="S22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0.7089647982394427</v>
      </c>
      <c r="T2238" s="346" t="s">
        <v>2119</v>
      </c>
      <c r="U2238" s="347">
        <f t="shared" ref="U2238" ca="1" si="151">S2238/g2lb*MJ2mmBTU</f>
        <v>0.30480000000000002</v>
      </c>
      <c r="V2238" s="347">
        <v>0.7089647982394427</v>
      </c>
      <c r="W2238" s="347">
        <v>0.30480000000000002</v>
      </c>
      <c r="X2238" s="14" t="s">
        <v>12</v>
      </c>
      <c r="Y2238" s="346" t="s">
        <v>416</v>
      </c>
      <c r="Z2238" s="14" t="str">
        <f>IF(ISBLANK(LCI_Table[[#This Row],[Notes for user]])," ",LCI_Table[[#This Row],[Notes for user]])</f>
        <v xml:space="preserve"> </v>
      </c>
      <c r="AA2238" s="14"/>
      <c r="AB2238" s="14"/>
      <c r="AC2238" s="346">
        <f ca="1">LCI_Table[[#This Row],[Default Calculated Value]]-LCI_Table[[#This Row],[Calculated Value]]</f>
        <v>0</v>
      </c>
    </row>
    <row r="2239" spans="1:29" x14ac:dyDescent="0.3">
      <c r="A22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ATJICAOMIT(blank)_Forest_residue_i_BuOH_ATJ_NaOHNaOH</v>
      </c>
      <c r="B2239" s="14" t="s">
        <v>316</v>
      </c>
      <c r="C2239" s="14" t="s">
        <v>883</v>
      </c>
      <c r="D2239" s="14" t="s">
        <v>194</v>
      </c>
      <c r="E2239" s="14" t="s">
        <v>377</v>
      </c>
      <c r="F2239" s="48" t="s">
        <v>31</v>
      </c>
      <c r="G2239" s="14" t="b">
        <f>OR(LCI_Table[[#This Row],[Feedstock]]="All",LCI_Table[[#This Row],[Feedstock]]=SelectedFeedstock)</f>
        <v>0</v>
      </c>
      <c r="H2239" s="14" t="b">
        <f>OR(LCI_Table[[#This Row],[Conversion]]="All",LCI_Table[[#This Row],[Conversion]]=SelectedConversion)</f>
        <v>0</v>
      </c>
      <c r="I2239" s="14" t="b">
        <f>OR(LCI_Table[[#This Row],[Data Set]]="all",LCI_Table[[#This Row],[Data Set]]=SelectedDataSet)</f>
        <v>0</v>
      </c>
      <c r="J2239" s="14" t="b">
        <f>OR(LCI_Table[[#This Row],[Technology]]="All",LCI_Table[[#This Row],[Technology]]=SelectedTechnology)</f>
        <v>1</v>
      </c>
      <c r="K2239" s="14" t="b">
        <f>OR(LCI_Table[[#This Row],[Data Source]]="All",LCI_Table[[#This Row],[Data Source]]=SelectedDataSource)</f>
        <v>0</v>
      </c>
      <c r="L2239" s="14" t="b">
        <f>TRUE</f>
        <v>1</v>
      </c>
      <c r="M2239" s="14" t="b">
        <f>(LCI_Table[[#This Row],[Dev Notes]]="Do not display")</f>
        <v>0</v>
      </c>
      <c r="N2239" s="14" t="b">
        <f>AND(LCI_Table[[#This Row],[Show Feedstock]:[Conditional]],NOT(LCI_Table[[#This Row],[Hide Row]]))</f>
        <v>0</v>
      </c>
      <c r="O2239" s="14" t="b">
        <f>LCI_Table[[#This Row],[GREET1 Name Range]]=""</f>
        <v>0</v>
      </c>
      <c r="P2239" s="358" t="s">
        <v>1448</v>
      </c>
      <c r="Q2239" s="14" t="s">
        <v>1371</v>
      </c>
      <c r="R2239" s="14" t="s">
        <v>403</v>
      </c>
      <c r="S2239" s="37" cm="1">
        <f t="array" aca="1" ref="S22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39" s="346" t="s">
        <v>2119</v>
      </c>
      <c r="U2239" s="347">
        <f ca="1">S2239/g2lb*MJ2mmBTU/Allocations!$O$220</f>
        <v>0</v>
      </c>
      <c r="V2239" s="347">
        <v>0</v>
      </c>
      <c r="W2239" s="347">
        <v>0</v>
      </c>
      <c r="X2239" s="14" t="s">
        <v>12</v>
      </c>
      <c r="Y2239" s="346" t="s">
        <v>416</v>
      </c>
      <c r="Z2239" s="14" t="str">
        <f>IF(ISBLANK(LCI_Table[[#This Row],[Notes for user]])," ",LCI_Table[[#This Row],[Notes for user]])</f>
        <v xml:space="preserve"> </v>
      </c>
      <c r="AA2239" s="14"/>
      <c r="AB2239" s="14"/>
      <c r="AC2239" s="346">
        <f ca="1">LCI_Table[[#This Row],[Default Calculated Value]]-LCI_Table[[#This Row],[Calculated Value]]</f>
        <v>0</v>
      </c>
    </row>
    <row r="2240" spans="1:29" x14ac:dyDescent="0.3">
      <c r="A22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ATJICAOMIT(blank)_Forest_residue_i_BuOH_ATJ_Quicklime_CaCO3Quicklime (CaO)</v>
      </c>
      <c r="B2240" s="14" t="s">
        <v>316</v>
      </c>
      <c r="C2240" s="14" t="s">
        <v>883</v>
      </c>
      <c r="D2240" s="14" t="s">
        <v>194</v>
      </c>
      <c r="E2240" s="14" t="s">
        <v>377</v>
      </c>
      <c r="F2240" s="48" t="s">
        <v>31</v>
      </c>
      <c r="G2240" s="14" t="b">
        <f>OR(LCI_Table[[#This Row],[Feedstock]]="All",LCI_Table[[#This Row],[Feedstock]]=SelectedFeedstock)</f>
        <v>0</v>
      </c>
      <c r="H2240" s="14" t="b">
        <f>OR(LCI_Table[[#This Row],[Conversion]]="All",LCI_Table[[#This Row],[Conversion]]=SelectedConversion)</f>
        <v>0</v>
      </c>
      <c r="I2240" s="14" t="b">
        <f>OR(LCI_Table[[#This Row],[Data Set]]="all",LCI_Table[[#This Row],[Data Set]]=SelectedDataSet)</f>
        <v>0</v>
      </c>
      <c r="J2240" s="14" t="b">
        <f>OR(LCI_Table[[#This Row],[Technology]]="All",LCI_Table[[#This Row],[Technology]]=SelectedTechnology)</f>
        <v>1</v>
      </c>
      <c r="K2240" s="14" t="b">
        <f>OR(LCI_Table[[#This Row],[Data Source]]="All",LCI_Table[[#This Row],[Data Source]]=SelectedDataSource)</f>
        <v>0</v>
      </c>
      <c r="L2240" s="14" t="b">
        <f>TRUE</f>
        <v>1</v>
      </c>
      <c r="M2240" s="14" t="b">
        <f>(LCI_Table[[#This Row],[Dev Notes]]="Do not display")</f>
        <v>0</v>
      </c>
      <c r="N2240" s="14" t="b">
        <f>AND(LCI_Table[[#This Row],[Show Feedstock]:[Conditional]],NOT(LCI_Table[[#This Row],[Hide Row]]))</f>
        <v>0</v>
      </c>
      <c r="O2240" s="14" t="b">
        <f>LCI_Table[[#This Row],[GREET1 Name Range]]=""</f>
        <v>0</v>
      </c>
      <c r="P2240" s="358" t="s">
        <v>1448</v>
      </c>
      <c r="Q2240" s="14" t="s">
        <v>1372</v>
      </c>
      <c r="R2240" s="14" t="s">
        <v>404</v>
      </c>
      <c r="S2240" s="37" cm="1">
        <f t="array" aca="1" ref="S22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40" s="346" t="s">
        <v>2119</v>
      </c>
      <c r="U2240" s="347">
        <f ca="1">S2240/g2lb*MJ2mmBTU/Allocations!$O$220</f>
        <v>0</v>
      </c>
      <c r="V2240" s="347">
        <v>0</v>
      </c>
      <c r="W2240" s="347">
        <v>0</v>
      </c>
      <c r="X2240" s="14" t="s">
        <v>12</v>
      </c>
      <c r="Y2240" s="346" t="s">
        <v>416</v>
      </c>
      <c r="Z2240" s="14" t="str">
        <f>IF(ISBLANK(LCI_Table[[#This Row],[Notes for user]])," ",LCI_Table[[#This Row],[Notes for user]])</f>
        <v xml:space="preserve"> </v>
      </c>
      <c r="AA2240" s="14"/>
      <c r="AB2240" s="14"/>
      <c r="AC2240" s="346">
        <f ca="1">LCI_Table[[#This Row],[Default Calculated Value]]-LCI_Table[[#This Row],[Calculated Value]]</f>
        <v>0</v>
      </c>
    </row>
    <row r="2241" spans="1:29" x14ac:dyDescent="0.3">
      <c r="A22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ATJICAOMIT(blank)_Forest_residue_i_BuOH_Fermentation_Natural_gasNatural gas (fermentation)</v>
      </c>
      <c r="B2241" s="14" t="s">
        <v>316</v>
      </c>
      <c r="C2241" s="14" t="s">
        <v>883</v>
      </c>
      <c r="D2241" s="14" t="s">
        <v>194</v>
      </c>
      <c r="E2241" s="14" t="s">
        <v>377</v>
      </c>
      <c r="F2241" s="48" t="s">
        <v>31</v>
      </c>
      <c r="G2241" s="14" t="b">
        <f>OR(LCI_Table[[#This Row],[Feedstock]]="All",LCI_Table[[#This Row],[Feedstock]]=SelectedFeedstock)</f>
        <v>0</v>
      </c>
      <c r="H2241" s="14" t="b">
        <f>OR(LCI_Table[[#This Row],[Conversion]]="All",LCI_Table[[#This Row],[Conversion]]=SelectedConversion)</f>
        <v>0</v>
      </c>
      <c r="I2241" s="14" t="b">
        <f>OR(LCI_Table[[#This Row],[Data Set]]="all",LCI_Table[[#This Row],[Data Set]]=SelectedDataSet)</f>
        <v>0</v>
      </c>
      <c r="J2241" s="14" t="b">
        <f>OR(LCI_Table[[#This Row],[Technology]]="All",LCI_Table[[#This Row],[Technology]]=SelectedTechnology)</f>
        <v>1</v>
      </c>
      <c r="K2241" s="14" t="b">
        <f>OR(LCI_Table[[#This Row],[Data Source]]="All",LCI_Table[[#This Row],[Data Source]]=SelectedDataSource)</f>
        <v>0</v>
      </c>
      <c r="L2241" s="14" t="b">
        <f>TRUE</f>
        <v>1</v>
      </c>
      <c r="M2241" s="14" t="b">
        <f>(LCI_Table[[#This Row],[Dev Notes]]="Do not display")</f>
        <v>0</v>
      </c>
      <c r="N2241" s="14" t="b">
        <f>AND(LCI_Table[[#This Row],[Show Feedstock]:[Conditional]],NOT(LCI_Table[[#This Row],[Hide Row]]))</f>
        <v>0</v>
      </c>
      <c r="O2241" s="14" t="b">
        <f>LCI_Table[[#This Row],[GREET1 Name Range]]=""</f>
        <v>0</v>
      </c>
      <c r="P2241" s="358" t="s">
        <v>1448</v>
      </c>
      <c r="Q2241" s="14" t="s">
        <v>1102</v>
      </c>
      <c r="R2241" s="14" t="s">
        <v>1132</v>
      </c>
      <c r="S2241" s="37" cm="1">
        <f t="array" aca="1" ref="S22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32.06307222787386</v>
      </c>
      <c r="T2241" s="346" t="s">
        <v>2120</v>
      </c>
      <c r="U2241" s="347">
        <f ca="1">S2241*Fuel_Specs!$B$79/mmBTU2MJ</f>
        <v>29.873300072218932</v>
      </c>
      <c r="V2241" s="347">
        <v>32.06307222787386</v>
      </c>
      <c r="W2241" s="347">
        <v>29.873300072218932</v>
      </c>
      <c r="X2241" s="14" t="s">
        <v>351</v>
      </c>
      <c r="Y2241" s="346" t="s">
        <v>416</v>
      </c>
      <c r="Z2241" s="14" t="str">
        <f>IF(ISBLANK(LCI_Table[[#This Row],[Notes for user]])," ",LCI_Table[[#This Row],[Notes for user]])</f>
        <v xml:space="preserve"> </v>
      </c>
      <c r="AA2241" s="14"/>
      <c r="AB2241" s="14"/>
      <c r="AC2241" s="346">
        <f ca="1">LCI_Table[[#This Row],[Default Calculated Value]]-LCI_Table[[#This Row],[Calculated Value]]</f>
        <v>0</v>
      </c>
    </row>
    <row r="2242" spans="1:29" x14ac:dyDescent="0.3">
      <c r="A22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ATJICAOMIT(blank)_Forest_residue_i_BuOH_ATJ_HydrogenHydrogen</v>
      </c>
      <c r="B2242" s="14" t="s">
        <v>316</v>
      </c>
      <c r="C2242" s="14" t="s">
        <v>883</v>
      </c>
      <c r="D2242" s="358" t="s">
        <v>194</v>
      </c>
      <c r="E2242" s="358" t="s">
        <v>377</v>
      </c>
      <c r="F2242" s="48" t="s">
        <v>31</v>
      </c>
      <c r="G2242" s="14" t="b">
        <f>OR(LCI_Table[[#This Row],[Feedstock]]="All",LCI_Table[[#This Row],[Feedstock]]=SelectedFeedstock)</f>
        <v>0</v>
      </c>
      <c r="H2242" s="14" t="b">
        <f>OR(LCI_Table[[#This Row],[Conversion]]="All",LCI_Table[[#This Row],[Conversion]]=SelectedConversion)</f>
        <v>0</v>
      </c>
      <c r="I2242" s="14" t="b">
        <f>OR(LCI_Table[[#This Row],[Data Set]]="all",LCI_Table[[#This Row],[Data Set]]=SelectedDataSet)</f>
        <v>0</v>
      </c>
      <c r="J2242" s="14" t="b">
        <f>OR(LCI_Table[[#This Row],[Technology]]="All",LCI_Table[[#This Row],[Technology]]=SelectedTechnology)</f>
        <v>1</v>
      </c>
      <c r="K2242" s="14" t="b">
        <f>OR(LCI_Table[[#This Row],[Data Source]]="All",LCI_Table[[#This Row],[Data Source]]=SelectedDataSource)</f>
        <v>0</v>
      </c>
      <c r="L2242" s="14" t="b">
        <f>TRUE</f>
        <v>1</v>
      </c>
      <c r="M2242" s="14" t="b">
        <f>(LCI_Table[[#This Row],[Dev Notes]]="Do not display")</f>
        <v>0</v>
      </c>
      <c r="N2242" s="14" t="b">
        <f>AND(LCI_Table[[#This Row],[Show Feedstock]:[Conditional]],NOT(LCI_Table[[#This Row],[Hide Row]]))</f>
        <v>0</v>
      </c>
      <c r="O2242" s="14" t="b">
        <f>LCI_Table[[#This Row],[GREET1 Name Range]]=""</f>
        <v>0</v>
      </c>
      <c r="P2242" s="358" t="s">
        <v>1448</v>
      </c>
      <c r="Q2242" s="14" t="s">
        <v>1040</v>
      </c>
      <c r="R2242" s="358" t="s">
        <v>73</v>
      </c>
      <c r="S2242" s="37" cm="1">
        <f t="array" aca="1" ref="S22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77.81885075903925</v>
      </c>
      <c r="T2242" s="346" t="s">
        <v>2120</v>
      </c>
      <c r="U2242" s="347">
        <f ca="1">S2242*Fuel_Specs!$B$81/mmBTU2MJ</f>
        <v>21.389831372549029</v>
      </c>
      <c r="V2242" s="359">
        <v>77.81885075903925</v>
      </c>
      <c r="W2242" s="347">
        <v>21.389831372549029</v>
      </c>
      <c r="X2242" s="360" t="s">
        <v>351</v>
      </c>
      <c r="Y2242" s="346" t="s">
        <v>416</v>
      </c>
      <c r="Z2242" s="14" t="str">
        <f>IF(ISBLANK(LCI_Table[[#This Row],[Notes for user]])," ",LCI_Table[[#This Row],[Notes for user]])</f>
        <v xml:space="preserve"> </v>
      </c>
      <c r="AA2242" s="14"/>
      <c r="AB2242" s="358"/>
      <c r="AC2242" s="346">
        <f ca="1">LCI_Table[[#This Row],[Default Calculated Value]]-LCI_Table[[#This Row],[Calculated Value]]</f>
        <v>0</v>
      </c>
    </row>
    <row r="2243" spans="1:29" x14ac:dyDescent="0.3">
      <c r="A22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ATJICAOMIT(blank)_Forest_residue_i_BuOH_ATJ_Natural_gasNatural gas (ATJ conversion)</v>
      </c>
      <c r="B2243" s="14" t="s">
        <v>316</v>
      </c>
      <c r="C2243" s="14" t="s">
        <v>883</v>
      </c>
      <c r="D2243" s="14" t="s">
        <v>194</v>
      </c>
      <c r="E2243" s="14" t="s">
        <v>377</v>
      </c>
      <c r="F2243" s="48" t="s">
        <v>31</v>
      </c>
      <c r="G2243" s="14" t="b">
        <f>OR(LCI_Table[[#This Row],[Feedstock]]="All",LCI_Table[[#This Row],[Feedstock]]=SelectedFeedstock)</f>
        <v>0</v>
      </c>
      <c r="H2243" s="14" t="b">
        <f>OR(LCI_Table[[#This Row],[Conversion]]="All",LCI_Table[[#This Row],[Conversion]]=SelectedConversion)</f>
        <v>0</v>
      </c>
      <c r="I2243" s="14" t="b">
        <f>OR(LCI_Table[[#This Row],[Data Set]]="all",LCI_Table[[#This Row],[Data Set]]=SelectedDataSet)</f>
        <v>0</v>
      </c>
      <c r="J2243" s="14" t="b">
        <f>OR(LCI_Table[[#This Row],[Technology]]="All",LCI_Table[[#This Row],[Technology]]=SelectedTechnology)</f>
        <v>1</v>
      </c>
      <c r="K2243" s="14" t="b">
        <f>OR(LCI_Table[[#This Row],[Data Source]]="All",LCI_Table[[#This Row],[Data Source]]=SelectedDataSource)</f>
        <v>0</v>
      </c>
      <c r="L2243" s="14" t="b">
        <f>TRUE</f>
        <v>1</v>
      </c>
      <c r="M2243" s="14" t="b">
        <f>(LCI_Table[[#This Row],[Dev Notes]]="Do not display")</f>
        <v>0</v>
      </c>
      <c r="N2243" s="14" t="b">
        <f>AND(LCI_Table[[#This Row],[Show Feedstock]:[Conditional]],NOT(LCI_Table[[#This Row],[Hide Row]]))</f>
        <v>0</v>
      </c>
      <c r="O2243" s="14" t="b">
        <f>LCI_Table[[#This Row],[GREET1 Name Range]]=""</f>
        <v>0</v>
      </c>
      <c r="P2243" s="14" t="s">
        <v>1448</v>
      </c>
      <c r="Q2243" s="14" t="s">
        <v>1039</v>
      </c>
      <c r="R2243" s="14" t="s">
        <v>1133</v>
      </c>
      <c r="S2243" s="37" cm="1">
        <f t="array" aca="1" ref="S22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19.165818921668365</v>
      </c>
      <c r="T2243" s="346" t="s">
        <v>2120</v>
      </c>
      <c r="U2243" s="347">
        <f ca="1">S2243*Fuel_Specs!$B$79/mmBTU2MJ</f>
        <v>17.856874591046534</v>
      </c>
      <c r="V2243" s="347">
        <v>19.165818921668365</v>
      </c>
      <c r="W2243" s="347">
        <v>17.856874591046534</v>
      </c>
      <c r="X2243" s="14" t="s">
        <v>351</v>
      </c>
      <c r="Y2243" s="346" t="s">
        <v>416</v>
      </c>
      <c r="Z2243" s="14" t="str">
        <f>IF(ISBLANK(LCI_Table[[#This Row],[Notes for user]])," ",LCI_Table[[#This Row],[Notes for user]])</f>
        <v xml:space="preserve"> </v>
      </c>
      <c r="AA2243" s="14"/>
      <c r="AB2243" s="14"/>
      <c r="AC2243" s="346">
        <f ca="1">LCI_Table[[#This Row],[Default Calculated Value]]-LCI_Table[[#This Row],[Calculated Value]]</f>
        <v>0</v>
      </c>
    </row>
    <row r="2244" spans="1:29" x14ac:dyDescent="0.3">
      <c r="A22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ATJICAOMIT(blank)_Forest_residue_i_BuOH_ATJ_Allocation_FactorAllocation factor</v>
      </c>
      <c r="B2244" s="14" t="s">
        <v>316</v>
      </c>
      <c r="C2244" s="14" t="s">
        <v>883</v>
      </c>
      <c r="D2244" s="14" t="s">
        <v>194</v>
      </c>
      <c r="E2244" s="14" t="s">
        <v>377</v>
      </c>
      <c r="F2244" s="48" t="s">
        <v>31</v>
      </c>
      <c r="G2244" s="14" t="b">
        <f>OR(LCI_Table[[#This Row],[Feedstock]]="All",LCI_Table[[#This Row],[Feedstock]]=SelectedFeedstock)</f>
        <v>0</v>
      </c>
      <c r="H2244" s="14" t="b">
        <f>OR(LCI_Table[[#This Row],[Conversion]]="All",LCI_Table[[#This Row],[Conversion]]=SelectedConversion)</f>
        <v>0</v>
      </c>
      <c r="I2244" s="14" t="b">
        <f>OR(LCI_Table[[#This Row],[Data Set]]="all",LCI_Table[[#This Row],[Data Set]]=SelectedDataSet)</f>
        <v>0</v>
      </c>
      <c r="J2244" s="14" t="b">
        <f>OR(LCI_Table[[#This Row],[Technology]]="All",LCI_Table[[#This Row],[Technology]]=SelectedTechnology)</f>
        <v>1</v>
      </c>
      <c r="K2244" s="14" t="b">
        <f>OR(LCI_Table[[#This Row],[Data Source]]="All",LCI_Table[[#This Row],[Data Source]]=SelectedDataSource)</f>
        <v>0</v>
      </c>
      <c r="L2244" s="14" t="b">
        <f>TRUE</f>
        <v>1</v>
      </c>
      <c r="M2244" s="14" t="b">
        <f>(LCI_Table[[#This Row],[Dev Notes]]="Do not display")</f>
        <v>0</v>
      </c>
      <c r="N2244" s="14" t="b">
        <f>AND(LCI_Table[[#This Row],[Show Feedstock]:[Conditional]],NOT(LCI_Table[[#This Row],[Hide Row]]))</f>
        <v>0</v>
      </c>
      <c r="O2244" s="14" t="b">
        <f>LCI_Table[[#This Row],[GREET1 Name Range]]=""</f>
        <v>0</v>
      </c>
      <c r="P2244" s="14" t="s">
        <v>1448</v>
      </c>
      <c r="Q2244" s="14" t="s">
        <v>1099</v>
      </c>
      <c r="R2244" s="14" t="s">
        <v>1344</v>
      </c>
      <c r="S2244" s="37" cm="1">
        <f t="array" aca="1" ref="S22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91.743119266055004</v>
      </c>
      <c r="T2244" s="346" t="s">
        <v>1345</v>
      </c>
      <c r="U2244" s="347">
        <f ca="1">LCI_Table[[#This Row],[Dashboard Value]]/100</f>
        <v>0.91743119266055007</v>
      </c>
      <c r="V2244" s="347">
        <v>91.743119266055004</v>
      </c>
      <c r="W2244" s="347">
        <v>0.91743119266055007</v>
      </c>
      <c r="X2244" s="14"/>
      <c r="Y2244" s="346"/>
      <c r="Z2244" s="14" t="str">
        <f>IF(ISBLANK(LCI_Table[[#This Row],[Notes for user]])," ",LCI_Table[[#This Row],[Notes for user]])</f>
        <v xml:space="preserve"> </v>
      </c>
      <c r="AA2244" s="14"/>
      <c r="AB2244" s="14"/>
      <c r="AC2244" s="346">
        <f ca="1">LCI_Table[[#This Row],[Default Calculated Value]]-LCI_Table[[#This Row],[Calculated Value]]</f>
        <v>0</v>
      </c>
    </row>
    <row r="2245" spans="1:29" x14ac:dyDescent="0.3">
      <c r="A22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dash_Forest residuei-BuOH ATJICAOJRC(blank)_Yield_Collection</v>
      </c>
      <c r="B2245" s="48" t="s">
        <v>316</v>
      </c>
      <c r="C2245" s="48" t="s">
        <v>883</v>
      </c>
      <c r="D2245" s="48" t="s">
        <v>194</v>
      </c>
      <c r="E2245" s="48" t="s">
        <v>355</v>
      </c>
      <c r="F2245" s="48" t="s">
        <v>31</v>
      </c>
      <c r="G2245" s="14" t="b">
        <f>OR(LCI_Table[[#This Row],[Feedstock]]="All",LCI_Table[[#This Row],[Feedstock]]=SelectedFeedstock)</f>
        <v>0</v>
      </c>
      <c r="H2245" s="14" t="b">
        <f>OR(LCI_Table[[#This Row],[Conversion]]="All",LCI_Table[[#This Row],[Conversion]]=SelectedConversion)</f>
        <v>0</v>
      </c>
      <c r="I2245" s="14" t="b">
        <f>OR(LCI_Table[[#This Row],[Data Set]]="all",LCI_Table[[#This Row],[Data Set]]=SelectedDataSet)</f>
        <v>0</v>
      </c>
      <c r="J2245" s="14" t="b">
        <f>OR(LCI_Table[[#This Row],[Technology]]="All",LCI_Table[[#This Row],[Technology]]=SelectedTechnology)</f>
        <v>1</v>
      </c>
      <c r="K2245" s="14" t="b">
        <f>OR(LCI_Table[[#This Row],[Data Source]]="All",LCI_Table[[#This Row],[Data Source]]=SelectedDataSource)</f>
        <v>0</v>
      </c>
      <c r="L2245" s="14" t="b">
        <f>TRUE</f>
        <v>1</v>
      </c>
      <c r="M2245" s="14" t="b">
        <f>(LCI_Table[[#This Row],[Dev Notes]]="Do not display")</f>
        <v>0</v>
      </c>
      <c r="N2245" s="14" t="b">
        <f>AND(LCI_Table[[#This Row],[Show Feedstock]:[Conditional]],NOT(LCI_Table[[#This Row],[Hide Row]]))</f>
        <v>0</v>
      </c>
      <c r="O2245" s="14" t="b">
        <f>LCI_Table[[#This Row],[GREET1 Name Range]]=""</f>
        <v>1</v>
      </c>
      <c r="P2245" s="48" t="s">
        <v>147</v>
      </c>
      <c r="Q2245" s="14" t="s">
        <v>361</v>
      </c>
      <c r="R2245" s="48" t="s">
        <v>200</v>
      </c>
      <c r="S2245" s="37" cm="1">
        <f t="array" aca="1" ref="S22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0.22304512472924265</v>
      </c>
      <c r="T2245" s="346" t="s">
        <v>2116</v>
      </c>
      <c r="U2245" s="344"/>
      <c r="V2245" s="344">
        <v>0.22304512472924265</v>
      </c>
      <c r="W2245" s="344"/>
      <c r="X2245" s="48" t="s">
        <v>55</v>
      </c>
      <c r="Y2245" s="346" t="s">
        <v>413</v>
      </c>
      <c r="Z2245" s="14" t="str">
        <f>IF(ISBLANK(LCI_Table[[#This Row],[Notes for user]])," ",LCI_Table[[#This Row],[Notes for user]])</f>
        <v xml:space="preserve"> </v>
      </c>
      <c r="AA2245" s="48"/>
      <c r="AB2245" s="345"/>
      <c r="AC2245" s="346">
        <f>LCI_Table[[#This Row],[Default Calculated Value]]-LCI_Table[[#This Row],[Calculated Value]]</f>
        <v>0</v>
      </c>
    </row>
    <row r="2246" spans="1:29" x14ac:dyDescent="0.3">
      <c r="A22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ATJICAOJRC(blank)_ForestResidue_Collection_Residual_oilResidual oil</v>
      </c>
      <c r="B2246" s="14" t="s">
        <v>316</v>
      </c>
      <c r="C2246" s="14" t="s">
        <v>883</v>
      </c>
      <c r="D2246" s="14" t="s">
        <v>194</v>
      </c>
      <c r="E2246" s="14" t="s">
        <v>355</v>
      </c>
      <c r="F2246" s="48" t="s">
        <v>31</v>
      </c>
      <c r="G2246" s="14" t="b">
        <f>OR(LCI_Table[[#This Row],[Feedstock]]="All",LCI_Table[[#This Row],[Feedstock]]=SelectedFeedstock)</f>
        <v>0</v>
      </c>
      <c r="H2246" s="14" t="b">
        <f>OR(LCI_Table[[#This Row],[Conversion]]="All",LCI_Table[[#This Row],[Conversion]]=SelectedConversion)</f>
        <v>0</v>
      </c>
      <c r="I2246" s="14" t="b">
        <f>OR(LCI_Table[[#This Row],[Data Set]]="all",LCI_Table[[#This Row],[Data Set]]=SelectedDataSet)</f>
        <v>0</v>
      </c>
      <c r="J2246" s="14" t="b">
        <f>OR(LCI_Table[[#This Row],[Technology]]="All",LCI_Table[[#This Row],[Technology]]=SelectedTechnology)</f>
        <v>1</v>
      </c>
      <c r="K2246" s="14" t="b">
        <f>OR(LCI_Table[[#This Row],[Data Source]]="All",LCI_Table[[#This Row],[Data Source]]=SelectedDataSource)</f>
        <v>0</v>
      </c>
      <c r="L2246" s="14" t="b">
        <f>TRUE</f>
        <v>1</v>
      </c>
      <c r="M2246" s="14" t="b">
        <f>(LCI_Table[[#This Row],[Dev Notes]]="Do not display")</f>
        <v>0</v>
      </c>
      <c r="N2246" s="14" t="b">
        <f>AND(LCI_Table[[#This Row],[Show Feedstock]:[Conditional]],NOT(LCI_Table[[#This Row],[Hide Row]]))</f>
        <v>0</v>
      </c>
      <c r="O2246" s="14" t="b">
        <f>LCI_Table[[#This Row],[GREET1 Name Range]]=""</f>
        <v>0</v>
      </c>
      <c r="P2246" s="14" t="s">
        <v>147</v>
      </c>
      <c r="Q2246" s="14" t="s">
        <v>651</v>
      </c>
      <c r="R2246" s="14" t="s">
        <v>115</v>
      </c>
      <c r="S2246" s="37" cm="1">
        <f t="array" aca="1" ref="S22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46" s="346" t="s">
        <v>1484</v>
      </c>
      <c r="U2246" s="347">
        <f ca="1">S2246*Fuel_Specs!$B$28/S2245</f>
        <v>0</v>
      </c>
      <c r="V2246" s="347">
        <v>0</v>
      </c>
      <c r="W2246" s="347">
        <v>0</v>
      </c>
      <c r="X2246" s="14" t="s">
        <v>5</v>
      </c>
      <c r="Y2246" s="346" t="s">
        <v>413</v>
      </c>
      <c r="Z2246" s="14" t="str">
        <f>IF(ISBLANK(LCI_Table[[#This Row],[Notes for user]])," ",LCI_Table[[#This Row],[Notes for user]])</f>
        <v xml:space="preserve"> </v>
      </c>
      <c r="AA2246" s="14"/>
      <c r="AB2246" s="14"/>
      <c r="AC2246" s="346">
        <f ca="1">LCI_Table[[#This Row],[Default Calculated Value]]-LCI_Table[[#This Row],[Calculated Value]]</f>
        <v>0</v>
      </c>
    </row>
    <row r="2247" spans="1:29" x14ac:dyDescent="0.3">
      <c r="A22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ATJICAOJRC(blank)_ForestResidue_Collection_DieselDiesel</v>
      </c>
      <c r="B2247" s="14" t="s">
        <v>316</v>
      </c>
      <c r="C2247" s="14" t="s">
        <v>883</v>
      </c>
      <c r="D2247" s="14" t="s">
        <v>194</v>
      </c>
      <c r="E2247" s="14" t="s">
        <v>355</v>
      </c>
      <c r="F2247" s="48" t="s">
        <v>31</v>
      </c>
      <c r="G2247" s="14" t="b">
        <f>OR(LCI_Table[[#This Row],[Feedstock]]="All",LCI_Table[[#This Row],[Feedstock]]=SelectedFeedstock)</f>
        <v>0</v>
      </c>
      <c r="H2247" s="14" t="b">
        <f>OR(LCI_Table[[#This Row],[Conversion]]="All",LCI_Table[[#This Row],[Conversion]]=SelectedConversion)</f>
        <v>0</v>
      </c>
      <c r="I2247" s="14" t="b">
        <f>OR(LCI_Table[[#This Row],[Data Set]]="all",LCI_Table[[#This Row],[Data Set]]=SelectedDataSet)</f>
        <v>0</v>
      </c>
      <c r="J2247" s="14" t="b">
        <f>OR(LCI_Table[[#This Row],[Technology]]="All",LCI_Table[[#This Row],[Technology]]=SelectedTechnology)</f>
        <v>1</v>
      </c>
      <c r="K2247" s="14" t="b">
        <f>OR(LCI_Table[[#This Row],[Data Source]]="All",LCI_Table[[#This Row],[Data Source]]=SelectedDataSource)</f>
        <v>0</v>
      </c>
      <c r="L2247" s="14" t="b">
        <f>TRUE</f>
        <v>1</v>
      </c>
      <c r="M2247" s="14" t="b">
        <f>(LCI_Table[[#This Row],[Dev Notes]]="Do not display")</f>
        <v>0</v>
      </c>
      <c r="N2247" s="14" t="b">
        <f>AND(LCI_Table[[#This Row],[Show Feedstock]:[Conditional]],NOT(LCI_Table[[#This Row],[Hide Row]]))</f>
        <v>0</v>
      </c>
      <c r="O2247" s="14" t="b">
        <f>LCI_Table[[#This Row],[GREET1 Name Range]]=""</f>
        <v>0</v>
      </c>
      <c r="P2247" s="14" t="s">
        <v>147</v>
      </c>
      <c r="Q2247" s="14" t="s">
        <v>646</v>
      </c>
      <c r="R2247" s="14" t="s">
        <v>106</v>
      </c>
      <c r="S2247" s="37" cm="1">
        <f t="array" aca="1" ref="S22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0.38436531390055817</v>
      </c>
      <c r="T2247" s="346" t="s">
        <v>1484</v>
      </c>
      <c r="U2247" s="347">
        <f ca="1">S2247*Fuel_Specs!$B$19/S2245</f>
        <v>221353.07655999955</v>
      </c>
      <c r="V2247" s="347">
        <v>0.38436531390055817</v>
      </c>
      <c r="W2247" s="347">
        <v>221353.07655999955</v>
      </c>
      <c r="X2247" s="14" t="s">
        <v>5</v>
      </c>
      <c r="Y2247" s="346" t="s">
        <v>413</v>
      </c>
      <c r="Z2247" s="14" t="str">
        <f>IF(ISBLANK(LCI_Table[[#This Row],[Notes for user]])," ",LCI_Table[[#This Row],[Notes for user]])</f>
        <v xml:space="preserve"> </v>
      </c>
      <c r="AA2247" s="14"/>
      <c r="AB2247" s="14"/>
      <c r="AC2247" s="346">
        <f ca="1">LCI_Table[[#This Row],[Default Calculated Value]]-LCI_Table[[#This Row],[Calculated Value]]</f>
        <v>0</v>
      </c>
    </row>
    <row r="2248" spans="1:29" x14ac:dyDescent="0.3">
      <c r="A22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ATJICAOJRC(blank)_ForestResidue_Collection_GasolineGasoline</v>
      </c>
      <c r="B2248" s="14" t="s">
        <v>316</v>
      </c>
      <c r="C2248" s="14" t="s">
        <v>883</v>
      </c>
      <c r="D2248" s="14" t="s">
        <v>194</v>
      </c>
      <c r="E2248" s="14" t="s">
        <v>355</v>
      </c>
      <c r="F2248" s="48" t="s">
        <v>31</v>
      </c>
      <c r="G2248" s="14" t="b">
        <f>OR(LCI_Table[[#This Row],[Feedstock]]="All",LCI_Table[[#This Row],[Feedstock]]=SelectedFeedstock)</f>
        <v>0</v>
      </c>
      <c r="H2248" s="14" t="b">
        <f>OR(LCI_Table[[#This Row],[Conversion]]="All",LCI_Table[[#This Row],[Conversion]]=SelectedConversion)</f>
        <v>0</v>
      </c>
      <c r="I2248" s="14" t="b">
        <f>OR(LCI_Table[[#This Row],[Data Set]]="all",LCI_Table[[#This Row],[Data Set]]=SelectedDataSet)</f>
        <v>0</v>
      </c>
      <c r="J2248" s="14" t="b">
        <f>OR(LCI_Table[[#This Row],[Technology]]="All",LCI_Table[[#This Row],[Technology]]=SelectedTechnology)</f>
        <v>1</v>
      </c>
      <c r="K2248" s="14" t="b">
        <f>OR(LCI_Table[[#This Row],[Data Source]]="All",LCI_Table[[#This Row],[Data Source]]=SelectedDataSource)</f>
        <v>0</v>
      </c>
      <c r="L2248" s="14" t="b">
        <f>TRUE</f>
        <v>1</v>
      </c>
      <c r="M2248" s="14" t="b">
        <f>(LCI_Table[[#This Row],[Dev Notes]]="Do not display")</f>
        <v>0</v>
      </c>
      <c r="N2248" s="14" t="b">
        <f>AND(LCI_Table[[#This Row],[Show Feedstock]:[Conditional]],NOT(LCI_Table[[#This Row],[Hide Row]]))</f>
        <v>0</v>
      </c>
      <c r="O2248" s="14" t="b">
        <f>LCI_Table[[#This Row],[GREET1 Name Range]]=""</f>
        <v>0</v>
      </c>
      <c r="P2248" s="14" t="s">
        <v>147</v>
      </c>
      <c r="Q2248" s="14" t="s">
        <v>648</v>
      </c>
      <c r="R2248" s="14" t="s">
        <v>107</v>
      </c>
      <c r="S2248" s="37" cm="1">
        <f t="array" aca="1" ref="S22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48" s="346" t="s">
        <v>1484</v>
      </c>
      <c r="U2248" s="347">
        <f ca="1">S2248*Fuel_Specs!$B$15/S2245</f>
        <v>0</v>
      </c>
      <c r="V2248" s="347">
        <v>0</v>
      </c>
      <c r="W2248" s="347">
        <v>0</v>
      </c>
      <c r="X2248" s="14" t="s">
        <v>5</v>
      </c>
      <c r="Y2248" s="346" t="s">
        <v>413</v>
      </c>
      <c r="Z2248" s="14" t="str">
        <f>IF(ISBLANK(LCI_Table[[#This Row],[Notes for user]])," ",LCI_Table[[#This Row],[Notes for user]])</f>
        <v xml:space="preserve"> </v>
      </c>
      <c r="AA2248" s="14"/>
      <c r="AB2248" s="14"/>
      <c r="AC2248" s="346">
        <f ca="1">LCI_Table[[#This Row],[Default Calculated Value]]-LCI_Table[[#This Row],[Calculated Value]]</f>
        <v>0</v>
      </c>
    </row>
    <row r="2249" spans="1:29" x14ac:dyDescent="0.3">
      <c r="A22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ATJICAOJRC(blank)_ForestResidue_Collection_Natural_gasNatural gas</v>
      </c>
      <c r="B2249" s="14" t="s">
        <v>316</v>
      </c>
      <c r="C2249" s="14" t="s">
        <v>883</v>
      </c>
      <c r="D2249" s="14" t="s">
        <v>194</v>
      </c>
      <c r="E2249" s="14" t="s">
        <v>355</v>
      </c>
      <c r="F2249" s="48" t="s">
        <v>31</v>
      </c>
      <c r="G2249" s="14" t="b">
        <f>OR(LCI_Table[[#This Row],[Feedstock]]="All",LCI_Table[[#This Row],[Feedstock]]=SelectedFeedstock)</f>
        <v>0</v>
      </c>
      <c r="H2249" s="14" t="b">
        <f>OR(LCI_Table[[#This Row],[Conversion]]="All",LCI_Table[[#This Row],[Conversion]]=SelectedConversion)</f>
        <v>0</v>
      </c>
      <c r="I2249" s="14" t="b">
        <f>OR(LCI_Table[[#This Row],[Data Set]]="all",LCI_Table[[#This Row],[Data Set]]=SelectedDataSet)</f>
        <v>0</v>
      </c>
      <c r="J2249" s="14" t="b">
        <f>OR(LCI_Table[[#This Row],[Technology]]="All",LCI_Table[[#This Row],[Technology]]=SelectedTechnology)</f>
        <v>1</v>
      </c>
      <c r="K2249" s="14" t="b">
        <f>OR(LCI_Table[[#This Row],[Data Source]]="All",LCI_Table[[#This Row],[Data Source]]=SelectedDataSource)</f>
        <v>0</v>
      </c>
      <c r="L2249" s="14" t="b">
        <f>TRUE</f>
        <v>1</v>
      </c>
      <c r="M2249" s="14" t="b">
        <f>(LCI_Table[[#This Row],[Dev Notes]]="Do not display")</f>
        <v>0</v>
      </c>
      <c r="N2249" s="14" t="b">
        <f>AND(LCI_Table[[#This Row],[Show Feedstock]:[Conditional]],NOT(LCI_Table[[#This Row],[Hide Row]]))</f>
        <v>0</v>
      </c>
      <c r="O2249" s="14" t="b">
        <f>LCI_Table[[#This Row],[GREET1 Name Range]]=""</f>
        <v>0</v>
      </c>
      <c r="P2249" s="14" t="s">
        <v>147</v>
      </c>
      <c r="Q2249" s="14" t="s">
        <v>650</v>
      </c>
      <c r="R2249" s="14" t="s">
        <v>108</v>
      </c>
      <c r="S2249" s="37" cm="1">
        <f t="array" aca="1" ref="S22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49" s="346" t="s">
        <v>2109</v>
      </c>
      <c r="U2249" s="347">
        <f ca="1">S2249*Fuel_Specs!$B$79/S2245</f>
        <v>0</v>
      </c>
      <c r="V2249" s="347">
        <v>0</v>
      </c>
      <c r="W2249" s="347">
        <v>0</v>
      </c>
      <c r="X2249" s="14" t="s">
        <v>351</v>
      </c>
      <c r="Y2249" s="346" t="s">
        <v>413</v>
      </c>
      <c r="Z2249" s="14" t="str">
        <f>IF(ISBLANK(LCI_Table[[#This Row],[Notes for user]])," ",LCI_Table[[#This Row],[Notes for user]])</f>
        <v xml:space="preserve"> </v>
      </c>
      <c r="AA2249" s="14"/>
      <c r="AB2249" s="14"/>
      <c r="AC2249" s="346">
        <f ca="1">LCI_Table[[#This Row],[Default Calculated Value]]-LCI_Table[[#This Row],[Calculated Value]]</f>
        <v>0</v>
      </c>
    </row>
    <row r="2250" spans="1:29" x14ac:dyDescent="0.3">
      <c r="A22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ATJICAOJRC(blank)_ForestResidue_Collection_CoalCoal</v>
      </c>
      <c r="B2250" s="14" t="s">
        <v>316</v>
      </c>
      <c r="C2250" s="14" t="s">
        <v>883</v>
      </c>
      <c r="D2250" s="14" t="s">
        <v>194</v>
      </c>
      <c r="E2250" s="14" t="s">
        <v>355</v>
      </c>
      <c r="F2250" s="48" t="s">
        <v>31</v>
      </c>
      <c r="G2250" s="14" t="b">
        <f>OR(LCI_Table[[#This Row],[Feedstock]]="All",LCI_Table[[#This Row],[Feedstock]]=SelectedFeedstock)</f>
        <v>0</v>
      </c>
      <c r="H2250" s="14" t="b">
        <f>OR(LCI_Table[[#This Row],[Conversion]]="All",LCI_Table[[#This Row],[Conversion]]=SelectedConversion)</f>
        <v>0</v>
      </c>
      <c r="I2250" s="14" t="b">
        <f>OR(LCI_Table[[#This Row],[Data Set]]="all",LCI_Table[[#This Row],[Data Set]]=SelectedDataSet)</f>
        <v>0</v>
      </c>
      <c r="J2250" s="14" t="b">
        <f>OR(LCI_Table[[#This Row],[Technology]]="All",LCI_Table[[#This Row],[Technology]]=SelectedTechnology)</f>
        <v>1</v>
      </c>
      <c r="K2250" s="14" t="b">
        <f>OR(LCI_Table[[#This Row],[Data Source]]="All",LCI_Table[[#This Row],[Data Source]]=SelectedDataSource)</f>
        <v>0</v>
      </c>
      <c r="L2250" s="14" t="b">
        <f>TRUE</f>
        <v>1</v>
      </c>
      <c r="M2250" s="14" t="b">
        <f>(LCI_Table[[#This Row],[Dev Notes]]="Do not display")</f>
        <v>0</v>
      </c>
      <c r="N2250" s="14" t="b">
        <f>AND(LCI_Table[[#This Row],[Show Feedstock]:[Conditional]],NOT(LCI_Table[[#This Row],[Hide Row]]))</f>
        <v>0</v>
      </c>
      <c r="O2250" s="14" t="b">
        <f>LCI_Table[[#This Row],[GREET1 Name Range]]=""</f>
        <v>0</v>
      </c>
      <c r="P2250" s="14" t="s">
        <v>147</v>
      </c>
      <c r="Q2250" s="14" t="s">
        <v>645</v>
      </c>
      <c r="R2250" s="14" t="s">
        <v>9</v>
      </c>
      <c r="S2250" s="37" cm="1">
        <f t="array" aca="1" ref="S22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50" s="346" t="s">
        <v>2110</v>
      </c>
      <c r="U2250" s="347">
        <f ca="1">S2250/S2245</f>
        <v>0</v>
      </c>
      <c r="V2250" s="347">
        <v>0</v>
      </c>
      <c r="W2250" s="347">
        <v>0</v>
      </c>
      <c r="X2250" s="14" t="s">
        <v>117</v>
      </c>
      <c r="Y2250" s="346" t="s">
        <v>413</v>
      </c>
      <c r="Z2250" s="14" t="str">
        <f>IF(ISBLANK(LCI_Table[[#This Row],[Notes for user]])," ",LCI_Table[[#This Row],[Notes for user]])</f>
        <v xml:space="preserve"> </v>
      </c>
      <c r="AA2250" s="14"/>
      <c r="AB2250" s="14"/>
      <c r="AC2250" s="346">
        <f ca="1">LCI_Table[[#This Row],[Default Calculated Value]]-LCI_Table[[#This Row],[Calculated Value]]</f>
        <v>0</v>
      </c>
    </row>
    <row r="2251" spans="1:29" x14ac:dyDescent="0.3">
      <c r="A22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ATJICAOJRC(blank)_ForestResidue_Collection_LPGLPG</v>
      </c>
      <c r="B2251" s="14" t="s">
        <v>316</v>
      </c>
      <c r="C2251" s="14" t="s">
        <v>883</v>
      </c>
      <c r="D2251" s="14" t="s">
        <v>194</v>
      </c>
      <c r="E2251" s="14" t="s">
        <v>355</v>
      </c>
      <c r="F2251" s="48" t="s">
        <v>31</v>
      </c>
      <c r="G2251" s="14" t="b">
        <f>OR(LCI_Table[[#This Row],[Feedstock]]="All",LCI_Table[[#This Row],[Feedstock]]=SelectedFeedstock)</f>
        <v>0</v>
      </c>
      <c r="H2251" s="14" t="b">
        <f>OR(LCI_Table[[#This Row],[Conversion]]="All",LCI_Table[[#This Row],[Conversion]]=SelectedConversion)</f>
        <v>0</v>
      </c>
      <c r="I2251" s="14" t="b">
        <f>OR(LCI_Table[[#This Row],[Data Set]]="all",LCI_Table[[#This Row],[Data Set]]=SelectedDataSet)</f>
        <v>0</v>
      </c>
      <c r="J2251" s="14" t="b">
        <f>OR(LCI_Table[[#This Row],[Technology]]="All",LCI_Table[[#This Row],[Technology]]=SelectedTechnology)</f>
        <v>1</v>
      </c>
      <c r="K2251" s="14" t="b">
        <f>OR(LCI_Table[[#This Row],[Data Source]]="All",LCI_Table[[#This Row],[Data Source]]=SelectedDataSource)</f>
        <v>0</v>
      </c>
      <c r="L2251" s="14" t="b">
        <f>TRUE</f>
        <v>1</v>
      </c>
      <c r="M2251" s="14" t="b">
        <f>(LCI_Table[[#This Row],[Dev Notes]]="Do not display")</f>
        <v>0</v>
      </c>
      <c r="N2251" s="14" t="b">
        <f>AND(LCI_Table[[#This Row],[Show Feedstock]:[Conditional]],NOT(LCI_Table[[#This Row],[Hide Row]]))</f>
        <v>0</v>
      </c>
      <c r="O2251" s="14" t="b">
        <f>LCI_Table[[#This Row],[GREET1 Name Range]]=""</f>
        <v>0</v>
      </c>
      <c r="P2251" s="14" t="s">
        <v>147</v>
      </c>
      <c r="Q2251" s="14" t="s">
        <v>649</v>
      </c>
      <c r="R2251" s="14" t="s">
        <v>109</v>
      </c>
      <c r="S2251" s="37" cm="1">
        <f t="array" aca="1" ref="S22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51" s="346" t="s">
        <v>1484</v>
      </c>
      <c r="U2251" s="347">
        <f ca="1">S2251*Fuel_Specs!$B$35/S2245</f>
        <v>0</v>
      </c>
      <c r="V2251" s="347">
        <v>0</v>
      </c>
      <c r="W2251" s="347">
        <v>0</v>
      </c>
      <c r="X2251" s="14" t="s">
        <v>5</v>
      </c>
      <c r="Y2251" s="346" t="s">
        <v>413</v>
      </c>
      <c r="Z2251" s="14" t="str">
        <f>IF(ISBLANK(LCI_Table[[#This Row],[Notes for user]])," ",LCI_Table[[#This Row],[Notes for user]])</f>
        <v xml:space="preserve"> </v>
      </c>
      <c r="AA2251" s="14"/>
      <c r="AB2251" s="14"/>
      <c r="AC2251" s="346">
        <f ca="1">LCI_Table[[#This Row],[Default Calculated Value]]-LCI_Table[[#This Row],[Calculated Value]]</f>
        <v>0</v>
      </c>
    </row>
    <row r="2252" spans="1:29" x14ac:dyDescent="0.3">
      <c r="A22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ATJICAOJRC(blank)_ForestResidue_Collection_ElectricityElectricity</v>
      </c>
      <c r="B2252" s="14" t="s">
        <v>316</v>
      </c>
      <c r="C2252" s="14" t="s">
        <v>883</v>
      </c>
      <c r="D2252" s="14" t="s">
        <v>194</v>
      </c>
      <c r="E2252" s="14" t="s">
        <v>355</v>
      </c>
      <c r="F2252" s="48" t="s">
        <v>31</v>
      </c>
      <c r="G2252" s="14" t="b">
        <f>OR(LCI_Table[[#This Row],[Feedstock]]="All",LCI_Table[[#This Row],[Feedstock]]=SelectedFeedstock)</f>
        <v>0</v>
      </c>
      <c r="H2252" s="14" t="b">
        <f>OR(LCI_Table[[#This Row],[Conversion]]="All",LCI_Table[[#This Row],[Conversion]]=SelectedConversion)</f>
        <v>0</v>
      </c>
      <c r="I2252" s="14" t="b">
        <f>OR(LCI_Table[[#This Row],[Data Set]]="all",LCI_Table[[#This Row],[Data Set]]=SelectedDataSet)</f>
        <v>0</v>
      </c>
      <c r="J2252" s="14" t="b">
        <f>OR(LCI_Table[[#This Row],[Technology]]="All",LCI_Table[[#This Row],[Technology]]=SelectedTechnology)</f>
        <v>1</v>
      </c>
      <c r="K2252" s="14" t="b">
        <f>OR(LCI_Table[[#This Row],[Data Source]]="All",LCI_Table[[#This Row],[Data Source]]=SelectedDataSource)</f>
        <v>0</v>
      </c>
      <c r="L2252" s="14" t="b">
        <f>TRUE</f>
        <v>1</v>
      </c>
      <c r="M2252" s="14" t="b">
        <f>(LCI_Table[[#This Row],[Dev Notes]]="Do not display")</f>
        <v>0</v>
      </c>
      <c r="N2252" s="14" t="b">
        <f>AND(LCI_Table[[#This Row],[Show Feedstock]:[Conditional]],NOT(LCI_Table[[#This Row],[Hide Row]]))</f>
        <v>0</v>
      </c>
      <c r="O2252" s="14" t="b">
        <f>LCI_Table[[#This Row],[GREET1 Name Range]]=""</f>
        <v>0</v>
      </c>
      <c r="P2252" s="14" t="s">
        <v>147</v>
      </c>
      <c r="Q2252" s="14" t="s">
        <v>647</v>
      </c>
      <c r="R2252" s="348" t="s">
        <v>110</v>
      </c>
      <c r="S2252" s="37" cm="1">
        <f t="array" aca="1" ref="S22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52" s="346" t="s">
        <v>1561</v>
      </c>
      <c r="U2252" s="347">
        <f ca="1">S2252/BTU2kWh/S2245</f>
        <v>0</v>
      </c>
      <c r="V2252" s="347">
        <v>0</v>
      </c>
      <c r="W2252" s="347">
        <v>0</v>
      </c>
      <c r="X2252" s="14" t="s">
        <v>51</v>
      </c>
      <c r="Y2252" s="346" t="s">
        <v>413</v>
      </c>
      <c r="Z2252" s="14" t="str">
        <f>IF(ISBLANK(LCI_Table[[#This Row],[Notes for user]])," ",LCI_Table[[#This Row],[Notes for user]])</f>
        <v xml:space="preserve"> </v>
      </c>
      <c r="AA2252" s="14"/>
      <c r="AB2252" s="14"/>
      <c r="AC2252" s="346">
        <f ca="1">LCI_Table[[#This Row],[Default Calculated Value]]-LCI_Table[[#This Row],[Calculated Value]]</f>
        <v>0</v>
      </c>
    </row>
    <row r="2253" spans="1:29" x14ac:dyDescent="0.3">
      <c r="A22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ATJICAOJRC(blank)_Forest_residue_i_BuOH_ATJ_Forest_residueForest residue</v>
      </c>
      <c r="B2253" s="14" t="s">
        <v>316</v>
      </c>
      <c r="C2253" s="14" t="s">
        <v>883</v>
      </c>
      <c r="D2253" s="14" t="s">
        <v>194</v>
      </c>
      <c r="E2253" s="14" t="s">
        <v>355</v>
      </c>
      <c r="F2253" s="48" t="s">
        <v>31</v>
      </c>
      <c r="G2253" s="14" t="b">
        <f>OR(LCI_Table[[#This Row],[Feedstock]]="All",LCI_Table[[#This Row],[Feedstock]]=SelectedFeedstock)</f>
        <v>0</v>
      </c>
      <c r="H2253" s="14" t="b">
        <f>OR(LCI_Table[[#This Row],[Conversion]]="All",LCI_Table[[#This Row],[Conversion]]=SelectedConversion)</f>
        <v>0</v>
      </c>
      <c r="I2253" s="14" t="b">
        <f>OR(LCI_Table[[#This Row],[Data Set]]="all",LCI_Table[[#This Row],[Data Set]]=SelectedDataSet)</f>
        <v>0</v>
      </c>
      <c r="J2253" s="14" t="b">
        <f>OR(LCI_Table[[#This Row],[Technology]]="All",LCI_Table[[#This Row],[Technology]]=SelectedTechnology)</f>
        <v>1</v>
      </c>
      <c r="K2253" s="14" t="b">
        <f>OR(LCI_Table[[#This Row],[Data Source]]="All",LCI_Table[[#This Row],[Data Source]]=SelectedDataSource)</f>
        <v>0</v>
      </c>
      <c r="L2253" s="14" t="b">
        <f>TRUE</f>
        <v>1</v>
      </c>
      <c r="M2253" s="14" t="b">
        <f>(LCI_Table[[#This Row],[Dev Notes]]="Do not display")</f>
        <v>0</v>
      </c>
      <c r="N2253" s="14" t="b">
        <f>AND(LCI_Table[[#This Row],[Show Feedstock]:[Conditional]],NOT(LCI_Table[[#This Row],[Hide Row]]))</f>
        <v>0</v>
      </c>
      <c r="O2253" s="14" t="b">
        <f>LCI_Table[[#This Row],[GREET1 Name Range]]=""</f>
        <v>0</v>
      </c>
      <c r="P2253" s="358" t="s">
        <v>1448</v>
      </c>
      <c r="Q2253" s="14" t="s">
        <v>1032</v>
      </c>
      <c r="R2253" s="14" t="s">
        <v>316</v>
      </c>
      <c r="S2253" s="37" cm="1">
        <f t="array" aca="1" ref="S22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372.15999907582295</v>
      </c>
      <c r="T2253" s="346" t="s">
        <v>2119</v>
      </c>
      <c r="U2253" s="347">
        <f ca="1">S2253/kg2lb*MJ2mmBTU</f>
        <v>0.16</v>
      </c>
      <c r="V2253" s="347">
        <v>372.15999907582295</v>
      </c>
      <c r="W2253" s="347">
        <v>0.16</v>
      </c>
      <c r="X2253" s="14" t="s">
        <v>12</v>
      </c>
      <c r="Y2253" s="346" t="s">
        <v>416</v>
      </c>
      <c r="Z2253" s="14" t="str">
        <f>IF(ISBLANK(LCI_Table[[#This Row],[Notes for user]])," ",LCI_Table[[#This Row],[Notes for user]])</f>
        <v xml:space="preserve"> </v>
      </c>
      <c r="AA2253" s="14"/>
      <c r="AB2253" s="358"/>
      <c r="AC2253" s="346">
        <f ca="1">LCI_Table[[#This Row],[Default Calculated Value]]-LCI_Table[[#This Row],[Calculated Value]]</f>
        <v>0</v>
      </c>
    </row>
    <row r="2254" spans="1:29" x14ac:dyDescent="0.3">
      <c r="A22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ATJICAOJRC(blank)_Forest_residue_i_BuOH_ATJ_CellulaseCellulase</v>
      </c>
      <c r="B2254" s="14" t="s">
        <v>316</v>
      </c>
      <c r="C2254" s="14" t="s">
        <v>883</v>
      </c>
      <c r="D2254" s="14" t="s">
        <v>194</v>
      </c>
      <c r="E2254" s="14" t="s">
        <v>355</v>
      </c>
      <c r="F2254" s="48" t="s">
        <v>31</v>
      </c>
      <c r="G2254" s="14" t="b">
        <f>OR(LCI_Table[[#This Row],[Feedstock]]="All",LCI_Table[[#This Row],[Feedstock]]=SelectedFeedstock)</f>
        <v>0</v>
      </c>
      <c r="H2254" s="14" t="b">
        <f>OR(LCI_Table[[#This Row],[Conversion]]="All",LCI_Table[[#This Row],[Conversion]]=SelectedConversion)</f>
        <v>0</v>
      </c>
      <c r="I2254" s="14" t="b">
        <f>OR(LCI_Table[[#This Row],[Data Set]]="all",LCI_Table[[#This Row],[Data Set]]=SelectedDataSet)</f>
        <v>0</v>
      </c>
      <c r="J2254" s="14" t="b">
        <f>OR(LCI_Table[[#This Row],[Technology]]="All",LCI_Table[[#This Row],[Technology]]=SelectedTechnology)</f>
        <v>1</v>
      </c>
      <c r="K2254" s="14" t="b">
        <f>OR(LCI_Table[[#This Row],[Data Source]]="All",LCI_Table[[#This Row],[Data Source]]=SelectedDataSource)</f>
        <v>0</v>
      </c>
      <c r="L2254" s="14" t="b">
        <f>TRUE</f>
        <v>1</v>
      </c>
      <c r="M2254" s="14" t="b">
        <f>(LCI_Table[[#This Row],[Dev Notes]]="Do not display")</f>
        <v>0</v>
      </c>
      <c r="N2254" s="14" t="b">
        <f>AND(LCI_Table[[#This Row],[Show Feedstock]:[Conditional]],NOT(LCI_Table[[#This Row],[Hide Row]]))</f>
        <v>0</v>
      </c>
      <c r="O2254" s="14" t="b">
        <f>LCI_Table[[#This Row],[GREET1 Name Range]]=""</f>
        <v>0</v>
      </c>
      <c r="P2254" s="358" t="s">
        <v>1448</v>
      </c>
      <c r="Q2254" s="14" t="s">
        <v>1033</v>
      </c>
      <c r="R2254" s="14" t="s">
        <v>402</v>
      </c>
      <c r="S2254" s="37" cm="1">
        <f t="array" aca="1" ref="S22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1.9538399951480705</v>
      </c>
      <c r="T2254" s="346" t="s">
        <v>2119</v>
      </c>
      <c r="U2254" s="347">
        <f t="shared" ref="U2254" ca="1" si="152">S2254/g2lb*MJ2mmBTU</f>
        <v>0.84</v>
      </c>
      <c r="V2254" s="347">
        <v>1.9538399951480705</v>
      </c>
      <c r="W2254" s="347">
        <v>0.84</v>
      </c>
      <c r="X2254" s="14" t="s">
        <v>12</v>
      </c>
      <c r="Y2254" s="346" t="s">
        <v>416</v>
      </c>
      <c r="Z2254" s="14" t="str">
        <f>IF(ISBLANK(LCI_Table[[#This Row],[Notes for user]])," ",LCI_Table[[#This Row],[Notes for user]])</f>
        <v xml:space="preserve"> </v>
      </c>
      <c r="AA2254" s="14"/>
      <c r="AB2254" s="14"/>
      <c r="AC2254" s="346">
        <f ca="1">LCI_Table[[#This Row],[Default Calculated Value]]-LCI_Table[[#This Row],[Calculated Value]]</f>
        <v>0</v>
      </c>
    </row>
    <row r="2255" spans="1:29" x14ac:dyDescent="0.3">
      <c r="A22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ATJICAOJRC(blank)_Forest_residue_i_BuOH_ATJ_YeastYeast</v>
      </c>
      <c r="B2255" s="14" t="s">
        <v>316</v>
      </c>
      <c r="C2255" s="14" t="s">
        <v>883</v>
      </c>
      <c r="D2255" s="14" t="s">
        <v>194</v>
      </c>
      <c r="E2255" s="14" t="s">
        <v>355</v>
      </c>
      <c r="F2255" s="48" t="s">
        <v>31</v>
      </c>
      <c r="G2255" s="14" t="b">
        <f>OR(LCI_Table[[#This Row],[Feedstock]]="All",LCI_Table[[#This Row],[Feedstock]]=SelectedFeedstock)</f>
        <v>0</v>
      </c>
      <c r="H2255" s="14" t="b">
        <f>OR(LCI_Table[[#This Row],[Conversion]]="All",LCI_Table[[#This Row],[Conversion]]=SelectedConversion)</f>
        <v>0</v>
      </c>
      <c r="I2255" s="14" t="b">
        <f>OR(LCI_Table[[#This Row],[Data Set]]="all",LCI_Table[[#This Row],[Data Set]]=SelectedDataSet)</f>
        <v>0</v>
      </c>
      <c r="J2255" s="14" t="b">
        <f>OR(LCI_Table[[#This Row],[Technology]]="All",LCI_Table[[#This Row],[Technology]]=SelectedTechnology)</f>
        <v>1</v>
      </c>
      <c r="K2255" s="14" t="b">
        <f>OR(LCI_Table[[#This Row],[Data Source]]="All",LCI_Table[[#This Row],[Data Source]]=SelectedDataSource)</f>
        <v>0</v>
      </c>
      <c r="L2255" s="14" t="b">
        <f>TRUE</f>
        <v>1</v>
      </c>
      <c r="M2255" s="14" t="b">
        <f>(LCI_Table[[#This Row],[Dev Notes]]="Do not display")</f>
        <v>0</v>
      </c>
      <c r="N2255" s="14" t="b">
        <f>AND(LCI_Table[[#This Row],[Show Feedstock]:[Conditional]],NOT(LCI_Table[[#This Row],[Hide Row]]))</f>
        <v>0</v>
      </c>
      <c r="O2255" s="14" t="b">
        <f>LCI_Table[[#This Row],[GREET1 Name Range]]=""</f>
        <v>0</v>
      </c>
      <c r="P2255" s="358" t="s">
        <v>1448</v>
      </c>
      <c r="Q2255" s="14" t="s">
        <v>1034</v>
      </c>
      <c r="R2255" s="14" t="s">
        <v>145</v>
      </c>
      <c r="S2255" s="37" cm="1">
        <f t="array" aca="1" ref="S22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55" s="346" t="s">
        <v>2119</v>
      </c>
      <c r="U2255" s="347">
        <f t="shared" ref="U2255" ca="1" si="153">S2255/g2lb*MJ2mmBTU</f>
        <v>0</v>
      </c>
      <c r="V2255" s="347">
        <v>0</v>
      </c>
      <c r="W2255" s="347">
        <v>0</v>
      </c>
      <c r="X2255" s="14" t="s">
        <v>12</v>
      </c>
      <c r="Y2255" s="346" t="s">
        <v>416</v>
      </c>
      <c r="Z2255" s="14" t="str">
        <f>IF(ISBLANK(LCI_Table[[#This Row],[Notes for user]])," ",LCI_Table[[#This Row],[Notes for user]])</f>
        <v xml:space="preserve"> </v>
      </c>
      <c r="AA2255" s="14"/>
      <c r="AB2255" s="14"/>
      <c r="AC2255" s="346">
        <f ca="1">LCI_Table[[#This Row],[Default Calculated Value]]-LCI_Table[[#This Row],[Calculated Value]]</f>
        <v>0</v>
      </c>
    </row>
    <row r="2256" spans="1:29" x14ac:dyDescent="0.3">
      <c r="A22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ATJICAOJRC(blank)_Forest_residue_i_BuOH_ATJ_Sulfuric_acidSulfuric acid</v>
      </c>
      <c r="B2256" s="14" t="s">
        <v>316</v>
      </c>
      <c r="C2256" s="14" t="s">
        <v>883</v>
      </c>
      <c r="D2256" s="14" t="s">
        <v>194</v>
      </c>
      <c r="E2256" s="14" t="s">
        <v>355</v>
      </c>
      <c r="F2256" s="48" t="s">
        <v>31</v>
      </c>
      <c r="G2256" s="14" t="b">
        <f>OR(LCI_Table[[#This Row],[Feedstock]]="All",LCI_Table[[#This Row],[Feedstock]]=SelectedFeedstock)</f>
        <v>0</v>
      </c>
      <c r="H2256" s="14" t="b">
        <f>OR(LCI_Table[[#This Row],[Conversion]]="All",LCI_Table[[#This Row],[Conversion]]=SelectedConversion)</f>
        <v>0</v>
      </c>
      <c r="I2256" s="14" t="b">
        <f>OR(LCI_Table[[#This Row],[Data Set]]="all",LCI_Table[[#This Row],[Data Set]]=SelectedDataSet)</f>
        <v>0</v>
      </c>
      <c r="J2256" s="14" t="b">
        <f>OR(LCI_Table[[#This Row],[Technology]]="All",LCI_Table[[#This Row],[Technology]]=SelectedTechnology)</f>
        <v>1</v>
      </c>
      <c r="K2256" s="14" t="b">
        <f>OR(LCI_Table[[#This Row],[Data Source]]="All",LCI_Table[[#This Row],[Data Source]]=SelectedDataSource)</f>
        <v>0</v>
      </c>
      <c r="L2256" s="14" t="b">
        <f>TRUE</f>
        <v>1</v>
      </c>
      <c r="M2256" s="14" t="b">
        <f>(LCI_Table[[#This Row],[Dev Notes]]="Do not display")</f>
        <v>0</v>
      </c>
      <c r="N2256" s="14" t="b">
        <f>AND(LCI_Table[[#This Row],[Show Feedstock]:[Conditional]],NOT(LCI_Table[[#This Row],[Hide Row]]))</f>
        <v>0</v>
      </c>
      <c r="O2256" s="14" t="b">
        <f>LCI_Table[[#This Row],[GREET1 Name Range]]=""</f>
        <v>0</v>
      </c>
      <c r="P2256" s="358" t="s">
        <v>1448</v>
      </c>
      <c r="Q2256" s="14" t="s">
        <v>1035</v>
      </c>
      <c r="R2256" s="14" t="s">
        <v>384</v>
      </c>
      <c r="S2256" s="37" cm="1">
        <f t="array" aca="1" ref="S22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8.5829399786861664</v>
      </c>
      <c r="T2256" s="346" t="s">
        <v>2119</v>
      </c>
      <c r="U2256" s="347">
        <f t="shared" ref="U2256" ca="1" si="154">S2256/g2lb*MJ2mmBTU</f>
        <v>3.69</v>
      </c>
      <c r="V2256" s="347">
        <v>8.5829399786861664</v>
      </c>
      <c r="W2256" s="347">
        <v>3.69</v>
      </c>
      <c r="X2256" s="14" t="s">
        <v>12</v>
      </c>
      <c r="Y2256" s="346" t="s">
        <v>416</v>
      </c>
      <c r="Z2256" s="14" t="str">
        <f>IF(ISBLANK(LCI_Table[[#This Row],[Notes for user]])," ",LCI_Table[[#This Row],[Notes for user]])</f>
        <v xml:space="preserve"> </v>
      </c>
      <c r="AA2256" s="14"/>
      <c r="AB2256" s="14"/>
      <c r="AC2256" s="346">
        <f ca="1">LCI_Table[[#This Row],[Default Calculated Value]]-LCI_Table[[#This Row],[Calculated Value]]</f>
        <v>0</v>
      </c>
    </row>
    <row r="2257" spans="1:29" x14ac:dyDescent="0.3">
      <c r="A22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ATJICAOJRC(blank)_Forest_residue_i_BuOH_ATJ_AmmoniaAmmonia</v>
      </c>
      <c r="B2257" s="14" t="s">
        <v>316</v>
      </c>
      <c r="C2257" s="14" t="s">
        <v>883</v>
      </c>
      <c r="D2257" s="14" t="s">
        <v>194</v>
      </c>
      <c r="E2257" s="14" t="s">
        <v>355</v>
      </c>
      <c r="F2257" s="48" t="s">
        <v>31</v>
      </c>
      <c r="G2257" s="14" t="b">
        <f>OR(LCI_Table[[#This Row],[Feedstock]]="All",LCI_Table[[#This Row],[Feedstock]]=SelectedFeedstock)</f>
        <v>0</v>
      </c>
      <c r="H2257" s="14" t="b">
        <f>OR(LCI_Table[[#This Row],[Conversion]]="All",LCI_Table[[#This Row],[Conversion]]=SelectedConversion)</f>
        <v>0</v>
      </c>
      <c r="I2257" s="14" t="b">
        <f>OR(LCI_Table[[#This Row],[Data Set]]="all",LCI_Table[[#This Row],[Data Set]]=SelectedDataSet)</f>
        <v>0</v>
      </c>
      <c r="J2257" s="14" t="b">
        <f>OR(LCI_Table[[#This Row],[Technology]]="All",LCI_Table[[#This Row],[Technology]]=SelectedTechnology)</f>
        <v>1</v>
      </c>
      <c r="K2257" s="14" t="b">
        <f>OR(LCI_Table[[#This Row],[Data Source]]="All",LCI_Table[[#This Row],[Data Source]]=SelectedDataSource)</f>
        <v>0</v>
      </c>
      <c r="L2257" s="14" t="b">
        <f>TRUE</f>
        <v>1</v>
      </c>
      <c r="M2257" s="14" t="b">
        <f>(LCI_Table[[#This Row],[Dev Notes]]="Do not display")</f>
        <v>0</v>
      </c>
      <c r="N2257" s="14" t="b">
        <f>AND(LCI_Table[[#This Row],[Show Feedstock]:[Conditional]],NOT(LCI_Table[[#This Row],[Hide Row]]))</f>
        <v>0</v>
      </c>
      <c r="O2257" s="14" t="b">
        <f>LCI_Table[[#This Row],[GREET1 Name Range]]=""</f>
        <v>0</v>
      </c>
      <c r="P2257" s="358" t="s">
        <v>1448</v>
      </c>
      <c r="Q2257" s="14" t="s">
        <v>1036</v>
      </c>
      <c r="R2257" s="14" t="s">
        <v>382</v>
      </c>
      <c r="S2257" s="37" cm="1">
        <f t="array" aca="1" ref="S22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5.1869799871192823</v>
      </c>
      <c r="T2257" s="346" t="s">
        <v>2119</v>
      </c>
      <c r="U2257" s="347">
        <f t="shared" ref="U2257" ca="1" si="155">S2257/g2lb*MJ2mmBTU</f>
        <v>2.23</v>
      </c>
      <c r="V2257" s="347">
        <v>5.1869799871192823</v>
      </c>
      <c r="W2257" s="347">
        <v>2.23</v>
      </c>
      <c r="X2257" s="14" t="s">
        <v>12</v>
      </c>
      <c r="Y2257" s="346" t="s">
        <v>416</v>
      </c>
      <c r="Z2257" s="14" t="str">
        <f>IF(ISBLANK(LCI_Table[[#This Row],[Notes for user]])," ",LCI_Table[[#This Row],[Notes for user]])</f>
        <v xml:space="preserve"> </v>
      </c>
      <c r="AA2257" s="14"/>
      <c r="AB2257" s="14"/>
      <c r="AC2257" s="346">
        <f ca="1">LCI_Table[[#This Row],[Default Calculated Value]]-LCI_Table[[#This Row],[Calculated Value]]</f>
        <v>0</v>
      </c>
    </row>
    <row r="2258" spans="1:29" x14ac:dyDescent="0.3">
      <c r="A22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ATJICAOJRC(blank)_Forest_residue_i_BuOH_ATJ_Corn_steep_liquorCorn steep liquor</v>
      </c>
      <c r="B2258" s="14" t="s">
        <v>316</v>
      </c>
      <c r="C2258" s="14" t="s">
        <v>883</v>
      </c>
      <c r="D2258" s="14" t="s">
        <v>194</v>
      </c>
      <c r="E2258" s="14" t="s">
        <v>355</v>
      </c>
      <c r="F2258" s="48" t="s">
        <v>31</v>
      </c>
      <c r="G2258" s="14" t="b">
        <f>OR(LCI_Table[[#This Row],[Feedstock]]="All",LCI_Table[[#This Row],[Feedstock]]=SelectedFeedstock)</f>
        <v>0</v>
      </c>
      <c r="H2258" s="14" t="b">
        <f>OR(LCI_Table[[#This Row],[Conversion]]="All",LCI_Table[[#This Row],[Conversion]]=SelectedConversion)</f>
        <v>0</v>
      </c>
      <c r="I2258" s="14" t="b">
        <f>OR(LCI_Table[[#This Row],[Data Set]]="all",LCI_Table[[#This Row],[Data Set]]=SelectedDataSet)</f>
        <v>0</v>
      </c>
      <c r="J2258" s="14" t="b">
        <f>OR(LCI_Table[[#This Row],[Technology]]="All",LCI_Table[[#This Row],[Technology]]=SelectedTechnology)</f>
        <v>1</v>
      </c>
      <c r="K2258" s="14" t="b">
        <f>OR(LCI_Table[[#This Row],[Data Source]]="All",LCI_Table[[#This Row],[Data Source]]=SelectedDataSource)</f>
        <v>0</v>
      </c>
      <c r="L2258" s="14" t="b">
        <f>TRUE</f>
        <v>1</v>
      </c>
      <c r="M2258" s="14" t="b">
        <f>(LCI_Table[[#This Row],[Dev Notes]]="Do not display")</f>
        <v>0</v>
      </c>
      <c r="N2258" s="14" t="b">
        <f>AND(LCI_Table[[#This Row],[Show Feedstock]:[Conditional]],NOT(LCI_Table[[#This Row],[Hide Row]]))</f>
        <v>0</v>
      </c>
      <c r="O2258" s="14" t="b">
        <f>LCI_Table[[#This Row],[GREET1 Name Range]]=""</f>
        <v>0</v>
      </c>
      <c r="P2258" s="358" t="s">
        <v>1448</v>
      </c>
      <c r="Q2258" s="14" t="s">
        <v>1037</v>
      </c>
      <c r="R2258" s="14" t="s">
        <v>386</v>
      </c>
      <c r="S2258" s="37" cm="1">
        <f t="array" aca="1" ref="S22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5.4195799865416721</v>
      </c>
      <c r="T2258" s="346" t="s">
        <v>2119</v>
      </c>
      <c r="U2258" s="347">
        <f t="shared" ref="U2258" ca="1" si="156">S2258/g2lb*MJ2mmBTU</f>
        <v>2.33</v>
      </c>
      <c r="V2258" s="347">
        <v>5.4195799865416721</v>
      </c>
      <c r="W2258" s="347">
        <v>2.33</v>
      </c>
      <c r="X2258" s="14" t="s">
        <v>12</v>
      </c>
      <c r="Y2258" s="346" t="s">
        <v>416</v>
      </c>
      <c r="Z2258" s="14" t="str">
        <f>IF(ISBLANK(LCI_Table[[#This Row],[Notes for user]])," ",LCI_Table[[#This Row],[Notes for user]])</f>
        <v xml:space="preserve"> </v>
      </c>
      <c r="AA2258" s="14"/>
      <c r="AB2258" s="14"/>
      <c r="AC2258" s="346">
        <f ca="1">LCI_Table[[#This Row],[Default Calculated Value]]-LCI_Table[[#This Row],[Calculated Value]]</f>
        <v>0</v>
      </c>
    </row>
    <row r="2259" spans="1:29" x14ac:dyDescent="0.3">
      <c r="A22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ATJICAOJRC(blank)_Forest_residue_i_BuOH_ATJ_DAPDAP</v>
      </c>
      <c r="B2259" s="14" t="s">
        <v>316</v>
      </c>
      <c r="C2259" s="14" t="s">
        <v>883</v>
      </c>
      <c r="D2259" s="14" t="s">
        <v>194</v>
      </c>
      <c r="E2259" s="14" t="s">
        <v>355</v>
      </c>
      <c r="F2259" s="48" t="s">
        <v>31</v>
      </c>
      <c r="G2259" s="14" t="b">
        <f>OR(LCI_Table[[#This Row],[Feedstock]]="All",LCI_Table[[#This Row],[Feedstock]]=SelectedFeedstock)</f>
        <v>0</v>
      </c>
      <c r="H2259" s="14" t="b">
        <f>OR(LCI_Table[[#This Row],[Conversion]]="All",LCI_Table[[#This Row],[Conversion]]=SelectedConversion)</f>
        <v>0</v>
      </c>
      <c r="I2259" s="14" t="b">
        <f>OR(LCI_Table[[#This Row],[Data Set]]="all",LCI_Table[[#This Row],[Data Set]]=SelectedDataSet)</f>
        <v>0</v>
      </c>
      <c r="J2259" s="14" t="b">
        <f>OR(LCI_Table[[#This Row],[Technology]]="All",LCI_Table[[#This Row],[Technology]]=SelectedTechnology)</f>
        <v>1</v>
      </c>
      <c r="K2259" s="14" t="b">
        <f>OR(LCI_Table[[#This Row],[Data Source]]="All",LCI_Table[[#This Row],[Data Source]]=SelectedDataSource)</f>
        <v>0</v>
      </c>
      <c r="L2259" s="14" t="b">
        <f>TRUE</f>
        <v>1</v>
      </c>
      <c r="M2259" s="14" t="b">
        <f>(LCI_Table[[#This Row],[Dev Notes]]="Do not display")</f>
        <v>0</v>
      </c>
      <c r="N2259" s="14" t="b">
        <f>AND(LCI_Table[[#This Row],[Show Feedstock]:[Conditional]],NOT(LCI_Table[[#This Row],[Hide Row]]))</f>
        <v>0</v>
      </c>
      <c r="O2259" s="14" t="b">
        <f>LCI_Table[[#This Row],[GREET1 Name Range]]=""</f>
        <v>0</v>
      </c>
      <c r="P2259" s="358" t="s">
        <v>1448</v>
      </c>
      <c r="Q2259" s="14" t="s">
        <v>1038</v>
      </c>
      <c r="R2259" s="14" t="s">
        <v>383</v>
      </c>
      <c r="S2259" s="37" cm="1">
        <f t="array" aca="1" ref="S22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0.58149999855597334</v>
      </c>
      <c r="T2259" s="346" t="s">
        <v>2119</v>
      </c>
      <c r="U2259" s="347">
        <f t="shared" ref="U2259" ca="1" si="157">S2259/g2lb*MJ2mmBTU</f>
        <v>0.24999999999999997</v>
      </c>
      <c r="V2259" s="347">
        <v>0.58149999855597334</v>
      </c>
      <c r="W2259" s="347">
        <v>0.24999999999999997</v>
      </c>
      <c r="X2259" s="14" t="s">
        <v>12</v>
      </c>
      <c r="Y2259" s="346" t="s">
        <v>416</v>
      </c>
      <c r="Z2259" s="14" t="str">
        <f>IF(ISBLANK(LCI_Table[[#This Row],[Notes for user]])," ",LCI_Table[[#This Row],[Notes for user]])</f>
        <v xml:space="preserve"> </v>
      </c>
      <c r="AA2259" s="14"/>
      <c r="AB2259" s="14"/>
      <c r="AC2259" s="346">
        <f ca="1">LCI_Table[[#This Row],[Default Calculated Value]]-LCI_Table[[#This Row],[Calculated Value]]</f>
        <v>0</v>
      </c>
    </row>
    <row r="2260" spans="1:29" x14ac:dyDescent="0.3">
      <c r="A22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ATJICAOJRC(blank)_Forest_residue_i_BuOH_ATJ_NaOHNaOH</v>
      </c>
      <c r="B2260" s="14" t="s">
        <v>316</v>
      </c>
      <c r="C2260" s="14" t="s">
        <v>883</v>
      </c>
      <c r="D2260" s="14" t="s">
        <v>194</v>
      </c>
      <c r="E2260" s="14" t="s">
        <v>355</v>
      </c>
      <c r="F2260" s="48" t="s">
        <v>31</v>
      </c>
      <c r="G2260" s="14" t="b">
        <f>OR(LCI_Table[[#This Row],[Feedstock]]="All",LCI_Table[[#This Row],[Feedstock]]=SelectedFeedstock)</f>
        <v>0</v>
      </c>
      <c r="H2260" s="14" t="b">
        <f>OR(LCI_Table[[#This Row],[Conversion]]="All",LCI_Table[[#This Row],[Conversion]]=SelectedConversion)</f>
        <v>0</v>
      </c>
      <c r="I2260" s="14" t="b">
        <f>OR(LCI_Table[[#This Row],[Data Set]]="all",LCI_Table[[#This Row],[Data Set]]=SelectedDataSet)</f>
        <v>0</v>
      </c>
      <c r="J2260" s="14" t="b">
        <f>OR(LCI_Table[[#This Row],[Technology]]="All",LCI_Table[[#This Row],[Technology]]=SelectedTechnology)</f>
        <v>1</v>
      </c>
      <c r="K2260" s="14" t="b">
        <f>OR(LCI_Table[[#This Row],[Data Source]]="All",LCI_Table[[#This Row],[Data Source]]=SelectedDataSource)</f>
        <v>0</v>
      </c>
      <c r="L2260" s="14" t="b">
        <f>TRUE</f>
        <v>1</v>
      </c>
      <c r="M2260" s="14" t="b">
        <f>(LCI_Table[[#This Row],[Dev Notes]]="Do not display")</f>
        <v>0</v>
      </c>
      <c r="N2260" s="14" t="b">
        <f>AND(LCI_Table[[#This Row],[Show Feedstock]:[Conditional]],NOT(LCI_Table[[#This Row],[Hide Row]]))</f>
        <v>0</v>
      </c>
      <c r="O2260" s="14" t="b">
        <f>LCI_Table[[#This Row],[GREET1 Name Range]]=""</f>
        <v>0</v>
      </c>
      <c r="P2260" s="358" t="s">
        <v>1448</v>
      </c>
      <c r="Q2260" s="14" t="s">
        <v>1371</v>
      </c>
      <c r="R2260" s="14" t="s">
        <v>403</v>
      </c>
      <c r="S2260" s="37" cm="1">
        <f t="array" aca="1" ref="S22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9.4435599765490057</v>
      </c>
      <c r="T2260" s="346" t="s">
        <v>2119</v>
      </c>
      <c r="U2260" s="347">
        <f t="shared" ref="U2260" ca="1" si="158">S2260/g2lb*MJ2mmBTU</f>
        <v>4.0599999999999996</v>
      </c>
      <c r="V2260" s="347">
        <v>9.4435599765490057</v>
      </c>
      <c r="W2260" s="347">
        <v>4.0599999999999996</v>
      </c>
      <c r="X2260" s="14" t="s">
        <v>12</v>
      </c>
      <c r="Y2260" s="346" t="s">
        <v>416</v>
      </c>
      <c r="Z2260" s="14" t="str">
        <f>IF(ISBLANK(LCI_Table[[#This Row],[Notes for user]])," ",LCI_Table[[#This Row],[Notes for user]])</f>
        <v xml:space="preserve"> </v>
      </c>
      <c r="AA2260" s="14"/>
      <c r="AB2260" s="14"/>
      <c r="AC2260" s="346">
        <f ca="1">LCI_Table[[#This Row],[Default Calculated Value]]-LCI_Table[[#This Row],[Calculated Value]]</f>
        <v>0</v>
      </c>
    </row>
    <row r="2261" spans="1:29" x14ac:dyDescent="0.3">
      <c r="A22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ATJICAOJRC(blank)_Forest_residue_i_BuOH_ATJ_Quicklime_CaCO3Quicklime (CaO)</v>
      </c>
      <c r="B2261" s="14" t="s">
        <v>316</v>
      </c>
      <c r="C2261" s="14" t="s">
        <v>883</v>
      </c>
      <c r="D2261" s="14" t="s">
        <v>194</v>
      </c>
      <c r="E2261" s="14" t="s">
        <v>355</v>
      </c>
      <c r="F2261" s="48" t="s">
        <v>31</v>
      </c>
      <c r="G2261" s="14" t="b">
        <f>OR(LCI_Table[[#This Row],[Feedstock]]="All",LCI_Table[[#This Row],[Feedstock]]=SelectedFeedstock)</f>
        <v>0</v>
      </c>
      <c r="H2261" s="14" t="b">
        <f>OR(LCI_Table[[#This Row],[Conversion]]="All",LCI_Table[[#This Row],[Conversion]]=SelectedConversion)</f>
        <v>0</v>
      </c>
      <c r="I2261" s="14" t="b">
        <f>OR(LCI_Table[[#This Row],[Data Set]]="all",LCI_Table[[#This Row],[Data Set]]=SelectedDataSet)</f>
        <v>0</v>
      </c>
      <c r="J2261" s="14" t="b">
        <f>OR(LCI_Table[[#This Row],[Technology]]="All",LCI_Table[[#This Row],[Technology]]=SelectedTechnology)</f>
        <v>1</v>
      </c>
      <c r="K2261" s="14" t="b">
        <f>OR(LCI_Table[[#This Row],[Data Source]]="All",LCI_Table[[#This Row],[Data Source]]=SelectedDataSource)</f>
        <v>0</v>
      </c>
      <c r="L2261" s="14" t="b">
        <f>TRUE</f>
        <v>1</v>
      </c>
      <c r="M2261" s="14" t="b">
        <f>(LCI_Table[[#This Row],[Dev Notes]]="Do not display")</f>
        <v>0</v>
      </c>
      <c r="N2261" s="14" t="b">
        <f>AND(LCI_Table[[#This Row],[Show Feedstock]:[Conditional]],NOT(LCI_Table[[#This Row],[Hide Row]]))</f>
        <v>0</v>
      </c>
      <c r="O2261" s="14" t="b">
        <f>LCI_Table[[#This Row],[GREET1 Name Range]]=""</f>
        <v>0</v>
      </c>
      <c r="P2261" s="358" t="s">
        <v>1448</v>
      </c>
      <c r="Q2261" s="14" t="s">
        <v>1372</v>
      </c>
      <c r="R2261" s="14" t="s">
        <v>404</v>
      </c>
      <c r="S2261" s="37" cm="1">
        <f t="array" aca="1" ref="S22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3.8146399905271853</v>
      </c>
      <c r="T2261" s="346" t="s">
        <v>2119</v>
      </c>
      <c r="U2261" s="347">
        <f t="shared" ref="U2261" ca="1" si="159">S2261/g2lb*MJ2mmBTU</f>
        <v>1.64</v>
      </c>
      <c r="V2261" s="347">
        <v>3.8146399905271853</v>
      </c>
      <c r="W2261" s="347">
        <v>1.64</v>
      </c>
      <c r="X2261" s="14" t="s">
        <v>12</v>
      </c>
      <c r="Y2261" s="346" t="s">
        <v>416</v>
      </c>
      <c r="Z2261" s="14" t="str">
        <f>IF(ISBLANK(LCI_Table[[#This Row],[Notes for user]])," ",LCI_Table[[#This Row],[Notes for user]])</f>
        <v xml:space="preserve"> </v>
      </c>
      <c r="AA2261" s="14"/>
      <c r="AB2261" s="14"/>
      <c r="AC2261" s="346">
        <f ca="1">LCI_Table[[#This Row],[Default Calculated Value]]-LCI_Table[[#This Row],[Calculated Value]]</f>
        <v>0</v>
      </c>
    </row>
    <row r="2262" spans="1:29" x14ac:dyDescent="0.3">
      <c r="A22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ATJICAOJRC(blank)_Forest_residue_i_BuOH_Fermentation_Natural_gasNatural gas (fermentation)</v>
      </c>
      <c r="B2262" s="14" t="s">
        <v>316</v>
      </c>
      <c r="C2262" s="14" t="s">
        <v>883</v>
      </c>
      <c r="D2262" s="14" t="s">
        <v>194</v>
      </c>
      <c r="E2262" s="14" t="s">
        <v>355</v>
      </c>
      <c r="F2262" s="48" t="s">
        <v>31</v>
      </c>
      <c r="G2262" s="14" t="b">
        <f>OR(LCI_Table[[#This Row],[Feedstock]]="All",LCI_Table[[#This Row],[Feedstock]]=SelectedFeedstock)</f>
        <v>0</v>
      </c>
      <c r="H2262" s="14" t="b">
        <f>OR(LCI_Table[[#This Row],[Conversion]]="All",LCI_Table[[#This Row],[Conversion]]=SelectedConversion)</f>
        <v>0</v>
      </c>
      <c r="I2262" s="14" t="b">
        <f>OR(LCI_Table[[#This Row],[Data Set]]="all",LCI_Table[[#This Row],[Data Set]]=SelectedDataSet)</f>
        <v>0</v>
      </c>
      <c r="J2262" s="14" t="b">
        <f>OR(LCI_Table[[#This Row],[Technology]]="All",LCI_Table[[#This Row],[Technology]]=SelectedTechnology)</f>
        <v>1</v>
      </c>
      <c r="K2262" s="14" t="b">
        <f>OR(LCI_Table[[#This Row],[Data Source]]="All",LCI_Table[[#This Row],[Data Source]]=SelectedDataSource)</f>
        <v>0</v>
      </c>
      <c r="L2262" s="14" t="b">
        <f>TRUE</f>
        <v>1</v>
      </c>
      <c r="M2262" s="14" t="b">
        <f>(LCI_Table[[#This Row],[Dev Notes]]="Do not display")</f>
        <v>0</v>
      </c>
      <c r="N2262" s="14" t="b">
        <f>AND(LCI_Table[[#This Row],[Show Feedstock]:[Conditional]],NOT(LCI_Table[[#This Row],[Hide Row]]))</f>
        <v>0</v>
      </c>
      <c r="O2262" s="14" t="b">
        <f>LCI_Table[[#This Row],[GREET1 Name Range]]=""</f>
        <v>0</v>
      </c>
      <c r="P2262" s="358" t="s">
        <v>1448</v>
      </c>
      <c r="Q2262" s="14" t="s">
        <v>1102</v>
      </c>
      <c r="R2262" s="14" t="s">
        <v>1132</v>
      </c>
      <c r="S2262" s="37" cm="1">
        <f t="array" aca="1" ref="S22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10.172939979654121</v>
      </c>
      <c r="T2262" s="346" t="s">
        <v>2120</v>
      </c>
      <c r="U2262" s="347">
        <f ca="1">S2262*Fuel_Specs!$B$79/mmBTU2MJ</f>
        <v>9.478171226670133</v>
      </c>
      <c r="V2262" s="347">
        <v>10.172939979654121</v>
      </c>
      <c r="W2262" s="347">
        <v>9.478171226670133</v>
      </c>
      <c r="X2262" s="14" t="s">
        <v>351</v>
      </c>
      <c r="Y2262" s="346" t="s">
        <v>416</v>
      </c>
      <c r="Z2262" s="14" t="str">
        <f>IF(ISBLANK(LCI_Table[[#This Row],[Notes for user]])," ",LCI_Table[[#This Row],[Notes for user]])</f>
        <v xml:space="preserve"> </v>
      </c>
      <c r="AA2262" s="14"/>
      <c r="AB2262" s="14"/>
      <c r="AC2262" s="346">
        <f ca="1">LCI_Table[[#This Row],[Default Calculated Value]]-LCI_Table[[#This Row],[Calculated Value]]</f>
        <v>0</v>
      </c>
    </row>
    <row r="2263" spans="1:29" x14ac:dyDescent="0.3">
      <c r="A22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ATJICAOJRC(blank)_Forest_residue_i_BuOH_ATJ_HydrogenHydrogen</v>
      </c>
      <c r="B2263" s="14" t="s">
        <v>316</v>
      </c>
      <c r="C2263" s="14" t="s">
        <v>883</v>
      </c>
      <c r="D2263" s="358" t="s">
        <v>194</v>
      </c>
      <c r="E2263" s="14" t="s">
        <v>355</v>
      </c>
      <c r="F2263" s="48" t="s">
        <v>31</v>
      </c>
      <c r="G2263" s="14" t="b">
        <f>OR(LCI_Table[[#This Row],[Feedstock]]="All",LCI_Table[[#This Row],[Feedstock]]=SelectedFeedstock)</f>
        <v>0</v>
      </c>
      <c r="H2263" s="14" t="b">
        <f>OR(LCI_Table[[#This Row],[Conversion]]="All",LCI_Table[[#This Row],[Conversion]]=SelectedConversion)</f>
        <v>0</v>
      </c>
      <c r="I2263" s="14" t="b">
        <f>OR(LCI_Table[[#This Row],[Data Set]]="all",LCI_Table[[#This Row],[Data Set]]=SelectedDataSet)</f>
        <v>0</v>
      </c>
      <c r="J2263" s="14" t="b">
        <f>OR(LCI_Table[[#This Row],[Technology]]="All",LCI_Table[[#This Row],[Technology]]=SelectedTechnology)</f>
        <v>1</v>
      </c>
      <c r="K2263" s="14" t="b">
        <f>OR(LCI_Table[[#This Row],[Data Source]]="All",LCI_Table[[#This Row],[Data Source]]=SelectedDataSource)</f>
        <v>0</v>
      </c>
      <c r="L2263" s="14" t="b">
        <f>TRUE</f>
        <v>1</v>
      </c>
      <c r="M2263" s="14" t="b">
        <f>(LCI_Table[[#This Row],[Dev Notes]]="Do not display")</f>
        <v>0</v>
      </c>
      <c r="N2263" s="14" t="b">
        <f>AND(LCI_Table[[#This Row],[Show Feedstock]:[Conditional]],NOT(LCI_Table[[#This Row],[Hide Row]]))</f>
        <v>0</v>
      </c>
      <c r="O2263" s="14" t="b">
        <f>LCI_Table[[#This Row],[GREET1 Name Range]]=""</f>
        <v>0</v>
      </c>
      <c r="P2263" s="358" t="s">
        <v>1448</v>
      </c>
      <c r="Q2263" s="14" t="s">
        <v>1040</v>
      </c>
      <c r="R2263" s="358" t="s">
        <v>73</v>
      </c>
      <c r="S2263" s="37" cm="1">
        <f t="array" aca="1" ref="S22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82.749478431372566</v>
      </c>
      <c r="T2263" s="346" t="s">
        <v>2120</v>
      </c>
      <c r="U2263" s="347">
        <f ca="1">S2263*Fuel_Specs!$B$81/mmBTU2MJ</f>
        <v>22.745098039215691</v>
      </c>
      <c r="V2263" s="359">
        <v>82.749478431372566</v>
      </c>
      <c r="W2263" s="347">
        <v>22.745098039215691</v>
      </c>
      <c r="X2263" s="360" t="s">
        <v>351</v>
      </c>
      <c r="Y2263" s="346" t="s">
        <v>416</v>
      </c>
      <c r="Z2263" s="14" t="str">
        <f>IF(ISBLANK(LCI_Table[[#This Row],[Notes for user]])," ",LCI_Table[[#This Row],[Notes for user]])</f>
        <v xml:space="preserve"> </v>
      </c>
      <c r="AA2263" s="14"/>
      <c r="AB2263" s="358"/>
      <c r="AC2263" s="346">
        <f ca="1">LCI_Table[[#This Row],[Default Calculated Value]]-LCI_Table[[#This Row],[Calculated Value]]</f>
        <v>0</v>
      </c>
    </row>
    <row r="2264" spans="1:29" x14ac:dyDescent="0.3">
      <c r="A22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ATJICAOJRC(blank)_Forest_residue_i_BuOH_ATJ_Natural_gasNatural gas (ATJ conversion)</v>
      </c>
      <c r="B2264" s="14" t="s">
        <v>316</v>
      </c>
      <c r="C2264" s="14" t="s">
        <v>883</v>
      </c>
      <c r="D2264" s="14" t="s">
        <v>194</v>
      </c>
      <c r="E2264" s="14" t="s">
        <v>355</v>
      </c>
      <c r="F2264" s="48" t="s">
        <v>31</v>
      </c>
      <c r="G2264" s="14" t="b">
        <f>OR(LCI_Table[[#This Row],[Feedstock]]="All",LCI_Table[[#This Row],[Feedstock]]=SelectedFeedstock)</f>
        <v>0</v>
      </c>
      <c r="H2264" s="14" t="b">
        <f>OR(LCI_Table[[#This Row],[Conversion]]="All",LCI_Table[[#This Row],[Conversion]]=SelectedConversion)</f>
        <v>0</v>
      </c>
      <c r="I2264" s="14" t="b">
        <f>OR(LCI_Table[[#This Row],[Data Set]]="all",LCI_Table[[#This Row],[Data Set]]=SelectedDataSet)</f>
        <v>0</v>
      </c>
      <c r="J2264" s="14" t="b">
        <f>OR(LCI_Table[[#This Row],[Technology]]="All",LCI_Table[[#This Row],[Technology]]=SelectedTechnology)</f>
        <v>1</v>
      </c>
      <c r="K2264" s="14" t="b">
        <f>OR(LCI_Table[[#This Row],[Data Source]]="All",LCI_Table[[#This Row],[Data Source]]=SelectedDataSource)</f>
        <v>0</v>
      </c>
      <c r="L2264" s="14" t="b">
        <f>TRUE</f>
        <v>1</v>
      </c>
      <c r="M2264" s="14" t="b">
        <f>(LCI_Table[[#This Row],[Dev Notes]]="Do not display")</f>
        <v>0</v>
      </c>
      <c r="N2264" s="14" t="b">
        <f>AND(LCI_Table[[#This Row],[Show Feedstock]:[Conditional]],NOT(LCI_Table[[#This Row],[Hide Row]]))</f>
        <v>0</v>
      </c>
      <c r="O2264" s="14" t="b">
        <f>LCI_Table[[#This Row],[GREET1 Name Range]]=""</f>
        <v>0</v>
      </c>
      <c r="P2264" s="14" t="s">
        <v>1448</v>
      </c>
      <c r="Q2264" s="14" t="s">
        <v>1039</v>
      </c>
      <c r="R2264" s="14" t="s">
        <v>1133</v>
      </c>
      <c r="S2264" s="37" cm="1">
        <f t="array" aca="1" ref="S22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71.21057985757885</v>
      </c>
      <c r="T2264" s="346" t="s">
        <v>2120</v>
      </c>
      <c r="U2264" s="347">
        <f ca="1">S2264*Fuel_Specs!$B$79/mmBTU2MJ</f>
        <v>66.347198586690951</v>
      </c>
      <c r="V2264" s="347">
        <v>71.21057985757885</v>
      </c>
      <c r="W2264" s="347">
        <v>66.347198586690951</v>
      </c>
      <c r="X2264" s="14" t="s">
        <v>351</v>
      </c>
      <c r="Y2264" s="346" t="s">
        <v>416</v>
      </c>
      <c r="Z2264" s="14" t="str">
        <f>IF(ISBLANK(LCI_Table[[#This Row],[Notes for user]])," ",LCI_Table[[#This Row],[Notes for user]])</f>
        <v xml:space="preserve"> </v>
      </c>
      <c r="AA2264" s="14"/>
      <c r="AB2264" s="14"/>
      <c r="AC2264" s="346">
        <f ca="1">LCI_Table[[#This Row],[Default Calculated Value]]-LCI_Table[[#This Row],[Calculated Value]]</f>
        <v>0</v>
      </c>
    </row>
    <row r="2265" spans="1:29" x14ac:dyDescent="0.3">
      <c r="A22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Forest residuei-BuOH ATJICAOJRC(blank)_Forest_residue_i_BuOH_ATJ_Allocation_FactorAllocation factor</v>
      </c>
      <c r="B2265" s="14" t="s">
        <v>316</v>
      </c>
      <c r="C2265" s="14" t="s">
        <v>883</v>
      </c>
      <c r="D2265" s="14" t="s">
        <v>194</v>
      </c>
      <c r="E2265" s="14" t="s">
        <v>355</v>
      </c>
      <c r="F2265" s="48" t="s">
        <v>31</v>
      </c>
      <c r="G2265" s="14" t="b">
        <f>OR(LCI_Table[[#This Row],[Feedstock]]="All",LCI_Table[[#This Row],[Feedstock]]=SelectedFeedstock)</f>
        <v>0</v>
      </c>
      <c r="H2265" s="14" t="b">
        <f>OR(LCI_Table[[#This Row],[Conversion]]="All",LCI_Table[[#This Row],[Conversion]]=SelectedConversion)</f>
        <v>0</v>
      </c>
      <c r="I2265" s="14" t="b">
        <f>OR(LCI_Table[[#This Row],[Data Set]]="all",LCI_Table[[#This Row],[Data Set]]=SelectedDataSet)</f>
        <v>0</v>
      </c>
      <c r="J2265" s="14" t="b">
        <f>OR(LCI_Table[[#This Row],[Technology]]="All",LCI_Table[[#This Row],[Technology]]=SelectedTechnology)</f>
        <v>1</v>
      </c>
      <c r="K2265" s="14" t="b">
        <f>OR(LCI_Table[[#This Row],[Data Source]]="All",LCI_Table[[#This Row],[Data Source]]=SelectedDataSource)</f>
        <v>0</v>
      </c>
      <c r="L2265" s="14" t="b">
        <f>TRUE</f>
        <v>1</v>
      </c>
      <c r="M2265" s="14" t="b">
        <f>(LCI_Table[[#This Row],[Dev Notes]]="Do not display")</f>
        <v>0</v>
      </c>
      <c r="N2265" s="14" t="b">
        <f>AND(LCI_Table[[#This Row],[Show Feedstock]:[Conditional]],NOT(LCI_Table[[#This Row],[Hide Row]]))</f>
        <v>0</v>
      </c>
      <c r="O2265" s="14" t="b">
        <f>LCI_Table[[#This Row],[GREET1 Name Range]]=""</f>
        <v>0</v>
      </c>
      <c r="P2265" s="14" t="s">
        <v>1448</v>
      </c>
      <c r="Q2265" s="14" t="s">
        <v>1099</v>
      </c>
      <c r="R2265" s="14" t="s">
        <v>1344</v>
      </c>
      <c r="S2265" s="37" cm="1">
        <f t="array" aca="1" ref="S22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77.08</v>
      </c>
      <c r="T2265" s="346" t="s">
        <v>1345</v>
      </c>
      <c r="U2265" s="347">
        <f ca="1">LCI_Table[[#This Row],[Dashboard Value]]/100</f>
        <v>0.77079999999999993</v>
      </c>
      <c r="V2265" s="347">
        <v>77.08</v>
      </c>
      <c r="W2265" s="347">
        <v>0.77079999999999993</v>
      </c>
      <c r="X2265" s="14"/>
      <c r="Y2265" s="346"/>
      <c r="Z2265" s="14" t="str">
        <f>IF(ISBLANK(LCI_Table[[#This Row],[Notes for user]])," ",LCI_Table[[#This Row],[Notes for user]])</f>
        <v xml:space="preserve"> </v>
      </c>
      <c r="AA2265" s="14"/>
      <c r="AB2265" s="14"/>
      <c r="AC2265" s="346">
        <f ca="1">LCI_Table[[#This Row],[Default Calculated Value]]-LCI_Table[[#This Row],[Calculated Value]]</f>
        <v>0</v>
      </c>
    </row>
    <row r="2266" spans="1:29" x14ac:dyDescent="0.3">
      <c r="A22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dash_Corni-BuOH ATJICAOMIT(blank)_Yield_Farming</v>
      </c>
      <c r="B2266" s="48" t="s">
        <v>136</v>
      </c>
      <c r="C2266" s="48" t="s">
        <v>883</v>
      </c>
      <c r="D2266" s="48" t="s">
        <v>194</v>
      </c>
      <c r="E2266" s="48" t="s">
        <v>377</v>
      </c>
      <c r="F2266" s="48" t="s">
        <v>31</v>
      </c>
      <c r="G2266" s="14" t="b">
        <f>OR(LCI_Table[[#This Row],[Feedstock]]="All",LCI_Table[[#This Row],[Feedstock]]=SelectedFeedstock)</f>
        <v>0</v>
      </c>
      <c r="H2266" s="14" t="b">
        <f>OR(LCI_Table[[#This Row],[Conversion]]="All",LCI_Table[[#This Row],[Conversion]]=SelectedConversion)</f>
        <v>0</v>
      </c>
      <c r="I2266" s="14" t="b">
        <f>OR(LCI_Table[[#This Row],[Data Set]]="all",LCI_Table[[#This Row],[Data Set]]=SelectedDataSet)</f>
        <v>0</v>
      </c>
      <c r="J2266" s="14" t="b">
        <f>OR(LCI_Table[[#This Row],[Technology]]="All",LCI_Table[[#This Row],[Technology]]=SelectedTechnology)</f>
        <v>1</v>
      </c>
      <c r="K2266" s="14" t="b">
        <f>OR(LCI_Table[[#This Row],[Data Source]]="All",LCI_Table[[#This Row],[Data Source]]=SelectedDataSource)</f>
        <v>0</v>
      </c>
      <c r="L2266" s="14" t="b">
        <f>TRUE</f>
        <v>1</v>
      </c>
      <c r="M2266" s="14" t="b">
        <f>(LCI_Table[[#This Row],[Dev Notes]]="Do not display")</f>
        <v>0</v>
      </c>
      <c r="N2266" s="14" t="b">
        <f>AND(LCI_Table[[#This Row],[Show Feedstock]:[Conditional]],NOT(LCI_Table[[#This Row],[Hide Row]]))</f>
        <v>0</v>
      </c>
      <c r="O2266" s="14" t="b">
        <f>LCI_Table[[#This Row],[GREET1 Name Range]]=""</f>
        <v>1</v>
      </c>
      <c r="P2266" s="48" t="s">
        <v>14</v>
      </c>
      <c r="Q2266" s="14" t="s">
        <v>361</v>
      </c>
      <c r="R2266" s="48" t="s">
        <v>200</v>
      </c>
      <c r="S2266" s="37" cm="1">
        <f t="array" aca="1" ref="S22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178.4</v>
      </c>
      <c r="T2266" s="346" t="s">
        <v>2126</v>
      </c>
      <c r="U2266" s="344"/>
      <c r="V2266" s="344">
        <v>178.4</v>
      </c>
      <c r="W2266" s="344"/>
      <c r="X2266" s="48" t="s">
        <v>70</v>
      </c>
      <c r="Y2266" s="346" t="s">
        <v>413</v>
      </c>
      <c r="Z2266" s="14" t="str">
        <f>IF(ISBLANK(LCI_Table[[#This Row],[Notes for user]])," ",LCI_Table[[#This Row],[Notes for user]])</f>
        <v>Default value from GREET</v>
      </c>
      <c r="AA2266" s="48" t="s">
        <v>1152</v>
      </c>
      <c r="AB2266" s="345"/>
      <c r="AC2266" s="346">
        <f>LCI_Table[[#This Row],[Default Calculated Value]]-LCI_Table[[#This Row],[Calculated Value]]</f>
        <v>0</v>
      </c>
    </row>
    <row r="2267" spans="1:29" x14ac:dyDescent="0.3">
      <c r="A22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ATJICAOMIT(blank)_Corn_Farming_Nitrogen_fertilizerNitrogen fertilizer</v>
      </c>
      <c r="B2267" s="14" t="s">
        <v>136</v>
      </c>
      <c r="C2267" s="14" t="s">
        <v>883</v>
      </c>
      <c r="D2267" s="14" t="s">
        <v>194</v>
      </c>
      <c r="E2267" s="14" t="s">
        <v>377</v>
      </c>
      <c r="F2267" s="48" t="s">
        <v>31</v>
      </c>
      <c r="G2267" s="14" t="b">
        <f>OR(LCI_Table[[#This Row],[Feedstock]]="All",LCI_Table[[#This Row],[Feedstock]]=SelectedFeedstock)</f>
        <v>0</v>
      </c>
      <c r="H2267" s="14" t="b">
        <f>OR(LCI_Table[[#This Row],[Conversion]]="All",LCI_Table[[#This Row],[Conversion]]=SelectedConversion)</f>
        <v>0</v>
      </c>
      <c r="I2267" s="14" t="b">
        <f>OR(LCI_Table[[#This Row],[Data Set]]="all",LCI_Table[[#This Row],[Data Set]]=SelectedDataSet)</f>
        <v>0</v>
      </c>
      <c r="J2267" s="14" t="b">
        <f>OR(LCI_Table[[#This Row],[Technology]]="All",LCI_Table[[#This Row],[Technology]]=SelectedTechnology)</f>
        <v>1</v>
      </c>
      <c r="K2267" s="14" t="b">
        <f>OR(LCI_Table[[#This Row],[Data Source]]="All",LCI_Table[[#This Row],[Data Source]]=SelectedDataSource)</f>
        <v>0</v>
      </c>
      <c r="L2267" s="14" t="b">
        <f>TRUE</f>
        <v>1</v>
      </c>
      <c r="M2267" s="14" t="b">
        <f>(LCI_Table[[#This Row],[Dev Notes]]="Do not display")</f>
        <v>0</v>
      </c>
      <c r="N2267" s="14" t="b">
        <f>AND(LCI_Table[[#This Row],[Show Feedstock]:[Conditional]],NOT(LCI_Table[[#This Row],[Hide Row]]))</f>
        <v>0</v>
      </c>
      <c r="O2267" s="14" t="b">
        <f>LCI_Table[[#This Row],[GREET1 Name Range]]=""</f>
        <v>0</v>
      </c>
      <c r="P2267" s="14" t="s">
        <v>14</v>
      </c>
      <c r="Q2267" s="14" t="s">
        <v>589</v>
      </c>
      <c r="R2267" s="14" t="s">
        <v>111</v>
      </c>
      <c r="S2267" s="37" cm="1">
        <f t="array" aca="1" ref="S22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150.63569080758597</v>
      </c>
      <c r="T2267" s="346" t="s">
        <v>1485</v>
      </c>
      <c r="U2267" s="347">
        <f ca="1">S2267/$S$2266*lb2g</f>
        <v>383.0000000000008</v>
      </c>
      <c r="V2267" s="347">
        <v>150.63569080758597</v>
      </c>
      <c r="W2267" s="347">
        <v>383.0000000000008</v>
      </c>
      <c r="X2267" s="14" t="s">
        <v>12</v>
      </c>
      <c r="Y2267" s="346" t="s">
        <v>413</v>
      </c>
      <c r="Z2267" s="14" t="str">
        <f>IF(ISBLANK(LCI_Table[[#This Row],[Notes for user]])," ",LCI_Table[[#This Row],[Notes for user]])</f>
        <v xml:space="preserve"> </v>
      </c>
      <c r="AA2267" s="14"/>
      <c r="AB2267" s="14"/>
      <c r="AC2267" s="346">
        <f ca="1">LCI_Table[[#This Row],[Default Calculated Value]]-LCI_Table[[#This Row],[Calculated Value]]</f>
        <v>0</v>
      </c>
    </row>
    <row r="2268" spans="1:29" x14ac:dyDescent="0.3">
      <c r="A22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ATJICAOMIT(blank)_Corn_Farming_P2O5P2O5</v>
      </c>
      <c r="B2268" s="14" t="s">
        <v>136</v>
      </c>
      <c r="C2268" s="14" t="s">
        <v>883</v>
      </c>
      <c r="D2268" s="14" t="s">
        <v>194</v>
      </c>
      <c r="E2268" s="14" t="s">
        <v>377</v>
      </c>
      <c r="F2268" s="48" t="s">
        <v>31</v>
      </c>
      <c r="G2268" s="14" t="b">
        <f>OR(LCI_Table[[#This Row],[Feedstock]]="All",LCI_Table[[#This Row],[Feedstock]]=SelectedFeedstock)</f>
        <v>0</v>
      </c>
      <c r="H2268" s="14" t="b">
        <f>OR(LCI_Table[[#This Row],[Conversion]]="All",LCI_Table[[#This Row],[Conversion]]=SelectedConversion)</f>
        <v>0</v>
      </c>
      <c r="I2268" s="14" t="b">
        <f>OR(LCI_Table[[#This Row],[Data Set]]="all",LCI_Table[[#This Row],[Data Set]]=SelectedDataSet)</f>
        <v>0</v>
      </c>
      <c r="J2268" s="14" t="b">
        <f>OR(LCI_Table[[#This Row],[Technology]]="All",LCI_Table[[#This Row],[Technology]]=SelectedTechnology)</f>
        <v>1</v>
      </c>
      <c r="K2268" s="14" t="b">
        <f>OR(LCI_Table[[#This Row],[Data Source]]="All",LCI_Table[[#This Row],[Data Source]]=SelectedDataSource)</f>
        <v>0</v>
      </c>
      <c r="L2268" s="14" t="b">
        <f>TRUE</f>
        <v>1</v>
      </c>
      <c r="M2268" s="14" t="b">
        <f>(LCI_Table[[#This Row],[Dev Notes]]="Do not display")</f>
        <v>0</v>
      </c>
      <c r="N2268" s="14" t="b">
        <f>AND(LCI_Table[[#This Row],[Show Feedstock]:[Conditional]],NOT(LCI_Table[[#This Row],[Hide Row]]))</f>
        <v>0</v>
      </c>
      <c r="O2268" s="14" t="b">
        <f>LCI_Table[[#This Row],[GREET1 Name Range]]=""</f>
        <v>0</v>
      </c>
      <c r="P2268" s="14" t="s">
        <v>14</v>
      </c>
      <c r="Q2268" s="14" t="s">
        <v>590</v>
      </c>
      <c r="R2268" s="14" t="s">
        <v>112</v>
      </c>
      <c r="S2268" s="37" cm="1">
        <f t="array" aca="1" ref="S22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54.787341330278672</v>
      </c>
      <c r="T2268" s="346" t="s">
        <v>1485</v>
      </c>
      <c r="U2268" s="347">
        <f ca="1">S2268/S2266*lb2g</f>
        <v>139.3000000000003</v>
      </c>
      <c r="V2268" s="347">
        <v>54.787341330278672</v>
      </c>
      <c r="W2268" s="347">
        <v>139.3000000000003</v>
      </c>
      <c r="X2268" s="14" t="s">
        <v>12</v>
      </c>
      <c r="Y2268" s="346" t="s">
        <v>413</v>
      </c>
      <c r="Z2268" s="14" t="str">
        <f>IF(ISBLANK(LCI_Table[[#This Row],[Notes for user]])," ",LCI_Table[[#This Row],[Notes for user]])</f>
        <v xml:space="preserve"> </v>
      </c>
      <c r="AA2268" s="14"/>
      <c r="AB2268" s="14"/>
      <c r="AC2268" s="346">
        <f ca="1">LCI_Table[[#This Row],[Default Calculated Value]]-LCI_Table[[#This Row],[Calculated Value]]</f>
        <v>0</v>
      </c>
    </row>
    <row r="2269" spans="1:29" x14ac:dyDescent="0.3">
      <c r="A22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ATJICAOMIT(blank)_Corn_Farming_K2OK2O</v>
      </c>
      <c r="B2269" s="14" t="s">
        <v>136</v>
      </c>
      <c r="C2269" s="14" t="s">
        <v>883</v>
      </c>
      <c r="D2269" s="14" t="s">
        <v>194</v>
      </c>
      <c r="E2269" s="14" t="s">
        <v>377</v>
      </c>
      <c r="F2269" s="48" t="s">
        <v>31</v>
      </c>
      <c r="G2269" s="14" t="b">
        <f>OR(LCI_Table[[#This Row],[Feedstock]]="All",LCI_Table[[#This Row],[Feedstock]]=SelectedFeedstock)</f>
        <v>0</v>
      </c>
      <c r="H2269" s="14" t="b">
        <f>OR(LCI_Table[[#This Row],[Conversion]]="All",LCI_Table[[#This Row],[Conversion]]=SelectedConversion)</f>
        <v>0</v>
      </c>
      <c r="I2269" s="14" t="b">
        <f>OR(LCI_Table[[#This Row],[Data Set]]="all",LCI_Table[[#This Row],[Data Set]]=SelectedDataSet)</f>
        <v>0</v>
      </c>
      <c r="J2269" s="14" t="b">
        <f>OR(LCI_Table[[#This Row],[Technology]]="All",LCI_Table[[#This Row],[Technology]]=SelectedTechnology)</f>
        <v>1</v>
      </c>
      <c r="K2269" s="14" t="b">
        <f>OR(LCI_Table[[#This Row],[Data Source]]="All",LCI_Table[[#This Row],[Data Source]]=SelectedDataSource)</f>
        <v>0</v>
      </c>
      <c r="L2269" s="14" t="b">
        <f>TRUE</f>
        <v>1</v>
      </c>
      <c r="M2269" s="14" t="b">
        <f>(LCI_Table[[#This Row],[Dev Notes]]="Do not display")</f>
        <v>0</v>
      </c>
      <c r="N2269" s="14" t="b">
        <f>AND(LCI_Table[[#This Row],[Show Feedstock]:[Conditional]],NOT(LCI_Table[[#This Row],[Hide Row]]))</f>
        <v>0</v>
      </c>
      <c r="O2269" s="14" t="b">
        <f>LCI_Table[[#This Row],[GREET1 Name Range]]=""</f>
        <v>0</v>
      </c>
      <c r="P2269" s="14" t="s">
        <v>14</v>
      </c>
      <c r="Q2269" s="14" t="s">
        <v>588</v>
      </c>
      <c r="R2269" s="14" t="s">
        <v>113</v>
      </c>
      <c r="S2269" s="37" cm="1">
        <f t="array" aca="1" ref="S22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57.579804528017199</v>
      </c>
      <c r="T2269" s="346" t="s">
        <v>1485</v>
      </c>
      <c r="U2269" s="347">
        <f ca="1">S2269/S2266*lb2g</f>
        <v>146.40000000000029</v>
      </c>
      <c r="V2269" s="347">
        <v>57.579804528017199</v>
      </c>
      <c r="W2269" s="347">
        <v>146.40000000000029</v>
      </c>
      <c r="X2269" s="14" t="s">
        <v>12</v>
      </c>
      <c r="Y2269" s="346" t="s">
        <v>413</v>
      </c>
      <c r="Z2269" s="14" t="str">
        <f>IF(ISBLANK(LCI_Table[[#This Row],[Notes for user]])," ",LCI_Table[[#This Row],[Notes for user]])</f>
        <v xml:space="preserve"> </v>
      </c>
      <c r="AA2269" s="14"/>
      <c r="AB2269" s="14"/>
      <c r="AC2269" s="346">
        <f ca="1">LCI_Table[[#This Row],[Default Calculated Value]]-LCI_Table[[#This Row],[Calculated Value]]</f>
        <v>0</v>
      </c>
    </row>
    <row r="2270" spans="1:29" x14ac:dyDescent="0.3">
      <c r="A22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ATJICAOMIT(blank)_Corn_Farming_CaCO3CaCO3</v>
      </c>
      <c r="B2270" s="14" t="s">
        <v>136</v>
      </c>
      <c r="C2270" s="14" t="s">
        <v>883</v>
      </c>
      <c r="D2270" s="14" t="s">
        <v>194</v>
      </c>
      <c r="E2270" s="14" t="s">
        <v>377</v>
      </c>
      <c r="F2270" s="48" t="s">
        <v>31</v>
      </c>
      <c r="G2270" s="14" t="b">
        <f>OR(LCI_Table[[#This Row],[Feedstock]]="All",LCI_Table[[#This Row],[Feedstock]]=SelectedFeedstock)</f>
        <v>0</v>
      </c>
      <c r="H2270" s="14" t="b">
        <f>OR(LCI_Table[[#This Row],[Conversion]]="All",LCI_Table[[#This Row],[Conversion]]=SelectedConversion)</f>
        <v>0</v>
      </c>
      <c r="I2270" s="14" t="b">
        <f>OR(LCI_Table[[#This Row],[Data Set]]="all",LCI_Table[[#This Row],[Data Set]]=SelectedDataSet)</f>
        <v>0</v>
      </c>
      <c r="J2270" s="14" t="b">
        <f>OR(LCI_Table[[#This Row],[Technology]]="All",LCI_Table[[#This Row],[Technology]]=SelectedTechnology)</f>
        <v>1</v>
      </c>
      <c r="K2270" s="14" t="b">
        <f>OR(LCI_Table[[#This Row],[Data Source]]="All",LCI_Table[[#This Row],[Data Source]]=SelectedDataSource)</f>
        <v>0</v>
      </c>
      <c r="L2270" s="14" t="b">
        <f>TRUE</f>
        <v>1</v>
      </c>
      <c r="M2270" s="14" t="b">
        <f>(LCI_Table[[#This Row],[Dev Notes]]="Do not display")</f>
        <v>0</v>
      </c>
      <c r="N2270" s="14" t="b">
        <f>AND(LCI_Table[[#This Row],[Show Feedstock]:[Conditional]],NOT(LCI_Table[[#This Row],[Hide Row]]))</f>
        <v>0</v>
      </c>
      <c r="O2270" s="14" t="b">
        <f>LCI_Table[[#This Row],[GREET1 Name Range]]=""</f>
        <v>0</v>
      </c>
      <c r="P2270" s="14" t="s">
        <v>14</v>
      </c>
      <c r="Q2270" s="14" t="s">
        <v>584</v>
      </c>
      <c r="R2270" s="14" t="s">
        <v>141</v>
      </c>
      <c r="S2270" s="37" cm="1">
        <f t="array" aca="1" ref="S22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507.44169263693851</v>
      </c>
      <c r="T2270" s="346" t="s">
        <v>1485</v>
      </c>
      <c r="U2270" s="347">
        <f ca="1">S2270/S2266*lb2g</f>
        <v>1290.2000000000028</v>
      </c>
      <c r="V2270" s="347">
        <v>507.44169263693851</v>
      </c>
      <c r="W2270" s="347">
        <v>1290.2000000000028</v>
      </c>
      <c r="X2270" s="14" t="s">
        <v>12</v>
      </c>
      <c r="Y2270" s="346" t="s">
        <v>413</v>
      </c>
      <c r="Z2270" s="14" t="str">
        <f>IF(ISBLANK(LCI_Table[[#This Row],[Notes for user]])," ",LCI_Table[[#This Row],[Notes for user]])</f>
        <v xml:space="preserve"> </v>
      </c>
      <c r="AA2270" s="14"/>
      <c r="AB2270" s="14"/>
      <c r="AC2270" s="346">
        <f ca="1">LCI_Table[[#This Row],[Default Calculated Value]]-LCI_Table[[#This Row],[Calculated Value]]</f>
        <v>0</v>
      </c>
    </row>
    <row r="2271" spans="1:29" x14ac:dyDescent="0.3">
      <c r="A22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ATJICAOMIT(blank)_Corn_Farming_HerbicidesHerbicides</v>
      </c>
      <c r="B2271" s="14" t="s">
        <v>136</v>
      </c>
      <c r="C2271" s="14" t="s">
        <v>883</v>
      </c>
      <c r="D2271" s="14" t="s">
        <v>194</v>
      </c>
      <c r="E2271" s="14" t="s">
        <v>377</v>
      </c>
      <c r="F2271" s="48" t="s">
        <v>31</v>
      </c>
      <c r="G2271" s="14" t="b">
        <f>OR(LCI_Table[[#This Row],[Feedstock]]="All",LCI_Table[[#This Row],[Feedstock]]=SelectedFeedstock)</f>
        <v>0</v>
      </c>
      <c r="H2271" s="14" t="b">
        <f>OR(LCI_Table[[#This Row],[Conversion]]="All",LCI_Table[[#This Row],[Conversion]]=SelectedConversion)</f>
        <v>0</v>
      </c>
      <c r="I2271" s="14" t="b">
        <f>OR(LCI_Table[[#This Row],[Data Set]]="all",LCI_Table[[#This Row],[Data Set]]=SelectedDataSet)</f>
        <v>0</v>
      </c>
      <c r="J2271" s="14" t="b">
        <f>OR(LCI_Table[[#This Row],[Technology]]="All",LCI_Table[[#This Row],[Technology]]=SelectedTechnology)</f>
        <v>1</v>
      </c>
      <c r="K2271" s="14" t="b">
        <f>OR(LCI_Table[[#This Row],[Data Source]]="All",LCI_Table[[#This Row],[Data Source]]=SelectedDataSource)</f>
        <v>0</v>
      </c>
      <c r="L2271" s="14" t="b">
        <f>TRUE</f>
        <v>1</v>
      </c>
      <c r="M2271" s="14" t="b">
        <f>(LCI_Table[[#This Row],[Dev Notes]]="Do not display")</f>
        <v>0</v>
      </c>
      <c r="N2271" s="14" t="b">
        <f>AND(LCI_Table[[#This Row],[Show Feedstock]:[Conditional]],NOT(LCI_Table[[#This Row],[Hide Row]]))</f>
        <v>0</v>
      </c>
      <c r="O2271" s="14" t="b">
        <f>LCI_Table[[#This Row],[GREET1 Name Range]]=""</f>
        <v>0</v>
      </c>
      <c r="P2271" s="14" t="s">
        <v>14</v>
      </c>
      <c r="Q2271" s="14" t="s">
        <v>586</v>
      </c>
      <c r="R2271" s="14" t="s">
        <v>356</v>
      </c>
      <c r="S2271" s="37" cm="1">
        <f t="array" aca="1" ref="S22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2.3204975868531523</v>
      </c>
      <c r="T2271" s="346" t="s">
        <v>1485</v>
      </c>
      <c r="U2271" s="347">
        <f ca="1">S2271/S2266*lb2g</f>
        <v>5.9000000000000128</v>
      </c>
      <c r="V2271" s="347">
        <v>2.3204975868531523</v>
      </c>
      <c r="W2271" s="347">
        <v>5.9000000000000128</v>
      </c>
      <c r="X2271" s="14" t="s">
        <v>12</v>
      </c>
      <c r="Y2271" s="346" t="s">
        <v>413</v>
      </c>
      <c r="Z2271" s="14" t="str">
        <f>IF(ISBLANK(LCI_Table[[#This Row],[Notes for user]])," ",LCI_Table[[#This Row],[Notes for user]])</f>
        <v xml:space="preserve"> </v>
      </c>
      <c r="AA2271" s="14"/>
      <c r="AB2271" s="14"/>
      <c r="AC2271" s="346">
        <f ca="1">LCI_Table[[#This Row],[Default Calculated Value]]-LCI_Table[[#This Row],[Calculated Value]]</f>
        <v>0</v>
      </c>
    </row>
    <row r="2272" spans="1:29" x14ac:dyDescent="0.3">
      <c r="A22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ATJICAOMIT(blank)_Corn_Farming_InsecticideInsecticide</v>
      </c>
      <c r="B2272" s="14" t="s">
        <v>136</v>
      </c>
      <c r="C2272" s="14" t="s">
        <v>883</v>
      </c>
      <c r="D2272" s="14" t="s">
        <v>194</v>
      </c>
      <c r="E2272" s="14" t="s">
        <v>377</v>
      </c>
      <c r="F2272" s="48" t="s">
        <v>31</v>
      </c>
      <c r="G2272" s="14" t="b">
        <f>OR(LCI_Table[[#This Row],[Feedstock]]="All",LCI_Table[[#This Row],[Feedstock]]=SelectedFeedstock)</f>
        <v>0</v>
      </c>
      <c r="H2272" s="14" t="b">
        <f>OR(LCI_Table[[#This Row],[Conversion]]="All",LCI_Table[[#This Row],[Conversion]]=SelectedConversion)</f>
        <v>0</v>
      </c>
      <c r="I2272" s="14" t="b">
        <f>OR(LCI_Table[[#This Row],[Data Set]]="all",LCI_Table[[#This Row],[Data Set]]=SelectedDataSet)</f>
        <v>0</v>
      </c>
      <c r="J2272" s="14" t="b">
        <f>OR(LCI_Table[[#This Row],[Technology]]="All",LCI_Table[[#This Row],[Technology]]=SelectedTechnology)</f>
        <v>1</v>
      </c>
      <c r="K2272" s="14" t="b">
        <f>OR(LCI_Table[[#This Row],[Data Source]]="All",LCI_Table[[#This Row],[Data Source]]=SelectedDataSource)</f>
        <v>0</v>
      </c>
      <c r="L2272" s="14" t="b">
        <f>TRUE</f>
        <v>1</v>
      </c>
      <c r="M2272" s="14" t="b">
        <f>(LCI_Table[[#This Row],[Dev Notes]]="Do not display")</f>
        <v>0</v>
      </c>
      <c r="N2272" s="14" t="b">
        <f>AND(LCI_Table[[#This Row],[Show Feedstock]:[Conditional]],NOT(LCI_Table[[#This Row],[Hide Row]]))</f>
        <v>0</v>
      </c>
      <c r="O2272" s="14" t="b">
        <f>LCI_Table[[#This Row],[GREET1 Name Range]]=""</f>
        <v>0</v>
      </c>
      <c r="P2272" s="14" t="s">
        <v>14</v>
      </c>
      <c r="Q2272" s="14" t="s">
        <v>587</v>
      </c>
      <c r="R2272" s="14" t="s">
        <v>114</v>
      </c>
      <c r="S2272" s="37" cm="1">
        <f t="array" aca="1" ref="S22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4.9113204344759728E-3</v>
      </c>
      <c r="T2272" s="346" t="s">
        <v>1485</v>
      </c>
      <c r="U2272" s="347">
        <f ca="1">S2272/S2266*lb2g</f>
        <v>1.2487317688920327E-2</v>
      </c>
      <c r="V2272" s="347">
        <v>4.9113204344759728E-3</v>
      </c>
      <c r="W2272" s="347">
        <v>1.2487317688920327E-2</v>
      </c>
      <c r="X2272" s="14" t="s">
        <v>12</v>
      </c>
      <c r="Y2272" s="346" t="s">
        <v>413</v>
      </c>
      <c r="Z2272" s="14" t="str">
        <f>IF(ISBLANK(LCI_Table[[#This Row],[Notes for user]])," ",LCI_Table[[#This Row],[Notes for user]])</f>
        <v xml:space="preserve"> </v>
      </c>
      <c r="AA2272" s="14"/>
      <c r="AB2272" s="14"/>
      <c r="AC2272" s="346">
        <f ca="1">LCI_Table[[#This Row],[Default Calculated Value]]-LCI_Table[[#This Row],[Calculated Value]]</f>
        <v>0</v>
      </c>
    </row>
    <row r="2273" spans="1:29" x14ac:dyDescent="0.3">
      <c r="A22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ATJICAOMIT(blank)_Corn_Farming_Residual_oilResidual oil</v>
      </c>
      <c r="B2273" s="14" t="s">
        <v>136</v>
      </c>
      <c r="C2273" s="14" t="s">
        <v>883</v>
      </c>
      <c r="D2273" s="14" t="s">
        <v>194</v>
      </c>
      <c r="E2273" s="14" t="s">
        <v>377</v>
      </c>
      <c r="F2273" s="48" t="s">
        <v>31</v>
      </c>
      <c r="G2273" s="14" t="b">
        <f>OR(LCI_Table[[#This Row],[Feedstock]]="All",LCI_Table[[#This Row],[Feedstock]]=SelectedFeedstock)</f>
        <v>0</v>
      </c>
      <c r="H2273" s="14" t="b">
        <f>OR(LCI_Table[[#This Row],[Conversion]]="All",LCI_Table[[#This Row],[Conversion]]=SelectedConversion)</f>
        <v>0</v>
      </c>
      <c r="I2273" s="14" t="b">
        <f>OR(LCI_Table[[#This Row],[Data Set]]="all",LCI_Table[[#This Row],[Data Set]]=SelectedDataSet)</f>
        <v>0</v>
      </c>
      <c r="J2273" s="14" t="b">
        <f>OR(LCI_Table[[#This Row],[Technology]]="All",LCI_Table[[#This Row],[Technology]]=SelectedTechnology)</f>
        <v>1</v>
      </c>
      <c r="K2273" s="14" t="b">
        <f>OR(LCI_Table[[#This Row],[Data Source]]="All",LCI_Table[[#This Row],[Data Source]]=SelectedDataSource)</f>
        <v>0</v>
      </c>
      <c r="L2273" s="14" t="b">
        <f>TRUE</f>
        <v>1</v>
      </c>
      <c r="M2273" s="14" t="b">
        <f>(LCI_Table[[#This Row],[Dev Notes]]="Do not display")</f>
        <v>0</v>
      </c>
      <c r="N2273" s="14" t="b">
        <f>AND(LCI_Table[[#This Row],[Show Feedstock]:[Conditional]],NOT(LCI_Table[[#This Row],[Hide Row]]))</f>
        <v>0</v>
      </c>
      <c r="O2273" s="14" t="b">
        <f>LCI_Table[[#This Row],[GREET1 Name Range]]=""</f>
        <v>0</v>
      </c>
      <c r="P2273" s="14" t="s">
        <v>14</v>
      </c>
      <c r="Q2273" s="14" t="s">
        <v>591</v>
      </c>
      <c r="R2273" s="14" t="s">
        <v>115</v>
      </c>
      <c r="S2273" s="37" cm="1">
        <f t="array" aca="1" ref="S22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73" s="346" t="s">
        <v>1484</v>
      </c>
      <c r="U2273" s="347">
        <f ca="1">S2273/$S$2266*Fuel_Specs!$B$28</f>
        <v>0</v>
      </c>
      <c r="V2273" s="347">
        <v>0</v>
      </c>
      <c r="W2273" s="347">
        <v>0</v>
      </c>
      <c r="X2273" s="14" t="s">
        <v>5</v>
      </c>
      <c r="Y2273" s="346" t="s">
        <v>413</v>
      </c>
      <c r="Z2273" s="14" t="str">
        <f>IF(ISBLANK(LCI_Table[[#This Row],[Notes for user]])," ",LCI_Table[[#This Row],[Notes for user]])</f>
        <v xml:space="preserve"> </v>
      </c>
      <c r="AA2273" s="14"/>
      <c r="AB2273" s="14"/>
      <c r="AC2273" s="346">
        <f ca="1">LCI_Table[[#This Row],[Default Calculated Value]]-LCI_Table[[#This Row],[Calculated Value]]</f>
        <v>0</v>
      </c>
    </row>
    <row r="2274" spans="1:29" x14ac:dyDescent="0.3">
      <c r="A22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ATJICAOMIT(blank)_Diesel_CornFarmingDiesel</v>
      </c>
      <c r="B2274" s="14" t="s">
        <v>136</v>
      </c>
      <c r="C2274" s="14" t="s">
        <v>883</v>
      </c>
      <c r="D2274" s="14" t="s">
        <v>194</v>
      </c>
      <c r="E2274" s="14" t="s">
        <v>377</v>
      </c>
      <c r="F2274" s="48" t="s">
        <v>31</v>
      </c>
      <c r="G2274" s="14" t="b">
        <f>OR(LCI_Table[[#This Row],[Feedstock]]="All",LCI_Table[[#This Row],[Feedstock]]=SelectedFeedstock)</f>
        <v>0</v>
      </c>
      <c r="H2274" s="14" t="b">
        <f>OR(LCI_Table[[#This Row],[Conversion]]="All",LCI_Table[[#This Row],[Conversion]]=SelectedConversion)</f>
        <v>0</v>
      </c>
      <c r="I2274" s="14" t="b">
        <f>OR(LCI_Table[[#This Row],[Data Set]]="all",LCI_Table[[#This Row],[Data Set]]=SelectedDataSet)</f>
        <v>0</v>
      </c>
      <c r="J2274" s="14" t="b">
        <f>OR(LCI_Table[[#This Row],[Technology]]="All",LCI_Table[[#This Row],[Technology]]=SelectedTechnology)</f>
        <v>1</v>
      </c>
      <c r="K2274" s="14" t="b">
        <f>OR(LCI_Table[[#This Row],[Data Source]]="All",LCI_Table[[#This Row],[Data Source]]=SelectedDataSource)</f>
        <v>0</v>
      </c>
      <c r="L2274" s="14" t="b">
        <f>TRUE</f>
        <v>1</v>
      </c>
      <c r="M2274" s="14" t="b">
        <f>(LCI_Table[[#This Row],[Dev Notes]]="Do not display")</f>
        <v>0</v>
      </c>
      <c r="N2274" s="14" t="b">
        <f>AND(LCI_Table[[#This Row],[Show Feedstock]:[Conditional]],NOT(LCI_Table[[#This Row],[Hide Row]]))</f>
        <v>0</v>
      </c>
      <c r="O2274" s="14" t="b">
        <f>LCI_Table[[#This Row],[GREET1 Name Range]]=""</f>
        <v>0</v>
      </c>
      <c r="P2274" s="14" t="s">
        <v>14</v>
      </c>
      <c r="Q2274" s="14" t="s">
        <v>75</v>
      </c>
      <c r="R2274" s="14" t="s">
        <v>106</v>
      </c>
      <c r="S2274" s="37" cm="1">
        <f t="array" aca="1" ref="S22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4.7341883389641222</v>
      </c>
      <c r="T2274" s="346" t="s">
        <v>1484</v>
      </c>
      <c r="U2274" s="347">
        <f ca="1">S2274/$S$2266*Fuel_Specs!$B$19</f>
        <v>3408.6686779144702</v>
      </c>
      <c r="V2274" s="347">
        <v>4.7341883389641222</v>
      </c>
      <c r="W2274" s="347">
        <v>3408.6686779144702</v>
      </c>
      <c r="X2274" s="14" t="s">
        <v>5</v>
      </c>
      <c r="Y2274" s="346" t="s">
        <v>413</v>
      </c>
      <c r="Z2274" s="14" t="str">
        <f>IF(ISBLANK(LCI_Table[[#This Row],[Notes for user]])," ",LCI_Table[[#This Row],[Notes for user]])</f>
        <v xml:space="preserve"> </v>
      </c>
      <c r="AA2274" s="14"/>
      <c r="AB2274" s="14"/>
      <c r="AC2274" s="346">
        <f ca="1">LCI_Table[[#This Row],[Default Calculated Value]]-LCI_Table[[#This Row],[Calculated Value]]</f>
        <v>0</v>
      </c>
    </row>
    <row r="2275" spans="1:29" x14ac:dyDescent="0.3">
      <c r="A22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ATJICAOMIT(blank)_Gasoline_CornFarmingGasoline</v>
      </c>
      <c r="B2275" s="14" t="s">
        <v>136</v>
      </c>
      <c r="C2275" s="14" t="s">
        <v>883</v>
      </c>
      <c r="D2275" s="14" t="s">
        <v>194</v>
      </c>
      <c r="E2275" s="14" t="s">
        <v>377</v>
      </c>
      <c r="F2275" s="48" t="s">
        <v>31</v>
      </c>
      <c r="G2275" s="14" t="b">
        <f>OR(LCI_Table[[#This Row],[Feedstock]]="All",LCI_Table[[#This Row],[Feedstock]]=SelectedFeedstock)</f>
        <v>0</v>
      </c>
      <c r="H2275" s="14" t="b">
        <f>OR(LCI_Table[[#This Row],[Conversion]]="All",LCI_Table[[#This Row],[Conversion]]=SelectedConversion)</f>
        <v>0</v>
      </c>
      <c r="I2275" s="14" t="b">
        <f>OR(LCI_Table[[#This Row],[Data Set]]="all",LCI_Table[[#This Row],[Data Set]]=SelectedDataSet)</f>
        <v>0</v>
      </c>
      <c r="J2275" s="14" t="b">
        <f>OR(LCI_Table[[#This Row],[Technology]]="All",LCI_Table[[#This Row],[Technology]]=SelectedTechnology)</f>
        <v>1</v>
      </c>
      <c r="K2275" s="14" t="b">
        <f>OR(LCI_Table[[#This Row],[Data Source]]="All",LCI_Table[[#This Row],[Data Source]]=SelectedDataSource)</f>
        <v>0</v>
      </c>
      <c r="L2275" s="14" t="b">
        <f>TRUE</f>
        <v>1</v>
      </c>
      <c r="M2275" s="14" t="b">
        <f>(LCI_Table[[#This Row],[Dev Notes]]="Do not display")</f>
        <v>0</v>
      </c>
      <c r="N2275" s="14" t="b">
        <f>AND(LCI_Table[[#This Row],[Show Feedstock]:[Conditional]],NOT(LCI_Table[[#This Row],[Hide Row]]))</f>
        <v>0</v>
      </c>
      <c r="O2275" s="14" t="b">
        <f>LCI_Table[[#This Row],[GREET1 Name Range]]=""</f>
        <v>0</v>
      </c>
      <c r="P2275" s="14" t="s">
        <v>14</v>
      </c>
      <c r="Q2275" s="14" t="s">
        <v>85</v>
      </c>
      <c r="R2275" s="14" t="s">
        <v>107</v>
      </c>
      <c r="S2275" s="37" cm="1">
        <f t="array" aca="1" ref="S22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1.41394113798114</v>
      </c>
      <c r="T2275" s="346" t="s">
        <v>1484</v>
      </c>
      <c r="U2275" s="347">
        <f ca="1">S2275/$S$2266*Fuel_Specs!$B$15</f>
        <v>889.20982815532398</v>
      </c>
      <c r="V2275" s="347">
        <v>1.41394113798114</v>
      </c>
      <c r="W2275" s="347">
        <v>889.20982815532398</v>
      </c>
      <c r="X2275" s="14" t="s">
        <v>5</v>
      </c>
      <c r="Y2275" s="346" t="s">
        <v>413</v>
      </c>
      <c r="Z2275" s="14" t="str">
        <f>IF(ISBLANK(LCI_Table[[#This Row],[Notes for user]])," ",LCI_Table[[#This Row],[Notes for user]])</f>
        <v xml:space="preserve"> </v>
      </c>
      <c r="AA2275" s="14"/>
      <c r="AB2275" s="14"/>
      <c r="AC2275" s="346">
        <f ca="1">LCI_Table[[#This Row],[Default Calculated Value]]-LCI_Table[[#This Row],[Calculated Value]]</f>
        <v>0</v>
      </c>
    </row>
    <row r="2276" spans="1:29" x14ac:dyDescent="0.3">
      <c r="A22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ATJICAOMIT(blank)_NG_CornFarmingNatural gas</v>
      </c>
      <c r="B2276" s="14" t="s">
        <v>136</v>
      </c>
      <c r="C2276" s="14" t="s">
        <v>883</v>
      </c>
      <c r="D2276" s="14" t="s">
        <v>194</v>
      </c>
      <c r="E2276" s="14" t="s">
        <v>377</v>
      </c>
      <c r="F2276" s="48" t="s">
        <v>31</v>
      </c>
      <c r="G2276" s="14" t="b">
        <f>OR(LCI_Table[[#This Row],[Feedstock]]="All",LCI_Table[[#This Row],[Feedstock]]=SelectedFeedstock)</f>
        <v>0</v>
      </c>
      <c r="H2276" s="14" t="b">
        <f>OR(LCI_Table[[#This Row],[Conversion]]="All",LCI_Table[[#This Row],[Conversion]]=SelectedConversion)</f>
        <v>0</v>
      </c>
      <c r="I2276" s="14" t="b">
        <f>OR(LCI_Table[[#This Row],[Data Set]]="all",LCI_Table[[#This Row],[Data Set]]=SelectedDataSet)</f>
        <v>0</v>
      </c>
      <c r="J2276" s="14" t="b">
        <f>OR(LCI_Table[[#This Row],[Technology]]="All",LCI_Table[[#This Row],[Technology]]=SelectedTechnology)</f>
        <v>1</v>
      </c>
      <c r="K2276" s="14" t="b">
        <f>OR(LCI_Table[[#This Row],[Data Source]]="All",LCI_Table[[#This Row],[Data Source]]=SelectedDataSource)</f>
        <v>0</v>
      </c>
      <c r="L2276" s="14" t="b">
        <f>TRUE</f>
        <v>1</v>
      </c>
      <c r="M2276" s="14" t="b">
        <f>(LCI_Table[[#This Row],[Dev Notes]]="Do not display")</f>
        <v>0</v>
      </c>
      <c r="N2276" s="14" t="b">
        <f>AND(LCI_Table[[#This Row],[Show Feedstock]:[Conditional]],NOT(LCI_Table[[#This Row],[Hide Row]]))</f>
        <v>0</v>
      </c>
      <c r="O2276" s="14" t="b">
        <f>LCI_Table[[#This Row],[GREET1 Name Range]]=""</f>
        <v>0</v>
      </c>
      <c r="P2276" s="14" t="s">
        <v>14</v>
      </c>
      <c r="Q2276" s="14" t="s">
        <v>90</v>
      </c>
      <c r="R2276" s="14" t="s">
        <v>108</v>
      </c>
      <c r="S2276" s="37" cm="1">
        <f t="array" aca="1" ref="S22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170.21892323745328</v>
      </c>
      <c r="T2276" s="346" t="s">
        <v>2109</v>
      </c>
      <c r="U2276" s="347">
        <f ca="1">S2276/$S$2266*Fuel_Specs!$B$79</f>
        <v>937.92153330950987</v>
      </c>
      <c r="V2276" s="347">
        <v>170.21892323745328</v>
      </c>
      <c r="W2276" s="347">
        <v>937.92153330950987</v>
      </c>
      <c r="X2276" s="14" t="s">
        <v>351</v>
      </c>
      <c r="Y2276" s="346" t="s">
        <v>413</v>
      </c>
      <c r="Z2276" s="14" t="str">
        <f>IF(ISBLANK(LCI_Table[[#This Row],[Notes for user]])," ",LCI_Table[[#This Row],[Notes for user]])</f>
        <v xml:space="preserve"> </v>
      </c>
      <c r="AA2276" s="14"/>
      <c r="AB2276" s="14"/>
      <c r="AC2276" s="346">
        <f ca="1">LCI_Table[[#This Row],[Default Calculated Value]]-LCI_Table[[#This Row],[Calculated Value]]</f>
        <v>0</v>
      </c>
    </row>
    <row r="2277" spans="1:29" x14ac:dyDescent="0.3">
      <c r="A22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ATJICAOMIT(blank)_Corn_Farming_CoalCoal</v>
      </c>
      <c r="B2277" s="14" t="s">
        <v>136</v>
      </c>
      <c r="C2277" s="14" t="s">
        <v>883</v>
      </c>
      <c r="D2277" s="14" t="s">
        <v>194</v>
      </c>
      <c r="E2277" s="14" t="s">
        <v>377</v>
      </c>
      <c r="F2277" s="48" t="s">
        <v>31</v>
      </c>
      <c r="G2277" s="14" t="b">
        <f>OR(LCI_Table[[#This Row],[Feedstock]]="All",LCI_Table[[#This Row],[Feedstock]]=SelectedFeedstock)</f>
        <v>0</v>
      </c>
      <c r="H2277" s="14" t="b">
        <f>OR(LCI_Table[[#This Row],[Conversion]]="All",LCI_Table[[#This Row],[Conversion]]=SelectedConversion)</f>
        <v>0</v>
      </c>
      <c r="I2277" s="14" t="b">
        <f>OR(LCI_Table[[#This Row],[Data Set]]="all",LCI_Table[[#This Row],[Data Set]]=SelectedDataSet)</f>
        <v>0</v>
      </c>
      <c r="J2277" s="14" t="b">
        <f>OR(LCI_Table[[#This Row],[Technology]]="All",LCI_Table[[#This Row],[Technology]]=SelectedTechnology)</f>
        <v>1</v>
      </c>
      <c r="K2277" s="14" t="b">
        <f>OR(LCI_Table[[#This Row],[Data Source]]="All",LCI_Table[[#This Row],[Data Source]]=SelectedDataSource)</f>
        <v>0</v>
      </c>
      <c r="L2277" s="14" t="b">
        <f>TRUE</f>
        <v>1</v>
      </c>
      <c r="M2277" s="14" t="b">
        <f>(LCI_Table[[#This Row],[Dev Notes]]="Do not display")</f>
        <v>0</v>
      </c>
      <c r="N2277" s="14" t="b">
        <f>AND(LCI_Table[[#This Row],[Show Feedstock]:[Conditional]],NOT(LCI_Table[[#This Row],[Hide Row]]))</f>
        <v>0</v>
      </c>
      <c r="O2277" s="14" t="b">
        <f>LCI_Table[[#This Row],[GREET1 Name Range]]=""</f>
        <v>0</v>
      </c>
      <c r="P2277" s="14" t="s">
        <v>14</v>
      </c>
      <c r="Q2277" s="14" t="s">
        <v>585</v>
      </c>
      <c r="R2277" s="14" t="s">
        <v>9</v>
      </c>
      <c r="S2277" s="37" cm="1">
        <f t="array" aca="1" ref="S22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277" s="346" t="s">
        <v>2110</v>
      </c>
      <c r="U2277" s="347">
        <f ca="1">S2277/$S$2266</f>
        <v>0</v>
      </c>
      <c r="V2277" s="347">
        <v>0</v>
      </c>
      <c r="W2277" s="347">
        <v>0</v>
      </c>
      <c r="X2277" s="14" t="s">
        <v>117</v>
      </c>
      <c r="Y2277" s="346" t="s">
        <v>413</v>
      </c>
      <c r="Z2277" s="14" t="str">
        <f>IF(ISBLANK(LCI_Table[[#This Row],[Notes for user]])," ",LCI_Table[[#This Row],[Notes for user]])</f>
        <v xml:space="preserve"> </v>
      </c>
      <c r="AA2277" s="14"/>
      <c r="AB2277" s="14"/>
      <c r="AC2277" s="346">
        <f ca="1">LCI_Table[[#This Row],[Default Calculated Value]]-LCI_Table[[#This Row],[Calculated Value]]</f>
        <v>0</v>
      </c>
    </row>
    <row r="2278" spans="1:29" x14ac:dyDescent="0.3">
      <c r="A22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ATJICAOMIT(blank)_LPG_CornFarmingLPG</v>
      </c>
      <c r="B2278" s="14" t="s">
        <v>136</v>
      </c>
      <c r="C2278" s="14" t="s">
        <v>883</v>
      </c>
      <c r="D2278" s="14" t="s">
        <v>194</v>
      </c>
      <c r="E2278" s="14" t="s">
        <v>377</v>
      </c>
      <c r="F2278" s="48" t="s">
        <v>31</v>
      </c>
      <c r="G2278" s="14" t="b">
        <f>OR(LCI_Table[[#This Row],[Feedstock]]="All",LCI_Table[[#This Row],[Feedstock]]=SelectedFeedstock)</f>
        <v>0</v>
      </c>
      <c r="H2278" s="14" t="b">
        <f>OR(LCI_Table[[#This Row],[Conversion]]="All",LCI_Table[[#This Row],[Conversion]]=SelectedConversion)</f>
        <v>0</v>
      </c>
      <c r="I2278" s="14" t="b">
        <f>OR(LCI_Table[[#This Row],[Data Set]]="all",LCI_Table[[#This Row],[Data Set]]=SelectedDataSet)</f>
        <v>0</v>
      </c>
      <c r="J2278" s="14" t="b">
        <f>OR(LCI_Table[[#This Row],[Technology]]="All",LCI_Table[[#This Row],[Technology]]=SelectedTechnology)</f>
        <v>1</v>
      </c>
      <c r="K2278" s="14" t="b">
        <f>OR(LCI_Table[[#This Row],[Data Source]]="All",LCI_Table[[#This Row],[Data Source]]=SelectedDataSource)</f>
        <v>0</v>
      </c>
      <c r="L2278" s="14" t="b">
        <f>TRUE</f>
        <v>1</v>
      </c>
      <c r="M2278" s="14" t="b">
        <f>(LCI_Table[[#This Row],[Dev Notes]]="Do not display")</f>
        <v>0</v>
      </c>
      <c r="N2278" s="14" t="b">
        <f>AND(LCI_Table[[#This Row],[Show Feedstock]:[Conditional]],NOT(LCI_Table[[#This Row],[Hide Row]]))</f>
        <v>0</v>
      </c>
      <c r="O2278" s="14" t="b">
        <f>LCI_Table[[#This Row],[GREET1 Name Range]]=""</f>
        <v>0</v>
      </c>
      <c r="P2278" s="14" t="s">
        <v>14</v>
      </c>
      <c r="Q2278" s="14" t="s">
        <v>89</v>
      </c>
      <c r="R2278" s="14" t="s">
        <v>109</v>
      </c>
      <c r="S2278" s="37" cm="1">
        <f t="array" aca="1" ref="S22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2.6074703415981424</v>
      </c>
      <c r="T2278" s="346" t="s">
        <v>1484</v>
      </c>
      <c r="U2278" s="347">
        <f ca="1">S2278/$S$2266*Fuel_Specs!$B$35</f>
        <v>1241.61774393925</v>
      </c>
      <c r="V2278" s="347">
        <v>2.6074703415981424</v>
      </c>
      <c r="W2278" s="347">
        <v>1241.61774393925</v>
      </c>
      <c r="X2278" s="14" t="s">
        <v>5</v>
      </c>
      <c r="Y2278" s="346" t="s">
        <v>413</v>
      </c>
      <c r="Z2278" s="14" t="str">
        <f>IF(ISBLANK(LCI_Table[[#This Row],[Notes for user]])," ",LCI_Table[[#This Row],[Notes for user]])</f>
        <v xml:space="preserve"> </v>
      </c>
      <c r="AA2278" s="14"/>
      <c r="AB2278" s="14"/>
      <c r="AC2278" s="346">
        <f ca="1">LCI_Table[[#This Row],[Default Calculated Value]]-LCI_Table[[#This Row],[Calculated Value]]</f>
        <v>0</v>
      </c>
    </row>
    <row r="2279" spans="1:29" x14ac:dyDescent="0.3">
      <c r="A22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ATJICAOMIT(blank)_Electricity_CornFarmingElectricity</v>
      </c>
      <c r="B2279" s="14" t="s">
        <v>136</v>
      </c>
      <c r="C2279" s="14" t="s">
        <v>883</v>
      </c>
      <c r="D2279" s="14" t="s">
        <v>194</v>
      </c>
      <c r="E2279" s="14" t="s">
        <v>377</v>
      </c>
      <c r="F2279" s="48" t="s">
        <v>31</v>
      </c>
      <c r="G2279" s="14" t="b">
        <f>OR(LCI_Table[[#This Row],[Feedstock]]="All",LCI_Table[[#This Row],[Feedstock]]=SelectedFeedstock)</f>
        <v>0</v>
      </c>
      <c r="H2279" s="14" t="b">
        <f>OR(LCI_Table[[#This Row],[Conversion]]="All",LCI_Table[[#This Row],[Conversion]]=SelectedConversion)</f>
        <v>0</v>
      </c>
      <c r="I2279" s="14" t="b">
        <f>OR(LCI_Table[[#This Row],[Data Set]]="all",LCI_Table[[#This Row],[Data Set]]=SelectedDataSet)</f>
        <v>0</v>
      </c>
      <c r="J2279" s="14" t="b">
        <f>OR(LCI_Table[[#This Row],[Technology]]="All",LCI_Table[[#This Row],[Technology]]=SelectedTechnology)</f>
        <v>1</v>
      </c>
      <c r="K2279" s="14" t="b">
        <f>OR(LCI_Table[[#This Row],[Data Source]]="All",LCI_Table[[#This Row],[Data Source]]=SelectedDataSource)</f>
        <v>0</v>
      </c>
      <c r="L2279" s="14" t="b">
        <f>TRUE</f>
        <v>1</v>
      </c>
      <c r="M2279" s="14" t="b">
        <f>(LCI_Table[[#This Row],[Dev Notes]]="Do not display")</f>
        <v>0</v>
      </c>
      <c r="N2279" s="14" t="b">
        <f>AND(LCI_Table[[#This Row],[Show Feedstock]:[Conditional]],NOT(LCI_Table[[#This Row],[Hide Row]]))</f>
        <v>0</v>
      </c>
      <c r="O2279" s="14" t="b">
        <f>LCI_Table[[#This Row],[GREET1 Name Range]]=""</f>
        <v>0</v>
      </c>
      <c r="P2279" s="14" t="s">
        <v>14</v>
      </c>
      <c r="Q2279" s="14" t="s">
        <v>76</v>
      </c>
      <c r="R2279" s="348" t="s">
        <v>110</v>
      </c>
      <c r="S2279" s="37" cm="1">
        <f t="array" aca="1" ref="S22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16.630081411614597</v>
      </c>
      <c r="T2279" s="346" t="s">
        <v>1561</v>
      </c>
      <c r="U2279" s="347">
        <f ca="1">S2279/$S$2266*kWh2BTU</f>
        <v>318.07283233065601</v>
      </c>
      <c r="V2279" s="347">
        <v>16.630081411614597</v>
      </c>
      <c r="W2279" s="347">
        <v>318.07283233065601</v>
      </c>
      <c r="X2279" s="14" t="s">
        <v>51</v>
      </c>
      <c r="Y2279" s="346" t="s">
        <v>413</v>
      </c>
      <c r="Z2279" s="14" t="str">
        <f>IF(ISBLANK(LCI_Table[[#This Row],[Notes for user]])," ",LCI_Table[[#This Row],[Notes for user]])</f>
        <v xml:space="preserve"> </v>
      </c>
      <c r="AA2279" s="14"/>
      <c r="AB2279" s="14"/>
      <c r="AC2279" s="346">
        <f ca="1">LCI_Table[[#This Row],[Default Calculated Value]]-LCI_Table[[#This Row],[Calculated Value]]</f>
        <v>0</v>
      </c>
    </row>
    <row r="2280" spans="1:29" x14ac:dyDescent="0.3">
      <c r="A22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ATJICAOMIT(blank)_Corn_i_BuOH_ATJ_CornCorn</v>
      </c>
      <c r="B2280" s="14" t="s">
        <v>136</v>
      </c>
      <c r="C2280" s="14" t="s">
        <v>883</v>
      </c>
      <c r="D2280" s="14" t="s">
        <v>194</v>
      </c>
      <c r="E2280" s="14" t="s">
        <v>377</v>
      </c>
      <c r="F2280" s="48" t="s">
        <v>31</v>
      </c>
      <c r="G2280" s="14" t="b">
        <f>OR(LCI_Table[[#This Row],[Feedstock]]="All",LCI_Table[[#This Row],[Feedstock]]=SelectedFeedstock)</f>
        <v>0</v>
      </c>
      <c r="H2280" s="14" t="b">
        <f>OR(LCI_Table[[#This Row],[Conversion]]="All",LCI_Table[[#This Row],[Conversion]]=SelectedConversion)</f>
        <v>0</v>
      </c>
      <c r="I2280" s="14" t="b">
        <f>OR(LCI_Table[[#This Row],[Data Set]]="all",LCI_Table[[#This Row],[Data Set]]=SelectedDataSet)</f>
        <v>0</v>
      </c>
      <c r="J2280" s="14" t="b">
        <f>OR(LCI_Table[[#This Row],[Technology]]="All",LCI_Table[[#This Row],[Technology]]=SelectedTechnology)</f>
        <v>1</v>
      </c>
      <c r="K2280" s="14" t="b">
        <f>OR(LCI_Table[[#This Row],[Data Source]]="All",LCI_Table[[#This Row],[Data Source]]=SelectedDataSource)</f>
        <v>0</v>
      </c>
      <c r="L2280" s="14" t="b">
        <f>TRUE</f>
        <v>1</v>
      </c>
      <c r="M2280" s="14" t="b">
        <f>(LCI_Table[[#This Row],[Dev Notes]]="Do not display")</f>
        <v>0</v>
      </c>
      <c r="N2280" s="14" t="b">
        <f>AND(LCI_Table[[#This Row],[Show Feedstock]:[Conditional]],NOT(LCI_Table[[#This Row],[Hide Row]]))</f>
        <v>0</v>
      </c>
      <c r="O2280" s="14" t="b">
        <f>LCI_Table[[#This Row],[GREET1 Name Range]]=""</f>
        <v>0</v>
      </c>
      <c r="P2280" s="358" t="s">
        <v>1448</v>
      </c>
      <c r="Q2280" s="14" t="s">
        <v>1041</v>
      </c>
      <c r="R2280" s="14" t="s">
        <v>136</v>
      </c>
      <c r="S2280" s="37" cm="1">
        <f t="array" aca="1" ref="S22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318.66199920867348</v>
      </c>
      <c r="T2280" s="346" t="s">
        <v>2119</v>
      </c>
      <c r="U2280" s="347">
        <f ca="1">S2280/kg2lb*MJ2mmBTU</f>
        <v>0.13700000000000004</v>
      </c>
      <c r="V2280" s="347">
        <v>318.66199920867348</v>
      </c>
      <c r="W2280" s="347">
        <v>0.13700000000000004</v>
      </c>
      <c r="X2280" s="14" t="s">
        <v>12</v>
      </c>
      <c r="Y2280" s="346" t="s">
        <v>416</v>
      </c>
      <c r="Z2280" s="14" t="str">
        <f>IF(ISBLANK(LCI_Table[[#This Row],[Notes for user]])," ",LCI_Table[[#This Row],[Notes for user]])</f>
        <v>Dry mill w/ corn oil extraction</v>
      </c>
      <c r="AA2280" s="14" t="s">
        <v>1153</v>
      </c>
      <c r="AB2280" s="358" t="s">
        <v>921</v>
      </c>
      <c r="AC2280" s="346">
        <f ca="1">LCI_Table[[#This Row],[Default Calculated Value]]-LCI_Table[[#This Row],[Calculated Value]]</f>
        <v>0</v>
      </c>
    </row>
    <row r="2281" spans="1:29" x14ac:dyDescent="0.3">
      <c r="A22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ATJICAOMIT(blank)_Corn_i_BuOH_ATJ_Alpha_amylaseAlpha-amylase</v>
      </c>
      <c r="B2281" s="14" t="s">
        <v>136</v>
      </c>
      <c r="C2281" s="14" t="s">
        <v>883</v>
      </c>
      <c r="D2281" s="14" t="s">
        <v>194</v>
      </c>
      <c r="E2281" s="14" t="s">
        <v>377</v>
      </c>
      <c r="F2281" s="48" t="s">
        <v>31</v>
      </c>
      <c r="G2281" s="14" t="b">
        <f>OR(LCI_Table[[#This Row],[Feedstock]]="All",LCI_Table[[#This Row],[Feedstock]]=SelectedFeedstock)</f>
        <v>0</v>
      </c>
      <c r="H2281" s="14" t="b">
        <f>OR(LCI_Table[[#This Row],[Conversion]]="All",LCI_Table[[#This Row],[Conversion]]=SelectedConversion)</f>
        <v>0</v>
      </c>
      <c r="I2281" s="14" t="b">
        <f>OR(LCI_Table[[#This Row],[Data Set]]="all",LCI_Table[[#This Row],[Data Set]]=SelectedDataSet)</f>
        <v>0</v>
      </c>
      <c r="J2281" s="14" t="b">
        <f>OR(LCI_Table[[#This Row],[Technology]]="All",LCI_Table[[#This Row],[Technology]]=SelectedTechnology)</f>
        <v>1</v>
      </c>
      <c r="K2281" s="14" t="b">
        <f>OR(LCI_Table[[#This Row],[Data Source]]="All",LCI_Table[[#This Row],[Data Source]]=SelectedDataSource)</f>
        <v>0</v>
      </c>
      <c r="L2281" s="14" t="b">
        <f>TRUE</f>
        <v>1</v>
      </c>
      <c r="M2281" s="14" t="b">
        <f>(LCI_Table[[#This Row],[Dev Notes]]="Do not display")</f>
        <v>0</v>
      </c>
      <c r="N2281" s="14" t="b">
        <f>AND(LCI_Table[[#This Row],[Show Feedstock]:[Conditional]],NOT(LCI_Table[[#This Row],[Hide Row]]))</f>
        <v>0</v>
      </c>
      <c r="O2281" s="14" t="b">
        <f>LCI_Table[[#This Row],[GREET1 Name Range]]=""</f>
        <v>0</v>
      </c>
      <c r="P2281" s="358" t="s">
        <v>1448</v>
      </c>
      <c r="Q2281" s="14" t="s">
        <v>1042</v>
      </c>
      <c r="R2281" s="14" t="s">
        <v>353</v>
      </c>
      <c r="S2281" s="37" cm="1">
        <f t="array" aca="1" ref="S22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9.0016199776464675E-2</v>
      </c>
      <c r="T2281" s="346" t="s">
        <v>2119</v>
      </c>
      <c r="U2281" s="361">
        <f t="shared" ref="U2281" ca="1" si="160">S2281/g2lb*MJ2mmBTU</f>
        <v>3.8699999999999998E-2</v>
      </c>
      <c r="V2281" s="347">
        <v>9.0016199776464675E-2</v>
      </c>
      <c r="W2281" s="347">
        <v>3.8699999999999998E-2</v>
      </c>
      <c r="X2281" s="14" t="s">
        <v>12</v>
      </c>
      <c r="Y2281" s="346" t="s">
        <v>416</v>
      </c>
      <c r="Z2281" s="14" t="str">
        <f>IF(ISBLANK(LCI_Table[[#This Row],[Notes for user]])," ",LCI_Table[[#This Row],[Notes for user]])</f>
        <v xml:space="preserve"> </v>
      </c>
      <c r="AA2281" s="14"/>
      <c r="AB2281" s="14"/>
      <c r="AC2281" s="346">
        <f ca="1">LCI_Table[[#This Row],[Default Calculated Value]]-LCI_Table[[#This Row],[Calculated Value]]</f>
        <v>0</v>
      </c>
    </row>
    <row r="2282" spans="1:29" x14ac:dyDescent="0.3">
      <c r="A22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ATJICAOMIT(blank)_Corn_i_BuOH_ATJ_Gluco_amylaseGluco-amylase</v>
      </c>
      <c r="B2282" s="14" t="s">
        <v>136</v>
      </c>
      <c r="C2282" s="14" t="s">
        <v>883</v>
      </c>
      <c r="D2282" s="14" t="s">
        <v>194</v>
      </c>
      <c r="E2282" s="14" t="s">
        <v>377</v>
      </c>
      <c r="F2282" s="48" t="s">
        <v>31</v>
      </c>
      <c r="G2282" s="14" t="b">
        <f>OR(LCI_Table[[#This Row],[Feedstock]]="All",LCI_Table[[#This Row],[Feedstock]]=SelectedFeedstock)</f>
        <v>0</v>
      </c>
      <c r="H2282" s="14" t="b">
        <f>OR(LCI_Table[[#This Row],[Conversion]]="All",LCI_Table[[#This Row],[Conversion]]=SelectedConversion)</f>
        <v>0</v>
      </c>
      <c r="I2282" s="14" t="b">
        <f>OR(LCI_Table[[#This Row],[Data Set]]="all",LCI_Table[[#This Row],[Data Set]]=SelectedDataSet)</f>
        <v>0</v>
      </c>
      <c r="J2282" s="14" t="b">
        <f>OR(LCI_Table[[#This Row],[Technology]]="All",LCI_Table[[#This Row],[Technology]]=SelectedTechnology)</f>
        <v>1</v>
      </c>
      <c r="K2282" s="14" t="b">
        <f>OR(LCI_Table[[#This Row],[Data Source]]="All",LCI_Table[[#This Row],[Data Source]]=SelectedDataSource)</f>
        <v>0</v>
      </c>
      <c r="L2282" s="14" t="b">
        <f>TRUE</f>
        <v>1</v>
      </c>
      <c r="M2282" s="14" t="b">
        <f>(LCI_Table[[#This Row],[Dev Notes]]="Do not display")</f>
        <v>0</v>
      </c>
      <c r="N2282" s="14" t="b">
        <f>AND(LCI_Table[[#This Row],[Show Feedstock]:[Conditional]],NOT(LCI_Table[[#This Row],[Hide Row]]))</f>
        <v>0</v>
      </c>
      <c r="O2282" s="14" t="b">
        <f>LCI_Table[[#This Row],[GREET1 Name Range]]=""</f>
        <v>0</v>
      </c>
      <c r="P2282" s="358" t="s">
        <v>1448</v>
      </c>
      <c r="Q2282" s="14" t="s">
        <v>1043</v>
      </c>
      <c r="R2282" s="14" t="s">
        <v>354</v>
      </c>
      <c r="S2282" s="37" cm="1">
        <f t="array" aca="1" ref="S22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0.1937557995188503</v>
      </c>
      <c r="T2282" s="346" t="s">
        <v>2119</v>
      </c>
      <c r="U2282" s="361">
        <f t="shared" ref="U2282" ca="1" si="161">S2282/g2lb*MJ2mmBTU</f>
        <v>8.3299999999999985E-2</v>
      </c>
      <c r="V2282" s="347">
        <v>0.1937557995188503</v>
      </c>
      <c r="W2282" s="347">
        <v>8.3299999999999985E-2</v>
      </c>
      <c r="X2282" s="14" t="s">
        <v>12</v>
      </c>
      <c r="Y2282" s="346" t="s">
        <v>416</v>
      </c>
      <c r="Z2282" s="14" t="str">
        <f>IF(ISBLANK(LCI_Table[[#This Row],[Notes for user]])," ",LCI_Table[[#This Row],[Notes for user]])</f>
        <v xml:space="preserve"> </v>
      </c>
      <c r="AA2282" s="14"/>
      <c r="AB2282" s="14"/>
      <c r="AC2282" s="346">
        <f ca="1">LCI_Table[[#This Row],[Default Calculated Value]]-LCI_Table[[#This Row],[Calculated Value]]</f>
        <v>0</v>
      </c>
    </row>
    <row r="2283" spans="1:29" x14ac:dyDescent="0.3">
      <c r="A22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ATJICAOMIT(blank)_Corn_i_BuOH_ATJ_YeastYeast</v>
      </c>
      <c r="B2283" s="14" t="s">
        <v>136</v>
      </c>
      <c r="C2283" s="14" t="s">
        <v>883</v>
      </c>
      <c r="D2283" s="14" t="s">
        <v>194</v>
      </c>
      <c r="E2283" s="14" t="s">
        <v>377</v>
      </c>
      <c r="F2283" s="48" t="s">
        <v>31</v>
      </c>
      <c r="G2283" s="14" t="b">
        <f>OR(LCI_Table[[#This Row],[Feedstock]]="All",LCI_Table[[#This Row],[Feedstock]]=SelectedFeedstock)</f>
        <v>0</v>
      </c>
      <c r="H2283" s="14" t="b">
        <f>OR(LCI_Table[[#This Row],[Conversion]]="All",LCI_Table[[#This Row],[Conversion]]=SelectedConversion)</f>
        <v>0</v>
      </c>
      <c r="I2283" s="14" t="b">
        <f>OR(LCI_Table[[#This Row],[Data Set]]="all",LCI_Table[[#This Row],[Data Set]]=SelectedDataSet)</f>
        <v>0</v>
      </c>
      <c r="J2283" s="14" t="b">
        <f>OR(LCI_Table[[#This Row],[Technology]]="All",LCI_Table[[#This Row],[Technology]]=SelectedTechnology)</f>
        <v>1</v>
      </c>
      <c r="K2283" s="14" t="b">
        <f>OR(LCI_Table[[#This Row],[Data Source]]="All",LCI_Table[[#This Row],[Data Source]]=SelectedDataSource)</f>
        <v>0</v>
      </c>
      <c r="L2283" s="14" t="b">
        <f>TRUE</f>
        <v>1</v>
      </c>
      <c r="M2283" s="14" t="b">
        <f>(LCI_Table[[#This Row],[Dev Notes]]="Do not display")</f>
        <v>0</v>
      </c>
      <c r="N2283" s="14" t="b">
        <f>AND(LCI_Table[[#This Row],[Show Feedstock]:[Conditional]],NOT(LCI_Table[[#This Row],[Hide Row]]))</f>
        <v>0</v>
      </c>
      <c r="O2283" s="14" t="b">
        <f>LCI_Table[[#This Row],[GREET1 Name Range]]=""</f>
        <v>0</v>
      </c>
      <c r="P2283" s="358" t="s">
        <v>1448</v>
      </c>
      <c r="Q2283" s="14" t="s">
        <v>1044</v>
      </c>
      <c r="R2283" s="14" t="s">
        <v>145</v>
      </c>
      <c r="S2283" s="37" cm="1">
        <f t="array" aca="1" ref="S22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9.8389799755670679E-2</v>
      </c>
      <c r="T2283" s="346" t="s">
        <v>2119</v>
      </c>
      <c r="U2283" s="361">
        <f t="shared" ref="U2283" ca="1" si="162">S2283/g2lb*MJ2mmBTU</f>
        <v>4.2299999999999997E-2</v>
      </c>
      <c r="V2283" s="347">
        <v>9.8389799755670679E-2</v>
      </c>
      <c r="W2283" s="347">
        <v>4.2299999999999997E-2</v>
      </c>
      <c r="X2283" s="14" t="s">
        <v>12</v>
      </c>
      <c r="Y2283" s="346" t="s">
        <v>416</v>
      </c>
      <c r="Z2283" s="14" t="str">
        <f>IF(ISBLANK(LCI_Table[[#This Row],[Notes for user]])," ",LCI_Table[[#This Row],[Notes for user]])</f>
        <v xml:space="preserve"> </v>
      </c>
      <c r="AA2283" s="14"/>
      <c r="AB2283" s="14"/>
      <c r="AC2283" s="346">
        <f ca="1">LCI_Table[[#This Row],[Default Calculated Value]]-LCI_Table[[#This Row],[Calculated Value]]</f>
        <v>0</v>
      </c>
    </row>
    <row r="2284" spans="1:29" x14ac:dyDescent="0.3">
      <c r="A22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ATJICAOMIT(blank)_Corn_i_BuOH_ATJ_Sulfuric_acidSulfuric acid</v>
      </c>
      <c r="B2284" s="14" t="s">
        <v>136</v>
      </c>
      <c r="C2284" s="14" t="s">
        <v>883</v>
      </c>
      <c r="D2284" s="14" t="s">
        <v>194</v>
      </c>
      <c r="E2284" s="14" t="s">
        <v>377</v>
      </c>
      <c r="F2284" s="48" t="s">
        <v>31</v>
      </c>
      <c r="G2284" s="14" t="b">
        <f>OR(LCI_Table[[#This Row],[Feedstock]]="All",LCI_Table[[#This Row],[Feedstock]]=SelectedFeedstock)</f>
        <v>0</v>
      </c>
      <c r="H2284" s="14" t="b">
        <f>OR(LCI_Table[[#This Row],[Conversion]]="All",LCI_Table[[#This Row],[Conversion]]=SelectedConversion)</f>
        <v>0</v>
      </c>
      <c r="I2284" s="14" t="b">
        <f>OR(LCI_Table[[#This Row],[Data Set]]="all",LCI_Table[[#This Row],[Data Set]]=SelectedDataSet)</f>
        <v>0</v>
      </c>
      <c r="J2284" s="14" t="b">
        <f>OR(LCI_Table[[#This Row],[Technology]]="All",LCI_Table[[#This Row],[Technology]]=SelectedTechnology)</f>
        <v>1</v>
      </c>
      <c r="K2284" s="14" t="b">
        <f>OR(LCI_Table[[#This Row],[Data Source]]="All",LCI_Table[[#This Row],[Data Source]]=SelectedDataSource)</f>
        <v>0</v>
      </c>
      <c r="L2284" s="14" t="b">
        <f>TRUE</f>
        <v>1</v>
      </c>
      <c r="M2284" s="14" t="b">
        <f>(LCI_Table[[#This Row],[Dev Notes]]="Do not display")</f>
        <v>0</v>
      </c>
      <c r="N2284" s="14" t="b">
        <f>AND(LCI_Table[[#This Row],[Show Feedstock]:[Conditional]],NOT(LCI_Table[[#This Row],[Hide Row]]))</f>
        <v>0</v>
      </c>
      <c r="O2284" s="14" t="b">
        <f>LCI_Table[[#This Row],[GREET1 Name Range]]=""</f>
        <v>0</v>
      </c>
      <c r="P2284" s="358" t="s">
        <v>1448</v>
      </c>
      <c r="Q2284" s="14" t="s">
        <v>1045</v>
      </c>
      <c r="R2284" s="14" t="s">
        <v>384</v>
      </c>
      <c r="S2284" s="37" cm="1">
        <f t="array" aca="1" ref="S22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0.16677419958585313</v>
      </c>
      <c r="T2284" s="346" t="s">
        <v>2119</v>
      </c>
      <c r="U2284" s="361">
        <f t="shared" ref="U2284" ca="1" si="163">S2284/g2lb*MJ2mmBTU</f>
        <v>7.1699999999999972E-2</v>
      </c>
      <c r="V2284" s="347">
        <v>0.16677419958585313</v>
      </c>
      <c r="W2284" s="347">
        <v>7.1699999999999972E-2</v>
      </c>
      <c r="X2284" s="14" t="s">
        <v>12</v>
      </c>
      <c r="Y2284" s="346" t="s">
        <v>416</v>
      </c>
      <c r="Z2284" s="14" t="str">
        <f>IF(ISBLANK(LCI_Table[[#This Row],[Notes for user]])," ",LCI_Table[[#This Row],[Notes for user]])</f>
        <v xml:space="preserve"> </v>
      </c>
      <c r="AA2284" s="14"/>
      <c r="AB2284" s="14"/>
      <c r="AC2284" s="346">
        <f ca="1">LCI_Table[[#This Row],[Default Calculated Value]]-LCI_Table[[#This Row],[Calculated Value]]</f>
        <v>0</v>
      </c>
    </row>
    <row r="2285" spans="1:29" x14ac:dyDescent="0.3">
      <c r="A22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ATJICAOMIT(blank)_Corn_i_BuOH_ATJ_AmmoniaAmmonia</v>
      </c>
      <c r="B2285" s="14" t="s">
        <v>136</v>
      </c>
      <c r="C2285" s="14" t="s">
        <v>883</v>
      </c>
      <c r="D2285" s="14" t="s">
        <v>194</v>
      </c>
      <c r="E2285" s="14" t="s">
        <v>377</v>
      </c>
      <c r="F2285" s="48" t="s">
        <v>31</v>
      </c>
      <c r="G2285" s="14" t="b">
        <f>OR(LCI_Table[[#This Row],[Feedstock]]="All",LCI_Table[[#This Row],[Feedstock]]=SelectedFeedstock)</f>
        <v>0</v>
      </c>
      <c r="H2285" s="14" t="b">
        <f>OR(LCI_Table[[#This Row],[Conversion]]="All",LCI_Table[[#This Row],[Conversion]]=SelectedConversion)</f>
        <v>0</v>
      </c>
      <c r="I2285" s="14" t="b">
        <f>OR(LCI_Table[[#This Row],[Data Set]]="all",LCI_Table[[#This Row],[Data Set]]=SelectedDataSet)</f>
        <v>0</v>
      </c>
      <c r="J2285" s="14" t="b">
        <f>OR(LCI_Table[[#This Row],[Technology]]="All",LCI_Table[[#This Row],[Technology]]=SelectedTechnology)</f>
        <v>1</v>
      </c>
      <c r="K2285" s="14" t="b">
        <f>OR(LCI_Table[[#This Row],[Data Source]]="All",LCI_Table[[#This Row],[Data Source]]=SelectedDataSource)</f>
        <v>0</v>
      </c>
      <c r="L2285" s="14" t="b">
        <f>TRUE</f>
        <v>1</v>
      </c>
      <c r="M2285" s="14" t="b">
        <f>(LCI_Table[[#This Row],[Dev Notes]]="Do not display")</f>
        <v>0</v>
      </c>
      <c r="N2285" s="14" t="b">
        <f>AND(LCI_Table[[#This Row],[Show Feedstock]:[Conditional]],NOT(LCI_Table[[#This Row],[Hide Row]]))</f>
        <v>0</v>
      </c>
      <c r="O2285" s="14" t="b">
        <f>LCI_Table[[#This Row],[GREET1 Name Range]]=""</f>
        <v>0</v>
      </c>
      <c r="P2285" s="358" t="s">
        <v>1448</v>
      </c>
      <c r="Q2285" s="14" t="s">
        <v>1046</v>
      </c>
      <c r="R2285" s="14" t="s">
        <v>382</v>
      </c>
      <c r="S2285" s="37" cm="1">
        <f t="array" aca="1" ref="S22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0.64453459839944083</v>
      </c>
      <c r="T2285" s="346" t="s">
        <v>2119</v>
      </c>
      <c r="U2285" s="361">
        <f t="shared" ref="U2285" ca="1" si="164">S2285/g2lb*MJ2mmBTU</f>
        <v>0.27709999999999996</v>
      </c>
      <c r="V2285" s="347">
        <v>0.64453459839944083</v>
      </c>
      <c r="W2285" s="347">
        <v>0.27709999999999996</v>
      </c>
      <c r="X2285" s="14" t="s">
        <v>12</v>
      </c>
      <c r="Y2285" s="346" t="s">
        <v>416</v>
      </c>
      <c r="Z2285" s="14" t="str">
        <f>IF(ISBLANK(LCI_Table[[#This Row],[Notes for user]])," ",LCI_Table[[#This Row],[Notes for user]])</f>
        <v xml:space="preserve"> </v>
      </c>
      <c r="AA2285" s="14"/>
      <c r="AB2285" s="14"/>
      <c r="AC2285" s="346">
        <f ca="1">LCI_Table[[#This Row],[Default Calculated Value]]-LCI_Table[[#This Row],[Calculated Value]]</f>
        <v>0</v>
      </c>
    </row>
    <row r="2286" spans="1:29" x14ac:dyDescent="0.3">
      <c r="A22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ATJICAOMIT(blank)_Corn_i_BuOH_ATJ_NaOHNaOH</v>
      </c>
      <c r="B2286" s="14" t="s">
        <v>136</v>
      </c>
      <c r="C2286" s="14" t="s">
        <v>883</v>
      </c>
      <c r="D2286" s="14" t="s">
        <v>194</v>
      </c>
      <c r="E2286" s="14" t="s">
        <v>377</v>
      </c>
      <c r="F2286" s="48" t="s">
        <v>31</v>
      </c>
      <c r="G2286" s="14" t="b">
        <f>OR(LCI_Table[[#This Row],[Feedstock]]="All",LCI_Table[[#This Row],[Feedstock]]=SelectedFeedstock)</f>
        <v>0</v>
      </c>
      <c r="H2286" s="14" t="b">
        <f>OR(LCI_Table[[#This Row],[Conversion]]="All",LCI_Table[[#This Row],[Conversion]]=SelectedConversion)</f>
        <v>0</v>
      </c>
      <c r="I2286" s="14" t="b">
        <f>OR(LCI_Table[[#This Row],[Data Set]]="all",LCI_Table[[#This Row],[Data Set]]=SelectedDataSet)</f>
        <v>0</v>
      </c>
      <c r="J2286" s="14" t="b">
        <f>OR(LCI_Table[[#This Row],[Technology]]="All",LCI_Table[[#This Row],[Technology]]=SelectedTechnology)</f>
        <v>1</v>
      </c>
      <c r="K2286" s="14" t="b">
        <f>OR(LCI_Table[[#This Row],[Data Source]]="All",LCI_Table[[#This Row],[Data Source]]=SelectedDataSource)</f>
        <v>0</v>
      </c>
      <c r="L2286" s="14" t="b">
        <f>TRUE</f>
        <v>1</v>
      </c>
      <c r="M2286" s="14" t="b">
        <f>(LCI_Table[[#This Row],[Dev Notes]]="Do not display")</f>
        <v>0</v>
      </c>
      <c r="N2286" s="14" t="b">
        <f>AND(LCI_Table[[#This Row],[Show Feedstock]:[Conditional]],NOT(LCI_Table[[#This Row],[Hide Row]]))</f>
        <v>0</v>
      </c>
      <c r="O2286" s="14" t="b">
        <f>LCI_Table[[#This Row],[GREET1 Name Range]]=""</f>
        <v>0</v>
      </c>
      <c r="P2286" s="358" t="s">
        <v>1448</v>
      </c>
      <c r="Q2286" s="14" t="s">
        <v>1047</v>
      </c>
      <c r="R2286" s="14" t="s">
        <v>403</v>
      </c>
      <c r="S2286" s="37" cm="1">
        <f t="array" aca="1" ref="S22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0.80177219800897592</v>
      </c>
      <c r="T2286" s="346" t="s">
        <v>2119</v>
      </c>
      <c r="U2286" s="361">
        <f t="shared" ref="U2286" ca="1" si="165">S2286/g2lb*MJ2mmBTU</f>
        <v>0.3446999999999999</v>
      </c>
      <c r="V2286" s="347">
        <v>0.80177219800897592</v>
      </c>
      <c r="W2286" s="347">
        <v>0.3446999999999999</v>
      </c>
      <c r="X2286" s="14" t="s">
        <v>12</v>
      </c>
      <c r="Y2286" s="346" t="s">
        <v>416</v>
      </c>
      <c r="Z2286" s="14" t="str">
        <f>IF(ISBLANK(LCI_Table[[#This Row],[Notes for user]])," ",LCI_Table[[#This Row],[Notes for user]])</f>
        <v xml:space="preserve"> </v>
      </c>
      <c r="AA2286" s="14"/>
      <c r="AB2286" s="14"/>
      <c r="AC2286" s="346">
        <f ca="1">LCI_Table[[#This Row],[Default Calculated Value]]-LCI_Table[[#This Row],[Calculated Value]]</f>
        <v>0</v>
      </c>
    </row>
    <row r="2287" spans="1:29" x14ac:dyDescent="0.3">
      <c r="A22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ATJICAOMIT(blank)_Corn_i_BuOH_ATJ_Quicklime_CaOQuicklime (CaO)</v>
      </c>
      <c r="B2287" s="14" t="s">
        <v>136</v>
      </c>
      <c r="C2287" s="14" t="s">
        <v>883</v>
      </c>
      <c r="D2287" s="14" t="s">
        <v>194</v>
      </c>
      <c r="E2287" s="14" t="s">
        <v>377</v>
      </c>
      <c r="F2287" s="48" t="s">
        <v>31</v>
      </c>
      <c r="G2287" s="14" t="b">
        <f>OR(LCI_Table[[#This Row],[Feedstock]]="All",LCI_Table[[#This Row],[Feedstock]]=SelectedFeedstock)</f>
        <v>0</v>
      </c>
      <c r="H2287" s="14" t="b">
        <f>OR(LCI_Table[[#This Row],[Conversion]]="All",LCI_Table[[#This Row],[Conversion]]=SelectedConversion)</f>
        <v>0</v>
      </c>
      <c r="I2287" s="14" t="b">
        <f>OR(LCI_Table[[#This Row],[Data Set]]="all",LCI_Table[[#This Row],[Data Set]]=SelectedDataSet)</f>
        <v>0</v>
      </c>
      <c r="J2287" s="14" t="b">
        <f>OR(LCI_Table[[#This Row],[Technology]]="All",LCI_Table[[#This Row],[Technology]]=SelectedTechnology)</f>
        <v>1</v>
      </c>
      <c r="K2287" s="14" t="b">
        <f>OR(LCI_Table[[#This Row],[Data Source]]="All",LCI_Table[[#This Row],[Data Source]]=SelectedDataSource)</f>
        <v>0</v>
      </c>
      <c r="L2287" s="14" t="b">
        <f>TRUE</f>
        <v>1</v>
      </c>
      <c r="M2287" s="14" t="b">
        <f>(LCI_Table[[#This Row],[Dev Notes]]="Do not display")</f>
        <v>0</v>
      </c>
      <c r="N2287" s="14" t="b">
        <f>AND(LCI_Table[[#This Row],[Show Feedstock]:[Conditional]],NOT(LCI_Table[[#This Row],[Hide Row]]))</f>
        <v>0</v>
      </c>
      <c r="O2287" s="14" t="b">
        <f>LCI_Table[[#This Row],[GREET1 Name Range]]=""</f>
        <v>0</v>
      </c>
      <c r="P2287" s="358" t="s">
        <v>1448</v>
      </c>
      <c r="Q2287" s="14" t="s">
        <v>1048</v>
      </c>
      <c r="R2287" s="14" t="s">
        <v>404</v>
      </c>
      <c r="S2287" s="37" cm="1">
        <f t="array" aca="1" ref="S22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0.37215999907582298</v>
      </c>
      <c r="T2287" s="346" t="s">
        <v>2119</v>
      </c>
      <c r="U2287" s="361">
        <f t="shared" ref="U2287" ca="1" si="166">S2287/g2lb*MJ2mmBTU</f>
        <v>0.16</v>
      </c>
      <c r="V2287" s="347">
        <v>0.37215999907582298</v>
      </c>
      <c r="W2287" s="347">
        <v>0.16</v>
      </c>
      <c r="X2287" s="14" t="s">
        <v>12</v>
      </c>
      <c r="Y2287" s="346" t="s">
        <v>416</v>
      </c>
      <c r="Z2287" s="14" t="str">
        <f>IF(ISBLANK(LCI_Table[[#This Row],[Notes for user]])," ",LCI_Table[[#This Row],[Notes for user]])</f>
        <v xml:space="preserve"> </v>
      </c>
      <c r="AA2287" s="14"/>
      <c r="AB2287" s="14"/>
      <c r="AC2287" s="346">
        <f ca="1">LCI_Table[[#This Row],[Default Calculated Value]]-LCI_Table[[#This Row],[Calculated Value]]</f>
        <v>0</v>
      </c>
    </row>
    <row r="2288" spans="1:29" x14ac:dyDescent="0.3">
      <c r="A22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ATJICAOMIT(blank)_Corn_i_BuOH_Fermentation_Natural_gasNatural gas (fermentation)</v>
      </c>
      <c r="B2288" s="14" t="s">
        <v>136</v>
      </c>
      <c r="C2288" s="14" t="s">
        <v>883</v>
      </c>
      <c r="D2288" s="14" t="s">
        <v>194</v>
      </c>
      <c r="E2288" s="14" t="s">
        <v>377</v>
      </c>
      <c r="F2288" s="48" t="s">
        <v>31</v>
      </c>
      <c r="G2288" s="14" t="b">
        <f>OR(LCI_Table[[#This Row],[Feedstock]]="All",LCI_Table[[#This Row],[Feedstock]]=SelectedFeedstock)</f>
        <v>0</v>
      </c>
      <c r="H2288" s="14" t="b">
        <f>OR(LCI_Table[[#This Row],[Conversion]]="All",LCI_Table[[#This Row],[Conversion]]=SelectedConversion)</f>
        <v>0</v>
      </c>
      <c r="I2288" s="14" t="b">
        <f>OR(LCI_Table[[#This Row],[Data Set]]="all",LCI_Table[[#This Row],[Data Set]]=SelectedDataSet)</f>
        <v>0</v>
      </c>
      <c r="J2288" s="14" t="b">
        <f>OR(LCI_Table[[#This Row],[Technology]]="All",LCI_Table[[#This Row],[Technology]]=SelectedTechnology)</f>
        <v>1</v>
      </c>
      <c r="K2288" s="14" t="b">
        <f>OR(LCI_Table[[#This Row],[Data Source]]="All",LCI_Table[[#This Row],[Data Source]]=SelectedDataSource)</f>
        <v>0</v>
      </c>
      <c r="L2288" s="14" t="b">
        <f>TRUE</f>
        <v>1</v>
      </c>
      <c r="M2288" s="14" t="b">
        <f>(LCI_Table[[#This Row],[Dev Notes]]="Do not display")</f>
        <v>0</v>
      </c>
      <c r="N2288" s="14" t="b">
        <f>AND(LCI_Table[[#This Row],[Show Feedstock]:[Conditional]],NOT(LCI_Table[[#This Row],[Hide Row]]))</f>
        <v>0</v>
      </c>
      <c r="O2288" s="14" t="b">
        <f>LCI_Table[[#This Row],[GREET1 Name Range]]=""</f>
        <v>0</v>
      </c>
      <c r="P2288" s="358" t="s">
        <v>1448</v>
      </c>
      <c r="Q2288" s="14" t="s">
        <v>1103</v>
      </c>
      <c r="R2288" s="14" t="s">
        <v>1132</v>
      </c>
      <c r="S2288" s="37" cm="1">
        <f t="array" aca="1" ref="S22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132.04476093591049</v>
      </c>
      <c r="T2288" s="346" t="s">
        <v>2120</v>
      </c>
      <c r="U2288" s="361">
        <f ca="1">S2288*Fuel_Specs!$B$79/mmBTU2MJ</f>
        <v>123.02666252217834</v>
      </c>
      <c r="V2288" s="347">
        <v>132.04476093591049</v>
      </c>
      <c r="W2288" s="347">
        <v>123.02666252217834</v>
      </c>
      <c r="X2288" s="14" t="s">
        <v>351</v>
      </c>
      <c r="Y2288" s="346" t="s">
        <v>416</v>
      </c>
      <c r="Z2288" s="14" t="str">
        <f>IF(ISBLANK(LCI_Table[[#This Row],[Notes for user]])," ",LCI_Table[[#This Row],[Notes for user]])</f>
        <v xml:space="preserve"> </v>
      </c>
      <c r="AA2288" s="14"/>
      <c r="AB2288" s="14"/>
      <c r="AC2288" s="346">
        <f ca="1">LCI_Table[[#This Row],[Default Calculated Value]]-LCI_Table[[#This Row],[Calculated Value]]</f>
        <v>0</v>
      </c>
    </row>
    <row r="2289" spans="1:29" x14ac:dyDescent="0.3">
      <c r="A22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ATJICAOMIT(blank)_Corn_i_BuOH_ATJ_ElectricityElectricity (fermentation)</v>
      </c>
      <c r="B2289" s="14" t="s">
        <v>136</v>
      </c>
      <c r="C2289" s="14" t="s">
        <v>883</v>
      </c>
      <c r="D2289" s="14" t="s">
        <v>194</v>
      </c>
      <c r="E2289" s="14" t="s">
        <v>377</v>
      </c>
      <c r="F2289" s="48" t="s">
        <v>31</v>
      </c>
      <c r="G2289" s="14" t="b">
        <f>OR(LCI_Table[[#This Row],[Feedstock]]="All",LCI_Table[[#This Row],[Feedstock]]=SelectedFeedstock)</f>
        <v>0</v>
      </c>
      <c r="H2289" s="14" t="b">
        <f>OR(LCI_Table[[#This Row],[Conversion]]="All",LCI_Table[[#This Row],[Conversion]]=SelectedConversion)</f>
        <v>0</v>
      </c>
      <c r="I2289" s="14" t="b">
        <f>OR(LCI_Table[[#This Row],[Data Set]]="all",LCI_Table[[#This Row],[Data Set]]=SelectedDataSet)</f>
        <v>0</v>
      </c>
      <c r="J2289" s="14" t="b">
        <f>OR(LCI_Table[[#This Row],[Technology]]="All",LCI_Table[[#This Row],[Technology]]=SelectedTechnology)</f>
        <v>1</v>
      </c>
      <c r="K2289" s="14" t="b">
        <f>OR(LCI_Table[[#This Row],[Data Source]]="All",LCI_Table[[#This Row],[Data Source]]=SelectedDataSource)</f>
        <v>0</v>
      </c>
      <c r="L2289" s="14" t="b">
        <f>TRUE</f>
        <v>1</v>
      </c>
      <c r="M2289" s="14" t="b">
        <f>(LCI_Table[[#This Row],[Dev Notes]]="Do not display")</f>
        <v>0</v>
      </c>
      <c r="N2289" s="14" t="b">
        <f>AND(LCI_Table[[#This Row],[Show Feedstock]:[Conditional]],NOT(LCI_Table[[#This Row],[Hide Row]]))</f>
        <v>0</v>
      </c>
      <c r="O2289" s="14" t="b">
        <f>LCI_Table[[#This Row],[GREET1 Name Range]]=""</f>
        <v>0</v>
      </c>
      <c r="P2289" s="358" t="s">
        <v>1448</v>
      </c>
      <c r="Q2289" s="14" t="s">
        <v>1050</v>
      </c>
      <c r="R2289" s="14" t="s">
        <v>1134</v>
      </c>
      <c r="S2289" s="37" cm="1">
        <f t="array" aca="1" ref="S22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16.224859872469999</v>
      </c>
      <c r="T2289" s="346" t="s">
        <v>2121</v>
      </c>
      <c r="U2289" s="361">
        <f ca="1">S2289/BTU2kWh/mmBTU2MJ</f>
        <v>52.472596592872307</v>
      </c>
      <c r="V2289" s="347">
        <v>16.224859872469999</v>
      </c>
      <c r="W2289" s="347">
        <v>52.472596592872307</v>
      </c>
      <c r="X2289" s="37" t="s">
        <v>51</v>
      </c>
      <c r="Y2289" s="346" t="s">
        <v>416</v>
      </c>
      <c r="Z2289" s="14" t="str">
        <f>IF(ISBLANK(LCI_Table[[#This Row],[Notes for user]])," ",LCI_Table[[#This Row],[Notes for user]])</f>
        <v xml:space="preserve"> </v>
      </c>
      <c r="AA2289" s="14"/>
      <c r="AB2289" s="14"/>
      <c r="AC2289" s="346">
        <f ca="1">LCI_Table[[#This Row],[Default Calculated Value]]-LCI_Table[[#This Row],[Calculated Value]]</f>
        <v>0</v>
      </c>
    </row>
    <row r="2290" spans="1:29" x14ac:dyDescent="0.3">
      <c r="A22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ATJICAOMIT(blank)_Corn_i_BuOH_ATJ_HydrogenHydrogen</v>
      </c>
      <c r="B2290" s="358" t="s">
        <v>136</v>
      </c>
      <c r="C2290" s="14" t="s">
        <v>883</v>
      </c>
      <c r="D2290" s="358" t="s">
        <v>194</v>
      </c>
      <c r="E2290" s="358" t="s">
        <v>377</v>
      </c>
      <c r="F2290" s="48" t="s">
        <v>31</v>
      </c>
      <c r="G2290" s="14" t="b">
        <f>OR(LCI_Table[[#This Row],[Feedstock]]="All",LCI_Table[[#This Row],[Feedstock]]=SelectedFeedstock)</f>
        <v>0</v>
      </c>
      <c r="H2290" s="14" t="b">
        <f>OR(LCI_Table[[#This Row],[Conversion]]="All",LCI_Table[[#This Row],[Conversion]]=SelectedConversion)</f>
        <v>0</v>
      </c>
      <c r="I2290" s="14" t="b">
        <f>OR(LCI_Table[[#This Row],[Data Set]]="all",LCI_Table[[#This Row],[Data Set]]=SelectedDataSet)</f>
        <v>0</v>
      </c>
      <c r="J2290" s="14" t="b">
        <f>OR(LCI_Table[[#This Row],[Technology]]="All",LCI_Table[[#This Row],[Technology]]=SelectedTechnology)</f>
        <v>1</v>
      </c>
      <c r="K2290" s="14" t="b">
        <f>OR(LCI_Table[[#This Row],[Data Source]]="All",LCI_Table[[#This Row],[Data Source]]=SelectedDataSource)</f>
        <v>0</v>
      </c>
      <c r="L2290" s="14" t="b">
        <f>TRUE</f>
        <v>1</v>
      </c>
      <c r="M2290" s="14" t="b">
        <f>(LCI_Table[[#This Row],[Dev Notes]]="Do not display")</f>
        <v>0</v>
      </c>
      <c r="N2290" s="14" t="b">
        <f>AND(LCI_Table[[#This Row],[Show Feedstock]:[Conditional]],NOT(LCI_Table[[#This Row],[Hide Row]]))</f>
        <v>0</v>
      </c>
      <c r="O2290" s="14" t="b">
        <f>LCI_Table[[#This Row],[GREET1 Name Range]]=""</f>
        <v>0</v>
      </c>
      <c r="P2290" s="358" t="s">
        <v>1448</v>
      </c>
      <c r="Q2290" s="14" t="s">
        <v>1051</v>
      </c>
      <c r="R2290" s="358" t="s">
        <v>73</v>
      </c>
      <c r="S2290" s="37" cm="1">
        <f t="array" aca="1" ref="S22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138.78866646727448</v>
      </c>
      <c r="T2290" s="346" t="s">
        <v>2120</v>
      </c>
      <c r="U2290" s="361">
        <f ca="1">S2290*Fuel_Specs!$B$81/mmBTU2MJ</f>
        <v>38.148419607843131</v>
      </c>
      <c r="V2290" s="359">
        <v>138.78866646727448</v>
      </c>
      <c r="W2290" s="347">
        <v>38.148419607843131</v>
      </c>
      <c r="X2290" s="360" t="s">
        <v>351</v>
      </c>
      <c r="Y2290" s="346" t="s">
        <v>416</v>
      </c>
      <c r="Z2290" s="14" t="str">
        <f>IF(ISBLANK(LCI_Table[[#This Row],[Notes for user]])," ",LCI_Table[[#This Row],[Notes for user]])</f>
        <v xml:space="preserve"> </v>
      </c>
      <c r="AA2290" s="14"/>
      <c r="AB2290" s="358"/>
      <c r="AC2290" s="346">
        <f ca="1">LCI_Table[[#This Row],[Default Calculated Value]]-LCI_Table[[#This Row],[Calculated Value]]</f>
        <v>0</v>
      </c>
    </row>
    <row r="2291" spans="1:29" x14ac:dyDescent="0.3">
      <c r="A22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ATJICAOMIT(blank)_Corn_i_BuOH_ATJ_Natural_gasNatural gas (ATJ conversion)</v>
      </c>
      <c r="B2291" s="14" t="s">
        <v>136</v>
      </c>
      <c r="C2291" s="14" t="s">
        <v>883</v>
      </c>
      <c r="D2291" s="14" t="s">
        <v>194</v>
      </c>
      <c r="E2291" s="14" t="s">
        <v>377</v>
      </c>
      <c r="F2291" s="48" t="s">
        <v>31</v>
      </c>
      <c r="G2291" s="14" t="b">
        <f>OR(LCI_Table[[#This Row],[Feedstock]]="All",LCI_Table[[#This Row],[Feedstock]]=SelectedFeedstock)</f>
        <v>0</v>
      </c>
      <c r="H2291" s="14" t="b">
        <f>OR(LCI_Table[[#This Row],[Conversion]]="All",LCI_Table[[#This Row],[Conversion]]=SelectedConversion)</f>
        <v>0</v>
      </c>
      <c r="I2291" s="14" t="b">
        <f>OR(LCI_Table[[#This Row],[Data Set]]="all",LCI_Table[[#This Row],[Data Set]]=SelectedDataSet)</f>
        <v>0</v>
      </c>
      <c r="J2291" s="14" t="b">
        <f>OR(LCI_Table[[#This Row],[Technology]]="All",LCI_Table[[#This Row],[Technology]]=SelectedTechnology)</f>
        <v>1</v>
      </c>
      <c r="K2291" s="14" t="b">
        <f>OR(LCI_Table[[#This Row],[Data Source]]="All",LCI_Table[[#This Row],[Data Source]]=SelectedDataSource)</f>
        <v>0</v>
      </c>
      <c r="L2291" s="14" t="b">
        <f>TRUE</f>
        <v>1</v>
      </c>
      <c r="M2291" s="14" t="b">
        <f>(LCI_Table[[#This Row],[Dev Notes]]="Do not display")</f>
        <v>0</v>
      </c>
      <c r="N2291" s="14" t="b">
        <f>AND(LCI_Table[[#This Row],[Show Feedstock]:[Conditional]],NOT(LCI_Table[[#This Row],[Hide Row]]))</f>
        <v>0</v>
      </c>
      <c r="O2291" s="14" t="b">
        <f>LCI_Table[[#This Row],[GREET1 Name Range]]=""</f>
        <v>0</v>
      </c>
      <c r="P2291" s="14" t="s">
        <v>1448</v>
      </c>
      <c r="Q2291" s="14" t="s">
        <v>1049</v>
      </c>
      <c r="R2291" s="14" t="s">
        <v>1133</v>
      </c>
      <c r="S2291" s="37" cm="1">
        <f t="array" aca="1" ref="S22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263.47914547304174</v>
      </c>
      <c r="T2291" s="346" t="s">
        <v>2120</v>
      </c>
      <c r="U2291" s="361">
        <f ca="1">S2291*Fuel_Specs!$B$79/mmBTU2MJ</f>
        <v>245.48463477075649</v>
      </c>
      <c r="V2291" s="347">
        <v>263.47914547304174</v>
      </c>
      <c r="W2291" s="347">
        <v>245.48463477075649</v>
      </c>
      <c r="X2291" s="14" t="s">
        <v>351</v>
      </c>
      <c r="Y2291" s="346" t="s">
        <v>416</v>
      </c>
      <c r="Z2291" s="14" t="str">
        <f>IF(ISBLANK(LCI_Table[[#This Row],[Notes for user]])," ",LCI_Table[[#This Row],[Notes for user]])</f>
        <v xml:space="preserve"> </v>
      </c>
      <c r="AA2291" s="14"/>
      <c r="AB2291" s="14"/>
      <c r="AC2291" s="346">
        <f ca="1">LCI_Table[[#This Row],[Default Calculated Value]]-LCI_Table[[#This Row],[Calculated Value]]</f>
        <v>0</v>
      </c>
    </row>
    <row r="2292" spans="1:29" x14ac:dyDescent="0.3">
      <c r="A22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ATJICAOMIT(blank)_Corn_i_BuOH_ATJ_ElectricityElectricity (ATJ conversion)</v>
      </c>
      <c r="B2292" s="14" t="s">
        <v>136</v>
      </c>
      <c r="C2292" s="14" t="s">
        <v>883</v>
      </c>
      <c r="D2292" s="14" t="s">
        <v>194</v>
      </c>
      <c r="E2292" s="14" t="s">
        <v>377</v>
      </c>
      <c r="F2292" s="48" t="s">
        <v>31</v>
      </c>
      <c r="G2292" s="14" t="b">
        <f>OR(LCI_Table[[#This Row],[Feedstock]]="All",LCI_Table[[#This Row],[Feedstock]]=SelectedFeedstock)</f>
        <v>0</v>
      </c>
      <c r="H2292" s="14" t="b">
        <f>OR(LCI_Table[[#This Row],[Conversion]]="All",LCI_Table[[#This Row],[Conversion]]=SelectedConversion)</f>
        <v>0</v>
      </c>
      <c r="I2292" s="14" t="b">
        <f>OR(LCI_Table[[#This Row],[Data Set]]="all",LCI_Table[[#This Row],[Data Set]]=SelectedDataSet)</f>
        <v>0</v>
      </c>
      <c r="J2292" s="14" t="b">
        <f>OR(LCI_Table[[#This Row],[Technology]]="All",LCI_Table[[#This Row],[Technology]]=SelectedTechnology)</f>
        <v>1</v>
      </c>
      <c r="K2292" s="14" t="b">
        <f>OR(LCI_Table[[#This Row],[Data Source]]="All",LCI_Table[[#This Row],[Data Source]]=SelectedDataSource)</f>
        <v>0</v>
      </c>
      <c r="L2292" s="14" t="b">
        <f>TRUE</f>
        <v>1</v>
      </c>
      <c r="M2292" s="14" t="b">
        <f>(LCI_Table[[#This Row],[Dev Notes]]="Do not display")</f>
        <v>0</v>
      </c>
      <c r="N2292" s="14" t="b">
        <f>AND(LCI_Table[[#This Row],[Show Feedstock]:[Conditional]],NOT(LCI_Table[[#This Row],[Hide Row]]))</f>
        <v>0</v>
      </c>
      <c r="O2292" s="14" t="b">
        <f>LCI_Table[[#This Row],[GREET1 Name Range]]=""</f>
        <v>0</v>
      </c>
      <c r="P2292" s="14" t="s">
        <v>1448</v>
      </c>
      <c r="Q2292" s="14" t="s">
        <v>1050</v>
      </c>
      <c r="R2292" s="14" t="s">
        <v>1135</v>
      </c>
      <c r="S2292" s="37" cm="1">
        <f t="array" aca="1" ref="S22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6.0297022108217497</v>
      </c>
      <c r="T2292" s="346" t="s">
        <v>2121</v>
      </c>
      <c r="U2292" s="361">
        <f ca="1">S2292/BTU2kWh/mmBTU2MJ</f>
        <v>19.500577149541421</v>
      </c>
      <c r="V2292" s="347">
        <v>6.0297022108217497</v>
      </c>
      <c r="W2292" s="347">
        <v>19.500577149541421</v>
      </c>
      <c r="X2292" s="37" t="s">
        <v>51</v>
      </c>
      <c r="Y2292" s="346" t="s">
        <v>416</v>
      </c>
      <c r="Z2292" s="14" t="str">
        <f>IF(ISBLANK(LCI_Table[[#This Row],[Notes for user]])," ",LCI_Table[[#This Row],[Notes for user]])</f>
        <v xml:space="preserve"> </v>
      </c>
      <c r="AA2292" s="14"/>
      <c r="AB2292" s="14"/>
      <c r="AC2292" s="346">
        <f ca="1">LCI_Table[[#This Row],[Default Calculated Value]]-LCI_Table[[#This Row],[Calculated Value]]</f>
        <v>0</v>
      </c>
    </row>
    <row r="2293" spans="1:29" x14ac:dyDescent="0.3">
      <c r="A22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ATJICAOMIT(blank)_Corn_i_BuOH_ATJ_Allocation_FactorAllocation factor</v>
      </c>
      <c r="B2293" s="14" t="s">
        <v>136</v>
      </c>
      <c r="C2293" s="14" t="s">
        <v>883</v>
      </c>
      <c r="D2293" s="14" t="s">
        <v>194</v>
      </c>
      <c r="E2293" s="14" t="s">
        <v>377</v>
      </c>
      <c r="F2293" s="48" t="s">
        <v>31</v>
      </c>
      <c r="G2293" s="14" t="b">
        <f>OR(LCI_Table[[#This Row],[Feedstock]]="All",LCI_Table[[#This Row],[Feedstock]]=SelectedFeedstock)</f>
        <v>0</v>
      </c>
      <c r="H2293" s="14" t="b">
        <f>OR(LCI_Table[[#This Row],[Conversion]]="All",LCI_Table[[#This Row],[Conversion]]=SelectedConversion)</f>
        <v>0</v>
      </c>
      <c r="I2293" s="14" t="b">
        <f>OR(LCI_Table[[#This Row],[Data Set]]="all",LCI_Table[[#This Row],[Data Set]]=SelectedDataSet)</f>
        <v>0</v>
      </c>
      <c r="J2293" s="14" t="b">
        <f>OR(LCI_Table[[#This Row],[Technology]]="All",LCI_Table[[#This Row],[Technology]]=SelectedTechnology)</f>
        <v>1</v>
      </c>
      <c r="K2293" s="14" t="b">
        <f>OR(LCI_Table[[#This Row],[Data Source]]="All",LCI_Table[[#This Row],[Data Source]]=SelectedDataSource)</f>
        <v>0</v>
      </c>
      <c r="L2293" s="14" t="b">
        <f>TRUE</f>
        <v>1</v>
      </c>
      <c r="M2293" s="14" t="b">
        <f>(LCI_Table[[#This Row],[Dev Notes]]="Do not display")</f>
        <v>0</v>
      </c>
      <c r="N2293" s="14" t="b">
        <f>AND(LCI_Table[[#This Row],[Show Feedstock]:[Conditional]],NOT(LCI_Table[[#This Row],[Hide Row]]))</f>
        <v>0</v>
      </c>
      <c r="O2293" s="14" t="b">
        <f>LCI_Table[[#This Row],[GREET1 Name Range]]=""</f>
        <v>0</v>
      </c>
      <c r="P2293" s="14" t="s">
        <v>1448</v>
      </c>
      <c r="Q2293" s="14" t="s">
        <v>1100</v>
      </c>
      <c r="R2293" s="14" t="s">
        <v>1344</v>
      </c>
      <c r="S2293" s="37" cm="1">
        <f t="array" aca="1" ref="S22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55.1126429620452</v>
      </c>
      <c r="T2293" s="346" t="s">
        <v>1345</v>
      </c>
      <c r="U2293" s="361">
        <f ca="1">LCI_Table[[#This Row],[Dashboard Value]]/100</f>
        <v>0.551126429620452</v>
      </c>
      <c r="V2293" s="347">
        <v>55.1126429620452</v>
      </c>
      <c r="W2293" s="347">
        <v>0.551126429620452</v>
      </c>
      <c r="X2293" s="37" t="s">
        <v>51</v>
      </c>
      <c r="Y2293" s="346" t="s">
        <v>416</v>
      </c>
      <c r="Z2293" s="14" t="str">
        <f>IF(ISBLANK(LCI_Table[[#This Row],[Notes for user]])," ",LCI_Table[[#This Row],[Notes for user]])</f>
        <v xml:space="preserve"> </v>
      </c>
      <c r="AA2293" s="14"/>
      <c r="AB2293" s="14"/>
      <c r="AC2293" s="346">
        <f ca="1">LCI_Table[[#This Row],[Default Calculated Value]]-LCI_Table[[#This Row],[Calculated Value]]</f>
        <v>0</v>
      </c>
    </row>
    <row r="2294" spans="1:29" x14ac:dyDescent="0.3">
      <c r="A22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dash_Switchgrassi-BuOH ATJICAOMIT(blank)_Yield_Farming</v>
      </c>
      <c r="B2294" s="48" t="s">
        <v>133</v>
      </c>
      <c r="C2294" s="48" t="s">
        <v>883</v>
      </c>
      <c r="D2294" s="48" t="s">
        <v>194</v>
      </c>
      <c r="E2294" s="48" t="s">
        <v>377</v>
      </c>
      <c r="F2294" s="48" t="s">
        <v>31</v>
      </c>
      <c r="G2294" s="14" t="b">
        <f>OR(LCI_Table[[#This Row],[Feedstock]]="All",LCI_Table[[#This Row],[Feedstock]]=SelectedFeedstock)</f>
        <v>0</v>
      </c>
      <c r="H2294" s="14" t="b">
        <f>OR(LCI_Table[[#This Row],[Conversion]]="All",LCI_Table[[#This Row],[Conversion]]=SelectedConversion)</f>
        <v>0</v>
      </c>
      <c r="I2294" s="14" t="b">
        <f>OR(LCI_Table[[#This Row],[Data Set]]="all",LCI_Table[[#This Row],[Data Set]]=SelectedDataSet)</f>
        <v>0</v>
      </c>
      <c r="J2294" s="14" t="b">
        <f>OR(LCI_Table[[#This Row],[Technology]]="All",LCI_Table[[#This Row],[Technology]]=SelectedTechnology)</f>
        <v>1</v>
      </c>
      <c r="K2294" s="14" t="b">
        <f>OR(LCI_Table[[#This Row],[Data Source]]="All",LCI_Table[[#This Row],[Data Source]]=SelectedDataSource)</f>
        <v>0</v>
      </c>
      <c r="L2294" s="14" t="b">
        <f>TRUE</f>
        <v>1</v>
      </c>
      <c r="M2294" s="14" t="b">
        <f>(LCI_Table[[#This Row],[Dev Notes]]="Do not display")</f>
        <v>0</v>
      </c>
      <c r="N2294" s="14" t="b">
        <f>AND(LCI_Table[[#This Row],[Show Feedstock]:[Conditional]],NOT(LCI_Table[[#This Row],[Hide Row]]))</f>
        <v>0</v>
      </c>
      <c r="O2294" s="14" t="b">
        <f>LCI_Table[[#This Row],[GREET1 Name Range]]=""</f>
        <v>1</v>
      </c>
      <c r="P2294" s="48" t="s">
        <v>14</v>
      </c>
      <c r="Q2294" s="14" t="s">
        <v>361</v>
      </c>
      <c r="R2294" s="48" t="s">
        <v>200</v>
      </c>
      <c r="S2294" s="37" cm="1">
        <f t="array" aca="1" ref="S22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5.7991732429603093</v>
      </c>
      <c r="T2294" s="346" t="s">
        <v>2116</v>
      </c>
      <c r="U2294" s="344"/>
      <c r="V2294" s="344">
        <v>5.7991732429603093</v>
      </c>
      <c r="W2294" s="344"/>
      <c r="X2294" s="48" t="s">
        <v>55</v>
      </c>
      <c r="Y2294" s="346" t="s">
        <v>413</v>
      </c>
      <c r="Z2294" s="14" t="str">
        <f>IF(ISBLANK(LCI_Table[[#This Row],[Notes for user]])," ",LCI_Table[[#This Row],[Notes for user]])</f>
        <v xml:space="preserve"> </v>
      </c>
      <c r="AA2294" s="48"/>
      <c r="AB2294" s="345"/>
      <c r="AC2294" s="346">
        <f>LCI_Table[[#This Row],[Default Calculated Value]]-LCI_Table[[#This Row],[Calculated Value]]</f>
        <v>0</v>
      </c>
    </row>
    <row r="2295" spans="1:29" x14ac:dyDescent="0.3">
      <c r="A22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Switchgrassi-BuOH ATJICAOMIT(blank)_Switchgrass_Farming_Nitrogen_fertilizerNitrogen fertilizer</v>
      </c>
      <c r="B2295" s="14" t="s">
        <v>133</v>
      </c>
      <c r="C2295" s="14" t="s">
        <v>883</v>
      </c>
      <c r="D2295" s="14" t="s">
        <v>194</v>
      </c>
      <c r="E2295" s="14" t="s">
        <v>377</v>
      </c>
      <c r="F2295" s="48" t="s">
        <v>31</v>
      </c>
      <c r="G2295" s="14" t="b">
        <f>OR(LCI_Table[[#This Row],[Feedstock]]="All",LCI_Table[[#This Row],[Feedstock]]=SelectedFeedstock)</f>
        <v>0</v>
      </c>
      <c r="H2295" s="14" t="b">
        <f>OR(LCI_Table[[#This Row],[Conversion]]="All",LCI_Table[[#This Row],[Conversion]]=SelectedConversion)</f>
        <v>0</v>
      </c>
      <c r="I2295" s="14" t="b">
        <f>OR(LCI_Table[[#This Row],[Data Set]]="all",LCI_Table[[#This Row],[Data Set]]=SelectedDataSet)</f>
        <v>0</v>
      </c>
      <c r="J2295" s="14" t="b">
        <f>OR(LCI_Table[[#This Row],[Technology]]="All",LCI_Table[[#This Row],[Technology]]=SelectedTechnology)</f>
        <v>1</v>
      </c>
      <c r="K2295" s="14" t="b">
        <f>OR(LCI_Table[[#This Row],[Data Source]]="All",LCI_Table[[#This Row],[Data Source]]=SelectedDataSource)</f>
        <v>0</v>
      </c>
      <c r="L2295" s="14" t="b">
        <f>TRUE</f>
        <v>1</v>
      </c>
      <c r="M2295" s="14" t="b">
        <f>(LCI_Table[[#This Row],[Dev Notes]]="Do not display")</f>
        <v>0</v>
      </c>
      <c r="N2295" s="14" t="b">
        <f>AND(LCI_Table[[#This Row],[Show Feedstock]:[Conditional]],NOT(LCI_Table[[#This Row],[Hide Row]]))</f>
        <v>0</v>
      </c>
      <c r="O2295" s="14" t="b">
        <f>LCI_Table[[#This Row],[GREET1 Name Range]]=""</f>
        <v>0</v>
      </c>
      <c r="P2295" s="14" t="s">
        <v>14</v>
      </c>
      <c r="Q2295" s="14" t="s">
        <v>818</v>
      </c>
      <c r="R2295" s="14" t="s">
        <v>111</v>
      </c>
      <c r="S2295" s="37" cm="1">
        <f t="array" aca="1" ref="S22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62.35688668966305</v>
      </c>
      <c r="T2295" s="346" t="s">
        <v>1485</v>
      </c>
      <c r="U2295" s="347">
        <f t="shared" ref="U2295:U2301" ca="1" si="167">S2295/$S$2294*lb2g</f>
        <v>4877.3517938476434</v>
      </c>
      <c r="V2295" s="347">
        <v>62.35688668966305</v>
      </c>
      <c r="W2295" s="347">
        <v>4877.3517938476434</v>
      </c>
      <c r="X2295" s="14" t="s">
        <v>12</v>
      </c>
      <c r="Y2295" s="346" t="s">
        <v>413</v>
      </c>
      <c r="Z2295" s="14" t="str">
        <f>IF(ISBLANK(LCI_Table[[#This Row],[Notes for user]])," ",LCI_Table[[#This Row],[Notes for user]])</f>
        <v xml:space="preserve"> </v>
      </c>
      <c r="AA2295" s="14"/>
      <c r="AB2295" s="14"/>
      <c r="AC2295" s="346">
        <f ca="1">LCI_Table[[#This Row],[Default Calculated Value]]-LCI_Table[[#This Row],[Calculated Value]]</f>
        <v>0</v>
      </c>
    </row>
    <row r="2296" spans="1:29" x14ac:dyDescent="0.3">
      <c r="A22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Switchgrassi-BuOH ATJICAOMIT(blank)_Switchgrass_Farming_P2O5P2O5</v>
      </c>
      <c r="B2296" s="14" t="s">
        <v>133</v>
      </c>
      <c r="C2296" s="14" t="s">
        <v>883</v>
      </c>
      <c r="D2296" s="14" t="s">
        <v>194</v>
      </c>
      <c r="E2296" s="14" t="s">
        <v>377</v>
      </c>
      <c r="F2296" s="48" t="s">
        <v>31</v>
      </c>
      <c r="G2296" s="14" t="b">
        <f>OR(LCI_Table[[#This Row],[Feedstock]]="All",LCI_Table[[#This Row],[Feedstock]]=SelectedFeedstock)</f>
        <v>0</v>
      </c>
      <c r="H2296" s="14" t="b">
        <f>OR(LCI_Table[[#This Row],[Conversion]]="All",LCI_Table[[#This Row],[Conversion]]=SelectedConversion)</f>
        <v>0</v>
      </c>
      <c r="I2296" s="14" t="b">
        <f>OR(LCI_Table[[#This Row],[Data Set]]="all",LCI_Table[[#This Row],[Data Set]]=SelectedDataSet)</f>
        <v>0</v>
      </c>
      <c r="J2296" s="14" t="b">
        <f>OR(LCI_Table[[#This Row],[Technology]]="All",LCI_Table[[#This Row],[Technology]]=SelectedTechnology)</f>
        <v>1</v>
      </c>
      <c r="K2296" s="14" t="b">
        <f>OR(LCI_Table[[#This Row],[Data Source]]="All",LCI_Table[[#This Row],[Data Source]]=SelectedDataSource)</f>
        <v>0</v>
      </c>
      <c r="L2296" s="14" t="b">
        <f>TRUE</f>
        <v>1</v>
      </c>
      <c r="M2296" s="14" t="b">
        <f>(LCI_Table[[#This Row],[Dev Notes]]="Do not display")</f>
        <v>0</v>
      </c>
      <c r="N2296" s="14" t="b">
        <f>AND(LCI_Table[[#This Row],[Show Feedstock]:[Conditional]],NOT(LCI_Table[[#This Row],[Hide Row]]))</f>
        <v>0</v>
      </c>
      <c r="O2296" s="14" t="b">
        <f>LCI_Table[[#This Row],[GREET1 Name Range]]=""</f>
        <v>0</v>
      </c>
      <c r="P2296" s="14" t="s">
        <v>14</v>
      </c>
      <c r="Q2296" s="14" t="s">
        <v>819</v>
      </c>
      <c r="R2296" s="14" t="s">
        <v>112</v>
      </c>
      <c r="S2296" s="37" cm="1">
        <f t="array" aca="1" ref="S22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29.505257586358645</v>
      </c>
      <c r="T2296" s="346" t="s">
        <v>1485</v>
      </c>
      <c r="U2296" s="347">
        <f t="shared" ca="1" si="167"/>
        <v>2307.8047775694804</v>
      </c>
      <c r="V2296" s="347">
        <v>29.505257586358645</v>
      </c>
      <c r="W2296" s="347">
        <v>2307.8047775694804</v>
      </c>
      <c r="X2296" s="14" t="s">
        <v>12</v>
      </c>
      <c r="Y2296" s="346" t="s">
        <v>413</v>
      </c>
      <c r="Z2296" s="14" t="str">
        <f>IF(ISBLANK(LCI_Table[[#This Row],[Notes for user]])," ",LCI_Table[[#This Row],[Notes for user]])</f>
        <v xml:space="preserve"> </v>
      </c>
      <c r="AA2296" s="14"/>
      <c r="AB2296" s="14"/>
      <c r="AC2296" s="346">
        <f ca="1">LCI_Table[[#This Row],[Default Calculated Value]]-LCI_Table[[#This Row],[Calculated Value]]</f>
        <v>0</v>
      </c>
    </row>
    <row r="2297" spans="1:29" x14ac:dyDescent="0.3">
      <c r="A22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Switchgrassi-BuOH ATJICAOMIT(blank)_Switchgrass_Farming_K2OK2O</v>
      </c>
      <c r="B2297" s="14" t="s">
        <v>133</v>
      </c>
      <c r="C2297" s="14" t="s">
        <v>883</v>
      </c>
      <c r="D2297" s="14" t="s">
        <v>194</v>
      </c>
      <c r="E2297" s="14" t="s">
        <v>377</v>
      </c>
      <c r="F2297" s="48" t="s">
        <v>31</v>
      </c>
      <c r="G2297" s="14" t="b">
        <f>OR(LCI_Table[[#This Row],[Feedstock]]="All",LCI_Table[[#This Row],[Feedstock]]=SelectedFeedstock)</f>
        <v>0</v>
      </c>
      <c r="H2297" s="14" t="b">
        <f>OR(LCI_Table[[#This Row],[Conversion]]="All",LCI_Table[[#This Row],[Conversion]]=SelectedConversion)</f>
        <v>0</v>
      </c>
      <c r="I2297" s="14" t="b">
        <f>OR(LCI_Table[[#This Row],[Data Set]]="all",LCI_Table[[#This Row],[Data Set]]=SelectedDataSet)</f>
        <v>0</v>
      </c>
      <c r="J2297" s="14" t="b">
        <f>OR(LCI_Table[[#This Row],[Technology]]="All",LCI_Table[[#This Row],[Technology]]=SelectedTechnology)</f>
        <v>1</v>
      </c>
      <c r="K2297" s="14" t="b">
        <f>OR(LCI_Table[[#This Row],[Data Source]]="All",LCI_Table[[#This Row],[Data Source]]=SelectedDataSource)</f>
        <v>0</v>
      </c>
      <c r="L2297" s="14" t="b">
        <f>TRUE</f>
        <v>1</v>
      </c>
      <c r="M2297" s="14" t="b">
        <f>(LCI_Table[[#This Row],[Dev Notes]]="Do not display")</f>
        <v>0</v>
      </c>
      <c r="N2297" s="14" t="b">
        <f>AND(LCI_Table[[#This Row],[Show Feedstock]:[Conditional]],NOT(LCI_Table[[#This Row],[Hide Row]]))</f>
        <v>0</v>
      </c>
      <c r="O2297" s="14" t="b">
        <f>LCI_Table[[#This Row],[GREET1 Name Range]]=""</f>
        <v>0</v>
      </c>
      <c r="P2297" s="14" t="s">
        <v>14</v>
      </c>
      <c r="Q2297" s="14" t="s">
        <v>815</v>
      </c>
      <c r="R2297" s="14" t="s">
        <v>113</v>
      </c>
      <c r="S2297" s="37" cm="1">
        <f t="array" aca="1" ref="S22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40.917369960226104</v>
      </c>
      <c r="T2297" s="346" t="s">
        <v>1485</v>
      </c>
      <c r="U2297" s="347">
        <f t="shared" ca="1" si="167"/>
        <v>3200.4228942385457</v>
      </c>
      <c r="V2297" s="347">
        <v>40.917369960226104</v>
      </c>
      <c r="W2297" s="347">
        <v>3200.4228942385457</v>
      </c>
      <c r="X2297" s="14" t="s">
        <v>12</v>
      </c>
      <c r="Y2297" s="346" t="s">
        <v>413</v>
      </c>
      <c r="Z2297" s="14" t="str">
        <f>IF(ISBLANK(LCI_Table[[#This Row],[Notes for user]])," ",LCI_Table[[#This Row],[Notes for user]])</f>
        <v xml:space="preserve"> </v>
      </c>
      <c r="AA2297" s="14"/>
      <c r="AB2297" s="14"/>
      <c r="AC2297" s="346">
        <f ca="1">LCI_Table[[#This Row],[Default Calculated Value]]-LCI_Table[[#This Row],[Calculated Value]]</f>
        <v>0</v>
      </c>
    </row>
    <row r="2298" spans="1:29" x14ac:dyDescent="0.3">
      <c r="A22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Switchgrassi-BuOH ATJICAOMIT(blank)_Switchgrass_Farming_CaCO3CaCO3</v>
      </c>
      <c r="B2298" s="14" t="s">
        <v>133</v>
      </c>
      <c r="C2298" s="14" t="s">
        <v>883</v>
      </c>
      <c r="D2298" s="14" t="s">
        <v>194</v>
      </c>
      <c r="E2298" s="14" t="s">
        <v>377</v>
      </c>
      <c r="F2298" s="48" t="s">
        <v>31</v>
      </c>
      <c r="G2298" s="14" t="b">
        <f>OR(LCI_Table[[#This Row],[Feedstock]]="All",LCI_Table[[#This Row],[Feedstock]]=SelectedFeedstock)</f>
        <v>0</v>
      </c>
      <c r="H2298" s="14" t="b">
        <f>OR(LCI_Table[[#This Row],[Conversion]]="All",LCI_Table[[#This Row],[Conversion]]=SelectedConversion)</f>
        <v>0</v>
      </c>
      <c r="I2298" s="14" t="b">
        <f>OR(LCI_Table[[#This Row],[Data Set]]="all",LCI_Table[[#This Row],[Data Set]]=SelectedDataSet)</f>
        <v>0</v>
      </c>
      <c r="J2298" s="14" t="b">
        <f>OR(LCI_Table[[#This Row],[Technology]]="All",LCI_Table[[#This Row],[Technology]]=SelectedTechnology)</f>
        <v>1</v>
      </c>
      <c r="K2298" s="14" t="b">
        <f>OR(LCI_Table[[#This Row],[Data Source]]="All",LCI_Table[[#This Row],[Data Source]]=SelectedDataSource)</f>
        <v>0</v>
      </c>
      <c r="L2298" s="14" t="b">
        <f>TRUE</f>
        <v>1</v>
      </c>
      <c r="M2298" s="14" t="b">
        <f>(LCI_Table[[#This Row],[Dev Notes]]="Do not display")</f>
        <v>0</v>
      </c>
      <c r="N2298" s="14" t="b">
        <f>AND(LCI_Table[[#This Row],[Show Feedstock]:[Conditional]],NOT(LCI_Table[[#This Row],[Hide Row]]))</f>
        <v>0</v>
      </c>
      <c r="O2298" s="14" t="b">
        <f>LCI_Table[[#This Row],[GREET1 Name Range]]=""</f>
        <v>0</v>
      </c>
      <c r="P2298" s="14" t="s">
        <v>14</v>
      </c>
      <c r="Q2298" s="14" t="s">
        <v>807</v>
      </c>
      <c r="R2298" s="14" t="s">
        <v>141</v>
      </c>
      <c r="S2298" s="37" cm="1">
        <f t="array" aca="1" ref="S22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74.752896026644493</v>
      </c>
      <c r="T2298" s="346" t="s">
        <v>1485</v>
      </c>
      <c r="U2298" s="347">
        <f t="shared" ca="1" si="167"/>
        <v>5846.9271140071241</v>
      </c>
      <c r="V2298" s="347">
        <v>74.752896026644493</v>
      </c>
      <c r="W2298" s="347">
        <v>5846.9271140071241</v>
      </c>
      <c r="X2298" s="14" t="s">
        <v>12</v>
      </c>
      <c r="Y2298" s="346" t="s">
        <v>413</v>
      </c>
      <c r="Z2298" s="14" t="str">
        <f>IF(ISBLANK(LCI_Table[[#This Row],[Notes for user]])," ",LCI_Table[[#This Row],[Notes for user]])</f>
        <v xml:space="preserve"> </v>
      </c>
      <c r="AA2298" s="14"/>
      <c r="AB2298" s="14"/>
      <c r="AC2298" s="346">
        <f ca="1">LCI_Table[[#This Row],[Default Calculated Value]]-LCI_Table[[#This Row],[Calculated Value]]</f>
        <v>0</v>
      </c>
    </row>
    <row r="2299" spans="1:29" x14ac:dyDescent="0.3">
      <c r="A22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Switchgrassi-BuOH ATJICAOMIT(blank)_Switchgrass_Farming_HerbicidesHerbicides</v>
      </c>
      <c r="B2299" s="14" t="s">
        <v>133</v>
      </c>
      <c r="C2299" s="14" t="s">
        <v>883</v>
      </c>
      <c r="D2299" s="14" t="s">
        <v>194</v>
      </c>
      <c r="E2299" s="14" t="s">
        <v>377</v>
      </c>
      <c r="F2299" s="48" t="s">
        <v>31</v>
      </c>
      <c r="G2299" s="14" t="b">
        <f>OR(LCI_Table[[#This Row],[Feedstock]]="All",LCI_Table[[#This Row],[Feedstock]]=SelectedFeedstock)</f>
        <v>0</v>
      </c>
      <c r="H2299" s="14" t="b">
        <f>OR(LCI_Table[[#This Row],[Conversion]]="All",LCI_Table[[#This Row],[Conversion]]=SelectedConversion)</f>
        <v>0</v>
      </c>
      <c r="I2299" s="14" t="b">
        <f>OR(LCI_Table[[#This Row],[Data Set]]="all",LCI_Table[[#This Row],[Data Set]]=SelectedDataSet)</f>
        <v>0</v>
      </c>
      <c r="J2299" s="14" t="b">
        <f>OR(LCI_Table[[#This Row],[Technology]]="All",LCI_Table[[#This Row],[Technology]]=SelectedTechnology)</f>
        <v>1</v>
      </c>
      <c r="K2299" s="14" t="b">
        <f>OR(LCI_Table[[#This Row],[Data Source]]="All",LCI_Table[[#This Row],[Data Source]]=SelectedDataSource)</f>
        <v>0</v>
      </c>
      <c r="L2299" s="14" t="b">
        <f>TRUE</f>
        <v>1</v>
      </c>
      <c r="M2299" s="14" t="b">
        <f>(LCI_Table[[#This Row],[Dev Notes]]="Do not display")</f>
        <v>0</v>
      </c>
      <c r="N2299" s="14" t="b">
        <f>AND(LCI_Table[[#This Row],[Show Feedstock]:[Conditional]],NOT(LCI_Table[[#This Row],[Hide Row]]))</f>
        <v>0</v>
      </c>
      <c r="O2299" s="14" t="b">
        <f>LCI_Table[[#This Row],[GREET1 Name Range]]=""</f>
        <v>0</v>
      </c>
      <c r="P2299" s="14" t="s">
        <v>14</v>
      </c>
      <c r="Q2299" s="14" t="s">
        <v>813</v>
      </c>
      <c r="R2299" s="14" t="s">
        <v>356</v>
      </c>
      <c r="S2299" s="37" cm="1">
        <f t="array" aca="1" ref="S22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0.67890043308141834</v>
      </c>
      <c r="T2299" s="346" t="s">
        <v>1485</v>
      </c>
      <c r="U2299" s="347">
        <f t="shared" ca="1" si="167"/>
        <v>53.101372132526684</v>
      </c>
      <c r="V2299" s="347">
        <v>0.67890043308141834</v>
      </c>
      <c r="W2299" s="347">
        <v>53.101372132526684</v>
      </c>
      <c r="X2299" s="14" t="s">
        <v>12</v>
      </c>
      <c r="Y2299" s="346" t="s">
        <v>413</v>
      </c>
      <c r="Z2299" s="14" t="str">
        <f>IF(ISBLANK(LCI_Table[[#This Row],[Notes for user]])," ",LCI_Table[[#This Row],[Notes for user]])</f>
        <v xml:space="preserve"> </v>
      </c>
      <c r="AA2299" s="14"/>
      <c r="AB2299" s="14"/>
      <c r="AC2299" s="346">
        <f ca="1">LCI_Table[[#This Row],[Default Calculated Value]]-LCI_Table[[#This Row],[Calculated Value]]</f>
        <v>0</v>
      </c>
    </row>
    <row r="2300" spans="1:29" x14ac:dyDescent="0.3">
      <c r="A23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Switchgrassi-BuOH ATJICAOMIT(blank)_Switchgrass_Farming_InsecticideInsecticide</v>
      </c>
      <c r="B2300" s="14" t="s">
        <v>133</v>
      </c>
      <c r="C2300" s="14" t="s">
        <v>883</v>
      </c>
      <c r="D2300" s="14" t="s">
        <v>194</v>
      </c>
      <c r="E2300" s="14" t="s">
        <v>377</v>
      </c>
      <c r="F2300" s="48" t="s">
        <v>31</v>
      </c>
      <c r="G2300" s="14" t="b">
        <f>OR(LCI_Table[[#This Row],[Feedstock]]="All",LCI_Table[[#This Row],[Feedstock]]=SelectedFeedstock)</f>
        <v>0</v>
      </c>
      <c r="H2300" s="14" t="b">
        <f>OR(LCI_Table[[#This Row],[Conversion]]="All",LCI_Table[[#This Row],[Conversion]]=SelectedConversion)</f>
        <v>0</v>
      </c>
      <c r="I2300" s="14" t="b">
        <f>OR(LCI_Table[[#This Row],[Data Set]]="all",LCI_Table[[#This Row],[Data Set]]=SelectedDataSet)</f>
        <v>0</v>
      </c>
      <c r="J2300" s="14" t="b">
        <f>OR(LCI_Table[[#This Row],[Technology]]="All",LCI_Table[[#This Row],[Technology]]=SelectedTechnology)</f>
        <v>1</v>
      </c>
      <c r="K2300" s="14" t="b">
        <f>OR(LCI_Table[[#This Row],[Data Source]]="All",LCI_Table[[#This Row],[Data Source]]=SelectedDataSource)</f>
        <v>0</v>
      </c>
      <c r="L2300" s="14" t="b">
        <f>TRUE</f>
        <v>1</v>
      </c>
      <c r="M2300" s="14" t="b">
        <f>(LCI_Table[[#This Row],[Dev Notes]]="Do not display")</f>
        <v>0</v>
      </c>
      <c r="N2300" s="14" t="b">
        <f>AND(LCI_Table[[#This Row],[Show Feedstock]:[Conditional]],NOT(LCI_Table[[#This Row],[Hide Row]]))</f>
        <v>0</v>
      </c>
      <c r="O2300" s="14" t="b">
        <f>LCI_Table[[#This Row],[GREET1 Name Range]]=""</f>
        <v>0</v>
      </c>
      <c r="P2300" s="14" t="s">
        <v>14</v>
      </c>
      <c r="Q2300" s="14" t="s">
        <v>814</v>
      </c>
      <c r="R2300" s="14" t="s">
        <v>114</v>
      </c>
      <c r="S2300" s="37" cm="1">
        <f t="array" aca="1" ref="S23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00" s="346" t="s">
        <v>1485</v>
      </c>
      <c r="U2300" s="347">
        <f t="shared" ca="1" si="167"/>
        <v>0</v>
      </c>
      <c r="V2300" s="347">
        <v>0</v>
      </c>
      <c r="W2300" s="347">
        <v>0</v>
      </c>
      <c r="X2300" s="14" t="s">
        <v>12</v>
      </c>
      <c r="Y2300" s="346" t="s">
        <v>413</v>
      </c>
      <c r="Z2300" s="14" t="str">
        <f>IF(ISBLANK(LCI_Table[[#This Row],[Notes for user]])," ",LCI_Table[[#This Row],[Notes for user]])</f>
        <v xml:space="preserve"> </v>
      </c>
      <c r="AA2300" s="14"/>
      <c r="AB2300" s="14"/>
      <c r="AC2300" s="346">
        <f ca="1">LCI_Table[[#This Row],[Default Calculated Value]]-LCI_Table[[#This Row],[Calculated Value]]</f>
        <v>0</v>
      </c>
    </row>
    <row r="2301" spans="1:29" x14ac:dyDescent="0.3">
      <c r="A23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Switchgrassi-BuOH ATJICAOMIT(blank)_Switchgrass_Farming_HDPEHDPE</v>
      </c>
      <c r="B2301" s="14" t="s">
        <v>133</v>
      </c>
      <c r="C2301" s="14" t="s">
        <v>883</v>
      </c>
      <c r="D2301" s="14" t="s">
        <v>194</v>
      </c>
      <c r="E2301" s="14" t="s">
        <v>377</v>
      </c>
      <c r="F2301" s="48" t="s">
        <v>31</v>
      </c>
      <c r="G2301" s="14" t="b">
        <f>OR(LCI_Table[[#This Row],[Feedstock]]="All",LCI_Table[[#This Row],[Feedstock]]=SelectedFeedstock)</f>
        <v>0</v>
      </c>
      <c r="H2301" s="14" t="b">
        <f>OR(LCI_Table[[#This Row],[Conversion]]="All",LCI_Table[[#This Row],[Conversion]]=SelectedConversion)</f>
        <v>0</v>
      </c>
      <c r="I2301" s="14" t="b">
        <f>OR(LCI_Table[[#This Row],[Data Set]]="all",LCI_Table[[#This Row],[Data Set]]=SelectedDataSet)</f>
        <v>0</v>
      </c>
      <c r="J2301" s="14" t="b">
        <f>OR(LCI_Table[[#This Row],[Technology]]="All",LCI_Table[[#This Row],[Technology]]=SelectedTechnology)</f>
        <v>1</v>
      </c>
      <c r="K2301" s="14" t="b">
        <f>OR(LCI_Table[[#This Row],[Data Source]]="All",LCI_Table[[#This Row],[Data Source]]=SelectedDataSource)</f>
        <v>0</v>
      </c>
      <c r="L2301" s="14" t="b">
        <f>TRUE</f>
        <v>1</v>
      </c>
      <c r="M2301" s="14" t="b">
        <f>(LCI_Table[[#This Row],[Dev Notes]]="Do not display")</f>
        <v>0</v>
      </c>
      <c r="N2301" s="14" t="b">
        <f>AND(LCI_Table[[#This Row],[Show Feedstock]:[Conditional]],NOT(LCI_Table[[#This Row],[Hide Row]]))</f>
        <v>0</v>
      </c>
      <c r="O2301" s="14" t="b">
        <f>LCI_Table[[#This Row],[GREET1 Name Range]]=""</f>
        <v>0</v>
      </c>
      <c r="P2301" s="14" t="s">
        <v>14</v>
      </c>
      <c r="Q2301" s="14" t="s">
        <v>812</v>
      </c>
      <c r="R2301" s="14" t="s">
        <v>357</v>
      </c>
      <c r="S2301" s="37" cm="1">
        <f t="array" aca="1" ref="S23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01" s="346" t="s">
        <v>1485</v>
      </c>
      <c r="U2301" s="347">
        <f t="shared" ca="1" si="167"/>
        <v>0</v>
      </c>
      <c r="V2301" s="347">
        <v>0</v>
      </c>
      <c r="W2301" s="347">
        <v>0</v>
      </c>
      <c r="X2301" s="14" t="s">
        <v>12</v>
      </c>
      <c r="Y2301" s="346" t="s">
        <v>413</v>
      </c>
      <c r="Z2301" s="14" t="str">
        <f>IF(ISBLANK(LCI_Table[[#This Row],[Notes for user]])," ",LCI_Table[[#This Row],[Notes for user]])</f>
        <v xml:space="preserve"> </v>
      </c>
      <c r="AA2301" s="14"/>
      <c r="AB2301" s="14"/>
      <c r="AC2301" s="346">
        <f ca="1">LCI_Table[[#This Row],[Default Calculated Value]]-LCI_Table[[#This Row],[Calculated Value]]</f>
        <v>0</v>
      </c>
    </row>
    <row r="2302" spans="1:29" x14ac:dyDescent="0.3">
      <c r="A23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Switchgrassi-BuOH ATJICAOMIT(blank)_Switchgrass_Farming_Residual_oilResidual oil</v>
      </c>
      <c r="B2302" s="14" t="s">
        <v>133</v>
      </c>
      <c r="C2302" s="14" t="s">
        <v>883</v>
      </c>
      <c r="D2302" s="14" t="s">
        <v>194</v>
      </c>
      <c r="E2302" s="14" t="s">
        <v>377</v>
      </c>
      <c r="F2302" s="48" t="s">
        <v>31</v>
      </c>
      <c r="G2302" s="14" t="b">
        <f>OR(LCI_Table[[#This Row],[Feedstock]]="All",LCI_Table[[#This Row],[Feedstock]]=SelectedFeedstock)</f>
        <v>0</v>
      </c>
      <c r="H2302" s="14" t="b">
        <f>OR(LCI_Table[[#This Row],[Conversion]]="All",LCI_Table[[#This Row],[Conversion]]=SelectedConversion)</f>
        <v>0</v>
      </c>
      <c r="I2302" s="14" t="b">
        <f>OR(LCI_Table[[#This Row],[Data Set]]="all",LCI_Table[[#This Row],[Data Set]]=SelectedDataSet)</f>
        <v>0</v>
      </c>
      <c r="J2302" s="14" t="b">
        <f>OR(LCI_Table[[#This Row],[Technology]]="All",LCI_Table[[#This Row],[Technology]]=SelectedTechnology)</f>
        <v>1</v>
      </c>
      <c r="K2302" s="14" t="b">
        <f>OR(LCI_Table[[#This Row],[Data Source]]="All",LCI_Table[[#This Row],[Data Source]]=SelectedDataSource)</f>
        <v>0</v>
      </c>
      <c r="L2302" s="14" t="b">
        <f>TRUE</f>
        <v>1</v>
      </c>
      <c r="M2302" s="14" t="b">
        <f>(LCI_Table[[#This Row],[Dev Notes]]="Do not display")</f>
        <v>0</v>
      </c>
      <c r="N2302" s="14" t="b">
        <f>AND(LCI_Table[[#This Row],[Show Feedstock]:[Conditional]],NOT(LCI_Table[[#This Row],[Hide Row]]))</f>
        <v>0</v>
      </c>
      <c r="O2302" s="14" t="b">
        <f>LCI_Table[[#This Row],[GREET1 Name Range]]=""</f>
        <v>0</v>
      </c>
      <c r="P2302" s="14" t="s">
        <v>14</v>
      </c>
      <c r="Q2302" s="14" t="s">
        <v>820</v>
      </c>
      <c r="R2302" s="14" t="s">
        <v>115</v>
      </c>
      <c r="S2302" s="37" cm="1">
        <f t="array" aca="1" ref="S23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02" s="346" t="s">
        <v>1484</v>
      </c>
      <c r="U2302" s="347">
        <f ca="1">S2302*Fuel_Specs!$B$28/$S$2294</f>
        <v>0</v>
      </c>
      <c r="V2302" s="347">
        <v>0</v>
      </c>
      <c r="W2302" s="347">
        <v>0</v>
      </c>
      <c r="X2302" s="14" t="s">
        <v>5</v>
      </c>
      <c r="Y2302" s="346" t="s">
        <v>413</v>
      </c>
      <c r="Z2302" s="14" t="str">
        <f>IF(ISBLANK(LCI_Table[[#This Row],[Notes for user]])," ",LCI_Table[[#This Row],[Notes for user]])</f>
        <v xml:space="preserve"> </v>
      </c>
      <c r="AA2302" s="14"/>
      <c r="AB2302" s="14"/>
      <c r="AC2302" s="346">
        <f ca="1">LCI_Table[[#This Row],[Default Calculated Value]]-LCI_Table[[#This Row],[Calculated Value]]</f>
        <v>0</v>
      </c>
    </row>
    <row r="2303" spans="1:29" x14ac:dyDescent="0.3">
      <c r="A23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Switchgrassi-BuOH ATJICAOMIT(blank)_Switchgrass_Farming_DieselDiesel</v>
      </c>
      <c r="B2303" s="14" t="s">
        <v>133</v>
      </c>
      <c r="C2303" s="14" t="s">
        <v>883</v>
      </c>
      <c r="D2303" s="14" t="s">
        <v>194</v>
      </c>
      <c r="E2303" s="14" t="s">
        <v>377</v>
      </c>
      <c r="F2303" s="48" t="s">
        <v>31</v>
      </c>
      <c r="G2303" s="14" t="b">
        <f>OR(LCI_Table[[#This Row],[Feedstock]]="All",LCI_Table[[#This Row],[Feedstock]]=SelectedFeedstock)</f>
        <v>0</v>
      </c>
      <c r="H2303" s="14" t="b">
        <f>OR(LCI_Table[[#This Row],[Conversion]]="All",LCI_Table[[#This Row],[Conversion]]=SelectedConversion)</f>
        <v>0</v>
      </c>
      <c r="I2303" s="14" t="b">
        <f>OR(LCI_Table[[#This Row],[Data Set]]="all",LCI_Table[[#This Row],[Data Set]]=SelectedDataSet)</f>
        <v>0</v>
      </c>
      <c r="J2303" s="14" t="b">
        <f>OR(LCI_Table[[#This Row],[Technology]]="All",LCI_Table[[#This Row],[Technology]]=SelectedTechnology)</f>
        <v>1</v>
      </c>
      <c r="K2303" s="14" t="b">
        <f>OR(LCI_Table[[#This Row],[Data Source]]="All",LCI_Table[[#This Row],[Data Source]]=SelectedDataSource)</f>
        <v>0</v>
      </c>
      <c r="L2303" s="14" t="b">
        <f>TRUE</f>
        <v>1</v>
      </c>
      <c r="M2303" s="14" t="b">
        <f>(LCI_Table[[#This Row],[Dev Notes]]="Do not display")</f>
        <v>0</v>
      </c>
      <c r="N2303" s="14" t="b">
        <f>AND(LCI_Table[[#This Row],[Show Feedstock]:[Conditional]],NOT(LCI_Table[[#This Row],[Hide Row]]))</f>
        <v>0</v>
      </c>
      <c r="O2303" s="14" t="b">
        <f>LCI_Table[[#This Row],[GREET1 Name Range]]=""</f>
        <v>0</v>
      </c>
      <c r="P2303" s="14" t="s">
        <v>14</v>
      </c>
      <c r="Q2303" s="14" t="s">
        <v>809</v>
      </c>
      <c r="R2303" s="14" t="s">
        <v>106</v>
      </c>
      <c r="S2303" s="37" cm="1">
        <f t="array" aca="1" ref="S23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2.8270469298156593</v>
      </c>
      <c r="T2303" s="346" t="s">
        <v>1484</v>
      </c>
      <c r="U2303" s="347">
        <f ca="1">S2303*Fuel_Specs!$B$19/$S$2294</f>
        <v>62618.2669358317</v>
      </c>
      <c r="V2303" s="347">
        <v>2.8270469298156593</v>
      </c>
      <c r="W2303" s="347">
        <v>62618.2669358317</v>
      </c>
      <c r="X2303" s="14" t="s">
        <v>5</v>
      </c>
      <c r="Y2303" s="346" t="s">
        <v>413</v>
      </c>
      <c r="Z2303" s="14" t="str">
        <f>IF(ISBLANK(LCI_Table[[#This Row],[Notes for user]])," ",LCI_Table[[#This Row],[Notes for user]])</f>
        <v xml:space="preserve"> </v>
      </c>
      <c r="AA2303" s="14"/>
      <c r="AB2303" s="14"/>
      <c r="AC2303" s="346">
        <f ca="1">LCI_Table[[#This Row],[Default Calculated Value]]-LCI_Table[[#This Row],[Calculated Value]]</f>
        <v>0</v>
      </c>
    </row>
    <row r="2304" spans="1:29" x14ac:dyDescent="0.3">
      <c r="A23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Switchgrassi-BuOH ATJICAOMIT(blank)_Switchgrass_Farming_GasolineGasoline</v>
      </c>
      <c r="B2304" s="14" t="s">
        <v>133</v>
      </c>
      <c r="C2304" s="14" t="s">
        <v>883</v>
      </c>
      <c r="D2304" s="14" t="s">
        <v>194</v>
      </c>
      <c r="E2304" s="14" t="s">
        <v>377</v>
      </c>
      <c r="F2304" s="48" t="s">
        <v>31</v>
      </c>
      <c r="G2304" s="14" t="b">
        <f>OR(LCI_Table[[#This Row],[Feedstock]]="All",LCI_Table[[#This Row],[Feedstock]]=SelectedFeedstock)</f>
        <v>0</v>
      </c>
      <c r="H2304" s="14" t="b">
        <f>OR(LCI_Table[[#This Row],[Conversion]]="All",LCI_Table[[#This Row],[Conversion]]=SelectedConversion)</f>
        <v>0</v>
      </c>
      <c r="I2304" s="14" t="b">
        <f>OR(LCI_Table[[#This Row],[Data Set]]="all",LCI_Table[[#This Row],[Data Set]]=SelectedDataSet)</f>
        <v>0</v>
      </c>
      <c r="J2304" s="14" t="b">
        <f>OR(LCI_Table[[#This Row],[Technology]]="All",LCI_Table[[#This Row],[Technology]]=SelectedTechnology)</f>
        <v>1</v>
      </c>
      <c r="K2304" s="14" t="b">
        <f>OR(LCI_Table[[#This Row],[Data Source]]="All",LCI_Table[[#This Row],[Data Source]]=SelectedDataSource)</f>
        <v>0</v>
      </c>
      <c r="L2304" s="14" t="b">
        <f>TRUE</f>
        <v>1</v>
      </c>
      <c r="M2304" s="14" t="b">
        <f>(LCI_Table[[#This Row],[Dev Notes]]="Do not display")</f>
        <v>0</v>
      </c>
      <c r="N2304" s="14" t="b">
        <f>AND(LCI_Table[[#This Row],[Show Feedstock]:[Conditional]],NOT(LCI_Table[[#This Row],[Hide Row]]))</f>
        <v>0</v>
      </c>
      <c r="O2304" s="14" t="b">
        <f>LCI_Table[[#This Row],[GREET1 Name Range]]=""</f>
        <v>0</v>
      </c>
      <c r="P2304" s="14" t="s">
        <v>14</v>
      </c>
      <c r="Q2304" s="14" t="s">
        <v>811</v>
      </c>
      <c r="R2304" s="14" t="s">
        <v>107</v>
      </c>
      <c r="S2304" s="37" cm="1">
        <f t="array" aca="1" ref="S23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04" s="346" t="s">
        <v>1484</v>
      </c>
      <c r="U2304" s="347">
        <f ca="1">S2304*Fuel_Specs!$B$15/$S$2294</f>
        <v>0</v>
      </c>
      <c r="V2304" s="347">
        <v>0</v>
      </c>
      <c r="W2304" s="347">
        <v>0</v>
      </c>
      <c r="X2304" s="14" t="s">
        <v>5</v>
      </c>
      <c r="Y2304" s="346" t="s">
        <v>413</v>
      </c>
      <c r="Z2304" s="14" t="str">
        <f>IF(ISBLANK(LCI_Table[[#This Row],[Notes for user]])," ",LCI_Table[[#This Row],[Notes for user]])</f>
        <v xml:space="preserve"> </v>
      </c>
      <c r="AA2304" s="14"/>
      <c r="AB2304" s="14"/>
      <c r="AC2304" s="346">
        <f ca="1">LCI_Table[[#This Row],[Default Calculated Value]]-LCI_Table[[#This Row],[Calculated Value]]</f>
        <v>0</v>
      </c>
    </row>
    <row r="2305" spans="1:29" x14ac:dyDescent="0.3">
      <c r="A23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Switchgrassi-BuOH ATJICAOMIT(blank)_Switchgrass_Farming_Natural_gasNatural gas</v>
      </c>
      <c r="B2305" s="14" t="s">
        <v>133</v>
      </c>
      <c r="C2305" s="14" t="s">
        <v>883</v>
      </c>
      <c r="D2305" s="14" t="s">
        <v>194</v>
      </c>
      <c r="E2305" s="14" t="s">
        <v>377</v>
      </c>
      <c r="F2305" s="48" t="s">
        <v>31</v>
      </c>
      <c r="G2305" s="14" t="b">
        <f>OR(LCI_Table[[#This Row],[Feedstock]]="All",LCI_Table[[#This Row],[Feedstock]]=SelectedFeedstock)</f>
        <v>0</v>
      </c>
      <c r="H2305" s="14" t="b">
        <f>OR(LCI_Table[[#This Row],[Conversion]]="All",LCI_Table[[#This Row],[Conversion]]=SelectedConversion)</f>
        <v>0</v>
      </c>
      <c r="I2305" s="14" t="b">
        <f>OR(LCI_Table[[#This Row],[Data Set]]="all",LCI_Table[[#This Row],[Data Set]]=SelectedDataSet)</f>
        <v>0</v>
      </c>
      <c r="J2305" s="14" t="b">
        <f>OR(LCI_Table[[#This Row],[Technology]]="All",LCI_Table[[#This Row],[Technology]]=SelectedTechnology)</f>
        <v>1</v>
      </c>
      <c r="K2305" s="14" t="b">
        <f>OR(LCI_Table[[#This Row],[Data Source]]="All",LCI_Table[[#This Row],[Data Source]]=SelectedDataSource)</f>
        <v>0</v>
      </c>
      <c r="L2305" s="14" t="b">
        <f>TRUE</f>
        <v>1</v>
      </c>
      <c r="M2305" s="14" t="b">
        <f>(LCI_Table[[#This Row],[Dev Notes]]="Do not display")</f>
        <v>0</v>
      </c>
      <c r="N2305" s="14" t="b">
        <f>AND(LCI_Table[[#This Row],[Show Feedstock]:[Conditional]],NOT(LCI_Table[[#This Row],[Hide Row]]))</f>
        <v>0</v>
      </c>
      <c r="O2305" s="14" t="b">
        <f>LCI_Table[[#This Row],[GREET1 Name Range]]=""</f>
        <v>0</v>
      </c>
      <c r="P2305" s="14" t="s">
        <v>14</v>
      </c>
      <c r="Q2305" s="14" t="s">
        <v>817</v>
      </c>
      <c r="R2305" s="14" t="s">
        <v>108</v>
      </c>
      <c r="S2305" s="37" cm="1">
        <f t="array" aca="1" ref="S23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05" s="346" t="s">
        <v>2109</v>
      </c>
      <c r="U2305" s="347">
        <f ca="1">S2305*Fuel_Specs!$B$79/$S$2294</f>
        <v>0</v>
      </c>
      <c r="V2305" s="347">
        <v>0</v>
      </c>
      <c r="W2305" s="347">
        <v>0</v>
      </c>
      <c r="X2305" s="14" t="s">
        <v>351</v>
      </c>
      <c r="Y2305" s="346" t="s">
        <v>413</v>
      </c>
      <c r="Z2305" s="14" t="str">
        <f>IF(ISBLANK(LCI_Table[[#This Row],[Notes for user]])," ",LCI_Table[[#This Row],[Notes for user]])</f>
        <v xml:space="preserve"> </v>
      </c>
      <c r="AA2305" s="14"/>
      <c r="AB2305" s="14"/>
      <c r="AC2305" s="346">
        <f ca="1">LCI_Table[[#This Row],[Default Calculated Value]]-LCI_Table[[#This Row],[Calculated Value]]</f>
        <v>0</v>
      </c>
    </row>
    <row r="2306" spans="1:29" x14ac:dyDescent="0.3">
      <c r="A23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Switchgrassi-BuOH ATJICAOMIT(blank)_Switchgrass_Farming_CoalCoal</v>
      </c>
      <c r="B2306" s="14" t="s">
        <v>133</v>
      </c>
      <c r="C2306" s="14" t="s">
        <v>883</v>
      </c>
      <c r="D2306" s="14" t="s">
        <v>194</v>
      </c>
      <c r="E2306" s="14" t="s">
        <v>377</v>
      </c>
      <c r="F2306" s="48" t="s">
        <v>31</v>
      </c>
      <c r="G2306" s="14" t="b">
        <f>OR(LCI_Table[[#This Row],[Feedstock]]="All",LCI_Table[[#This Row],[Feedstock]]=SelectedFeedstock)</f>
        <v>0</v>
      </c>
      <c r="H2306" s="14" t="b">
        <f>OR(LCI_Table[[#This Row],[Conversion]]="All",LCI_Table[[#This Row],[Conversion]]=SelectedConversion)</f>
        <v>0</v>
      </c>
      <c r="I2306" s="14" t="b">
        <f>OR(LCI_Table[[#This Row],[Data Set]]="all",LCI_Table[[#This Row],[Data Set]]=SelectedDataSet)</f>
        <v>0</v>
      </c>
      <c r="J2306" s="14" t="b">
        <f>OR(LCI_Table[[#This Row],[Technology]]="All",LCI_Table[[#This Row],[Technology]]=SelectedTechnology)</f>
        <v>1</v>
      </c>
      <c r="K2306" s="14" t="b">
        <f>OR(LCI_Table[[#This Row],[Data Source]]="All",LCI_Table[[#This Row],[Data Source]]=SelectedDataSource)</f>
        <v>0</v>
      </c>
      <c r="L2306" s="14" t="b">
        <f>TRUE</f>
        <v>1</v>
      </c>
      <c r="M2306" s="14" t="b">
        <f>(LCI_Table[[#This Row],[Dev Notes]]="Do not display")</f>
        <v>0</v>
      </c>
      <c r="N2306" s="14" t="b">
        <f>AND(LCI_Table[[#This Row],[Show Feedstock]:[Conditional]],NOT(LCI_Table[[#This Row],[Hide Row]]))</f>
        <v>0</v>
      </c>
      <c r="O2306" s="14" t="b">
        <f>LCI_Table[[#This Row],[GREET1 Name Range]]=""</f>
        <v>0</v>
      </c>
      <c r="P2306" s="14" t="s">
        <v>14</v>
      </c>
      <c r="Q2306" s="14" t="s">
        <v>808</v>
      </c>
      <c r="R2306" s="14" t="s">
        <v>9</v>
      </c>
      <c r="S2306" s="37" cm="1">
        <f t="array" aca="1" ref="S23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06" s="346" t="s">
        <v>2110</v>
      </c>
      <c r="U2306" s="347">
        <f ca="1">S2306/$S$2294</f>
        <v>0</v>
      </c>
      <c r="V2306" s="347">
        <v>0</v>
      </c>
      <c r="W2306" s="347">
        <v>0</v>
      </c>
      <c r="X2306" s="14" t="s">
        <v>117</v>
      </c>
      <c r="Y2306" s="346" t="s">
        <v>413</v>
      </c>
      <c r="Z2306" s="14" t="str">
        <f>IF(ISBLANK(LCI_Table[[#This Row],[Notes for user]])," ",LCI_Table[[#This Row],[Notes for user]])</f>
        <v xml:space="preserve"> </v>
      </c>
      <c r="AA2306" s="14"/>
      <c r="AB2306" s="14"/>
      <c r="AC2306" s="346">
        <f ca="1">LCI_Table[[#This Row],[Default Calculated Value]]-LCI_Table[[#This Row],[Calculated Value]]</f>
        <v>0</v>
      </c>
    </row>
    <row r="2307" spans="1:29" x14ac:dyDescent="0.3">
      <c r="A23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Switchgrassi-BuOH ATJICAOMIT(blank)_Switchgrass_Farming_LPGLPG</v>
      </c>
      <c r="B2307" s="14" t="s">
        <v>133</v>
      </c>
      <c r="C2307" s="14" t="s">
        <v>883</v>
      </c>
      <c r="D2307" s="14" t="s">
        <v>194</v>
      </c>
      <c r="E2307" s="14" t="s">
        <v>377</v>
      </c>
      <c r="F2307" s="48" t="s">
        <v>31</v>
      </c>
      <c r="G2307" s="14" t="b">
        <f>OR(LCI_Table[[#This Row],[Feedstock]]="All",LCI_Table[[#This Row],[Feedstock]]=SelectedFeedstock)</f>
        <v>0</v>
      </c>
      <c r="H2307" s="14" t="b">
        <f>OR(LCI_Table[[#This Row],[Conversion]]="All",LCI_Table[[#This Row],[Conversion]]=SelectedConversion)</f>
        <v>0</v>
      </c>
      <c r="I2307" s="14" t="b">
        <f>OR(LCI_Table[[#This Row],[Data Set]]="all",LCI_Table[[#This Row],[Data Set]]=SelectedDataSet)</f>
        <v>0</v>
      </c>
      <c r="J2307" s="14" t="b">
        <f>OR(LCI_Table[[#This Row],[Technology]]="All",LCI_Table[[#This Row],[Technology]]=SelectedTechnology)</f>
        <v>1</v>
      </c>
      <c r="K2307" s="14" t="b">
        <f>OR(LCI_Table[[#This Row],[Data Source]]="All",LCI_Table[[#This Row],[Data Source]]=SelectedDataSource)</f>
        <v>0</v>
      </c>
      <c r="L2307" s="14" t="b">
        <f>TRUE</f>
        <v>1</v>
      </c>
      <c r="M2307" s="14" t="b">
        <f>(LCI_Table[[#This Row],[Dev Notes]]="Do not display")</f>
        <v>0</v>
      </c>
      <c r="N2307" s="14" t="b">
        <f>AND(LCI_Table[[#This Row],[Show Feedstock]:[Conditional]],NOT(LCI_Table[[#This Row],[Hide Row]]))</f>
        <v>0</v>
      </c>
      <c r="O2307" s="14" t="b">
        <f>LCI_Table[[#This Row],[GREET1 Name Range]]=""</f>
        <v>0</v>
      </c>
      <c r="P2307" s="14" t="s">
        <v>14</v>
      </c>
      <c r="Q2307" s="14" t="s">
        <v>816</v>
      </c>
      <c r="R2307" s="14" t="s">
        <v>109</v>
      </c>
      <c r="S2307" s="37" cm="1">
        <f t="array" aca="1" ref="S23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07" s="346" t="s">
        <v>1484</v>
      </c>
      <c r="U2307" s="347">
        <f ca="1">S2307*Fuel_Specs!$B$35/$S$2294</f>
        <v>0</v>
      </c>
      <c r="V2307" s="347">
        <v>0</v>
      </c>
      <c r="W2307" s="347">
        <v>0</v>
      </c>
      <c r="X2307" s="14" t="s">
        <v>5</v>
      </c>
      <c r="Y2307" s="346" t="s">
        <v>413</v>
      </c>
      <c r="Z2307" s="14" t="str">
        <f>IF(ISBLANK(LCI_Table[[#This Row],[Notes for user]])," ",LCI_Table[[#This Row],[Notes for user]])</f>
        <v xml:space="preserve"> </v>
      </c>
      <c r="AA2307" s="14"/>
      <c r="AB2307" s="14"/>
      <c r="AC2307" s="346">
        <f ca="1">LCI_Table[[#This Row],[Default Calculated Value]]-LCI_Table[[#This Row],[Calculated Value]]</f>
        <v>0</v>
      </c>
    </row>
    <row r="2308" spans="1:29" x14ac:dyDescent="0.3">
      <c r="A23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Switchgrassi-BuOH ATJICAOMIT(blank)_Switchgrass_Farming_ElectricityElectricity</v>
      </c>
      <c r="B2308" s="14" t="s">
        <v>133</v>
      </c>
      <c r="C2308" s="14" t="s">
        <v>883</v>
      </c>
      <c r="D2308" s="14" t="s">
        <v>194</v>
      </c>
      <c r="E2308" s="14" t="s">
        <v>377</v>
      </c>
      <c r="F2308" s="48" t="s">
        <v>31</v>
      </c>
      <c r="G2308" s="14" t="b">
        <f>OR(LCI_Table[[#This Row],[Feedstock]]="All",LCI_Table[[#This Row],[Feedstock]]=SelectedFeedstock)</f>
        <v>0</v>
      </c>
      <c r="H2308" s="14" t="b">
        <f>OR(LCI_Table[[#This Row],[Conversion]]="All",LCI_Table[[#This Row],[Conversion]]=SelectedConversion)</f>
        <v>0</v>
      </c>
      <c r="I2308" s="14" t="b">
        <f>OR(LCI_Table[[#This Row],[Data Set]]="all",LCI_Table[[#This Row],[Data Set]]=SelectedDataSet)</f>
        <v>0</v>
      </c>
      <c r="J2308" s="14" t="b">
        <f>OR(LCI_Table[[#This Row],[Technology]]="All",LCI_Table[[#This Row],[Technology]]=SelectedTechnology)</f>
        <v>1</v>
      </c>
      <c r="K2308" s="14" t="b">
        <f>OR(LCI_Table[[#This Row],[Data Source]]="All",LCI_Table[[#This Row],[Data Source]]=SelectedDataSource)</f>
        <v>0</v>
      </c>
      <c r="L2308" s="14" t="b">
        <f>TRUE</f>
        <v>1</v>
      </c>
      <c r="M2308" s="14" t="b">
        <f>(LCI_Table[[#This Row],[Dev Notes]]="Do not display")</f>
        <v>0</v>
      </c>
      <c r="N2308" s="14" t="b">
        <f>AND(LCI_Table[[#This Row],[Show Feedstock]:[Conditional]],NOT(LCI_Table[[#This Row],[Hide Row]]))</f>
        <v>0</v>
      </c>
      <c r="O2308" s="14" t="b">
        <f>LCI_Table[[#This Row],[GREET1 Name Range]]=""</f>
        <v>0</v>
      </c>
      <c r="P2308" s="14" t="s">
        <v>14</v>
      </c>
      <c r="Q2308" s="14" t="s">
        <v>810</v>
      </c>
      <c r="R2308" s="348" t="s">
        <v>110</v>
      </c>
      <c r="S2308" s="37" cm="1">
        <f t="array" aca="1" ref="S23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8.2570439740645494</v>
      </c>
      <c r="T2308" s="346" t="s">
        <v>1561</v>
      </c>
      <c r="U2308" s="347">
        <f ca="1">S2308/BTU2kWh/$S$2294</f>
        <v>4858.3138319999889</v>
      </c>
      <c r="V2308" s="347">
        <v>8.2570439740645494</v>
      </c>
      <c r="W2308" s="347">
        <v>4858.3138319999889</v>
      </c>
      <c r="X2308" s="14" t="s">
        <v>51</v>
      </c>
      <c r="Y2308" s="346" t="s">
        <v>413</v>
      </c>
      <c r="Z2308" s="14" t="str">
        <f>IF(ISBLANK(LCI_Table[[#This Row],[Notes for user]])," ",LCI_Table[[#This Row],[Notes for user]])</f>
        <v xml:space="preserve"> </v>
      </c>
      <c r="AA2308" s="14"/>
      <c r="AB2308" s="14"/>
      <c r="AC2308" s="346">
        <f ca="1">LCI_Table[[#This Row],[Default Calculated Value]]-LCI_Table[[#This Row],[Calculated Value]]</f>
        <v>0</v>
      </c>
    </row>
    <row r="2309" spans="1:29" x14ac:dyDescent="0.3">
      <c r="A23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Switchgrassi-BuOH ATJICAOMIT(blank)_Switchgrass_i_BuOH_ATJ_SwitchgrassSwitchgrass</v>
      </c>
      <c r="B2309" s="14" t="s">
        <v>133</v>
      </c>
      <c r="C2309" s="14" t="s">
        <v>883</v>
      </c>
      <c r="D2309" s="14" t="s">
        <v>194</v>
      </c>
      <c r="E2309" s="14" t="s">
        <v>377</v>
      </c>
      <c r="F2309" s="48" t="s">
        <v>31</v>
      </c>
      <c r="G2309" s="14" t="b">
        <f>OR(LCI_Table[[#This Row],[Feedstock]]="All",LCI_Table[[#This Row],[Feedstock]]=SelectedFeedstock)</f>
        <v>0</v>
      </c>
      <c r="H2309" s="14" t="b">
        <f>OR(LCI_Table[[#This Row],[Conversion]]="All",LCI_Table[[#This Row],[Conversion]]=SelectedConversion)</f>
        <v>0</v>
      </c>
      <c r="I2309" s="14" t="b">
        <f>OR(LCI_Table[[#This Row],[Data Set]]="all",LCI_Table[[#This Row],[Data Set]]=SelectedDataSet)</f>
        <v>0</v>
      </c>
      <c r="J2309" s="14" t="b">
        <f>OR(LCI_Table[[#This Row],[Technology]]="All",LCI_Table[[#This Row],[Technology]]=SelectedTechnology)</f>
        <v>1</v>
      </c>
      <c r="K2309" s="14" t="b">
        <f>OR(LCI_Table[[#This Row],[Data Source]]="All",LCI_Table[[#This Row],[Data Source]]=SelectedDataSource)</f>
        <v>0</v>
      </c>
      <c r="L2309" s="14" t="b">
        <f>TRUE</f>
        <v>1</v>
      </c>
      <c r="M2309" s="14" t="b">
        <f>(LCI_Table[[#This Row],[Dev Notes]]="Do not display")</f>
        <v>0</v>
      </c>
      <c r="N2309" s="14" t="b">
        <f>AND(LCI_Table[[#This Row],[Show Feedstock]:[Conditional]],NOT(LCI_Table[[#This Row],[Hide Row]]))</f>
        <v>0</v>
      </c>
      <c r="O2309" s="14" t="b">
        <f>LCI_Table[[#This Row],[GREET1 Name Range]]=""</f>
        <v>0</v>
      </c>
      <c r="P2309" s="14" t="s">
        <v>1448</v>
      </c>
      <c r="Q2309" s="14" t="s">
        <v>1052</v>
      </c>
      <c r="R2309" s="14" t="s">
        <v>133</v>
      </c>
      <c r="S2309" s="37" cm="1">
        <f t="array" aca="1" ref="S23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425.42539894355008</v>
      </c>
      <c r="T2309" s="346" t="s">
        <v>2119</v>
      </c>
      <c r="U2309" s="347">
        <f ca="1">S2309/kg2lb*MJ2mmBTU</f>
        <v>0.18290000000000001</v>
      </c>
      <c r="V2309" s="347">
        <v>425.42539894355008</v>
      </c>
      <c r="W2309" s="347">
        <v>0.18290000000000001</v>
      </c>
      <c r="X2309" s="14" t="s">
        <v>12</v>
      </c>
      <c r="Y2309" s="346" t="s">
        <v>416</v>
      </c>
      <c r="Z2309" s="14" t="str">
        <f>IF(ISBLANK(LCI_Table[[#This Row],[Notes for user]])," ",LCI_Table[[#This Row],[Notes for user]])</f>
        <v xml:space="preserve"> </v>
      </c>
      <c r="AA2309" s="14"/>
      <c r="AB2309" s="358"/>
      <c r="AC2309" s="346">
        <f ca="1">LCI_Table[[#This Row],[Default Calculated Value]]-LCI_Table[[#This Row],[Calculated Value]]</f>
        <v>0</v>
      </c>
    </row>
    <row r="2310" spans="1:29" x14ac:dyDescent="0.3">
      <c r="A23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Switchgrassi-BuOH ATJICAOMIT(blank)_Switchgrass_i_BuOH_ATJ_CellulaseCellulase</v>
      </c>
      <c r="B2310" s="14" t="s">
        <v>133</v>
      </c>
      <c r="C2310" s="14" t="s">
        <v>883</v>
      </c>
      <c r="D2310" s="14" t="s">
        <v>194</v>
      </c>
      <c r="E2310" s="14" t="s">
        <v>377</v>
      </c>
      <c r="F2310" s="48" t="s">
        <v>31</v>
      </c>
      <c r="G2310" s="14" t="b">
        <f>OR(LCI_Table[[#This Row],[Feedstock]]="All",LCI_Table[[#This Row],[Feedstock]]=SelectedFeedstock)</f>
        <v>0</v>
      </c>
      <c r="H2310" s="14" t="b">
        <f>OR(LCI_Table[[#This Row],[Conversion]]="All",LCI_Table[[#This Row],[Conversion]]=SelectedConversion)</f>
        <v>0</v>
      </c>
      <c r="I2310" s="14" t="b">
        <f>OR(LCI_Table[[#This Row],[Data Set]]="all",LCI_Table[[#This Row],[Data Set]]=SelectedDataSet)</f>
        <v>0</v>
      </c>
      <c r="J2310" s="14" t="b">
        <f>OR(LCI_Table[[#This Row],[Technology]]="All",LCI_Table[[#This Row],[Technology]]=SelectedTechnology)</f>
        <v>1</v>
      </c>
      <c r="K2310" s="14" t="b">
        <f>OR(LCI_Table[[#This Row],[Data Source]]="All",LCI_Table[[#This Row],[Data Source]]=SelectedDataSource)</f>
        <v>0</v>
      </c>
      <c r="L2310" s="14" t="b">
        <f>TRUE</f>
        <v>1</v>
      </c>
      <c r="M2310" s="14" t="b">
        <f>(LCI_Table[[#This Row],[Dev Notes]]="Do not display")</f>
        <v>0</v>
      </c>
      <c r="N2310" s="14" t="b">
        <f>AND(LCI_Table[[#This Row],[Show Feedstock]:[Conditional]],NOT(LCI_Table[[#This Row],[Hide Row]]))</f>
        <v>0</v>
      </c>
      <c r="O2310" s="14" t="b">
        <f>LCI_Table[[#This Row],[GREET1 Name Range]]=""</f>
        <v>0</v>
      </c>
      <c r="P2310" s="14" t="s">
        <v>1448</v>
      </c>
      <c r="Q2310" s="14" t="s">
        <v>1053</v>
      </c>
      <c r="R2310" s="14" t="s">
        <v>402</v>
      </c>
      <c r="S2310" s="37" cm="1">
        <f t="array" aca="1" ref="S23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4.7855123881162367</v>
      </c>
      <c r="T2310" s="346" t="s">
        <v>2119</v>
      </c>
      <c r="U2310" s="347">
        <f ca="1">S2310/g2lb*MJ2mmBTU</f>
        <v>2.0573999999999995</v>
      </c>
      <c r="V2310" s="347">
        <v>4.7855123881162367</v>
      </c>
      <c r="W2310" s="347">
        <v>2.0573999999999995</v>
      </c>
      <c r="X2310" s="14" t="s">
        <v>12</v>
      </c>
      <c r="Y2310" s="346" t="s">
        <v>416</v>
      </c>
      <c r="Z2310" s="14" t="str">
        <f>IF(ISBLANK(LCI_Table[[#This Row],[Notes for user]])," ",LCI_Table[[#This Row],[Notes for user]])</f>
        <v xml:space="preserve"> </v>
      </c>
      <c r="AA2310" s="14"/>
      <c r="AB2310" s="14"/>
      <c r="AC2310" s="346">
        <f ca="1">LCI_Table[[#This Row],[Default Calculated Value]]-LCI_Table[[#This Row],[Calculated Value]]</f>
        <v>0</v>
      </c>
    </row>
    <row r="2311" spans="1:29" x14ac:dyDescent="0.3">
      <c r="A23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Switchgrassi-BuOH ATJICAOMIT(blank)_Switchgrass_i_BuOH_ATJ_YeastYeast</v>
      </c>
      <c r="B2311" s="14" t="s">
        <v>133</v>
      </c>
      <c r="C2311" s="14" t="s">
        <v>883</v>
      </c>
      <c r="D2311" s="14" t="s">
        <v>194</v>
      </c>
      <c r="E2311" s="14" t="s">
        <v>377</v>
      </c>
      <c r="F2311" s="48" t="s">
        <v>31</v>
      </c>
      <c r="G2311" s="14" t="b">
        <f>OR(LCI_Table[[#This Row],[Feedstock]]="All",LCI_Table[[#This Row],[Feedstock]]=SelectedFeedstock)</f>
        <v>0</v>
      </c>
      <c r="H2311" s="14" t="b">
        <f>OR(LCI_Table[[#This Row],[Conversion]]="All",LCI_Table[[#This Row],[Conversion]]=SelectedConversion)</f>
        <v>0</v>
      </c>
      <c r="I2311" s="14" t="b">
        <f>OR(LCI_Table[[#This Row],[Data Set]]="all",LCI_Table[[#This Row],[Data Set]]=SelectedDataSet)</f>
        <v>0</v>
      </c>
      <c r="J2311" s="14" t="b">
        <f>OR(LCI_Table[[#This Row],[Technology]]="All",LCI_Table[[#This Row],[Technology]]=SelectedTechnology)</f>
        <v>1</v>
      </c>
      <c r="K2311" s="14" t="b">
        <f>OR(LCI_Table[[#This Row],[Data Source]]="All",LCI_Table[[#This Row],[Data Source]]=SelectedDataSource)</f>
        <v>0</v>
      </c>
      <c r="L2311" s="14" t="b">
        <f>TRUE</f>
        <v>1</v>
      </c>
      <c r="M2311" s="14" t="b">
        <f>(LCI_Table[[#This Row],[Dev Notes]]="Do not display")</f>
        <v>0</v>
      </c>
      <c r="N2311" s="14" t="b">
        <f>AND(LCI_Table[[#This Row],[Show Feedstock]:[Conditional]],NOT(LCI_Table[[#This Row],[Hide Row]]))</f>
        <v>0</v>
      </c>
      <c r="O2311" s="14" t="b">
        <f>LCI_Table[[#This Row],[GREET1 Name Range]]=""</f>
        <v>0</v>
      </c>
      <c r="P2311" s="14" t="s">
        <v>1448</v>
      </c>
      <c r="Q2311" s="14" t="s">
        <v>1054</v>
      </c>
      <c r="R2311" s="14" t="s">
        <v>145</v>
      </c>
      <c r="S2311" s="37" cm="1">
        <f t="array" aca="1" ref="S23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1.1916097970409008</v>
      </c>
      <c r="T2311" s="346" t="s">
        <v>2119</v>
      </c>
      <c r="U2311" s="347">
        <f ca="1">S2311/g2lb*MJ2mmBTU</f>
        <v>0.51230000000000009</v>
      </c>
      <c r="V2311" s="347">
        <v>1.1916097970409008</v>
      </c>
      <c r="W2311" s="347">
        <v>0.51230000000000009</v>
      </c>
      <c r="X2311" s="14" t="s">
        <v>12</v>
      </c>
      <c r="Y2311" s="346" t="s">
        <v>416</v>
      </c>
      <c r="Z2311" s="14" t="str">
        <f>IF(ISBLANK(LCI_Table[[#This Row],[Notes for user]])," ",LCI_Table[[#This Row],[Notes for user]])</f>
        <v xml:space="preserve"> </v>
      </c>
      <c r="AA2311" s="14"/>
      <c r="AB2311" s="14"/>
      <c r="AC2311" s="346">
        <f ca="1">LCI_Table[[#This Row],[Default Calculated Value]]-LCI_Table[[#This Row],[Calculated Value]]</f>
        <v>0</v>
      </c>
    </row>
    <row r="2312" spans="1:29" x14ac:dyDescent="0.3">
      <c r="A23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Switchgrassi-BuOH ATJICAOMIT(blank)_Switchgrass_i_BuOH_ATJ_Sulfuric_acidSulfuric acid</v>
      </c>
      <c r="B2312" s="14" t="s">
        <v>133</v>
      </c>
      <c r="C2312" s="14" t="s">
        <v>883</v>
      </c>
      <c r="D2312" s="14" t="s">
        <v>194</v>
      </c>
      <c r="E2312" s="14" t="s">
        <v>377</v>
      </c>
      <c r="F2312" s="48" t="s">
        <v>31</v>
      </c>
      <c r="G2312" s="14" t="b">
        <f>OR(LCI_Table[[#This Row],[Feedstock]]="All",LCI_Table[[#This Row],[Feedstock]]=SelectedFeedstock)</f>
        <v>0</v>
      </c>
      <c r="H2312" s="14" t="b">
        <f>OR(LCI_Table[[#This Row],[Conversion]]="All",LCI_Table[[#This Row],[Conversion]]=SelectedConversion)</f>
        <v>0</v>
      </c>
      <c r="I2312" s="14" t="b">
        <f>OR(LCI_Table[[#This Row],[Data Set]]="all",LCI_Table[[#This Row],[Data Set]]=SelectedDataSet)</f>
        <v>0</v>
      </c>
      <c r="J2312" s="14" t="b">
        <f>OR(LCI_Table[[#This Row],[Technology]]="All",LCI_Table[[#This Row],[Technology]]=SelectedTechnology)</f>
        <v>1</v>
      </c>
      <c r="K2312" s="14" t="b">
        <f>OR(LCI_Table[[#This Row],[Data Source]]="All",LCI_Table[[#This Row],[Data Source]]=SelectedDataSource)</f>
        <v>0</v>
      </c>
      <c r="L2312" s="14" t="b">
        <f>TRUE</f>
        <v>1</v>
      </c>
      <c r="M2312" s="14" t="b">
        <f>(LCI_Table[[#This Row],[Dev Notes]]="Do not display")</f>
        <v>0</v>
      </c>
      <c r="N2312" s="14" t="b">
        <f>AND(LCI_Table[[#This Row],[Show Feedstock]:[Conditional]],NOT(LCI_Table[[#This Row],[Hide Row]]))</f>
        <v>0</v>
      </c>
      <c r="O2312" s="14" t="b">
        <f>LCI_Table[[#This Row],[GREET1 Name Range]]=""</f>
        <v>0</v>
      </c>
      <c r="P2312" s="14" t="s">
        <v>1448</v>
      </c>
      <c r="Q2312" s="14" t="s">
        <v>1055</v>
      </c>
      <c r="R2312" s="14" t="s">
        <v>384</v>
      </c>
      <c r="S2312" s="37" cm="1">
        <f t="array" aca="1" ref="S23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10.549921873801601</v>
      </c>
      <c r="T2312" s="346" t="s">
        <v>2119</v>
      </c>
      <c r="U2312" s="347">
        <f ca="1">S2312/g2lb*MJ2mmBTU</f>
        <v>4.5356499999999995</v>
      </c>
      <c r="V2312" s="347">
        <v>10.549921873801601</v>
      </c>
      <c r="W2312" s="347">
        <v>4.5356499999999995</v>
      </c>
      <c r="X2312" s="14" t="s">
        <v>12</v>
      </c>
      <c r="Y2312" s="346" t="s">
        <v>416</v>
      </c>
      <c r="Z2312" s="14" t="str">
        <f>IF(ISBLANK(LCI_Table[[#This Row],[Notes for user]])," ",LCI_Table[[#This Row],[Notes for user]])</f>
        <v xml:space="preserve"> </v>
      </c>
      <c r="AA2312" s="14"/>
      <c r="AB2312" s="14"/>
      <c r="AC2312" s="346">
        <f ca="1">LCI_Table[[#This Row],[Default Calculated Value]]-LCI_Table[[#This Row],[Calculated Value]]</f>
        <v>0</v>
      </c>
    </row>
    <row r="2313" spans="1:29" x14ac:dyDescent="0.3">
      <c r="A23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Switchgrassi-BuOH ATJICAOMIT(blank)_Switchgrass_i_BuOH_ATJ_AmmoniaAmmonia</v>
      </c>
      <c r="B2313" s="14" t="s">
        <v>133</v>
      </c>
      <c r="C2313" s="14" t="s">
        <v>883</v>
      </c>
      <c r="D2313" s="14" t="s">
        <v>194</v>
      </c>
      <c r="E2313" s="14" t="s">
        <v>377</v>
      </c>
      <c r="F2313" s="48" t="s">
        <v>31</v>
      </c>
      <c r="G2313" s="14" t="b">
        <f>OR(LCI_Table[[#This Row],[Feedstock]]="All",LCI_Table[[#This Row],[Feedstock]]=SelectedFeedstock)</f>
        <v>0</v>
      </c>
      <c r="H2313" s="14" t="b">
        <f>OR(LCI_Table[[#This Row],[Conversion]]="All",LCI_Table[[#This Row],[Conversion]]=SelectedConversion)</f>
        <v>0</v>
      </c>
      <c r="I2313" s="14" t="b">
        <f>OR(LCI_Table[[#This Row],[Data Set]]="all",LCI_Table[[#This Row],[Data Set]]=SelectedDataSet)</f>
        <v>0</v>
      </c>
      <c r="J2313" s="14" t="b">
        <f>OR(LCI_Table[[#This Row],[Technology]]="All",LCI_Table[[#This Row],[Technology]]=SelectedTechnology)</f>
        <v>1</v>
      </c>
      <c r="K2313" s="14" t="b">
        <f>OR(LCI_Table[[#This Row],[Data Source]]="All",LCI_Table[[#This Row],[Data Source]]=SelectedDataSource)</f>
        <v>0</v>
      </c>
      <c r="L2313" s="14" t="b">
        <f>TRUE</f>
        <v>1</v>
      </c>
      <c r="M2313" s="14" t="b">
        <f>(LCI_Table[[#This Row],[Dev Notes]]="Do not display")</f>
        <v>0</v>
      </c>
      <c r="N2313" s="14" t="b">
        <f>AND(LCI_Table[[#This Row],[Show Feedstock]:[Conditional]],NOT(LCI_Table[[#This Row],[Hide Row]]))</f>
        <v>0</v>
      </c>
      <c r="O2313" s="14" t="b">
        <f>LCI_Table[[#This Row],[GREET1 Name Range]]=""</f>
        <v>0</v>
      </c>
      <c r="P2313" s="14" t="s">
        <v>1448</v>
      </c>
      <c r="Q2313" s="14" t="s">
        <v>1056</v>
      </c>
      <c r="R2313" s="14" t="s">
        <v>382</v>
      </c>
      <c r="S2313" s="37" cm="1">
        <f t="array" aca="1" ref="S23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6.0134077850670318</v>
      </c>
      <c r="T2313" s="346" t="s">
        <v>2119</v>
      </c>
      <c r="U2313" s="347">
        <f ca="1">S2313/g2lb*MJ2mmBTU</f>
        <v>2.5852999999999997</v>
      </c>
      <c r="V2313" s="347">
        <v>6.0134077850670318</v>
      </c>
      <c r="W2313" s="347">
        <v>2.5852999999999997</v>
      </c>
      <c r="X2313" s="14" t="s">
        <v>12</v>
      </c>
      <c r="Y2313" s="346" t="s">
        <v>416</v>
      </c>
      <c r="Z2313" s="14" t="str">
        <f>IF(ISBLANK(LCI_Table[[#This Row],[Notes for user]])," ",LCI_Table[[#This Row],[Notes for user]])</f>
        <v xml:space="preserve"> </v>
      </c>
      <c r="AA2313" s="14"/>
      <c r="AB2313" s="14"/>
      <c r="AC2313" s="346">
        <f ca="1">LCI_Table[[#This Row],[Default Calculated Value]]-LCI_Table[[#This Row],[Calculated Value]]</f>
        <v>0</v>
      </c>
    </row>
    <row r="2314" spans="1:29" x14ac:dyDescent="0.3">
      <c r="A23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Switchgrassi-BuOH ATJICAOMIT(blank)_Switchgrass_i_BuOH_ATJ_HydrogenHydrogen</v>
      </c>
      <c r="B2314" s="14" t="s">
        <v>133</v>
      </c>
      <c r="C2314" s="14" t="s">
        <v>883</v>
      </c>
      <c r="D2314" s="358" t="s">
        <v>194</v>
      </c>
      <c r="E2314" s="14" t="s">
        <v>377</v>
      </c>
      <c r="F2314" s="48" t="s">
        <v>31</v>
      </c>
      <c r="G2314" s="14" t="b">
        <f>OR(LCI_Table[[#This Row],[Feedstock]]="All",LCI_Table[[#This Row],[Feedstock]]=SelectedFeedstock)</f>
        <v>0</v>
      </c>
      <c r="H2314" s="14" t="b">
        <f>OR(LCI_Table[[#This Row],[Conversion]]="All",LCI_Table[[#This Row],[Conversion]]=SelectedConversion)</f>
        <v>0</v>
      </c>
      <c r="I2314" s="14" t="b">
        <f>OR(LCI_Table[[#This Row],[Data Set]]="all",LCI_Table[[#This Row],[Data Set]]=SelectedDataSet)</f>
        <v>0</v>
      </c>
      <c r="J2314" s="14" t="b">
        <f>OR(LCI_Table[[#This Row],[Technology]]="All",LCI_Table[[#This Row],[Technology]]=SelectedTechnology)</f>
        <v>1</v>
      </c>
      <c r="K2314" s="14" t="b">
        <f>OR(LCI_Table[[#This Row],[Data Source]]="All",LCI_Table[[#This Row],[Data Source]]=SelectedDataSource)</f>
        <v>0</v>
      </c>
      <c r="L2314" s="14" t="b">
        <f>TRUE</f>
        <v>1</v>
      </c>
      <c r="M2314" s="14" t="b">
        <f>(LCI_Table[[#This Row],[Dev Notes]]="Do not display")</f>
        <v>0</v>
      </c>
      <c r="N2314" s="14" t="b">
        <f>AND(LCI_Table[[#This Row],[Show Feedstock]:[Conditional]],NOT(LCI_Table[[#This Row],[Hide Row]]))</f>
        <v>0</v>
      </c>
      <c r="O2314" s="14" t="b">
        <f>LCI_Table[[#This Row],[GREET1 Name Range]]=""</f>
        <v>0</v>
      </c>
      <c r="P2314" s="358" t="s">
        <v>1448</v>
      </c>
      <c r="Q2314" s="14" t="s">
        <v>1057</v>
      </c>
      <c r="R2314" s="358" t="s">
        <v>73</v>
      </c>
      <c r="S2314" s="37" cm="1">
        <f t="array" aca="1" ref="S23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138.7886664672744</v>
      </c>
      <c r="T2314" s="346" t="s">
        <v>2120</v>
      </c>
      <c r="U2314" s="359">
        <f ca="1">S2314*Fuel_Specs!$B$81/mmBTU2MJ</f>
        <v>38.148419607843103</v>
      </c>
      <c r="V2314" s="359">
        <v>138.7886664672744</v>
      </c>
      <c r="W2314" s="359">
        <v>38.148419607843103</v>
      </c>
      <c r="X2314" s="360" t="s">
        <v>351</v>
      </c>
      <c r="Y2314" s="346" t="s">
        <v>416</v>
      </c>
      <c r="Z2314" s="14" t="str">
        <f>IF(ISBLANK(LCI_Table[[#This Row],[Notes for user]])," ",LCI_Table[[#This Row],[Notes for user]])</f>
        <v xml:space="preserve"> </v>
      </c>
      <c r="AA2314" s="14"/>
      <c r="AB2314" s="358"/>
      <c r="AC2314" s="346">
        <f ca="1">LCI_Table[[#This Row],[Default Calculated Value]]-LCI_Table[[#This Row],[Calculated Value]]</f>
        <v>0</v>
      </c>
    </row>
    <row r="2315" spans="1:29" x14ac:dyDescent="0.3">
      <c r="A23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Switchgrassi-BuOH ATJICAOMIT(blank)_Switchgrass_i_BuOH_ATJ_Natural_gasNatural gas</v>
      </c>
      <c r="B2315" s="14" t="s">
        <v>133</v>
      </c>
      <c r="C2315" s="14" t="s">
        <v>883</v>
      </c>
      <c r="D2315" s="14" t="s">
        <v>194</v>
      </c>
      <c r="E2315" s="14" t="s">
        <v>377</v>
      </c>
      <c r="F2315" s="48" t="s">
        <v>31</v>
      </c>
      <c r="G2315" s="14" t="b">
        <f>OR(LCI_Table[[#This Row],[Feedstock]]="All",LCI_Table[[#This Row],[Feedstock]]=SelectedFeedstock)</f>
        <v>0</v>
      </c>
      <c r="H2315" s="14" t="b">
        <f>OR(LCI_Table[[#This Row],[Conversion]]="All",LCI_Table[[#This Row],[Conversion]]=SelectedConversion)</f>
        <v>0</v>
      </c>
      <c r="I2315" s="14" t="b">
        <f>OR(LCI_Table[[#This Row],[Data Set]]="all",LCI_Table[[#This Row],[Data Set]]=SelectedDataSet)</f>
        <v>0</v>
      </c>
      <c r="J2315" s="14" t="b">
        <f>OR(LCI_Table[[#This Row],[Technology]]="All",LCI_Table[[#This Row],[Technology]]=SelectedTechnology)</f>
        <v>1</v>
      </c>
      <c r="K2315" s="14" t="b">
        <f>OR(LCI_Table[[#This Row],[Data Source]]="All",LCI_Table[[#This Row],[Data Source]]=SelectedDataSource)</f>
        <v>0</v>
      </c>
      <c r="L2315" s="14" t="b">
        <f>TRUE</f>
        <v>1</v>
      </c>
      <c r="M2315" s="14" t="b">
        <f>(LCI_Table[[#This Row],[Dev Notes]]="Do not display")</f>
        <v>0</v>
      </c>
      <c r="N2315" s="14" t="b">
        <f>AND(LCI_Table[[#This Row],[Show Feedstock]:[Conditional]],NOT(LCI_Table[[#This Row],[Hide Row]]))</f>
        <v>0</v>
      </c>
      <c r="O2315" s="14" t="b">
        <f>LCI_Table[[#This Row],[GREET1 Name Range]]=""</f>
        <v>0</v>
      </c>
      <c r="P2315" s="14" t="s">
        <v>1448</v>
      </c>
      <c r="Q2315" s="14" t="s">
        <v>1058</v>
      </c>
      <c r="R2315" s="14" t="s">
        <v>108</v>
      </c>
      <c r="S2315" s="37" cm="1">
        <f t="array" aca="1" ref="S23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149.51169888097664</v>
      </c>
      <c r="T2315" s="346" t="s">
        <v>2120</v>
      </c>
      <c r="U2315" s="347">
        <f ca="1">S2315*Fuel_Specs!$B$79/mmBTU2MJ</f>
        <v>139.30068251837099</v>
      </c>
      <c r="V2315" s="347">
        <v>149.51169888097664</v>
      </c>
      <c r="W2315" s="347">
        <v>139.30068251837099</v>
      </c>
      <c r="X2315" s="14" t="s">
        <v>351</v>
      </c>
      <c r="Y2315" s="346" t="s">
        <v>416</v>
      </c>
      <c r="Z2315" s="14" t="str">
        <f>IF(ISBLANK(LCI_Table[[#This Row],[Notes for user]])," ",LCI_Table[[#This Row],[Notes for user]])</f>
        <v xml:space="preserve"> </v>
      </c>
      <c r="AA2315" s="14"/>
      <c r="AB2315" s="14"/>
      <c r="AC2315" s="346">
        <f ca="1">LCI_Table[[#This Row],[Default Calculated Value]]-LCI_Table[[#This Row],[Calculated Value]]</f>
        <v>0</v>
      </c>
    </row>
    <row r="2316" spans="1:29" x14ac:dyDescent="0.3">
      <c r="A23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dash_Miscanthusi-BuOH ATJICAOMIT (GREET)(blank)_Yield_Farming</v>
      </c>
      <c r="B2316" s="48" t="s">
        <v>134</v>
      </c>
      <c r="C2316" s="48" t="s">
        <v>883</v>
      </c>
      <c r="D2316" s="48" t="s">
        <v>194</v>
      </c>
      <c r="E2316" s="48" t="s">
        <v>1335</v>
      </c>
      <c r="F2316" s="48" t="s">
        <v>31</v>
      </c>
      <c r="G2316" s="14" t="b">
        <f>OR(LCI_Table[[#This Row],[Feedstock]]="All",LCI_Table[[#This Row],[Feedstock]]=SelectedFeedstock)</f>
        <v>0</v>
      </c>
      <c r="H2316" s="14" t="b">
        <f>OR(LCI_Table[[#This Row],[Conversion]]="All",LCI_Table[[#This Row],[Conversion]]=SelectedConversion)</f>
        <v>0</v>
      </c>
      <c r="I2316" s="14" t="b">
        <f>OR(LCI_Table[[#This Row],[Data Set]]="all",LCI_Table[[#This Row],[Data Set]]=SelectedDataSet)</f>
        <v>0</v>
      </c>
      <c r="J2316" s="14" t="b">
        <f>OR(LCI_Table[[#This Row],[Technology]]="All",LCI_Table[[#This Row],[Technology]]=SelectedTechnology)</f>
        <v>1</v>
      </c>
      <c r="K2316" s="14" t="b">
        <f>OR(LCI_Table[[#This Row],[Data Source]]="All",LCI_Table[[#This Row],[Data Source]]=SelectedDataSource)</f>
        <v>0</v>
      </c>
      <c r="L2316" s="14" t="b">
        <f>TRUE</f>
        <v>1</v>
      </c>
      <c r="M2316" s="14" t="b">
        <f>(LCI_Table[[#This Row],[Dev Notes]]="Do not display")</f>
        <v>0</v>
      </c>
      <c r="N2316" s="14" t="b">
        <f>AND(LCI_Table[[#This Row],[Show Feedstock]:[Conditional]],NOT(LCI_Table[[#This Row],[Hide Row]]))</f>
        <v>0</v>
      </c>
      <c r="O2316" s="14" t="b">
        <f>LCI_Table[[#This Row],[GREET1 Name Range]]=""</f>
        <v>1</v>
      </c>
      <c r="P2316" s="48" t="s">
        <v>14</v>
      </c>
      <c r="Q2316" s="14" t="s">
        <v>361</v>
      </c>
      <c r="R2316" s="48" t="s">
        <v>200</v>
      </c>
      <c r="S2316" s="37" cm="1">
        <f t="array" aca="1" ref="S23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8.3864966898195075</v>
      </c>
      <c r="T2316" s="346" t="s">
        <v>2116</v>
      </c>
      <c r="U2316" s="344"/>
      <c r="V2316" s="344">
        <v>8.3864966898195075</v>
      </c>
      <c r="W2316" s="344"/>
      <c r="X2316" s="48" t="s">
        <v>55</v>
      </c>
      <c r="Y2316" s="346" t="s">
        <v>413</v>
      </c>
      <c r="Z2316" s="14" t="str">
        <f>IF(ISBLANK(LCI_Table[[#This Row],[Notes for user]])," ",LCI_Table[[#This Row],[Notes for user]])</f>
        <v xml:space="preserve"> </v>
      </c>
      <c r="AA2316" s="48"/>
      <c r="AB2316" s="345"/>
      <c r="AC2316" s="346">
        <f>LCI_Table[[#This Row],[Default Calculated Value]]-LCI_Table[[#This Row],[Calculated Value]]</f>
        <v>0</v>
      </c>
    </row>
    <row r="2317" spans="1:29" x14ac:dyDescent="0.3">
      <c r="A23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Miscanthusi-BuOH ATJICAOMIT (GREET)(blank)_Miscanthus_Farming_Nitrogen_fertilizerNitrogen fertilizer</v>
      </c>
      <c r="B2317" s="14" t="s">
        <v>134</v>
      </c>
      <c r="C2317" s="14" t="s">
        <v>883</v>
      </c>
      <c r="D2317" s="14" t="s">
        <v>194</v>
      </c>
      <c r="E2317" s="48" t="s">
        <v>1335</v>
      </c>
      <c r="F2317" s="48" t="s">
        <v>31</v>
      </c>
      <c r="G2317" s="14" t="b">
        <f>OR(LCI_Table[[#This Row],[Feedstock]]="All",LCI_Table[[#This Row],[Feedstock]]=SelectedFeedstock)</f>
        <v>0</v>
      </c>
      <c r="H2317" s="14" t="b">
        <f>OR(LCI_Table[[#This Row],[Conversion]]="All",LCI_Table[[#This Row],[Conversion]]=SelectedConversion)</f>
        <v>0</v>
      </c>
      <c r="I2317" s="14" t="b">
        <f>OR(LCI_Table[[#This Row],[Data Set]]="all",LCI_Table[[#This Row],[Data Set]]=SelectedDataSet)</f>
        <v>0</v>
      </c>
      <c r="J2317" s="14" t="b">
        <f>OR(LCI_Table[[#This Row],[Technology]]="All",LCI_Table[[#This Row],[Technology]]=SelectedTechnology)</f>
        <v>1</v>
      </c>
      <c r="K2317" s="14" t="b">
        <f>OR(LCI_Table[[#This Row],[Data Source]]="All",LCI_Table[[#This Row],[Data Source]]=SelectedDataSource)</f>
        <v>0</v>
      </c>
      <c r="L2317" s="14" t="b">
        <f>TRUE</f>
        <v>1</v>
      </c>
      <c r="M2317" s="14" t="b">
        <f>(LCI_Table[[#This Row],[Dev Notes]]="Do not display")</f>
        <v>0</v>
      </c>
      <c r="N2317" s="14" t="b">
        <f>AND(LCI_Table[[#This Row],[Show Feedstock]:[Conditional]],NOT(LCI_Table[[#This Row],[Hide Row]]))</f>
        <v>0</v>
      </c>
      <c r="O2317" s="14" t="b">
        <f>LCI_Table[[#This Row],[GREET1 Name Range]]=""</f>
        <v>0</v>
      </c>
      <c r="P2317" s="14" t="s">
        <v>14</v>
      </c>
      <c r="Q2317" s="14" t="s">
        <v>713</v>
      </c>
      <c r="R2317" s="14" t="s">
        <v>111</v>
      </c>
      <c r="S2317" s="37" cm="1">
        <f t="array" aca="1" ref="S23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85.79759416087208</v>
      </c>
      <c r="T2317" s="346" t="s">
        <v>1485</v>
      </c>
      <c r="U2317" s="347">
        <f t="shared" ref="U2317:U2322" ca="1" si="168">S2317*lb2g/$S$2316</f>
        <v>4640.451849575069</v>
      </c>
      <c r="V2317" s="347">
        <v>85.79759416087208</v>
      </c>
      <c r="W2317" s="347">
        <v>4640.451849575069</v>
      </c>
      <c r="X2317" s="14" t="s">
        <v>12</v>
      </c>
      <c r="Y2317" s="346" t="s">
        <v>413</v>
      </c>
      <c r="Z2317" s="14" t="str">
        <f>IF(ISBLANK(LCI_Table[[#This Row],[Notes for user]])," ",LCI_Table[[#This Row],[Notes for user]])</f>
        <v xml:space="preserve"> </v>
      </c>
      <c r="AA2317" s="14"/>
      <c r="AB2317" s="14"/>
      <c r="AC2317" s="346">
        <f ca="1">LCI_Table[[#This Row],[Default Calculated Value]]-LCI_Table[[#This Row],[Calculated Value]]</f>
        <v>0</v>
      </c>
    </row>
    <row r="2318" spans="1:29" x14ac:dyDescent="0.3">
      <c r="A23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Miscanthusi-BuOH ATJICAOMIT (GREET)(blank)_Miscanthus_Farming_P2O5P2O5</v>
      </c>
      <c r="B2318" s="14" t="s">
        <v>134</v>
      </c>
      <c r="C2318" s="14" t="s">
        <v>883</v>
      </c>
      <c r="D2318" s="14" t="s">
        <v>194</v>
      </c>
      <c r="E2318" s="48" t="s">
        <v>1335</v>
      </c>
      <c r="F2318" s="48" t="s">
        <v>31</v>
      </c>
      <c r="G2318" s="14" t="b">
        <f>OR(LCI_Table[[#This Row],[Feedstock]]="All",LCI_Table[[#This Row],[Feedstock]]=SelectedFeedstock)</f>
        <v>0</v>
      </c>
      <c r="H2318" s="14" t="b">
        <f>OR(LCI_Table[[#This Row],[Conversion]]="All",LCI_Table[[#This Row],[Conversion]]=SelectedConversion)</f>
        <v>0</v>
      </c>
      <c r="I2318" s="14" t="b">
        <f>OR(LCI_Table[[#This Row],[Data Set]]="all",LCI_Table[[#This Row],[Data Set]]=SelectedDataSet)</f>
        <v>0</v>
      </c>
      <c r="J2318" s="14" t="b">
        <f>OR(LCI_Table[[#This Row],[Technology]]="All",LCI_Table[[#This Row],[Technology]]=SelectedTechnology)</f>
        <v>1</v>
      </c>
      <c r="K2318" s="14" t="b">
        <f>OR(LCI_Table[[#This Row],[Data Source]]="All",LCI_Table[[#This Row],[Data Source]]=SelectedDataSource)</f>
        <v>0</v>
      </c>
      <c r="L2318" s="14" t="b">
        <f>TRUE</f>
        <v>1</v>
      </c>
      <c r="M2318" s="14" t="b">
        <f>(LCI_Table[[#This Row],[Dev Notes]]="Do not display")</f>
        <v>0</v>
      </c>
      <c r="N2318" s="14" t="b">
        <f>AND(LCI_Table[[#This Row],[Show Feedstock]:[Conditional]],NOT(LCI_Table[[#This Row],[Hide Row]]))</f>
        <v>0</v>
      </c>
      <c r="O2318" s="14" t="b">
        <f>LCI_Table[[#This Row],[GREET1 Name Range]]=""</f>
        <v>0</v>
      </c>
      <c r="P2318" s="14" t="s">
        <v>14</v>
      </c>
      <c r="Q2318" s="14" t="s">
        <v>714</v>
      </c>
      <c r="R2318" s="14" t="s">
        <v>112</v>
      </c>
      <c r="S2318" s="37" cm="1">
        <f t="array" aca="1" ref="S23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19.359734641523367</v>
      </c>
      <c r="T2318" s="346" t="s">
        <v>1485</v>
      </c>
      <c r="U2318" s="347">
        <f t="shared" ca="1" si="168"/>
        <v>1047.0913235176722</v>
      </c>
      <c r="V2318" s="347">
        <v>19.359734641523367</v>
      </c>
      <c r="W2318" s="347">
        <v>1047.0913235176722</v>
      </c>
      <c r="X2318" s="14" t="s">
        <v>12</v>
      </c>
      <c r="Y2318" s="346" t="s">
        <v>413</v>
      </c>
      <c r="Z2318" s="14" t="str">
        <f>IF(ISBLANK(LCI_Table[[#This Row],[Notes for user]])," ",LCI_Table[[#This Row],[Notes for user]])</f>
        <v xml:space="preserve"> </v>
      </c>
      <c r="AA2318" s="14"/>
      <c r="AB2318" s="14"/>
      <c r="AC2318" s="346">
        <f ca="1">LCI_Table[[#This Row],[Default Calculated Value]]-LCI_Table[[#This Row],[Calculated Value]]</f>
        <v>0</v>
      </c>
    </row>
    <row r="2319" spans="1:29" x14ac:dyDescent="0.3">
      <c r="A23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Miscanthusi-BuOH ATJICAOMIT (GREET)(blank)_Miscanthus_Farming_K2OK2O</v>
      </c>
      <c r="B2319" s="14" t="s">
        <v>134</v>
      </c>
      <c r="C2319" s="14" t="s">
        <v>883</v>
      </c>
      <c r="D2319" s="14" t="s">
        <v>194</v>
      </c>
      <c r="E2319" s="48" t="s">
        <v>1335</v>
      </c>
      <c r="F2319" s="48" t="s">
        <v>31</v>
      </c>
      <c r="G2319" s="14" t="b">
        <f>OR(LCI_Table[[#This Row],[Feedstock]]="All",LCI_Table[[#This Row],[Feedstock]]=SelectedFeedstock)</f>
        <v>0</v>
      </c>
      <c r="H2319" s="14" t="b">
        <f>OR(LCI_Table[[#This Row],[Conversion]]="All",LCI_Table[[#This Row],[Conversion]]=SelectedConversion)</f>
        <v>0</v>
      </c>
      <c r="I2319" s="14" t="b">
        <f>OR(LCI_Table[[#This Row],[Data Set]]="all",LCI_Table[[#This Row],[Data Set]]=SelectedDataSet)</f>
        <v>0</v>
      </c>
      <c r="J2319" s="14" t="b">
        <f>OR(LCI_Table[[#This Row],[Technology]]="All",LCI_Table[[#This Row],[Technology]]=SelectedTechnology)</f>
        <v>1</v>
      </c>
      <c r="K2319" s="14" t="b">
        <f>OR(LCI_Table[[#This Row],[Data Source]]="All",LCI_Table[[#This Row],[Data Source]]=SelectedDataSource)</f>
        <v>0</v>
      </c>
      <c r="L2319" s="14" t="b">
        <f>TRUE</f>
        <v>1</v>
      </c>
      <c r="M2319" s="14" t="b">
        <f>(LCI_Table[[#This Row],[Dev Notes]]="Do not display")</f>
        <v>0</v>
      </c>
      <c r="N2319" s="14" t="b">
        <f>AND(LCI_Table[[#This Row],[Show Feedstock]:[Conditional]],NOT(LCI_Table[[#This Row],[Hide Row]]))</f>
        <v>0</v>
      </c>
      <c r="O2319" s="14" t="b">
        <f>LCI_Table[[#This Row],[GREET1 Name Range]]=""</f>
        <v>0</v>
      </c>
      <c r="P2319" s="14" t="s">
        <v>14</v>
      </c>
      <c r="Q2319" s="14" t="s">
        <v>710</v>
      </c>
      <c r="R2319" s="14" t="s">
        <v>113</v>
      </c>
      <c r="S2319" s="37" cm="1">
        <f t="array" aca="1" ref="S23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53.02426123195454</v>
      </c>
      <c r="T2319" s="346" t="s">
        <v>1485</v>
      </c>
      <c r="U2319" s="347">
        <f t="shared" ca="1" si="168"/>
        <v>2867.8721532076356</v>
      </c>
      <c r="V2319" s="347">
        <v>53.02426123195454</v>
      </c>
      <c r="W2319" s="347">
        <v>2867.8721532076356</v>
      </c>
      <c r="X2319" s="14" t="s">
        <v>12</v>
      </c>
      <c r="Y2319" s="346" t="s">
        <v>413</v>
      </c>
      <c r="Z2319" s="14" t="str">
        <f>IF(ISBLANK(LCI_Table[[#This Row],[Notes for user]])," ",LCI_Table[[#This Row],[Notes for user]])</f>
        <v xml:space="preserve"> </v>
      </c>
      <c r="AA2319" s="14"/>
      <c r="AB2319" s="14"/>
      <c r="AC2319" s="346">
        <f ca="1">LCI_Table[[#This Row],[Default Calculated Value]]-LCI_Table[[#This Row],[Calculated Value]]</f>
        <v>0</v>
      </c>
    </row>
    <row r="2320" spans="1:29" x14ac:dyDescent="0.3">
      <c r="A23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Miscanthusi-BuOH ATJICAOMIT (GREET)(blank)_Miscanthus_Farming_CaCO3CaCO3</v>
      </c>
      <c r="B2320" s="14" t="s">
        <v>134</v>
      </c>
      <c r="C2320" s="14" t="s">
        <v>883</v>
      </c>
      <c r="D2320" s="14" t="s">
        <v>194</v>
      </c>
      <c r="E2320" s="48" t="s">
        <v>1335</v>
      </c>
      <c r="F2320" s="48" t="s">
        <v>31</v>
      </c>
      <c r="G2320" s="14" t="b">
        <f>OR(LCI_Table[[#This Row],[Feedstock]]="All",LCI_Table[[#This Row],[Feedstock]]=SelectedFeedstock)</f>
        <v>0</v>
      </c>
      <c r="H2320" s="14" t="b">
        <f>OR(LCI_Table[[#This Row],[Conversion]]="All",LCI_Table[[#This Row],[Conversion]]=SelectedConversion)</f>
        <v>0</v>
      </c>
      <c r="I2320" s="14" t="b">
        <f>OR(LCI_Table[[#This Row],[Data Set]]="all",LCI_Table[[#This Row],[Data Set]]=SelectedDataSet)</f>
        <v>0</v>
      </c>
      <c r="J2320" s="14" t="b">
        <f>OR(LCI_Table[[#This Row],[Technology]]="All",LCI_Table[[#This Row],[Technology]]=SelectedTechnology)</f>
        <v>1</v>
      </c>
      <c r="K2320" s="14" t="b">
        <f>OR(LCI_Table[[#This Row],[Data Source]]="All",LCI_Table[[#This Row],[Data Source]]=SelectedDataSource)</f>
        <v>0</v>
      </c>
      <c r="L2320" s="14" t="b">
        <f>TRUE</f>
        <v>1</v>
      </c>
      <c r="M2320" s="14" t="b">
        <f>(LCI_Table[[#This Row],[Dev Notes]]="Do not display")</f>
        <v>0</v>
      </c>
      <c r="N2320" s="14" t="b">
        <f>AND(LCI_Table[[#This Row],[Show Feedstock]:[Conditional]],NOT(LCI_Table[[#This Row],[Hide Row]]))</f>
        <v>0</v>
      </c>
      <c r="O2320" s="14" t="b">
        <f>LCI_Table[[#This Row],[GREET1 Name Range]]=""</f>
        <v>0</v>
      </c>
      <c r="P2320" s="14" t="s">
        <v>14</v>
      </c>
      <c r="Q2320" s="14" t="s">
        <v>702</v>
      </c>
      <c r="R2320" s="14" t="s">
        <v>141</v>
      </c>
      <c r="S2320" s="37" cm="1">
        <f t="array" aca="1" ref="S23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95.820892560823324</v>
      </c>
      <c r="T2320" s="346" t="s">
        <v>1485</v>
      </c>
      <c r="U2320" s="347">
        <f t="shared" ca="1" si="168"/>
        <v>5182.5723373790106</v>
      </c>
      <c r="V2320" s="347">
        <v>95.820892560823324</v>
      </c>
      <c r="W2320" s="347">
        <v>5182.5723373790106</v>
      </c>
      <c r="X2320" s="14" t="s">
        <v>12</v>
      </c>
      <c r="Y2320" s="346" t="s">
        <v>413</v>
      </c>
      <c r="Z2320" s="14" t="str">
        <f>IF(ISBLANK(LCI_Table[[#This Row],[Notes for user]])," ",LCI_Table[[#This Row],[Notes for user]])</f>
        <v xml:space="preserve"> </v>
      </c>
      <c r="AA2320" s="14"/>
      <c r="AB2320" s="14"/>
      <c r="AC2320" s="346">
        <f ca="1">LCI_Table[[#This Row],[Default Calculated Value]]-LCI_Table[[#This Row],[Calculated Value]]</f>
        <v>0</v>
      </c>
    </row>
    <row r="2321" spans="1:29" x14ac:dyDescent="0.3">
      <c r="A23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Miscanthusi-BuOH ATJICAOMIT (GREET)(blank)_Miscanthus_Farming_HerbicidesHerbicides</v>
      </c>
      <c r="B2321" s="14" t="s">
        <v>134</v>
      </c>
      <c r="C2321" s="14" t="s">
        <v>883</v>
      </c>
      <c r="D2321" s="14" t="s">
        <v>194</v>
      </c>
      <c r="E2321" s="48" t="s">
        <v>1335</v>
      </c>
      <c r="F2321" s="48" t="s">
        <v>31</v>
      </c>
      <c r="G2321" s="14" t="b">
        <f>OR(LCI_Table[[#This Row],[Feedstock]]="All",LCI_Table[[#This Row],[Feedstock]]=SelectedFeedstock)</f>
        <v>0</v>
      </c>
      <c r="H2321" s="14" t="b">
        <f>OR(LCI_Table[[#This Row],[Conversion]]="All",LCI_Table[[#This Row],[Conversion]]=SelectedConversion)</f>
        <v>0</v>
      </c>
      <c r="I2321" s="14" t="b">
        <f>OR(LCI_Table[[#This Row],[Data Set]]="all",LCI_Table[[#This Row],[Data Set]]=SelectedDataSet)</f>
        <v>0</v>
      </c>
      <c r="J2321" s="14" t="b">
        <f>OR(LCI_Table[[#This Row],[Technology]]="All",LCI_Table[[#This Row],[Technology]]=SelectedTechnology)</f>
        <v>1</v>
      </c>
      <c r="K2321" s="14" t="b">
        <f>OR(LCI_Table[[#This Row],[Data Source]]="All",LCI_Table[[#This Row],[Data Source]]=SelectedDataSource)</f>
        <v>0</v>
      </c>
      <c r="L2321" s="14" t="b">
        <f>TRUE</f>
        <v>1</v>
      </c>
      <c r="M2321" s="14" t="b">
        <f>(LCI_Table[[#This Row],[Dev Notes]]="Do not display")</f>
        <v>0</v>
      </c>
      <c r="N2321" s="14" t="b">
        <f>AND(LCI_Table[[#This Row],[Show Feedstock]:[Conditional]],NOT(LCI_Table[[#This Row],[Hide Row]]))</f>
        <v>0</v>
      </c>
      <c r="O2321" s="14" t="b">
        <f>LCI_Table[[#This Row],[GREET1 Name Range]]=""</f>
        <v>0</v>
      </c>
      <c r="P2321" s="14" t="s">
        <v>14</v>
      </c>
      <c r="Q2321" s="14" t="s">
        <v>708</v>
      </c>
      <c r="R2321" s="14" t="s">
        <v>356</v>
      </c>
      <c r="S2321" s="37" cm="1">
        <f t="array" aca="1" ref="S23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0.53098777918244444</v>
      </c>
      <c r="T2321" s="346" t="s">
        <v>1485</v>
      </c>
      <c r="U2321" s="347">
        <f t="shared" ca="1" si="168"/>
        <v>28.719024654570656</v>
      </c>
      <c r="V2321" s="347">
        <v>0.53098777918244444</v>
      </c>
      <c r="W2321" s="347">
        <v>28.719024654570656</v>
      </c>
      <c r="X2321" s="14" t="s">
        <v>12</v>
      </c>
      <c r="Y2321" s="346" t="s">
        <v>413</v>
      </c>
      <c r="Z2321" s="14" t="str">
        <f>IF(ISBLANK(LCI_Table[[#This Row],[Notes for user]])," ",LCI_Table[[#This Row],[Notes for user]])</f>
        <v xml:space="preserve"> </v>
      </c>
      <c r="AA2321" s="14"/>
      <c r="AB2321" s="14"/>
      <c r="AC2321" s="346">
        <f ca="1">LCI_Table[[#This Row],[Default Calculated Value]]-LCI_Table[[#This Row],[Calculated Value]]</f>
        <v>0</v>
      </c>
    </row>
    <row r="2322" spans="1:29" x14ac:dyDescent="0.3">
      <c r="A23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Miscanthusi-BuOH ATJICAOMIT (GREET)(blank)_Miscanthus_Farming_InsecticideInsecticide</v>
      </c>
      <c r="B2322" s="14" t="s">
        <v>134</v>
      </c>
      <c r="C2322" s="14" t="s">
        <v>883</v>
      </c>
      <c r="D2322" s="14" t="s">
        <v>194</v>
      </c>
      <c r="E2322" s="48" t="s">
        <v>1335</v>
      </c>
      <c r="F2322" s="48" t="s">
        <v>31</v>
      </c>
      <c r="G2322" s="14" t="b">
        <f>OR(LCI_Table[[#This Row],[Feedstock]]="All",LCI_Table[[#This Row],[Feedstock]]=SelectedFeedstock)</f>
        <v>0</v>
      </c>
      <c r="H2322" s="14" t="b">
        <f>OR(LCI_Table[[#This Row],[Conversion]]="All",LCI_Table[[#This Row],[Conversion]]=SelectedConversion)</f>
        <v>0</v>
      </c>
      <c r="I2322" s="14" t="b">
        <f>OR(LCI_Table[[#This Row],[Data Set]]="all",LCI_Table[[#This Row],[Data Set]]=SelectedDataSet)</f>
        <v>0</v>
      </c>
      <c r="J2322" s="14" t="b">
        <f>OR(LCI_Table[[#This Row],[Technology]]="All",LCI_Table[[#This Row],[Technology]]=SelectedTechnology)</f>
        <v>1</v>
      </c>
      <c r="K2322" s="14" t="b">
        <f>OR(LCI_Table[[#This Row],[Data Source]]="All",LCI_Table[[#This Row],[Data Source]]=SelectedDataSource)</f>
        <v>0</v>
      </c>
      <c r="L2322" s="14" t="b">
        <f>TRUE</f>
        <v>1</v>
      </c>
      <c r="M2322" s="14" t="b">
        <f>(LCI_Table[[#This Row],[Dev Notes]]="Do not display")</f>
        <v>0</v>
      </c>
      <c r="N2322" s="14" t="b">
        <f>AND(LCI_Table[[#This Row],[Show Feedstock]:[Conditional]],NOT(LCI_Table[[#This Row],[Hide Row]]))</f>
        <v>0</v>
      </c>
      <c r="O2322" s="14" t="b">
        <f>LCI_Table[[#This Row],[GREET1 Name Range]]=""</f>
        <v>0</v>
      </c>
      <c r="P2322" s="14" t="s">
        <v>14</v>
      </c>
      <c r="Q2322" s="14" t="s">
        <v>709</v>
      </c>
      <c r="R2322" s="14" t="s">
        <v>114</v>
      </c>
      <c r="S2322" s="37" cm="1">
        <f t="array" aca="1" ref="S23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22" s="346" t="s">
        <v>1485</v>
      </c>
      <c r="U2322" s="347">
        <f t="shared" ca="1" si="168"/>
        <v>0</v>
      </c>
      <c r="V2322" s="347">
        <v>0</v>
      </c>
      <c r="W2322" s="347">
        <v>0</v>
      </c>
      <c r="X2322" s="14" t="s">
        <v>12</v>
      </c>
      <c r="Y2322" s="346" t="s">
        <v>413</v>
      </c>
      <c r="Z2322" s="14" t="str">
        <f>IF(ISBLANK(LCI_Table[[#This Row],[Notes for user]])," ",LCI_Table[[#This Row],[Notes for user]])</f>
        <v xml:space="preserve"> </v>
      </c>
      <c r="AA2322" s="14"/>
      <c r="AB2322" s="14"/>
      <c r="AC2322" s="346">
        <f ca="1">LCI_Table[[#This Row],[Default Calculated Value]]-LCI_Table[[#This Row],[Calculated Value]]</f>
        <v>0</v>
      </c>
    </row>
    <row r="2323" spans="1:29" x14ac:dyDescent="0.3">
      <c r="A23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Miscanthusi-BuOH ATJICAOMIT (GREET)(blank)_Miscanthus_Farming_HDPEHDPE</v>
      </c>
      <c r="B2323" s="14" t="s">
        <v>134</v>
      </c>
      <c r="C2323" s="14" t="s">
        <v>883</v>
      </c>
      <c r="D2323" s="14" t="s">
        <v>194</v>
      </c>
      <c r="E2323" s="48" t="s">
        <v>1335</v>
      </c>
      <c r="F2323" s="48" t="s">
        <v>31</v>
      </c>
      <c r="G2323" s="14" t="b">
        <f>OR(LCI_Table[[#This Row],[Feedstock]]="All",LCI_Table[[#This Row],[Feedstock]]=SelectedFeedstock)</f>
        <v>0</v>
      </c>
      <c r="H2323" s="14" t="b">
        <f>OR(LCI_Table[[#This Row],[Conversion]]="All",LCI_Table[[#This Row],[Conversion]]=SelectedConversion)</f>
        <v>0</v>
      </c>
      <c r="I2323" s="14" t="b">
        <f>OR(LCI_Table[[#This Row],[Data Set]]="all",LCI_Table[[#This Row],[Data Set]]=SelectedDataSet)</f>
        <v>0</v>
      </c>
      <c r="J2323" s="14" t="b">
        <f>OR(LCI_Table[[#This Row],[Technology]]="All",LCI_Table[[#This Row],[Technology]]=SelectedTechnology)</f>
        <v>1</v>
      </c>
      <c r="K2323" s="14" t="b">
        <f>OR(LCI_Table[[#This Row],[Data Source]]="All",LCI_Table[[#This Row],[Data Source]]=SelectedDataSource)</f>
        <v>0</v>
      </c>
      <c r="L2323" s="14" t="b">
        <f>TRUE</f>
        <v>1</v>
      </c>
      <c r="M2323" s="14" t="b">
        <f>(LCI_Table[[#This Row],[Dev Notes]]="Do not display")</f>
        <v>0</v>
      </c>
      <c r="N2323" s="14" t="b">
        <f>AND(LCI_Table[[#This Row],[Show Feedstock]:[Conditional]],NOT(LCI_Table[[#This Row],[Hide Row]]))</f>
        <v>0</v>
      </c>
      <c r="O2323" s="14" t="b">
        <f>LCI_Table[[#This Row],[GREET1 Name Range]]=""</f>
        <v>0</v>
      </c>
      <c r="P2323" s="14" t="s">
        <v>14</v>
      </c>
      <c r="Q2323" s="14" t="s">
        <v>707</v>
      </c>
      <c r="R2323" s="14" t="s">
        <v>357</v>
      </c>
      <c r="S2323" s="37" cm="1">
        <f t="array" aca="1" ref="S23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23" s="346" t="s">
        <v>1485</v>
      </c>
      <c r="U2323" s="347">
        <f ca="1">S2323/$S$2316*lb2g</f>
        <v>0</v>
      </c>
      <c r="V2323" s="347">
        <v>0</v>
      </c>
      <c r="W2323" s="347">
        <v>0</v>
      </c>
      <c r="X2323" s="14" t="s">
        <v>12</v>
      </c>
      <c r="Y2323" s="346" t="s">
        <v>413</v>
      </c>
      <c r="Z2323" s="14" t="str">
        <f>IF(ISBLANK(LCI_Table[[#This Row],[Notes for user]])," ",LCI_Table[[#This Row],[Notes for user]])</f>
        <v xml:space="preserve"> </v>
      </c>
      <c r="AA2323" s="14"/>
      <c r="AB2323" s="14"/>
      <c r="AC2323" s="346">
        <f ca="1">LCI_Table[[#This Row],[Default Calculated Value]]-LCI_Table[[#This Row],[Calculated Value]]</f>
        <v>0</v>
      </c>
    </row>
    <row r="2324" spans="1:29" x14ac:dyDescent="0.3">
      <c r="A23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Miscanthusi-BuOH ATJICAOMIT (GREET)(blank)_Miscanthus_Farming_Residual_oilResidual oil</v>
      </c>
      <c r="B2324" s="14" t="s">
        <v>134</v>
      </c>
      <c r="C2324" s="14" t="s">
        <v>883</v>
      </c>
      <c r="D2324" s="14" t="s">
        <v>194</v>
      </c>
      <c r="E2324" s="48" t="s">
        <v>1335</v>
      </c>
      <c r="F2324" s="48" t="s">
        <v>31</v>
      </c>
      <c r="G2324" s="14" t="b">
        <f>OR(LCI_Table[[#This Row],[Feedstock]]="All",LCI_Table[[#This Row],[Feedstock]]=SelectedFeedstock)</f>
        <v>0</v>
      </c>
      <c r="H2324" s="14" t="b">
        <f>OR(LCI_Table[[#This Row],[Conversion]]="All",LCI_Table[[#This Row],[Conversion]]=SelectedConversion)</f>
        <v>0</v>
      </c>
      <c r="I2324" s="14" t="b">
        <f>OR(LCI_Table[[#This Row],[Data Set]]="all",LCI_Table[[#This Row],[Data Set]]=SelectedDataSet)</f>
        <v>0</v>
      </c>
      <c r="J2324" s="14" t="b">
        <f>OR(LCI_Table[[#This Row],[Technology]]="All",LCI_Table[[#This Row],[Technology]]=SelectedTechnology)</f>
        <v>1</v>
      </c>
      <c r="K2324" s="14" t="b">
        <f>OR(LCI_Table[[#This Row],[Data Source]]="All",LCI_Table[[#This Row],[Data Source]]=SelectedDataSource)</f>
        <v>0</v>
      </c>
      <c r="L2324" s="14" t="b">
        <f>TRUE</f>
        <v>1</v>
      </c>
      <c r="M2324" s="14" t="b">
        <f>(LCI_Table[[#This Row],[Dev Notes]]="Do not display")</f>
        <v>0</v>
      </c>
      <c r="N2324" s="14" t="b">
        <f>AND(LCI_Table[[#This Row],[Show Feedstock]:[Conditional]],NOT(LCI_Table[[#This Row],[Hide Row]]))</f>
        <v>0</v>
      </c>
      <c r="O2324" s="14" t="b">
        <f>LCI_Table[[#This Row],[GREET1 Name Range]]=""</f>
        <v>0</v>
      </c>
      <c r="P2324" s="14" t="s">
        <v>14</v>
      </c>
      <c r="Q2324" s="14" t="s">
        <v>715</v>
      </c>
      <c r="R2324" s="14" t="s">
        <v>115</v>
      </c>
      <c r="S2324" s="37" cm="1">
        <f t="array" aca="1" ref="S23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24" s="346" t="s">
        <v>1484</v>
      </c>
      <c r="U2324" s="347">
        <f ca="1">S2324*Fuel_Specs!$B$28/$S$2316</f>
        <v>0</v>
      </c>
      <c r="V2324" s="347">
        <v>0</v>
      </c>
      <c r="W2324" s="347">
        <v>0</v>
      </c>
      <c r="X2324" s="14" t="s">
        <v>5</v>
      </c>
      <c r="Y2324" s="346" t="s">
        <v>413</v>
      </c>
      <c r="Z2324" s="14" t="str">
        <f>IF(ISBLANK(LCI_Table[[#This Row],[Notes for user]])," ",LCI_Table[[#This Row],[Notes for user]])</f>
        <v xml:space="preserve"> </v>
      </c>
      <c r="AA2324" s="14"/>
      <c r="AB2324" s="14"/>
      <c r="AC2324" s="346">
        <f ca="1">LCI_Table[[#This Row],[Default Calculated Value]]-LCI_Table[[#This Row],[Calculated Value]]</f>
        <v>0</v>
      </c>
    </row>
    <row r="2325" spans="1:29" x14ac:dyDescent="0.3">
      <c r="A23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Miscanthusi-BuOH ATJICAOMIT (GREET)(blank)_Miscanthus_Farming_DieselDiesel</v>
      </c>
      <c r="B2325" s="14" t="s">
        <v>134</v>
      </c>
      <c r="C2325" s="14" t="s">
        <v>883</v>
      </c>
      <c r="D2325" s="14" t="s">
        <v>194</v>
      </c>
      <c r="E2325" s="48" t="s">
        <v>1335</v>
      </c>
      <c r="F2325" s="48" t="s">
        <v>31</v>
      </c>
      <c r="G2325" s="14" t="b">
        <f>OR(LCI_Table[[#This Row],[Feedstock]]="All",LCI_Table[[#This Row],[Feedstock]]=SelectedFeedstock)</f>
        <v>0</v>
      </c>
      <c r="H2325" s="14" t="b">
        <f>OR(LCI_Table[[#This Row],[Conversion]]="All",LCI_Table[[#This Row],[Conversion]]=SelectedConversion)</f>
        <v>0</v>
      </c>
      <c r="I2325" s="14" t="b">
        <f>OR(LCI_Table[[#This Row],[Data Set]]="all",LCI_Table[[#This Row],[Data Set]]=SelectedDataSet)</f>
        <v>0</v>
      </c>
      <c r="J2325" s="14" t="b">
        <f>OR(LCI_Table[[#This Row],[Technology]]="All",LCI_Table[[#This Row],[Technology]]=SelectedTechnology)</f>
        <v>1</v>
      </c>
      <c r="K2325" s="14" t="b">
        <f>OR(LCI_Table[[#This Row],[Data Source]]="All",LCI_Table[[#This Row],[Data Source]]=SelectedDataSource)</f>
        <v>0</v>
      </c>
      <c r="L2325" s="14" t="b">
        <f>TRUE</f>
        <v>1</v>
      </c>
      <c r="M2325" s="14" t="b">
        <f>(LCI_Table[[#This Row],[Dev Notes]]="Do not display")</f>
        <v>0</v>
      </c>
      <c r="N2325" s="14" t="b">
        <f>AND(LCI_Table[[#This Row],[Show Feedstock]:[Conditional]],NOT(LCI_Table[[#This Row],[Hide Row]]))</f>
        <v>0</v>
      </c>
      <c r="O2325" s="14" t="b">
        <f>LCI_Table[[#This Row],[GREET1 Name Range]]=""</f>
        <v>0</v>
      </c>
      <c r="P2325" s="14" t="s">
        <v>14</v>
      </c>
      <c r="Q2325" s="14" t="s">
        <v>704</v>
      </c>
      <c r="R2325" s="14" t="s">
        <v>106</v>
      </c>
      <c r="S2325" s="37" cm="1">
        <f t="array" aca="1" ref="S23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3.1290785048093088</v>
      </c>
      <c r="T2325" s="346" t="s">
        <v>1484</v>
      </c>
      <c r="U2325" s="347">
        <f ca="1">S2325*Fuel_Specs!$B$19/$S$2316</f>
        <v>47925.868072024001</v>
      </c>
      <c r="V2325" s="347">
        <v>3.1290785048093088</v>
      </c>
      <c r="W2325" s="347">
        <v>47925.868072024001</v>
      </c>
      <c r="X2325" s="14" t="s">
        <v>5</v>
      </c>
      <c r="Y2325" s="346" t="s">
        <v>413</v>
      </c>
      <c r="Z2325" s="14" t="str">
        <f>IF(ISBLANK(LCI_Table[[#This Row],[Notes for user]])," ",LCI_Table[[#This Row],[Notes for user]])</f>
        <v xml:space="preserve"> </v>
      </c>
      <c r="AA2325" s="14"/>
      <c r="AB2325" s="14"/>
      <c r="AC2325" s="346">
        <f ca="1">LCI_Table[[#This Row],[Default Calculated Value]]-LCI_Table[[#This Row],[Calculated Value]]</f>
        <v>0</v>
      </c>
    </row>
    <row r="2326" spans="1:29" x14ac:dyDescent="0.3">
      <c r="A23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Miscanthusi-BuOH ATJICAOMIT (GREET)(blank)_Miscanthus_Farming_GasolineGasoline</v>
      </c>
      <c r="B2326" s="14" t="s">
        <v>134</v>
      </c>
      <c r="C2326" s="14" t="s">
        <v>883</v>
      </c>
      <c r="D2326" s="14" t="s">
        <v>194</v>
      </c>
      <c r="E2326" s="48" t="s">
        <v>1335</v>
      </c>
      <c r="F2326" s="48" t="s">
        <v>31</v>
      </c>
      <c r="G2326" s="14" t="b">
        <f>OR(LCI_Table[[#This Row],[Feedstock]]="All",LCI_Table[[#This Row],[Feedstock]]=SelectedFeedstock)</f>
        <v>0</v>
      </c>
      <c r="H2326" s="14" t="b">
        <f>OR(LCI_Table[[#This Row],[Conversion]]="All",LCI_Table[[#This Row],[Conversion]]=SelectedConversion)</f>
        <v>0</v>
      </c>
      <c r="I2326" s="14" t="b">
        <f>OR(LCI_Table[[#This Row],[Data Set]]="all",LCI_Table[[#This Row],[Data Set]]=SelectedDataSet)</f>
        <v>0</v>
      </c>
      <c r="J2326" s="14" t="b">
        <f>OR(LCI_Table[[#This Row],[Technology]]="All",LCI_Table[[#This Row],[Technology]]=SelectedTechnology)</f>
        <v>1</v>
      </c>
      <c r="K2326" s="14" t="b">
        <f>OR(LCI_Table[[#This Row],[Data Source]]="All",LCI_Table[[#This Row],[Data Source]]=SelectedDataSource)</f>
        <v>0</v>
      </c>
      <c r="L2326" s="14" t="b">
        <f>TRUE</f>
        <v>1</v>
      </c>
      <c r="M2326" s="14" t="b">
        <f>(LCI_Table[[#This Row],[Dev Notes]]="Do not display")</f>
        <v>0</v>
      </c>
      <c r="N2326" s="14" t="b">
        <f>AND(LCI_Table[[#This Row],[Show Feedstock]:[Conditional]],NOT(LCI_Table[[#This Row],[Hide Row]]))</f>
        <v>0</v>
      </c>
      <c r="O2326" s="14" t="b">
        <f>LCI_Table[[#This Row],[GREET1 Name Range]]=""</f>
        <v>0</v>
      </c>
      <c r="P2326" s="14" t="s">
        <v>14</v>
      </c>
      <c r="Q2326" s="14" t="s">
        <v>706</v>
      </c>
      <c r="R2326" s="14" t="s">
        <v>107</v>
      </c>
      <c r="S2326" s="37" cm="1">
        <f t="array" aca="1" ref="S23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26" s="346" t="s">
        <v>1484</v>
      </c>
      <c r="U2326" s="347">
        <f ca="1">S2326*Fuel_Specs!$B$15/$S$2316</f>
        <v>0</v>
      </c>
      <c r="V2326" s="347">
        <v>0</v>
      </c>
      <c r="W2326" s="347">
        <v>0</v>
      </c>
      <c r="X2326" s="14" t="s">
        <v>5</v>
      </c>
      <c r="Y2326" s="346" t="s">
        <v>413</v>
      </c>
      <c r="Z2326" s="14" t="str">
        <f>IF(ISBLANK(LCI_Table[[#This Row],[Notes for user]])," ",LCI_Table[[#This Row],[Notes for user]])</f>
        <v xml:space="preserve"> </v>
      </c>
      <c r="AA2326" s="14"/>
      <c r="AB2326" s="14"/>
      <c r="AC2326" s="346">
        <f ca="1">LCI_Table[[#This Row],[Default Calculated Value]]-LCI_Table[[#This Row],[Calculated Value]]</f>
        <v>0</v>
      </c>
    </row>
    <row r="2327" spans="1:29" x14ac:dyDescent="0.3">
      <c r="A23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Miscanthusi-BuOH ATJICAOMIT (GREET)(blank)_Miscanthus_Farming_Natural_gasNatural gas</v>
      </c>
      <c r="B2327" s="14" t="s">
        <v>134</v>
      </c>
      <c r="C2327" s="14" t="s">
        <v>883</v>
      </c>
      <c r="D2327" s="14" t="s">
        <v>194</v>
      </c>
      <c r="E2327" s="48" t="s">
        <v>1335</v>
      </c>
      <c r="F2327" s="48" t="s">
        <v>31</v>
      </c>
      <c r="G2327" s="14" t="b">
        <f>OR(LCI_Table[[#This Row],[Feedstock]]="All",LCI_Table[[#This Row],[Feedstock]]=SelectedFeedstock)</f>
        <v>0</v>
      </c>
      <c r="H2327" s="14" t="b">
        <f>OR(LCI_Table[[#This Row],[Conversion]]="All",LCI_Table[[#This Row],[Conversion]]=SelectedConversion)</f>
        <v>0</v>
      </c>
      <c r="I2327" s="14" t="b">
        <f>OR(LCI_Table[[#This Row],[Data Set]]="all",LCI_Table[[#This Row],[Data Set]]=SelectedDataSet)</f>
        <v>0</v>
      </c>
      <c r="J2327" s="14" t="b">
        <f>OR(LCI_Table[[#This Row],[Technology]]="All",LCI_Table[[#This Row],[Technology]]=SelectedTechnology)</f>
        <v>1</v>
      </c>
      <c r="K2327" s="14" t="b">
        <f>OR(LCI_Table[[#This Row],[Data Source]]="All",LCI_Table[[#This Row],[Data Source]]=SelectedDataSource)</f>
        <v>0</v>
      </c>
      <c r="L2327" s="14" t="b">
        <f>TRUE</f>
        <v>1</v>
      </c>
      <c r="M2327" s="14" t="b">
        <f>(LCI_Table[[#This Row],[Dev Notes]]="Do not display")</f>
        <v>0</v>
      </c>
      <c r="N2327" s="14" t="b">
        <f>AND(LCI_Table[[#This Row],[Show Feedstock]:[Conditional]],NOT(LCI_Table[[#This Row],[Hide Row]]))</f>
        <v>0</v>
      </c>
      <c r="O2327" s="14" t="b">
        <f>LCI_Table[[#This Row],[GREET1 Name Range]]=""</f>
        <v>0</v>
      </c>
      <c r="P2327" s="14" t="s">
        <v>14</v>
      </c>
      <c r="Q2327" s="14" t="s">
        <v>712</v>
      </c>
      <c r="R2327" s="14" t="s">
        <v>108</v>
      </c>
      <c r="S2327" s="37" cm="1">
        <f t="array" aca="1" ref="S23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27" s="346" t="s">
        <v>2109</v>
      </c>
      <c r="U2327" s="347">
        <f ca="1">S2327*Fuel_Specs!$B$79/$S$2316</f>
        <v>0</v>
      </c>
      <c r="V2327" s="347">
        <v>0</v>
      </c>
      <c r="W2327" s="347">
        <v>0</v>
      </c>
      <c r="X2327" s="14" t="s">
        <v>351</v>
      </c>
      <c r="Y2327" s="346" t="s">
        <v>413</v>
      </c>
      <c r="Z2327" s="14" t="str">
        <f>IF(ISBLANK(LCI_Table[[#This Row],[Notes for user]])," ",LCI_Table[[#This Row],[Notes for user]])</f>
        <v xml:space="preserve"> </v>
      </c>
      <c r="AA2327" s="14"/>
      <c r="AB2327" s="14"/>
      <c r="AC2327" s="346">
        <f ca="1">LCI_Table[[#This Row],[Default Calculated Value]]-LCI_Table[[#This Row],[Calculated Value]]</f>
        <v>0</v>
      </c>
    </row>
    <row r="2328" spans="1:29" x14ac:dyDescent="0.3">
      <c r="A23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Miscanthusi-BuOH ATJICAOMIT (GREET)(blank)_Miscanthus_Farming_CoalCoal</v>
      </c>
      <c r="B2328" s="14" t="s">
        <v>134</v>
      </c>
      <c r="C2328" s="14" t="s">
        <v>883</v>
      </c>
      <c r="D2328" s="14" t="s">
        <v>194</v>
      </c>
      <c r="E2328" s="48" t="s">
        <v>1335</v>
      </c>
      <c r="F2328" s="48" t="s">
        <v>31</v>
      </c>
      <c r="G2328" s="14" t="b">
        <f>OR(LCI_Table[[#This Row],[Feedstock]]="All",LCI_Table[[#This Row],[Feedstock]]=SelectedFeedstock)</f>
        <v>0</v>
      </c>
      <c r="H2328" s="14" t="b">
        <f>OR(LCI_Table[[#This Row],[Conversion]]="All",LCI_Table[[#This Row],[Conversion]]=SelectedConversion)</f>
        <v>0</v>
      </c>
      <c r="I2328" s="14" t="b">
        <f>OR(LCI_Table[[#This Row],[Data Set]]="all",LCI_Table[[#This Row],[Data Set]]=SelectedDataSet)</f>
        <v>0</v>
      </c>
      <c r="J2328" s="14" t="b">
        <f>OR(LCI_Table[[#This Row],[Technology]]="All",LCI_Table[[#This Row],[Technology]]=SelectedTechnology)</f>
        <v>1</v>
      </c>
      <c r="K2328" s="14" t="b">
        <f>OR(LCI_Table[[#This Row],[Data Source]]="All",LCI_Table[[#This Row],[Data Source]]=SelectedDataSource)</f>
        <v>0</v>
      </c>
      <c r="L2328" s="14" t="b">
        <f>TRUE</f>
        <v>1</v>
      </c>
      <c r="M2328" s="14" t="b">
        <f>(LCI_Table[[#This Row],[Dev Notes]]="Do not display")</f>
        <v>0</v>
      </c>
      <c r="N2328" s="14" t="b">
        <f>AND(LCI_Table[[#This Row],[Show Feedstock]:[Conditional]],NOT(LCI_Table[[#This Row],[Hide Row]]))</f>
        <v>0</v>
      </c>
      <c r="O2328" s="14" t="b">
        <f>LCI_Table[[#This Row],[GREET1 Name Range]]=""</f>
        <v>0</v>
      </c>
      <c r="P2328" s="14" t="s">
        <v>14</v>
      </c>
      <c r="Q2328" s="14" t="s">
        <v>703</v>
      </c>
      <c r="R2328" s="14" t="s">
        <v>9</v>
      </c>
      <c r="S2328" s="37" cm="1">
        <f t="array" aca="1" ref="S23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28" s="346" t="s">
        <v>2110</v>
      </c>
      <c r="U2328" s="347">
        <f ca="1">S2328/$S$2316</f>
        <v>0</v>
      </c>
      <c r="V2328" s="347">
        <v>0</v>
      </c>
      <c r="W2328" s="347">
        <v>0</v>
      </c>
      <c r="X2328" s="14" t="s">
        <v>117</v>
      </c>
      <c r="Y2328" s="346" t="s">
        <v>413</v>
      </c>
      <c r="Z2328" s="14" t="str">
        <f>IF(ISBLANK(LCI_Table[[#This Row],[Notes for user]])," ",LCI_Table[[#This Row],[Notes for user]])</f>
        <v xml:space="preserve"> </v>
      </c>
      <c r="AA2328" s="14"/>
      <c r="AB2328" s="14"/>
      <c r="AC2328" s="346">
        <f ca="1">LCI_Table[[#This Row],[Default Calculated Value]]-LCI_Table[[#This Row],[Calculated Value]]</f>
        <v>0</v>
      </c>
    </row>
    <row r="2329" spans="1:29" x14ac:dyDescent="0.3">
      <c r="A23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Miscanthusi-BuOH ATJICAOMIT (GREET)(blank)_Miscanthus_Farming_LPGLPG</v>
      </c>
      <c r="B2329" s="14" t="s">
        <v>134</v>
      </c>
      <c r="C2329" s="14" t="s">
        <v>883</v>
      </c>
      <c r="D2329" s="14" t="s">
        <v>194</v>
      </c>
      <c r="E2329" s="48" t="s">
        <v>1335</v>
      </c>
      <c r="F2329" s="48" t="s">
        <v>31</v>
      </c>
      <c r="G2329" s="14" t="b">
        <f>OR(LCI_Table[[#This Row],[Feedstock]]="All",LCI_Table[[#This Row],[Feedstock]]=SelectedFeedstock)</f>
        <v>0</v>
      </c>
      <c r="H2329" s="14" t="b">
        <f>OR(LCI_Table[[#This Row],[Conversion]]="All",LCI_Table[[#This Row],[Conversion]]=SelectedConversion)</f>
        <v>0</v>
      </c>
      <c r="I2329" s="14" t="b">
        <f>OR(LCI_Table[[#This Row],[Data Set]]="all",LCI_Table[[#This Row],[Data Set]]=SelectedDataSet)</f>
        <v>0</v>
      </c>
      <c r="J2329" s="14" t="b">
        <f>OR(LCI_Table[[#This Row],[Technology]]="All",LCI_Table[[#This Row],[Technology]]=SelectedTechnology)</f>
        <v>1</v>
      </c>
      <c r="K2329" s="14" t="b">
        <f>OR(LCI_Table[[#This Row],[Data Source]]="All",LCI_Table[[#This Row],[Data Source]]=SelectedDataSource)</f>
        <v>0</v>
      </c>
      <c r="L2329" s="14" t="b">
        <f>TRUE</f>
        <v>1</v>
      </c>
      <c r="M2329" s="14" t="b">
        <f>(LCI_Table[[#This Row],[Dev Notes]]="Do not display")</f>
        <v>0</v>
      </c>
      <c r="N2329" s="14" t="b">
        <f>AND(LCI_Table[[#This Row],[Show Feedstock]:[Conditional]],NOT(LCI_Table[[#This Row],[Hide Row]]))</f>
        <v>0</v>
      </c>
      <c r="O2329" s="14" t="b">
        <f>LCI_Table[[#This Row],[GREET1 Name Range]]=""</f>
        <v>0</v>
      </c>
      <c r="P2329" s="14" t="s">
        <v>14</v>
      </c>
      <c r="Q2329" s="14" t="s">
        <v>711</v>
      </c>
      <c r="R2329" s="14" t="s">
        <v>109</v>
      </c>
      <c r="S2329" s="37" cm="1">
        <f t="array" aca="1" ref="S23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29" s="346" t="s">
        <v>1484</v>
      </c>
      <c r="U2329" s="347">
        <f ca="1">S2329*Fuel_Specs!$B$35/$S$2316</f>
        <v>0</v>
      </c>
      <c r="V2329" s="347">
        <v>0</v>
      </c>
      <c r="W2329" s="347">
        <v>0</v>
      </c>
      <c r="X2329" s="14" t="s">
        <v>5</v>
      </c>
      <c r="Y2329" s="346" t="s">
        <v>413</v>
      </c>
      <c r="Z2329" s="14" t="str">
        <f>IF(ISBLANK(LCI_Table[[#This Row],[Notes for user]])," ",LCI_Table[[#This Row],[Notes for user]])</f>
        <v xml:space="preserve"> </v>
      </c>
      <c r="AA2329" s="14"/>
      <c r="AB2329" s="14"/>
      <c r="AC2329" s="346">
        <f ca="1">LCI_Table[[#This Row],[Default Calculated Value]]-LCI_Table[[#This Row],[Calculated Value]]</f>
        <v>0</v>
      </c>
    </row>
    <row r="2330" spans="1:29" x14ac:dyDescent="0.3">
      <c r="A23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Miscanthusi-BuOH ATJICAOMIT (GREET)(blank)_Miscanthus_Farming_ElectricityElectricity</v>
      </c>
      <c r="B2330" s="14" t="s">
        <v>134</v>
      </c>
      <c r="C2330" s="14" t="s">
        <v>883</v>
      </c>
      <c r="D2330" s="14" t="s">
        <v>194</v>
      </c>
      <c r="E2330" s="48" t="s">
        <v>1335</v>
      </c>
      <c r="F2330" s="48" t="s">
        <v>31</v>
      </c>
      <c r="G2330" s="14" t="b">
        <f>OR(LCI_Table[[#This Row],[Feedstock]]="All",LCI_Table[[#This Row],[Feedstock]]=SelectedFeedstock)</f>
        <v>0</v>
      </c>
      <c r="H2330" s="14" t="b">
        <f>OR(LCI_Table[[#This Row],[Conversion]]="All",LCI_Table[[#This Row],[Conversion]]=SelectedConversion)</f>
        <v>0</v>
      </c>
      <c r="I2330" s="14" t="b">
        <f>OR(LCI_Table[[#This Row],[Data Set]]="all",LCI_Table[[#This Row],[Data Set]]=SelectedDataSet)</f>
        <v>0</v>
      </c>
      <c r="J2330" s="14" t="b">
        <f>OR(LCI_Table[[#This Row],[Technology]]="All",LCI_Table[[#This Row],[Technology]]=SelectedTechnology)</f>
        <v>1</v>
      </c>
      <c r="K2330" s="14" t="b">
        <f>OR(LCI_Table[[#This Row],[Data Source]]="All",LCI_Table[[#This Row],[Data Source]]=SelectedDataSource)</f>
        <v>0</v>
      </c>
      <c r="L2330" s="14" t="b">
        <f>TRUE</f>
        <v>1</v>
      </c>
      <c r="M2330" s="14" t="b">
        <f>(LCI_Table[[#This Row],[Dev Notes]]="Do not display")</f>
        <v>0</v>
      </c>
      <c r="N2330" s="14" t="b">
        <f>AND(LCI_Table[[#This Row],[Show Feedstock]:[Conditional]],NOT(LCI_Table[[#This Row],[Hide Row]]))</f>
        <v>0</v>
      </c>
      <c r="O2330" s="14" t="b">
        <f>LCI_Table[[#This Row],[GREET1 Name Range]]=""</f>
        <v>0</v>
      </c>
      <c r="P2330" s="14" t="s">
        <v>14</v>
      </c>
      <c r="Q2330" s="14" t="s">
        <v>705</v>
      </c>
      <c r="R2330" s="348" t="s">
        <v>110</v>
      </c>
      <c r="S2330" s="37" cm="1">
        <f t="array" aca="1" ref="S23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9.1395763569875044</v>
      </c>
      <c r="T2330" s="346" t="s">
        <v>1561</v>
      </c>
      <c r="U2330" s="347">
        <f ca="1">S2330/BTU2kWh/$S$2316</f>
        <v>3718.5406764815007</v>
      </c>
      <c r="V2330" s="347">
        <v>9.1395763569875044</v>
      </c>
      <c r="W2330" s="347">
        <v>3718.5406764815007</v>
      </c>
      <c r="X2330" s="14" t="s">
        <v>51</v>
      </c>
      <c r="Y2330" s="346" t="s">
        <v>413</v>
      </c>
      <c r="Z2330" s="14" t="str">
        <f>IF(ISBLANK(LCI_Table[[#This Row],[Notes for user]])," ",LCI_Table[[#This Row],[Notes for user]])</f>
        <v xml:space="preserve"> </v>
      </c>
      <c r="AA2330" s="14"/>
      <c r="AB2330" s="14"/>
      <c r="AC2330" s="346">
        <f ca="1">LCI_Table[[#This Row],[Default Calculated Value]]-LCI_Table[[#This Row],[Calculated Value]]</f>
        <v>0</v>
      </c>
    </row>
    <row r="2331" spans="1:29" x14ac:dyDescent="0.3">
      <c r="A23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Miscanthusi-BuOH ATJICAOMIT (GREET)(blank)_Miscanthus_i_BuOH_ATJ_MiscanthusMiscanthus</v>
      </c>
      <c r="B2331" s="14" t="s">
        <v>134</v>
      </c>
      <c r="C2331" s="14" t="s">
        <v>883</v>
      </c>
      <c r="D2331" s="14" t="s">
        <v>194</v>
      </c>
      <c r="E2331" s="48" t="s">
        <v>1335</v>
      </c>
      <c r="F2331" s="48" t="s">
        <v>31</v>
      </c>
      <c r="G2331" s="14" t="b">
        <f>OR(LCI_Table[[#This Row],[Feedstock]]="All",LCI_Table[[#This Row],[Feedstock]]=SelectedFeedstock)</f>
        <v>0</v>
      </c>
      <c r="H2331" s="14" t="b">
        <f>OR(LCI_Table[[#This Row],[Conversion]]="All",LCI_Table[[#This Row],[Conversion]]=SelectedConversion)</f>
        <v>0</v>
      </c>
      <c r="I2331" s="14" t="b">
        <f>OR(LCI_Table[[#This Row],[Data Set]]="all",LCI_Table[[#This Row],[Data Set]]=SelectedDataSet)</f>
        <v>0</v>
      </c>
      <c r="J2331" s="14" t="b">
        <f>OR(LCI_Table[[#This Row],[Technology]]="All",LCI_Table[[#This Row],[Technology]]=SelectedTechnology)</f>
        <v>1</v>
      </c>
      <c r="K2331" s="14" t="b">
        <f>OR(LCI_Table[[#This Row],[Data Source]]="All",LCI_Table[[#This Row],[Data Source]]=SelectedDataSource)</f>
        <v>0</v>
      </c>
      <c r="L2331" s="14" t="b">
        <f>TRUE</f>
        <v>1</v>
      </c>
      <c r="M2331" s="14" t="b">
        <f>(LCI_Table[[#This Row],[Dev Notes]]="Do not display")</f>
        <v>0</v>
      </c>
      <c r="N2331" s="14" t="b">
        <f>AND(LCI_Table[[#This Row],[Show Feedstock]:[Conditional]],NOT(LCI_Table[[#This Row],[Hide Row]]))</f>
        <v>0</v>
      </c>
      <c r="O2331" s="14" t="b">
        <f>LCI_Table[[#This Row],[GREET1 Name Range]]=""</f>
        <v>0</v>
      </c>
      <c r="P2331" s="358" t="s">
        <v>1448</v>
      </c>
      <c r="Q2331" s="14" t="s">
        <v>1059</v>
      </c>
      <c r="R2331" s="14" t="s">
        <v>134</v>
      </c>
      <c r="S2331" s="37" cm="1">
        <f t="array" aca="1" ref="S23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406.11959899149178</v>
      </c>
      <c r="T2331" s="346" t="s">
        <v>2119</v>
      </c>
      <c r="U2331" s="347">
        <f ca="1">S2331*lb2kg/mmBTU2MJ</f>
        <v>0.17460000000000037</v>
      </c>
      <c r="V2331" s="347">
        <v>406.11959899149178</v>
      </c>
      <c r="W2331" s="347">
        <v>0.17460000000000037</v>
      </c>
      <c r="X2331" s="14" t="s">
        <v>12</v>
      </c>
      <c r="Y2331" s="346" t="s">
        <v>416</v>
      </c>
      <c r="Z2331" s="14" t="str">
        <f>IF(ISBLANK(LCI_Table[[#This Row],[Notes for user]])," ",LCI_Table[[#This Row],[Notes for user]])</f>
        <v xml:space="preserve"> </v>
      </c>
      <c r="AA2331" s="14"/>
      <c r="AB2331" s="358"/>
      <c r="AC2331" s="346">
        <f ca="1">LCI_Table[[#This Row],[Default Calculated Value]]-LCI_Table[[#This Row],[Calculated Value]]</f>
        <v>0</v>
      </c>
    </row>
    <row r="2332" spans="1:29" x14ac:dyDescent="0.3">
      <c r="A23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Miscanthusi-BuOH ATJICAOMIT (GREET)(blank)_Miscanthus_i_BuOH_ATJ_CellulaseCellulase</v>
      </c>
      <c r="B2332" s="14" t="s">
        <v>134</v>
      </c>
      <c r="C2332" s="14" t="s">
        <v>883</v>
      </c>
      <c r="D2332" s="14" t="s">
        <v>194</v>
      </c>
      <c r="E2332" s="48" t="s">
        <v>1335</v>
      </c>
      <c r="F2332" s="48" t="s">
        <v>31</v>
      </c>
      <c r="G2332" s="14" t="b">
        <f>OR(LCI_Table[[#This Row],[Feedstock]]="All",LCI_Table[[#This Row],[Feedstock]]=SelectedFeedstock)</f>
        <v>0</v>
      </c>
      <c r="H2332" s="14" t="b">
        <f>OR(LCI_Table[[#This Row],[Conversion]]="All",LCI_Table[[#This Row],[Conversion]]=SelectedConversion)</f>
        <v>0</v>
      </c>
      <c r="I2332" s="14" t="b">
        <f>OR(LCI_Table[[#This Row],[Data Set]]="all",LCI_Table[[#This Row],[Data Set]]=SelectedDataSet)</f>
        <v>0</v>
      </c>
      <c r="J2332" s="14" t="b">
        <f>OR(LCI_Table[[#This Row],[Technology]]="All",LCI_Table[[#This Row],[Technology]]=SelectedTechnology)</f>
        <v>1</v>
      </c>
      <c r="K2332" s="14" t="b">
        <f>OR(LCI_Table[[#This Row],[Data Source]]="All",LCI_Table[[#This Row],[Data Source]]=SelectedDataSource)</f>
        <v>0</v>
      </c>
      <c r="L2332" s="14" t="b">
        <f>TRUE</f>
        <v>1</v>
      </c>
      <c r="M2332" s="14" t="b">
        <f>(LCI_Table[[#This Row],[Dev Notes]]="Do not display")</f>
        <v>0</v>
      </c>
      <c r="N2332" s="14" t="b">
        <f>AND(LCI_Table[[#This Row],[Show Feedstock]:[Conditional]],NOT(LCI_Table[[#This Row],[Hide Row]]))</f>
        <v>0</v>
      </c>
      <c r="O2332" s="14" t="b">
        <f>LCI_Table[[#This Row],[GREET1 Name Range]]=""</f>
        <v>0</v>
      </c>
      <c r="P2332" s="358" t="s">
        <v>1448</v>
      </c>
      <c r="Q2332" s="14" t="s">
        <v>1060</v>
      </c>
      <c r="R2332" s="14" t="s">
        <v>402</v>
      </c>
      <c r="S2332" s="37" cm="1">
        <f t="array" aca="1" ref="S23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4.5589599886788301</v>
      </c>
      <c r="T2332" s="346" t="s">
        <v>2119</v>
      </c>
      <c r="U2332" s="347">
        <f ca="1">S2332*lb2g/mmBTU2MJ</f>
        <v>1.9600000000000035</v>
      </c>
      <c r="V2332" s="347">
        <v>4.5589599886788301</v>
      </c>
      <c r="W2332" s="347">
        <v>1.9600000000000035</v>
      </c>
      <c r="X2332" s="14" t="s">
        <v>12</v>
      </c>
      <c r="Y2332" s="346" t="s">
        <v>416</v>
      </c>
      <c r="Z2332" s="14" t="str">
        <f>IF(ISBLANK(LCI_Table[[#This Row],[Notes for user]])," ",LCI_Table[[#This Row],[Notes for user]])</f>
        <v xml:space="preserve"> </v>
      </c>
      <c r="AA2332" s="14"/>
      <c r="AB2332" s="14"/>
      <c r="AC2332" s="346">
        <f ca="1">LCI_Table[[#This Row],[Default Calculated Value]]-LCI_Table[[#This Row],[Calculated Value]]</f>
        <v>0</v>
      </c>
    </row>
    <row r="2333" spans="1:29" x14ac:dyDescent="0.3">
      <c r="A23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Miscanthusi-BuOH ATJICAOMIT (GREET)(blank)_Miscanthus_i_BuOH_ATJ_YeastYeast</v>
      </c>
      <c r="B2333" s="14" t="s">
        <v>134</v>
      </c>
      <c r="C2333" s="14" t="s">
        <v>883</v>
      </c>
      <c r="D2333" s="14" t="s">
        <v>194</v>
      </c>
      <c r="E2333" s="48" t="s">
        <v>1335</v>
      </c>
      <c r="F2333" s="48" t="s">
        <v>31</v>
      </c>
      <c r="G2333" s="14" t="b">
        <f>OR(LCI_Table[[#This Row],[Feedstock]]="All",LCI_Table[[#This Row],[Feedstock]]=SelectedFeedstock)</f>
        <v>0</v>
      </c>
      <c r="H2333" s="14" t="b">
        <f>OR(LCI_Table[[#This Row],[Conversion]]="All",LCI_Table[[#This Row],[Conversion]]=SelectedConversion)</f>
        <v>0</v>
      </c>
      <c r="I2333" s="14" t="b">
        <f>OR(LCI_Table[[#This Row],[Data Set]]="all",LCI_Table[[#This Row],[Data Set]]=SelectedDataSet)</f>
        <v>0</v>
      </c>
      <c r="J2333" s="14" t="b">
        <f>OR(LCI_Table[[#This Row],[Technology]]="All",LCI_Table[[#This Row],[Technology]]=SelectedTechnology)</f>
        <v>1</v>
      </c>
      <c r="K2333" s="14" t="b">
        <f>OR(LCI_Table[[#This Row],[Data Source]]="All",LCI_Table[[#This Row],[Data Source]]=SelectedDataSource)</f>
        <v>0</v>
      </c>
      <c r="L2333" s="14" t="b">
        <f>TRUE</f>
        <v>1</v>
      </c>
      <c r="M2333" s="14" t="b">
        <f>(LCI_Table[[#This Row],[Dev Notes]]="Do not display")</f>
        <v>0</v>
      </c>
      <c r="N2333" s="14" t="b">
        <f>AND(LCI_Table[[#This Row],[Show Feedstock]:[Conditional]],NOT(LCI_Table[[#This Row],[Hide Row]]))</f>
        <v>0</v>
      </c>
      <c r="O2333" s="14" t="b">
        <f>LCI_Table[[#This Row],[GREET1 Name Range]]=""</f>
        <v>0</v>
      </c>
      <c r="P2333" s="358" t="s">
        <v>1448</v>
      </c>
      <c r="Q2333" s="14" t="s">
        <v>1061</v>
      </c>
      <c r="R2333" s="14" t="s">
        <v>145</v>
      </c>
      <c r="S2333" s="37" cm="1">
        <f t="array" aca="1" ref="S23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1.1376465971749063</v>
      </c>
      <c r="T2333" s="346" t="s">
        <v>2119</v>
      </c>
      <c r="U2333" s="347">
        <f ca="1">S2333*lb2g/mmBTU2MJ</f>
        <v>0.48910000000000103</v>
      </c>
      <c r="V2333" s="347">
        <v>1.1376465971749063</v>
      </c>
      <c r="W2333" s="347">
        <v>0.48910000000000103</v>
      </c>
      <c r="X2333" s="14" t="s">
        <v>12</v>
      </c>
      <c r="Y2333" s="346" t="s">
        <v>416</v>
      </c>
      <c r="Z2333" s="14" t="str">
        <f>IF(ISBLANK(LCI_Table[[#This Row],[Notes for user]])," ",LCI_Table[[#This Row],[Notes for user]])</f>
        <v xml:space="preserve"> </v>
      </c>
      <c r="AA2333" s="14"/>
      <c r="AB2333" s="14"/>
      <c r="AC2333" s="346">
        <f ca="1">LCI_Table[[#This Row],[Default Calculated Value]]-LCI_Table[[#This Row],[Calculated Value]]</f>
        <v>0</v>
      </c>
    </row>
    <row r="2334" spans="1:29" x14ac:dyDescent="0.3">
      <c r="A23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Miscanthusi-BuOH ATJICAOMIT (GREET)(blank)_Miscanthus_i_BuOH_ATJ_Sulfuric_acidSulfuric acid</v>
      </c>
      <c r="B2334" s="14" t="s">
        <v>134</v>
      </c>
      <c r="C2334" s="14" t="s">
        <v>883</v>
      </c>
      <c r="D2334" s="14" t="s">
        <v>194</v>
      </c>
      <c r="E2334" s="48" t="s">
        <v>1335</v>
      </c>
      <c r="F2334" s="48" t="s">
        <v>31</v>
      </c>
      <c r="G2334" s="14" t="b">
        <f>OR(LCI_Table[[#This Row],[Feedstock]]="All",LCI_Table[[#This Row],[Feedstock]]=SelectedFeedstock)</f>
        <v>0</v>
      </c>
      <c r="H2334" s="14" t="b">
        <f>OR(LCI_Table[[#This Row],[Conversion]]="All",LCI_Table[[#This Row],[Conversion]]=SelectedConversion)</f>
        <v>0</v>
      </c>
      <c r="I2334" s="14" t="b">
        <f>OR(LCI_Table[[#This Row],[Data Set]]="all",LCI_Table[[#This Row],[Data Set]]=SelectedDataSet)</f>
        <v>0</v>
      </c>
      <c r="J2334" s="14" t="b">
        <f>OR(LCI_Table[[#This Row],[Technology]]="All",LCI_Table[[#This Row],[Technology]]=SelectedTechnology)</f>
        <v>1</v>
      </c>
      <c r="K2334" s="14" t="b">
        <f>OR(LCI_Table[[#This Row],[Data Source]]="All",LCI_Table[[#This Row],[Data Source]]=SelectedDataSource)</f>
        <v>0</v>
      </c>
      <c r="L2334" s="14" t="b">
        <f>TRUE</f>
        <v>1</v>
      </c>
      <c r="M2334" s="14" t="b">
        <f>(LCI_Table[[#This Row],[Dev Notes]]="Do not display")</f>
        <v>0</v>
      </c>
      <c r="N2334" s="14" t="b">
        <f>AND(LCI_Table[[#This Row],[Show Feedstock]:[Conditional]],NOT(LCI_Table[[#This Row],[Hide Row]]))</f>
        <v>0</v>
      </c>
      <c r="O2334" s="14" t="b">
        <f>LCI_Table[[#This Row],[GREET1 Name Range]]=""</f>
        <v>0</v>
      </c>
      <c r="P2334" s="358" t="s">
        <v>1448</v>
      </c>
      <c r="Q2334" s="14" t="s">
        <v>1062</v>
      </c>
      <c r="R2334" s="14" t="s">
        <v>384</v>
      </c>
      <c r="S2334" s="37" cm="1">
        <f t="array" aca="1" ref="S23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10.071579974989458</v>
      </c>
      <c r="T2334" s="346" t="s">
        <v>2119</v>
      </c>
      <c r="U2334" s="347">
        <f ca="1">S2334*lb2g/mmBTU2MJ</f>
        <v>4.330000000000009</v>
      </c>
      <c r="V2334" s="347">
        <v>10.071579974989458</v>
      </c>
      <c r="W2334" s="347">
        <v>4.330000000000009</v>
      </c>
      <c r="X2334" s="14" t="s">
        <v>12</v>
      </c>
      <c r="Y2334" s="346" t="s">
        <v>416</v>
      </c>
      <c r="Z2334" s="14" t="str">
        <f>IF(ISBLANK(LCI_Table[[#This Row],[Notes for user]])," ",LCI_Table[[#This Row],[Notes for user]])</f>
        <v xml:space="preserve"> </v>
      </c>
      <c r="AA2334" s="14"/>
      <c r="AB2334" s="14"/>
      <c r="AC2334" s="346">
        <f ca="1">LCI_Table[[#This Row],[Default Calculated Value]]-LCI_Table[[#This Row],[Calculated Value]]</f>
        <v>0</v>
      </c>
    </row>
    <row r="2335" spans="1:29" x14ac:dyDescent="0.3">
      <c r="A23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Miscanthusi-BuOH ATJICAOMIT (GREET)(blank)_Miscanthus_i_BuOH_ATJ_AmmoniaAmmonia</v>
      </c>
      <c r="B2335" s="14" t="s">
        <v>134</v>
      </c>
      <c r="C2335" s="14" t="s">
        <v>883</v>
      </c>
      <c r="D2335" s="14" t="s">
        <v>194</v>
      </c>
      <c r="E2335" s="48" t="s">
        <v>1335</v>
      </c>
      <c r="F2335" s="48" t="s">
        <v>31</v>
      </c>
      <c r="G2335" s="14" t="b">
        <f>OR(LCI_Table[[#This Row],[Feedstock]]="All",LCI_Table[[#This Row],[Feedstock]]=SelectedFeedstock)</f>
        <v>0</v>
      </c>
      <c r="H2335" s="14" t="b">
        <f>OR(LCI_Table[[#This Row],[Conversion]]="All",LCI_Table[[#This Row],[Conversion]]=SelectedConversion)</f>
        <v>0</v>
      </c>
      <c r="I2335" s="14" t="b">
        <f>OR(LCI_Table[[#This Row],[Data Set]]="all",LCI_Table[[#This Row],[Data Set]]=SelectedDataSet)</f>
        <v>0</v>
      </c>
      <c r="J2335" s="14" t="b">
        <f>OR(LCI_Table[[#This Row],[Technology]]="All",LCI_Table[[#This Row],[Technology]]=SelectedTechnology)</f>
        <v>1</v>
      </c>
      <c r="K2335" s="14" t="b">
        <f>OR(LCI_Table[[#This Row],[Data Source]]="All",LCI_Table[[#This Row],[Data Source]]=SelectedDataSource)</f>
        <v>0</v>
      </c>
      <c r="L2335" s="14" t="b">
        <f>TRUE</f>
        <v>1</v>
      </c>
      <c r="M2335" s="14" t="b">
        <f>(LCI_Table[[#This Row],[Dev Notes]]="Do not display")</f>
        <v>0</v>
      </c>
      <c r="N2335" s="14" t="b">
        <f>AND(LCI_Table[[#This Row],[Show Feedstock]:[Conditional]],NOT(LCI_Table[[#This Row],[Hide Row]]))</f>
        <v>0</v>
      </c>
      <c r="O2335" s="14" t="b">
        <f>LCI_Table[[#This Row],[GREET1 Name Range]]=""</f>
        <v>0</v>
      </c>
      <c r="P2335" s="358" t="s">
        <v>1448</v>
      </c>
      <c r="Q2335" s="14" t="s">
        <v>1063</v>
      </c>
      <c r="R2335" s="14" t="s">
        <v>382</v>
      </c>
      <c r="S2335" s="37" cm="1">
        <f t="array" aca="1" ref="S23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5.7452199857330166</v>
      </c>
      <c r="T2335" s="346" t="s">
        <v>2119</v>
      </c>
      <c r="U2335" s="347">
        <f ca="1">S2335*lb2g/mmBTU2MJ</f>
        <v>2.4700000000000051</v>
      </c>
      <c r="V2335" s="347">
        <v>5.7452199857330166</v>
      </c>
      <c r="W2335" s="347">
        <v>2.4700000000000051</v>
      </c>
      <c r="X2335" s="14" t="s">
        <v>12</v>
      </c>
      <c r="Y2335" s="346" t="s">
        <v>416</v>
      </c>
      <c r="Z2335" s="14" t="str">
        <f>IF(ISBLANK(LCI_Table[[#This Row],[Notes for user]])," ",LCI_Table[[#This Row],[Notes for user]])</f>
        <v xml:space="preserve"> </v>
      </c>
      <c r="AA2335" s="14"/>
      <c r="AB2335" s="14"/>
      <c r="AC2335" s="346">
        <f ca="1">LCI_Table[[#This Row],[Default Calculated Value]]-LCI_Table[[#This Row],[Calculated Value]]</f>
        <v>0</v>
      </c>
    </row>
    <row r="2336" spans="1:29" x14ac:dyDescent="0.3">
      <c r="A23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Miscanthusi-BuOH ATJICAOMIT (GREET)(blank)_Miscanthus_i_BuOH_ATJ_HydrogenHydrogen</v>
      </c>
      <c r="B2336" s="14" t="s">
        <v>134</v>
      </c>
      <c r="C2336" s="14" t="s">
        <v>883</v>
      </c>
      <c r="D2336" s="358" t="s">
        <v>194</v>
      </c>
      <c r="E2336" s="48" t="s">
        <v>1335</v>
      </c>
      <c r="F2336" s="48" t="s">
        <v>31</v>
      </c>
      <c r="G2336" s="14" t="b">
        <f>OR(LCI_Table[[#This Row],[Feedstock]]="All",LCI_Table[[#This Row],[Feedstock]]=SelectedFeedstock)</f>
        <v>0</v>
      </c>
      <c r="H2336" s="14" t="b">
        <f>OR(LCI_Table[[#This Row],[Conversion]]="All",LCI_Table[[#This Row],[Conversion]]=SelectedConversion)</f>
        <v>0</v>
      </c>
      <c r="I2336" s="14" t="b">
        <f>OR(LCI_Table[[#This Row],[Data Set]]="all",LCI_Table[[#This Row],[Data Set]]=SelectedDataSet)</f>
        <v>0</v>
      </c>
      <c r="J2336" s="14" t="b">
        <f>OR(LCI_Table[[#This Row],[Technology]]="All",LCI_Table[[#This Row],[Technology]]=SelectedTechnology)</f>
        <v>1</v>
      </c>
      <c r="K2336" s="14" t="b">
        <f>OR(LCI_Table[[#This Row],[Data Source]]="All",LCI_Table[[#This Row],[Data Source]]=SelectedDataSource)</f>
        <v>0</v>
      </c>
      <c r="L2336" s="14" t="b">
        <f>TRUE</f>
        <v>1</v>
      </c>
      <c r="M2336" s="14" t="b">
        <f>(LCI_Table[[#This Row],[Dev Notes]]="Do not display")</f>
        <v>0</v>
      </c>
      <c r="N2336" s="14" t="b">
        <f>AND(LCI_Table[[#This Row],[Show Feedstock]:[Conditional]],NOT(LCI_Table[[#This Row],[Hide Row]]))</f>
        <v>0</v>
      </c>
      <c r="O2336" s="14" t="b">
        <f>LCI_Table[[#This Row],[GREET1 Name Range]]=""</f>
        <v>0</v>
      </c>
      <c r="P2336" s="358" t="s">
        <v>1448</v>
      </c>
      <c r="Q2336" s="14" t="s">
        <v>1064</v>
      </c>
      <c r="R2336" s="358" t="s">
        <v>73</v>
      </c>
      <c r="S2336" s="37" cm="1">
        <f t="array" aca="1" ref="S23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138.7886664672744</v>
      </c>
      <c r="T2336" s="346" t="s">
        <v>2120</v>
      </c>
      <c r="U2336" s="359">
        <f ca="1">S2336*Fuel_Specs!$B$81/mmBTU2MJ</f>
        <v>38.148419607843103</v>
      </c>
      <c r="V2336" s="359">
        <v>138.7886664672744</v>
      </c>
      <c r="W2336" s="359">
        <v>38.148419607843103</v>
      </c>
      <c r="X2336" s="360" t="s">
        <v>351</v>
      </c>
      <c r="Y2336" s="346" t="s">
        <v>416</v>
      </c>
      <c r="Z2336" s="14" t="str">
        <f>IF(ISBLANK(LCI_Table[[#This Row],[Notes for user]])," ",LCI_Table[[#This Row],[Notes for user]])</f>
        <v xml:space="preserve"> </v>
      </c>
      <c r="AA2336" s="14"/>
      <c r="AB2336" s="358"/>
      <c r="AC2336" s="346">
        <f ca="1">LCI_Table[[#This Row],[Default Calculated Value]]-LCI_Table[[#This Row],[Calculated Value]]</f>
        <v>0</v>
      </c>
    </row>
    <row r="2337" spans="1:29" x14ac:dyDescent="0.3">
      <c r="A23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Miscanthusi-BuOH ATJICAOMIT (GREET)(blank)_Miscanthus_i_BuOH_ATJ_Natural_gasNatural gas</v>
      </c>
      <c r="B2337" s="14" t="s">
        <v>134</v>
      </c>
      <c r="C2337" s="14" t="s">
        <v>883</v>
      </c>
      <c r="D2337" s="14" t="s">
        <v>194</v>
      </c>
      <c r="E2337" s="48" t="s">
        <v>1335</v>
      </c>
      <c r="F2337" s="48" t="s">
        <v>31</v>
      </c>
      <c r="G2337" s="14" t="b">
        <f>OR(LCI_Table[[#This Row],[Feedstock]]="All",LCI_Table[[#This Row],[Feedstock]]=SelectedFeedstock)</f>
        <v>0</v>
      </c>
      <c r="H2337" s="14" t="b">
        <f>OR(LCI_Table[[#This Row],[Conversion]]="All",LCI_Table[[#This Row],[Conversion]]=SelectedConversion)</f>
        <v>0</v>
      </c>
      <c r="I2337" s="14" t="b">
        <f>OR(LCI_Table[[#This Row],[Data Set]]="all",LCI_Table[[#This Row],[Data Set]]=SelectedDataSet)</f>
        <v>0</v>
      </c>
      <c r="J2337" s="14" t="b">
        <f>OR(LCI_Table[[#This Row],[Technology]]="All",LCI_Table[[#This Row],[Technology]]=SelectedTechnology)</f>
        <v>1</v>
      </c>
      <c r="K2337" s="14" t="b">
        <f>OR(LCI_Table[[#This Row],[Data Source]]="All",LCI_Table[[#This Row],[Data Source]]=SelectedDataSource)</f>
        <v>0</v>
      </c>
      <c r="L2337" s="14" t="b">
        <f>TRUE</f>
        <v>1</v>
      </c>
      <c r="M2337" s="14" t="b">
        <f>(LCI_Table[[#This Row],[Dev Notes]]="Do not display")</f>
        <v>0</v>
      </c>
      <c r="N2337" s="14" t="b">
        <f>AND(LCI_Table[[#This Row],[Show Feedstock]:[Conditional]],NOT(LCI_Table[[#This Row],[Hide Row]]))</f>
        <v>0</v>
      </c>
      <c r="O2337" s="14" t="b">
        <f>LCI_Table[[#This Row],[GREET1 Name Range]]=""</f>
        <v>0</v>
      </c>
      <c r="P2337" s="14" t="s">
        <v>1448</v>
      </c>
      <c r="Q2337" s="14" t="s">
        <v>1065</v>
      </c>
      <c r="R2337" s="14" t="s">
        <v>108</v>
      </c>
      <c r="S2337" s="37" cm="1">
        <f t="array" aca="1" ref="S23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158.97253306205477</v>
      </c>
      <c r="T2337" s="346" t="s">
        <v>2120</v>
      </c>
      <c r="U2337" s="347">
        <f ca="1">S2337*Fuel_Specs!$B$79/mmBTU2MJ</f>
        <v>148.115381759174</v>
      </c>
      <c r="V2337" s="347">
        <v>158.97253306205477</v>
      </c>
      <c r="W2337" s="347">
        <v>148.115381759174</v>
      </c>
      <c r="X2337" s="14" t="s">
        <v>351</v>
      </c>
      <c r="Y2337" s="346" t="s">
        <v>416</v>
      </c>
      <c r="Z2337" s="14" t="str">
        <f>IF(ISBLANK(LCI_Table[[#This Row],[Notes for user]])," ",LCI_Table[[#This Row],[Notes for user]])</f>
        <v xml:space="preserve"> </v>
      </c>
      <c r="AA2337" s="14"/>
      <c r="AB2337" s="14"/>
      <c r="AC2337" s="346">
        <f ca="1">LCI_Table[[#This Row],[Default Calculated Value]]-LCI_Table[[#This Row],[Calculated Value]]</f>
        <v>0</v>
      </c>
    </row>
    <row r="2338" spans="1:29" x14ac:dyDescent="0.3">
      <c r="A23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Miscanthusi-BuOH ATJICAOMIT (GREET)(blank)_Miscanthus_i_BuOH_ATJ_ElectricityGrid Electricity</v>
      </c>
      <c r="B2338" s="14" t="s">
        <v>134</v>
      </c>
      <c r="C2338" s="14" t="s">
        <v>883</v>
      </c>
      <c r="D2338" s="14" t="s">
        <v>194</v>
      </c>
      <c r="E2338" s="48" t="s">
        <v>1335</v>
      </c>
      <c r="F2338" s="48" t="s">
        <v>31</v>
      </c>
      <c r="G2338" s="14" t="b">
        <f>OR(LCI_Table[[#This Row],[Feedstock]]="All",LCI_Table[[#This Row],[Feedstock]]=SelectedFeedstock)</f>
        <v>0</v>
      </c>
      <c r="H2338" s="14" t="b">
        <f>OR(LCI_Table[[#This Row],[Conversion]]="All",LCI_Table[[#This Row],[Conversion]]=SelectedConversion)</f>
        <v>0</v>
      </c>
      <c r="I2338" s="14" t="b">
        <f>OR(LCI_Table[[#This Row],[Data Set]]="all",LCI_Table[[#This Row],[Data Set]]=SelectedDataSet)</f>
        <v>0</v>
      </c>
      <c r="J2338" s="14" t="b">
        <f>OR(LCI_Table[[#This Row],[Technology]]="All",LCI_Table[[#This Row],[Technology]]=SelectedTechnology)</f>
        <v>1</v>
      </c>
      <c r="K2338" s="14" t="b">
        <f>OR(LCI_Table[[#This Row],[Data Source]]="All",LCI_Table[[#This Row],[Data Source]]=SelectedDataSource)</f>
        <v>0</v>
      </c>
      <c r="L2338" s="14" t="b">
        <f>TRUE</f>
        <v>1</v>
      </c>
      <c r="M2338" s="14" t="b">
        <f>(LCI_Table[[#This Row],[Dev Notes]]="Do not display")</f>
        <v>0</v>
      </c>
      <c r="N2338" s="14" t="b">
        <f>AND(LCI_Table[[#This Row],[Show Feedstock]:[Conditional]],NOT(LCI_Table[[#This Row],[Hide Row]]))</f>
        <v>0</v>
      </c>
      <c r="O2338" s="14" t="b">
        <f>LCI_Table[[#This Row],[GREET1 Name Range]]=""</f>
        <v>0</v>
      </c>
      <c r="P2338" s="14" t="s">
        <v>1448</v>
      </c>
      <c r="Q2338" s="14" t="s">
        <v>1066</v>
      </c>
      <c r="R2338" s="14" t="s">
        <v>1684</v>
      </c>
      <c r="S2338" s="37" cm="1">
        <f t="array" aca="1" ref="S23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1.3747377725500014</v>
      </c>
      <c r="T2338" s="346" t="s">
        <v>2121</v>
      </c>
      <c r="U2338" s="347">
        <f ca="1">S2338*kWh2BTU/mmBTU2MJ</f>
        <v>4.4460205590064303</v>
      </c>
      <c r="V2338" s="347">
        <v>1.3747377725500014</v>
      </c>
      <c r="W2338" s="347">
        <v>4.4460205590064303</v>
      </c>
      <c r="X2338" s="37" t="s">
        <v>51</v>
      </c>
      <c r="Y2338" s="346" t="s">
        <v>416</v>
      </c>
      <c r="Z2338" s="14" t="str">
        <f>IF(ISBLANK(LCI_Table[[#This Row],[Notes for user]])," ",LCI_Table[[#This Row],[Notes for user]])</f>
        <v xml:space="preserve"> </v>
      </c>
      <c r="AA2338" s="14"/>
      <c r="AB2338" s="14"/>
      <c r="AC2338" s="346">
        <f ca="1">LCI_Table[[#This Row],[Default Calculated Value]]-LCI_Table[[#This Row],[Calculated Value]]</f>
        <v>0</v>
      </c>
    </row>
    <row r="2339" spans="1:29" x14ac:dyDescent="0.3">
      <c r="A23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TallowHEFAICAOMIT (GREET)(blank)_Tallow_Residual_oilResidual oil</v>
      </c>
      <c r="B2339" s="14" t="s">
        <v>874</v>
      </c>
      <c r="C2339" s="14" t="s">
        <v>30</v>
      </c>
      <c r="D2339" s="14" t="s">
        <v>194</v>
      </c>
      <c r="E2339" s="14" t="s">
        <v>1335</v>
      </c>
      <c r="F2339" s="48" t="s">
        <v>31</v>
      </c>
      <c r="G2339" s="14" t="b">
        <f>OR(LCI_Table[[#This Row],[Feedstock]]="All",LCI_Table[[#This Row],[Feedstock]]=SelectedFeedstock)</f>
        <v>0</v>
      </c>
      <c r="H2339" s="14" t="b">
        <f>OR(LCI_Table[[#This Row],[Conversion]]="All",LCI_Table[[#This Row],[Conversion]]=SelectedConversion)</f>
        <v>1</v>
      </c>
      <c r="I2339" s="14" t="b">
        <f>OR(LCI_Table[[#This Row],[Data Set]]="all",LCI_Table[[#This Row],[Data Set]]=SelectedDataSet)</f>
        <v>0</v>
      </c>
      <c r="J2339" s="14" t="b">
        <f>OR(LCI_Table[[#This Row],[Technology]]="All",LCI_Table[[#This Row],[Technology]]=SelectedTechnology)</f>
        <v>1</v>
      </c>
      <c r="K2339" s="14" t="b">
        <f>OR(LCI_Table[[#This Row],[Data Source]]="All",LCI_Table[[#This Row],[Data Source]]=SelectedDataSource)</f>
        <v>0</v>
      </c>
      <c r="L2339" s="14" t="b">
        <f>TRUE</f>
        <v>1</v>
      </c>
      <c r="M2339" s="14" t="b">
        <f>(LCI_Table[[#This Row],[Dev Notes]]="Do not display")</f>
        <v>0</v>
      </c>
      <c r="N2339" s="14" t="b">
        <f>AND(LCI_Table[[#This Row],[Show Feedstock]:[Conditional]],NOT(LCI_Table[[#This Row],[Hide Row]]))</f>
        <v>0</v>
      </c>
      <c r="O2339" s="14" t="b">
        <f>LCI_Table[[#This Row],[GREET1 Name Range]]=""</f>
        <v>0</v>
      </c>
      <c r="P2339" s="14" t="s">
        <v>887</v>
      </c>
      <c r="Q2339" s="14" t="s">
        <v>1067</v>
      </c>
      <c r="R2339" s="14" t="s">
        <v>115</v>
      </c>
      <c r="S2339" s="37" cm="1">
        <f t="array" aca="1" ref="S23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39" s="346" t="s">
        <v>2139</v>
      </c>
      <c r="U2339" s="347">
        <f ca="1">S2340*Fuel_Specs!$B$19</f>
        <v>0</v>
      </c>
      <c r="V2339" s="347">
        <v>0</v>
      </c>
      <c r="W2339" s="347">
        <v>0</v>
      </c>
      <c r="X2339" s="14" t="s">
        <v>5</v>
      </c>
      <c r="Y2339" s="346" t="s">
        <v>890</v>
      </c>
      <c r="Z2339" s="14" t="str">
        <f>IF(ISBLANK(LCI_Table[[#This Row],[Notes for user]])," ",LCI_Table[[#This Row],[Notes for user]])</f>
        <v xml:space="preserve"> </v>
      </c>
      <c r="AA2339" s="14"/>
      <c r="AB2339" s="14"/>
      <c r="AC2339" s="346">
        <f ca="1">LCI_Table[[#This Row],[Default Calculated Value]]-LCI_Table[[#This Row],[Calculated Value]]</f>
        <v>0</v>
      </c>
    </row>
    <row r="2340" spans="1:29" x14ac:dyDescent="0.3">
      <c r="A23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TallowHEFAICAOMIT (GREET)(blank)_Tallow_DieselDiesel</v>
      </c>
      <c r="B2340" s="14" t="s">
        <v>874</v>
      </c>
      <c r="C2340" s="14" t="s">
        <v>30</v>
      </c>
      <c r="D2340" s="14" t="s">
        <v>194</v>
      </c>
      <c r="E2340" s="14" t="s">
        <v>1335</v>
      </c>
      <c r="F2340" s="48" t="s">
        <v>31</v>
      </c>
      <c r="G2340" s="14" t="b">
        <f>OR(LCI_Table[[#This Row],[Feedstock]]="All",LCI_Table[[#This Row],[Feedstock]]=SelectedFeedstock)</f>
        <v>0</v>
      </c>
      <c r="H2340" s="14" t="b">
        <f>OR(LCI_Table[[#This Row],[Conversion]]="All",LCI_Table[[#This Row],[Conversion]]=SelectedConversion)</f>
        <v>1</v>
      </c>
      <c r="I2340" s="14" t="b">
        <f>OR(LCI_Table[[#This Row],[Data Set]]="all",LCI_Table[[#This Row],[Data Set]]=SelectedDataSet)</f>
        <v>0</v>
      </c>
      <c r="J2340" s="14" t="b">
        <f>OR(LCI_Table[[#This Row],[Technology]]="All",LCI_Table[[#This Row],[Technology]]=SelectedTechnology)</f>
        <v>1</v>
      </c>
      <c r="K2340" s="14" t="b">
        <f>OR(LCI_Table[[#This Row],[Data Source]]="All",LCI_Table[[#This Row],[Data Source]]=SelectedDataSource)</f>
        <v>0</v>
      </c>
      <c r="L2340" s="14" t="b">
        <f>TRUE</f>
        <v>1</v>
      </c>
      <c r="M2340" s="14" t="b">
        <f>(LCI_Table[[#This Row],[Dev Notes]]="Do not display")</f>
        <v>0</v>
      </c>
      <c r="N2340" s="14" t="b">
        <f>AND(LCI_Table[[#This Row],[Show Feedstock]:[Conditional]],NOT(LCI_Table[[#This Row],[Hide Row]]))</f>
        <v>0</v>
      </c>
      <c r="O2340" s="14" t="b">
        <f>LCI_Table[[#This Row],[GREET1 Name Range]]=""</f>
        <v>0</v>
      </c>
      <c r="P2340" s="14" t="s">
        <v>887</v>
      </c>
      <c r="Q2340" s="14" t="s">
        <v>1068</v>
      </c>
      <c r="R2340" s="14" t="s">
        <v>106</v>
      </c>
      <c r="S2340" s="37" cm="1">
        <f t="array" aca="1" ref="S23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40" s="346" t="s">
        <v>2139</v>
      </c>
      <c r="U2340" s="14"/>
      <c r="V2340" s="347">
        <v>0</v>
      </c>
      <c r="W2340" s="14"/>
      <c r="X2340" s="14" t="s">
        <v>5</v>
      </c>
      <c r="Y2340" s="346" t="s">
        <v>890</v>
      </c>
      <c r="Z2340" s="14" t="str">
        <f>IF(ISBLANK(LCI_Table[[#This Row],[Notes for user]])," ",LCI_Table[[#This Row],[Notes for user]])</f>
        <v xml:space="preserve"> </v>
      </c>
      <c r="AA2340" s="14"/>
      <c r="AB2340" s="14"/>
      <c r="AC2340" s="346">
        <f>LCI_Table[[#This Row],[Default Calculated Value]]-LCI_Table[[#This Row],[Calculated Value]]</f>
        <v>0</v>
      </c>
    </row>
    <row r="2341" spans="1:29" x14ac:dyDescent="0.3">
      <c r="A23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TallowHEFAICAOMIT (GREET)(blank)_Tallow_GasolineGasoline</v>
      </c>
      <c r="B2341" s="14" t="s">
        <v>874</v>
      </c>
      <c r="C2341" s="14" t="s">
        <v>30</v>
      </c>
      <c r="D2341" s="14" t="s">
        <v>194</v>
      </c>
      <c r="E2341" s="14" t="s">
        <v>1335</v>
      </c>
      <c r="F2341" s="48" t="s">
        <v>31</v>
      </c>
      <c r="G2341" s="14" t="b">
        <f>OR(LCI_Table[[#This Row],[Feedstock]]="All",LCI_Table[[#This Row],[Feedstock]]=SelectedFeedstock)</f>
        <v>0</v>
      </c>
      <c r="H2341" s="14" t="b">
        <f>OR(LCI_Table[[#This Row],[Conversion]]="All",LCI_Table[[#This Row],[Conversion]]=SelectedConversion)</f>
        <v>1</v>
      </c>
      <c r="I2341" s="14" t="b">
        <f>OR(LCI_Table[[#This Row],[Data Set]]="all",LCI_Table[[#This Row],[Data Set]]=SelectedDataSet)</f>
        <v>0</v>
      </c>
      <c r="J2341" s="14" t="b">
        <f>OR(LCI_Table[[#This Row],[Technology]]="All",LCI_Table[[#This Row],[Technology]]=SelectedTechnology)</f>
        <v>1</v>
      </c>
      <c r="K2341" s="14" t="b">
        <f>OR(LCI_Table[[#This Row],[Data Source]]="All",LCI_Table[[#This Row],[Data Source]]=SelectedDataSource)</f>
        <v>0</v>
      </c>
      <c r="L2341" s="14" t="b">
        <f>TRUE</f>
        <v>1</v>
      </c>
      <c r="M2341" s="14" t="b">
        <f>(LCI_Table[[#This Row],[Dev Notes]]="Do not display")</f>
        <v>0</v>
      </c>
      <c r="N2341" s="14" t="b">
        <f>AND(LCI_Table[[#This Row],[Show Feedstock]:[Conditional]],NOT(LCI_Table[[#This Row],[Hide Row]]))</f>
        <v>0</v>
      </c>
      <c r="O2341" s="14" t="b">
        <f>LCI_Table[[#This Row],[GREET1 Name Range]]=""</f>
        <v>0</v>
      </c>
      <c r="P2341" s="14" t="s">
        <v>887</v>
      </c>
      <c r="Q2341" s="14" t="s">
        <v>1069</v>
      </c>
      <c r="R2341" s="14" t="s">
        <v>107</v>
      </c>
      <c r="S2341" s="37" cm="1">
        <f t="array" aca="1" ref="S23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41" s="346" t="s">
        <v>2139</v>
      </c>
      <c r="U2341" s="347">
        <f ca="1">S2341*Fuel_Specs!$B$15</f>
        <v>0</v>
      </c>
      <c r="V2341" s="347">
        <v>0</v>
      </c>
      <c r="W2341" s="347">
        <v>0</v>
      </c>
      <c r="X2341" s="14" t="s">
        <v>5</v>
      </c>
      <c r="Y2341" s="346" t="s">
        <v>890</v>
      </c>
      <c r="Z2341" s="14" t="str">
        <f>IF(ISBLANK(LCI_Table[[#This Row],[Notes for user]])," ",LCI_Table[[#This Row],[Notes for user]])</f>
        <v xml:space="preserve"> </v>
      </c>
      <c r="AA2341" s="14"/>
      <c r="AB2341" s="14"/>
      <c r="AC2341" s="346">
        <f ca="1">LCI_Table[[#This Row],[Default Calculated Value]]-LCI_Table[[#This Row],[Calculated Value]]</f>
        <v>0</v>
      </c>
    </row>
    <row r="2342" spans="1:29" x14ac:dyDescent="0.3">
      <c r="A23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TallowHEFAICAOMIT (GREET)(blank)_Tallow_Natural_gasNatural gas</v>
      </c>
      <c r="B2342" s="14" t="s">
        <v>874</v>
      </c>
      <c r="C2342" s="14" t="s">
        <v>30</v>
      </c>
      <c r="D2342" s="14" t="s">
        <v>194</v>
      </c>
      <c r="E2342" s="14" t="s">
        <v>1335</v>
      </c>
      <c r="F2342" s="48" t="s">
        <v>31</v>
      </c>
      <c r="G2342" s="14" t="b">
        <f>OR(LCI_Table[[#This Row],[Feedstock]]="All",LCI_Table[[#This Row],[Feedstock]]=SelectedFeedstock)</f>
        <v>0</v>
      </c>
      <c r="H2342" s="14" t="b">
        <f>OR(LCI_Table[[#This Row],[Conversion]]="All",LCI_Table[[#This Row],[Conversion]]=SelectedConversion)</f>
        <v>1</v>
      </c>
      <c r="I2342" s="14" t="b">
        <f>OR(LCI_Table[[#This Row],[Data Set]]="all",LCI_Table[[#This Row],[Data Set]]=SelectedDataSet)</f>
        <v>0</v>
      </c>
      <c r="J2342" s="14" t="b">
        <f>OR(LCI_Table[[#This Row],[Technology]]="All",LCI_Table[[#This Row],[Technology]]=SelectedTechnology)</f>
        <v>1</v>
      </c>
      <c r="K2342" s="14" t="b">
        <f>OR(LCI_Table[[#This Row],[Data Source]]="All",LCI_Table[[#This Row],[Data Source]]=SelectedDataSource)</f>
        <v>0</v>
      </c>
      <c r="L2342" s="14" t="b">
        <f>TRUE</f>
        <v>1</v>
      </c>
      <c r="M2342" s="14" t="b">
        <f>(LCI_Table[[#This Row],[Dev Notes]]="Do not display")</f>
        <v>0</v>
      </c>
      <c r="N2342" s="14" t="b">
        <f>AND(LCI_Table[[#This Row],[Show Feedstock]:[Conditional]],NOT(LCI_Table[[#This Row],[Hide Row]]))</f>
        <v>0</v>
      </c>
      <c r="O2342" s="14" t="b">
        <f>LCI_Table[[#This Row],[GREET1 Name Range]]=""</f>
        <v>0</v>
      </c>
      <c r="P2342" s="14" t="s">
        <v>887</v>
      </c>
      <c r="Q2342" s="14" t="s">
        <v>1070</v>
      </c>
      <c r="R2342" s="14" t="s">
        <v>108</v>
      </c>
      <c r="S2342" s="37" cm="1">
        <f t="array" aca="1" ref="S23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3.6694310679814413</v>
      </c>
      <c r="T2342" s="346" t="s">
        <v>2140</v>
      </c>
      <c r="U2342" s="347">
        <f ca="1">S2342*Fuel_Specs!$B$79</f>
        <v>3607.0507398257569</v>
      </c>
      <c r="V2342" s="347">
        <v>3.6694310679814413</v>
      </c>
      <c r="W2342" s="347">
        <v>3607.0507398257569</v>
      </c>
      <c r="X2342" s="14" t="s">
        <v>351</v>
      </c>
      <c r="Y2342" s="346" t="s">
        <v>890</v>
      </c>
      <c r="Z2342" s="14" t="str">
        <f>IF(ISBLANK(LCI_Table[[#This Row],[Notes for user]])," ",LCI_Table[[#This Row],[Notes for user]])</f>
        <v xml:space="preserve"> </v>
      </c>
      <c r="AA2342" s="14"/>
      <c r="AB2342" s="14"/>
      <c r="AC2342" s="346">
        <f ca="1">LCI_Table[[#This Row],[Default Calculated Value]]-LCI_Table[[#This Row],[Calculated Value]]</f>
        <v>0</v>
      </c>
    </row>
    <row r="2343" spans="1:29" x14ac:dyDescent="0.3">
      <c r="A23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TallowHEFAICAOMIT (GREET)(blank)_Tallow_CoalCoal</v>
      </c>
      <c r="B2343" s="14" t="s">
        <v>874</v>
      </c>
      <c r="C2343" s="14" t="s">
        <v>30</v>
      </c>
      <c r="D2343" s="14" t="s">
        <v>194</v>
      </c>
      <c r="E2343" s="14" t="s">
        <v>1335</v>
      </c>
      <c r="F2343" s="48" t="s">
        <v>31</v>
      </c>
      <c r="G2343" s="14" t="b">
        <f>OR(LCI_Table[[#This Row],[Feedstock]]="All",LCI_Table[[#This Row],[Feedstock]]=SelectedFeedstock)</f>
        <v>0</v>
      </c>
      <c r="H2343" s="14" t="b">
        <f>OR(LCI_Table[[#This Row],[Conversion]]="All",LCI_Table[[#This Row],[Conversion]]=SelectedConversion)</f>
        <v>1</v>
      </c>
      <c r="I2343" s="14" t="b">
        <f>OR(LCI_Table[[#This Row],[Data Set]]="all",LCI_Table[[#This Row],[Data Set]]=SelectedDataSet)</f>
        <v>0</v>
      </c>
      <c r="J2343" s="14" t="b">
        <f>OR(LCI_Table[[#This Row],[Technology]]="All",LCI_Table[[#This Row],[Technology]]=SelectedTechnology)</f>
        <v>1</v>
      </c>
      <c r="K2343" s="14" t="b">
        <f>OR(LCI_Table[[#This Row],[Data Source]]="All",LCI_Table[[#This Row],[Data Source]]=SelectedDataSource)</f>
        <v>0</v>
      </c>
      <c r="L2343" s="14" t="b">
        <f>TRUE</f>
        <v>1</v>
      </c>
      <c r="M2343" s="14" t="b">
        <f>(LCI_Table[[#This Row],[Dev Notes]]="Do not display")</f>
        <v>0</v>
      </c>
      <c r="N2343" s="14" t="b">
        <f>AND(LCI_Table[[#This Row],[Show Feedstock]:[Conditional]],NOT(LCI_Table[[#This Row],[Hide Row]]))</f>
        <v>0</v>
      </c>
      <c r="O2343" s="14" t="b">
        <f>LCI_Table[[#This Row],[GREET1 Name Range]]=""</f>
        <v>0</v>
      </c>
      <c r="P2343" s="14" t="s">
        <v>887</v>
      </c>
      <c r="Q2343" s="14" t="s">
        <v>1071</v>
      </c>
      <c r="R2343" s="14" t="s">
        <v>9</v>
      </c>
      <c r="S2343" s="37" cm="1">
        <f t="array" aca="1" ref="S23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43" s="346" t="s">
        <v>2141</v>
      </c>
      <c r="U2343" s="347">
        <f ca="1">S2343</f>
        <v>0</v>
      </c>
      <c r="V2343" s="347">
        <v>0</v>
      </c>
      <c r="W2343" s="347">
        <v>0</v>
      </c>
      <c r="X2343" s="14" t="s">
        <v>117</v>
      </c>
      <c r="Y2343" s="346" t="s">
        <v>890</v>
      </c>
      <c r="Z2343" s="14" t="str">
        <f>IF(ISBLANK(LCI_Table[[#This Row],[Notes for user]])," ",LCI_Table[[#This Row],[Notes for user]])</f>
        <v xml:space="preserve"> </v>
      </c>
      <c r="AA2343" s="14"/>
      <c r="AB2343" s="14"/>
      <c r="AC2343" s="346">
        <f ca="1">LCI_Table[[#This Row],[Default Calculated Value]]-LCI_Table[[#This Row],[Calculated Value]]</f>
        <v>0</v>
      </c>
    </row>
    <row r="2344" spans="1:29" x14ac:dyDescent="0.3">
      <c r="A23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TallowHEFAICAOMIT (GREET)(blank)_Tallow_LPGLPG</v>
      </c>
      <c r="B2344" s="14" t="s">
        <v>874</v>
      </c>
      <c r="C2344" s="14" t="s">
        <v>30</v>
      </c>
      <c r="D2344" s="14" t="s">
        <v>194</v>
      </c>
      <c r="E2344" s="14" t="s">
        <v>1335</v>
      </c>
      <c r="F2344" s="48" t="s">
        <v>31</v>
      </c>
      <c r="G2344" s="14" t="b">
        <f>OR(LCI_Table[[#This Row],[Feedstock]]="All",LCI_Table[[#This Row],[Feedstock]]=SelectedFeedstock)</f>
        <v>0</v>
      </c>
      <c r="H2344" s="14" t="b">
        <f>OR(LCI_Table[[#This Row],[Conversion]]="All",LCI_Table[[#This Row],[Conversion]]=SelectedConversion)</f>
        <v>1</v>
      </c>
      <c r="I2344" s="14" t="b">
        <f>OR(LCI_Table[[#This Row],[Data Set]]="all",LCI_Table[[#This Row],[Data Set]]=SelectedDataSet)</f>
        <v>0</v>
      </c>
      <c r="J2344" s="14" t="b">
        <f>OR(LCI_Table[[#This Row],[Technology]]="All",LCI_Table[[#This Row],[Technology]]=SelectedTechnology)</f>
        <v>1</v>
      </c>
      <c r="K2344" s="14" t="b">
        <f>OR(LCI_Table[[#This Row],[Data Source]]="All",LCI_Table[[#This Row],[Data Source]]=SelectedDataSource)</f>
        <v>0</v>
      </c>
      <c r="L2344" s="14" t="b">
        <f>TRUE</f>
        <v>1</v>
      </c>
      <c r="M2344" s="14" t="b">
        <f>(LCI_Table[[#This Row],[Dev Notes]]="Do not display")</f>
        <v>0</v>
      </c>
      <c r="N2344" s="14" t="b">
        <f>AND(LCI_Table[[#This Row],[Show Feedstock]:[Conditional]],NOT(LCI_Table[[#This Row],[Hide Row]]))</f>
        <v>0</v>
      </c>
      <c r="O2344" s="14" t="b">
        <f>LCI_Table[[#This Row],[GREET1 Name Range]]=""</f>
        <v>0</v>
      </c>
      <c r="P2344" s="14" t="s">
        <v>887</v>
      </c>
      <c r="Q2344" s="14" t="s">
        <v>1072</v>
      </c>
      <c r="R2344" s="14" t="s">
        <v>109</v>
      </c>
      <c r="S2344" s="37" cm="1">
        <f t="array" aca="1" ref="S23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44" s="346" t="s">
        <v>2139</v>
      </c>
      <c r="U2344" s="347">
        <f ca="1">S2344*Fuel_Specs!$B$35</f>
        <v>0</v>
      </c>
      <c r="V2344" s="347">
        <v>0</v>
      </c>
      <c r="W2344" s="347">
        <v>0</v>
      </c>
      <c r="X2344" s="14" t="s">
        <v>5</v>
      </c>
      <c r="Y2344" s="346" t="s">
        <v>890</v>
      </c>
      <c r="Z2344" s="14" t="str">
        <f>IF(ISBLANK(LCI_Table[[#This Row],[Notes for user]])," ",LCI_Table[[#This Row],[Notes for user]])</f>
        <v xml:space="preserve"> </v>
      </c>
      <c r="AA2344" s="14"/>
      <c r="AB2344" s="14"/>
      <c r="AC2344" s="346">
        <f ca="1">LCI_Table[[#This Row],[Default Calculated Value]]-LCI_Table[[#This Row],[Calculated Value]]</f>
        <v>0</v>
      </c>
    </row>
    <row r="2345" spans="1:29" x14ac:dyDescent="0.3">
      <c r="A23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TallowHEFAICAOMIT (GREET)(blank)_Tallow_ElectricityElectricity</v>
      </c>
      <c r="B2345" s="14" t="s">
        <v>874</v>
      </c>
      <c r="C2345" s="14" t="s">
        <v>30</v>
      </c>
      <c r="D2345" s="14" t="s">
        <v>194</v>
      </c>
      <c r="E2345" s="14" t="s">
        <v>1335</v>
      </c>
      <c r="F2345" s="48" t="s">
        <v>31</v>
      </c>
      <c r="G2345" s="14" t="b">
        <f>OR(LCI_Table[[#This Row],[Feedstock]]="All",LCI_Table[[#This Row],[Feedstock]]=SelectedFeedstock)</f>
        <v>0</v>
      </c>
      <c r="H2345" s="14" t="b">
        <f>OR(LCI_Table[[#This Row],[Conversion]]="All",LCI_Table[[#This Row],[Conversion]]=SelectedConversion)</f>
        <v>1</v>
      </c>
      <c r="I2345" s="14" t="b">
        <f>OR(LCI_Table[[#This Row],[Data Set]]="all",LCI_Table[[#This Row],[Data Set]]=SelectedDataSet)</f>
        <v>0</v>
      </c>
      <c r="J2345" s="14" t="b">
        <f>OR(LCI_Table[[#This Row],[Technology]]="All",LCI_Table[[#This Row],[Technology]]=SelectedTechnology)</f>
        <v>1</v>
      </c>
      <c r="K2345" s="14" t="b">
        <f>OR(LCI_Table[[#This Row],[Data Source]]="All",LCI_Table[[#This Row],[Data Source]]=SelectedDataSource)</f>
        <v>0</v>
      </c>
      <c r="L2345" s="14" t="b">
        <f>TRUE</f>
        <v>1</v>
      </c>
      <c r="M2345" s="14" t="b">
        <f>(LCI_Table[[#This Row],[Dev Notes]]="Do not display")</f>
        <v>0</v>
      </c>
      <c r="N2345" s="14" t="b">
        <f>AND(LCI_Table[[#This Row],[Show Feedstock]:[Conditional]],NOT(LCI_Table[[#This Row],[Hide Row]]))</f>
        <v>0</v>
      </c>
      <c r="O2345" s="14" t="b">
        <f>LCI_Table[[#This Row],[GREET1 Name Range]]=""</f>
        <v>0</v>
      </c>
      <c r="P2345" s="14" t="s">
        <v>887</v>
      </c>
      <c r="Q2345" s="14" t="s">
        <v>1073</v>
      </c>
      <c r="R2345" s="14" t="s">
        <v>110</v>
      </c>
      <c r="S2345" s="37" cm="1">
        <f t="array" aca="1" ref="S23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7.9378664749999855E-2</v>
      </c>
      <c r="T2345" s="346" t="s">
        <v>2142</v>
      </c>
      <c r="U2345" s="347">
        <f ca="1">S2345/BTU2kWh</f>
        <v>270.85124744817961</v>
      </c>
      <c r="V2345" s="373">
        <v>7.9378664749999855E-2</v>
      </c>
      <c r="W2345" s="347">
        <v>270.85124744817961</v>
      </c>
      <c r="X2345" s="14" t="s">
        <v>51</v>
      </c>
      <c r="Y2345" s="346" t="s">
        <v>890</v>
      </c>
      <c r="Z2345" s="14" t="str">
        <f>IF(ISBLANK(LCI_Table[[#This Row],[Notes for user]])," ",LCI_Table[[#This Row],[Notes for user]])</f>
        <v xml:space="preserve"> </v>
      </c>
      <c r="AA2345" s="14"/>
      <c r="AB2345" s="14"/>
      <c r="AC2345" s="346">
        <f ca="1">LCI_Table[[#This Row],[Default Calculated Value]]-LCI_Table[[#This Row],[Calculated Value]]</f>
        <v>0</v>
      </c>
    </row>
    <row r="2346" spans="1:29" x14ac:dyDescent="0.3">
      <c r="A23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TallowHEFAICAOMIT (GREET)(blank)_Tallow_N_hexaneN-hexane</v>
      </c>
      <c r="B2346" s="14" t="s">
        <v>874</v>
      </c>
      <c r="C2346" s="14" t="s">
        <v>30</v>
      </c>
      <c r="D2346" s="14" t="s">
        <v>194</v>
      </c>
      <c r="E2346" s="14" t="s">
        <v>1335</v>
      </c>
      <c r="F2346" s="48" t="s">
        <v>31</v>
      </c>
      <c r="G2346" s="14" t="b">
        <f>OR(LCI_Table[[#This Row],[Feedstock]]="All",LCI_Table[[#This Row],[Feedstock]]=SelectedFeedstock)</f>
        <v>0</v>
      </c>
      <c r="H2346" s="14" t="b">
        <f>OR(LCI_Table[[#This Row],[Conversion]]="All",LCI_Table[[#This Row],[Conversion]]=SelectedConversion)</f>
        <v>1</v>
      </c>
      <c r="I2346" s="14" t="b">
        <f>OR(LCI_Table[[#This Row],[Data Set]]="all",LCI_Table[[#This Row],[Data Set]]=SelectedDataSet)</f>
        <v>0</v>
      </c>
      <c r="J2346" s="14" t="b">
        <f>OR(LCI_Table[[#This Row],[Technology]]="All",LCI_Table[[#This Row],[Technology]]=SelectedTechnology)</f>
        <v>1</v>
      </c>
      <c r="K2346" s="14" t="b">
        <f>OR(LCI_Table[[#This Row],[Data Source]]="All",LCI_Table[[#This Row],[Data Source]]=SelectedDataSource)</f>
        <v>0</v>
      </c>
      <c r="L2346" s="14" t="b">
        <f>TRUE</f>
        <v>1</v>
      </c>
      <c r="M2346" s="14" t="b">
        <f>(LCI_Table[[#This Row],[Dev Notes]]="Do not display")</f>
        <v>0</v>
      </c>
      <c r="N2346" s="14" t="b">
        <f>AND(LCI_Table[[#This Row],[Show Feedstock]:[Conditional]],NOT(LCI_Table[[#This Row],[Hide Row]]))</f>
        <v>0</v>
      </c>
      <c r="O2346" s="14" t="b">
        <f>LCI_Table[[#This Row],[GREET1 Name Range]]=""</f>
        <v>0</v>
      </c>
      <c r="P2346" s="14" t="s">
        <v>887</v>
      </c>
      <c r="Q2346" s="14" t="s">
        <v>1074</v>
      </c>
      <c r="R2346" s="14" t="s">
        <v>116</v>
      </c>
      <c r="S2346" s="37" cm="1">
        <f t="array" aca="1" ref="S23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46" s="346" t="s">
        <v>2139</v>
      </c>
      <c r="U2346" s="347">
        <f ca="1">S2346*Fuel_Specs!$B$58</f>
        <v>0</v>
      </c>
      <c r="V2346" s="347">
        <v>0</v>
      </c>
      <c r="W2346" s="347">
        <v>0</v>
      </c>
      <c r="X2346" s="37" t="s">
        <v>5</v>
      </c>
      <c r="Y2346" s="346" t="s">
        <v>890</v>
      </c>
      <c r="Z2346" s="14" t="str">
        <f>IF(ISBLANK(LCI_Table[[#This Row],[Notes for user]])," ",LCI_Table[[#This Row],[Notes for user]])</f>
        <v xml:space="preserve"> </v>
      </c>
      <c r="AA2346" s="14"/>
      <c r="AB2346" s="14"/>
      <c r="AC2346" s="346">
        <f ca="1">LCI_Table[[#This Row],[Default Calculated Value]]-LCI_Table[[#This Row],[Calculated Value]]</f>
        <v>0</v>
      </c>
    </row>
    <row r="2347" spans="1:29" x14ac:dyDescent="0.3">
      <c r="A23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TallowHEFAICAOMIT (GREET)(blank)_Tallow_MethanolMethanol</v>
      </c>
      <c r="B2347" s="14" t="s">
        <v>874</v>
      </c>
      <c r="C2347" s="14" t="s">
        <v>30</v>
      </c>
      <c r="D2347" s="14" t="s">
        <v>194</v>
      </c>
      <c r="E2347" s="14" t="s">
        <v>1335</v>
      </c>
      <c r="F2347" s="48" t="s">
        <v>31</v>
      </c>
      <c r="G2347" s="14" t="b">
        <f>OR(LCI_Table[[#This Row],[Feedstock]]="All",LCI_Table[[#This Row],[Feedstock]]=SelectedFeedstock)</f>
        <v>0</v>
      </c>
      <c r="H2347" s="14" t="b">
        <f>OR(LCI_Table[[#This Row],[Conversion]]="All",LCI_Table[[#This Row],[Conversion]]=SelectedConversion)</f>
        <v>1</v>
      </c>
      <c r="I2347" s="14" t="b">
        <f>OR(LCI_Table[[#This Row],[Data Set]]="all",LCI_Table[[#This Row],[Data Set]]=SelectedDataSet)</f>
        <v>0</v>
      </c>
      <c r="J2347" s="14" t="b">
        <f>OR(LCI_Table[[#This Row],[Technology]]="All",LCI_Table[[#This Row],[Technology]]=SelectedTechnology)</f>
        <v>1</v>
      </c>
      <c r="K2347" s="14" t="b">
        <f>OR(LCI_Table[[#This Row],[Data Source]]="All",LCI_Table[[#This Row],[Data Source]]=SelectedDataSource)</f>
        <v>0</v>
      </c>
      <c r="L2347" s="14" t="b">
        <f>TRUE</f>
        <v>1</v>
      </c>
      <c r="M2347" s="14" t="b">
        <f>(LCI_Table[[#This Row],[Dev Notes]]="Do not display")</f>
        <v>0</v>
      </c>
      <c r="N2347" s="14" t="b">
        <f>AND(LCI_Table[[#This Row],[Show Feedstock]:[Conditional]],NOT(LCI_Table[[#This Row],[Hide Row]]))</f>
        <v>0</v>
      </c>
      <c r="O2347" s="14" t="b">
        <f>LCI_Table[[#This Row],[GREET1 Name Range]]=""</f>
        <v>0</v>
      </c>
      <c r="P2347" s="14" t="s">
        <v>887</v>
      </c>
      <c r="Q2347" s="14" t="s">
        <v>1075</v>
      </c>
      <c r="R2347" s="14" t="s">
        <v>250</v>
      </c>
      <c r="S2347" s="37" cm="1">
        <f t="array" aca="1" ref="S23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47" s="346" t="s">
        <v>2139</v>
      </c>
      <c r="U2347" s="347">
        <f ca="1">S2347*Fuel_Specs!$B$30</f>
        <v>0</v>
      </c>
      <c r="V2347" s="347">
        <v>0</v>
      </c>
      <c r="W2347" s="347">
        <v>0</v>
      </c>
      <c r="X2347" s="37" t="s">
        <v>5</v>
      </c>
      <c r="Y2347" s="346" t="s">
        <v>890</v>
      </c>
      <c r="Z2347" s="14" t="str">
        <f>IF(ISBLANK(LCI_Table[[#This Row],[Notes for user]])," ",LCI_Table[[#This Row],[Notes for user]])</f>
        <v xml:space="preserve"> </v>
      </c>
      <c r="AA2347" s="14"/>
      <c r="AB2347" s="14"/>
      <c r="AC2347" s="346">
        <f ca="1">LCI_Table[[#This Row],[Default Calculated Value]]-LCI_Table[[#This Row],[Calculated Value]]</f>
        <v>0</v>
      </c>
    </row>
    <row r="2348" spans="1:29" x14ac:dyDescent="0.3">
      <c r="A23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TallowHEFAICAOMIT (GREET)(blank)_Tallow_HydrogenHydrogen</v>
      </c>
      <c r="B2348" s="14" t="s">
        <v>874</v>
      </c>
      <c r="C2348" s="14" t="s">
        <v>30</v>
      </c>
      <c r="D2348" s="14" t="s">
        <v>194</v>
      </c>
      <c r="E2348" s="14" t="s">
        <v>1335</v>
      </c>
      <c r="F2348" s="48" t="s">
        <v>31</v>
      </c>
      <c r="G2348" s="14" t="b">
        <f>OR(LCI_Table[[#This Row],[Feedstock]]="All",LCI_Table[[#This Row],[Feedstock]]=SelectedFeedstock)</f>
        <v>0</v>
      </c>
      <c r="H2348" s="14" t="b">
        <f>OR(LCI_Table[[#This Row],[Conversion]]="All",LCI_Table[[#This Row],[Conversion]]=SelectedConversion)</f>
        <v>1</v>
      </c>
      <c r="I2348" s="14" t="b">
        <f>OR(LCI_Table[[#This Row],[Data Set]]="all",LCI_Table[[#This Row],[Data Set]]=SelectedDataSet)</f>
        <v>0</v>
      </c>
      <c r="J2348" s="14" t="b">
        <f>OR(LCI_Table[[#This Row],[Technology]]="All",LCI_Table[[#This Row],[Technology]]=SelectedTechnology)</f>
        <v>1</v>
      </c>
      <c r="K2348" s="14" t="b">
        <f>OR(LCI_Table[[#This Row],[Data Source]]="All",LCI_Table[[#This Row],[Data Source]]=SelectedDataSource)</f>
        <v>0</v>
      </c>
      <c r="L2348" s="14" t="b">
        <f>TRUE</f>
        <v>1</v>
      </c>
      <c r="M2348" s="14" t="b">
        <f>(LCI_Table[[#This Row],[Dev Notes]]="Do not display")</f>
        <v>0</v>
      </c>
      <c r="N2348" s="14" t="b">
        <f>AND(LCI_Table[[#This Row],[Show Feedstock]:[Conditional]],NOT(LCI_Table[[#This Row],[Hide Row]]))</f>
        <v>0</v>
      </c>
      <c r="O2348" s="14" t="b">
        <f>LCI_Table[[#This Row],[GREET1 Name Range]]=""</f>
        <v>0</v>
      </c>
      <c r="P2348" s="14" t="s">
        <v>887</v>
      </c>
      <c r="Q2348" s="14" t="s">
        <v>1076</v>
      </c>
      <c r="R2348" s="14" t="s">
        <v>73</v>
      </c>
      <c r="S2348" s="37" cm="1">
        <f t="array" aca="1" ref="S23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48" s="346" t="s">
        <v>2140</v>
      </c>
      <c r="U2348" s="347">
        <f ca="1">S2348*Fuel_Specs!$B$81</f>
        <v>0</v>
      </c>
      <c r="V2348" s="347">
        <v>0</v>
      </c>
      <c r="W2348" s="347">
        <v>0</v>
      </c>
      <c r="X2348" s="37" t="s">
        <v>351</v>
      </c>
      <c r="Y2348" s="346" t="s">
        <v>890</v>
      </c>
      <c r="Z2348" s="14" t="str">
        <f>IF(ISBLANK(LCI_Table[[#This Row],[Notes for user]])," ",LCI_Table[[#This Row],[Notes for user]])</f>
        <v xml:space="preserve"> </v>
      </c>
      <c r="AA2348" s="14"/>
      <c r="AB2348" s="14"/>
      <c r="AC2348" s="346">
        <f ca="1">LCI_Table[[#This Row],[Default Calculated Value]]-LCI_Table[[#This Row],[Calculated Value]]</f>
        <v>0</v>
      </c>
    </row>
    <row r="2349" spans="1:29" x14ac:dyDescent="0.3">
      <c r="A23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TallowHEFAICAOMIT (GREET)(blank)_HEFA_feed_usageAnimal waste</v>
      </c>
      <c r="B2349" s="14" t="s">
        <v>874</v>
      </c>
      <c r="C2349" s="14" t="s">
        <v>30</v>
      </c>
      <c r="D2349" s="14" t="s">
        <v>194</v>
      </c>
      <c r="E2349" s="14" t="s">
        <v>1335</v>
      </c>
      <c r="F2349" s="48" t="s">
        <v>31</v>
      </c>
      <c r="G2349" s="14" t="b">
        <f>OR(LCI_Table[[#This Row],[Feedstock]]="All",LCI_Table[[#This Row],[Feedstock]]=SelectedFeedstock)</f>
        <v>0</v>
      </c>
      <c r="H2349" s="14" t="b">
        <f>OR(LCI_Table[[#This Row],[Conversion]]="All",LCI_Table[[#This Row],[Conversion]]=SelectedConversion)</f>
        <v>1</v>
      </c>
      <c r="I2349" s="14" t="b">
        <f>OR(LCI_Table[[#This Row],[Data Set]]="all",LCI_Table[[#This Row],[Data Set]]=SelectedDataSet)</f>
        <v>0</v>
      </c>
      <c r="J2349" s="14" t="b">
        <f>OR(LCI_Table[[#This Row],[Technology]]="All",LCI_Table[[#This Row],[Technology]]=SelectedTechnology)</f>
        <v>1</v>
      </c>
      <c r="K2349" s="14" t="b">
        <f>OR(LCI_Table[[#This Row],[Data Source]]="All",LCI_Table[[#This Row],[Data Source]]=SelectedDataSource)</f>
        <v>0</v>
      </c>
      <c r="L2349" s="14" t="b">
        <f>TRUE</f>
        <v>1</v>
      </c>
      <c r="M2349" s="14" t="b">
        <f>(LCI_Table[[#This Row],[Dev Notes]]="Do not display")</f>
        <v>0</v>
      </c>
      <c r="N2349" s="14" t="b">
        <f>AND(LCI_Table[[#This Row],[Show Feedstock]:[Conditional]],NOT(LCI_Table[[#This Row],[Hide Row]]))</f>
        <v>0</v>
      </c>
      <c r="O2349" s="14" t="b">
        <f>LCI_Table[[#This Row],[GREET1 Name Range]]=""</f>
        <v>0</v>
      </c>
      <c r="P2349" s="14" t="s">
        <v>1448</v>
      </c>
      <c r="Q2349" s="14" t="s">
        <v>933</v>
      </c>
      <c r="R2349" s="14" t="s">
        <v>888</v>
      </c>
      <c r="S2349" s="37" cm="1">
        <f t="array" aca="1" ref="S23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66.984580332524672</v>
      </c>
      <c r="T2349" s="346" t="s">
        <v>2119</v>
      </c>
      <c r="U2349" s="347">
        <f ca="1">S2349*lb2g/Fuel_Specs!$E$48*Fuel_Specs!$B$48*BTU2mmBTU/Allocations!$O$180</f>
        <v>1.27</v>
      </c>
      <c r="V2349" s="347">
        <v>66.984580332524672</v>
      </c>
      <c r="W2349" s="347">
        <v>1.27</v>
      </c>
      <c r="X2349" s="14" t="s">
        <v>12</v>
      </c>
      <c r="Y2349" s="346" t="s">
        <v>416</v>
      </c>
      <c r="Z2349" s="14" t="str">
        <f>IF(ISBLANK(LCI_Table[[#This Row],[Notes for user]])," ",LCI_Table[[#This Row],[Notes for user]])</f>
        <v xml:space="preserve">Used the GREET default value as the CORSIA supporting document does not present the yield information. </v>
      </c>
      <c r="AA2349" s="14" t="s">
        <v>1339</v>
      </c>
      <c r="AB2349" s="14"/>
      <c r="AC2349" s="346">
        <f ca="1">LCI_Table[[#This Row],[Default Calculated Value]]-LCI_Table[[#This Row],[Calculated Value]]</f>
        <v>0</v>
      </c>
    </row>
    <row r="2350" spans="1:29" x14ac:dyDescent="0.3">
      <c r="A23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TallowHEFAICAOMIT (GREET)(blank)_Tallow_HEFA_Natural_gasNatural gas</v>
      </c>
      <c r="B2350" s="14" t="s">
        <v>874</v>
      </c>
      <c r="C2350" s="14" t="s">
        <v>30</v>
      </c>
      <c r="D2350" s="14" t="s">
        <v>194</v>
      </c>
      <c r="E2350" s="14" t="s">
        <v>1335</v>
      </c>
      <c r="F2350" s="48" t="s">
        <v>31</v>
      </c>
      <c r="G2350" s="14" t="b">
        <f>OR(LCI_Table[[#This Row],[Feedstock]]="All",LCI_Table[[#This Row],[Feedstock]]=SelectedFeedstock)</f>
        <v>0</v>
      </c>
      <c r="H2350" s="14" t="b">
        <f>OR(LCI_Table[[#This Row],[Conversion]]="All",LCI_Table[[#This Row],[Conversion]]=SelectedConversion)</f>
        <v>1</v>
      </c>
      <c r="I2350" s="14" t="b">
        <f>OR(LCI_Table[[#This Row],[Data Set]]="all",LCI_Table[[#This Row],[Data Set]]=SelectedDataSet)</f>
        <v>0</v>
      </c>
      <c r="J2350" s="14" t="b">
        <f>OR(LCI_Table[[#This Row],[Technology]]="All",LCI_Table[[#This Row],[Technology]]=SelectedTechnology)</f>
        <v>1</v>
      </c>
      <c r="K2350" s="14" t="b">
        <f>OR(LCI_Table[[#This Row],[Data Source]]="All",LCI_Table[[#This Row],[Data Source]]=SelectedDataSource)</f>
        <v>0</v>
      </c>
      <c r="L2350" s="14" t="b">
        <f>TRUE</f>
        <v>1</v>
      </c>
      <c r="M2350" s="14" t="b">
        <f>(LCI_Table[[#This Row],[Dev Notes]]="Do not display")</f>
        <v>0</v>
      </c>
      <c r="N2350" s="14" t="b">
        <f>AND(LCI_Table[[#This Row],[Show Feedstock]:[Conditional]],NOT(LCI_Table[[#This Row],[Hide Row]]))</f>
        <v>0</v>
      </c>
      <c r="O2350" s="14" t="b">
        <f>LCI_Table[[#This Row],[GREET1 Name Range]]=""</f>
        <v>0</v>
      </c>
      <c r="P2350" s="14" t="s">
        <v>1448</v>
      </c>
      <c r="Q2350" s="14" t="s">
        <v>1077</v>
      </c>
      <c r="R2350" s="14" t="s">
        <v>108</v>
      </c>
      <c r="S2350" s="37" cm="1">
        <f t="array" aca="1" ref="S23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142.96556194536109</v>
      </c>
      <c r="T2350" s="346" t="s">
        <v>2120</v>
      </c>
      <c r="U2350" s="347">
        <f ca="1">S2350*Fuel_Specs!$B$79/mmBTU2BTU*Fuel_Specs!$B$48/Fuel_Specs!$E$48/g2lb</f>
        <v>2664.4883987060862</v>
      </c>
      <c r="V2350" s="347">
        <v>142.96556194536109</v>
      </c>
      <c r="W2350" s="347">
        <v>2664.4883987060862</v>
      </c>
      <c r="X2350" s="14" t="s">
        <v>351</v>
      </c>
      <c r="Y2350" s="346" t="s">
        <v>416</v>
      </c>
      <c r="Z2350" s="14" t="str">
        <f>IF(ISBLANK(LCI_Table[[#This Row],[Notes for user]])," ",LCI_Table[[#This Row],[Notes for user]])</f>
        <v xml:space="preserve"> </v>
      </c>
      <c r="AA2350" s="14"/>
      <c r="AB2350" s="14"/>
      <c r="AC2350" s="346">
        <f ca="1">LCI_Table[[#This Row],[Default Calculated Value]]-LCI_Table[[#This Row],[Calculated Value]]</f>
        <v>0</v>
      </c>
    </row>
    <row r="2351" spans="1:29" x14ac:dyDescent="0.3">
      <c r="A23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TallowHEFAICAOMIT (GREET)(blank)_Tallow_HEFA_ElectricityGrid Electricity</v>
      </c>
      <c r="B2351" s="14" t="s">
        <v>874</v>
      </c>
      <c r="C2351" s="14" t="s">
        <v>30</v>
      </c>
      <c r="D2351" s="14" t="s">
        <v>194</v>
      </c>
      <c r="E2351" s="14" t="s">
        <v>1335</v>
      </c>
      <c r="F2351" s="48" t="s">
        <v>31</v>
      </c>
      <c r="G2351" s="14" t="b">
        <f>OR(LCI_Table[[#This Row],[Feedstock]]="All",LCI_Table[[#This Row],[Feedstock]]=SelectedFeedstock)</f>
        <v>0</v>
      </c>
      <c r="H2351" s="14" t="b">
        <f>OR(LCI_Table[[#This Row],[Conversion]]="All",LCI_Table[[#This Row],[Conversion]]=SelectedConversion)</f>
        <v>1</v>
      </c>
      <c r="I2351" s="14" t="b">
        <f>OR(LCI_Table[[#This Row],[Data Set]]="all",LCI_Table[[#This Row],[Data Set]]=SelectedDataSet)</f>
        <v>0</v>
      </c>
      <c r="J2351" s="14" t="b">
        <f>OR(LCI_Table[[#This Row],[Technology]]="All",LCI_Table[[#This Row],[Technology]]=SelectedTechnology)</f>
        <v>1</v>
      </c>
      <c r="K2351" s="14" t="b">
        <f>OR(LCI_Table[[#This Row],[Data Source]]="All",LCI_Table[[#This Row],[Data Source]]=SelectedDataSource)</f>
        <v>0</v>
      </c>
      <c r="L2351" s="14" t="b">
        <f>TRUE</f>
        <v>1</v>
      </c>
      <c r="M2351" s="14" t="b">
        <f>(LCI_Table[[#This Row],[Dev Notes]]="Do not display")</f>
        <v>0</v>
      </c>
      <c r="N2351" s="14" t="b">
        <f>AND(LCI_Table[[#This Row],[Show Feedstock]:[Conditional]],NOT(LCI_Table[[#This Row],[Hide Row]]))</f>
        <v>0</v>
      </c>
      <c r="O2351" s="14" t="b">
        <f>LCI_Table[[#This Row],[GREET1 Name Range]]=""</f>
        <v>0</v>
      </c>
      <c r="P2351" s="14" t="s">
        <v>1448</v>
      </c>
      <c r="Q2351" s="14" t="s">
        <v>1078</v>
      </c>
      <c r="R2351" s="14" t="s">
        <v>1684</v>
      </c>
      <c r="S2351" s="37" cm="1">
        <f t="array" aca="1" ref="S23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1.8567813333963177</v>
      </c>
      <c r="T2351" s="346" t="s">
        <v>2121</v>
      </c>
      <c r="U2351" s="347">
        <f ca="1">S2351*kWh2BTU/mmBTU2BTU*Fuel_Specs!$B$48/Fuel_Specs!$E$48/g2lb</f>
        <v>120.12037863019243</v>
      </c>
      <c r="V2351" s="373">
        <v>1.8567813333963177</v>
      </c>
      <c r="W2351" s="347">
        <v>120.12037863019243</v>
      </c>
      <c r="X2351" s="14" t="s">
        <v>51</v>
      </c>
      <c r="Y2351" s="346" t="s">
        <v>416</v>
      </c>
      <c r="Z2351" s="14" t="str">
        <f>IF(ISBLANK(LCI_Table[[#This Row],[Notes for user]])," ",LCI_Table[[#This Row],[Notes for user]])</f>
        <v xml:space="preserve"> </v>
      </c>
      <c r="AA2351" s="14"/>
      <c r="AB2351" s="14"/>
      <c r="AC2351" s="346">
        <f ca="1">LCI_Table[[#This Row],[Default Calculated Value]]-LCI_Table[[#This Row],[Calculated Value]]</f>
        <v>0</v>
      </c>
    </row>
    <row r="2352" spans="1:29" x14ac:dyDescent="0.3">
      <c r="A23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TallowHEFAICAOMIT (GREET)(blank)_Tallow_HEFA_HydrogenHydrogen</v>
      </c>
      <c r="B2352" s="14" t="s">
        <v>874</v>
      </c>
      <c r="C2352" s="14" t="s">
        <v>30</v>
      </c>
      <c r="D2352" s="14" t="s">
        <v>194</v>
      </c>
      <c r="E2352" s="14" t="s">
        <v>1335</v>
      </c>
      <c r="F2352" s="48" t="s">
        <v>31</v>
      </c>
      <c r="G2352" s="14" t="b">
        <f>OR(LCI_Table[[#This Row],[Feedstock]]="All",LCI_Table[[#This Row],[Feedstock]]=SelectedFeedstock)</f>
        <v>0</v>
      </c>
      <c r="H2352" s="14" t="b">
        <f>OR(LCI_Table[[#This Row],[Conversion]]="All",LCI_Table[[#This Row],[Conversion]]=SelectedConversion)</f>
        <v>1</v>
      </c>
      <c r="I2352" s="14" t="b">
        <f>OR(LCI_Table[[#This Row],[Data Set]]="all",LCI_Table[[#This Row],[Data Set]]=SelectedDataSet)</f>
        <v>0</v>
      </c>
      <c r="J2352" s="14" t="b">
        <f>OR(LCI_Table[[#This Row],[Technology]]="All",LCI_Table[[#This Row],[Technology]]=SelectedTechnology)</f>
        <v>1</v>
      </c>
      <c r="K2352" s="14" t="b">
        <f>OR(LCI_Table[[#This Row],[Data Source]]="All",LCI_Table[[#This Row],[Data Source]]=SelectedDataSource)</f>
        <v>0</v>
      </c>
      <c r="L2352" s="14" t="b">
        <f>TRUE</f>
        <v>1</v>
      </c>
      <c r="M2352" s="14" t="b">
        <f>(LCI_Table[[#This Row],[Dev Notes]]="Do not display")</f>
        <v>0</v>
      </c>
      <c r="N2352" s="14" t="b">
        <f>AND(LCI_Table[[#This Row],[Show Feedstock]:[Conditional]],NOT(LCI_Table[[#This Row],[Hide Row]]))</f>
        <v>0</v>
      </c>
      <c r="O2352" s="14" t="b">
        <f>LCI_Table[[#This Row],[GREET1 Name Range]]=""</f>
        <v>0</v>
      </c>
      <c r="P2352" s="14" t="s">
        <v>1448</v>
      </c>
      <c r="Q2352" s="14" t="s">
        <v>1079</v>
      </c>
      <c r="R2352" s="14" t="s">
        <v>73</v>
      </c>
      <c r="S2352" s="37" cm="1">
        <f t="array" aca="1" ref="S23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52" s="346" t="s">
        <v>2120</v>
      </c>
      <c r="U2352" s="347">
        <f ca="1">S2352*lb2g/Fuel_Specs!$E$48*Fuel_Specs!$B$48*Fuel_Specs!$B$81*BTU2mmBTU/Allocations!$O$180</f>
        <v>0</v>
      </c>
      <c r="V2352" s="347">
        <v>0</v>
      </c>
      <c r="W2352" s="347">
        <v>0</v>
      </c>
      <c r="X2352" s="14" t="s">
        <v>351</v>
      </c>
      <c r="Y2352" s="346" t="s">
        <v>416</v>
      </c>
      <c r="Z2352" s="14" t="str">
        <f>IF(ISBLANK(LCI_Table[[#This Row],[Notes for user]])," ",LCI_Table[[#This Row],[Notes for user]])</f>
        <v xml:space="preserve"> </v>
      </c>
      <c r="AA2352" s="14"/>
      <c r="AB2352" s="14"/>
      <c r="AC2352" s="346">
        <f ca="1">LCI_Table[[#This Row],[Default Calculated Value]]-LCI_Table[[#This Row],[Calculated Value]]</f>
        <v>0</v>
      </c>
    </row>
    <row r="2353" spans="1:29" x14ac:dyDescent="0.3">
      <c r="A23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UCOHEFAICAOMIT (GREET)(blank)_UCO_Residual_oilResidual oil</v>
      </c>
      <c r="B2353" s="14" t="s">
        <v>875</v>
      </c>
      <c r="C2353" s="14" t="s">
        <v>30</v>
      </c>
      <c r="D2353" s="14" t="s">
        <v>194</v>
      </c>
      <c r="E2353" s="14" t="s">
        <v>1335</v>
      </c>
      <c r="F2353" s="48" t="s">
        <v>31</v>
      </c>
      <c r="G2353" s="14" t="b">
        <f>OR(LCI_Table[[#This Row],[Feedstock]]="All",LCI_Table[[#This Row],[Feedstock]]=SelectedFeedstock)</f>
        <v>0</v>
      </c>
      <c r="H2353" s="14" t="b">
        <f>OR(LCI_Table[[#This Row],[Conversion]]="All",LCI_Table[[#This Row],[Conversion]]=SelectedConversion)</f>
        <v>1</v>
      </c>
      <c r="I2353" s="14" t="b">
        <f>OR(LCI_Table[[#This Row],[Data Set]]="all",LCI_Table[[#This Row],[Data Set]]=SelectedDataSet)</f>
        <v>0</v>
      </c>
      <c r="J2353" s="14" t="b">
        <f>OR(LCI_Table[[#This Row],[Technology]]="All",LCI_Table[[#This Row],[Technology]]=SelectedTechnology)</f>
        <v>1</v>
      </c>
      <c r="K2353" s="14" t="b">
        <f>OR(LCI_Table[[#This Row],[Data Source]]="All",LCI_Table[[#This Row],[Data Source]]=SelectedDataSource)</f>
        <v>0</v>
      </c>
      <c r="L2353" s="14" t="b">
        <f>TRUE</f>
        <v>1</v>
      </c>
      <c r="M2353" s="14" t="b">
        <f>(LCI_Table[[#This Row],[Dev Notes]]="Do not display")</f>
        <v>0</v>
      </c>
      <c r="N2353" s="14" t="b">
        <f>AND(LCI_Table[[#This Row],[Show Feedstock]:[Conditional]],NOT(LCI_Table[[#This Row],[Hide Row]]))</f>
        <v>0</v>
      </c>
      <c r="O2353" s="14" t="b">
        <f>LCI_Table[[#This Row],[GREET1 Name Range]]=""</f>
        <v>0</v>
      </c>
      <c r="P2353" s="14" t="s">
        <v>887</v>
      </c>
      <c r="Q2353" s="14" t="s">
        <v>1080</v>
      </c>
      <c r="R2353" s="14" t="s">
        <v>115</v>
      </c>
      <c r="S2353" s="37" cm="1">
        <f t="array" aca="1" ref="S23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53" s="346" t="s">
        <v>2112</v>
      </c>
      <c r="U2353" s="347">
        <f ca="1">S2353*Fuel_Specs!$B$28</f>
        <v>0</v>
      </c>
      <c r="V2353" s="347">
        <v>0</v>
      </c>
      <c r="W2353" s="347">
        <v>0</v>
      </c>
      <c r="X2353" s="14" t="s">
        <v>5</v>
      </c>
      <c r="Y2353" s="346" t="s">
        <v>891</v>
      </c>
      <c r="Z2353" s="14" t="str">
        <f>IF(ISBLANK(LCI_Table[[#This Row],[Notes for user]])," ",LCI_Table[[#This Row],[Notes for user]])</f>
        <v xml:space="preserve"> </v>
      </c>
      <c r="AA2353" s="14"/>
      <c r="AB2353" s="14"/>
      <c r="AC2353" s="346">
        <f ca="1">LCI_Table[[#This Row],[Default Calculated Value]]-LCI_Table[[#This Row],[Calculated Value]]</f>
        <v>0</v>
      </c>
    </row>
    <row r="2354" spans="1:29" x14ac:dyDescent="0.3">
      <c r="A23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UCOHEFAICAOMIT (GREET)(blank)_UCO_DieselDiesel</v>
      </c>
      <c r="B2354" s="14" t="s">
        <v>875</v>
      </c>
      <c r="C2354" s="14" t="s">
        <v>30</v>
      </c>
      <c r="D2354" s="14" t="s">
        <v>194</v>
      </c>
      <c r="E2354" s="14" t="s">
        <v>1335</v>
      </c>
      <c r="F2354" s="48" t="s">
        <v>31</v>
      </c>
      <c r="G2354" s="14" t="b">
        <f>OR(LCI_Table[[#This Row],[Feedstock]]="All",LCI_Table[[#This Row],[Feedstock]]=SelectedFeedstock)</f>
        <v>0</v>
      </c>
      <c r="H2354" s="14" t="b">
        <f>OR(LCI_Table[[#This Row],[Conversion]]="All",LCI_Table[[#This Row],[Conversion]]=SelectedConversion)</f>
        <v>1</v>
      </c>
      <c r="I2354" s="14" t="b">
        <f>OR(LCI_Table[[#This Row],[Data Set]]="all",LCI_Table[[#This Row],[Data Set]]=SelectedDataSet)</f>
        <v>0</v>
      </c>
      <c r="J2354" s="14" t="b">
        <f>OR(LCI_Table[[#This Row],[Technology]]="All",LCI_Table[[#This Row],[Technology]]=SelectedTechnology)</f>
        <v>1</v>
      </c>
      <c r="K2354" s="14" t="b">
        <f>OR(LCI_Table[[#This Row],[Data Source]]="All",LCI_Table[[#This Row],[Data Source]]=SelectedDataSource)</f>
        <v>0</v>
      </c>
      <c r="L2354" s="14" t="b">
        <f>TRUE</f>
        <v>1</v>
      </c>
      <c r="M2354" s="14" t="b">
        <f>(LCI_Table[[#This Row],[Dev Notes]]="Do not display")</f>
        <v>0</v>
      </c>
      <c r="N2354" s="14" t="b">
        <f>AND(LCI_Table[[#This Row],[Show Feedstock]:[Conditional]],NOT(LCI_Table[[#This Row],[Hide Row]]))</f>
        <v>0</v>
      </c>
      <c r="O2354" s="14" t="b">
        <f>LCI_Table[[#This Row],[GREET1 Name Range]]=""</f>
        <v>0</v>
      </c>
      <c r="P2354" s="14" t="s">
        <v>887</v>
      </c>
      <c r="Q2354" s="14" t="s">
        <v>1081</v>
      </c>
      <c r="R2354" s="14" t="s">
        <v>106</v>
      </c>
      <c r="S2354" s="37" cm="1">
        <f t="array" aca="1" ref="S23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54" s="346" t="s">
        <v>2112</v>
      </c>
      <c r="U2354" s="347">
        <f ca="1">S2354*Fuel_Specs!$B$19</f>
        <v>0</v>
      </c>
      <c r="V2354" s="347">
        <v>0</v>
      </c>
      <c r="W2354" s="347">
        <v>0</v>
      </c>
      <c r="X2354" s="14" t="s">
        <v>5</v>
      </c>
      <c r="Y2354" s="346" t="s">
        <v>891</v>
      </c>
      <c r="Z2354" s="14" t="str">
        <f>IF(ISBLANK(LCI_Table[[#This Row],[Notes for user]])," ",LCI_Table[[#This Row],[Notes for user]])</f>
        <v xml:space="preserve"> </v>
      </c>
      <c r="AA2354" s="14"/>
      <c r="AB2354" s="14"/>
      <c r="AC2354" s="346">
        <f ca="1">LCI_Table[[#This Row],[Default Calculated Value]]-LCI_Table[[#This Row],[Calculated Value]]</f>
        <v>0</v>
      </c>
    </row>
    <row r="2355" spans="1:29" x14ac:dyDescent="0.3">
      <c r="A23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UCOHEFAICAOMIT (GREET)(blank)_UCO_GasolineGasoline</v>
      </c>
      <c r="B2355" s="14" t="s">
        <v>875</v>
      </c>
      <c r="C2355" s="14" t="s">
        <v>30</v>
      </c>
      <c r="D2355" s="14" t="s">
        <v>194</v>
      </c>
      <c r="E2355" s="14" t="s">
        <v>1335</v>
      </c>
      <c r="F2355" s="48" t="s">
        <v>31</v>
      </c>
      <c r="G2355" s="14" t="b">
        <f>OR(LCI_Table[[#This Row],[Feedstock]]="All",LCI_Table[[#This Row],[Feedstock]]=SelectedFeedstock)</f>
        <v>0</v>
      </c>
      <c r="H2355" s="14" t="b">
        <f>OR(LCI_Table[[#This Row],[Conversion]]="All",LCI_Table[[#This Row],[Conversion]]=SelectedConversion)</f>
        <v>1</v>
      </c>
      <c r="I2355" s="14" t="b">
        <f>OR(LCI_Table[[#This Row],[Data Set]]="all",LCI_Table[[#This Row],[Data Set]]=SelectedDataSet)</f>
        <v>0</v>
      </c>
      <c r="J2355" s="14" t="b">
        <f>OR(LCI_Table[[#This Row],[Technology]]="All",LCI_Table[[#This Row],[Technology]]=SelectedTechnology)</f>
        <v>1</v>
      </c>
      <c r="K2355" s="14" t="b">
        <f>OR(LCI_Table[[#This Row],[Data Source]]="All",LCI_Table[[#This Row],[Data Source]]=SelectedDataSource)</f>
        <v>0</v>
      </c>
      <c r="L2355" s="14" t="b">
        <f>TRUE</f>
        <v>1</v>
      </c>
      <c r="M2355" s="14" t="b">
        <f>(LCI_Table[[#This Row],[Dev Notes]]="Do not display")</f>
        <v>0</v>
      </c>
      <c r="N2355" s="14" t="b">
        <f>AND(LCI_Table[[#This Row],[Show Feedstock]:[Conditional]],NOT(LCI_Table[[#This Row],[Hide Row]]))</f>
        <v>0</v>
      </c>
      <c r="O2355" s="14" t="b">
        <f>LCI_Table[[#This Row],[GREET1 Name Range]]=""</f>
        <v>0</v>
      </c>
      <c r="P2355" s="14" t="s">
        <v>887</v>
      </c>
      <c r="Q2355" s="14" t="s">
        <v>1082</v>
      </c>
      <c r="R2355" s="14" t="s">
        <v>107</v>
      </c>
      <c r="S2355" s="37" cm="1">
        <f t="array" aca="1" ref="S23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55" s="346" t="s">
        <v>2112</v>
      </c>
      <c r="U2355" s="347">
        <f ca="1">S2355*Fuel_Specs!$B$15</f>
        <v>0</v>
      </c>
      <c r="V2355" s="347">
        <v>0</v>
      </c>
      <c r="W2355" s="347">
        <v>0</v>
      </c>
      <c r="X2355" s="14" t="s">
        <v>5</v>
      </c>
      <c r="Y2355" s="346" t="s">
        <v>891</v>
      </c>
      <c r="Z2355" s="14" t="str">
        <f>IF(ISBLANK(LCI_Table[[#This Row],[Notes for user]])," ",LCI_Table[[#This Row],[Notes for user]])</f>
        <v xml:space="preserve"> </v>
      </c>
      <c r="AA2355" s="14"/>
      <c r="AB2355" s="14"/>
      <c r="AC2355" s="346">
        <f ca="1">LCI_Table[[#This Row],[Default Calculated Value]]-LCI_Table[[#This Row],[Calculated Value]]</f>
        <v>0</v>
      </c>
    </row>
    <row r="2356" spans="1:29" x14ac:dyDescent="0.3">
      <c r="A23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UCOHEFAICAOMIT (GREET)(blank)_UCO_Natural_gasNatural gas</v>
      </c>
      <c r="B2356" s="14" t="s">
        <v>875</v>
      </c>
      <c r="C2356" s="14" t="s">
        <v>30</v>
      </c>
      <c r="D2356" s="14" t="s">
        <v>194</v>
      </c>
      <c r="E2356" s="14" t="s">
        <v>1335</v>
      </c>
      <c r="F2356" s="48" t="s">
        <v>31</v>
      </c>
      <c r="G2356" s="14" t="b">
        <f>OR(LCI_Table[[#This Row],[Feedstock]]="All",LCI_Table[[#This Row],[Feedstock]]=SelectedFeedstock)</f>
        <v>0</v>
      </c>
      <c r="H2356" s="14" t="b">
        <f>OR(LCI_Table[[#This Row],[Conversion]]="All",LCI_Table[[#This Row],[Conversion]]=SelectedConversion)</f>
        <v>1</v>
      </c>
      <c r="I2356" s="14" t="b">
        <f>OR(LCI_Table[[#This Row],[Data Set]]="all",LCI_Table[[#This Row],[Data Set]]=SelectedDataSet)</f>
        <v>0</v>
      </c>
      <c r="J2356" s="14" t="b">
        <f>OR(LCI_Table[[#This Row],[Technology]]="All",LCI_Table[[#This Row],[Technology]]=SelectedTechnology)</f>
        <v>1</v>
      </c>
      <c r="K2356" s="14" t="b">
        <f>OR(LCI_Table[[#This Row],[Data Source]]="All",LCI_Table[[#This Row],[Data Source]]=SelectedDataSource)</f>
        <v>0</v>
      </c>
      <c r="L2356" s="14" t="b">
        <f>TRUE</f>
        <v>1</v>
      </c>
      <c r="M2356" s="14" t="b">
        <f>(LCI_Table[[#This Row],[Dev Notes]]="Do not display")</f>
        <v>0</v>
      </c>
      <c r="N2356" s="14" t="b">
        <f>AND(LCI_Table[[#This Row],[Show Feedstock]:[Conditional]],NOT(LCI_Table[[#This Row],[Hide Row]]))</f>
        <v>0</v>
      </c>
      <c r="O2356" s="14" t="b">
        <f>LCI_Table[[#This Row],[GREET1 Name Range]]=""</f>
        <v>0</v>
      </c>
      <c r="P2356" s="14" t="s">
        <v>887</v>
      </c>
      <c r="Q2356" s="14" t="s">
        <v>1083</v>
      </c>
      <c r="R2356" s="14" t="s">
        <v>108</v>
      </c>
      <c r="S2356" s="37" cm="1">
        <f t="array" aca="1" ref="S23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0.63416865894792485</v>
      </c>
      <c r="T2356" s="346" t="s">
        <v>2113</v>
      </c>
      <c r="U2356" s="347">
        <f ca="1">S2356*Fuel_Specs!$B$79</f>
        <v>623.38779174581009</v>
      </c>
      <c r="V2356" s="347">
        <v>0.63416865894792485</v>
      </c>
      <c r="W2356" s="347">
        <v>623.38779174581009</v>
      </c>
      <c r="X2356" s="14" t="s">
        <v>351</v>
      </c>
      <c r="Y2356" s="346" t="s">
        <v>891</v>
      </c>
      <c r="Z2356" s="14" t="str">
        <f>IF(ISBLANK(LCI_Table[[#This Row],[Notes for user]])," ",LCI_Table[[#This Row],[Notes for user]])</f>
        <v xml:space="preserve"> </v>
      </c>
      <c r="AA2356" s="14"/>
      <c r="AB2356" s="14"/>
      <c r="AC2356" s="346">
        <f ca="1">LCI_Table[[#This Row],[Default Calculated Value]]-LCI_Table[[#This Row],[Calculated Value]]</f>
        <v>0</v>
      </c>
    </row>
    <row r="2357" spans="1:29" x14ac:dyDescent="0.3">
      <c r="A23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UCOHEFAICAOMIT (GREET)(blank)_UCO_CoalCoal</v>
      </c>
      <c r="B2357" s="14" t="s">
        <v>875</v>
      </c>
      <c r="C2357" s="14" t="s">
        <v>30</v>
      </c>
      <c r="D2357" s="14" t="s">
        <v>194</v>
      </c>
      <c r="E2357" s="14" t="s">
        <v>1335</v>
      </c>
      <c r="F2357" s="48" t="s">
        <v>31</v>
      </c>
      <c r="G2357" s="14" t="b">
        <f>OR(LCI_Table[[#This Row],[Feedstock]]="All",LCI_Table[[#This Row],[Feedstock]]=SelectedFeedstock)</f>
        <v>0</v>
      </c>
      <c r="H2357" s="14" t="b">
        <f>OR(LCI_Table[[#This Row],[Conversion]]="All",LCI_Table[[#This Row],[Conversion]]=SelectedConversion)</f>
        <v>1</v>
      </c>
      <c r="I2357" s="14" t="b">
        <f>OR(LCI_Table[[#This Row],[Data Set]]="all",LCI_Table[[#This Row],[Data Set]]=SelectedDataSet)</f>
        <v>0</v>
      </c>
      <c r="J2357" s="14" t="b">
        <f>OR(LCI_Table[[#This Row],[Technology]]="All",LCI_Table[[#This Row],[Technology]]=SelectedTechnology)</f>
        <v>1</v>
      </c>
      <c r="K2357" s="14" t="b">
        <f>OR(LCI_Table[[#This Row],[Data Source]]="All",LCI_Table[[#This Row],[Data Source]]=SelectedDataSource)</f>
        <v>0</v>
      </c>
      <c r="L2357" s="14" t="b">
        <f>TRUE</f>
        <v>1</v>
      </c>
      <c r="M2357" s="14" t="b">
        <f>(LCI_Table[[#This Row],[Dev Notes]]="Do not display")</f>
        <v>0</v>
      </c>
      <c r="N2357" s="14" t="b">
        <f>AND(LCI_Table[[#This Row],[Show Feedstock]:[Conditional]],NOT(LCI_Table[[#This Row],[Hide Row]]))</f>
        <v>0</v>
      </c>
      <c r="O2357" s="14" t="b">
        <f>LCI_Table[[#This Row],[GREET1 Name Range]]=""</f>
        <v>0</v>
      </c>
      <c r="P2357" s="14" t="s">
        <v>887</v>
      </c>
      <c r="Q2357" s="14" t="s">
        <v>1084</v>
      </c>
      <c r="R2357" s="14" t="s">
        <v>9</v>
      </c>
      <c r="S2357" s="37" cm="1">
        <f t="array" aca="1" ref="S23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57" s="346" t="s">
        <v>2114</v>
      </c>
      <c r="U2357" s="347">
        <f ca="1">S2357</f>
        <v>0</v>
      </c>
      <c r="V2357" s="347">
        <v>0</v>
      </c>
      <c r="W2357" s="347">
        <v>0</v>
      </c>
      <c r="X2357" s="14" t="s">
        <v>117</v>
      </c>
      <c r="Y2357" s="346" t="s">
        <v>891</v>
      </c>
      <c r="Z2357" s="14" t="str">
        <f>IF(ISBLANK(LCI_Table[[#This Row],[Notes for user]])," ",LCI_Table[[#This Row],[Notes for user]])</f>
        <v xml:space="preserve"> </v>
      </c>
      <c r="AA2357" s="14"/>
      <c r="AB2357" s="14"/>
      <c r="AC2357" s="346">
        <f ca="1">LCI_Table[[#This Row],[Default Calculated Value]]-LCI_Table[[#This Row],[Calculated Value]]</f>
        <v>0</v>
      </c>
    </row>
    <row r="2358" spans="1:29" x14ac:dyDescent="0.3">
      <c r="A23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UCOHEFAICAOMIT (GREET)(blank)_UCO_LPGLPG</v>
      </c>
      <c r="B2358" s="14" t="s">
        <v>875</v>
      </c>
      <c r="C2358" s="14" t="s">
        <v>30</v>
      </c>
      <c r="D2358" s="14" t="s">
        <v>194</v>
      </c>
      <c r="E2358" s="14" t="s">
        <v>1335</v>
      </c>
      <c r="F2358" s="48" t="s">
        <v>31</v>
      </c>
      <c r="G2358" s="14" t="b">
        <f>OR(LCI_Table[[#This Row],[Feedstock]]="All",LCI_Table[[#This Row],[Feedstock]]=SelectedFeedstock)</f>
        <v>0</v>
      </c>
      <c r="H2358" s="14" t="b">
        <f>OR(LCI_Table[[#This Row],[Conversion]]="All",LCI_Table[[#This Row],[Conversion]]=SelectedConversion)</f>
        <v>1</v>
      </c>
      <c r="I2358" s="14" t="b">
        <f>OR(LCI_Table[[#This Row],[Data Set]]="all",LCI_Table[[#This Row],[Data Set]]=SelectedDataSet)</f>
        <v>0</v>
      </c>
      <c r="J2358" s="14" t="b">
        <f>OR(LCI_Table[[#This Row],[Technology]]="All",LCI_Table[[#This Row],[Technology]]=SelectedTechnology)</f>
        <v>1</v>
      </c>
      <c r="K2358" s="14" t="b">
        <f>OR(LCI_Table[[#This Row],[Data Source]]="All",LCI_Table[[#This Row],[Data Source]]=SelectedDataSource)</f>
        <v>0</v>
      </c>
      <c r="L2358" s="14" t="b">
        <f>TRUE</f>
        <v>1</v>
      </c>
      <c r="M2358" s="14" t="b">
        <f>(LCI_Table[[#This Row],[Dev Notes]]="Do not display")</f>
        <v>0</v>
      </c>
      <c r="N2358" s="14" t="b">
        <f>AND(LCI_Table[[#This Row],[Show Feedstock]:[Conditional]],NOT(LCI_Table[[#This Row],[Hide Row]]))</f>
        <v>0</v>
      </c>
      <c r="O2358" s="14" t="b">
        <f>LCI_Table[[#This Row],[GREET1 Name Range]]=""</f>
        <v>0</v>
      </c>
      <c r="P2358" s="14" t="s">
        <v>887</v>
      </c>
      <c r="Q2358" s="14" t="s">
        <v>1085</v>
      </c>
      <c r="R2358" s="14" t="s">
        <v>109</v>
      </c>
      <c r="S2358" s="37" cm="1">
        <f t="array" aca="1" ref="S23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58" s="346" t="s">
        <v>2112</v>
      </c>
      <c r="U2358" s="347">
        <f ca="1">S2358*Fuel_Specs!$B$35</f>
        <v>0</v>
      </c>
      <c r="V2358" s="347">
        <v>0</v>
      </c>
      <c r="W2358" s="347">
        <v>0</v>
      </c>
      <c r="X2358" s="14" t="s">
        <v>5</v>
      </c>
      <c r="Y2358" s="346" t="s">
        <v>891</v>
      </c>
      <c r="Z2358" s="14" t="str">
        <f>IF(ISBLANK(LCI_Table[[#This Row],[Notes for user]])," ",LCI_Table[[#This Row],[Notes for user]])</f>
        <v xml:space="preserve"> </v>
      </c>
      <c r="AA2358" s="14"/>
      <c r="AB2358" s="14"/>
      <c r="AC2358" s="346">
        <f ca="1">LCI_Table[[#This Row],[Default Calculated Value]]-LCI_Table[[#This Row],[Calculated Value]]</f>
        <v>0</v>
      </c>
    </row>
    <row r="2359" spans="1:29" x14ac:dyDescent="0.3">
      <c r="A23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UCOHEFAICAOMIT (GREET)(blank)_UCO_ElectricityElectricity</v>
      </c>
      <c r="B2359" s="14" t="s">
        <v>875</v>
      </c>
      <c r="C2359" s="14" t="s">
        <v>30</v>
      </c>
      <c r="D2359" s="14" t="s">
        <v>194</v>
      </c>
      <c r="E2359" s="14" t="s">
        <v>1335</v>
      </c>
      <c r="F2359" s="48" t="s">
        <v>31</v>
      </c>
      <c r="G2359" s="14" t="b">
        <f>OR(LCI_Table[[#This Row],[Feedstock]]="All",LCI_Table[[#This Row],[Feedstock]]=SelectedFeedstock)</f>
        <v>0</v>
      </c>
      <c r="H2359" s="14" t="b">
        <f>OR(LCI_Table[[#This Row],[Conversion]]="All",LCI_Table[[#This Row],[Conversion]]=SelectedConversion)</f>
        <v>1</v>
      </c>
      <c r="I2359" s="14" t="b">
        <f>OR(LCI_Table[[#This Row],[Data Set]]="all",LCI_Table[[#This Row],[Data Set]]=SelectedDataSet)</f>
        <v>0</v>
      </c>
      <c r="J2359" s="14" t="b">
        <f>OR(LCI_Table[[#This Row],[Technology]]="All",LCI_Table[[#This Row],[Technology]]=SelectedTechnology)</f>
        <v>1</v>
      </c>
      <c r="K2359" s="14" t="b">
        <f>OR(LCI_Table[[#This Row],[Data Source]]="All",LCI_Table[[#This Row],[Data Source]]=SelectedDataSource)</f>
        <v>0</v>
      </c>
      <c r="L2359" s="14" t="b">
        <f>TRUE</f>
        <v>1</v>
      </c>
      <c r="M2359" s="14" t="b">
        <f>(LCI_Table[[#This Row],[Dev Notes]]="Do not display")</f>
        <v>0</v>
      </c>
      <c r="N2359" s="14" t="b">
        <f>AND(LCI_Table[[#This Row],[Show Feedstock]:[Conditional]],NOT(LCI_Table[[#This Row],[Hide Row]]))</f>
        <v>0</v>
      </c>
      <c r="O2359" s="14" t="b">
        <f>LCI_Table[[#This Row],[GREET1 Name Range]]=""</f>
        <v>0</v>
      </c>
      <c r="P2359" s="14" t="s">
        <v>887</v>
      </c>
      <c r="Q2359" s="14" t="s">
        <v>1086</v>
      </c>
      <c r="R2359" s="14" t="s">
        <v>110</v>
      </c>
      <c r="S2359" s="37" cm="1">
        <f t="array" aca="1" ref="S23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1.8899682083333296E-2</v>
      </c>
      <c r="T2359" s="346" t="s">
        <v>2115</v>
      </c>
      <c r="U2359" s="347">
        <f ca="1">S2359/BTU2kWh</f>
        <v>64.488392249566573</v>
      </c>
      <c r="V2359" s="374">
        <v>1.8899682083333296E-2</v>
      </c>
      <c r="W2359" s="347">
        <v>64.488392249566573</v>
      </c>
      <c r="X2359" s="14" t="s">
        <v>51</v>
      </c>
      <c r="Y2359" s="346" t="s">
        <v>891</v>
      </c>
      <c r="Z2359" s="14" t="str">
        <f>IF(ISBLANK(LCI_Table[[#This Row],[Notes for user]])," ",LCI_Table[[#This Row],[Notes for user]])</f>
        <v xml:space="preserve"> </v>
      </c>
      <c r="AA2359" s="14"/>
      <c r="AB2359" s="14"/>
      <c r="AC2359" s="346">
        <f ca="1">LCI_Table[[#This Row],[Default Calculated Value]]-LCI_Table[[#This Row],[Calculated Value]]</f>
        <v>0</v>
      </c>
    </row>
    <row r="2360" spans="1:29" x14ac:dyDescent="0.3">
      <c r="A23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UCOHEFAICAOMIT (GREET)(blank)_UCO_N_hexaneN-hexane</v>
      </c>
      <c r="B2360" s="14" t="s">
        <v>875</v>
      </c>
      <c r="C2360" s="14" t="s">
        <v>30</v>
      </c>
      <c r="D2360" s="14" t="s">
        <v>194</v>
      </c>
      <c r="E2360" s="14" t="s">
        <v>1335</v>
      </c>
      <c r="F2360" s="48" t="s">
        <v>31</v>
      </c>
      <c r="G2360" s="14" t="b">
        <f>OR(LCI_Table[[#This Row],[Feedstock]]="All",LCI_Table[[#This Row],[Feedstock]]=SelectedFeedstock)</f>
        <v>0</v>
      </c>
      <c r="H2360" s="14" t="b">
        <f>OR(LCI_Table[[#This Row],[Conversion]]="All",LCI_Table[[#This Row],[Conversion]]=SelectedConversion)</f>
        <v>1</v>
      </c>
      <c r="I2360" s="14" t="b">
        <f>OR(LCI_Table[[#This Row],[Data Set]]="all",LCI_Table[[#This Row],[Data Set]]=SelectedDataSet)</f>
        <v>0</v>
      </c>
      <c r="J2360" s="14" t="b">
        <f>OR(LCI_Table[[#This Row],[Technology]]="All",LCI_Table[[#This Row],[Technology]]=SelectedTechnology)</f>
        <v>1</v>
      </c>
      <c r="K2360" s="14" t="b">
        <f>OR(LCI_Table[[#This Row],[Data Source]]="All",LCI_Table[[#This Row],[Data Source]]=SelectedDataSource)</f>
        <v>0</v>
      </c>
      <c r="L2360" s="14" t="b">
        <f>TRUE</f>
        <v>1</v>
      </c>
      <c r="M2360" s="14" t="b">
        <f>(LCI_Table[[#This Row],[Dev Notes]]="Do not display")</f>
        <v>0</v>
      </c>
      <c r="N2360" s="14" t="b">
        <f>AND(LCI_Table[[#This Row],[Show Feedstock]:[Conditional]],NOT(LCI_Table[[#This Row],[Hide Row]]))</f>
        <v>0</v>
      </c>
      <c r="O2360" s="14" t="b">
        <f>LCI_Table[[#This Row],[GREET1 Name Range]]=""</f>
        <v>0</v>
      </c>
      <c r="P2360" s="14" t="s">
        <v>887</v>
      </c>
      <c r="Q2360" s="14" t="s">
        <v>1087</v>
      </c>
      <c r="R2360" s="14" t="s">
        <v>116</v>
      </c>
      <c r="S2360" s="37" cm="1">
        <f t="array" aca="1" ref="S23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60" s="346" t="s">
        <v>2112</v>
      </c>
      <c r="U2360" s="347">
        <f ca="1">S2360*Fuel_Specs!$B$58</f>
        <v>0</v>
      </c>
      <c r="V2360" s="347">
        <v>0</v>
      </c>
      <c r="W2360" s="347">
        <v>0</v>
      </c>
      <c r="X2360" s="37" t="s">
        <v>5</v>
      </c>
      <c r="Y2360" s="346" t="s">
        <v>891</v>
      </c>
      <c r="Z2360" s="14" t="str">
        <f>IF(ISBLANK(LCI_Table[[#This Row],[Notes for user]])," ",LCI_Table[[#This Row],[Notes for user]])</f>
        <v xml:space="preserve"> </v>
      </c>
      <c r="AA2360" s="14"/>
      <c r="AB2360" s="14"/>
      <c r="AC2360" s="346">
        <f ca="1">LCI_Table[[#This Row],[Default Calculated Value]]-LCI_Table[[#This Row],[Calculated Value]]</f>
        <v>0</v>
      </c>
    </row>
    <row r="2361" spans="1:29" x14ac:dyDescent="0.3">
      <c r="A23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UCOHEFAICAOMIT (GREET)(blank)_UCO_MethanolMethanol</v>
      </c>
      <c r="B2361" s="14" t="s">
        <v>875</v>
      </c>
      <c r="C2361" s="14" t="s">
        <v>30</v>
      </c>
      <c r="D2361" s="14" t="s">
        <v>194</v>
      </c>
      <c r="E2361" s="14" t="s">
        <v>1335</v>
      </c>
      <c r="F2361" s="48" t="s">
        <v>31</v>
      </c>
      <c r="G2361" s="14" t="b">
        <f>OR(LCI_Table[[#This Row],[Feedstock]]="All",LCI_Table[[#This Row],[Feedstock]]=SelectedFeedstock)</f>
        <v>0</v>
      </c>
      <c r="H2361" s="14" t="b">
        <f>OR(LCI_Table[[#This Row],[Conversion]]="All",LCI_Table[[#This Row],[Conversion]]=SelectedConversion)</f>
        <v>1</v>
      </c>
      <c r="I2361" s="14" t="b">
        <f>OR(LCI_Table[[#This Row],[Data Set]]="all",LCI_Table[[#This Row],[Data Set]]=SelectedDataSet)</f>
        <v>0</v>
      </c>
      <c r="J2361" s="14" t="b">
        <f>OR(LCI_Table[[#This Row],[Technology]]="All",LCI_Table[[#This Row],[Technology]]=SelectedTechnology)</f>
        <v>1</v>
      </c>
      <c r="K2361" s="14" t="b">
        <f>OR(LCI_Table[[#This Row],[Data Source]]="All",LCI_Table[[#This Row],[Data Source]]=SelectedDataSource)</f>
        <v>0</v>
      </c>
      <c r="L2361" s="14" t="b">
        <f>TRUE</f>
        <v>1</v>
      </c>
      <c r="M2361" s="14" t="b">
        <f>(LCI_Table[[#This Row],[Dev Notes]]="Do not display")</f>
        <v>0</v>
      </c>
      <c r="N2361" s="14" t="b">
        <f>AND(LCI_Table[[#This Row],[Show Feedstock]:[Conditional]],NOT(LCI_Table[[#This Row],[Hide Row]]))</f>
        <v>0</v>
      </c>
      <c r="O2361" s="14" t="b">
        <f>LCI_Table[[#This Row],[GREET1 Name Range]]=""</f>
        <v>0</v>
      </c>
      <c r="P2361" s="14" t="s">
        <v>887</v>
      </c>
      <c r="Q2361" s="14" t="s">
        <v>1088</v>
      </c>
      <c r="R2361" s="14" t="s">
        <v>250</v>
      </c>
      <c r="S2361" s="37" cm="1">
        <f t="array" aca="1" ref="S23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61" s="346" t="s">
        <v>2112</v>
      </c>
      <c r="U2361" s="347">
        <f ca="1">S2361*Fuel_Specs!$B$30</f>
        <v>0</v>
      </c>
      <c r="V2361" s="347">
        <v>0</v>
      </c>
      <c r="W2361" s="347">
        <v>0</v>
      </c>
      <c r="X2361" s="37" t="s">
        <v>5</v>
      </c>
      <c r="Y2361" s="346" t="s">
        <v>891</v>
      </c>
      <c r="Z2361" s="14" t="str">
        <f>IF(ISBLANK(LCI_Table[[#This Row],[Notes for user]])," ",LCI_Table[[#This Row],[Notes for user]])</f>
        <v xml:space="preserve"> </v>
      </c>
      <c r="AA2361" s="14"/>
      <c r="AB2361" s="14"/>
      <c r="AC2361" s="346">
        <f ca="1">LCI_Table[[#This Row],[Default Calculated Value]]-LCI_Table[[#This Row],[Calculated Value]]</f>
        <v>0</v>
      </c>
    </row>
    <row r="2362" spans="1:29" x14ac:dyDescent="0.3">
      <c r="A23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UCOHEFAICAOMIT (GREET)(blank)_UCO_HydrogenHydrogen</v>
      </c>
      <c r="B2362" s="14" t="s">
        <v>875</v>
      </c>
      <c r="C2362" s="14" t="s">
        <v>30</v>
      </c>
      <c r="D2362" s="14" t="s">
        <v>194</v>
      </c>
      <c r="E2362" s="14" t="s">
        <v>1335</v>
      </c>
      <c r="F2362" s="48" t="s">
        <v>31</v>
      </c>
      <c r="G2362" s="14" t="b">
        <f>OR(LCI_Table[[#This Row],[Feedstock]]="All",LCI_Table[[#This Row],[Feedstock]]=SelectedFeedstock)</f>
        <v>0</v>
      </c>
      <c r="H2362" s="14" t="b">
        <f>OR(LCI_Table[[#This Row],[Conversion]]="All",LCI_Table[[#This Row],[Conversion]]=SelectedConversion)</f>
        <v>1</v>
      </c>
      <c r="I2362" s="14" t="b">
        <f>OR(LCI_Table[[#This Row],[Data Set]]="all",LCI_Table[[#This Row],[Data Set]]=SelectedDataSet)</f>
        <v>0</v>
      </c>
      <c r="J2362" s="14" t="b">
        <f>OR(LCI_Table[[#This Row],[Technology]]="All",LCI_Table[[#This Row],[Technology]]=SelectedTechnology)</f>
        <v>1</v>
      </c>
      <c r="K2362" s="14" t="b">
        <f>OR(LCI_Table[[#This Row],[Data Source]]="All",LCI_Table[[#This Row],[Data Source]]=SelectedDataSource)</f>
        <v>0</v>
      </c>
      <c r="L2362" s="14" t="b">
        <f>TRUE</f>
        <v>1</v>
      </c>
      <c r="M2362" s="14" t="b">
        <f>(LCI_Table[[#This Row],[Dev Notes]]="Do not display")</f>
        <v>0</v>
      </c>
      <c r="N2362" s="14" t="b">
        <f>AND(LCI_Table[[#This Row],[Show Feedstock]:[Conditional]],NOT(LCI_Table[[#This Row],[Hide Row]]))</f>
        <v>0</v>
      </c>
      <c r="O2362" s="14" t="b">
        <f>LCI_Table[[#This Row],[GREET1 Name Range]]=""</f>
        <v>0</v>
      </c>
      <c r="P2362" s="14" t="s">
        <v>887</v>
      </c>
      <c r="Q2362" s="14" t="s">
        <v>1089</v>
      </c>
      <c r="R2362" s="14" t="s">
        <v>73</v>
      </c>
      <c r="S2362" s="37" cm="1">
        <f t="array" aca="1" ref="S23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62" s="346" t="s">
        <v>2113</v>
      </c>
      <c r="U2362" s="347">
        <f ca="1">S2362*Fuel_Specs!$B$81</f>
        <v>0</v>
      </c>
      <c r="V2362" s="347">
        <v>0</v>
      </c>
      <c r="W2362" s="347">
        <v>0</v>
      </c>
      <c r="X2362" s="37" t="s">
        <v>351</v>
      </c>
      <c r="Y2362" s="346" t="s">
        <v>891</v>
      </c>
      <c r="Z2362" s="14" t="str">
        <f>IF(ISBLANK(LCI_Table[[#This Row],[Notes for user]])," ",LCI_Table[[#This Row],[Notes for user]])</f>
        <v xml:space="preserve"> </v>
      </c>
      <c r="AA2362" s="14"/>
      <c r="AB2362" s="14"/>
      <c r="AC2362" s="346">
        <f ca="1">LCI_Table[[#This Row],[Default Calculated Value]]-LCI_Table[[#This Row],[Calculated Value]]</f>
        <v>0</v>
      </c>
    </row>
    <row r="2363" spans="1:29" x14ac:dyDescent="0.3">
      <c r="A23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UCOHEFAICAOMIT (GREET)(blank)_HEFA_feed_usageYellow grease / UCO</v>
      </c>
      <c r="B2363" s="14" t="s">
        <v>875</v>
      </c>
      <c r="C2363" s="14" t="s">
        <v>30</v>
      </c>
      <c r="D2363" s="14" t="s">
        <v>194</v>
      </c>
      <c r="E2363" s="14" t="s">
        <v>1335</v>
      </c>
      <c r="F2363" s="48" t="s">
        <v>31</v>
      </c>
      <c r="G2363" s="14" t="b">
        <f>OR(LCI_Table[[#This Row],[Feedstock]]="All",LCI_Table[[#This Row],[Feedstock]]=SelectedFeedstock)</f>
        <v>0</v>
      </c>
      <c r="H2363" s="14" t="b">
        <f>OR(LCI_Table[[#This Row],[Conversion]]="All",LCI_Table[[#This Row],[Conversion]]=SelectedConversion)</f>
        <v>1</v>
      </c>
      <c r="I2363" s="14" t="b">
        <f>OR(LCI_Table[[#This Row],[Data Set]]="all",LCI_Table[[#This Row],[Data Set]]=SelectedDataSet)</f>
        <v>0</v>
      </c>
      <c r="J2363" s="14" t="b">
        <f>OR(LCI_Table[[#This Row],[Technology]]="All",LCI_Table[[#This Row],[Technology]]=SelectedTechnology)</f>
        <v>1</v>
      </c>
      <c r="K2363" s="14" t="b">
        <f>OR(LCI_Table[[#This Row],[Data Source]]="All",LCI_Table[[#This Row],[Data Source]]=SelectedDataSource)</f>
        <v>0</v>
      </c>
      <c r="L2363" s="14" t="b">
        <f>TRUE</f>
        <v>1</v>
      </c>
      <c r="M2363" s="14" t="b">
        <f>(LCI_Table[[#This Row],[Dev Notes]]="Do not display")</f>
        <v>0</v>
      </c>
      <c r="N2363" s="14" t="b">
        <f>AND(LCI_Table[[#This Row],[Show Feedstock]:[Conditional]],NOT(LCI_Table[[#This Row],[Hide Row]]))</f>
        <v>0</v>
      </c>
      <c r="O2363" s="14" t="b">
        <f>LCI_Table[[#This Row],[GREET1 Name Range]]=""</f>
        <v>0</v>
      </c>
      <c r="P2363" s="14" t="s">
        <v>1448</v>
      </c>
      <c r="Q2363" s="14" t="s">
        <v>933</v>
      </c>
      <c r="R2363" s="14" t="s">
        <v>889</v>
      </c>
      <c r="S2363" s="37" cm="1">
        <f t="array" aca="1" ref="S23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66.984580332524672</v>
      </c>
      <c r="T2363" s="346" t="s">
        <v>2119</v>
      </c>
      <c r="U2363" s="347">
        <f ca="1">S2363*lb2g/Fuel_Specs!$E$48*Fuel_Specs!$B$48*BTU2mmBTU/Allocations!$O$184</f>
        <v>1.27</v>
      </c>
      <c r="V2363" s="347">
        <v>66.984580332524672</v>
      </c>
      <c r="W2363" s="347">
        <v>1.27</v>
      </c>
      <c r="X2363" s="14" t="s">
        <v>12</v>
      </c>
      <c r="Y2363" s="346" t="s">
        <v>416</v>
      </c>
      <c r="Z2363" s="14" t="str">
        <f>IF(ISBLANK(LCI_Table[[#This Row],[Notes for user]])," ",LCI_Table[[#This Row],[Notes for user]])</f>
        <v xml:space="preserve"> </v>
      </c>
      <c r="AA2363" s="14"/>
      <c r="AB2363" s="14"/>
      <c r="AC2363" s="346">
        <f ca="1">LCI_Table[[#This Row],[Default Calculated Value]]-LCI_Table[[#This Row],[Calculated Value]]</f>
        <v>0</v>
      </c>
    </row>
    <row r="2364" spans="1:29" x14ac:dyDescent="0.3">
      <c r="A23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UCOHEFAICAOMIT (GREET)(blank)_UCO_HEFA_Natural_gasNatural gas</v>
      </c>
      <c r="B2364" s="14" t="s">
        <v>875</v>
      </c>
      <c r="C2364" s="14" t="s">
        <v>30</v>
      </c>
      <c r="D2364" s="14" t="s">
        <v>194</v>
      </c>
      <c r="E2364" s="14" t="s">
        <v>1335</v>
      </c>
      <c r="F2364" s="48" t="s">
        <v>31</v>
      </c>
      <c r="G2364" s="14" t="b">
        <f>OR(LCI_Table[[#This Row],[Feedstock]]="All",LCI_Table[[#This Row],[Feedstock]]=SelectedFeedstock)</f>
        <v>0</v>
      </c>
      <c r="H2364" s="14" t="b">
        <f>OR(LCI_Table[[#This Row],[Conversion]]="All",LCI_Table[[#This Row],[Conversion]]=SelectedConversion)</f>
        <v>1</v>
      </c>
      <c r="I2364" s="14" t="b">
        <f>OR(LCI_Table[[#This Row],[Data Set]]="all",LCI_Table[[#This Row],[Data Set]]=SelectedDataSet)</f>
        <v>0</v>
      </c>
      <c r="J2364" s="14" t="b">
        <f>OR(LCI_Table[[#This Row],[Technology]]="All",LCI_Table[[#This Row],[Technology]]=SelectedTechnology)</f>
        <v>1</v>
      </c>
      <c r="K2364" s="14" t="b">
        <f>OR(LCI_Table[[#This Row],[Data Source]]="All",LCI_Table[[#This Row],[Data Source]]=SelectedDataSource)</f>
        <v>0</v>
      </c>
      <c r="L2364" s="14" t="b">
        <f>TRUE</f>
        <v>1</v>
      </c>
      <c r="M2364" s="14" t="b">
        <f>(LCI_Table[[#This Row],[Dev Notes]]="Do not display")</f>
        <v>0</v>
      </c>
      <c r="N2364" s="14" t="b">
        <f>AND(LCI_Table[[#This Row],[Show Feedstock]:[Conditional]],NOT(LCI_Table[[#This Row],[Hide Row]]))</f>
        <v>0</v>
      </c>
      <c r="O2364" s="14" t="b">
        <f>LCI_Table[[#This Row],[GREET1 Name Range]]=""</f>
        <v>0</v>
      </c>
      <c r="P2364" s="14" t="s">
        <v>1448</v>
      </c>
      <c r="Q2364" s="14" t="s">
        <v>1090</v>
      </c>
      <c r="R2364" s="14" t="s">
        <v>108</v>
      </c>
      <c r="S2364" s="37" cm="1">
        <f t="array" aca="1" ref="S23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142.96556194536109</v>
      </c>
      <c r="T2364" s="346" t="s">
        <v>2120</v>
      </c>
      <c r="U2364" s="347">
        <f ca="1">S2364*lb2g/Fuel_Specs!$E$48*Fuel_Specs!$B$48*Fuel_Specs!$B$79*BTU2mmBTU/Allocations!$O$184</f>
        <v>2664.4883987060921</v>
      </c>
      <c r="V2364" s="347">
        <v>142.96556194536109</v>
      </c>
      <c r="W2364" s="347">
        <v>2664.4883987060921</v>
      </c>
      <c r="X2364" s="14" t="s">
        <v>351</v>
      </c>
      <c r="Y2364" s="346" t="s">
        <v>416</v>
      </c>
      <c r="Z2364" s="14" t="str">
        <f>IF(ISBLANK(LCI_Table[[#This Row],[Notes for user]])," ",LCI_Table[[#This Row],[Notes for user]])</f>
        <v xml:space="preserve"> </v>
      </c>
      <c r="AA2364" s="14"/>
      <c r="AB2364" s="14"/>
      <c r="AC2364" s="346">
        <f ca="1">LCI_Table[[#This Row],[Default Calculated Value]]-LCI_Table[[#This Row],[Calculated Value]]</f>
        <v>0</v>
      </c>
    </row>
    <row r="2365" spans="1:29" x14ac:dyDescent="0.3">
      <c r="A23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UCOHEFAICAOMIT (GREET)(blank)_UCO_HEFA_ElectricityGrid Electricity</v>
      </c>
      <c r="B2365" s="14" t="s">
        <v>875</v>
      </c>
      <c r="C2365" s="14" t="s">
        <v>30</v>
      </c>
      <c r="D2365" s="14" t="s">
        <v>194</v>
      </c>
      <c r="E2365" s="14" t="s">
        <v>1335</v>
      </c>
      <c r="F2365" s="48" t="s">
        <v>31</v>
      </c>
      <c r="G2365" s="14" t="b">
        <f>OR(LCI_Table[[#This Row],[Feedstock]]="All",LCI_Table[[#This Row],[Feedstock]]=SelectedFeedstock)</f>
        <v>0</v>
      </c>
      <c r="H2365" s="14" t="b">
        <f>OR(LCI_Table[[#This Row],[Conversion]]="All",LCI_Table[[#This Row],[Conversion]]=SelectedConversion)</f>
        <v>1</v>
      </c>
      <c r="I2365" s="14" t="b">
        <f>OR(LCI_Table[[#This Row],[Data Set]]="all",LCI_Table[[#This Row],[Data Set]]=SelectedDataSet)</f>
        <v>0</v>
      </c>
      <c r="J2365" s="14" t="b">
        <f>OR(LCI_Table[[#This Row],[Technology]]="All",LCI_Table[[#This Row],[Technology]]=SelectedTechnology)</f>
        <v>1</v>
      </c>
      <c r="K2365" s="14" t="b">
        <f>OR(LCI_Table[[#This Row],[Data Source]]="All",LCI_Table[[#This Row],[Data Source]]=SelectedDataSource)</f>
        <v>0</v>
      </c>
      <c r="L2365" s="14" t="b">
        <f>TRUE</f>
        <v>1</v>
      </c>
      <c r="M2365" s="14" t="b">
        <f>(LCI_Table[[#This Row],[Dev Notes]]="Do not display")</f>
        <v>0</v>
      </c>
      <c r="N2365" s="14" t="b">
        <f>AND(LCI_Table[[#This Row],[Show Feedstock]:[Conditional]],NOT(LCI_Table[[#This Row],[Hide Row]]))</f>
        <v>0</v>
      </c>
      <c r="O2365" s="14" t="b">
        <f>LCI_Table[[#This Row],[GREET1 Name Range]]=""</f>
        <v>0</v>
      </c>
      <c r="P2365" s="14" t="s">
        <v>1448</v>
      </c>
      <c r="Q2365" s="14" t="s">
        <v>1091</v>
      </c>
      <c r="R2365" s="14" t="s">
        <v>1684</v>
      </c>
      <c r="S2365" s="37" cm="1">
        <f t="array" aca="1" ref="S23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1.8567813333963177</v>
      </c>
      <c r="T2365" s="346" t="s">
        <v>2121</v>
      </c>
      <c r="U2365" s="347">
        <f ca="1">S2365*lb2g/Fuel_Specs!$E$48*Fuel_Specs!$B$48/BTU2kWh*BTU2mmBTU/Allocations!$O$184</f>
        <v>120.12037863019266</v>
      </c>
      <c r="V2365" s="373">
        <v>1.8567813333963177</v>
      </c>
      <c r="W2365" s="347">
        <v>120.12037863019266</v>
      </c>
      <c r="X2365" s="14" t="s">
        <v>51</v>
      </c>
      <c r="Y2365" s="346" t="s">
        <v>416</v>
      </c>
      <c r="Z2365" s="14" t="str">
        <f>IF(ISBLANK(LCI_Table[[#This Row],[Notes for user]])," ",LCI_Table[[#This Row],[Notes for user]])</f>
        <v xml:space="preserve"> </v>
      </c>
      <c r="AA2365" s="14"/>
      <c r="AB2365" s="14"/>
      <c r="AC2365" s="346">
        <f ca="1">LCI_Table[[#This Row],[Default Calculated Value]]-LCI_Table[[#This Row],[Calculated Value]]</f>
        <v>0</v>
      </c>
    </row>
    <row r="2366" spans="1:29" x14ac:dyDescent="0.3">
      <c r="A23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UCOHEFAICAOMIT (GREET)(blank)_UCO_HEFA_HydrogenHydrogen</v>
      </c>
      <c r="B2366" s="14" t="s">
        <v>875</v>
      </c>
      <c r="C2366" s="14" t="s">
        <v>30</v>
      </c>
      <c r="D2366" s="14" t="s">
        <v>194</v>
      </c>
      <c r="E2366" s="14" t="s">
        <v>1335</v>
      </c>
      <c r="F2366" s="48" t="s">
        <v>31</v>
      </c>
      <c r="G2366" s="14" t="b">
        <f>OR(LCI_Table[[#This Row],[Feedstock]]="All",LCI_Table[[#This Row],[Feedstock]]=SelectedFeedstock)</f>
        <v>0</v>
      </c>
      <c r="H2366" s="14" t="b">
        <f>OR(LCI_Table[[#This Row],[Conversion]]="All",LCI_Table[[#This Row],[Conversion]]=SelectedConversion)</f>
        <v>1</v>
      </c>
      <c r="I2366" s="14" t="b">
        <f>OR(LCI_Table[[#This Row],[Data Set]]="all",LCI_Table[[#This Row],[Data Set]]=SelectedDataSet)</f>
        <v>0</v>
      </c>
      <c r="J2366" s="14" t="b">
        <f>OR(LCI_Table[[#This Row],[Technology]]="All",LCI_Table[[#This Row],[Technology]]=SelectedTechnology)</f>
        <v>1</v>
      </c>
      <c r="K2366" s="14" t="b">
        <f>OR(LCI_Table[[#This Row],[Data Source]]="All",LCI_Table[[#This Row],[Data Source]]=SelectedDataSource)</f>
        <v>0</v>
      </c>
      <c r="L2366" s="14" t="b">
        <f>TRUE</f>
        <v>1</v>
      </c>
      <c r="M2366" s="14" t="b">
        <f>(LCI_Table[[#This Row],[Dev Notes]]="Do not display")</f>
        <v>0</v>
      </c>
      <c r="N2366" s="14" t="b">
        <f>AND(LCI_Table[[#This Row],[Show Feedstock]:[Conditional]],NOT(LCI_Table[[#This Row],[Hide Row]]))</f>
        <v>0</v>
      </c>
      <c r="O2366" s="14" t="b">
        <f>LCI_Table[[#This Row],[GREET1 Name Range]]=""</f>
        <v>0</v>
      </c>
      <c r="P2366" s="14" t="s">
        <v>1448</v>
      </c>
      <c r="Q2366" s="14" t="s">
        <v>1092</v>
      </c>
      <c r="R2366" s="14" t="s">
        <v>73</v>
      </c>
      <c r="S2366" s="37" cm="1">
        <f t="array" aca="1" ref="S23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66" s="346" t="s">
        <v>2120</v>
      </c>
      <c r="U2366" s="347">
        <f ca="1">S2366*lb2g/Fuel_Specs!$E$48*Fuel_Specs!$B$48*Fuel_Specs!$B$81*BTU2mmBTU/Allocations!$O$184</f>
        <v>0</v>
      </c>
      <c r="V2366" s="347">
        <v>0</v>
      </c>
      <c r="W2366" s="347">
        <v>0</v>
      </c>
      <c r="X2366" s="14" t="s">
        <v>351</v>
      </c>
      <c r="Y2366" s="346" t="s">
        <v>416</v>
      </c>
      <c r="Z2366" s="14" t="str">
        <f>IF(ISBLANK(LCI_Table[[#This Row],[Notes for user]])," ",LCI_Table[[#This Row],[Notes for user]])</f>
        <v xml:space="preserve"> </v>
      </c>
      <c r="AA2366" s="14"/>
      <c r="AB2366" s="14"/>
      <c r="AC2366" s="346">
        <f ca="1">LCI_Table[[#This Row],[Default Calculated Value]]-LCI_Table[[#This Row],[Calculated Value]]</f>
        <v>0</v>
      </c>
    </row>
    <row r="2367" spans="1:29" x14ac:dyDescent="0.3">
      <c r="A23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TallowHEFAGREETGREET(blank)_Tallow_Residual_oilResidual oil</v>
      </c>
      <c r="B2367" s="179" t="s">
        <v>874</v>
      </c>
      <c r="C2367" s="179" t="s">
        <v>30</v>
      </c>
      <c r="D2367" s="180" t="s">
        <v>29</v>
      </c>
      <c r="E2367" s="180" t="s">
        <v>29</v>
      </c>
      <c r="F2367" s="375" t="s">
        <v>31</v>
      </c>
      <c r="G2367" s="14" t="b">
        <f>OR(LCI_Table[[#This Row],[Feedstock]]="All",LCI_Table[[#This Row],[Feedstock]]=SelectedFeedstock)</f>
        <v>0</v>
      </c>
      <c r="H2367" s="14" t="b">
        <f>OR(LCI_Table[[#This Row],[Conversion]]="All",LCI_Table[[#This Row],[Conversion]]=SelectedConversion)</f>
        <v>1</v>
      </c>
      <c r="I2367" s="14" t="b">
        <f>OR(LCI_Table[[#This Row],[Data Set]]="all",LCI_Table[[#This Row],[Data Set]]=SelectedDataSet)</f>
        <v>1</v>
      </c>
      <c r="J2367" s="14" t="b">
        <f>OR(LCI_Table[[#This Row],[Technology]]="All",LCI_Table[[#This Row],[Technology]]=SelectedTechnology)</f>
        <v>1</v>
      </c>
      <c r="K2367" s="14" t="b">
        <f>OR(LCI_Table[[#This Row],[Data Source]]="All",LCI_Table[[#This Row],[Data Source]]=SelectedDataSource)</f>
        <v>1</v>
      </c>
      <c r="L2367" s="14" t="b">
        <v>0</v>
      </c>
      <c r="M2367" s="14" t="b">
        <f>(LCI_Table[[#This Row],[Dev Notes]]="Do not display")</f>
        <v>0</v>
      </c>
      <c r="N2367" s="14" t="b">
        <v>0</v>
      </c>
      <c r="O2367" s="14" t="b">
        <f>LCI_Table[[#This Row],[GREET1 Name Range]]=""</f>
        <v>0</v>
      </c>
      <c r="P2367" s="14" t="s">
        <v>887</v>
      </c>
      <c r="Q2367" s="14" t="s">
        <v>1067</v>
      </c>
      <c r="R2367" s="14" t="s">
        <v>115</v>
      </c>
      <c r="S2367" s="37" cm="1">
        <f t="array" aca="1" ref="S23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67" s="346" t="s">
        <v>2143</v>
      </c>
      <c r="U2367" s="347">
        <f ca="1">S2368*Fuel_Specs!$B$19</f>
        <v>0</v>
      </c>
      <c r="V2367" s="347">
        <v>0</v>
      </c>
      <c r="W2367" s="347">
        <v>0</v>
      </c>
      <c r="X2367" s="14" t="s">
        <v>5</v>
      </c>
      <c r="Y2367" s="346" t="s">
        <v>1639</v>
      </c>
      <c r="Z2367" s="14" t="str">
        <f>IF(ISBLANK(LCI_Table[[#This Row],[Notes for user]])," ",LCI_Table[[#This Row],[Notes for user]])</f>
        <v xml:space="preserve"> </v>
      </c>
      <c r="AA2367" s="14"/>
      <c r="AB2367" s="346">
        <v>0</v>
      </c>
      <c r="AC2367" s="346">
        <f ca="1">LCI_Table[[#This Row],[Default Calculated Value]]-LCI_Table[[#This Row],[Calculated Value]]</f>
        <v>0</v>
      </c>
    </row>
    <row r="2368" spans="1:29" x14ac:dyDescent="0.3">
      <c r="A23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TallowHEFAGREETGREET(blank)_Tallow_DieselDiesel</v>
      </c>
      <c r="B2368" s="179" t="s">
        <v>874</v>
      </c>
      <c r="C2368" s="179" t="s">
        <v>30</v>
      </c>
      <c r="D2368" s="180" t="s">
        <v>29</v>
      </c>
      <c r="E2368" s="180" t="s">
        <v>29</v>
      </c>
      <c r="F2368" s="375" t="s">
        <v>31</v>
      </c>
      <c r="G2368" s="14" t="b">
        <f>OR(LCI_Table[[#This Row],[Feedstock]]="All",LCI_Table[[#This Row],[Feedstock]]=SelectedFeedstock)</f>
        <v>0</v>
      </c>
      <c r="H2368" s="14" t="b">
        <f>OR(LCI_Table[[#This Row],[Conversion]]="All",LCI_Table[[#This Row],[Conversion]]=SelectedConversion)</f>
        <v>1</v>
      </c>
      <c r="I2368" s="14" t="b">
        <f>OR(LCI_Table[[#This Row],[Data Set]]="all",LCI_Table[[#This Row],[Data Set]]=SelectedDataSet)</f>
        <v>1</v>
      </c>
      <c r="J2368" s="14" t="b">
        <f>OR(LCI_Table[[#This Row],[Technology]]="All",LCI_Table[[#This Row],[Technology]]=SelectedTechnology)</f>
        <v>1</v>
      </c>
      <c r="K2368" s="14" t="b">
        <f>OR(LCI_Table[[#This Row],[Data Source]]="All",LCI_Table[[#This Row],[Data Source]]=SelectedDataSource)</f>
        <v>1</v>
      </c>
      <c r="L2368" s="14" t="b">
        <v>0</v>
      </c>
      <c r="M2368" s="14" t="b">
        <f>(LCI_Table[[#This Row],[Dev Notes]]="Do not display")</f>
        <v>0</v>
      </c>
      <c r="N2368" s="14" t="b">
        <v>0</v>
      </c>
      <c r="O2368" s="14" t="b">
        <f>LCI_Table[[#This Row],[GREET1 Name Range]]=""</f>
        <v>0</v>
      </c>
      <c r="P2368" s="14" t="s">
        <v>887</v>
      </c>
      <c r="Q2368" s="14" t="s">
        <v>1068</v>
      </c>
      <c r="R2368" s="14" t="s">
        <v>106</v>
      </c>
      <c r="S2368" s="37" cm="1">
        <f t="array" aca="1" ref="S23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68" s="346" t="s">
        <v>2143</v>
      </c>
      <c r="U2368" s="14"/>
      <c r="V2368" s="347">
        <v>0</v>
      </c>
      <c r="W2368" s="14"/>
      <c r="X2368" s="14" t="s">
        <v>5</v>
      </c>
      <c r="Y2368" s="346" t="s">
        <v>1639</v>
      </c>
      <c r="Z2368" s="14" t="str">
        <f>IF(ISBLANK(LCI_Table[[#This Row],[Notes for user]])," ",LCI_Table[[#This Row],[Notes for user]])</f>
        <v xml:space="preserve"> </v>
      </c>
      <c r="AA2368" s="14"/>
      <c r="AB2368" s="346">
        <v>0</v>
      </c>
      <c r="AC2368" s="346">
        <f>LCI_Table[[#This Row],[Default Calculated Value]]-LCI_Table[[#This Row],[Calculated Value]]</f>
        <v>0</v>
      </c>
    </row>
    <row r="2369" spans="1:29" x14ac:dyDescent="0.3">
      <c r="A23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TallowHEFAGREETGREET(blank)_Tallow_GasolineGasoline</v>
      </c>
      <c r="B2369" s="179" t="s">
        <v>874</v>
      </c>
      <c r="C2369" s="179" t="s">
        <v>30</v>
      </c>
      <c r="D2369" s="180" t="s">
        <v>29</v>
      </c>
      <c r="E2369" s="180" t="s">
        <v>29</v>
      </c>
      <c r="F2369" s="375" t="s">
        <v>31</v>
      </c>
      <c r="G2369" s="14" t="b">
        <f>OR(LCI_Table[[#This Row],[Feedstock]]="All",LCI_Table[[#This Row],[Feedstock]]=SelectedFeedstock)</f>
        <v>0</v>
      </c>
      <c r="H2369" s="14" t="b">
        <f>OR(LCI_Table[[#This Row],[Conversion]]="All",LCI_Table[[#This Row],[Conversion]]=SelectedConversion)</f>
        <v>1</v>
      </c>
      <c r="I2369" s="14" t="b">
        <f>OR(LCI_Table[[#This Row],[Data Set]]="all",LCI_Table[[#This Row],[Data Set]]=SelectedDataSet)</f>
        <v>1</v>
      </c>
      <c r="J2369" s="14" t="b">
        <f>OR(LCI_Table[[#This Row],[Technology]]="All",LCI_Table[[#This Row],[Technology]]=SelectedTechnology)</f>
        <v>1</v>
      </c>
      <c r="K2369" s="14" t="b">
        <f>OR(LCI_Table[[#This Row],[Data Source]]="All",LCI_Table[[#This Row],[Data Source]]=SelectedDataSource)</f>
        <v>1</v>
      </c>
      <c r="L2369" s="14" t="b">
        <v>0</v>
      </c>
      <c r="M2369" s="14" t="b">
        <f>(LCI_Table[[#This Row],[Dev Notes]]="Do not display")</f>
        <v>0</v>
      </c>
      <c r="N2369" s="14" t="b">
        <v>0</v>
      </c>
      <c r="O2369" s="14" t="b">
        <f>LCI_Table[[#This Row],[GREET1 Name Range]]=""</f>
        <v>0</v>
      </c>
      <c r="P2369" s="14" t="s">
        <v>887</v>
      </c>
      <c r="Q2369" s="14" t="s">
        <v>1069</v>
      </c>
      <c r="R2369" s="14" t="s">
        <v>107</v>
      </c>
      <c r="S2369" s="37" cm="1">
        <f t="array" aca="1" ref="S23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69" s="346" t="s">
        <v>2143</v>
      </c>
      <c r="U2369" s="347">
        <f ca="1">S2369*Fuel_Specs!$B$15</f>
        <v>0</v>
      </c>
      <c r="V2369" s="347">
        <v>0</v>
      </c>
      <c r="W2369" s="347">
        <v>0</v>
      </c>
      <c r="X2369" s="14" t="s">
        <v>5</v>
      </c>
      <c r="Y2369" s="346" t="s">
        <v>1639</v>
      </c>
      <c r="Z2369" s="14" t="str">
        <f>IF(ISBLANK(LCI_Table[[#This Row],[Notes for user]])," ",LCI_Table[[#This Row],[Notes for user]])</f>
        <v xml:space="preserve"> </v>
      </c>
      <c r="AA2369" s="14"/>
      <c r="AB2369" s="346">
        <v>0</v>
      </c>
      <c r="AC2369" s="346">
        <f ca="1">LCI_Table[[#This Row],[Default Calculated Value]]-LCI_Table[[#This Row],[Calculated Value]]</f>
        <v>0</v>
      </c>
    </row>
    <row r="2370" spans="1:29" x14ac:dyDescent="0.3">
      <c r="A23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TallowHEFAGREETGREET(blank)_Tallow_Natural_gasNatural gas</v>
      </c>
      <c r="B2370" s="179" t="s">
        <v>874</v>
      </c>
      <c r="C2370" s="179" t="s">
        <v>30</v>
      </c>
      <c r="D2370" s="180" t="s">
        <v>29</v>
      </c>
      <c r="E2370" s="180" t="s">
        <v>29</v>
      </c>
      <c r="F2370" s="375" t="s">
        <v>31</v>
      </c>
      <c r="G2370" s="14" t="b">
        <f>OR(LCI_Table[[#This Row],[Feedstock]]="All",LCI_Table[[#This Row],[Feedstock]]=SelectedFeedstock)</f>
        <v>0</v>
      </c>
      <c r="H2370" s="14" t="b">
        <f>OR(LCI_Table[[#This Row],[Conversion]]="All",LCI_Table[[#This Row],[Conversion]]=SelectedConversion)</f>
        <v>1</v>
      </c>
      <c r="I2370" s="14" t="b">
        <f>OR(LCI_Table[[#This Row],[Data Set]]="all",LCI_Table[[#This Row],[Data Set]]=SelectedDataSet)</f>
        <v>1</v>
      </c>
      <c r="J2370" s="14" t="b">
        <f>OR(LCI_Table[[#This Row],[Technology]]="All",LCI_Table[[#This Row],[Technology]]=SelectedTechnology)</f>
        <v>1</v>
      </c>
      <c r="K2370" s="14" t="b">
        <f>OR(LCI_Table[[#This Row],[Data Source]]="All",LCI_Table[[#This Row],[Data Source]]=SelectedDataSource)</f>
        <v>1</v>
      </c>
      <c r="L2370" s="14" t="b">
        <v>0</v>
      </c>
      <c r="M2370" s="14" t="b">
        <f>(LCI_Table[[#This Row],[Dev Notes]]="Do not display")</f>
        <v>0</v>
      </c>
      <c r="N2370" s="14" t="b">
        <v>0</v>
      </c>
      <c r="O2370" s="14" t="b">
        <f>LCI_Table[[#This Row],[GREET1 Name Range]]=""</f>
        <v>0</v>
      </c>
      <c r="P2370" s="14" t="s">
        <v>887</v>
      </c>
      <c r="Q2370" s="14" t="s">
        <v>1070</v>
      </c>
      <c r="R2370" s="14" t="s">
        <v>108</v>
      </c>
      <c r="S2370" s="37" cm="1">
        <f t="array" aca="1" ref="S23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1.0706520655057579</v>
      </c>
      <c r="T2370" s="346" t="s">
        <v>2144</v>
      </c>
      <c r="U2370" s="347">
        <f ca="1">S2370*Fuel_Specs!$B$79</f>
        <v>1052.4509803921601</v>
      </c>
      <c r="V2370" s="347">
        <v>1.0706520655057579</v>
      </c>
      <c r="W2370" s="347">
        <v>1052.4509803921601</v>
      </c>
      <c r="X2370" s="14" t="s">
        <v>351</v>
      </c>
      <c r="Y2370" s="346" t="s">
        <v>1639</v>
      </c>
      <c r="Z2370" s="14" t="str">
        <f>IF(ISBLANK(LCI_Table[[#This Row],[Notes for user]])," ",LCI_Table[[#This Row],[Notes for user]])</f>
        <v xml:space="preserve"> </v>
      </c>
      <c r="AA2370" s="14"/>
      <c r="AB2370" s="346">
        <v>0</v>
      </c>
      <c r="AC2370" s="346">
        <f ca="1">LCI_Table[[#This Row],[Default Calculated Value]]-LCI_Table[[#This Row],[Calculated Value]]</f>
        <v>0</v>
      </c>
    </row>
    <row r="2371" spans="1:29" x14ac:dyDescent="0.3">
      <c r="A23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TallowHEFAGREETGREET(blank)_Tallow_CoalCoal</v>
      </c>
      <c r="B2371" s="179" t="s">
        <v>874</v>
      </c>
      <c r="C2371" s="179" t="s">
        <v>30</v>
      </c>
      <c r="D2371" s="180" t="s">
        <v>29</v>
      </c>
      <c r="E2371" s="180" t="s">
        <v>29</v>
      </c>
      <c r="F2371" s="375" t="s">
        <v>31</v>
      </c>
      <c r="G2371" s="14" t="b">
        <f>OR(LCI_Table[[#This Row],[Feedstock]]="All",LCI_Table[[#This Row],[Feedstock]]=SelectedFeedstock)</f>
        <v>0</v>
      </c>
      <c r="H2371" s="14" t="b">
        <f>OR(LCI_Table[[#This Row],[Conversion]]="All",LCI_Table[[#This Row],[Conversion]]=SelectedConversion)</f>
        <v>1</v>
      </c>
      <c r="I2371" s="14" t="b">
        <f>OR(LCI_Table[[#This Row],[Data Set]]="all",LCI_Table[[#This Row],[Data Set]]=SelectedDataSet)</f>
        <v>1</v>
      </c>
      <c r="J2371" s="14" t="b">
        <f>OR(LCI_Table[[#This Row],[Technology]]="All",LCI_Table[[#This Row],[Technology]]=SelectedTechnology)</f>
        <v>1</v>
      </c>
      <c r="K2371" s="14" t="b">
        <f>OR(LCI_Table[[#This Row],[Data Source]]="All",LCI_Table[[#This Row],[Data Source]]=SelectedDataSource)</f>
        <v>1</v>
      </c>
      <c r="L2371" s="14" t="b">
        <v>0</v>
      </c>
      <c r="M2371" s="14" t="b">
        <f>(LCI_Table[[#This Row],[Dev Notes]]="Do not display")</f>
        <v>0</v>
      </c>
      <c r="N2371" s="14" t="b">
        <v>0</v>
      </c>
      <c r="O2371" s="14" t="b">
        <f>LCI_Table[[#This Row],[GREET1 Name Range]]=""</f>
        <v>0</v>
      </c>
      <c r="P2371" s="14" t="s">
        <v>887</v>
      </c>
      <c r="Q2371" s="14" t="s">
        <v>1071</v>
      </c>
      <c r="R2371" s="14" t="s">
        <v>9</v>
      </c>
      <c r="S2371" s="37" cm="1">
        <f t="array" aca="1" ref="S23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71" s="346" t="s">
        <v>2145</v>
      </c>
      <c r="U2371" s="347">
        <f ca="1">S2371</f>
        <v>0</v>
      </c>
      <c r="V2371" s="347">
        <v>0</v>
      </c>
      <c r="W2371" s="347">
        <v>0</v>
      </c>
      <c r="X2371" s="14" t="s">
        <v>117</v>
      </c>
      <c r="Y2371" s="346" t="s">
        <v>1639</v>
      </c>
      <c r="Z2371" s="14" t="str">
        <f>IF(ISBLANK(LCI_Table[[#This Row],[Notes for user]])," ",LCI_Table[[#This Row],[Notes for user]])</f>
        <v xml:space="preserve"> </v>
      </c>
      <c r="AA2371" s="14"/>
      <c r="AB2371" s="346">
        <v>0</v>
      </c>
      <c r="AC2371" s="346">
        <f ca="1">LCI_Table[[#This Row],[Default Calculated Value]]-LCI_Table[[#This Row],[Calculated Value]]</f>
        <v>0</v>
      </c>
    </row>
    <row r="2372" spans="1:29" x14ac:dyDescent="0.3">
      <c r="A23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TallowHEFAGREETGREET(blank)_Tallow_LPGLPG</v>
      </c>
      <c r="B2372" s="179" t="s">
        <v>874</v>
      </c>
      <c r="C2372" s="179" t="s">
        <v>30</v>
      </c>
      <c r="D2372" s="180" t="s">
        <v>29</v>
      </c>
      <c r="E2372" s="180" t="s">
        <v>29</v>
      </c>
      <c r="F2372" s="375" t="s">
        <v>31</v>
      </c>
      <c r="G2372" s="14" t="b">
        <f>OR(LCI_Table[[#This Row],[Feedstock]]="All",LCI_Table[[#This Row],[Feedstock]]=SelectedFeedstock)</f>
        <v>0</v>
      </c>
      <c r="H2372" s="14" t="b">
        <f>OR(LCI_Table[[#This Row],[Conversion]]="All",LCI_Table[[#This Row],[Conversion]]=SelectedConversion)</f>
        <v>1</v>
      </c>
      <c r="I2372" s="14" t="b">
        <f>OR(LCI_Table[[#This Row],[Data Set]]="all",LCI_Table[[#This Row],[Data Set]]=SelectedDataSet)</f>
        <v>1</v>
      </c>
      <c r="J2372" s="14" t="b">
        <f>OR(LCI_Table[[#This Row],[Technology]]="All",LCI_Table[[#This Row],[Technology]]=SelectedTechnology)</f>
        <v>1</v>
      </c>
      <c r="K2372" s="14" t="b">
        <f>OR(LCI_Table[[#This Row],[Data Source]]="All",LCI_Table[[#This Row],[Data Source]]=SelectedDataSource)</f>
        <v>1</v>
      </c>
      <c r="L2372" s="14" t="b">
        <v>0</v>
      </c>
      <c r="M2372" s="14" t="b">
        <f>(LCI_Table[[#This Row],[Dev Notes]]="Do not display")</f>
        <v>0</v>
      </c>
      <c r="N2372" s="14" t="b">
        <v>0</v>
      </c>
      <c r="O2372" s="14" t="b">
        <f>LCI_Table[[#This Row],[GREET1 Name Range]]=""</f>
        <v>0</v>
      </c>
      <c r="P2372" s="14" t="s">
        <v>887</v>
      </c>
      <c r="Q2372" s="14" t="s">
        <v>1072</v>
      </c>
      <c r="R2372" s="14" t="s">
        <v>109</v>
      </c>
      <c r="S2372" s="37" cm="1">
        <f t="array" aca="1" ref="S23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72" s="346" t="s">
        <v>2143</v>
      </c>
      <c r="U2372" s="347">
        <f ca="1">S2372*Fuel_Specs!$B$35</f>
        <v>0</v>
      </c>
      <c r="V2372" s="347">
        <v>0</v>
      </c>
      <c r="W2372" s="347">
        <v>0</v>
      </c>
      <c r="X2372" s="14" t="s">
        <v>5</v>
      </c>
      <c r="Y2372" s="346" t="s">
        <v>1639</v>
      </c>
      <c r="Z2372" s="14" t="str">
        <f>IF(ISBLANK(LCI_Table[[#This Row],[Notes for user]])," ",LCI_Table[[#This Row],[Notes for user]])</f>
        <v xml:space="preserve"> </v>
      </c>
      <c r="AA2372" s="14"/>
      <c r="AB2372" s="346">
        <v>0</v>
      </c>
      <c r="AC2372" s="346">
        <f ca="1">LCI_Table[[#This Row],[Default Calculated Value]]-LCI_Table[[#This Row],[Calculated Value]]</f>
        <v>0</v>
      </c>
    </row>
    <row r="2373" spans="1:29" x14ac:dyDescent="0.3">
      <c r="A23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TallowHEFAGREETGREET(blank)_Tallow_ElectricityElectricity</v>
      </c>
      <c r="B2373" s="179" t="s">
        <v>874</v>
      </c>
      <c r="C2373" s="179" t="s">
        <v>30</v>
      </c>
      <c r="D2373" s="180" t="s">
        <v>29</v>
      </c>
      <c r="E2373" s="180" t="s">
        <v>29</v>
      </c>
      <c r="F2373" s="375" t="s">
        <v>31</v>
      </c>
      <c r="G2373" s="14" t="b">
        <f>OR(LCI_Table[[#This Row],[Feedstock]]="All",LCI_Table[[#This Row],[Feedstock]]=SelectedFeedstock)</f>
        <v>0</v>
      </c>
      <c r="H2373" s="14" t="b">
        <f>OR(LCI_Table[[#This Row],[Conversion]]="All",LCI_Table[[#This Row],[Conversion]]=SelectedConversion)</f>
        <v>1</v>
      </c>
      <c r="I2373" s="14" t="b">
        <f>OR(LCI_Table[[#This Row],[Data Set]]="all",LCI_Table[[#This Row],[Data Set]]=SelectedDataSet)</f>
        <v>1</v>
      </c>
      <c r="J2373" s="14" t="b">
        <f>OR(LCI_Table[[#This Row],[Technology]]="All",LCI_Table[[#This Row],[Technology]]=SelectedTechnology)</f>
        <v>1</v>
      </c>
      <c r="K2373" s="14" t="b">
        <f>OR(LCI_Table[[#This Row],[Data Source]]="All",LCI_Table[[#This Row],[Data Source]]=SelectedDataSource)</f>
        <v>1</v>
      </c>
      <c r="L2373" s="14" t="b">
        <v>0</v>
      </c>
      <c r="M2373" s="14" t="b">
        <f>(LCI_Table[[#This Row],[Dev Notes]]="Do not display")</f>
        <v>0</v>
      </c>
      <c r="N2373" s="14" t="b">
        <v>0</v>
      </c>
      <c r="O2373" s="14" t="b">
        <f>LCI_Table[[#This Row],[GREET1 Name Range]]=""</f>
        <v>0</v>
      </c>
      <c r="P2373" s="14" t="s">
        <v>887</v>
      </c>
      <c r="Q2373" s="14" t="s">
        <v>1073</v>
      </c>
      <c r="R2373" s="14" t="s">
        <v>110</v>
      </c>
      <c r="S2373" s="37" cm="1">
        <f t="array" aca="1" ref="S23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8.9932592878540246E-2</v>
      </c>
      <c r="T2373" s="346" t="s">
        <v>2146</v>
      </c>
      <c r="U2373" s="347">
        <f ca="1">S2373/BTU2kWh</f>
        <v>306.862745098039</v>
      </c>
      <c r="V2373" s="347">
        <v>8.9932592878540246E-2</v>
      </c>
      <c r="W2373" s="347">
        <v>306.862745098039</v>
      </c>
      <c r="X2373" s="14" t="s">
        <v>51</v>
      </c>
      <c r="Y2373" s="346" t="s">
        <v>1639</v>
      </c>
      <c r="Z2373" s="14" t="str">
        <f>IF(ISBLANK(LCI_Table[[#This Row],[Notes for user]])," ",LCI_Table[[#This Row],[Notes for user]])</f>
        <v xml:space="preserve"> </v>
      </c>
      <c r="AA2373" s="14"/>
      <c r="AB2373" s="346">
        <v>0</v>
      </c>
      <c r="AC2373" s="346">
        <f ca="1">LCI_Table[[#This Row],[Default Calculated Value]]-LCI_Table[[#This Row],[Calculated Value]]</f>
        <v>0</v>
      </c>
    </row>
    <row r="2374" spans="1:29" x14ac:dyDescent="0.3">
      <c r="A23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TallowHEFAGREETGREET(blank)_Tallow_N_hexaneN-hexane</v>
      </c>
      <c r="B2374" s="179" t="s">
        <v>874</v>
      </c>
      <c r="C2374" s="179" t="s">
        <v>30</v>
      </c>
      <c r="D2374" s="180" t="s">
        <v>29</v>
      </c>
      <c r="E2374" s="180" t="s">
        <v>29</v>
      </c>
      <c r="F2374" s="375" t="s">
        <v>31</v>
      </c>
      <c r="G2374" s="14" t="b">
        <f>OR(LCI_Table[[#This Row],[Feedstock]]="All",LCI_Table[[#This Row],[Feedstock]]=SelectedFeedstock)</f>
        <v>0</v>
      </c>
      <c r="H2374" s="14" t="b">
        <f>OR(LCI_Table[[#This Row],[Conversion]]="All",LCI_Table[[#This Row],[Conversion]]=SelectedConversion)</f>
        <v>1</v>
      </c>
      <c r="I2374" s="14" t="b">
        <f>OR(LCI_Table[[#This Row],[Data Set]]="all",LCI_Table[[#This Row],[Data Set]]=SelectedDataSet)</f>
        <v>1</v>
      </c>
      <c r="J2374" s="14" t="b">
        <f>OR(LCI_Table[[#This Row],[Technology]]="All",LCI_Table[[#This Row],[Technology]]=SelectedTechnology)</f>
        <v>1</v>
      </c>
      <c r="K2374" s="14" t="b">
        <f>OR(LCI_Table[[#This Row],[Data Source]]="All",LCI_Table[[#This Row],[Data Source]]=SelectedDataSource)</f>
        <v>1</v>
      </c>
      <c r="L2374" s="14" t="b">
        <v>0</v>
      </c>
      <c r="M2374" s="14" t="b">
        <f>(LCI_Table[[#This Row],[Dev Notes]]="Do not display")</f>
        <v>0</v>
      </c>
      <c r="N2374" s="14" t="b">
        <v>0</v>
      </c>
      <c r="O2374" s="14" t="b">
        <f>LCI_Table[[#This Row],[GREET1 Name Range]]=""</f>
        <v>0</v>
      </c>
      <c r="P2374" s="14" t="s">
        <v>887</v>
      </c>
      <c r="Q2374" s="14" t="s">
        <v>1074</v>
      </c>
      <c r="R2374" s="14" t="s">
        <v>116</v>
      </c>
      <c r="S2374" s="37" cm="1">
        <f t="array" aca="1" ref="S23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74" s="346" t="s">
        <v>2143</v>
      </c>
      <c r="U2374" s="347">
        <f ca="1">S2374*Fuel_Specs!$B$58</f>
        <v>0</v>
      </c>
      <c r="V2374" s="347">
        <v>0</v>
      </c>
      <c r="W2374" s="347">
        <v>0</v>
      </c>
      <c r="X2374" s="37" t="s">
        <v>5</v>
      </c>
      <c r="Y2374" s="346" t="s">
        <v>1639</v>
      </c>
      <c r="Z2374" s="14" t="str">
        <f>IF(ISBLANK(LCI_Table[[#This Row],[Notes for user]])," ",LCI_Table[[#This Row],[Notes for user]])</f>
        <v xml:space="preserve"> </v>
      </c>
      <c r="AA2374" s="14"/>
      <c r="AB2374" s="346">
        <v>0</v>
      </c>
      <c r="AC2374" s="346">
        <f ca="1">LCI_Table[[#This Row],[Default Calculated Value]]-LCI_Table[[#This Row],[Calculated Value]]</f>
        <v>0</v>
      </c>
    </row>
    <row r="2375" spans="1:29" x14ac:dyDescent="0.3">
      <c r="A23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TallowHEFAGREETGREET(blank)_Tallow_MethanolMethanol</v>
      </c>
      <c r="B2375" s="179" t="s">
        <v>874</v>
      </c>
      <c r="C2375" s="179" t="s">
        <v>30</v>
      </c>
      <c r="D2375" s="180" t="s">
        <v>29</v>
      </c>
      <c r="E2375" s="180" t="s">
        <v>29</v>
      </c>
      <c r="F2375" s="375" t="s">
        <v>31</v>
      </c>
      <c r="G2375" s="14" t="b">
        <f>OR(LCI_Table[[#This Row],[Feedstock]]="All",LCI_Table[[#This Row],[Feedstock]]=SelectedFeedstock)</f>
        <v>0</v>
      </c>
      <c r="H2375" s="14" t="b">
        <f>OR(LCI_Table[[#This Row],[Conversion]]="All",LCI_Table[[#This Row],[Conversion]]=SelectedConversion)</f>
        <v>1</v>
      </c>
      <c r="I2375" s="14" t="b">
        <f>OR(LCI_Table[[#This Row],[Data Set]]="all",LCI_Table[[#This Row],[Data Set]]=SelectedDataSet)</f>
        <v>1</v>
      </c>
      <c r="J2375" s="14" t="b">
        <f>OR(LCI_Table[[#This Row],[Technology]]="All",LCI_Table[[#This Row],[Technology]]=SelectedTechnology)</f>
        <v>1</v>
      </c>
      <c r="K2375" s="14" t="b">
        <f>OR(LCI_Table[[#This Row],[Data Source]]="All",LCI_Table[[#This Row],[Data Source]]=SelectedDataSource)</f>
        <v>1</v>
      </c>
      <c r="L2375" s="14" t="b">
        <v>0</v>
      </c>
      <c r="M2375" s="14" t="b">
        <f>(LCI_Table[[#This Row],[Dev Notes]]="Do not display")</f>
        <v>0</v>
      </c>
      <c r="N2375" s="14" t="b">
        <v>0</v>
      </c>
      <c r="O2375" s="14" t="b">
        <f>LCI_Table[[#This Row],[GREET1 Name Range]]=""</f>
        <v>0</v>
      </c>
      <c r="P2375" s="14" t="s">
        <v>887</v>
      </c>
      <c r="Q2375" s="14" t="s">
        <v>1075</v>
      </c>
      <c r="R2375" s="14" t="s">
        <v>250</v>
      </c>
      <c r="S2375" s="37" cm="1">
        <f t="array" aca="1" ref="S23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75" s="346" t="s">
        <v>2143</v>
      </c>
      <c r="U2375" s="347">
        <f ca="1">S2375*Fuel_Specs!$B$30</f>
        <v>0</v>
      </c>
      <c r="V2375" s="347">
        <v>0</v>
      </c>
      <c r="W2375" s="347">
        <v>0</v>
      </c>
      <c r="X2375" s="37" t="s">
        <v>5</v>
      </c>
      <c r="Y2375" s="346" t="s">
        <v>1639</v>
      </c>
      <c r="Z2375" s="14" t="str">
        <f>IF(ISBLANK(LCI_Table[[#This Row],[Notes for user]])," ",LCI_Table[[#This Row],[Notes for user]])</f>
        <v xml:space="preserve"> </v>
      </c>
      <c r="AA2375" s="14"/>
      <c r="AB2375" s="346">
        <v>0</v>
      </c>
      <c r="AC2375" s="346">
        <f ca="1">LCI_Table[[#This Row],[Default Calculated Value]]-LCI_Table[[#This Row],[Calculated Value]]</f>
        <v>0</v>
      </c>
    </row>
    <row r="2376" spans="1:29" x14ac:dyDescent="0.3">
      <c r="A23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TallowHEFAGREETGREET(blank)_Tallow_HydrogenHydrogen</v>
      </c>
      <c r="B2376" s="179" t="s">
        <v>874</v>
      </c>
      <c r="C2376" s="179" t="s">
        <v>30</v>
      </c>
      <c r="D2376" s="180" t="s">
        <v>29</v>
      </c>
      <c r="E2376" s="180" t="s">
        <v>29</v>
      </c>
      <c r="F2376" s="375" t="s">
        <v>31</v>
      </c>
      <c r="G2376" s="14" t="b">
        <f>OR(LCI_Table[[#This Row],[Feedstock]]="All",LCI_Table[[#This Row],[Feedstock]]=SelectedFeedstock)</f>
        <v>0</v>
      </c>
      <c r="H2376" s="14" t="b">
        <f>OR(LCI_Table[[#This Row],[Conversion]]="All",LCI_Table[[#This Row],[Conversion]]=SelectedConversion)</f>
        <v>1</v>
      </c>
      <c r="I2376" s="14" t="b">
        <f>OR(LCI_Table[[#This Row],[Data Set]]="all",LCI_Table[[#This Row],[Data Set]]=SelectedDataSet)</f>
        <v>1</v>
      </c>
      <c r="J2376" s="14" t="b">
        <f>OR(LCI_Table[[#This Row],[Technology]]="All",LCI_Table[[#This Row],[Technology]]=SelectedTechnology)</f>
        <v>1</v>
      </c>
      <c r="K2376" s="14" t="b">
        <f>OR(LCI_Table[[#This Row],[Data Source]]="All",LCI_Table[[#This Row],[Data Source]]=SelectedDataSource)</f>
        <v>1</v>
      </c>
      <c r="L2376" s="14" t="b">
        <v>0</v>
      </c>
      <c r="M2376" s="14" t="b">
        <f>(LCI_Table[[#This Row],[Dev Notes]]="Do not display")</f>
        <v>0</v>
      </c>
      <c r="N2376" s="14" t="b">
        <v>0</v>
      </c>
      <c r="O2376" s="14" t="b">
        <f>LCI_Table[[#This Row],[GREET1 Name Range]]=""</f>
        <v>0</v>
      </c>
      <c r="P2376" s="14" t="s">
        <v>887</v>
      </c>
      <c r="Q2376" s="14" t="s">
        <v>1076</v>
      </c>
      <c r="R2376" s="14" t="s">
        <v>73</v>
      </c>
      <c r="S2376" s="37" cm="1">
        <f t="array" aca="1" ref="S23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76" s="346" t="s">
        <v>2144</v>
      </c>
      <c r="U2376" s="347">
        <f ca="1">S2376*Fuel_Specs!$B$81</f>
        <v>0</v>
      </c>
      <c r="V2376" s="347">
        <v>0</v>
      </c>
      <c r="W2376" s="347">
        <v>0</v>
      </c>
      <c r="X2376" s="37" t="s">
        <v>351</v>
      </c>
      <c r="Y2376" s="346" t="s">
        <v>1639</v>
      </c>
      <c r="Z2376" s="14" t="str">
        <f>IF(ISBLANK(LCI_Table[[#This Row],[Notes for user]])," ",LCI_Table[[#This Row],[Notes for user]])</f>
        <v xml:space="preserve"> </v>
      </c>
      <c r="AA2376" s="14"/>
      <c r="AB2376" s="346">
        <v>0</v>
      </c>
      <c r="AC2376" s="346">
        <f ca="1">LCI_Table[[#This Row],[Default Calculated Value]]-LCI_Table[[#This Row],[Calculated Value]]</f>
        <v>0</v>
      </c>
    </row>
    <row r="2377" spans="1:29" x14ac:dyDescent="0.3">
      <c r="A23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TallowHEFAGREETGREET(blank)_HEFA_feed_usageTallow</v>
      </c>
      <c r="B2377" s="179" t="s">
        <v>874</v>
      </c>
      <c r="C2377" s="179" t="s">
        <v>30</v>
      </c>
      <c r="D2377" s="180" t="s">
        <v>29</v>
      </c>
      <c r="E2377" s="180" t="s">
        <v>29</v>
      </c>
      <c r="F2377" s="375" t="s">
        <v>31</v>
      </c>
      <c r="G2377" s="14" t="b">
        <f>OR(LCI_Table[[#This Row],[Feedstock]]="All",LCI_Table[[#This Row],[Feedstock]]=SelectedFeedstock)</f>
        <v>0</v>
      </c>
      <c r="H2377" s="14" t="b">
        <f>OR(LCI_Table[[#This Row],[Conversion]]="All",LCI_Table[[#This Row],[Conversion]]=SelectedConversion)</f>
        <v>1</v>
      </c>
      <c r="I2377" s="14" t="b">
        <f>OR(LCI_Table[[#This Row],[Data Set]]="all",LCI_Table[[#This Row],[Data Set]]=SelectedDataSet)</f>
        <v>1</v>
      </c>
      <c r="J2377" s="14" t="b">
        <f>OR(LCI_Table[[#This Row],[Technology]]="All",LCI_Table[[#This Row],[Technology]]=SelectedTechnology)</f>
        <v>1</v>
      </c>
      <c r="K2377" s="14" t="b">
        <f>OR(LCI_Table[[#This Row],[Data Source]]="All",LCI_Table[[#This Row],[Data Source]]=SelectedDataSource)</f>
        <v>1</v>
      </c>
      <c r="L2377" s="14" t="b">
        <v>0</v>
      </c>
      <c r="M2377" s="14" t="b">
        <f>(LCI_Table[[#This Row],[Dev Notes]]="Do not display")</f>
        <v>0</v>
      </c>
      <c r="N2377" s="14" t="b">
        <v>0</v>
      </c>
      <c r="O2377" s="14" t="b">
        <f>LCI_Table[[#This Row],[GREET1 Name Range]]=""</f>
        <v>0</v>
      </c>
      <c r="P2377" s="14" t="s">
        <v>1448</v>
      </c>
      <c r="Q2377" s="14" t="s">
        <v>933</v>
      </c>
      <c r="R2377" s="14" t="s">
        <v>874</v>
      </c>
      <c r="S2377" s="37" cm="1">
        <f t="array" aca="1" ref="S23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60.955501310224768</v>
      </c>
      <c r="T2377" s="346" t="s">
        <v>2119</v>
      </c>
      <c r="U2377" s="372">
        <f ca="1">S2377*lb2g/Fuel_Specs!$E$48*Fuel_Specs!$B$48*BTU2mmBTU/0.911711975329766</f>
        <v>1.2676055388997562</v>
      </c>
      <c r="V2377" s="347">
        <v>60.955501310224768</v>
      </c>
      <c r="W2377" s="347">
        <v>1.2676055388997562</v>
      </c>
      <c r="X2377" s="14" t="s">
        <v>12</v>
      </c>
      <c r="Y2377" s="346" t="s">
        <v>416</v>
      </c>
      <c r="Z2377" s="14" t="str">
        <f>IF(ISBLANK(LCI_Table[[#This Row],[Notes for user]])," ",LCI_Table[[#This Row],[Notes for user]])</f>
        <v xml:space="preserve"> </v>
      </c>
      <c r="AA2377" s="14"/>
      <c r="AB2377" s="346">
        <v>0</v>
      </c>
      <c r="AC2377" s="346">
        <f ca="1">LCI_Table[[#This Row],[Default Calculated Value]]-LCI_Table[[#This Row],[Calculated Value]]</f>
        <v>0</v>
      </c>
    </row>
    <row r="2378" spans="1:29" x14ac:dyDescent="0.3">
      <c r="A23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TallowHEFAGREETGREET(blank)_Tallow_HEFA_Natural_gasNatural gas</v>
      </c>
      <c r="B2378" s="179" t="s">
        <v>874</v>
      </c>
      <c r="C2378" s="179" t="s">
        <v>30</v>
      </c>
      <c r="D2378" s="180" t="s">
        <v>29</v>
      </c>
      <c r="E2378" s="180" t="s">
        <v>29</v>
      </c>
      <c r="F2378" s="375" t="s">
        <v>31</v>
      </c>
      <c r="G2378" s="14" t="b">
        <f>OR(LCI_Table[[#This Row],[Feedstock]]="All",LCI_Table[[#This Row],[Feedstock]]=SelectedFeedstock)</f>
        <v>0</v>
      </c>
      <c r="H2378" s="14" t="b">
        <f>OR(LCI_Table[[#This Row],[Conversion]]="All",LCI_Table[[#This Row],[Conversion]]=SelectedConversion)</f>
        <v>1</v>
      </c>
      <c r="I2378" s="14" t="b">
        <f>OR(LCI_Table[[#This Row],[Data Set]]="all",LCI_Table[[#This Row],[Data Set]]=SelectedDataSet)</f>
        <v>1</v>
      </c>
      <c r="J2378" s="14" t="b">
        <f>OR(LCI_Table[[#This Row],[Technology]]="All",LCI_Table[[#This Row],[Technology]]=SelectedTechnology)</f>
        <v>1</v>
      </c>
      <c r="K2378" s="14" t="b">
        <f>OR(LCI_Table[[#This Row],[Data Source]]="All",LCI_Table[[#This Row],[Data Source]]=SelectedDataSource)</f>
        <v>1</v>
      </c>
      <c r="L2378" s="14" t="b">
        <v>0</v>
      </c>
      <c r="M2378" s="14" t="b">
        <f>(LCI_Table[[#This Row],[Dev Notes]]="Do not display")</f>
        <v>0</v>
      </c>
      <c r="N2378" s="14" t="b">
        <v>0</v>
      </c>
      <c r="O2378" s="14" t="b">
        <f>LCI_Table[[#This Row],[GREET1 Name Range]]=""</f>
        <v>0</v>
      </c>
      <c r="P2378" s="14" t="s">
        <v>1448</v>
      </c>
      <c r="Q2378" s="14" t="s">
        <v>1077</v>
      </c>
      <c r="R2378" s="14" t="s">
        <v>108</v>
      </c>
      <c r="S2378" s="37" cm="1">
        <f t="array" aca="1" ref="S23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17.270356145070281</v>
      </c>
      <c r="T2378" s="346" t="s">
        <v>2120</v>
      </c>
      <c r="U2378" s="347">
        <f ca="1">S2378*Fuel_Specs!$B$79/mmBTU2BTU*Fuel_Specs!$B$48/Fuel_Specs!$E$48/g2lb/0.911711975329766</f>
        <v>353.04172159785446</v>
      </c>
      <c r="V2378" s="347">
        <v>17.270356145070281</v>
      </c>
      <c r="W2378" s="347">
        <v>353.04172159785446</v>
      </c>
      <c r="X2378" s="14" t="s">
        <v>351</v>
      </c>
      <c r="Y2378" s="346" t="s">
        <v>416</v>
      </c>
      <c r="Z2378" s="14" t="str">
        <f>IF(ISBLANK(LCI_Table[[#This Row],[Notes for user]])," ",LCI_Table[[#This Row],[Notes for user]])</f>
        <v xml:space="preserve"> </v>
      </c>
      <c r="AA2378" s="14"/>
      <c r="AB2378" s="346">
        <v>1960.8591599089414</v>
      </c>
      <c r="AC2378" s="346">
        <f ca="1">LCI_Table[[#This Row],[Default Calculated Value]]-LCI_Table[[#This Row],[Calculated Value]]</f>
        <v>0</v>
      </c>
    </row>
    <row r="2379" spans="1:29" x14ac:dyDescent="0.3">
      <c r="A23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TallowHEFAGREETGREET(blank)_Tallow_HEFA_ElectricityGrid Electricity</v>
      </c>
      <c r="B2379" s="179" t="s">
        <v>874</v>
      </c>
      <c r="C2379" s="179" t="s">
        <v>30</v>
      </c>
      <c r="D2379" s="180" t="s">
        <v>29</v>
      </c>
      <c r="E2379" s="180" t="s">
        <v>29</v>
      </c>
      <c r="F2379" s="375" t="s">
        <v>31</v>
      </c>
      <c r="G2379" s="14" t="b">
        <f>OR(LCI_Table[[#This Row],[Feedstock]]="All",LCI_Table[[#This Row],[Feedstock]]=SelectedFeedstock)</f>
        <v>0</v>
      </c>
      <c r="H2379" s="14" t="b">
        <f>OR(LCI_Table[[#This Row],[Conversion]]="All",LCI_Table[[#This Row],[Conversion]]=SelectedConversion)</f>
        <v>1</v>
      </c>
      <c r="I2379" s="14" t="b">
        <f>OR(LCI_Table[[#This Row],[Data Set]]="all",LCI_Table[[#This Row],[Data Set]]=SelectedDataSet)</f>
        <v>1</v>
      </c>
      <c r="J2379" s="14" t="b">
        <f>OR(LCI_Table[[#This Row],[Technology]]="All",LCI_Table[[#This Row],[Technology]]=SelectedTechnology)</f>
        <v>1</v>
      </c>
      <c r="K2379" s="14" t="b">
        <f>OR(LCI_Table[[#This Row],[Data Source]]="All",LCI_Table[[#This Row],[Data Source]]=SelectedDataSource)</f>
        <v>1</v>
      </c>
      <c r="L2379" s="14" t="b">
        <v>0</v>
      </c>
      <c r="M2379" s="14" t="b">
        <f>(LCI_Table[[#This Row],[Dev Notes]]="Do not display")</f>
        <v>0</v>
      </c>
      <c r="N2379" s="14" t="b">
        <v>0</v>
      </c>
      <c r="O2379" s="14" t="b">
        <f>LCI_Table[[#This Row],[GREET1 Name Range]]=""</f>
        <v>0</v>
      </c>
      <c r="P2379" s="14" t="s">
        <v>1448</v>
      </c>
      <c r="Q2379" s="14" t="s">
        <v>1078</v>
      </c>
      <c r="R2379" s="14" t="s">
        <v>1684</v>
      </c>
      <c r="S2379" s="37" cm="1">
        <f t="array" aca="1" ref="S23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2.6166903979060168</v>
      </c>
      <c r="T2379" s="346" t="s">
        <v>2121</v>
      </c>
      <c r="U2379" s="347">
        <f ca="1">S2379*kWh2BTU/mmBTU2BTU*Fuel_Specs!$B$48/Fuel_Specs!$E$48/g2lb/0.911711975329766</f>
        <v>185.67379432183452</v>
      </c>
      <c r="V2379" s="347">
        <v>2.6166903979060168</v>
      </c>
      <c r="W2379" s="347">
        <v>185.67379432183452</v>
      </c>
      <c r="X2379" s="14" t="s">
        <v>51</v>
      </c>
      <c r="Y2379" s="346" t="s">
        <v>416</v>
      </c>
      <c r="Z2379" s="14" t="str">
        <f>IF(ISBLANK(LCI_Table[[#This Row],[Notes for user]])," ",LCI_Table[[#This Row],[Notes for user]])</f>
        <v xml:space="preserve"> </v>
      </c>
      <c r="AA2379" s="14"/>
      <c r="AB2379" s="346">
        <v>0</v>
      </c>
      <c r="AC2379" s="346">
        <f ca="1">LCI_Table[[#This Row],[Default Calculated Value]]-LCI_Table[[#This Row],[Calculated Value]]</f>
        <v>0</v>
      </c>
    </row>
    <row r="2380" spans="1:29" x14ac:dyDescent="0.3">
      <c r="A23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TallowHEFAGREETGREET(blank)_Tallow_HEFA_HydrogenHydrogen</v>
      </c>
      <c r="B2380" s="179" t="s">
        <v>874</v>
      </c>
      <c r="C2380" s="179" t="s">
        <v>30</v>
      </c>
      <c r="D2380" s="180" t="s">
        <v>29</v>
      </c>
      <c r="E2380" s="180" t="s">
        <v>29</v>
      </c>
      <c r="F2380" s="181" t="s">
        <v>31</v>
      </c>
      <c r="G2380" s="14" t="b">
        <f>OR(LCI_Table[[#This Row],[Feedstock]]="All",LCI_Table[[#This Row],[Feedstock]]=SelectedFeedstock)</f>
        <v>0</v>
      </c>
      <c r="H2380" s="14" t="b">
        <f>OR(LCI_Table[[#This Row],[Conversion]]="All",LCI_Table[[#This Row],[Conversion]]=SelectedConversion)</f>
        <v>1</v>
      </c>
      <c r="I2380" s="14" t="b">
        <f>OR(LCI_Table[[#This Row],[Data Set]]="all",LCI_Table[[#This Row],[Data Set]]=SelectedDataSet)</f>
        <v>1</v>
      </c>
      <c r="J2380" s="14" t="b">
        <f>OR(LCI_Table[[#This Row],[Technology]]="All",LCI_Table[[#This Row],[Technology]]=SelectedTechnology)</f>
        <v>1</v>
      </c>
      <c r="K2380" s="14" t="b">
        <f>OR(LCI_Table[[#This Row],[Data Source]]="All",LCI_Table[[#This Row],[Data Source]]=SelectedDataSource)</f>
        <v>1</v>
      </c>
      <c r="L2380" s="14" t="b">
        <v>0</v>
      </c>
      <c r="M2380" s="14" t="b">
        <f>(LCI_Table[[#This Row],[Dev Notes]]="Do not display")</f>
        <v>0</v>
      </c>
      <c r="N2380" s="14" t="b">
        <v>0</v>
      </c>
      <c r="O2380" s="14" t="b">
        <f>LCI_Table[[#This Row],[GREET1 Name Range]]=""</f>
        <v>0</v>
      </c>
      <c r="P2380" s="14" t="s">
        <v>1448</v>
      </c>
      <c r="Q2380" s="14" t="s">
        <v>1079</v>
      </c>
      <c r="R2380" s="14" t="s">
        <v>73</v>
      </c>
      <c r="S2380" s="37" cm="1">
        <f t="array" aca="1" ref="S23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344.30517271876477</v>
      </c>
      <c r="T2380" s="346" t="s">
        <v>2120</v>
      </c>
      <c r="U2380" s="347">
        <f ca="1">S2380*Fuel_Specs!$B$81/mmBTU2BTU*Fuel_Specs!$B$48/Fuel_Specs!$E$48/g2lb/0.911711975329766</f>
        <v>2076.4083477681211</v>
      </c>
      <c r="V2380" s="376">
        <v>344.30517271876477</v>
      </c>
      <c r="W2380" s="376">
        <v>2076.4083477681211</v>
      </c>
      <c r="X2380" s="14" t="s">
        <v>351</v>
      </c>
      <c r="Y2380" s="346" t="s">
        <v>416</v>
      </c>
      <c r="Z2380" s="14" t="str">
        <f>IF(ISBLANK(LCI_Table[[#This Row],[Notes for user]])," ",LCI_Table[[#This Row],[Notes for user]])</f>
        <v xml:space="preserve"> </v>
      </c>
      <c r="AA2380" s="14"/>
      <c r="AB2380" s="346">
        <v>0</v>
      </c>
      <c r="AC2380" s="346">
        <f ca="1">LCI_Table[[#This Row],[Default Calculated Value]]-LCI_Table[[#This Row],[Calculated Value]]</f>
        <v>0</v>
      </c>
    </row>
    <row r="2381" spans="1:29" x14ac:dyDescent="0.3">
      <c r="A23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TallowHEFAICAOJRC (E3)(blank)_Tallow_Residual_oilResidual oil</v>
      </c>
      <c r="B2381" s="179" t="s">
        <v>874</v>
      </c>
      <c r="C2381" s="179" t="s">
        <v>30</v>
      </c>
      <c r="D2381" s="180" t="s">
        <v>194</v>
      </c>
      <c r="E2381" s="182" t="s">
        <v>1336</v>
      </c>
      <c r="F2381" s="375" t="s">
        <v>31</v>
      </c>
      <c r="G2381" s="14" t="b">
        <f>OR(LCI_Table[[#This Row],[Feedstock]]="All",LCI_Table[[#This Row],[Feedstock]]=SelectedFeedstock)</f>
        <v>0</v>
      </c>
      <c r="H2381" s="14" t="b">
        <f>OR(LCI_Table[[#This Row],[Conversion]]="All",LCI_Table[[#This Row],[Conversion]]=SelectedConversion)</f>
        <v>1</v>
      </c>
      <c r="I2381" s="14" t="b">
        <f>OR(LCI_Table[[#This Row],[Data Set]]="all",LCI_Table[[#This Row],[Data Set]]=SelectedDataSet)</f>
        <v>0</v>
      </c>
      <c r="J2381" s="14" t="b">
        <f>OR(LCI_Table[[#This Row],[Technology]]="All",LCI_Table[[#This Row],[Technology]]=SelectedTechnology)</f>
        <v>1</v>
      </c>
      <c r="K2381" s="14" t="b">
        <f>OR(LCI_Table[[#This Row],[Data Source]]="All",LCI_Table[[#This Row],[Data Source]]=SelectedDataSource)</f>
        <v>0</v>
      </c>
      <c r="L2381" s="14" t="b">
        <f>TRUE</f>
        <v>1</v>
      </c>
      <c r="M2381" s="14" t="b">
        <f>(LCI_Table[[#This Row],[Dev Notes]]="Do not display")</f>
        <v>0</v>
      </c>
      <c r="N2381" s="14" t="b">
        <f>AND(LCI_Table[[#This Row],[Show Feedstock]:[Conditional]],NOT(LCI_Table[[#This Row],[Hide Row]]))</f>
        <v>0</v>
      </c>
      <c r="O2381" s="14" t="b">
        <f>LCI_Table[[#This Row],[GREET1 Name Range]]=""</f>
        <v>0</v>
      </c>
      <c r="P2381" s="14" t="s">
        <v>887</v>
      </c>
      <c r="Q2381" s="14" t="s">
        <v>1067</v>
      </c>
      <c r="R2381" s="14" t="s">
        <v>115</v>
      </c>
      <c r="S2381" s="37" cm="1">
        <f t="array" aca="1" ref="S23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81" s="346" t="s">
        <v>2139</v>
      </c>
      <c r="U2381" s="347">
        <f ca="1">S2382*Fuel_Specs!$B$19</f>
        <v>0</v>
      </c>
      <c r="V2381" s="347">
        <v>0</v>
      </c>
      <c r="W2381" s="347">
        <v>0</v>
      </c>
      <c r="X2381" s="14" t="s">
        <v>5</v>
      </c>
      <c r="Y2381" s="346" t="s">
        <v>890</v>
      </c>
      <c r="Z2381" s="14" t="str">
        <f>IF(ISBLANK(LCI_Table[[#This Row],[Notes for user]])," ",LCI_Table[[#This Row],[Notes for user]])</f>
        <v xml:space="preserve"> </v>
      </c>
      <c r="AA2381" s="14"/>
      <c r="AB2381" s="346">
        <v>0</v>
      </c>
      <c r="AC2381" s="346">
        <f ca="1">LCI_Table[[#This Row],[Default Calculated Value]]-LCI_Table[[#This Row],[Calculated Value]]</f>
        <v>0</v>
      </c>
    </row>
    <row r="2382" spans="1:29" x14ac:dyDescent="0.3">
      <c r="A23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TallowHEFAICAOJRC (E3)(blank)_Tallow_DieselDiesel</v>
      </c>
      <c r="B2382" s="179" t="s">
        <v>874</v>
      </c>
      <c r="C2382" s="179" t="s">
        <v>30</v>
      </c>
      <c r="D2382" s="180" t="s">
        <v>194</v>
      </c>
      <c r="E2382" s="182" t="s">
        <v>1336</v>
      </c>
      <c r="F2382" s="375" t="s">
        <v>31</v>
      </c>
      <c r="G2382" s="14" t="b">
        <f>OR(LCI_Table[[#This Row],[Feedstock]]="All",LCI_Table[[#This Row],[Feedstock]]=SelectedFeedstock)</f>
        <v>0</v>
      </c>
      <c r="H2382" s="14" t="b">
        <f>OR(LCI_Table[[#This Row],[Conversion]]="All",LCI_Table[[#This Row],[Conversion]]=SelectedConversion)</f>
        <v>1</v>
      </c>
      <c r="I2382" s="14" t="b">
        <f>OR(LCI_Table[[#This Row],[Data Set]]="all",LCI_Table[[#This Row],[Data Set]]=SelectedDataSet)</f>
        <v>0</v>
      </c>
      <c r="J2382" s="14" t="b">
        <f>OR(LCI_Table[[#This Row],[Technology]]="All",LCI_Table[[#This Row],[Technology]]=SelectedTechnology)</f>
        <v>1</v>
      </c>
      <c r="K2382" s="14" t="b">
        <f>OR(LCI_Table[[#This Row],[Data Source]]="All",LCI_Table[[#This Row],[Data Source]]=SelectedDataSource)</f>
        <v>0</v>
      </c>
      <c r="L2382" s="14" t="b">
        <f>TRUE</f>
        <v>1</v>
      </c>
      <c r="M2382" s="14" t="b">
        <f>(LCI_Table[[#This Row],[Dev Notes]]="Do not display")</f>
        <v>0</v>
      </c>
      <c r="N2382" s="14" t="b">
        <f>AND(LCI_Table[[#This Row],[Show Feedstock]:[Conditional]],NOT(LCI_Table[[#This Row],[Hide Row]]))</f>
        <v>0</v>
      </c>
      <c r="O2382" s="14" t="b">
        <f>LCI_Table[[#This Row],[GREET1 Name Range]]=""</f>
        <v>0</v>
      </c>
      <c r="P2382" s="14" t="s">
        <v>887</v>
      </c>
      <c r="Q2382" s="14" t="s">
        <v>1068</v>
      </c>
      <c r="R2382" s="14" t="s">
        <v>106</v>
      </c>
      <c r="S2382" s="37" cm="1">
        <f t="array" aca="1" ref="S23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82" s="346" t="s">
        <v>2139</v>
      </c>
      <c r="U2382" s="347"/>
      <c r="V2382" s="347">
        <v>0</v>
      </c>
      <c r="W2382" s="14"/>
      <c r="X2382" s="14" t="s">
        <v>5</v>
      </c>
      <c r="Y2382" s="346" t="s">
        <v>890</v>
      </c>
      <c r="Z2382" s="14" t="str">
        <f>IF(ISBLANK(LCI_Table[[#This Row],[Notes for user]])," ",LCI_Table[[#This Row],[Notes for user]])</f>
        <v xml:space="preserve"> </v>
      </c>
      <c r="AA2382" s="14"/>
      <c r="AB2382" s="346">
        <v>0</v>
      </c>
      <c r="AC2382" s="346">
        <f>LCI_Table[[#This Row],[Default Calculated Value]]-LCI_Table[[#This Row],[Calculated Value]]</f>
        <v>0</v>
      </c>
    </row>
    <row r="2383" spans="1:29" x14ac:dyDescent="0.3">
      <c r="A23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TallowHEFAICAOJRC (E3)(blank)_Tallow_GasolineGasoline</v>
      </c>
      <c r="B2383" s="179" t="s">
        <v>874</v>
      </c>
      <c r="C2383" s="179" t="s">
        <v>30</v>
      </c>
      <c r="D2383" s="180" t="s">
        <v>194</v>
      </c>
      <c r="E2383" s="182" t="s">
        <v>1336</v>
      </c>
      <c r="F2383" s="375" t="s">
        <v>31</v>
      </c>
      <c r="G2383" s="14" t="b">
        <f>OR(LCI_Table[[#This Row],[Feedstock]]="All",LCI_Table[[#This Row],[Feedstock]]=SelectedFeedstock)</f>
        <v>0</v>
      </c>
      <c r="H2383" s="14" t="b">
        <f>OR(LCI_Table[[#This Row],[Conversion]]="All",LCI_Table[[#This Row],[Conversion]]=SelectedConversion)</f>
        <v>1</v>
      </c>
      <c r="I2383" s="14" t="b">
        <f>OR(LCI_Table[[#This Row],[Data Set]]="all",LCI_Table[[#This Row],[Data Set]]=SelectedDataSet)</f>
        <v>0</v>
      </c>
      <c r="J2383" s="14" t="b">
        <f>OR(LCI_Table[[#This Row],[Technology]]="All",LCI_Table[[#This Row],[Technology]]=SelectedTechnology)</f>
        <v>1</v>
      </c>
      <c r="K2383" s="14" t="b">
        <f>OR(LCI_Table[[#This Row],[Data Source]]="All",LCI_Table[[#This Row],[Data Source]]=SelectedDataSource)</f>
        <v>0</v>
      </c>
      <c r="L2383" s="14" t="b">
        <f>TRUE</f>
        <v>1</v>
      </c>
      <c r="M2383" s="14" t="b">
        <f>(LCI_Table[[#This Row],[Dev Notes]]="Do not display")</f>
        <v>0</v>
      </c>
      <c r="N2383" s="14" t="b">
        <f>AND(LCI_Table[[#This Row],[Show Feedstock]:[Conditional]],NOT(LCI_Table[[#This Row],[Hide Row]]))</f>
        <v>0</v>
      </c>
      <c r="O2383" s="14" t="b">
        <f>LCI_Table[[#This Row],[GREET1 Name Range]]=""</f>
        <v>0</v>
      </c>
      <c r="P2383" s="14" t="s">
        <v>887</v>
      </c>
      <c r="Q2383" s="14" t="s">
        <v>1069</v>
      </c>
      <c r="R2383" s="14" t="s">
        <v>107</v>
      </c>
      <c r="S2383" s="37" cm="1">
        <f t="array" aca="1" ref="S23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83" s="346" t="s">
        <v>2139</v>
      </c>
      <c r="U2383" s="347">
        <f ca="1">S2383*Fuel_Specs!$B$15</f>
        <v>0</v>
      </c>
      <c r="V2383" s="347">
        <v>0</v>
      </c>
      <c r="W2383" s="347">
        <v>0</v>
      </c>
      <c r="X2383" s="14" t="s">
        <v>5</v>
      </c>
      <c r="Y2383" s="346" t="s">
        <v>890</v>
      </c>
      <c r="Z2383" s="14" t="str">
        <f>IF(ISBLANK(LCI_Table[[#This Row],[Notes for user]])," ",LCI_Table[[#This Row],[Notes for user]])</f>
        <v xml:space="preserve"> </v>
      </c>
      <c r="AA2383" s="14"/>
      <c r="AB2383" s="346">
        <v>0</v>
      </c>
      <c r="AC2383" s="346">
        <f ca="1">LCI_Table[[#This Row],[Default Calculated Value]]-LCI_Table[[#This Row],[Calculated Value]]</f>
        <v>0</v>
      </c>
    </row>
    <row r="2384" spans="1:29" x14ac:dyDescent="0.3">
      <c r="A23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TallowHEFAICAOJRC (E3)(blank)_Tallow_Natural_gasNatural gas</v>
      </c>
      <c r="B2384" s="179" t="s">
        <v>874</v>
      </c>
      <c r="C2384" s="179" t="s">
        <v>30</v>
      </c>
      <c r="D2384" s="180" t="s">
        <v>194</v>
      </c>
      <c r="E2384" s="182" t="s">
        <v>1336</v>
      </c>
      <c r="F2384" s="375" t="s">
        <v>31</v>
      </c>
      <c r="G2384" s="14" t="b">
        <f>OR(LCI_Table[[#This Row],[Feedstock]]="All",LCI_Table[[#This Row],[Feedstock]]=SelectedFeedstock)</f>
        <v>0</v>
      </c>
      <c r="H2384" s="14" t="b">
        <f>OR(LCI_Table[[#This Row],[Conversion]]="All",LCI_Table[[#This Row],[Conversion]]=SelectedConversion)</f>
        <v>1</v>
      </c>
      <c r="I2384" s="14" t="b">
        <f>OR(LCI_Table[[#This Row],[Data Set]]="all",LCI_Table[[#This Row],[Data Set]]=SelectedDataSet)</f>
        <v>0</v>
      </c>
      <c r="J2384" s="14" t="b">
        <f>OR(LCI_Table[[#This Row],[Technology]]="All",LCI_Table[[#This Row],[Technology]]=SelectedTechnology)</f>
        <v>1</v>
      </c>
      <c r="K2384" s="14" t="b">
        <f>OR(LCI_Table[[#This Row],[Data Source]]="All",LCI_Table[[#This Row],[Data Source]]=SelectedDataSource)</f>
        <v>0</v>
      </c>
      <c r="L2384" s="14" t="b">
        <f>TRUE</f>
        <v>1</v>
      </c>
      <c r="M2384" s="14" t="b">
        <f>(LCI_Table[[#This Row],[Dev Notes]]="Do not display")</f>
        <v>0</v>
      </c>
      <c r="N2384" s="14" t="b">
        <f>AND(LCI_Table[[#This Row],[Show Feedstock]:[Conditional]],NOT(LCI_Table[[#This Row],[Hide Row]]))</f>
        <v>0</v>
      </c>
      <c r="O2384" s="14" t="b">
        <f>LCI_Table[[#This Row],[GREET1 Name Range]]=""</f>
        <v>0</v>
      </c>
      <c r="P2384" s="14" t="s">
        <v>887</v>
      </c>
      <c r="Q2384" s="14" t="s">
        <v>1070</v>
      </c>
      <c r="R2384" s="14" t="s">
        <v>108</v>
      </c>
      <c r="S2384" s="37" cm="1">
        <f t="array" aca="1" ref="S23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2.3179957878786217</v>
      </c>
      <c r="T2384" s="346" t="s">
        <v>2140</v>
      </c>
      <c r="U2384" s="347">
        <f ca="1">S2384*Fuel_Specs!$B$79</f>
        <v>2278.5898594846853</v>
      </c>
      <c r="V2384" s="347">
        <v>2.3179957878786217</v>
      </c>
      <c r="W2384" s="347">
        <v>2278.5898594846853</v>
      </c>
      <c r="X2384" s="14" t="s">
        <v>351</v>
      </c>
      <c r="Y2384" s="346" t="s">
        <v>890</v>
      </c>
      <c r="Z2384" s="14" t="str">
        <f>IF(ISBLANK(LCI_Table[[#This Row],[Notes for user]])," ",LCI_Table[[#This Row],[Notes for user]])</f>
        <v xml:space="preserve"> </v>
      </c>
      <c r="AA2384" s="14"/>
      <c r="AB2384" s="346">
        <v>0</v>
      </c>
      <c r="AC2384" s="346">
        <f ca="1">LCI_Table[[#This Row],[Default Calculated Value]]-LCI_Table[[#This Row],[Calculated Value]]</f>
        <v>0</v>
      </c>
    </row>
    <row r="2385" spans="1:29" x14ac:dyDescent="0.3">
      <c r="A23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TallowHEFAICAOJRC (E3)(blank)_Tallow_CoalCoal</v>
      </c>
      <c r="B2385" s="179" t="s">
        <v>874</v>
      </c>
      <c r="C2385" s="179" t="s">
        <v>30</v>
      </c>
      <c r="D2385" s="180" t="s">
        <v>194</v>
      </c>
      <c r="E2385" s="182" t="s">
        <v>1336</v>
      </c>
      <c r="F2385" s="375" t="s">
        <v>31</v>
      </c>
      <c r="G2385" s="14" t="b">
        <f>OR(LCI_Table[[#This Row],[Feedstock]]="All",LCI_Table[[#This Row],[Feedstock]]=SelectedFeedstock)</f>
        <v>0</v>
      </c>
      <c r="H2385" s="14" t="b">
        <f>OR(LCI_Table[[#This Row],[Conversion]]="All",LCI_Table[[#This Row],[Conversion]]=SelectedConversion)</f>
        <v>1</v>
      </c>
      <c r="I2385" s="14" t="b">
        <f>OR(LCI_Table[[#This Row],[Data Set]]="all",LCI_Table[[#This Row],[Data Set]]=SelectedDataSet)</f>
        <v>0</v>
      </c>
      <c r="J2385" s="14" t="b">
        <f>OR(LCI_Table[[#This Row],[Technology]]="All",LCI_Table[[#This Row],[Technology]]=SelectedTechnology)</f>
        <v>1</v>
      </c>
      <c r="K2385" s="14" t="b">
        <f>OR(LCI_Table[[#This Row],[Data Source]]="All",LCI_Table[[#This Row],[Data Source]]=SelectedDataSource)</f>
        <v>0</v>
      </c>
      <c r="L2385" s="14" t="b">
        <f>TRUE</f>
        <v>1</v>
      </c>
      <c r="M2385" s="14" t="b">
        <f>(LCI_Table[[#This Row],[Dev Notes]]="Do not display")</f>
        <v>0</v>
      </c>
      <c r="N2385" s="14" t="b">
        <f>AND(LCI_Table[[#This Row],[Show Feedstock]:[Conditional]],NOT(LCI_Table[[#This Row],[Hide Row]]))</f>
        <v>0</v>
      </c>
      <c r="O2385" s="14" t="b">
        <f>LCI_Table[[#This Row],[GREET1 Name Range]]=""</f>
        <v>0</v>
      </c>
      <c r="P2385" s="14" t="s">
        <v>887</v>
      </c>
      <c r="Q2385" s="14" t="s">
        <v>1071</v>
      </c>
      <c r="R2385" s="14" t="s">
        <v>9</v>
      </c>
      <c r="S2385" s="37" cm="1">
        <f t="array" aca="1" ref="S23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85" s="346" t="s">
        <v>2141</v>
      </c>
      <c r="U2385" s="347">
        <f ca="1">S2385</f>
        <v>0</v>
      </c>
      <c r="V2385" s="347">
        <v>0</v>
      </c>
      <c r="W2385" s="347">
        <v>0</v>
      </c>
      <c r="X2385" s="14" t="s">
        <v>117</v>
      </c>
      <c r="Y2385" s="346" t="s">
        <v>890</v>
      </c>
      <c r="Z2385" s="14" t="str">
        <f>IF(ISBLANK(LCI_Table[[#This Row],[Notes for user]])," ",LCI_Table[[#This Row],[Notes for user]])</f>
        <v xml:space="preserve"> </v>
      </c>
      <c r="AA2385" s="14"/>
      <c r="AB2385" s="346">
        <v>0</v>
      </c>
      <c r="AC2385" s="346">
        <f ca="1">LCI_Table[[#This Row],[Default Calculated Value]]-LCI_Table[[#This Row],[Calculated Value]]</f>
        <v>0</v>
      </c>
    </row>
    <row r="2386" spans="1:29" x14ac:dyDescent="0.3">
      <c r="A23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TallowHEFAICAOJRC (E3)(blank)_Tallow_LPGLPG</v>
      </c>
      <c r="B2386" s="179" t="s">
        <v>874</v>
      </c>
      <c r="C2386" s="179" t="s">
        <v>30</v>
      </c>
      <c r="D2386" s="180" t="s">
        <v>194</v>
      </c>
      <c r="E2386" s="182" t="s">
        <v>1336</v>
      </c>
      <c r="F2386" s="375" t="s">
        <v>31</v>
      </c>
      <c r="G2386" s="14" t="b">
        <f>OR(LCI_Table[[#This Row],[Feedstock]]="All",LCI_Table[[#This Row],[Feedstock]]=SelectedFeedstock)</f>
        <v>0</v>
      </c>
      <c r="H2386" s="14" t="b">
        <f>OR(LCI_Table[[#This Row],[Conversion]]="All",LCI_Table[[#This Row],[Conversion]]=SelectedConversion)</f>
        <v>1</v>
      </c>
      <c r="I2386" s="14" t="b">
        <f>OR(LCI_Table[[#This Row],[Data Set]]="all",LCI_Table[[#This Row],[Data Set]]=SelectedDataSet)</f>
        <v>0</v>
      </c>
      <c r="J2386" s="14" t="b">
        <f>OR(LCI_Table[[#This Row],[Technology]]="All",LCI_Table[[#This Row],[Technology]]=SelectedTechnology)</f>
        <v>1</v>
      </c>
      <c r="K2386" s="14" t="b">
        <f>OR(LCI_Table[[#This Row],[Data Source]]="All",LCI_Table[[#This Row],[Data Source]]=SelectedDataSource)</f>
        <v>0</v>
      </c>
      <c r="L2386" s="14" t="b">
        <f>TRUE</f>
        <v>1</v>
      </c>
      <c r="M2386" s="14" t="b">
        <f>(LCI_Table[[#This Row],[Dev Notes]]="Do not display")</f>
        <v>0</v>
      </c>
      <c r="N2386" s="14" t="b">
        <f>AND(LCI_Table[[#This Row],[Show Feedstock]:[Conditional]],NOT(LCI_Table[[#This Row],[Hide Row]]))</f>
        <v>0</v>
      </c>
      <c r="O2386" s="14" t="b">
        <f>LCI_Table[[#This Row],[GREET1 Name Range]]=""</f>
        <v>0</v>
      </c>
      <c r="P2386" s="14" t="s">
        <v>887</v>
      </c>
      <c r="Q2386" s="14" t="s">
        <v>1072</v>
      </c>
      <c r="R2386" s="14" t="s">
        <v>109</v>
      </c>
      <c r="S2386" s="37" cm="1">
        <f t="array" aca="1" ref="S23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86" s="346" t="s">
        <v>2139</v>
      </c>
      <c r="U2386" s="347">
        <f ca="1">S2386*Fuel_Specs!$B$35</f>
        <v>0</v>
      </c>
      <c r="V2386" s="347">
        <v>0</v>
      </c>
      <c r="W2386" s="347">
        <v>0</v>
      </c>
      <c r="X2386" s="14" t="s">
        <v>5</v>
      </c>
      <c r="Y2386" s="346" t="s">
        <v>890</v>
      </c>
      <c r="Z2386" s="14" t="str">
        <f>IF(ISBLANK(LCI_Table[[#This Row],[Notes for user]])," ",LCI_Table[[#This Row],[Notes for user]])</f>
        <v xml:space="preserve"> </v>
      </c>
      <c r="AA2386" s="14"/>
      <c r="AB2386" s="346">
        <v>0</v>
      </c>
      <c r="AC2386" s="346">
        <f ca="1">LCI_Table[[#This Row],[Default Calculated Value]]-LCI_Table[[#This Row],[Calculated Value]]</f>
        <v>0</v>
      </c>
    </row>
    <row r="2387" spans="1:29" x14ac:dyDescent="0.3">
      <c r="A23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TallowHEFAICAOJRC (E3)(blank)_Tallow_ElectricityElectricity</v>
      </c>
      <c r="B2387" s="179" t="s">
        <v>874</v>
      </c>
      <c r="C2387" s="179" t="s">
        <v>30</v>
      </c>
      <c r="D2387" s="180" t="s">
        <v>194</v>
      </c>
      <c r="E2387" s="182" t="s">
        <v>1336</v>
      </c>
      <c r="F2387" s="375" t="s">
        <v>31</v>
      </c>
      <c r="G2387" s="14" t="b">
        <f>OR(LCI_Table[[#This Row],[Feedstock]]="All",LCI_Table[[#This Row],[Feedstock]]=SelectedFeedstock)</f>
        <v>0</v>
      </c>
      <c r="H2387" s="14" t="b">
        <f>OR(LCI_Table[[#This Row],[Conversion]]="All",LCI_Table[[#This Row],[Conversion]]=SelectedConversion)</f>
        <v>1</v>
      </c>
      <c r="I2387" s="14" t="b">
        <f>OR(LCI_Table[[#This Row],[Data Set]]="all",LCI_Table[[#This Row],[Data Set]]=SelectedDataSet)</f>
        <v>0</v>
      </c>
      <c r="J2387" s="14" t="b">
        <f>OR(LCI_Table[[#This Row],[Technology]]="All",LCI_Table[[#This Row],[Technology]]=SelectedTechnology)</f>
        <v>1</v>
      </c>
      <c r="K2387" s="14" t="b">
        <f>OR(LCI_Table[[#This Row],[Data Source]]="All",LCI_Table[[#This Row],[Data Source]]=SelectedDataSource)</f>
        <v>0</v>
      </c>
      <c r="L2387" s="14" t="b">
        <f>TRUE</f>
        <v>1</v>
      </c>
      <c r="M2387" s="14" t="b">
        <f>(LCI_Table[[#This Row],[Dev Notes]]="Do not display")</f>
        <v>0</v>
      </c>
      <c r="N2387" s="14" t="b">
        <f>AND(LCI_Table[[#This Row],[Show Feedstock]:[Conditional]],NOT(LCI_Table[[#This Row],[Hide Row]]))</f>
        <v>0</v>
      </c>
      <c r="O2387" s="14" t="b">
        <f>LCI_Table[[#This Row],[GREET1 Name Range]]=""</f>
        <v>0</v>
      </c>
      <c r="P2387" s="14" t="s">
        <v>887</v>
      </c>
      <c r="Q2387" s="14" t="s">
        <v>1073</v>
      </c>
      <c r="R2387" s="14" t="s">
        <v>110</v>
      </c>
      <c r="S2387" s="37" cm="1">
        <f t="array" aca="1" ref="S23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0.37799364166666594</v>
      </c>
      <c r="T2387" s="346" t="s">
        <v>2142</v>
      </c>
      <c r="U2387" s="347">
        <f ca="1">S2387/BTU2kWh</f>
        <v>1289.7678449913315</v>
      </c>
      <c r="V2387" s="373">
        <v>0.37799364166666594</v>
      </c>
      <c r="W2387" s="347">
        <v>1289.7678449913315</v>
      </c>
      <c r="X2387" s="14" t="s">
        <v>51</v>
      </c>
      <c r="Y2387" s="346" t="s">
        <v>890</v>
      </c>
      <c r="Z2387" s="14" t="str">
        <f>IF(ISBLANK(LCI_Table[[#This Row],[Notes for user]])," ",LCI_Table[[#This Row],[Notes for user]])</f>
        <v xml:space="preserve"> </v>
      </c>
      <c r="AA2387" s="14"/>
      <c r="AB2387" s="346">
        <v>0</v>
      </c>
      <c r="AC2387" s="346">
        <f ca="1">LCI_Table[[#This Row],[Default Calculated Value]]-LCI_Table[[#This Row],[Calculated Value]]</f>
        <v>0</v>
      </c>
    </row>
    <row r="2388" spans="1:29" x14ac:dyDescent="0.3">
      <c r="A23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TallowHEFAICAOJRC (E3)(blank)_Tallow_N_hexaneN-hexane</v>
      </c>
      <c r="B2388" s="179" t="s">
        <v>874</v>
      </c>
      <c r="C2388" s="179" t="s">
        <v>30</v>
      </c>
      <c r="D2388" s="180" t="s">
        <v>194</v>
      </c>
      <c r="E2388" s="182" t="s">
        <v>1336</v>
      </c>
      <c r="F2388" s="375" t="s">
        <v>31</v>
      </c>
      <c r="G2388" s="14" t="b">
        <f>OR(LCI_Table[[#This Row],[Feedstock]]="All",LCI_Table[[#This Row],[Feedstock]]=SelectedFeedstock)</f>
        <v>0</v>
      </c>
      <c r="H2388" s="14" t="b">
        <f>OR(LCI_Table[[#This Row],[Conversion]]="All",LCI_Table[[#This Row],[Conversion]]=SelectedConversion)</f>
        <v>1</v>
      </c>
      <c r="I2388" s="14" t="b">
        <f>OR(LCI_Table[[#This Row],[Data Set]]="all",LCI_Table[[#This Row],[Data Set]]=SelectedDataSet)</f>
        <v>0</v>
      </c>
      <c r="J2388" s="14" t="b">
        <f>OR(LCI_Table[[#This Row],[Technology]]="All",LCI_Table[[#This Row],[Technology]]=SelectedTechnology)</f>
        <v>1</v>
      </c>
      <c r="K2388" s="14" t="b">
        <f>OR(LCI_Table[[#This Row],[Data Source]]="All",LCI_Table[[#This Row],[Data Source]]=SelectedDataSource)</f>
        <v>0</v>
      </c>
      <c r="L2388" s="14" t="b">
        <f>TRUE</f>
        <v>1</v>
      </c>
      <c r="M2388" s="14" t="b">
        <f>(LCI_Table[[#This Row],[Dev Notes]]="Do not display")</f>
        <v>0</v>
      </c>
      <c r="N2388" s="14" t="b">
        <f>AND(LCI_Table[[#This Row],[Show Feedstock]:[Conditional]],NOT(LCI_Table[[#This Row],[Hide Row]]))</f>
        <v>0</v>
      </c>
      <c r="O2388" s="14" t="b">
        <f>LCI_Table[[#This Row],[GREET1 Name Range]]=""</f>
        <v>0</v>
      </c>
      <c r="P2388" s="14" t="s">
        <v>887</v>
      </c>
      <c r="Q2388" s="14" t="s">
        <v>1074</v>
      </c>
      <c r="R2388" s="14" t="s">
        <v>116</v>
      </c>
      <c r="S2388" s="37" cm="1">
        <f t="array" aca="1" ref="S23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88" s="346" t="s">
        <v>2139</v>
      </c>
      <c r="U2388" s="347">
        <f ca="1">S2388*Fuel_Specs!$B$58</f>
        <v>0</v>
      </c>
      <c r="V2388" s="347">
        <v>0</v>
      </c>
      <c r="W2388" s="347">
        <v>0</v>
      </c>
      <c r="X2388" s="37" t="s">
        <v>5</v>
      </c>
      <c r="Y2388" s="346" t="s">
        <v>890</v>
      </c>
      <c r="Z2388" s="14" t="str">
        <f>IF(ISBLANK(LCI_Table[[#This Row],[Notes for user]])," ",LCI_Table[[#This Row],[Notes for user]])</f>
        <v xml:space="preserve"> </v>
      </c>
      <c r="AA2388" s="14"/>
      <c r="AB2388" s="346">
        <v>0</v>
      </c>
      <c r="AC2388" s="346">
        <f ca="1">LCI_Table[[#This Row],[Default Calculated Value]]-LCI_Table[[#This Row],[Calculated Value]]</f>
        <v>0</v>
      </c>
    </row>
    <row r="2389" spans="1:29" x14ac:dyDescent="0.3">
      <c r="A23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TallowHEFAICAOJRC (E3)(blank)_Tallow_MethanolMethanol</v>
      </c>
      <c r="B2389" s="179" t="s">
        <v>874</v>
      </c>
      <c r="C2389" s="179" t="s">
        <v>30</v>
      </c>
      <c r="D2389" s="180" t="s">
        <v>194</v>
      </c>
      <c r="E2389" s="182" t="s">
        <v>1336</v>
      </c>
      <c r="F2389" s="375" t="s">
        <v>31</v>
      </c>
      <c r="G2389" s="14" t="b">
        <f>OR(LCI_Table[[#This Row],[Feedstock]]="All",LCI_Table[[#This Row],[Feedstock]]=SelectedFeedstock)</f>
        <v>0</v>
      </c>
      <c r="H2389" s="14" t="b">
        <f>OR(LCI_Table[[#This Row],[Conversion]]="All",LCI_Table[[#This Row],[Conversion]]=SelectedConversion)</f>
        <v>1</v>
      </c>
      <c r="I2389" s="14" t="b">
        <f>OR(LCI_Table[[#This Row],[Data Set]]="all",LCI_Table[[#This Row],[Data Set]]=SelectedDataSet)</f>
        <v>0</v>
      </c>
      <c r="J2389" s="14" t="b">
        <f>OR(LCI_Table[[#This Row],[Technology]]="All",LCI_Table[[#This Row],[Technology]]=SelectedTechnology)</f>
        <v>1</v>
      </c>
      <c r="K2389" s="14" t="b">
        <f>OR(LCI_Table[[#This Row],[Data Source]]="All",LCI_Table[[#This Row],[Data Source]]=SelectedDataSource)</f>
        <v>0</v>
      </c>
      <c r="L2389" s="14" t="b">
        <f>TRUE</f>
        <v>1</v>
      </c>
      <c r="M2389" s="14" t="b">
        <f>(LCI_Table[[#This Row],[Dev Notes]]="Do not display")</f>
        <v>0</v>
      </c>
      <c r="N2389" s="14" t="b">
        <f>AND(LCI_Table[[#This Row],[Show Feedstock]:[Conditional]],NOT(LCI_Table[[#This Row],[Hide Row]]))</f>
        <v>0</v>
      </c>
      <c r="O2389" s="14" t="b">
        <f>LCI_Table[[#This Row],[GREET1 Name Range]]=""</f>
        <v>0</v>
      </c>
      <c r="P2389" s="14" t="s">
        <v>887</v>
      </c>
      <c r="Q2389" s="14" t="s">
        <v>1075</v>
      </c>
      <c r="R2389" s="14" t="s">
        <v>250</v>
      </c>
      <c r="S2389" s="37" cm="1">
        <f t="array" aca="1" ref="S23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89" s="346" t="s">
        <v>2139</v>
      </c>
      <c r="U2389" s="347">
        <f ca="1">S2389*Fuel_Specs!$B$30</f>
        <v>0</v>
      </c>
      <c r="V2389" s="347">
        <v>0</v>
      </c>
      <c r="W2389" s="347">
        <v>0</v>
      </c>
      <c r="X2389" s="37" t="s">
        <v>5</v>
      </c>
      <c r="Y2389" s="346" t="s">
        <v>890</v>
      </c>
      <c r="Z2389" s="14" t="str">
        <f>IF(ISBLANK(LCI_Table[[#This Row],[Notes for user]])," ",LCI_Table[[#This Row],[Notes for user]])</f>
        <v xml:space="preserve"> </v>
      </c>
      <c r="AA2389" s="14"/>
      <c r="AB2389" s="346">
        <v>0</v>
      </c>
      <c r="AC2389" s="346">
        <f ca="1">LCI_Table[[#This Row],[Default Calculated Value]]-LCI_Table[[#This Row],[Calculated Value]]</f>
        <v>0</v>
      </c>
    </row>
    <row r="2390" spans="1:29" x14ac:dyDescent="0.3">
      <c r="A23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TallowHEFAICAOJRC (E3)(blank)_Tallow_HydrogenHydrogen</v>
      </c>
      <c r="B2390" s="179" t="s">
        <v>874</v>
      </c>
      <c r="C2390" s="179" t="s">
        <v>30</v>
      </c>
      <c r="D2390" s="180" t="s">
        <v>194</v>
      </c>
      <c r="E2390" s="182" t="s">
        <v>1336</v>
      </c>
      <c r="F2390" s="375" t="s">
        <v>31</v>
      </c>
      <c r="G2390" s="14" t="b">
        <f>OR(LCI_Table[[#This Row],[Feedstock]]="All",LCI_Table[[#This Row],[Feedstock]]=SelectedFeedstock)</f>
        <v>0</v>
      </c>
      <c r="H2390" s="14" t="b">
        <f>OR(LCI_Table[[#This Row],[Conversion]]="All",LCI_Table[[#This Row],[Conversion]]=SelectedConversion)</f>
        <v>1</v>
      </c>
      <c r="I2390" s="14" t="b">
        <f>OR(LCI_Table[[#This Row],[Data Set]]="all",LCI_Table[[#This Row],[Data Set]]=SelectedDataSet)</f>
        <v>0</v>
      </c>
      <c r="J2390" s="14" t="b">
        <f>OR(LCI_Table[[#This Row],[Technology]]="All",LCI_Table[[#This Row],[Technology]]=SelectedTechnology)</f>
        <v>1</v>
      </c>
      <c r="K2390" s="14" t="b">
        <f>OR(LCI_Table[[#This Row],[Data Source]]="All",LCI_Table[[#This Row],[Data Source]]=SelectedDataSource)</f>
        <v>0</v>
      </c>
      <c r="L2390" s="14" t="b">
        <f>TRUE</f>
        <v>1</v>
      </c>
      <c r="M2390" s="14" t="b">
        <f>(LCI_Table[[#This Row],[Dev Notes]]="Do not display")</f>
        <v>0</v>
      </c>
      <c r="N2390" s="14" t="b">
        <f>AND(LCI_Table[[#This Row],[Show Feedstock]:[Conditional]],NOT(LCI_Table[[#This Row],[Hide Row]]))</f>
        <v>0</v>
      </c>
      <c r="O2390" s="14" t="b">
        <f>LCI_Table[[#This Row],[GREET1 Name Range]]=""</f>
        <v>0</v>
      </c>
      <c r="P2390" s="14" t="s">
        <v>887</v>
      </c>
      <c r="Q2390" s="14" t="s">
        <v>1076</v>
      </c>
      <c r="R2390" s="14" t="s">
        <v>73</v>
      </c>
      <c r="S2390" s="37" cm="1">
        <f t="array" aca="1" ref="S23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90" s="346" t="s">
        <v>2140</v>
      </c>
      <c r="U2390" s="347">
        <f ca="1">S2390*Fuel_Specs!$B$81</f>
        <v>0</v>
      </c>
      <c r="V2390" s="347">
        <v>0</v>
      </c>
      <c r="W2390" s="347">
        <v>0</v>
      </c>
      <c r="X2390" s="37" t="s">
        <v>351</v>
      </c>
      <c r="Y2390" s="346" t="s">
        <v>890</v>
      </c>
      <c r="Z2390" s="14" t="str">
        <f>IF(ISBLANK(LCI_Table[[#This Row],[Notes for user]])," ",LCI_Table[[#This Row],[Notes for user]])</f>
        <v xml:space="preserve"> </v>
      </c>
      <c r="AA2390" s="14"/>
      <c r="AB2390" s="346">
        <v>0</v>
      </c>
      <c r="AC2390" s="346">
        <f ca="1">LCI_Table[[#This Row],[Default Calculated Value]]-LCI_Table[[#This Row],[Calculated Value]]</f>
        <v>0</v>
      </c>
    </row>
    <row r="2391" spans="1:29" x14ac:dyDescent="0.3">
      <c r="A23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TallowHEFAICAOJRC (E3)(blank)_HEFA_feed_usageAnimal waste</v>
      </c>
      <c r="B2391" s="179" t="s">
        <v>874</v>
      </c>
      <c r="C2391" s="179" t="s">
        <v>30</v>
      </c>
      <c r="D2391" s="180" t="s">
        <v>194</v>
      </c>
      <c r="E2391" s="182" t="s">
        <v>1336</v>
      </c>
      <c r="F2391" s="375" t="s">
        <v>31</v>
      </c>
      <c r="G2391" s="14" t="b">
        <f>OR(LCI_Table[[#This Row],[Feedstock]]="All",LCI_Table[[#This Row],[Feedstock]]=SelectedFeedstock)</f>
        <v>0</v>
      </c>
      <c r="H2391" s="14" t="b">
        <f>OR(LCI_Table[[#This Row],[Conversion]]="All",LCI_Table[[#This Row],[Conversion]]=SelectedConversion)</f>
        <v>1</v>
      </c>
      <c r="I2391" s="14" t="b">
        <f>OR(LCI_Table[[#This Row],[Data Set]]="all",LCI_Table[[#This Row],[Data Set]]=SelectedDataSet)</f>
        <v>0</v>
      </c>
      <c r="J2391" s="14" t="b">
        <f>OR(LCI_Table[[#This Row],[Technology]]="All",LCI_Table[[#This Row],[Technology]]=SelectedTechnology)</f>
        <v>1</v>
      </c>
      <c r="K2391" s="14" t="b">
        <f>OR(LCI_Table[[#This Row],[Data Source]]="All",LCI_Table[[#This Row],[Data Source]]=SelectedDataSource)</f>
        <v>0</v>
      </c>
      <c r="L2391" s="14" t="b">
        <f>TRUE</f>
        <v>1</v>
      </c>
      <c r="M2391" s="14" t="b">
        <f>(LCI_Table[[#This Row],[Dev Notes]]="Do not display")</f>
        <v>0</v>
      </c>
      <c r="N2391" s="14" t="b">
        <f>AND(LCI_Table[[#This Row],[Show Feedstock]:[Conditional]],NOT(LCI_Table[[#This Row],[Hide Row]]))</f>
        <v>0</v>
      </c>
      <c r="O2391" s="14" t="b">
        <f>LCI_Table[[#This Row],[GREET1 Name Range]]=""</f>
        <v>0</v>
      </c>
      <c r="P2391" s="14" t="s">
        <v>1448</v>
      </c>
      <c r="Q2391" s="14" t="s">
        <v>933</v>
      </c>
      <c r="R2391" s="14" t="s">
        <v>888</v>
      </c>
      <c r="S2391" s="37" cm="1">
        <f t="array" aca="1" ref="S23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66.984580332524672</v>
      </c>
      <c r="T2391" s="346" t="s">
        <v>2119</v>
      </c>
      <c r="U2391" s="347">
        <f ca="1">S2391*lb2g/Fuel_Specs!$E$48*Fuel_Specs!$B$48*BTU2mmBTU/Allocations!$O$180</f>
        <v>1.27</v>
      </c>
      <c r="V2391" s="347">
        <v>66.984580332524672</v>
      </c>
      <c r="W2391" s="347">
        <v>1.27</v>
      </c>
      <c r="X2391" s="14" t="s">
        <v>12</v>
      </c>
      <c r="Y2391" s="346" t="s">
        <v>416</v>
      </c>
      <c r="Z2391" s="14" t="str">
        <f>IF(ISBLANK(LCI_Table[[#This Row],[Notes for user]])," ",LCI_Table[[#This Row],[Notes for user]])</f>
        <v xml:space="preserve">Used the GREET default value as the CORSIA supporting document does not present the yield information. </v>
      </c>
      <c r="AA2391" s="14" t="s">
        <v>1339</v>
      </c>
      <c r="AB2391" s="346">
        <v>0</v>
      </c>
      <c r="AC2391" s="346">
        <f ca="1">LCI_Table[[#This Row],[Default Calculated Value]]-LCI_Table[[#This Row],[Calculated Value]]</f>
        <v>0</v>
      </c>
    </row>
    <row r="2392" spans="1:29" x14ac:dyDescent="0.3">
      <c r="A23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TallowHEFAICAOJRC (E3)(blank)_Tallow_HEFA_Natural_gasNatural gas</v>
      </c>
      <c r="B2392" s="179" t="s">
        <v>874</v>
      </c>
      <c r="C2392" s="179" t="s">
        <v>30</v>
      </c>
      <c r="D2392" s="180" t="s">
        <v>194</v>
      </c>
      <c r="E2392" s="182" t="s">
        <v>1336</v>
      </c>
      <c r="F2392" s="375" t="s">
        <v>31</v>
      </c>
      <c r="G2392" s="14" t="b">
        <f>OR(LCI_Table[[#This Row],[Feedstock]]="All",LCI_Table[[#This Row],[Feedstock]]=SelectedFeedstock)</f>
        <v>0</v>
      </c>
      <c r="H2392" s="14" t="b">
        <f>OR(LCI_Table[[#This Row],[Conversion]]="All",LCI_Table[[#This Row],[Conversion]]=SelectedConversion)</f>
        <v>1</v>
      </c>
      <c r="I2392" s="14" t="b">
        <f>OR(LCI_Table[[#This Row],[Data Set]]="all",LCI_Table[[#This Row],[Data Set]]=SelectedDataSet)</f>
        <v>0</v>
      </c>
      <c r="J2392" s="14" t="b">
        <f>OR(LCI_Table[[#This Row],[Technology]]="All",LCI_Table[[#This Row],[Technology]]=SelectedTechnology)</f>
        <v>1</v>
      </c>
      <c r="K2392" s="14" t="b">
        <f>OR(LCI_Table[[#This Row],[Data Source]]="All",LCI_Table[[#This Row],[Data Source]]=SelectedDataSource)</f>
        <v>0</v>
      </c>
      <c r="L2392" s="14" t="b">
        <f>TRUE</f>
        <v>1</v>
      </c>
      <c r="M2392" s="14" t="b">
        <f>(LCI_Table[[#This Row],[Dev Notes]]="Do not display")</f>
        <v>0</v>
      </c>
      <c r="N2392" s="14" t="b">
        <f>AND(LCI_Table[[#This Row],[Show Feedstock]:[Conditional]],NOT(LCI_Table[[#This Row],[Hide Row]]))</f>
        <v>0</v>
      </c>
      <c r="O2392" s="14" t="b">
        <f>LCI_Table[[#This Row],[GREET1 Name Range]]=""</f>
        <v>0</v>
      </c>
      <c r="P2392" s="14" t="s">
        <v>1448</v>
      </c>
      <c r="Q2392" s="14" t="s">
        <v>1077</v>
      </c>
      <c r="R2392" s="14" t="s">
        <v>108</v>
      </c>
      <c r="S2392" s="37" cm="1">
        <f t="array" aca="1" ref="S23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11.190233977619531</v>
      </c>
      <c r="T2392" s="346" t="s">
        <v>2120</v>
      </c>
      <c r="U2392" s="347">
        <f ca="1">S2392*Fuel_Specs!$B$79/mmBTU2BTU*Fuel_Specs!$B$48/Fuel_Specs!$E$48/g2lb</f>
        <v>208.55546053509829</v>
      </c>
      <c r="V2392" s="347">
        <v>11.190233977619531</v>
      </c>
      <c r="W2392" s="347">
        <v>208.55546053509829</v>
      </c>
      <c r="X2392" s="14" t="s">
        <v>351</v>
      </c>
      <c r="Y2392" s="346" t="s">
        <v>416</v>
      </c>
      <c r="Z2392" s="14" t="str">
        <f>IF(ISBLANK(LCI_Table[[#This Row],[Notes for user]])," ",LCI_Table[[#This Row],[Notes for user]])</f>
        <v xml:space="preserve"> </v>
      </c>
      <c r="AA2392" s="14"/>
      <c r="AB2392" s="346">
        <v>1960.8591599089414</v>
      </c>
      <c r="AC2392" s="346">
        <f ca="1">LCI_Table[[#This Row],[Default Calculated Value]]-LCI_Table[[#This Row],[Calculated Value]]</f>
        <v>0</v>
      </c>
    </row>
    <row r="2393" spans="1:29" x14ac:dyDescent="0.3">
      <c r="A23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TallowHEFAICAOJRC (E3)(blank)_Tallow_HEFA_ElectricityGrid Electricity</v>
      </c>
      <c r="B2393" s="179" t="s">
        <v>874</v>
      </c>
      <c r="C2393" s="179" t="s">
        <v>30</v>
      </c>
      <c r="D2393" s="180" t="s">
        <v>194</v>
      </c>
      <c r="E2393" s="182" t="s">
        <v>1336</v>
      </c>
      <c r="F2393" s="375" t="s">
        <v>31</v>
      </c>
      <c r="G2393" s="14" t="b">
        <f>OR(LCI_Table[[#This Row],[Feedstock]]="All",LCI_Table[[#This Row],[Feedstock]]=SelectedFeedstock)</f>
        <v>0</v>
      </c>
      <c r="H2393" s="14" t="b">
        <f>OR(LCI_Table[[#This Row],[Conversion]]="All",LCI_Table[[#This Row],[Conversion]]=SelectedConversion)</f>
        <v>1</v>
      </c>
      <c r="I2393" s="14" t="b">
        <f>OR(LCI_Table[[#This Row],[Data Set]]="all",LCI_Table[[#This Row],[Data Set]]=SelectedDataSet)</f>
        <v>0</v>
      </c>
      <c r="J2393" s="14" t="b">
        <f>OR(LCI_Table[[#This Row],[Technology]]="All",LCI_Table[[#This Row],[Technology]]=SelectedTechnology)</f>
        <v>1</v>
      </c>
      <c r="K2393" s="14" t="b">
        <f>OR(LCI_Table[[#This Row],[Data Source]]="All",LCI_Table[[#This Row],[Data Source]]=SelectedDataSource)</f>
        <v>0</v>
      </c>
      <c r="L2393" s="14" t="b">
        <f>TRUE</f>
        <v>1</v>
      </c>
      <c r="M2393" s="14" t="b">
        <f>(LCI_Table[[#This Row],[Dev Notes]]="Do not display")</f>
        <v>0</v>
      </c>
      <c r="N2393" s="14" t="b">
        <f>AND(LCI_Table[[#This Row],[Show Feedstock]:[Conditional]],NOT(LCI_Table[[#This Row],[Hide Row]]))</f>
        <v>0</v>
      </c>
      <c r="O2393" s="14" t="b">
        <f>LCI_Table[[#This Row],[GREET1 Name Range]]=""</f>
        <v>0</v>
      </c>
      <c r="P2393" s="14" t="s">
        <v>1448</v>
      </c>
      <c r="Q2393" s="14" t="s">
        <v>1078</v>
      </c>
      <c r="R2393" s="14" t="s">
        <v>1684</v>
      </c>
      <c r="S2393" s="37" cm="1">
        <f t="array" aca="1" ref="S23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0.43960660416666669</v>
      </c>
      <c r="T2393" s="346" t="s">
        <v>2121</v>
      </c>
      <c r="U2393" s="347">
        <f ca="1">S2393*kWh2BTU/mmBTU2BTU*Fuel_Specs!$B$48/Fuel_Specs!$E$48/g2lb</f>
        <v>28.439380982058864</v>
      </c>
      <c r="V2393" s="373">
        <v>0.43960660416666669</v>
      </c>
      <c r="W2393" s="347">
        <v>28.439380982058864</v>
      </c>
      <c r="X2393" s="14" t="s">
        <v>51</v>
      </c>
      <c r="Y2393" s="346" t="s">
        <v>416</v>
      </c>
      <c r="Z2393" s="14" t="str">
        <f>IF(ISBLANK(LCI_Table[[#This Row],[Notes for user]])," ",LCI_Table[[#This Row],[Notes for user]])</f>
        <v xml:space="preserve"> </v>
      </c>
      <c r="AA2393" s="14"/>
      <c r="AB2393" s="346">
        <v>0</v>
      </c>
      <c r="AC2393" s="346">
        <f ca="1">LCI_Table[[#This Row],[Default Calculated Value]]-LCI_Table[[#This Row],[Calculated Value]]</f>
        <v>0</v>
      </c>
    </row>
    <row r="2394" spans="1:29" x14ac:dyDescent="0.3">
      <c r="A23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TallowHEFAICAOJRC (E3)(blank)_Tallow_HEFA_HydrogenHydrogen</v>
      </c>
      <c r="B2394" s="179" t="s">
        <v>874</v>
      </c>
      <c r="C2394" s="179" t="s">
        <v>30</v>
      </c>
      <c r="D2394" s="180" t="s">
        <v>194</v>
      </c>
      <c r="E2394" s="182" t="s">
        <v>1336</v>
      </c>
      <c r="F2394" s="181" t="s">
        <v>31</v>
      </c>
      <c r="G2394" s="14" t="b">
        <f>OR(LCI_Table[[#This Row],[Feedstock]]="All",LCI_Table[[#This Row],[Feedstock]]=SelectedFeedstock)</f>
        <v>0</v>
      </c>
      <c r="H2394" s="14" t="b">
        <f>OR(LCI_Table[[#This Row],[Conversion]]="All",LCI_Table[[#This Row],[Conversion]]=SelectedConversion)</f>
        <v>1</v>
      </c>
      <c r="I2394" s="14" t="b">
        <f>OR(LCI_Table[[#This Row],[Data Set]]="all",LCI_Table[[#This Row],[Data Set]]=SelectedDataSet)</f>
        <v>0</v>
      </c>
      <c r="J2394" s="14" t="b">
        <f>OR(LCI_Table[[#This Row],[Technology]]="All",LCI_Table[[#This Row],[Technology]]=SelectedTechnology)</f>
        <v>1</v>
      </c>
      <c r="K2394" s="14" t="b">
        <f>OR(LCI_Table[[#This Row],[Data Source]]="All",LCI_Table[[#This Row],[Data Source]]=SelectedDataSource)</f>
        <v>0</v>
      </c>
      <c r="L2394" s="14" t="b">
        <f>TRUE</f>
        <v>1</v>
      </c>
      <c r="M2394" s="14" t="b">
        <f>(LCI_Table[[#This Row],[Dev Notes]]="Do not display")</f>
        <v>0</v>
      </c>
      <c r="N2394" s="14" t="b">
        <f>AND(LCI_Table[[#This Row],[Show Feedstock]:[Conditional]],NOT(LCI_Table[[#This Row],[Hide Row]]))</f>
        <v>0</v>
      </c>
      <c r="O2394" s="14" t="b">
        <f>LCI_Table[[#This Row],[GREET1 Name Range]]=""</f>
        <v>0</v>
      </c>
      <c r="P2394" s="14" t="s">
        <v>1448</v>
      </c>
      <c r="Q2394" s="14" t="s">
        <v>1079</v>
      </c>
      <c r="R2394" s="14" t="s">
        <v>73</v>
      </c>
      <c r="S2394" s="37" cm="1">
        <f t="array" aca="1" ref="S23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94" s="346" t="s">
        <v>2120</v>
      </c>
      <c r="U2394" s="347">
        <f ca="1">S2394*Fuel_Specs!$B$81/mmBTU2BTU*Fuel_Specs!$B$48/Fuel_Specs!$E$48/g2lb</f>
        <v>0</v>
      </c>
      <c r="V2394" s="376">
        <v>0</v>
      </c>
      <c r="W2394" s="376">
        <v>0</v>
      </c>
      <c r="X2394" s="14" t="s">
        <v>351</v>
      </c>
      <c r="Y2394" s="346" t="s">
        <v>416</v>
      </c>
      <c r="Z2394" s="14" t="str">
        <f>IF(ISBLANK(LCI_Table[[#This Row],[Notes for user]])," ",LCI_Table[[#This Row],[Notes for user]])</f>
        <v xml:space="preserve"> </v>
      </c>
      <c r="AA2394" s="14"/>
      <c r="AB2394" s="346">
        <v>0</v>
      </c>
      <c r="AC2394" s="346">
        <f ca="1">LCI_Table[[#This Row],[Default Calculated Value]]-LCI_Table[[#This Row],[Calculated Value]]</f>
        <v>0</v>
      </c>
    </row>
    <row r="2395" spans="1:29" x14ac:dyDescent="0.3">
      <c r="A23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UCOHEFAGREETGREET(blank)_UCO_Residual_oilResidual oil</v>
      </c>
      <c r="B2395" s="179" t="s">
        <v>875</v>
      </c>
      <c r="C2395" s="179" t="s">
        <v>30</v>
      </c>
      <c r="D2395" s="180" t="s">
        <v>29</v>
      </c>
      <c r="E2395" s="180" t="s">
        <v>29</v>
      </c>
      <c r="F2395" s="375" t="s">
        <v>31</v>
      </c>
      <c r="G2395" s="14" t="b">
        <f>OR(LCI_Table[[#This Row],[Feedstock]]="All",LCI_Table[[#This Row],[Feedstock]]=SelectedFeedstock)</f>
        <v>0</v>
      </c>
      <c r="H2395" s="14" t="b">
        <f>OR(LCI_Table[[#This Row],[Conversion]]="All",LCI_Table[[#This Row],[Conversion]]=SelectedConversion)</f>
        <v>1</v>
      </c>
      <c r="I2395" s="14" t="b">
        <f>OR(LCI_Table[[#This Row],[Data Set]]="all",LCI_Table[[#This Row],[Data Set]]=SelectedDataSet)</f>
        <v>1</v>
      </c>
      <c r="J2395" s="14" t="b">
        <f>OR(LCI_Table[[#This Row],[Technology]]="All",LCI_Table[[#This Row],[Technology]]=SelectedTechnology)</f>
        <v>1</v>
      </c>
      <c r="K2395" s="14" t="b">
        <f>OR(LCI_Table[[#This Row],[Data Source]]="All",LCI_Table[[#This Row],[Data Source]]=SelectedDataSource)</f>
        <v>1</v>
      </c>
      <c r="L2395" s="14" t="b">
        <v>0</v>
      </c>
      <c r="M2395" s="14" t="b">
        <f>(LCI_Table[[#This Row],[Dev Notes]]="Do not display")</f>
        <v>0</v>
      </c>
      <c r="N2395" s="14" t="b">
        <v>0</v>
      </c>
      <c r="O2395" s="14" t="b">
        <f>LCI_Table[[#This Row],[GREET1 Name Range]]=""</f>
        <v>0</v>
      </c>
      <c r="P2395" s="14" t="s">
        <v>887</v>
      </c>
      <c r="Q2395" s="14" t="s">
        <v>1080</v>
      </c>
      <c r="R2395" s="14" t="s">
        <v>115</v>
      </c>
      <c r="S2395" s="37" cm="1">
        <f t="array" aca="1" ref="S23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95" s="346" t="s">
        <v>2112</v>
      </c>
      <c r="U2395" s="347">
        <f ca="1">S2395*Fuel_Specs!$B$28</f>
        <v>0</v>
      </c>
      <c r="V2395" s="347">
        <v>0</v>
      </c>
      <c r="W2395" s="347">
        <v>0</v>
      </c>
      <c r="X2395" s="14" t="s">
        <v>5</v>
      </c>
      <c r="Y2395" s="346" t="s">
        <v>891</v>
      </c>
      <c r="Z2395" s="14" t="str">
        <f>IF(ISBLANK(LCI_Table[[#This Row],[Notes for user]])," ",LCI_Table[[#This Row],[Notes for user]])</f>
        <v xml:space="preserve"> </v>
      </c>
      <c r="AA2395" s="14"/>
      <c r="AB2395" s="14"/>
      <c r="AC2395" s="346">
        <f ca="1">LCI_Table[[#This Row],[Default Calculated Value]]-LCI_Table[[#This Row],[Calculated Value]]</f>
        <v>0</v>
      </c>
    </row>
    <row r="2396" spans="1:29" x14ac:dyDescent="0.3">
      <c r="A23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UCOHEFAGREETGREET(blank)_UCO_DieselDiesel</v>
      </c>
      <c r="B2396" s="179" t="s">
        <v>875</v>
      </c>
      <c r="C2396" s="179" t="s">
        <v>30</v>
      </c>
      <c r="D2396" s="180" t="s">
        <v>29</v>
      </c>
      <c r="E2396" s="180" t="s">
        <v>29</v>
      </c>
      <c r="F2396" s="375" t="s">
        <v>31</v>
      </c>
      <c r="G2396" s="14" t="b">
        <f>OR(LCI_Table[[#This Row],[Feedstock]]="All",LCI_Table[[#This Row],[Feedstock]]=SelectedFeedstock)</f>
        <v>0</v>
      </c>
      <c r="H2396" s="14" t="b">
        <f>OR(LCI_Table[[#This Row],[Conversion]]="All",LCI_Table[[#This Row],[Conversion]]=SelectedConversion)</f>
        <v>1</v>
      </c>
      <c r="I2396" s="14" t="b">
        <f>OR(LCI_Table[[#This Row],[Data Set]]="all",LCI_Table[[#This Row],[Data Set]]=SelectedDataSet)</f>
        <v>1</v>
      </c>
      <c r="J2396" s="14" t="b">
        <f>OR(LCI_Table[[#This Row],[Technology]]="All",LCI_Table[[#This Row],[Technology]]=SelectedTechnology)</f>
        <v>1</v>
      </c>
      <c r="K2396" s="14" t="b">
        <f>OR(LCI_Table[[#This Row],[Data Source]]="All",LCI_Table[[#This Row],[Data Source]]=SelectedDataSource)</f>
        <v>1</v>
      </c>
      <c r="L2396" s="14" t="b">
        <v>0</v>
      </c>
      <c r="M2396" s="14" t="b">
        <f>(LCI_Table[[#This Row],[Dev Notes]]="Do not display")</f>
        <v>0</v>
      </c>
      <c r="N2396" s="14" t="b">
        <v>0</v>
      </c>
      <c r="O2396" s="14" t="b">
        <f>LCI_Table[[#This Row],[GREET1 Name Range]]=""</f>
        <v>0</v>
      </c>
      <c r="P2396" s="14" t="s">
        <v>887</v>
      </c>
      <c r="Q2396" s="14" t="s">
        <v>1081</v>
      </c>
      <c r="R2396" s="14" t="s">
        <v>106</v>
      </c>
      <c r="S2396" s="37" cm="1">
        <f t="array" aca="1" ref="S23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96" s="346" t="s">
        <v>2112</v>
      </c>
      <c r="U2396" s="347">
        <f ca="1">S2396*Fuel_Specs!$B$19</f>
        <v>0</v>
      </c>
      <c r="V2396" s="347">
        <v>0</v>
      </c>
      <c r="W2396" s="347">
        <v>0</v>
      </c>
      <c r="X2396" s="14" t="s">
        <v>5</v>
      </c>
      <c r="Y2396" s="346" t="s">
        <v>891</v>
      </c>
      <c r="Z2396" s="14" t="str">
        <f>IF(ISBLANK(LCI_Table[[#This Row],[Notes for user]])," ",LCI_Table[[#This Row],[Notes for user]])</f>
        <v xml:space="preserve"> </v>
      </c>
      <c r="AA2396" s="14"/>
      <c r="AB2396" s="14"/>
      <c r="AC2396" s="346">
        <f ca="1">LCI_Table[[#This Row],[Default Calculated Value]]-LCI_Table[[#This Row],[Calculated Value]]</f>
        <v>0</v>
      </c>
    </row>
    <row r="2397" spans="1:29" x14ac:dyDescent="0.3">
      <c r="A23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UCOHEFAGREETGREET(blank)_UCO_GasolineGasoline</v>
      </c>
      <c r="B2397" s="179" t="s">
        <v>875</v>
      </c>
      <c r="C2397" s="179" t="s">
        <v>30</v>
      </c>
      <c r="D2397" s="180" t="s">
        <v>29</v>
      </c>
      <c r="E2397" s="180" t="s">
        <v>29</v>
      </c>
      <c r="F2397" s="375" t="s">
        <v>31</v>
      </c>
      <c r="G2397" s="14" t="b">
        <f>OR(LCI_Table[[#This Row],[Feedstock]]="All",LCI_Table[[#This Row],[Feedstock]]=SelectedFeedstock)</f>
        <v>0</v>
      </c>
      <c r="H2397" s="14" t="b">
        <f>OR(LCI_Table[[#This Row],[Conversion]]="All",LCI_Table[[#This Row],[Conversion]]=SelectedConversion)</f>
        <v>1</v>
      </c>
      <c r="I2397" s="14" t="b">
        <f>OR(LCI_Table[[#This Row],[Data Set]]="all",LCI_Table[[#This Row],[Data Set]]=SelectedDataSet)</f>
        <v>1</v>
      </c>
      <c r="J2397" s="14" t="b">
        <f>OR(LCI_Table[[#This Row],[Technology]]="All",LCI_Table[[#This Row],[Technology]]=SelectedTechnology)</f>
        <v>1</v>
      </c>
      <c r="K2397" s="14" t="b">
        <f>OR(LCI_Table[[#This Row],[Data Source]]="All",LCI_Table[[#This Row],[Data Source]]=SelectedDataSource)</f>
        <v>1</v>
      </c>
      <c r="L2397" s="14" t="b">
        <v>0</v>
      </c>
      <c r="M2397" s="14" t="b">
        <f>(LCI_Table[[#This Row],[Dev Notes]]="Do not display")</f>
        <v>0</v>
      </c>
      <c r="N2397" s="14" t="b">
        <v>0</v>
      </c>
      <c r="O2397" s="14" t="b">
        <f>LCI_Table[[#This Row],[GREET1 Name Range]]=""</f>
        <v>0</v>
      </c>
      <c r="P2397" s="14" t="s">
        <v>887</v>
      </c>
      <c r="Q2397" s="14" t="s">
        <v>1082</v>
      </c>
      <c r="R2397" s="14" t="s">
        <v>107</v>
      </c>
      <c r="S2397" s="37" cm="1">
        <f t="array" aca="1" ref="S23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97" s="346" t="s">
        <v>2112</v>
      </c>
      <c r="U2397" s="347">
        <f ca="1">S2397*Fuel_Specs!$B$15</f>
        <v>0</v>
      </c>
      <c r="V2397" s="347">
        <v>0</v>
      </c>
      <c r="W2397" s="347">
        <v>0</v>
      </c>
      <c r="X2397" s="14" t="s">
        <v>5</v>
      </c>
      <c r="Y2397" s="346" t="s">
        <v>891</v>
      </c>
      <c r="Z2397" s="14" t="str">
        <f>IF(ISBLANK(LCI_Table[[#This Row],[Notes for user]])," ",LCI_Table[[#This Row],[Notes for user]])</f>
        <v xml:space="preserve"> </v>
      </c>
      <c r="AA2397" s="14"/>
      <c r="AB2397" s="14"/>
      <c r="AC2397" s="346">
        <f ca="1">LCI_Table[[#This Row],[Default Calculated Value]]-LCI_Table[[#This Row],[Calculated Value]]</f>
        <v>0</v>
      </c>
    </row>
    <row r="2398" spans="1:29" x14ac:dyDescent="0.3">
      <c r="A23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UCOHEFAGREETGREET(blank)_UCO_Natural_gasNatural gas</v>
      </c>
      <c r="B2398" s="179" t="s">
        <v>875</v>
      </c>
      <c r="C2398" s="179" t="s">
        <v>30</v>
      </c>
      <c r="D2398" s="180" t="s">
        <v>29</v>
      </c>
      <c r="E2398" s="180" t="s">
        <v>29</v>
      </c>
      <c r="F2398" s="375" t="s">
        <v>31</v>
      </c>
      <c r="G2398" s="14" t="b">
        <f>OR(LCI_Table[[#This Row],[Feedstock]]="All",LCI_Table[[#This Row],[Feedstock]]=SelectedFeedstock)</f>
        <v>0</v>
      </c>
      <c r="H2398" s="14" t="b">
        <f>OR(LCI_Table[[#This Row],[Conversion]]="All",LCI_Table[[#This Row],[Conversion]]=SelectedConversion)</f>
        <v>1</v>
      </c>
      <c r="I2398" s="14" t="b">
        <f>OR(LCI_Table[[#This Row],[Data Set]]="all",LCI_Table[[#This Row],[Data Set]]=SelectedDataSet)</f>
        <v>1</v>
      </c>
      <c r="J2398" s="14" t="b">
        <f>OR(LCI_Table[[#This Row],[Technology]]="All",LCI_Table[[#This Row],[Technology]]=SelectedTechnology)</f>
        <v>1</v>
      </c>
      <c r="K2398" s="14" t="b">
        <f>OR(LCI_Table[[#This Row],[Data Source]]="All",LCI_Table[[#This Row],[Data Source]]=SelectedDataSource)</f>
        <v>1</v>
      </c>
      <c r="L2398" s="14" t="b">
        <v>0</v>
      </c>
      <c r="M2398" s="14" t="b">
        <f>(LCI_Table[[#This Row],[Dev Notes]]="Do not display")</f>
        <v>0</v>
      </c>
      <c r="N2398" s="14" t="b">
        <v>0</v>
      </c>
      <c r="O2398" s="14" t="b">
        <f>LCI_Table[[#This Row],[GREET1 Name Range]]=""</f>
        <v>0</v>
      </c>
      <c r="P2398" s="14" t="s">
        <v>887</v>
      </c>
      <c r="Q2398" s="14" t="s">
        <v>1083</v>
      </c>
      <c r="R2398" s="14" t="s">
        <v>108</v>
      </c>
      <c r="S2398" s="37" cm="1">
        <f t="array" aca="1" ref="S23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0.9241353001017294</v>
      </c>
      <c r="T2398" s="346" t="s">
        <v>2113</v>
      </c>
      <c r="U2398" s="347">
        <f ca="1">S2398*Fuel_Specs!$B$79</f>
        <v>908.42499999999995</v>
      </c>
      <c r="V2398" s="347">
        <v>0.9241353001017294</v>
      </c>
      <c r="W2398" s="347">
        <v>908.42499999999995</v>
      </c>
      <c r="X2398" s="14" t="s">
        <v>351</v>
      </c>
      <c r="Y2398" s="346" t="s">
        <v>891</v>
      </c>
      <c r="Z2398" s="14" t="str">
        <f>IF(ISBLANK(LCI_Table[[#This Row],[Notes for user]])," ",LCI_Table[[#This Row],[Notes for user]])</f>
        <v xml:space="preserve"> </v>
      </c>
      <c r="AA2398" s="14"/>
      <c r="AB2398" s="14"/>
      <c r="AC2398" s="346">
        <f ca="1">LCI_Table[[#This Row],[Default Calculated Value]]-LCI_Table[[#This Row],[Calculated Value]]</f>
        <v>0</v>
      </c>
    </row>
    <row r="2399" spans="1:29" x14ac:dyDescent="0.3">
      <c r="A23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UCOHEFAGREETGREET(blank)_UCO_CoalCoal</v>
      </c>
      <c r="B2399" s="179" t="s">
        <v>875</v>
      </c>
      <c r="C2399" s="179" t="s">
        <v>30</v>
      </c>
      <c r="D2399" s="180" t="s">
        <v>29</v>
      </c>
      <c r="E2399" s="180" t="s">
        <v>29</v>
      </c>
      <c r="F2399" s="375" t="s">
        <v>31</v>
      </c>
      <c r="G2399" s="14" t="b">
        <f>OR(LCI_Table[[#This Row],[Feedstock]]="All",LCI_Table[[#This Row],[Feedstock]]=SelectedFeedstock)</f>
        <v>0</v>
      </c>
      <c r="H2399" s="14" t="b">
        <f>OR(LCI_Table[[#This Row],[Conversion]]="All",LCI_Table[[#This Row],[Conversion]]=SelectedConversion)</f>
        <v>1</v>
      </c>
      <c r="I2399" s="14" t="b">
        <f>OR(LCI_Table[[#This Row],[Data Set]]="all",LCI_Table[[#This Row],[Data Set]]=SelectedDataSet)</f>
        <v>1</v>
      </c>
      <c r="J2399" s="14" t="b">
        <f>OR(LCI_Table[[#This Row],[Technology]]="All",LCI_Table[[#This Row],[Technology]]=SelectedTechnology)</f>
        <v>1</v>
      </c>
      <c r="K2399" s="14" t="b">
        <f>OR(LCI_Table[[#This Row],[Data Source]]="All",LCI_Table[[#This Row],[Data Source]]=SelectedDataSource)</f>
        <v>1</v>
      </c>
      <c r="L2399" s="14" t="b">
        <v>0</v>
      </c>
      <c r="M2399" s="14" t="b">
        <f>(LCI_Table[[#This Row],[Dev Notes]]="Do not display")</f>
        <v>0</v>
      </c>
      <c r="N2399" s="14" t="b">
        <v>0</v>
      </c>
      <c r="O2399" s="14" t="b">
        <f>LCI_Table[[#This Row],[GREET1 Name Range]]=""</f>
        <v>0</v>
      </c>
      <c r="P2399" s="14" t="s">
        <v>887</v>
      </c>
      <c r="Q2399" s="14" t="s">
        <v>1084</v>
      </c>
      <c r="R2399" s="14" t="s">
        <v>9</v>
      </c>
      <c r="S2399" s="37" cm="1">
        <f t="array" aca="1" ref="S23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399" s="346" t="s">
        <v>2114</v>
      </c>
      <c r="U2399" s="347">
        <f ca="1">S2399</f>
        <v>0</v>
      </c>
      <c r="V2399" s="347">
        <v>0</v>
      </c>
      <c r="W2399" s="347">
        <v>0</v>
      </c>
      <c r="X2399" s="14" t="s">
        <v>117</v>
      </c>
      <c r="Y2399" s="346" t="s">
        <v>891</v>
      </c>
      <c r="Z2399" s="14" t="str">
        <f>IF(ISBLANK(LCI_Table[[#This Row],[Notes for user]])," ",LCI_Table[[#This Row],[Notes for user]])</f>
        <v xml:space="preserve"> </v>
      </c>
      <c r="AA2399" s="14"/>
      <c r="AB2399" s="14"/>
      <c r="AC2399" s="346">
        <f ca="1">LCI_Table[[#This Row],[Default Calculated Value]]-LCI_Table[[#This Row],[Calculated Value]]</f>
        <v>0</v>
      </c>
    </row>
    <row r="2400" spans="1:29" x14ac:dyDescent="0.3">
      <c r="A24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UCOHEFAGREETGREET(blank)_UCO_LPGLPG</v>
      </c>
      <c r="B2400" s="179" t="s">
        <v>875</v>
      </c>
      <c r="C2400" s="179" t="s">
        <v>30</v>
      </c>
      <c r="D2400" s="180" t="s">
        <v>29</v>
      </c>
      <c r="E2400" s="180" t="s">
        <v>29</v>
      </c>
      <c r="F2400" s="375" t="s">
        <v>31</v>
      </c>
      <c r="G2400" s="14" t="b">
        <f>OR(LCI_Table[[#This Row],[Feedstock]]="All",LCI_Table[[#This Row],[Feedstock]]=SelectedFeedstock)</f>
        <v>0</v>
      </c>
      <c r="H2400" s="14" t="b">
        <f>OR(LCI_Table[[#This Row],[Conversion]]="All",LCI_Table[[#This Row],[Conversion]]=SelectedConversion)</f>
        <v>1</v>
      </c>
      <c r="I2400" s="14" t="b">
        <f>OR(LCI_Table[[#This Row],[Data Set]]="all",LCI_Table[[#This Row],[Data Set]]=SelectedDataSet)</f>
        <v>1</v>
      </c>
      <c r="J2400" s="14" t="b">
        <f>OR(LCI_Table[[#This Row],[Technology]]="All",LCI_Table[[#This Row],[Technology]]=SelectedTechnology)</f>
        <v>1</v>
      </c>
      <c r="K2400" s="14" t="b">
        <f>OR(LCI_Table[[#This Row],[Data Source]]="All",LCI_Table[[#This Row],[Data Source]]=SelectedDataSource)</f>
        <v>1</v>
      </c>
      <c r="L2400" s="14" t="b">
        <v>0</v>
      </c>
      <c r="M2400" s="14" t="b">
        <f>(LCI_Table[[#This Row],[Dev Notes]]="Do not display")</f>
        <v>0</v>
      </c>
      <c r="N2400" s="14" t="b">
        <v>0</v>
      </c>
      <c r="O2400" s="14" t="b">
        <f>LCI_Table[[#This Row],[GREET1 Name Range]]=""</f>
        <v>0</v>
      </c>
      <c r="P2400" s="14" t="s">
        <v>887</v>
      </c>
      <c r="Q2400" s="14" t="s">
        <v>1085</v>
      </c>
      <c r="R2400" s="14" t="s">
        <v>109</v>
      </c>
      <c r="S2400" s="37" cm="1">
        <f t="array" aca="1" ref="S24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00" s="346" t="s">
        <v>2112</v>
      </c>
      <c r="U2400" s="347">
        <f ca="1">S2400*Fuel_Specs!$B$35</f>
        <v>0</v>
      </c>
      <c r="V2400" s="347">
        <v>0</v>
      </c>
      <c r="W2400" s="347">
        <v>0</v>
      </c>
      <c r="X2400" s="14" t="s">
        <v>5</v>
      </c>
      <c r="Y2400" s="346" t="s">
        <v>891</v>
      </c>
      <c r="Z2400" s="14" t="str">
        <f>IF(ISBLANK(LCI_Table[[#This Row],[Notes for user]])," ",LCI_Table[[#This Row],[Notes for user]])</f>
        <v xml:space="preserve"> </v>
      </c>
      <c r="AA2400" s="14"/>
      <c r="AB2400" s="14"/>
      <c r="AC2400" s="346">
        <f ca="1">LCI_Table[[#This Row],[Default Calculated Value]]-LCI_Table[[#This Row],[Calculated Value]]</f>
        <v>0</v>
      </c>
    </row>
    <row r="2401" spans="1:29" x14ac:dyDescent="0.3">
      <c r="A24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UCOHEFAGREETGREET(blank)_UCO_ElectricityElectricity</v>
      </c>
      <c r="B2401" s="179" t="s">
        <v>875</v>
      </c>
      <c r="C2401" s="179" t="s">
        <v>30</v>
      </c>
      <c r="D2401" s="180" t="s">
        <v>29</v>
      </c>
      <c r="E2401" s="180" t="s">
        <v>29</v>
      </c>
      <c r="F2401" s="375" t="s">
        <v>31</v>
      </c>
      <c r="G2401" s="14" t="b">
        <f>OR(LCI_Table[[#This Row],[Feedstock]]="All",LCI_Table[[#This Row],[Feedstock]]=SelectedFeedstock)</f>
        <v>0</v>
      </c>
      <c r="H2401" s="14" t="b">
        <f>OR(LCI_Table[[#This Row],[Conversion]]="All",LCI_Table[[#This Row],[Conversion]]=SelectedConversion)</f>
        <v>1</v>
      </c>
      <c r="I2401" s="14" t="b">
        <f>OR(LCI_Table[[#This Row],[Data Set]]="all",LCI_Table[[#This Row],[Data Set]]=SelectedDataSet)</f>
        <v>1</v>
      </c>
      <c r="J2401" s="14" t="b">
        <f>OR(LCI_Table[[#This Row],[Technology]]="All",LCI_Table[[#This Row],[Technology]]=SelectedTechnology)</f>
        <v>1</v>
      </c>
      <c r="K2401" s="14" t="b">
        <f>OR(LCI_Table[[#This Row],[Data Source]]="All",LCI_Table[[#This Row],[Data Source]]=SelectedDataSource)</f>
        <v>1</v>
      </c>
      <c r="L2401" s="14" t="b">
        <v>0</v>
      </c>
      <c r="M2401" s="14" t="b">
        <f>(LCI_Table[[#This Row],[Dev Notes]]="Do not display")</f>
        <v>0</v>
      </c>
      <c r="N2401" s="14" t="b">
        <v>0</v>
      </c>
      <c r="O2401" s="14" t="b">
        <f>LCI_Table[[#This Row],[GREET1 Name Range]]=""</f>
        <v>0</v>
      </c>
      <c r="P2401" s="14" t="s">
        <v>887</v>
      </c>
      <c r="Q2401" s="14" t="s">
        <v>1086</v>
      </c>
      <c r="R2401" s="14" t="s">
        <v>110</v>
      </c>
      <c r="S2401" s="37" cm="1">
        <f t="array" aca="1" ref="S24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3.1234049226041668E-2</v>
      </c>
      <c r="T2401" s="346" t="s">
        <v>2115</v>
      </c>
      <c r="U2401" s="347">
        <f ca="1">S2401/BTU2kWh</f>
        <v>106.575</v>
      </c>
      <c r="V2401" s="347">
        <v>3.1234049226041668E-2</v>
      </c>
      <c r="W2401" s="347">
        <v>106.575</v>
      </c>
      <c r="X2401" s="14" t="s">
        <v>51</v>
      </c>
      <c r="Y2401" s="346" t="s">
        <v>891</v>
      </c>
      <c r="Z2401" s="14" t="str">
        <f>IF(ISBLANK(LCI_Table[[#This Row],[Notes for user]])," ",LCI_Table[[#This Row],[Notes for user]])</f>
        <v xml:space="preserve"> </v>
      </c>
      <c r="AA2401" s="14"/>
      <c r="AB2401" s="14"/>
      <c r="AC2401" s="346">
        <f ca="1">LCI_Table[[#This Row],[Default Calculated Value]]-LCI_Table[[#This Row],[Calculated Value]]</f>
        <v>0</v>
      </c>
    </row>
    <row r="2402" spans="1:29" x14ac:dyDescent="0.3">
      <c r="A24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UCOHEFAGREETGREET(blank)_UCO_N_hexaneN-hexane</v>
      </c>
      <c r="B2402" s="179" t="s">
        <v>875</v>
      </c>
      <c r="C2402" s="179" t="s">
        <v>30</v>
      </c>
      <c r="D2402" s="180" t="s">
        <v>29</v>
      </c>
      <c r="E2402" s="180" t="s">
        <v>29</v>
      </c>
      <c r="F2402" s="375" t="s">
        <v>31</v>
      </c>
      <c r="G2402" s="14" t="b">
        <f>OR(LCI_Table[[#This Row],[Feedstock]]="All",LCI_Table[[#This Row],[Feedstock]]=SelectedFeedstock)</f>
        <v>0</v>
      </c>
      <c r="H2402" s="14" t="b">
        <f>OR(LCI_Table[[#This Row],[Conversion]]="All",LCI_Table[[#This Row],[Conversion]]=SelectedConversion)</f>
        <v>1</v>
      </c>
      <c r="I2402" s="14" t="b">
        <f>OR(LCI_Table[[#This Row],[Data Set]]="all",LCI_Table[[#This Row],[Data Set]]=SelectedDataSet)</f>
        <v>1</v>
      </c>
      <c r="J2402" s="14" t="b">
        <f>OR(LCI_Table[[#This Row],[Technology]]="All",LCI_Table[[#This Row],[Technology]]=SelectedTechnology)</f>
        <v>1</v>
      </c>
      <c r="K2402" s="14" t="b">
        <f>OR(LCI_Table[[#This Row],[Data Source]]="All",LCI_Table[[#This Row],[Data Source]]=SelectedDataSource)</f>
        <v>1</v>
      </c>
      <c r="L2402" s="14" t="b">
        <v>0</v>
      </c>
      <c r="M2402" s="14" t="b">
        <f>(LCI_Table[[#This Row],[Dev Notes]]="Do not display")</f>
        <v>0</v>
      </c>
      <c r="N2402" s="14" t="b">
        <v>0</v>
      </c>
      <c r="O2402" s="14" t="b">
        <f>LCI_Table[[#This Row],[GREET1 Name Range]]=""</f>
        <v>0</v>
      </c>
      <c r="P2402" s="14" t="s">
        <v>887</v>
      </c>
      <c r="Q2402" s="14" t="s">
        <v>1087</v>
      </c>
      <c r="R2402" s="14" t="s">
        <v>116</v>
      </c>
      <c r="S2402" s="37" cm="1">
        <f t="array" aca="1" ref="S24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02" s="346" t="s">
        <v>2112</v>
      </c>
      <c r="U2402" s="347">
        <f ca="1">S2402*Fuel_Specs!$B$58</f>
        <v>0</v>
      </c>
      <c r="V2402" s="347">
        <v>0</v>
      </c>
      <c r="W2402" s="347">
        <v>0</v>
      </c>
      <c r="X2402" s="37" t="s">
        <v>5</v>
      </c>
      <c r="Y2402" s="346" t="s">
        <v>891</v>
      </c>
      <c r="Z2402" s="14" t="str">
        <f>IF(ISBLANK(LCI_Table[[#This Row],[Notes for user]])," ",LCI_Table[[#This Row],[Notes for user]])</f>
        <v xml:space="preserve"> </v>
      </c>
      <c r="AA2402" s="14"/>
      <c r="AB2402" s="14"/>
      <c r="AC2402" s="346">
        <f ca="1">LCI_Table[[#This Row],[Default Calculated Value]]-LCI_Table[[#This Row],[Calculated Value]]</f>
        <v>0</v>
      </c>
    </row>
    <row r="2403" spans="1:29" x14ac:dyDescent="0.3">
      <c r="A24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UCOHEFAGREETGREET(blank)_UCO_MethanolMethanol</v>
      </c>
      <c r="B2403" s="179" t="s">
        <v>875</v>
      </c>
      <c r="C2403" s="179" t="s">
        <v>30</v>
      </c>
      <c r="D2403" s="180" t="s">
        <v>29</v>
      </c>
      <c r="E2403" s="180" t="s">
        <v>29</v>
      </c>
      <c r="F2403" s="375" t="s">
        <v>31</v>
      </c>
      <c r="G2403" s="14" t="b">
        <f>OR(LCI_Table[[#This Row],[Feedstock]]="All",LCI_Table[[#This Row],[Feedstock]]=SelectedFeedstock)</f>
        <v>0</v>
      </c>
      <c r="H2403" s="14" t="b">
        <f>OR(LCI_Table[[#This Row],[Conversion]]="All",LCI_Table[[#This Row],[Conversion]]=SelectedConversion)</f>
        <v>1</v>
      </c>
      <c r="I2403" s="14" t="b">
        <f>OR(LCI_Table[[#This Row],[Data Set]]="all",LCI_Table[[#This Row],[Data Set]]=SelectedDataSet)</f>
        <v>1</v>
      </c>
      <c r="J2403" s="14" t="b">
        <f>OR(LCI_Table[[#This Row],[Technology]]="All",LCI_Table[[#This Row],[Technology]]=SelectedTechnology)</f>
        <v>1</v>
      </c>
      <c r="K2403" s="14" t="b">
        <f>OR(LCI_Table[[#This Row],[Data Source]]="All",LCI_Table[[#This Row],[Data Source]]=SelectedDataSource)</f>
        <v>1</v>
      </c>
      <c r="L2403" s="14" t="b">
        <v>0</v>
      </c>
      <c r="M2403" s="14" t="b">
        <f>(LCI_Table[[#This Row],[Dev Notes]]="Do not display")</f>
        <v>0</v>
      </c>
      <c r="N2403" s="14" t="b">
        <v>0</v>
      </c>
      <c r="O2403" s="14" t="b">
        <f>LCI_Table[[#This Row],[GREET1 Name Range]]=""</f>
        <v>0</v>
      </c>
      <c r="P2403" s="14" t="s">
        <v>887</v>
      </c>
      <c r="Q2403" s="14" t="s">
        <v>1088</v>
      </c>
      <c r="R2403" s="14" t="s">
        <v>250</v>
      </c>
      <c r="S2403" s="37" cm="1">
        <f t="array" aca="1" ref="S24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03" s="346" t="s">
        <v>2112</v>
      </c>
      <c r="U2403" s="347">
        <f ca="1">S2403*Fuel_Specs!$B$30</f>
        <v>0</v>
      </c>
      <c r="V2403" s="347">
        <v>0</v>
      </c>
      <c r="W2403" s="347">
        <v>0</v>
      </c>
      <c r="X2403" s="37" t="s">
        <v>5</v>
      </c>
      <c r="Y2403" s="346" t="s">
        <v>891</v>
      </c>
      <c r="Z2403" s="14" t="str">
        <f>IF(ISBLANK(LCI_Table[[#This Row],[Notes for user]])," ",LCI_Table[[#This Row],[Notes for user]])</f>
        <v xml:space="preserve"> </v>
      </c>
      <c r="AA2403" s="14"/>
      <c r="AB2403" s="14"/>
      <c r="AC2403" s="346">
        <f ca="1">LCI_Table[[#This Row],[Default Calculated Value]]-LCI_Table[[#This Row],[Calculated Value]]</f>
        <v>0</v>
      </c>
    </row>
    <row r="2404" spans="1:29" x14ac:dyDescent="0.3">
      <c r="A24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UCOHEFAGREETGREET(blank)_UCO_HydrogenHydrogen</v>
      </c>
      <c r="B2404" s="179" t="s">
        <v>875</v>
      </c>
      <c r="C2404" s="179" t="s">
        <v>30</v>
      </c>
      <c r="D2404" s="180" t="s">
        <v>29</v>
      </c>
      <c r="E2404" s="180" t="s">
        <v>29</v>
      </c>
      <c r="F2404" s="375" t="s">
        <v>31</v>
      </c>
      <c r="G2404" s="14" t="b">
        <f>OR(LCI_Table[[#This Row],[Feedstock]]="All",LCI_Table[[#This Row],[Feedstock]]=SelectedFeedstock)</f>
        <v>0</v>
      </c>
      <c r="H2404" s="14" t="b">
        <f>OR(LCI_Table[[#This Row],[Conversion]]="All",LCI_Table[[#This Row],[Conversion]]=SelectedConversion)</f>
        <v>1</v>
      </c>
      <c r="I2404" s="14" t="b">
        <f>OR(LCI_Table[[#This Row],[Data Set]]="all",LCI_Table[[#This Row],[Data Set]]=SelectedDataSet)</f>
        <v>1</v>
      </c>
      <c r="J2404" s="14" t="b">
        <f>OR(LCI_Table[[#This Row],[Technology]]="All",LCI_Table[[#This Row],[Technology]]=SelectedTechnology)</f>
        <v>1</v>
      </c>
      <c r="K2404" s="14" t="b">
        <f>OR(LCI_Table[[#This Row],[Data Source]]="All",LCI_Table[[#This Row],[Data Source]]=SelectedDataSource)</f>
        <v>1</v>
      </c>
      <c r="L2404" s="14" t="b">
        <v>0</v>
      </c>
      <c r="M2404" s="14" t="b">
        <f>(LCI_Table[[#This Row],[Dev Notes]]="Do not display")</f>
        <v>0</v>
      </c>
      <c r="N2404" s="14" t="b">
        <v>0</v>
      </c>
      <c r="O2404" s="14" t="b">
        <f>LCI_Table[[#This Row],[GREET1 Name Range]]=""</f>
        <v>0</v>
      </c>
      <c r="P2404" s="14" t="s">
        <v>887</v>
      </c>
      <c r="Q2404" s="14" t="s">
        <v>1089</v>
      </c>
      <c r="R2404" s="14" t="s">
        <v>73</v>
      </c>
      <c r="S2404" s="37" cm="1">
        <f t="array" aca="1" ref="S24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04" s="346" t="s">
        <v>2113</v>
      </c>
      <c r="U2404" s="347">
        <f ca="1">S2404*Fuel_Specs!$B$81</f>
        <v>0</v>
      </c>
      <c r="V2404" s="347">
        <v>0</v>
      </c>
      <c r="W2404" s="347">
        <v>0</v>
      </c>
      <c r="X2404" s="37" t="s">
        <v>351</v>
      </c>
      <c r="Y2404" s="346" t="s">
        <v>891</v>
      </c>
      <c r="Z2404" s="14" t="str">
        <f>IF(ISBLANK(LCI_Table[[#This Row],[Notes for user]])," ",LCI_Table[[#This Row],[Notes for user]])</f>
        <v xml:space="preserve"> </v>
      </c>
      <c r="AA2404" s="14"/>
      <c r="AB2404" s="14"/>
      <c r="AC2404" s="346">
        <f ca="1">LCI_Table[[#This Row],[Default Calculated Value]]-LCI_Table[[#This Row],[Calculated Value]]</f>
        <v>0</v>
      </c>
    </row>
    <row r="2405" spans="1:29" x14ac:dyDescent="0.3">
      <c r="A24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UCOHEFAGREETGREET(blank)_HEFA_feed_usageUsed cooking oil (UCO)</v>
      </c>
      <c r="B2405" s="179" t="s">
        <v>875</v>
      </c>
      <c r="C2405" s="179" t="s">
        <v>30</v>
      </c>
      <c r="D2405" s="180" t="s">
        <v>29</v>
      </c>
      <c r="E2405" s="180" t="s">
        <v>29</v>
      </c>
      <c r="F2405" s="375" t="s">
        <v>31</v>
      </c>
      <c r="G2405" s="14" t="b">
        <f>OR(LCI_Table[[#This Row],[Feedstock]]="All",LCI_Table[[#This Row],[Feedstock]]=SelectedFeedstock)</f>
        <v>0</v>
      </c>
      <c r="H2405" s="14" t="b">
        <f>OR(LCI_Table[[#This Row],[Conversion]]="All",LCI_Table[[#This Row],[Conversion]]=SelectedConversion)</f>
        <v>1</v>
      </c>
      <c r="I2405" s="14" t="b">
        <f>OR(LCI_Table[[#This Row],[Data Set]]="all",LCI_Table[[#This Row],[Data Set]]=SelectedDataSet)</f>
        <v>1</v>
      </c>
      <c r="J2405" s="14" t="b">
        <f>OR(LCI_Table[[#This Row],[Technology]]="All",LCI_Table[[#This Row],[Technology]]=SelectedTechnology)</f>
        <v>1</v>
      </c>
      <c r="K2405" s="14" t="b">
        <f>OR(LCI_Table[[#This Row],[Data Source]]="All",LCI_Table[[#This Row],[Data Source]]=SelectedDataSource)</f>
        <v>1</v>
      </c>
      <c r="L2405" s="14" t="b">
        <v>0</v>
      </c>
      <c r="M2405" s="14" t="b">
        <f>(LCI_Table[[#This Row],[Dev Notes]]="Do not display")</f>
        <v>0</v>
      </c>
      <c r="N2405" s="14" t="b">
        <v>0</v>
      </c>
      <c r="O2405" s="14" t="b">
        <f>LCI_Table[[#This Row],[GREET1 Name Range]]=""</f>
        <v>0</v>
      </c>
      <c r="P2405" s="14" t="s">
        <v>1448</v>
      </c>
      <c r="Q2405" s="14" t="s">
        <v>933</v>
      </c>
      <c r="R2405" s="14" t="s">
        <v>1640</v>
      </c>
      <c r="S2405" s="37" cm="1">
        <f t="array" aca="1" ref="S24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60.955501310224768</v>
      </c>
      <c r="T2405" s="346" t="s">
        <v>2119</v>
      </c>
      <c r="U2405" s="347">
        <f ca="1">S2405*lb2g/Fuel_Specs!$E$48*Fuel_Specs!$B$48*BTU2mmBTU/0.911711975329766</f>
        <v>1.2676055388997562</v>
      </c>
      <c r="V2405" s="347">
        <v>60.955501310224768</v>
      </c>
      <c r="W2405" s="347">
        <v>1.2676055388997562</v>
      </c>
      <c r="X2405" s="14" t="s">
        <v>12</v>
      </c>
      <c r="Y2405" s="346" t="s">
        <v>416</v>
      </c>
      <c r="Z2405" s="14" t="str">
        <f>IF(ISBLANK(LCI_Table[[#This Row],[Notes for user]])," ",LCI_Table[[#This Row],[Notes for user]])</f>
        <v xml:space="preserve"> </v>
      </c>
      <c r="AA2405" s="14"/>
      <c r="AB2405" s="14"/>
      <c r="AC2405" s="346">
        <f ca="1">LCI_Table[[#This Row],[Default Calculated Value]]-LCI_Table[[#This Row],[Calculated Value]]</f>
        <v>0</v>
      </c>
    </row>
    <row r="2406" spans="1:29" x14ac:dyDescent="0.3">
      <c r="A24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UCOHEFAGREETGREET(blank)_UCO_HEFA_Natural_gasNatural gas</v>
      </c>
      <c r="B2406" s="179" t="s">
        <v>875</v>
      </c>
      <c r="C2406" s="179" t="s">
        <v>30</v>
      </c>
      <c r="D2406" s="180" t="s">
        <v>29</v>
      </c>
      <c r="E2406" s="180" t="s">
        <v>29</v>
      </c>
      <c r="F2406" s="375" t="s">
        <v>31</v>
      </c>
      <c r="G2406" s="14" t="b">
        <f>OR(LCI_Table[[#This Row],[Feedstock]]="All",LCI_Table[[#This Row],[Feedstock]]=SelectedFeedstock)</f>
        <v>0</v>
      </c>
      <c r="H2406" s="14" t="b">
        <f>OR(LCI_Table[[#This Row],[Conversion]]="All",LCI_Table[[#This Row],[Conversion]]=SelectedConversion)</f>
        <v>1</v>
      </c>
      <c r="I2406" s="14" t="b">
        <f>OR(LCI_Table[[#This Row],[Data Set]]="all",LCI_Table[[#This Row],[Data Set]]=SelectedDataSet)</f>
        <v>1</v>
      </c>
      <c r="J2406" s="14" t="b">
        <f>OR(LCI_Table[[#This Row],[Technology]]="All",LCI_Table[[#This Row],[Technology]]=SelectedTechnology)</f>
        <v>1</v>
      </c>
      <c r="K2406" s="14" t="b">
        <f>OR(LCI_Table[[#This Row],[Data Source]]="All",LCI_Table[[#This Row],[Data Source]]=SelectedDataSource)</f>
        <v>1</v>
      </c>
      <c r="L2406" s="14" t="b">
        <v>0</v>
      </c>
      <c r="M2406" s="14" t="b">
        <f>(LCI_Table[[#This Row],[Dev Notes]]="Do not display")</f>
        <v>0</v>
      </c>
      <c r="N2406" s="14" t="b">
        <v>0</v>
      </c>
      <c r="O2406" s="14" t="b">
        <f>LCI_Table[[#This Row],[GREET1 Name Range]]=""</f>
        <v>0</v>
      </c>
      <c r="P2406" s="14" t="s">
        <v>1448</v>
      </c>
      <c r="Q2406" s="14" t="s">
        <v>1090</v>
      </c>
      <c r="R2406" s="14" t="s">
        <v>108</v>
      </c>
      <c r="S2406" s="37" cm="1">
        <f t="array" aca="1" ref="S24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17.270356145070281</v>
      </c>
      <c r="T2406" s="346" t="s">
        <v>2120</v>
      </c>
      <c r="U2406" s="347">
        <f ca="1">S2406*lb2g/Fuel_Specs!$E$48*Fuel_Specs!$B$48*Fuel_Specs!$B$79*BTU2mmBTU/0.911711975329766</f>
        <v>353.04172159785509</v>
      </c>
      <c r="V2406" s="347">
        <v>17.270356145070281</v>
      </c>
      <c r="W2406" s="347">
        <v>353.04172159785509</v>
      </c>
      <c r="X2406" s="14" t="s">
        <v>351</v>
      </c>
      <c r="Y2406" s="346" t="s">
        <v>416</v>
      </c>
      <c r="Z2406" s="14" t="str">
        <f>IF(ISBLANK(LCI_Table[[#This Row],[Notes for user]])," ",LCI_Table[[#This Row],[Notes for user]])</f>
        <v xml:space="preserve"> </v>
      </c>
      <c r="AA2406" s="14"/>
      <c r="AB2406" s="14"/>
      <c r="AC2406" s="346">
        <f ca="1">LCI_Table[[#This Row],[Default Calculated Value]]-LCI_Table[[#This Row],[Calculated Value]]</f>
        <v>0</v>
      </c>
    </row>
    <row r="2407" spans="1:29" x14ac:dyDescent="0.3">
      <c r="A24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UCOHEFAGREETGREET(blank)_UCO_HEFA_ElectricityGrid Electricity</v>
      </c>
      <c r="B2407" s="179" t="s">
        <v>875</v>
      </c>
      <c r="C2407" s="179" t="s">
        <v>30</v>
      </c>
      <c r="D2407" s="180" t="s">
        <v>29</v>
      </c>
      <c r="E2407" s="180" t="s">
        <v>29</v>
      </c>
      <c r="F2407" s="375" t="s">
        <v>31</v>
      </c>
      <c r="G2407" s="14" t="b">
        <f>OR(LCI_Table[[#This Row],[Feedstock]]="All",LCI_Table[[#This Row],[Feedstock]]=SelectedFeedstock)</f>
        <v>0</v>
      </c>
      <c r="H2407" s="14" t="b">
        <f>OR(LCI_Table[[#This Row],[Conversion]]="All",LCI_Table[[#This Row],[Conversion]]=SelectedConversion)</f>
        <v>1</v>
      </c>
      <c r="I2407" s="14" t="b">
        <f>OR(LCI_Table[[#This Row],[Data Set]]="all",LCI_Table[[#This Row],[Data Set]]=SelectedDataSet)</f>
        <v>1</v>
      </c>
      <c r="J2407" s="14" t="b">
        <f>OR(LCI_Table[[#This Row],[Technology]]="All",LCI_Table[[#This Row],[Technology]]=SelectedTechnology)</f>
        <v>1</v>
      </c>
      <c r="K2407" s="14" t="b">
        <f>OR(LCI_Table[[#This Row],[Data Source]]="All",LCI_Table[[#This Row],[Data Source]]=SelectedDataSource)</f>
        <v>1</v>
      </c>
      <c r="L2407" s="14" t="b">
        <v>0</v>
      </c>
      <c r="M2407" s="14" t="b">
        <f>(LCI_Table[[#This Row],[Dev Notes]]="Do not display")</f>
        <v>0</v>
      </c>
      <c r="N2407" s="14" t="b">
        <v>0</v>
      </c>
      <c r="O2407" s="14" t="b">
        <f>LCI_Table[[#This Row],[GREET1 Name Range]]=""</f>
        <v>0</v>
      </c>
      <c r="P2407" s="14" t="s">
        <v>1448</v>
      </c>
      <c r="Q2407" s="14" t="s">
        <v>1091</v>
      </c>
      <c r="R2407" s="14" t="s">
        <v>1684</v>
      </c>
      <c r="S2407" s="37" cm="1">
        <f t="array" aca="1" ref="S24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2.6166903979060168</v>
      </c>
      <c r="T2407" s="346" t="s">
        <v>2121</v>
      </c>
      <c r="U2407" s="347">
        <f ca="1">S2407*lb2g/Fuel_Specs!$E$48*Fuel_Specs!$B$48/BTU2kWh*BTU2mmBTU/0.911711975329766</f>
        <v>185.67379432183486</v>
      </c>
      <c r="V2407" s="347">
        <v>2.6166903979060168</v>
      </c>
      <c r="W2407" s="347">
        <v>185.67379432183486</v>
      </c>
      <c r="X2407" s="14" t="s">
        <v>51</v>
      </c>
      <c r="Y2407" s="346" t="s">
        <v>416</v>
      </c>
      <c r="Z2407" s="14" t="str">
        <f>IF(ISBLANK(LCI_Table[[#This Row],[Notes for user]])," ",LCI_Table[[#This Row],[Notes for user]])</f>
        <v xml:space="preserve"> </v>
      </c>
      <c r="AA2407" s="14"/>
      <c r="AB2407" s="14"/>
      <c r="AC2407" s="346">
        <f ca="1">LCI_Table[[#This Row],[Default Calculated Value]]-LCI_Table[[#This Row],[Calculated Value]]</f>
        <v>0</v>
      </c>
    </row>
    <row r="2408" spans="1:29" x14ac:dyDescent="0.3">
      <c r="A24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UCOHEFAGREETGREET(blank)_UCO_HEFA_HydrogenHydrogen</v>
      </c>
      <c r="B2408" s="179" t="s">
        <v>875</v>
      </c>
      <c r="C2408" s="179" t="s">
        <v>30</v>
      </c>
      <c r="D2408" s="180" t="s">
        <v>29</v>
      </c>
      <c r="E2408" s="180" t="s">
        <v>29</v>
      </c>
      <c r="F2408" s="181" t="s">
        <v>31</v>
      </c>
      <c r="G2408" s="14" t="b">
        <f>OR(LCI_Table[[#This Row],[Feedstock]]="All",LCI_Table[[#This Row],[Feedstock]]=SelectedFeedstock)</f>
        <v>0</v>
      </c>
      <c r="H2408" s="14" t="b">
        <f>OR(LCI_Table[[#This Row],[Conversion]]="All",LCI_Table[[#This Row],[Conversion]]=SelectedConversion)</f>
        <v>1</v>
      </c>
      <c r="I2408" s="14" t="b">
        <f>OR(LCI_Table[[#This Row],[Data Set]]="all",LCI_Table[[#This Row],[Data Set]]=SelectedDataSet)</f>
        <v>1</v>
      </c>
      <c r="J2408" s="14" t="b">
        <f>OR(LCI_Table[[#This Row],[Technology]]="All",LCI_Table[[#This Row],[Technology]]=SelectedTechnology)</f>
        <v>1</v>
      </c>
      <c r="K2408" s="14" t="b">
        <f>OR(LCI_Table[[#This Row],[Data Source]]="All",LCI_Table[[#This Row],[Data Source]]=SelectedDataSource)</f>
        <v>1</v>
      </c>
      <c r="L2408" s="14" t="b">
        <v>0</v>
      </c>
      <c r="M2408" s="14" t="b">
        <f>(LCI_Table[[#This Row],[Dev Notes]]="Do not display")</f>
        <v>0</v>
      </c>
      <c r="N2408" s="14" t="b">
        <v>0</v>
      </c>
      <c r="O2408" s="14" t="b">
        <f>LCI_Table[[#This Row],[GREET1 Name Range]]=""</f>
        <v>0</v>
      </c>
      <c r="P2408" s="14" t="s">
        <v>1448</v>
      </c>
      <c r="Q2408" s="14" t="s">
        <v>1092</v>
      </c>
      <c r="R2408" s="14" t="s">
        <v>73</v>
      </c>
      <c r="S2408" s="37" cm="1">
        <f t="array" aca="1" ref="S24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344.30517271876477</v>
      </c>
      <c r="T2408" s="346" t="s">
        <v>2120</v>
      </c>
      <c r="U2408" s="376">
        <f ca="1">S2408*lb2g/Fuel_Specs!$E$48*Fuel_Specs!$B$48*Fuel_Specs!$B$81*BTU2mmBTU/0.911711975329766</f>
        <v>2076.4083477681247</v>
      </c>
      <c r="V2408" s="376">
        <v>344.30517271876477</v>
      </c>
      <c r="W2408" s="376">
        <v>2076.4083477681247</v>
      </c>
      <c r="X2408" s="14" t="s">
        <v>351</v>
      </c>
      <c r="Y2408" s="346" t="s">
        <v>416</v>
      </c>
      <c r="Z2408" s="14" t="str">
        <f>IF(ISBLANK(LCI_Table[[#This Row],[Notes for user]])," ",LCI_Table[[#This Row],[Notes for user]])</f>
        <v xml:space="preserve"> </v>
      </c>
      <c r="AA2408" s="14"/>
      <c r="AB2408" s="14"/>
      <c r="AC2408" s="346">
        <f ca="1">LCI_Table[[#This Row],[Default Calculated Value]]-LCI_Table[[#This Row],[Calculated Value]]</f>
        <v>0</v>
      </c>
    </row>
    <row r="2409" spans="1:29" x14ac:dyDescent="0.3">
      <c r="A24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UCOHEFAICAOJRC (E3)(blank)_UCO_Residual_oilResidual oil</v>
      </c>
      <c r="B2409" s="179" t="s">
        <v>875</v>
      </c>
      <c r="C2409" s="179" t="s">
        <v>30</v>
      </c>
      <c r="D2409" s="180" t="s">
        <v>194</v>
      </c>
      <c r="E2409" s="182" t="s">
        <v>1336</v>
      </c>
      <c r="F2409" s="375" t="s">
        <v>31</v>
      </c>
      <c r="G2409" s="14" t="b">
        <f>OR(LCI_Table[[#This Row],[Feedstock]]="All",LCI_Table[[#This Row],[Feedstock]]=SelectedFeedstock)</f>
        <v>0</v>
      </c>
      <c r="H2409" s="14" t="b">
        <f>OR(LCI_Table[[#This Row],[Conversion]]="All",LCI_Table[[#This Row],[Conversion]]=SelectedConversion)</f>
        <v>1</v>
      </c>
      <c r="I2409" s="14" t="b">
        <f>OR(LCI_Table[[#This Row],[Data Set]]="all",LCI_Table[[#This Row],[Data Set]]=SelectedDataSet)</f>
        <v>0</v>
      </c>
      <c r="J2409" s="14" t="b">
        <f>OR(LCI_Table[[#This Row],[Technology]]="All",LCI_Table[[#This Row],[Technology]]=SelectedTechnology)</f>
        <v>1</v>
      </c>
      <c r="K2409" s="14" t="b">
        <f>OR(LCI_Table[[#This Row],[Data Source]]="All",LCI_Table[[#This Row],[Data Source]]=SelectedDataSource)</f>
        <v>0</v>
      </c>
      <c r="L2409" s="14" t="b">
        <f>TRUE</f>
        <v>1</v>
      </c>
      <c r="M2409" s="14" t="b">
        <f>(LCI_Table[[#This Row],[Dev Notes]]="Do not display")</f>
        <v>0</v>
      </c>
      <c r="N2409" s="14" t="b">
        <f>AND(LCI_Table[[#This Row],[Show Feedstock]:[Conditional]],NOT(LCI_Table[[#This Row],[Hide Row]]))</f>
        <v>0</v>
      </c>
      <c r="O2409" s="14" t="b">
        <f>LCI_Table[[#This Row],[GREET1 Name Range]]=""</f>
        <v>0</v>
      </c>
      <c r="P2409" s="14" t="s">
        <v>887</v>
      </c>
      <c r="Q2409" s="14" t="s">
        <v>1080</v>
      </c>
      <c r="R2409" s="14" t="s">
        <v>115</v>
      </c>
      <c r="S2409" s="37" cm="1">
        <f t="array" aca="1" ref="S24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09" s="346" t="s">
        <v>2128</v>
      </c>
      <c r="U2409" s="347">
        <f ca="1">S2409*Fuel_Specs!$B$28</f>
        <v>0</v>
      </c>
      <c r="V2409" s="347">
        <v>0</v>
      </c>
      <c r="W2409" s="347">
        <v>0</v>
      </c>
      <c r="X2409" s="14" t="s">
        <v>5</v>
      </c>
      <c r="Y2409" s="346" t="s">
        <v>416</v>
      </c>
      <c r="Z2409" s="14" t="str">
        <f>IF(ISBLANK(LCI_Table[[#This Row],[Notes for user]])," ",LCI_Table[[#This Row],[Notes for user]])</f>
        <v xml:space="preserve"> </v>
      </c>
      <c r="AA2409" s="14"/>
      <c r="AB2409" s="14"/>
      <c r="AC2409" s="346">
        <f ca="1">LCI_Table[[#This Row],[Default Calculated Value]]-LCI_Table[[#This Row],[Calculated Value]]</f>
        <v>0</v>
      </c>
    </row>
    <row r="2410" spans="1:29" x14ac:dyDescent="0.3">
      <c r="A24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UCOHEFAICAOJRC (E3)(blank)_UCO_DieselDiesel</v>
      </c>
      <c r="B2410" s="179" t="s">
        <v>875</v>
      </c>
      <c r="C2410" s="179" t="s">
        <v>30</v>
      </c>
      <c r="D2410" s="180" t="s">
        <v>194</v>
      </c>
      <c r="E2410" s="182" t="s">
        <v>1336</v>
      </c>
      <c r="F2410" s="375" t="s">
        <v>31</v>
      </c>
      <c r="G2410" s="14" t="b">
        <f>OR(LCI_Table[[#This Row],[Feedstock]]="All",LCI_Table[[#This Row],[Feedstock]]=SelectedFeedstock)</f>
        <v>0</v>
      </c>
      <c r="H2410" s="14" t="b">
        <f>OR(LCI_Table[[#This Row],[Conversion]]="All",LCI_Table[[#This Row],[Conversion]]=SelectedConversion)</f>
        <v>1</v>
      </c>
      <c r="I2410" s="14" t="b">
        <f>OR(LCI_Table[[#This Row],[Data Set]]="all",LCI_Table[[#This Row],[Data Set]]=SelectedDataSet)</f>
        <v>0</v>
      </c>
      <c r="J2410" s="14" t="b">
        <f>OR(LCI_Table[[#This Row],[Technology]]="All",LCI_Table[[#This Row],[Technology]]=SelectedTechnology)</f>
        <v>1</v>
      </c>
      <c r="K2410" s="14" t="b">
        <f>OR(LCI_Table[[#This Row],[Data Source]]="All",LCI_Table[[#This Row],[Data Source]]=SelectedDataSource)</f>
        <v>0</v>
      </c>
      <c r="L2410" s="14" t="b">
        <f>TRUE</f>
        <v>1</v>
      </c>
      <c r="M2410" s="14" t="b">
        <f>(LCI_Table[[#This Row],[Dev Notes]]="Do not display")</f>
        <v>0</v>
      </c>
      <c r="N2410" s="14" t="b">
        <f>AND(LCI_Table[[#This Row],[Show Feedstock]:[Conditional]],NOT(LCI_Table[[#This Row],[Hide Row]]))</f>
        <v>0</v>
      </c>
      <c r="O2410" s="14" t="b">
        <f>LCI_Table[[#This Row],[GREET1 Name Range]]=""</f>
        <v>0</v>
      </c>
      <c r="P2410" s="14" t="s">
        <v>887</v>
      </c>
      <c r="Q2410" s="14" t="s">
        <v>1081</v>
      </c>
      <c r="R2410" s="14" t="s">
        <v>106</v>
      </c>
      <c r="S2410" s="37" cm="1">
        <f t="array" aca="1" ref="S24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10" s="346" t="s">
        <v>2128</v>
      </c>
      <c r="U2410" s="347">
        <f ca="1">S2410*Fuel_Specs!$B$19</f>
        <v>0</v>
      </c>
      <c r="V2410" s="347">
        <v>0</v>
      </c>
      <c r="W2410" s="347">
        <v>0</v>
      </c>
      <c r="X2410" s="14" t="s">
        <v>5</v>
      </c>
      <c r="Y2410" s="346" t="s">
        <v>416</v>
      </c>
      <c r="Z2410" s="14" t="str">
        <f>IF(ISBLANK(LCI_Table[[#This Row],[Notes for user]])," ",LCI_Table[[#This Row],[Notes for user]])</f>
        <v xml:space="preserve"> </v>
      </c>
      <c r="AA2410" s="14"/>
      <c r="AB2410" s="14"/>
      <c r="AC2410" s="346">
        <f ca="1">LCI_Table[[#This Row],[Default Calculated Value]]-LCI_Table[[#This Row],[Calculated Value]]</f>
        <v>0</v>
      </c>
    </row>
    <row r="2411" spans="1:29" x14ac:dyDescent="0.3">
      <c r="A24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UCOHEFAICAOJRC (E3)(blank)_UCO_GasolineGasoline</v>
      </c>
      <c r="B2411" s="179" t="s">
        <v>875</v>
      </c>
      <c r="C2411" s="179" t="s">
        <v>30</v>
      </c>
      <c r="D2411" s="180" t="s">
        <v>194</v>
      </c>
      <c r="E2411" s="182" t="s">
        <v>1336</v>
      </c>
      <c r="F2411" s="375" t="s">
        <v>31</v>
      </c>
      <c r="G2411" s="14" t="b">
        <f>OR(LCI_Table[[#This Row],[Feedstock]]="All",LCI_Table[[#This Row],[Feedstock]]=SelectedFeedstock)</f>
        <v>0</v>
      </c>
      <c r="H2411" s="14" t="b">
        <f>OR(LCI_Table[[#This Row],[Conversion]]="All",LCI_Table[[#This Row],[Conversion]]=SelectedConversion)</f>
        <v>1</v>
      </c>
      <c r="I2411" s="14" t="b">
        <f>OR(LCI_Table[[#This Row],[Data Set]]="all",LCI_Table[[#This Row],[Data Set]]=SelectedDataSet)</f>
        <v>0</v>
      </c>
      <c r="J2411" s="14" t="b">
        <f>OR(LCI_Table[[#This Row],[Technology]]="All",LCI_Table[[#This Row],[Technology]]=SelectedTechnology)</f>
        <v>1</v>
      </c>
      <c r="K2411" s="14" t="b">
        <f>OR(LCI_Table[[#This Row],[Data Source]]="All",LCI_Table[[#This Row],[Data Source]]=SelectedDataSource)</f>
        <v>0</v>
      </c>
      <c r="L2411" s="14" t="b">
        <f>TRUE</f>
        <v>1</v>
      </c>
      <c r="M2411" s="14" t="b">
        <f>(LCI_Table[[#This Row],[Dev Notes]]="Do not display")</f>
        <v>0</v>
      </c>
      <c r="N2411" s="14" t="b">
        <f>AND(LCI_Table[[#This Row],[Show Feedstock]:[Conditional]],NOT(LCI_Table[[#This Row],[Hide Row]]))</f>
        <v>0</v>
      </c>
      <c r="O2411" s="14" t="b">
        <f>LCI_Table[[#This Row],[GREET1 Name Range]]=""</f>
        <v>0</v>
      </c>
      <c r="P2411" s="14" t="s">
        <v>887</v>
      </c>
      <c r="Q2411" s="14" t="s">
        <v>1082</v>
      </c>
      <c r="R2411" s="14" t="s">
        <v>107</v>
      </c>
      <c r="S2411" s="37" cm="1">
        <f t="array" aca="1" ref="S24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11" s="346" t="s">
        <v>2128</v>
      </c>
      <c r="U2411" s="347">
        <f ca="1">S2411*Fuel_Specs!$B$15</f>
        <v>0</v>
      </c>
      <c r="V2411" s="347">
        <v>0</v>
      </c>
      <c r="W2411" s="347">
        <v>0</v>
      </c>
      <c r="X2411" s="14" t="s">
        <v>5</v>
      </c>
      <c r="Y2411" s="346" t="s">
        <v>416</v>
      </c>
      <c r="Z2411" s="14" t="str">
        <f>IF(ISBLANK(LCI_Table[[#This Row],[Notes for user]])," ",LCI_Table[[#This Row],[Notes for user]])</f>
        <v xml:space="preserve"> </v>
      </c>
      <c r="AA2411" s="14"/>
      <c r="AB2411" s="14"/>
      <c r="AC2411" s="346">
        <f ca="1">LCI_Table[[#This Row],[Default Calculated Value]]-LCI_Table[[#This Row],[Calculated Value]]</f>
        <v>0</v>
      </c>
    </row>
    <row r="2412" spans="1:29" x14ac:dyDescent="0.3">
      <c r="A24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UCOHEFAICAOJRC (E3)(blank)_UCO_Natural_gasNatural gas</v>
      </c>
      <c r="B2412" s="179" t="s">
        <v>875</v>
      </c>
      <c r="C2412" s="179" t="s">
        <v>30</v>
      </c>
      <c r="D2412" s="180" t="s">
        <v>194</v>
      </c>
      <c r="E2412" s="182" t="s">
        <v>1336</v>
      </c>
      <c r="F2412" s="375" t="s">
        <v>31</v>
      </c>
      <c r="G2412" s="14" t="b">
        <f>OR(LCI_Table[[#This Row],[Feedstock]]="All",LCI_Table[[#This Row],[Feedstock]]=SelectedFeedstock)</f>
        <v>0</v>
      </c>
      <c r="H2412" s="14" t="b">
        <f>OR(LCI_Table[[#This Row],[Conversion]]="All",LCI_Table[[#This Row],[Conversion]]=SelectedConversion)</f>
        <v>1</v>
      </c>
      <c r="I2412" s="14" t="b">
        <f>OR(LCI_Table[[#This Row],[Data Set]]="all",LCI_Table[[#This Row],[Data Set]]=SelectedDataSet)</f>
        <v>0</v>
      </c>
      <c r="J2412" s="14" t="b">
        <f>OR(LCI_Table[[#This Row],[Technology]]="All",LCI_Table[[#This Row],[Technology]]=SelectedTechnology)</f>
        <v>1</v>
      </c>
      <c r="K2412" s="14" t="b">
        <f>OR(LCI_Table[[#This Row],[Data Source]]="All",LCI_Table[[#This Row],[Data Source]]=SelectedDataSource)</f>
        <v>0</v>
      </c>
      <c r="L2412" s="14" t="b">
        <f>TRUE</f>
        <v>1</v>
      </c>
      <c r="M2412" s="14" t="b">
        <f>(LCI_Table[[#This Row],[Dev Notes]]="Do not display")</f>
        <v>0</v>
      </c>
      <c r="N2412" s="14" t="b">
        <f>AND(LCI_Table[[#This Row],[Show Feedstock]:[Conditional]],NOT(LCI_Table[[#This Row],[Hide Row]]))</f>
        <v>0</v>
      </c>
      <c r="O2412" s="14" t="b">
        <f>LCI_Table[[#This Row],[GREET1 Name Range]]=""</f>
        <v>0</v>
      </c>
      <c r="P2412" s="14" t="s">
        <v>887</v>
      </c>
      <c r="Q2412" s="14" t="s">
        <v>1083</v>
      </c>
      <c r="R2412" s="14" t="s">
        <v>108</v>
      </c>
      <c r="S2412" s="37" cm="1">
        <f t="array" aca="1" ref="S24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2.3179957878786217</v>
      </c>
      <c r="T2412" s="346" t="s">
        <v>2120</v>
      </c>
      <c r="U2412" s="347">
        <f ca="1">S2412*Fuel_Specs!$B$79</f>
        <v>2278.5898594846853</v>
      </c>
      <c r="V2412" s="347">
        <v>2.3179957878786217</v>
      </c>
      <c r="W2412" s="347">
        <v>2278.5898594846853</v>
      </c>
      <c r="X2412" s="14" t="s">
        <v>351</v>
      </c>
      <c r="Y2412" s="346" t="s">
        <v>416</v>
      </c>
      <c r="Z2412" s="14" t="str">
        <f>IF(ISBLANK(LCI_Table[[#This Row],[Notes for user]])," ",LCI_Table[[#This Row],[Notes for user]])</f>
        <v xml:space="preserve"> </v>
      </c>
      <c r="AA2412" s="14"/>
      <c r="AB2412" s="14"/>
      <c r="AC2412" s="346">
        <f ca="1">LCI_Table[[#This Row],[Default Calculated Value]]-LCI_Table[[#This Row],[Calculated Value]]</f>
        <v>0</v>
      </c>
    </row>
    <row r="2413" spans="1:29" x14ac:dyDescent="0.3">
      <c r="A24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UCOHEFAICAOJRC (E3)(blank)_UCO_CoalCoal</v>
      </c>
      <c r="B2413" s="179" t="s">
        <v>875</v>
      </c>
      <c r="C2413" s="179" t="s">
        <v>30</v>
      </c>
      <c r="D2413" s="180" t="s">
        <v>194</v>
      </c>
      <c r="E2413" s="182" t="s">
        <v>1336</v>
      </c>
      <c r="F2413" s="375" t="s">
        <v>31</v>
      </c>
      <c r="G2413" s="14" t="b">
        <f>OR(LCI_Table[[#This Row],[Feedstock]]="All",LCI_Table[[#This Row],[Feedstock]]=SelectedFeedstock)</f>
        <v>0</v>
      </c>
      <c r="H2413" s="14" t="b">
        <f>OR(LCI_Table[[#This Row],[Conversion]]="All",LCI_Table[[#This Row],[Conversion]]=SelectedConversion)</f>
        <v>1</v>
      </c>
      <c r="I2413" s="14" t="b">
        <f>OR(LCI_Table[[#This Row],[Data Set]]="all",LCI_Table[[#This Row],[Data Set]]=SelectedDataSet)</f>
        <v>0</v>
      </c>
      <c r="J2413" s="14" t="b">
        <f>OR(LCI_Table[[#This Row],[Technology]]="All",LCI_Table[[#This Row],[Technology]]=SelectedTechnology)</f>
        <v>1</v>
      </c>
      <c r="K2413" s="14" t="b">
        <f>OR(LCI_Table[[#This Row],[Data Source]]="All",LCI_Table[[#This Row],[Data Source]]=SelectedDataSource)</f>
        <v>0</v>
      </c>
      <c r="L2413" s="14" t="b">
        <f>TRUE</f>
        <v>1</v>
      </c>
      <c r="M2413" s="14" t="b">
        <f>(LCI_Table[[#This Row],[Dev Notes]]="Do not display")</f>
        <v>0</v>
      </c>
      <c r="N2413" s="14" t="b">
        <f>AND(LCI_Table[[#This Row],[Show Feedstock]:[Conditional]],NOT(LCI_Table[[#This Row],[Hide Row]]))</f>
        <v>0</v>
      </c>
      <c r="O2413" s="14" t="b">
        <f>LCI_Table[[#This Row],[GREET1 Name Range]]=""</f>
        <v>0</v>
      </c>
      <c r="P2413" s="14" t="s">
        <v>887</v>
      </c>
      <c r="Q2413" s="14" t="s">
        <v>1084</v>
      </c>
      <c r="R2413" s="14" t="s">
        <v>9</v>
      </c>
      <c r="S2413" s="37" cm="1">
        <f t="array" aca="1" ref="S24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13" s="346" t="s">
        <v>2147</v>
      </c>
      <c r="U2413" s="347">
        <f ca="1">S2413</f>
        <v>0</v>
      </c>
      <c r="V2413" s="347">
        <v>0</v>
      </c>
      <c r="W2413" s="347">
        <v>0</v>
      </c>
      <c r="X2413" s="14" t="s">
        <v>117</v>
      </c>
      <c r="Y2413" s="346" t="s">
        <v>416</v>
      </c>
      <c r="Z2413" s="14" t="str">
        <f>IF(ISBLANK(LCI_Table[[#This Row],[Notes for user]])," ",LCI_Table[[#This Row],[Notes for user]])</f>
        <v xml:space="preserve"> </v>
      </c>
      <c r="AA2413" s="14"/>
      <c r="AB2413" s="14"/>
      <c r="AC2413" s="346">
        <f ca="1">LCI_Table[[#This Row],[Default Calculated Value]]-LCI_Table[[#This Row],[Calculated Value]]</f>
        <v>0</v>
      </c>
    </row>
    <row r="2414" spans="1:29" x14ac:dyDescent="0.3">
      <c r="A24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UCOHEFAICAOJRC (E3)(blank)_UCO_LPGLPG</v>
      </c>
      <c r="B2414" s="179" t="s">
        <v>875</v>
      </c>
      <c r="C2414" s="179" t="s">
        <v>30</v>
      </c>
      <c r="D2414" s="180" t="s">
        <v>194</v>
      </c>
      <c r="E2414" s="182" t="s">
        <v>1336</v>
      </c>
      <c r="F2414" s="375" t="s">
        <v>31</v>
      </c>
      <c r="G2414" s="14" t="b">
        <f>OR(LCI_Table[[#This Row],[Feedstock]]="All",LCI_Table[[#This Row],[Feedstock]]=SelectedFeedstock)</f>
        <v>0</v>
      </c>
      <c r="H2414" s="14" t="b">
        <f>OR(LCI_Table[[#This Row],[Conversion]]="All",LCI_Table[[#This Row],[Conversion]]=SelectedConversion)</f>
        <v>1</v>
      </c>
      <c r="I2414" s="14" t="b">
        <f>OR(LCI_Table[[#This Row],[Data Set]]="all",LCI_Table[[#This Row],[Data Set]]=SelectedDataSet)</f>
        <v>0</v>
      </c>
      <c r="J2414" s="14" t="b">
        <f>OR(LCI_Table[[#This Row],[Technology]]="All",LCI_Table[[#This Row],[Technology]]=SelectedTechnology)</f>
        <v>1</v>
      </c>
      <c r="K2414" s="14" t="b">
        <f>OR(LCI_Table[[#This Row],[Data Source]]="All",LCI_Table[[#This Row],[Data Source]]=SelectedDataSource)</f>
        <v>0</v>
      </c>
      <c r="L2414" s="14" t="b">
        <f>TRUE</f>
        <v>1</v>
      </c>
      <c r="M2414" s="14" t="b">
        <f>(LCI_Table[[#This Row],[Dev Notes]]="Do not display")</f>
        <v>0</v>
      </c>
      <c r="N2414" s="14" t="b">
        <f>AND(LCI_Table[[#This Row],[Show Feedstock]:[Conditional]],NOT(LCI_Table[[#This Row],[Hide Row]]))</f>
        <v>0</v>
      </c>
      <c r="O2414" s="14" t="b">
        <f>LCI_Table[[#This Row],[GREET1 Name Range]]=""</f>
        <v>0</v>
      </c>
      <c r="P2414" s="14" t="s">
        <v>887</v>
      </c>
      <c r="Q2414" s="14" t="s">
        <v>1085</v>
      </c>
      <c r="R2414" s="14" t="s">
        <v>109</v>
      </c>
      <c r="S2414" s="37" cm="1">
        <f t="array" aca="1" ref="S24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14" s="346" t="s">
        <v>2128</v>
      </c>
      <c r="U2414" s="347">
        <f ca="1">S2414*Fuel_Specs!$B$35</f>
        <v>0</v>
      </c>
      <c r="V2414" s="347">
        <v>0</v>
      </c>
      <c r="W2414" s="347">
        <v>0</v>
      </c>
      <c r="X2414" s="14" t="s">
        <v>5</v>
      </c>
      <c r="Y2414" s="346" t="s">
        <v>416</v>
      </c>
      <c r="Z2414" s="14" t="str">
        <f>IF(ISBLANK(LCI_Table[[#This Row],[Notes for user]])," ",LCI_Table[[#This Row],[Notes for user]])</f>
        <v xml:space="preserve"> </v>
      </c>
      <c r="AA2414" s="14"/>
      <c r="AB2414" s="14"/>
      <c r="AC2414" s="346">
        <f ca="1">LCI_Table[[#This Row],[Default Calculated Value]]-LCI_Table[[#This Row],[Calculated Value]]</f>
        <v>0</v>
      </c>
    </row>
    <row r="2415" spans="1:29" x14ac:dyDescent="0.3">
      <c r="A24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UCOHEFAICAOJRC (E3)(blank)_UCO_ElectricityElectricity</v>
      </c>
      <c r="B2415" s="179" t="s">
        <v>875</v>
      </c>
      <c r="C2415" s="179" t="s">
        <v>30</v>
      </c>
      <c r="D2415" s="180" t="s">
        <v>194</v>
      </c>
      <c r="E2415" s="182" t="s">
        <v>1336</v>
      </c>
      <c r="F2415" s="375" t="s">
        <v>31</v>
      </c>
      <c r="G2415" s="14" t="b">
        <f>OR(LCI_Table[[#This Row],[Feedstock]]="All",LCI_Table[[#This Row],[Feedstock]]=SelectedFeedstock)</f>
        <v>0</v>
      </c>
      <c r="H2415" s="14" t="b">
        <f>OR(LCI_Table[[#This Row],[Conversion]]="All",LCI_Table[[#This Row],[Conversion]]=SelectedConversion)</f>
        <v>1</v>
      </c>
      <c r="I2415" s="14" t="b">
        <f>OR(LCI_Table[[#This Row],[Data Set]]="all",LCI_Table[[#This Row],[Data Set]]=SelectedDataSet)</f>
        <v>0</v>
      </c>
      <c r="J2415" s="14" t="b">
        <f>OR(LCI_Table[[#This Row],[Technology]]="All",LCI_Table[[#This Row],[Technology]]=SelectedTechnology)</f>
        <v>1</v>
      </c>
      <c r="K2415" s="14" t="b">
        <f>OR(LCI_Table[[#This Row],[Data Source]]="All",LCI_Table[[#This Row],[Data Source]]=SelectedDataSource)</f>
        <v>0</v>
      </c>
      <c r="L2415" s="14" t="b">
        <f>TRUE</f>
        <v>1</v>
      </c>
      <c r="M2415" s="14" t="b">
        <f>(LCI_Table[[#This Row],[Dev Notes]]="Do not display")</f>
        <v>0</v>
      </c>
      <c r="N2415" s="14" t="b">
        <f>AND(LCI_Table[[#This Row],[Show Feedstock]:[Conditional]],NOT(LCI_Table[[#This Row],[Hide Row]]))</f>
        <v>0</v>
      </c>
      <c r="O2415" s="14" t="b">
        <f>LCI_Table[[#This Row],[GREET1 Name Range]]=""</f>
        <v>0</v>
      </c>
      <c r="P2415" s="14" t="s">
        <v>887</v>
      </c>
      <c r="Q2415" s="14" t="s">
        <v>1086</v>
      </c>
      <c r="R2415" s="14" t="s">
        <v>110</v>
      </c>
      <c r="S2415" s="37" cm="1">
        <f t="array" aca="1" ref="S24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0.37799364166666594</v>
      </c>
      <c r="T2415" s="346" t="s">
        <v>2121</v>
      </c>
      <c r="U2415" s="347">
        <f ca="1">S2415/BTU2kWh</f>
        <v>1289.7678449913315</v>
      </c>
      <c r="V2415" s="347">
        <v>0.37799364166666594</v>
      </c>
      <c r="W2415" s="347">
        <v>1289.7678449913315</v>
      </c>
      <c r="X2415" s="14" t="s">
        <v>51</v>
      </c>
      <c r="Y2415" s="346" t="s">
        <v>416</v>
      </c>
      <c r="Z2415" s="14" t="str">
        <f>IF(ISBLANK(LCI_Table[[#This Row],[Notes for user]])," ",LCI_Table[[#This Row],[Notes for user]])</f>
        <v xml:space="preserve"> </v>
      </c>
      <c r="AA2415" s="14"/>
      <c r="AB2415" s="14"/>
      <c r="AC2415" s="346">
        <f ca="1">LCI_Table[[#This Row],[Default Calculated Value]]-LCI_Table[[#This Row],[Calculated Value]]</f>
        <v>0</v>
      </c>
    </row>
    <row r="2416" spans="1:29" x14ac:dyDescent="0.3">
      <c r="A24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UCOHEFAICAOJRC (E3)(blank)_UCO_N_hexaneN-hexane</v>
      </c>
      <c r="B2416" s="179" t="s">
        <v>875</v>
      </c>
      <c r="C2416" s="179" t="s">
        <v>30</v>
      </c>
      <c r="D2416" s="180" t="s">
        <v>194</v>
      </c>
      <c r="E2416" s="182" t="s">
        <v>1336</v>
      </c>
      <c r="F2416" s="375" t="s">
        <v>31</v>
      </c>
      <c r="G2416" s="14" t="b">
        <f>OR(LCI_Table[[#This Row],[Feedstock]]="All",LCI_Table[[#This Row],[Feedstock]]=SelectedFeedstock)</f>
        <v>0</v>
      </c>
      <c r="H2416" s="14" t="b">
        <f>OR(LCI_Table[[#This Row],[Conversion]]="All",LCI_Table[[#This Row],[Conversion]]=SelectedConversion)</f>
        <v>1</v>
      </c>
      <c r="I2416" s="14" t="b">
        <f>OR(LCI_Table[[#This Row],[Data Set]]="all",LCI_Table[[#This Row],[Data Set]]=SelectedDataSet)</f>
        <v>0</v>
      </c>
      <c r="J2416" s="14" t="b">
        <f>OR(LCI_Table[[#This Row],[Technology]]="All",LCI_Table[[#This Row],[Technology]]=SelectedTechnology)</f>
        <v>1</v>
      </c>
      <c r="K2416" s="14" t="b">
        <f>OR(LCI_Table[[#This Row],[Data Source]]="All",LCI_Table[[#This Row],[Data Source]]=SelectedDataSource)</f>
        <v>0</v>
      </c>
      <c r="L2416" s="14" t="b">
        <f>TRUE</f>
        <v>1</v>
      </c>
      <c r="M2416" s="14" t="b">
        <f>(LCI_Table[[#This Row],[Dev Notes]]="Do not display")</f>
        <v>0</v>
      </c>
      <c r="N2416" s="14" t="b">
        <f>AND(LCI_Table[[#This Row],[Show Feedstock]:[Conditional]],NOT(LCI_Table[[#This Row],[Hide Row]]))</f>
        <v>0</v>
      </c>
      <c r="O2416" s="14" t="b">
        <f>LCI_Table[[#This Row],[GREET1 Name Range]]=""</f>
        <v>0</v>
      </c>
      <c r="P2416" s="14" t="s">
        <v>887</v>
      </c>
      <c r="Q2416" s="14" t="s">
        <v>1087</v>
      </c>
      <c r="R2416" s="14" t="s">
        <v>116</v>
      </c>
      <c r="S2416" s="37" cm="1">
        <f t="array" aca="1" ref="S24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16" s="346" t="s">
        <v>2128</v>
      </c>
      <c r="U2416" s="347">
        <f ca="1">S2416*Fuel_Specs!$B$58</f>
        <v>0</v>
      </c>
      <c r="V2416" s="347">
        <v>0</v>
      </c>
      <c r="W2416" s="347">
        <v>0</v>
      </c>
      <c r="X2416" s="37" t="s">
        <v>5</v>
      </c>
      <c r="Y2416" s="346" t="s">
        <v>416</v>
      </c>
      <c r="Z2416" s="14" t="str">
        <f>IF(ISBLANK(LCI_Table[[#This Row],[Notes for user]])," ",LCI_Table[[#This Row],[Notes for user]])</f>
        <v xml:space="preserve"> </v>
      </c>
      <c r="AA2416" s="14"/>
      <c r="AB2416" s="14"/>
      <c r="AC2416" s="346">
        <f ca="1">LCI_Table[[#This Row],[Default Calculated Value]]-LCI_Table[[#This Row],[Calculated Value]]</f>
        <v>0</v>
      </c>
    </row>
    <row r="2417" spans="1:29" x14ac:dyDescent="0.3">
      <c r="A24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UCOHEFAICAOJRC (E3)(blank)_UCO_MethanolMethanol</v>
      </c>
      <c r="B2417" s="179" t="s">
        <v>875</v>
      </c>
      <c r="C2417" s="179" t="s">
        <v>30</v>
      </c>
      <c r="D2417" s="180" t="s">
        <v>194</v>
      </c>
      <c r="E2417" s="182" t="s">
        <v>1336</v>
      </c>
      <c r="F2417" s="375" t="s">
        <v>31</v>
      </c>
      <c r="G2417" s="14" t="b">
        <f>OR(LCI_Table[[#This Row],[Feedstock]]="All",LCI_Table[[#This Row],[Feedstock]]=SelectedFeedstock)</f>
        <v>0</v>
      </c>
      <c r="H2417" s="14" t="b">
        <f>OR(LCI_Table[[#This Row],[Conversion]]="All",LCI_Table[[#This Row],[Conversion]]=SelectedConversion)</f>
        <v>1</v>
      </c>
      <c r="I2417" s="14" t="b">
        <f>OR(LCI_Table[[#This Row],[Data Set]]="all",LCI_Table[[#This Row],[Data Set]]=SelectedDataSet)</f>
        <v>0</v>
      </c>
      <c r="J2417" s="14" t="b">
        <f>OR(LCI_Table[[#This Row],[Technology]]="All",LCI_Table[[#This Row],[Technology]]=SelectedTechnology)</f>
        <v>1</v>
      </c>
      <c r="K2417" s="14" t="b">
        <f>OR(LCI_Table[[#This Row],[Data Source]]="All",LCI_Table[[#This Row],[Data Source]]=SelectedDataSource)</f>
        <v>0</v>
      </c>
      <c r="L2417" s="14" t="b">
        <f>TRUE</f>
        <v>1</v>
      </c>
      <c r="M2417" s="14" t="b">
        <f>(LCI_Table[[#This Row],[Dev Notes]]="Do not display")</f>
        <v>0</v>
      </c>
      <c r="N2417" s="14" t="b">
        <f>AND(LCI_Table[[#This Row],[Show Feedstock]:[Conditional]],NOT(LCI_Table[[#This Row],[Hide Row]]))</f>
        <v>0</v>
      </c>
      <c r="O2417" s="14" t="b">
        <f>LCI_Table[[#This Row],[GREET1 Name Range]]=""</f>
        <v>0</v>
      </c>
      <c r="P2417" s="14" t="s">
        <v>887</v>
      </c>
      <c r="Q2417" s="14" t="s">
        <v>1088</v>
      </c>
      <c r="R2417" s="14" t="s">
        <v>250</v>
      </c>
      <c r="S2417" s="37" cm="1">
        <f t="array" aca="1" ref="S24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17" s="346" t="s">
        <v>2128</v>
      </c>
      <c r="U2417" s="347">
        <f ca="1">S2417*Fuel_Specs!$B$30</f>
        <v>0</v>
      </c>
      <c r="V2417" s="347">
        <v>0</v>
      </c>
      <c r="W2417" s="347">
        <v>0</v>
      </c>
      <c r="X2417" s="37" t="s">
        <v>5</v>
      </c>
      <c r="Y2417" s="346" t="s">
        <v>416</v>
      </c>
      <c r="Z2417" s="14" t="str">
        <f>IF(ISBLANK(LCI_Table[[#This Row],[Notes for user]])," ",LCI_Table[[#This Row],[Notes for user]])</f>
        <v xml:space="preserve"> </v>
      </c>
      <c r="AA2417" s="14"/>
      <c r="AB2417" s="14"/>
      <c r="AC2417" s="346">
        <f ca="1">LCI_Table[[#This Row],[Default Calculated Value]]-LCI_Table[[#This Row],[Calculated Value]]</f>
        <v>0</v>
      </c>
    </row>
    <row r="2418" spans="1:29" x14ac:dyDescent="0.3">
      <c r="A24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UCOHEFAICAOJRC (E3)(blank)_UCO_HydrogenHydrogen</v>
      </c>
      <c r="B2418" s="179" t="s">
        <v>875</v>
      </c>
      <c r="C2418" s="179" t="s">
        <v>30</v>
      </c>
      <c r="D2418" s="180" t="s">
        <v>194</v>
      </c>
      <c r="E2418" s="182" t="s">
        <v>1336</v>
      </c>
      <c r="F2418" s="375" t="s">
        <v>31</v>
      </c>
      <c r="G2418" s="14" t="b">
        <f>OR(LCI_Table[[#This Row],[Feedstock]]="All",LCI_Table[[#This Row],[Feedstock]]=SelectedFeedstock)</f>
        <v>0</v>
      </c>
      <c r="H2418" s="14" t="b">
        <f>OR(LCI_Table[[#This Row],[Conversion]]="All",LCI_Table[[#This Row],[Conversion]]=SelectedConversion)</f>
        <v>1</v>
      </c>
      <c r="I2418" s="14" t="b">
        <f>OR(LCI_Table[[#This Row],[Data Set]]="all",LCI_Table[[#This Row],[Data Set]]=SelectedDataSet)</f>
        <v>0</v>
      </c>
      <c r="J2418" s="14" t="b">
        <f>OR(LCI_Table[[#This Row],[Technology]]="All",LCI_Table[[#This Row],[Technology]]=SelectedTechnology)</f>
        <v>1</v>
      </c>
      <c r="K2418" s="14" t="b">
        <f>OR(LCI_Table[[#This Row],[Data Source]]="All",LCI_Table[[#This Row],[Data Source]]=SelectedDataSource)</f>
        <v>0</v>
      </c>
      <c r="L2418" s="14" t="b">
        <f>TRUE</f>
        <v>1</v>
      </c>
      <c r="M2418" s="14" t="b">
        <f>(LCI_Table[[#This Row],[Dev Notes]]="Do not display")</f>
        <v>0</v>
      </c>
      <c r="N2418" s="14" t="b">
        <f>AND(LCI_Table[[#This Row],[Show Feedstock]:[Conditional]],NOT(LCI_Table[[#This Row],[Hide Row]]))</f>
        <v>0</v>
      </c>
      <c r="O2418" s="14" t="b">
        <f>LCI_Table[[#This Row],[GREET1 Name Range]]=""</f>
        <v>0</v>
      </c>
      <c r="P2418" s="14" t="s">
        <v>887</v>
      </c>
      <c r="Q2418" s="14" t="s">
        <v>1089</v>
      </c>
      <c r="R2418" s="14" t="s">
        <v>73</v>
      </c>
      <c r="S2418" s="37" cm="1">
        <f t="array" aca="1" ref="S24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18" s="346" t="s">
        <v>2120</v>
      </c>
      <c r="U2418" s="347">
        <f ca="1">S2418*Fuel_Specs!$B$81</f>
        <v>0</v>
      </c>
      <c r="V2418" s="347">
        <v>0</v>
      </c>
      <c r="W2418" s="347">
        <v>0</v>
      </c>
      <c r="X2418" s="37" t="s">
        <v>351</v>
      </c>
      <c r="Y2418" s="346" t="s">
        <v>416</v>
      </c>
      <c r="Z2418" s="14" t="str">
        <f>IF(ISBLANK(LCI_Table[[#This Row],[Notes for user]])," ",LCI_Table[[#This Row],[Notes for user]])</f>
        <v xml:space="preserve"> </v>
      </c>
      <c r="AA2418" s="14"/>
      <c r="AB2418" s="14"/>
      <c r="AC2418" s="346">
        <f ca="1">LCI_Table[[#This Row],[Default Calculated Value]]-LCI_Table[[#This Row],[Calculated Value]]</f>
        <v>0</v>
      </c>
    </row>
    <row r="2419" spans="1:29" x14ac:dyDescent="0.3">
      <c r="A24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UCOHEFAICAOJRC (E3)(blank)_HEFA_feed_usageYellow grease / UCO</v>
      </c>
      <c r="B2419" s="179" t="s">
        <v>875</v>
      </c>
      <c r="C2419" s="179" t="s">
        <v>30</v>
      </c>
      <c r="D2419" s="180" t="s">
        <v>194</v>
      </c>
      <c r="E2419" s="182" t="s">
        <v>1336</v>
      </c>
      <c r="F2419" s="375" t="s">
        <v>31</v>
      </c>
      <c r="G2419" s="14" t="b">
        <f>OR(LCI_Table[[#This Row],[Feedstock]]="All",LCI_Table[[#This Row],[Feedstock]]=SelectedFeedstock)</f>
        <v>0</v>
      </c>
      <c r="H2419" s="14" t="b">
        <f>OR(LCI_Table[[#This Row],[Conversion]]="All",LCI_Table[[#This Row],[Conversion]]=SelectedConversion)</f>
        <v>1</v>
      </c>
      <c r="I2419" s="14" t="b">
        <f>OR(LCI_Table[[#This Row],[Data Set]]="all",LCI_Table[[#This Row],[Data Set]]=SelectedDataSet)</f>
        <v>0</v>
      </c>
      <c r="J2419" s="14" t="b">
        <f>OR(LCI_Table[[#This Row],[Technology]]="All",LCI_Table[[#This Row],[Technology]]=SelectedTechnology)</f>
        <v>1</v>
      </c>
      <c r="K2419" s="14" t="b">
        <f>OR(LCI_Table[[#This Row],[Data Source]]="All",LCI_Table[[#This Row],[Data Source]]=SelectedDataSource)</f>
        <v>0</v>
      </c>
      <c r="L2419" s="14" t="b">
        <f>TRUE</f>
        <v>1</v>
      </c>
      <c r="M2419" s="14" t="b">
        <f>(LCI_Table[[#This Row],[Dev Notes]]="Do not display")</f>
        <v>0</v>
      </c>
      <c r="N2419" s="14" t="b">
        <f>AND(LCI_Table[[#This Row],[Show Feedstock]:[Conditional]],NOT(LCI_Table[[#This Row],[Hide Row]]))</f>
        <v>0</v>
      </c>
      <c r="O2419" s="14" t="b">
        <f>LCI_Table[[#This Row],[GREET1 Name Range]]=""</f>
        <v>0</v>
      </c>
      <c r="P2419" s="14" t="s">
        <v>1448</v>
      </c>
      <c r="Q2419" s="14" t="s">
        <v>933</v>
      </c>
      <c r="R2419" s="14" t="s">
        <v>889</v>
      </c>
      <c r="S2419" s="37" cm="1">
        <f t="array" aca="1" ref="S24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66.984580332524672</v>
      </c>
      <c r="T2419" s="346" t="s">
        <v>2119</v>
      </c>
      <c r="U2419" s="347">
        <f ca="1">S2419*lb2g/Fuel_Specs!$E$48*Fuel_Specs!$B$48*BTU2mmBTU/Allocations!$O$184</f>
        <v>1.27</v>
      </c>
      <c r="V2419" s="347">
        <v>66.984580332524672</v>
      </c>
      <c r="W2419" s="347">
        <v>1.27</v>
      </c>
      <c r="X2419" s="14" t="s">
        <v>12</v>
      </c>
      <c r="Y2419" s="346" t="s">
        <v>416</v>
      </c>
      <c r="Z2419" s="14" t="str">
        <f>IF(ISBLANK(LCI_Table[[#This Row],[Notes for user]])," ",LCI_Table[[#This Row],[Notes for user]])</f>
        <v xml:space="preserve">Used the GREET default value as the CORSIA supporting document does not present the yield information. </v>
      </c>
      <c r="AA2419" s="14" t="s">
        <v>1339</v>
      </c>
      <c r="AB2419" s="14"/>
      <c r="AC2419" s="346">
        <f ca="1">LCI_Table[[#This Row],[Default Calculated Value]]-LCI_Table[[#This Row],[Calculated Value]]</f>
        <v>0</v>
      </c>
    </row>
    <row r="2420" spans="1:29" x14ac:dyDescent="0.3">
      <c r="A24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UCOHEFAICAOJRC (E3)(blank)_UCO_HEFA_Natural_gasNatural gas</v>
      </c>
      <c r="B2420" s="179" t="s">
        <v>875</v>
      </c>
      <c r="C2420" s="179" t="s">
        <v>30</v>
      </c>
      <c r="D2420" s="180" t="s">
        <v>194</v>
      </c>
      <c r="E2420" s="182" t="s">
        <v>1336</v>
      </c>
      <c r="F2420" s="375" t="s">
        <v>31</v>
      </c>
      <c r="G2420" s="14" t="b">
        <f>OR(LCI_Table[[#This Row],[Feedstock]]="All",LCI_Table[[#This Row],[Feedstock]]=SelectedFeedstock)</f>
        <v>0</v>
      </c>
      <c r="H2420" s="14" t="b">
        <f>OR(LCI_Table[[#This Row],[Conversion]]="All",LCI_Table[[#This Row],[Conversion]]=SelectedConversion)</f>
        <v>1</v>
      </c>
      <c r="I2420" s="14" t="b">
        <f>OR(LCI_Table[[#This Row],[Data Set]]="all",LCI_Table[[#This Row],[Data Set]]=SelectedDataSet)</f>
        <v>0</v>
      </c>
      <c r="J2420" s="14" t="b">
        <f>OR(LCI_Table[[#This Row],[Technology]]="All",LCI_Table[[#This Row],[Technology]]=SelectedTechnology)</f>
        <v>1</v>
      </c>
      <c r="K2420" s="14" t="b">
        <f>OR(LCI_Table[[#This Row],[Data Source]]="All",LCI_Table[[#This Row],[Data Source]]=SelectedDataSource)</f>
        <v>0</v>
      </c>
      <c r="L2420" s="14" t="b">
        <f>TRUE</f>
        <v>1</v>
      </c>
      <c r="M2420" s="14" t="b">
        <f>(LCI_Table[[#This Row],[Dev Notes]]="Do not display")</f>
        <v>0</v>
      </c>
      <c r="N2420" s="14" t="b">
        <f>AND(LCI_Table[[#This Row],[Show Feedstock]:[Conditional]],NOT(LCI_Table[[#This Row],[Hide Row]]))</f>
        <v>0</v>
      </c>
      <c r="O2420" s="14" t="b">
        <f>LCI_Table[[#This Row],[GREET1 Name Range]]=""</f>
        <v>0</v>
      </c>
      <c r="P2420" s="14" t="s">
        <v>1448</v>
      </c>
      <c r="Q2420" s="14" t="s">
        <v>1090</v>
      </c>
      <c r="R2420" s="14" t="s">
        <v>108</v>
      </c>
      <c r="S2420" s="37" cm="1">
        <f t="array" aca="1" ref="S24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11.169888097660225</v>
      </c>
      <c r="T2420" s="346" t="s">
        <v>2120</v>
      </c>
      <c r="U2420" s="347">
        <f ca="1">S2420*lb2g/Fuel_Specs!$E$48*Fuel_Specs!$B$48*Fuel_Specs!$B$79*BTU2mmBTU/Allocations!$O$184</f>
        <v>208.17626878867134</v>
      </c>
      <c r="V2420" s="347">
        <v>11.169888097660225</v>
      </c>
      <c r="W2420" s="347">
        <v>208.17626878867134</v>
      </c>
      <c r="X2420" s="14" t="s">
        <v>351</v>
      </c>
      <c r="Y2420" s="346" t="s">
        <v>416</v>
      </c>
      <c r="Z2420" s="14" t="str">
        <f>IF(ISBLANK(LCI_Table[[#This Row],[Notes for user]])," ",LCI_Table[[#This Row],[Notes for user]])</f>
        <v xml:space="preserve"> </v>
      </c>
      <c r="AA2420" s="14"/>
      <c r="AB2420" s="14"/>
      <c r="AC2420" s="346">
        <f ca="1">LCI_Table[[#This Row],[Default Calculated Value]]-LCI_Table[[#This Row],[Calculated Value]]</f>
        <v>0</v>
      </c>
    </row>
    <row r="2421" spans="1:29" x14ac:dyDescent="0.3">
      <c r="A24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UCOHEFAICAOJRC (E3)(blank)_UCO_HEFA_ElectricityGrid Electricity</v>
      </c>
      <c r="B2421" s="179" t="s">
        <v>875</v>
      </c>
      <c r="C2421" s="179" t="s">
        <v>30</v>
      </c>
      <c r="D2421" s="180" t="s">
        <v>194</v>
      </c>
      <c r="E2421" s="182" t="s">
        <v>1336</v>
      </c>
      <c r="F2421" s="375" t="s">
        <v>31</v>
      </c>
      <c r="G2421" s="14" t="b">
        <f>OR(LCI_Table[[#This Row],[Feedstock]]="All",LCI_Table[[#This Row],[Feedstock]]=SelectedFeedstock)</f>
        <v>0</v>
      </c>
      <c r="H2421" s="14" t="b">
        <f>OR(LCI_Table[[#This Row],[Conversion]]="All",LCI_Table[[#This Row],[Conversion]]=SelectedConversion)</f>
        <v>1</v>
      </c>
      <c r="I2421" s="14" t="b">
        <f>OR(LCI_Table[[#This Row],[Data Set]]="all",LCI_Table[[#This Row],[Data Set]]=SelectedDataSet)</f>
        <v>0</v>
      </c>
      <c r="J2421" s="14" t="b">
        <f>OR(LCI_Table[[#This Row],[Technology]]="All",LCI_Table[[#This Row],[Technology]]=SelectedTechnology)</f>
        <v>1</v>
      </c>
      <c r="K2421" s="14" t="b">
        <f>OR(LCI_Table[[#This Row],[Data Source]]="All",LCI_Table[[#This Row],[Data Source]]=SelectedDataSource)</f>
        <v>0</v>
      </c>
      <c r="L2421" s="14" t="b">
        <f>TRUE</f>
        <v>1</v>
      </c>
      <c r="M2421" s="14" t="b">
        <f>(LCI_Table[[#This Row],[Dev Notes]]="Do not display")</f>
        <v>0</v>
      </c>
      <c r="N2421" s="14" t="b">
        <f>AND(LCI_Table[[#This Row],[Show Feedstock]:[Conditional]],NOT(LCI_Table[[#This Row],[Hide Row]]))</f>
        <v>0</v>
      </c>
      <c r="O2421" s="14" t="b">
        <f>LCI_Table[[#This Row],[GREET1 Name Range]]=""</f>
        <v>0</v>
      </c>
      <c r="P2421" s="14" t="s">
        <v>1448</v>
      </c>
      <c r="Q2421" s="14" t="s">
        <v>1091</v>
      </c>
      <c r="R2421" s="14" t="s">
        <v>1684</v>
      </c>
      <c r="S2421" s="37" cm="1">
        <f t="array" aca="1" ref="S24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0.43960660416666669</v>
      </c>
      <c r="T2421" s="346" t="s">
        <v>2121</v>
      </c>
      <c r="U2421" s="347">
        <f ca="1">S2421*lb2g/Fuel_Specs!$E$48*Fuel_Specs!$B$48/BTU2kWh*BTU2mmBTU/Allocations!$O$184</f>
        <v>28.439380982058921</v>
      </c>
      <c r="V2421" s="347">
        <v>0.43960660416666669</v>
      </c>
      <c r="W2421" s="347">
        <v>28.439380982058921</v>
      </c>
      <c r="X2421" s="14" t="s">
        <v>51</v>
      </c>
      <c r="Y2421" s="346" t="s">
        <v>416</v>
      </c>
      <c r="Z2421" s="14" t="str">
        <f>IF(ISBLANK(LCI_Table[[#This Row],[Notes for user]])," ",LCI_Table[[#This Row],[Notes for user]])</f>
        <v xml:space="preserve"> </v>
      </c>
      <c r="AA2421" s="14"/>
      <c r="AB2421" s="14"/>
      <c r="AC2421" s="346">
        <f ca="1">LCI_Table[[#This Row],[Default Calculated Value]]-LCI_Table[[#This Row],[Calculated Value]]</f>
        <v>0</v>
      </c>
    </row>
    <row r="2422" spans="1:29" x14ac:dyDescent="0.3">
      <c r="A24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UCOHEFAICAOJRC (E3)(blank)_UCO_HEFA_HydrogenHydrogen</v>
      </c>
      <c r="B2422" s="179" t="s">
        <v>875</v>
      </c>
      <c r="C2422" s="179" t="s">
        <v>30</v>
      </c>
      <c r="D2422" s="180" t="s">
        <v>194</v>
      </c>
      <c r="E2422" s="182" t="s">
        <v>1336</v>
      </c>
      <c r="F2422" s="181" t="s">
        <v>31</v>
      </c>
      <c r="G2422" s="14" t="b">
        <f>OR(LCI_Table[[#This Row],[Feedstock]]="All",LCI_Table[[#This Row],[Feedstock]]=SelectedFeedstock)</f>
        <v>0</v>
      </c>
      <c r="H2422" s="14" t="b">
        <f>OR(LCI_Table[[#This Row],[Conversion]]="All",LCI_Table[[#This Row],[Conversion]]=SelectedConversion)</f>
        <v>1</v>
      </c>
      <c r="I2422" s="14" t="b">
        <f>OR(LCI_Table[[#This Row],[Data Set]]="all",LCI_Table[[#This Row],[Data Set]]=SelectedDataSet)</f>
        <v>0</v>
      </c>
      <c r="J2422" s="14" t="b">
        <f>OR(LCI_Table[[#This Row],[Technology]]="All",LCI_Table[[#This Row],[Technology]]=SelectedTechnology)</f>
        <v>1</v>
      </c>
      <c r="K2422" s="14" t="b">
        <f>OR(LCI_Table[[#This Row],[Data Source]]="All",LCI_Table[[#This Row],[Data Source]]=SelectedDataSource)</f>
        <v>0</v>
      </c>
      <c r="L2422" s="14" t="b">
        <f>TRUE</f>
        <v>1</v>
      </c>
      <c r="M2422" s="14" t="b">
        <f>(LCI_Table[[#This Row],[Dev Notes]]="Do not display")</f>
        <v>0</v>
      </c>
      <c r="N2422" s="14" t="b">
        <f>AND(LCI_Table[[#This Row],[Show Feedstock]:[Conditional]],NOT(LCI_Table[[#This Row],[Hide Row]]))</f>
        <v>0</v>
      </c>
      <c r="O2422" s="14" t="b">
        <f>LCI_Table[[#This Row],[GREET1 Name Range]]=""</f>
        <v>0</v>
      </c>
      <c r="P2422" s="14" t="s">
        <v>1448</v>
      </c>
      <c r="Q2422" s="14" t="s">
        <v>1092</v>
      </c>
      <c r="R2422" s="14" t="s">
        <v>73</v>
      </c>
      <c r="S2422" s="37" cm="1">
        <f t="array" aca="1" ref="S24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22" s="346" t="s">
        <v>2120</v>
      </c>
      <c r="U2422" s="376">
        <f ca="1">S2422*lb2g/Fuel_Specs!$E$48*Fuel_Specs!$B$48*Fuel_Specs!$B$81*BTU2mmBTU/Allocations!$O$184</f>
        <v>0</v>
      </c>
      <c r="V2422" s="376">
        <v>0</v>
      </c>
      <c r="W2422" s="376">
        <v>0</v>
      </c>
      <c r="X2422" s="14" t="s">
        <v>351</v>
      </c>
      <c r="Y2422" s="346" t="s">
        <v>416</v>
      </c>
      <c r="Z2422" s="14" t="str">
        <f>IF(ISBLANK(LCI_Table[[#This Row],[Notes for user]])," ",LCI_Table[[#This Row],[Notes for user]])</f>
        <v xml:space="preserve"> </v>
      </c>
      <c r="AA2422" s="14"/>
      <c r="AB2422" s="14"/>
      <c r="AC2422" s="346">
        <f ca="1">LCI_Table[[#This Row],[Default Calculated Value]]-LCI_Table[[#This Row],[Calculated Value]]</f>
        <v>0</v>
      </c>
    </row>
    <row r="2423" spans="1:29" x14ac:dyDescent="0.3">
      <c r="A24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PFADHEFAGREETGREET(blank)_HEFA_feed_usagePFAD</v>
      </c>
      <c r="B2423" s="179" t="s">
        <v>876</v>
      </c>
      <c r="C2423" s="179" t="s">
        <v>30</v>
      </c>
      <c r="D2423" s="180" t="s">
        <v>29</v>
      </c>
      <c r="E2423" s="180" t="s">
        <v>29</v>
      </c>
      <c r="F2423" s="375" t="s">
        <v>31</v>
      </c>
      <c r="G2423" s="14" t="b">
        <f>OR(LCI_Table[[#This Row],[Feedstock]]="All",LCI_Table[[#This Row],[Feedstock]]=SelectedFeedstock)</f>
        <v>0</v>
      </c>
      <c r="H2423" s="14" t="b">
        <f>OR(LCI_Table[[#This Row],[Conversion]]="All",LCI_Table[[#This Row],[Conversion]]=SelectedConversion)</f>
        <v>1</v>
      </c>
      <c r="I2423" s="14" t="b">
        <f>OR(LCI_Table[[#This Row],[Data Set]]="all",LCI_Table[[#This Row],[Data Set]]=SelectedDataSet)</f>
        <v>1</v>
      </c>
      <c r="J2423" s="14" t="b">
        <f>OR(LCI_Table[[#This Row],[Technology]]="All",LCI_Table[[#This Row],[Technology]]=SelectedTechnology)</f>
        <v>1</v>
      </c>
      <c r="K2423" s="14" t="b">
        <f>OR(LCI_Table[[#This Row],[Data Source]]="All",LCI_Table[[#This Row],[Data Source]]=SelectedDataSource)</f>
        <v>1</v>
      </c>
      <c r="L2423" s="14" t="b">
        <f>TRUE</f>
        <v>1</v>
      </c>
      <c r="M2423" s="14" t="b">
        <f>(LCI_Table[[#This Row],[Dev Notes]]="Do not display")</f>
        <v>0</v>
      </c>
      <c r="N2423" s="14" t="b">
        <f>AND(LCI_Table[[#This Row],[Show Feedstock]:[Conditional]],NOT(LCI_Table[[#This Row],[Hide Row]]))</f>
        <v>0</v>
      </c>
      <c r="O2423" s="14" t="b">
        <f>LCI_Table[[#This Row],[GREET1 Name Range]]=""</f>
        <v>0</v>
      </c>
      <c r="P2423" s="14" t="s">
        <v>1448</v>
      </c>
      <c r="Q2423" s="14" t="s">
        <v>933</v>
      </c>
      <c r="R2423" s="14" t="s">
        <v>876</v>
      </c>
      <c r="S2423" s="37" cm="1">
        <f t="array" aca="1" ref="S24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62.29565970924795</v>
      </c>
      <c r="T2423" s="346" t="s">
        <v>2119</v>
      </c>
      <c r="U2423" s="347">
        <f ca="1">S2423*lb2g/Fuel_Specs!$E$48*Fuel_Specs!$B$48*BTU2mmBTU/Allocations!$O$187</f>
        <v>1.2700000000000002</v>
      </c>
      <c r="V2423" s="347">
        <v>62.29565970924795</v>
      </c>
      <c r="W2423" s="347">
        <v>1.2700000000000002</v>
      </c>
      <c r="X2423" s="14" t="s">
        <v>12</v>
      </c>
      <c r="Y2423" s="346" t="s">
        <v>416</v>
      </c>
      <c r="Z2423" s="14" t="str">
        <f>IF(ISBLANK(LCI_Table[[#This Row],[Notes for user]])," ",LCI_Table[[#This Row],[Notes for user]])</f>
        <v xml:space="preserve"> </v>
      </c>
      <c r="AA2423" s="14"/>
      <c r="AB2423" s="14"/>
      <c r="AC2423" s="346">
        <f ca="1">LCI_Table[[#This Row],[Default Calculated Value]]-LCI_Table[[#This Row],[Calculated Value]]</f>
        <v>0</v>
      </c>
    </row>
    <row r="2424" spans="1:29" x14ac:dyDescent="0.3">
      <c r="A24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PFADHEFAGREETGREET(blank)_PFAD_HEFA_Natural_gasNatural gas</v>
      </c>
      <c r="B2424" s="179" t="s">
        <v>876</v>
      </c>
      <c r="C2424" s="179" t="s">
        <v>30</v>
      </c>
      <c r="D2424" s="180" t="s">
        <v>29</v>
      </c>
      <c r="E2424" s="180" t="s">
        <v>29</v>
      </c>
      <c r="F2424" s="375" t="s">
        <v>31</v>
      </c>
      <c r="G2424" s="14" t="b">
        <f>OR(LCI_Table[[#This Row],[Feedstock]]="All",LCI_Table[[#This Row],[Feedstock]]=SelectedFeedstock)</f>
        <v>0</v>
      </c>
      <c r="H2424" s="14" t="b">
        <f>OR(LCI_Table[[#This Row],[Conversion]]="All",LCI_Table[[#This Row],[Conversion]]=SelectedConversion)</f>
        <v>1</v>
      </c>
      <c r="I2424" s="14" t="b">
        <f>OR(LCI_Table[[#This Row],[Data Set]]="all",LCI_Table[[#This Row],[Data Set]]=SelectedDataSet)</f>
        <v>1</v>
      </c>
      <c r="J2424" s="14" t="b">
        <f>OR(LCI_Table[[#This Row],[Technology]]="All",LCI_Table[[#This Row],[Technology]]=SelectedTechnology)</f>
        <v>1</v>
      </c>
      <c r="K2424" s="14" t="b">
        <f>OR(LCI_Table[[#This Row],[Data Source]]="All",LCI_Table[[#This Row],[Data Source]]=SelectedDataSource)</f>
        <v>1</v>
      </c>
      <c r="L2424" s="14" t="b">
        <f>TRUE</f>
        <v>1</v>
      </c>
      <c r="M2424" s="14" t="b">
        <f>(LCI_Table[[#This Row],[Dev Notes]]="Do not display")</f>
        <v>0</v>
      </c>
      <c r="N2424" s="14" t="b">
        <f>AND(LCI_Table[[#This Row],[Show Feedstock]:[Conditional]],NOT(LCI_Table[[#This Row],[Hide Row]]))</f>
        <v>0</v>
      </c>
      <c r="O2424" s="14" t="b">
        <f>LCI_Table[[#This Row],[GREET1 Name Range]]=""</f>
        <v>0</v>
      </c>
      <c r="P2424" s="14" t="s">
        <v>1448</v>
      </c>
      <c r="Q2424" s="14" t="s">
        <v>948</v>
      </c>
      <c r="R2424" s="14" t="s">
        <v>108</v>
      </c>
      <c r="S2424" s="37" cm="1">
        <f t="array" aca="1" ref="S24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23.807480927530275</v>
      </c>
      <c r="T2424" s="346" t="s">
        <v>2120</v>
      </c>
      <c r="U2424" s="347">
        <f ca="1">S2424*lb2g/Fuel_Specs!$E$48*Fuel_Specs!$B$48*Fuel_Specs!$B$79*BTU2mmBTU</f>
        <v>443.70655331711708</v>
      </c>
      <c r="V2424" s="347">
        <v>23.807480927530275</v>
      </c>
      <c r="W2424" s="347">
        <v>443.70655331711708</v>
      </c>
      <c r="X2424" s="14" t="s">
        <v>351</v>
      </c>
      <c r="Y2424" s="346" t="s">
        <v>416</v>
      </c>
      <c r="Z2424" s="14" t="str">
        <f>IF(ISBLANK(LCI_Table[[#This Row],[Notes for user]])," ",LCI_Table[[#This Row],[Notes for user]])</f>
        <v xml:space="preserve"> </v>
      </c>
      <c r="AA2424" s="14"/>
      <c r="AB2424" s="14"/>
      <c r="AC2424" s="346">
        <f ca="1">LCI_Table[[#This Row],[Default Calculated Value]]-LCI_Table[[#This Row],[Calculated Value]]</f>
        <v>0</v>
      </c>
    </row>
    <row r="2425" spans="1:29" x14ac:dyDescent="0.3">
      <c r="A24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PFADHEFAGREETGREET(blank)_PFAD_HEFA_ElectricityGrid Electricity</v>
      </c>
      <c r="B2425" s="179" t="s">
        <v>876</v>
      </c>
      <c r="C2425" s="179" t="s">
        <v>30</v>
      </c>
      <c r="D2425" s="180" t="s">
        <v>29</v>
      </c>
      <c r="E2425" s="180" t="s">
        <v>29</v>
      </c>
      <c r="F2425" s="375" t="s">
        <v>31</v>
      </c>
      <c r="G2425" s="14" t="b">
        <f>OR(LCI_Table[[#This Row],[Feedstock]]="All",LCI_Table[[#This Row],[Feedstock]]=SelectedFeedstock)</f>
        <v>0</v>
      </c>
      <c r="H2425" s="14" t="b">
        <f>OR(LCI_Table[[#This Row],[Conversion]]="All",LCI_Table[[#This Row],[Conversion]]=SelectedConversion)</f>
        <v>1</v>
      </c>
      <c r="I2425" s="14" t="b">
        <f>OR(LCI_Table[[#This Row],[Data Set]]="all",LCI_Table[[#This Row],[Data Set]]=SelectedDataSet)</f>
        <v>1</v>
      </c>
      <c r="J2425" s="14" t="b">
        <f>OR(LCI_Table[[#This Row],[Technology]]="All",LCI_Table[[#This Row],[Technology]]=SelectedTechnology)</f>
        <v>1</v>
      </c>
      <c r="K2425" s="14" t="b">
        <f>OR(LCI_Table[[#This Row],[Data Source]]="All",LCI_Table[[#This Row],[Data Source]]=SelectedDataSource)</f>
        <v>1</v>
      </c>
      <c r="L2425" s="14" t="b">
        <f>TRUE</f>
        <v>1</v>
      </c>
      <c r="M2425" s="14" t="b">
        <f>(LCI_Table[[#This Row],[Dev Notes]]="Do not display")</f>
        <v>0</v>
      </c>
      <c r="N2425" s="14" t="b">
        <f>AND(LCI_Table[[#This Row],[Show Feedstock]:[Conditional]],NOT(LCI_Table[[#This Row],[Hide Row]]))</f>
        <v>0</v>
      </c>
      <c r="O2425" s="14" t="b">
        <f>LCI_Table[[#This Row],[GREET1 Name Range]]=""</f>
        <v>0</v>
      </c>
      <c r="P2425" s="14" t="s">
        <v>1448</v>
      </c>
      <c r="Q2425" s="14" t="s">
        <v>949</v>
      </c>
      <c r="R2425" s="14" t="s">
        <v>1684</v>
      </c>
      <c r="S2425" s="37" cm="1">
        <f t="array" aca="1" ref="S24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2.5428889955813019</v>
      </c>
      <c r="T2425" s="346" t="s">
        <v>2121</v>
      </c>
      <c r="U2425" s="347">
        <f ca="1">S2425*lb2g/Fuel_Specs!$E$48*Fuel_Specs!$B$48/BTU2kWh*BTU2mmBTU</f>
        <v>164.50660261920001</v>
      </c>
      <c r="V2425" s="347">
        <v>2.5428889955813019</v>
      </c>
      <c r="W2425" s="347">
        <v>164.50660261920001</v>
      </c>
      <c r="X2425" s="14" t="s">
        <v>51</v>
      </c>
      <c r="Y2425" s="346" t="s">
        <v>416</v>
      </c>
      <c r="Z2425" s="14" t="str">
        <f>IF(ISBLANK(LCI_Table[[#This Row],[Notes for user]])," ",LCI_Table[[#This Row],[Notes for user]])</f>
        <v xml:space="preserve"> </v>
      </c>
      <c r="AA2425" s="14"/>
      <c r="AB2425" s="14"/>
      <c r="AC2425" s="346">
        <f ca="1">LCI_Table[[#This Row],[Default Calculated Value]]-LCI_Table[[#This Row],[Calculated Value]]</f>
        <v>0</v>
      </c>
    </row>
    <row r="2426" spans="1:29" x14ac:dyDescent="0.3">
      <c r="A24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PFADHEFAGREETGREET(blank)_PFAD_HEFA_HydrogenHydrogen</v>
      </c>
      <c r="B2426" s="179" t="s">
        <v>876</v>
      </c>
      <c r="C2426" s="179" t="s">
        <v>30</v>
      </c>
      <c r="D2426" s="180" t="s">
        <v>29</v>
      </c>
      <c r="E2426" s="180" t="s">
        <v>29</v>
      </c>
      <c r="F2426" s="181" t="s">
        <v>31</v>
      </c>
      <c r="G2426" s="14" t="b">
        <f>OR(LCI_Table[[#This Row],[Feedstock]]="All",LCI_Table[[#This Row],[Feedstock]]=SelectedFeedstock)</f>
        <v>0</v>
      </c>
      <c r="H2426" s="14" t="b">
        <f>OR(LCI_Table[[#This Row],[Conversion]]="All",LCI_Table[[#This Row],[Conversion]]=SelectedConversion)</f>
        <v>1</v>
      </c>
      <c r="I2426" s="14" t="b">
        <f>OR(LCI_Table[[#This Row],[Data Set]]="all",LCI_Table[[#This Row],[Data Set]]=SelectedDataSet)</f>
        <v>1</v>
      </c>
      <c r="J2426" s="14" t="b">
        <f>OR(LCI_Table[[#This Row],[Technology]]="All",LCI_Table[[#This Row],[Technology]]=SelectedTechnology)</f>
        <v>1</v>
      </c>
      <c r="K2426" s="14" t="b">
        <f>OR(LCI_Table[[#This Row],[Data Source]]="All",LCI_Table[[#This Row],[Data Source]]=SelectedDataSource)</f>
        <v>1</v>
      </c>
      <c r="L2426" s="14" t="b">
        <f>TRUE</f>
        <v>1</v>
      </c>
      <c r="M2426" s="14" t="b">
        <f>(LCI_Table[[#This Row],[Dev Notes]]="Do not display")</f>
        <v>0</v>
      </c>
      <c r="N2426" s="14" t="b">
        <f>AND(LCI_Table[[#This Row],[Show Feedstock]:[Conditional]],NOT(LCI_Table[[#This Row],[Hide Row]]))</f>
        <v>0</v>
      </c>
      <c r="O2426" s="14" t="b">
        <f>LCI_Table[[#This Row],[GREET1 Name Range]]=""</f>
        <v>0</v>
      </c>
      <c r="P2426" s="14" t="s">
        <v>1448</v>
      </c>
      <c r="Q2426" s="14" t="s">
        <v>950</v>
      </c>
      <c r="R2426" s="14" t="s">
        <v>73</v>
      </c>
      <c r="S2426" s="37" cm="1">
        <f t="array" aca="1" ref="S24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357.74385382926869</v>
      </c>
      <c r="T2426" s="346" t="s">
        <v>2120</v>
      </c>
      <c r="U2426" s="376">
        <f ca="1">S2426*lb2g/Fuel_Specs!$E$48*Fuel_Specs!$B$48*Fuel_Specs!$B$81*BTU2mmBTU</f>
        <v>1966.9759922545102</v>
      </c>
      <c r="V2426" s="376">
        <v>357.74385382926869</v>
      </c>
      <c r="W2426" s="376">
        <v>1966.9759922545102</v>
      </c>
      <c r="X2426" s="14" t="s">
        <v>351</v>
      </c>
      <c r="Y2426" s="346" t="s">
        <v>416</v>
      </c>
      <c r="Z2426" s="14" t="str">
        <f>IF(ISBLANK(LCI_Table[[#This Row],[Notes for user]])," ",LCI_Table[[#This Row],[Notes for user]])</f>
        <v xml:space="preserve"> </v>
      </c>
      <c r="AA2426" s="14"/>
      <c r="AB2426" s="14"/>
      <c r="AC2426" s="346">
        <f ca="1">LCI_Table[[#This Row],[Default Calculated Value]]-LCI_Table[[#This Row],[Calculated Value]]</f>
        <v>0</v>
      </c>
    </row>
    <row r="2427" spans="1:29" x14ac:dyDescent="0.3">
      <c r="A24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dash_JatrophaHEFAICAOUS (GREET)Scenario 1_Yield_Farming</v>
      </c>
      <c r="B2427" s="377" t="s">
        <v>126</v>
      </c>
      <c r="C2427" s="377" t="s">
        <v>30</v>
      </c>
      <c r="D2427" s="378" t="s">
        <v>194</v>
      </c>
      <c r="E2427" s="379" t="s">
        <v>1349</v>
      </c>
      <c r="F2427" s="375" t="s">
        <v>1366</v>
      </c>
      <c r="G2427" s="14" t="b">
        <f>OR(LCI_Table[[#This Row],[Feedstock]]="All",LCI_Table[[#This Row],[Feedstock]]=SelectedFeedstock)</f>
        <v>0</v>
      </c>
      <c r="H2427" s="14" t="b">
        <f>OR(LCI_Table[[#This Row],[Conversion]]="All",LCI_Table[[#This Row],[Conversion]]=SelectedConversion)</f>
        <v>1</v>
      </c>
      <c r="I2427" s="14" t="b">
        <f>OR(LCI_Table[[#This Row],[Data Set]]="all",LCI_Table[[#This Row],[Data Set]]=SelectedDataSet)</f>
        <v>0</v>
      </c>
      <c r="J2427" s="14" t="b">
        <f>OR(LCI_Table[[#This Row],[Technology]]="All",LCI_Table[[#This Row],[Technology]]=SelectedTechnology)</f>
        <v>0</v>
      </c>
      <c r="K2427" s="14" t="b">
        <f>OR(LCI_Table[[#This Row],[Data Source]]="All",LCI_Table[[#This Row],[Data Source]]=SelectedDataSource)</f>
        <v>0</v>
      </c>
      <c r="L2427" s="14" t="b">
        <f>TRUE</f>
        <v>1</v>
      </c>
      <c r="M2427" s="14" t="b">
        <f>(LCI_Table[[#This Row],[Dev Notes]]="Do not display")</f>
        <v>0</v>
      </c>
      <c r="N2427" s="14" t="b">
        <f>AND(LCI_Table[[#This Row],[Show Feedstock]:[Conditional]],NOT(LCI_Table[[#This Row],[Hide Row]]))</f>
        <v>0</v>
      </c>
      <c r="O2427" s="14" t="b">
        <f>LCI_Table[[#This Row],[GREET1 Name Range]]=""</f>
        <v>1</v>
      </c>
      <c r="P2427" s="380" t="s">
        <v>14</v>
      </c>
      <c r="Q2427" s="14" t="s">
        <v>361</v>
      </c>
      <c r="R2427" s="48" t="s">
        <v>200</v>
      </c>
      <c r="S2427" s="37" cm="1">
        <f t="array" aca="1" ref="S24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0.78065793655234927</v>
      </c>
      <c r="T2427" s="346" t="s">
        <v>2125</v>
      </c>
      <c r="U2427" s="343"/>
      <c r="V2427" s="343">
        <v>0.78065793655234927</v>
      </c>
      <c r="W2427" s="343"/>
      <c r="X2427" s="48" t="s">
        <v>55</v>
      </c>
      <c r="Y2427" s="346" t="s">
        <v>416</v>
      </c>
      <c r="Z2427" s="14" t="str">
        <f>IF(ISBLANK(LCI_Table[[#This Row],[Notes for user]])," ",LCI_Table[[#This Row],[Notes for user]])</f>
        <v>Plantations International (2022)</v>
      </c>
      <c r="AA2427" s="48" t="s">
        <v>1150</v>
      </c>
      <c r="AB2427" s="345"/>
      <c r="AC2427" s="346">
        <f>LCI_Table[[#This Row],[Default Calculated Value]]-LCI_Table[[#This Row],[Calculated Value]]</f>
        <v>0</v>
      </c>
    </row>
    <row r="2428" spans="1:29" x14ac:dyDescent="0.3">
      <c r="A24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1_Jatropha_Farming_Nitrogen_fertilizerNitrogen fertilizer</v>
      </c>
      <c r="B2428" s="381" t="s">
        <v>126</v>
      </c>
      <c r="C2428" s="381" t="s">
        <v>30</v>
      </c>
      <c r="D2428" s="378" t="s">
        <v>194</v>
      </c>
      <c r="E2428" s="379" t="s">
        <v>1349</v>
      </c>
      <c r="F2428" s="375" t="s">
        <v>1366</v>
      </c>
      <c r="G2428" s="14" t="b">
        <f>OR(LCI_Table[[#This Row],[Feedstock]]="All",LCI_Table[[#This Row],[Feedstock]]=SelectedFeedstock)</f>
        <v>0</v>
      </c>
      <c r="H2428" s="14" t="b">
        <f>OR(LCI_Table[[#This Row],[Conversion]]="All",LCI_Table[[#This Row],[Conversion]]=SelectedConversion)</f>
        <v>1</v>
      </c>
      <c r="I2428" s="14" t="b">
        <f>OR(LCI_Table[[#This Row],[Data Set]]="all",LCI_Table[[#This Row],[Data Set]]=SelectedDataSet)</f>
        <v>0</v>
      </c>
      <c r="J2428" s="14" t="b">
        <f>OR(LCI_Table[[#This Row],[Technology]]="All",LCI_Table[[#This Row],[Technology]]=SelectedTechnology)</f>
        <v>0</v>
      </c>
      <c r="K2428" s="14" t="b">
        <f>OR(LCI_Table[[#This Row],[Data Source]]="All",LCI_Table[[#This Row],[Data Source]]=SelectedDataSource)</f>
        <v>0</v>
      </c>
      <c r="L2428" s="14" t="b">
        <f>TRUE</f>
        <v>1</v>
      </c>
      <c r="M2428" s="14" t="b">
        <f>(LCI_Table[[#This Row],[Dev Notes]]="Do not display")</f>
        <v>0</v>
      </c>
      <c r="N2428" s="14" t="b">
        <f>AND(LCI_Table[[#This Row],[Show Feedstock]:[Conditional]],NOT(LCI_Table[[#This Row],[Hide Row]]))</f>
        <v>0</v>
      </c>
      <c r="O2428" s="14" t="b">
        <f>LCI_Table[[#This Row],[GREET1 Name Range]]=""</f>
        <v>0</v>
      </c>
      <c r="P2428" s="14" t="s">
        <v>14</v>
      </c>
      <c r="Q2428" s="14" t="s">
        <v>695</v>
      </c>
      <c r="R2428" s="14" t="s">
        <v>111</v>
      </c>
      <c r="S2428" s="37" cm="1">
        <f t="array" aca="1" ref="S24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57.111193015541474</v>
      </c>
      <c r="T2428" s="346" t="s">
        <v>2119</v>
      </c>
      <c r="U2428" s="347">
        <f ca="1">S2428/g2lb/S2427*kg2ton</f>
        <v>36.578884516158197</v>
      </c>
      <c r="V2428" s="347">
        <v>57.111193015541474</v>
      </c>
      <c r="W2428" s="347">
        <v>36.578884516158197</v>
      </c>
      <c r="X2428" s="14" t="s">
        <v>12</v>
      </c>
      <c r="Y2428" s="346" t="s">
        <v>416</v>
      </c>
      <c r="Z2428" s="14" t="str">
        <f>IF(ISBLANK(LCI_Table[[#This Row],[Notes for user]])," ",LCI_Table[[#This Row],[Notes for user]])</f>
        <v xml:space="preserve"> </v>
      </c>
      <c r="AA2428" s="14"/>
      <c r="AB2428" s="14"/>
      <c r="AC2428" s="346">
        <f ca="1">LCI_Table[[#This Row],[Default Calculated Value]]-LCI_Table[[#This Row],[Calculated Value]]</f>
        <v>0</v>
      </c>
    </row>
    <row r="2429" spans="1:29" x14ac:dyDescent="0.3">
      <c r="A24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1_Jatropha_Farming_P2O5P2O5</v>
      </c>
      <c r="B2429" s="381" t="s">
        <v>126</v>
      </c>
      <c r="C2429" s="381" t="s">
        <v>30</v>
      </c>
      <c r="D2429" s="378" t="s">
        <v>194</v>
      </c>
      <c r="E2429" s="379" t="s">
        <v>1349</v>
      </c>
      <c r="F2429" s="375" t="s">
        <v>1366</v>
      </c>
      <c r="G2429" s="14" t="b">
        <f>OR(LCI_Table[[#This Row],[Feedstock]]="All",LCI_Table[[#This Row],[Feedstock]]=SelectedFeedstock)</f>
        <v>0</v>
      </c>
      <c r="H2429" s="14" t="b">
        <f>OR(LCI_Table[[#This Row],[Conversion]]="All",LCI_Table[[#This Row],[Conversion]]=SelectedConversion)</f>
        <v>1</v>
      </c>
      <c r="I2429" s="14" t="b">
        <f>OR(LCI_Table[[#This Row],[Data Set]]="all",LCI_Table[[#This Row],[Data Set]]=SelectedDataSet)</f>
        <v>0</v>
      </c>
      <c r="J2429" s="14" t="b">
        <f>OR(LCI_Table[[#This Row],[Technology]]="All",LCI_Table[[#This Row],[Technology]]=SelectedTechnology)</f>
        <v>0</v>
      </c>
      <c r="K2429" s="14" t="b">
        <f>OR(LCI_Table[[#This Row],[Data Source]]="All",LCI_Table[[#This Row],[Data Source]]=SelectedDataSource)</f>
        <v>0</v>
      </c>
      <c r="L2429" s="14" t="b">
        <f>TRUE</f>
        <v>1</v>
      </c>
      <c r="M2429" s="14" t="b">
        <f>(LCI_Table[[#This Row],[Dev Notes]]="Do not display")</f>
        <v>0</v>
      </c>
      <c r="N2429" s="14" t="b">
        <f>AND(LCI_Table[[#This Row],[Show Feedstock]:[Conditional]],NOT(LCI_Table[[#This Row],[Hide Row]]))</f>
        <v>0</v>
      </c>
      <c r="O2429" s="14" t="b">
        <f>LCI_Table[[#This Row],[GREET1 Name Range]]=""</f>
        <v>0</v>
      </c>
      <c r="P2429" s="14" t="s">
        <v>14</v>
      </c>
      <c r="Q2429" s="14" t="s">
        <v>696</v>
      </c>
      <c r="R2429" s="14" t="s">
        <v>112</v>
      </c>
      <c r="S2429" s="37" cm="1">
        <f t="array" aca="1" ref="S24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21.836632623589317</v>
      </c>
      <c r="T2429" s="346" t="s">
        <v>2119</v>
      </c>
      <c r="U2429" s="347">
        <f ca="1">S2429/g2lb/S2427*kg2ton</f>
        <v>13.986044079707501</v>
      </c>
      <c r="V2429" s="347">
        <v>21.836632623589317</v>
      </c>
      <c r="W2429" s="347">
        <v>13.986044079707501</v>
      </c>
      <c r="X2429" s="14" t="s">
        <v>12</v>
      </c>
      <c r="Y2429" s="346" t="s">
        <v>416</v>
      </c>
      <c r="Z2429" s="14" t="str">
        <f>IF(ISBLANK(LCI_Table[[#This Row],[Notes for user]])," ",LCI_Table[[#This Row],[Notes for user]])</f>
        <v xml:space="preserve"> </v>
      </c>
      <c r="AA2429" s="14"/>
      <c r="AB2429" s="14"/>
      <c r="AC2429" s="346">
        <f ca="1">LCI_Table[[#This Row],[Default Calculated Value]]-LCI_Table[[#This Row],[Calculated Value]]</f>
        <v>0</v>
      </c>
    </row>
    <row r="2430" spans="1:29" x14ac:dyDescent="0.3">
      <c r="A24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1_Jatropha_Farming_K2OK2O</v>
      </c>
      <c r="B2430" s="381" t="s">
        <v>126</v>
      </c>
      <c r="C2430" s="381" t="s">
        <v>30</v>
      </c>
      <c r="D2430" s="378" t="s">
        <v>194</v>
      </c>
      <c r="E2430" s="379" t="s">
        <v>1349</v>
      </c>
      <c r="F2430" s="375" t="s">
        <v>1366</v>
      </c>
      <c r="G2430" s="14" t="b">
        <f>OR(LCI_Table[[#This Row],[Feedstock]]="All",LCI_Table[[#This Row],[Feedstock]]=SelectedFeedstock)</f>
        <v>0</v>
      </c>
      <c r="H2430" s="14" t="b">
        <f>OR(LCI_Table[[#This Row],[Conversion]]="All",LCI_Table[[#This Row],[Conversion]]=SelectedConversion)</f>
        <v>1</v>
      </c>
      <c r="I2430" s="14" t="b">
        <f>OR(LCI_Table[[#This Row],[Data Set]]="all",LCI_Table[[#This Row],[Data Set]]=SelectedDataSet)</f>
        <v>0</v>
      </c>
      <c r="J2430" s="14" t="b">
        <f>OR(LCI_Table[[#This Row],[Technology]]="All",LCI_Table[[#This Row],[Technology]]=SelectedTechnology)</f>
        <v>0</v>
      </c>
      <c r="K2430" s="14" t="b">
        <f>OR(LCI_Table[[#This Row],[Data Source]]="All",LCI_Table[[#This Row],[Data Source]]=SelectedDataSource)</f>
        <v>0</v>
      </c>
      <c r="L2430" s="14" t="b">
        <f>TRUE</f>
        <v>1</v>
      </c>
      <c r="M2430" s="14" t="b">
        <f>(LCI_Table[[#This Row],[Dev Notes]]="Do not display")</f>
        <v>0</v>
      </c>
      <c r="N2430" s="14" t="b">
        <f>AND(LCI_Table[[#This Row],[Show Feedstock]:[Conditional]],NOT(LCI_Table[[#This Row],[Hide Row]]))</f>
        <v>0</v>
      </c>
      <c r="O2430" s="14" t="b">
        <f>LCI_Table[[#This Row],[GREET1 Name Range]]=""</f>
        <v>0</v>
      </c>
      <c r="P2430" s="14" t="s">
        <v>14</v>
      </c>
      <c r="Q2430" s="14" t="s">
        <v>692</v>
      </c>
      <c r="R2430" s="14" t="s">
        <v>113</v>
      </c>
      <c r="S2430" s="37" cm="1">
        <f t="array" aca="1" ref="S24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62.822312317095594</v>
      </c>
      <c r="T2430" s="346" t="s">
        <v>2119</v>
      </c>
      <c r="U2430" s="347">
        <f ca="1">S2430/g2lb/S2427*kg2ton</f>
        <v>40.236772967773994</v>
      </c>
      <c r="V2430" s="347">
        <v>62.822312317095594</v>
      </c>
      <c r="W2430" s="347">
        <v>40.236772967773994</v>
      </c>
      <c r="X2430" s="14" t="s">
        <v>12</v>
      </c>
      <c r="Y2430" s="346" t="s">
        <v>416</v>
      </c>
      <c r="Z2430" s="14" t="str">
        <f>IF(ISBLANK(LCI_Table[[#This Row],[Notes for user]])," ",LCI_Table[[#This Row],[Notes for user]])</f>
        <v xml:space="preserve"> </v>
      </c>
      <c r="AA2430" s="14"/>
      <c r="AB2430" s="14"/>
      <c r="AC2430" s="346">
        <f ca="1">LCI_Table[[#This Row],[Default Calculated Value]]-LCI_Table[[#This Row],[Calculated Value]]</f>
        <v>0</v>
      </c>
    </row>
    <row r="2431" spans="1:29" x14ac:dyDescent="0.3">
      <c r="A24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1_Jatropha_Farming_CaCO3CaCO3</v>
      </c>
      <c r="B2431" s="381" t="s">
        <v>126</v>
      </c>
      <c r="C2431" s="381" t="s">
        <v>30</v>
      </c>
      <c r="D2431" s="378" t="s">
        <v>194</v>
      </c>
      <c r="E2431" s="379" t="s">
        <v>1349</v>
      </c>
      <c r="F2431" s="375" t="s">
        <v>1366</v>
      </c>
      <c r="G2431" s="14" t="b">
        <f>OR(LCI_Table[[#This Row],[Feedstock]]="All",LCI_Table[[#This Row],[Feedstock]]=SelectedFeedstock)</f>
        <v>0</v>
      </c>
      <c r="H2431" s="14" t="b">
        <f>OR(LCI_Table[[#This Row],[Conversion]]="All",LCI_Table[[#This Row],[Conversion]]=SelectedConversion)</f>
        <v>1</v>
      </c>
      <c r="I2431" s="14" t="b">
        <f>OR(LCI_Table[[#This Row],[Data Set]]="all",LCI_Table[[#This Row],[Data Set]]=SelectedDataSet)</f>
        <v>0</v>
      </c>
      <c r="J2431" s="14" t="b">
        <f>OR(LCI_Table[[#This Row],[Technology]]="All",LCI_Table[[#This Row],[Technology]]=SelectedTechnology)</f>
        <v>0</v>
      </c>
      <c r="K2431" s="14" t="b">
        <f>OR(LCI_Table[[#This Row],[Data Source]]="All",LCI_Table[[#This Row],[Data Source]]=SelectedDataSource)</f>
        <v>0</v>
      </c>
      <c r="L2431" s="14" t="b">
        <f>TRUE</f>
        <v>1</v>
      </c>
      <c r="M2431" s="14" t="b">
        <f>(LCI_Table[[#This Row],[Dev Notes]]="Do not display")</f>
        <v>0</v>
      </c>
      <c r="N2431" s="14" t="b">
        <f>AND(LCI_Table[[#This Row],[Show Feedstock]:[Conditional]],NOT(LCI_Table[[#This Row],[Hide Row]]))</f>
        <v>0</v>
      </c>
      <c r="O2431" s="14" t="b">
        <f>LCI_Table[[#This Row],[GREET1 Name Range]]=""</f>
        <v>0</v>
      </c>
      <c r="P2431" s="14" t="s">
        <v>14</v>
      </c>
      <c r="Q2431" s="14" t="s">
        <v>685</v>
      </c>
      <c r="R2431" s="14" t="s">
        <v>141</v>
      </c>
      <c r="S2431" s="37" cm="1">
        <f t="array" aca="1" ref="S24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31" s="346" t="s">
        <v>2119</v>
      </c>
      <c r="U2431" s="347">
        <f ca="1">S2431/g2lb/S2427*kg2ton</f>
        <v>0</v>
      </c>
      <c r="V2431" s="347">
        <v>0</v>
      </c>
      <c r="W2431" s="347">
        <v>0</v>
      </c>
      <c r="X2431" s="14" t="s">
        <v>12</v>
      </c>
      <c r="Y2431" s="346" t="s">
        <v>416</v>
      </c>
      <c r="Z2431" s="14" t="str">
        <f>IF(ISBLANK(LCI_Table[[#This Row],[Notes for user]])," ",LCI_Table[[#This Row],[Notes for user]])</f>
        <v xml:space="preserve"> </v>
      </c>
      <c r="AA2431" s="14"/>
      <c r="AB2431" s="14"/>
      <c r="AC2431" s="346">
        <f ca="1">LCI_Table[[#This Row],[Default Calculated Value]]-LCI_Table[[#This Row],[Calculated Value]]</f>
        <v>0</v>
      </c>
    </row>
    <row r="2432" spans="1:29" x14ac:dyDescent="0.3">
      <c r="A24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1_Jatropha_Farming_HerbicidesHerbicides</v>
      </c>
      <c r="B2432" s="381" t="s">
        <v>126</v>
      </c>
      <c r="C2432" s="381" t="s">
        <v>30</v>
      </c>
      <c r="D2432" s="378" t="s">
        <v>194</v>
      </c>
      <c r="E2432" s="379" t="s">
        <v>1349</v>
      </c>
      <c r="F2432" s="375" t="s">
        <v>1366</v>
      </c>
      <c r="G2432" s="14" t="b">
        <f>OR(LCI_Table[[#This Row],[Feedstock]]="All",LCI_Table[[#This Row],[Feedstock]]=SelectedFeedstock)</f>
        <v>0</v>
      </c>
      <c r="H2432" s="14" t="b">
        <f>OR(LCI_Table[[#This Row],[Conversion]]="All",LCI_Table[[#This Row],[Conversion]]=SelectedConversion)</f>
        <v>1</v>
      </c>
      <c r="I2432" s="14" t="b">
        <f>OR(LCI_Table[[#This Row],[Data Set]]="all",LCI_Table[[#This Row],[Data Set]]=SelectedDataSet)</f>
        <v>0</v>
      </c>
      <c r="J2432" s="14" t="b">
        <f>OR(LCI_Table[[#This Row],[Technology]]="All",LCI_Table[[#This Row],[Technology]]=SelectedTechnology)</f>
        <v>0</v>
      </c>
      <c r="K2432" s="14" t="b">
        <f>OR(LCI_Table[[#This Row],[Data Source]]="All",LCI_Table[[#This Row],[Data Source]]=SelectedDataSource)</f>
        <v>0</v>
      </c>
      <c r="L2432" s="14" t="b">
        <f>TRUE</f>
        <v>1</v>
      </c>
      <c r="M2432" s="14" t="b">
        <f>(LCI_Table[[#This Row],[Dev Notes]]="Do not display")</f>
        <v>0</v>
      </c>
      <c r="N2432" s="14" t="b">
        <f>AND(LCI_Table[[#This Row],[Show Feedstock]:[Conditional]],NOT(LCI_Table[[#This Row],[Hide Row]]))</f>
        <v>0</v>
      </c>
      <c r="O2432" s="14" t="b">
        <f>LCI_Table[[#This Row],[GREET1 Name Range]]=""</f>
        <v>0</v>
      </c>
      <c r="P2432" s="14" t="s">
        <v>14</v>
      </c>
      <c r="Q2432" s="14" t="s">
        <v>690</v>
      </c>
      <c r="R2432" s="14" t="s">
        <v>356</v>
      </c>
      <c r="S2432" s="37" cm="1">
        <f t="array" aca="1" ref="S24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32" s="346" t="s">
        <v>2119</v>
      </c>
      <c r="U2432" s="347">
        <f ca="1">S2432/g2lb/S2427*kg2ton</f>
        <v>0</v>
      </c>
      <c r="V2432" s="347">
        <v>0</v>
      </c>
      <c r="W2432" s="347">
        <v>0</v>
      </c>
      <c r="X2432" s="14" t="s">
        <v>12</v>
      </c>
      <c r="Y2432" s="346" t="s">
        <v>416</v>
      </c>
      <c r="Z2432" s="14" t="str">
        <f>IF(ISBLANK(LCI_Table[[#This Row],[Notes for user]])," ",LCI_Table[[#This Row],[Notes for user]])</f>
        <v xml:space="preserve"> </v>
      </c>
      <c r="AA2432" s="14"/>
      <c r="AB2432" s="14"/>
      <c r="AC2432" s="346">
        <f ca="1">LCI_Table[[#This Row],[Default Calculated Value]]-LCI_Table[[#This Row],[Calculated Value]]</f>
        <v>0</v>
      </c>
    </row>
    <row r="2433" spans="1:29" x14ac:dyDescent="0.3">
      <c r="A24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1_Jatropha_Farming_InsecticideInsecticide</v>
      </c>
      <c r="B2433" s="381" t="s">
        <v>126</v>
      </c>
      <c r="C2433" s="381" t="s">
        <v>30</v>
      </c>
      <c r="D2433" s="378" t="s">
        <v>194</v>
      </c>
      <c r="E2433" s="379" t="s">
        <v>1349</v>
      </c>
      <c r="F2433" s="375" t="s">
        <v>1366</v>
      </c>
      <c r="G2433" s="14" t="b">
        <f>OR(LCI_Table[[#This Row],[Feedstock]]="All",LCI_Table[[#This Row],[Feedstock]]=SelectedFeedstock)</f>
        <v>0</v>
      </c>
      <c r="H2433" s="14" t="b">
        <f>OR(LCI_Table[[#This Row],[Conversion]]="All",LCI_Table[[#This Row],[Conversion]]=SelectedConversion)</f>
        <v>1</v>
      </c>
      <c r="I2433" s="14" t="b">
        <f>OR(LCI_Table[[#This Row],[Data Set]]="all",LCI_Table[[#This Row],[Data Set]]=SelectedDataSet)</f>
        <v>0</v>
      </c>
      <c r="J2433" s="14" t="b">
        <f>OR(LCI_Table[[#This Row],[Technology]]="All",LCI_Table[[#This Row],[Technology]]=SelectedTechnology)</f>
        <v>0</v>
      </c>
      <c r="K2433" s="14" t="b">
        <f>OR(LCI_Table[[#This Row],[Data Source]]="All",LCI_Table[[#This Row],[Data Source]]=SelectedDataSource)</f>
        <v>0</v>
      </c>
      <c r="L2433" s="14" t="b">
        <f>TRUE</f>
        <v>1</v>
      </c>
      <c r="M2433" s="14" t="b">
        <f>(LCI_Table[[#This Row],[Dev Notes]]="Do not display")</f>
        <v>0</v>
      </c>
      <c r="N2433" s="14" t="b">
        <f>AND(LCI_Table[[#This Row],[Show Feedstock]:[Conditional]],NOT(LCI_Table[[#This Row],[Hide Row]]))</f>
        <v>0</v>
      </c>
      <c r="O2433" s="14" t="b">
        <f>LCI_Table[[#This Row],[GREET1 Name Range]]=""</f>
        <v>0</v>
      </c>
      <c r="P2433" s="14" t="s">
        <v>14</v>
      </c>
      <c r="Q2433" s="14" t="s">
        <v>691</v>
      </c>
      <c r="R2433" s="14" t="s">
        <v>114</v>
      </c>
      <c r="S2433" s="37" cm="1">
        <f t="array" aca="1" ref="S24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33" s="346" t="s">
        <v>2119</v>
      </c>
      <c r="U2433" s="347">
        <f ca="1">S2433/g2lb/S2427*kg2ton</f>
        <v>0</v>
      </c>
      <c r="V2433" s="347">
        <v>0</v>
      </c>
      <c r="W2433" s="347">
        <v>0</v>
      </c>
      <c r="X2433" s="14" t="s">
        <v>12</v>
      </c>
      <c r="Y2433" s="346" t="s">
        <v>416</v>
      </c>
      <c r="Z2433" s="14" t="str">
        <f>IF(ISBLANK(LCI_Table[[#This Row],[Notes for user]])," ",LCI_Table[[#This Row],[Notes for user]])</f>
        <v xml:space="preserve"> </v>
      </c>
      <c r="AA2433" s="14"/>
      <c r="AB2433" s="14"/>
      <c r="AC2433" s="346">
        <f ca="1">LCI_Table[[#This Row],[Default Calculated Value]]-LCI_Table[[#This Row],[Calculated Value]]</f>
        <v>0</v>
      </c>
    </row>
    <row r="2434" spans="1:29" x14ac:dyDescent="0.3">
      <c r="A24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1_Jatropha_Farming_Residual_oilResidual oil</v>
      </c>
      <c r="B2434" s="381" t="s">
        <v>126</v>
      </c>
      <c r="C2434" s="381" t="s">
        <v>30</v>
      </c>
      <c r="D2434" s="378" t="s">
        <v>194</v>
      </c>
      <c r="E2434" s="379" t="s">
        <v>1349</v>
      </c>
      <c r="F2434" s="375" t="s">
        <v>1366</v>
      </c>
      <c r="G2434" s="14" t="b">
        <f>OR(LCI_Table[[#This Row],[Feedstock]]="All",LCI_Table[[#This Row],[Feedstock]]=SelectedFeedstock)</f>
        <v>0</v>
      </c>
      <c r="H2434" s="14" t="b">
        <f>OR(LCI_Table[[#This Row],[Conversion]]="All",LCI_Table[[#This Row],[Conversion]]=SelectedConversion)</f>
        <v>1</v>
      </c>
      <c r="I2434" s="14" t="b">
        <f>OR(LCI_Table[[#This Row],[Data Set]]="all",LCI_Table[[#This Row],[Data Set]]=SelectedDataSet)</f>
        <v>0</v>
      </c>
      <c r="J2434" s="14" t="b">
        <f>OR(LCI_Table[[#This Row],[Technology]]="All",LCI_Table[[#This Row],[Technology]]=SelectedTechnology)</f>
        <v>0</v>
      </c>
      <c r="K2434" s="14" t="b">
        <f>OR(LCI_Table[[#This Row],[Data Source]]="All",LCI_Table[[#This Row],[Data Source]]=SelectedDataSource)</f>
        <v>0</v>
      </c>
      <c r="L2434" s="14" t="b">
        <f>TRUE</f>
        <v>1</v>
      </c>
      <c r="M2434" s="14" t="b">
        <f>(LCI_Table[[#This Row],[Dev Notes]]="Do not display")</f>
        <v>0</v>
      </c>
      <c r="N2434" s="14" t="b">
        <f>AND(LCI_Table[[#This Row],[Show Feedstock]:[Conditional]],NOT(LCI_Table[[#This Row],[Hide Row]]))</f>
        <v>0</v>
      </c>
      <c r="O2434" s="14" t="b">
        <f>LCI_Table[[#This Row],[GREET1 Name Range]]=""</f>
        <v>0</v>
      </c>
      <c r="P2434" s="14" t="s">
        <v>14</v>
      </c>
      <c r="Q2434" s="14" t="s">
        <v>697</v>
      </c>
      <c r="R2434" s="14" t="s">
        <v>115</v>
      </c>
      <c r="S2434" s="37" cm="1">
        <f t="array" aca="1" ref="S24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34" s="346" t="s">
        <v>2128</v>
      </c>
      <c r="U2434" s="347">
        <f ca="1">S2434*Fuel_Specs!$B$28/S2427*kg2ton</f>
        <v>0</v>
      </c>
      <c r="V2434" s="347">
        <v>0</v>
      </c>
      <c r="W2434" s="347">
        <v>0</v>
      </c>
      <c r="X2434" s="14" t="s">
        <v>5</v>
      </c>
      <c r="Y2434" s="346" t="s">
        <v>416</v>
      </c>
      <c r="Z2434" s="14" t="str">
        <f>IF(ISBLANK(LCI_Table[[#This Row],[Notes for user]])," ",LCI_Table[[#This Row],[Notes for user]])</f>
        <v xml:space="preserve"> </v>
      </c>
      <c r="AA2434" s="14"/>
      <c r="AB2434" s="14"/>
      <c r="AC2434" s="346">
        <f ca="1">LCI_Table[[#This Row],[Default Calculated Value]]-LCI_Table[[#This Row],[Calculated Value]]</f>
        <v>0</v>
      </c>
    </row>
    <row r="2435" spans="1:29" x14ac:dyDescent="0.3">
      <c r="A24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1_Jatropha_Farming_DieselDiesel</v>
      </c>
      <c r="B2435" s="381" t="s">
        <v>126</v>
      </c>
      <c r="C2435" s="381" t="s">
        <v>30</v>
      </c>
      <c r="D2435" s="378" t="s">
        <v>194</v>
      </c>
      <c r="E2435" s="379" t="s">
        <v>1349</v>
      </c>
      <c r="F2435" s="375" t="s">
        <v>1366</v>
      </c>
      <c r="G2435" s="14" t="b">
        <f>OR(LCI_Table[[#This Row],[Feedstock]]="All",LCI_Table[[#This Row],[Feedstock]]=SelectedFeedstock)</f>
        <v>0</v>
      </c>
      <c r="H2435" s="14" t="b">
        <f>OR(LCI_Table[[#This Row],[Conversion]]="All",LCI_Table[[#This Row],[Conversion]]=SelectedConversion)</f>
        <v>1</v>
      </c>
      <c r="I2435" s="14" t="b">
        <f>OR(LCI_Table[[#This Row],[Data Set]]="all",LCI_Table[[#This Row],[Data Set]]=SelectedDataSet)</f>
        <v>0</v>
      </c>
      <c r="J2435" s="14" t="b">
        <f>OR(LCI_Table[[#This Row],[Technology]]="All",LCI_Table[[#This Row],[Technology]]=SelectedTechnology)</f>
        <v>0</v>
      </c>
      <c r="K2435" s="14" t="b">
        <f>OR(LCI_Table[[#This Row],[Data Source]]="All",LCI_Table[[#This Row],[Data Source]]=SelectedDataSource)</f>
        <v>0</v>
      </c>
      <c r="L2435" s="14" t="b">
        <f>TRUE</f>
        <v>1</v>
      </c>
      <c r="M2435" s="14" t="b">
        <f>(LCI_Table[[#This Row],[Dev Notes]]="Do not display")</f>
        <v>0</v>
      </c>
      <c r="N2435" s="14" t="b">
        <f>AND(LCI_Table[[#This Row],[Show Feedstock]:[Conditional]],NOT(LCI_Table[[#This Row],[Hide Row]]))</f>
        <v>0</v>
      </c>
      <c r="O2435" s="14" t="b">
        <f>LCI_Table[[#This Row],[GREET1 Name Range]]=""</f>
        <v>0</v>
      </c>
      <c r="P2435" s="14" t="s">
        <v>14</v>
      </c>
      <c r="Q2435" s="14" t="s">
        <v>687</v>
      </c>
      <c r="R2435" s="14" t="s">
        <v>106</v>
      </c>
      <c r="S2435" s="37" cm="1">
        <f t="array" aca="1" ref="S24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7.829749694170272</v>
      </c>
      <c r="T2435" s="346" t="s">
        <v>2128</v>
      </c>
      <c r="U2435" s="347">
        <f ca="1">S2435*Fuel_Specs!$B$19/S2427*kg2ton</f>
        <v>1420.1213988626116</v>
      </c>
      <c r="V2435" s="347">
        <v>7.829749694170272</v>
      </c>
      <c r="W2435" s="347">
        <v>1420.1213988626116</v>
      </c>
      <c r="X2435" s="14" t="s">
        <v>5</v>
      </c>
      <c r="Y2435" s="346" t="s">
        <v>416</v>
      </c>
      <c r="Z2435" s="14" t="str">
        <f>IF(ISBLANK(LCI_Table[[#This Row],[Notes for user]])," ",LCI_Table[[#This Row],[Notes for user]])</f>
        <v xml:space="preserve"> </v>
      </c>
      <c r="AA2435" s="14"/>
      <c r="AB2435" s="14"/>
      <c r="AC2435" s="346">
        <f ca="1">LCI_Table[[#This Row],[Default Calculated Value]]-LCI_Table[[#This Row],[Calculated Value]]</f>
        <v>0</v>
      </c>
    </row>
    <row r="2436" spans="1:29" x14ac:dyDescent="0.3">
      <c r="A24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1_Jatropha_Farming_GasolineGasoline</v>
      </c>
      <c r="B2436" s="381" t="s">
        <v>126</v>
      </c>
      <c r="C2436" s="381" t="s">
        <v>30</v>
      </c>
      <c r="D2436" s="378" t="s">
        <v>194</v>
      </c>
      <c r="E2436" s="379" t="s">
        <v>1349</v>
      </c>
      <c r="F2436" s="375" t="s">
        <v>1366</v>
      </c>
      <c r="G2436" s="14" t="b">
        <f>OR(LCI_Table[[#This Row],[Feedstock]]="All",LCI_Table[[#This Row],[Feedstock]]=SelectedFeedstock)</f>
        <v>0</v>
      </c>
      <c r="H2436" s="14" t="b">
        <f>OR(LCI_Table[[#This Row],[Conversion]]="All",LCI_Table[[#This Row],[Conversion]]=SelectedConversion)</f>
        <v>1</v>
      </c>
      <c r="I2436" s="14" t="b">
        <f>OR(LCI_Table[[#This Row],[Data Set]]="all",LCI_Table[[#This Row],[Data Set]]=SelectedDataSet)</f>
        <v>0</v>
      </c>
      <c r="J2436" s="14" t="b">
        <f>OR(LCI_Table[[#This Row],[Technology]]="All",LCI_Table[[#This Row],[Technology]]=SelectedTechnology)</f>
        <v>0</v>
      </c>
      <c r="K2436" s="14" t="b">
        <f>OR(LCI_Table[[#This Row],[Data Source]]="All",LCI_Table[[#This Row],[Data Source]]=SelectedDataSource)</f>
        <v>0</v>
      </c>
      <c r="L2436" s="14" t="b">
        <f>TRUE</f>
        <v>1</v>
      </c>
      <c r="M2436" s="14" t="b">
        <f>(LCI_Table[[#This Row],[Dev Notes]]="Do not display")</f>
        <v>0</v>
      </c>
      <c r="N2436" s="14" t="b">
        <f>AND(LCI_Table[[#This Row],[Show Feedstock]:[Conditional]],NOT(LCI_Table[[#This Row],[Hide Row]]))</f>
        <v>0</v>
      </c>
      <c r="O2436" s="14" t="b">
        <f>LCI_Table[[#This Row],[GREET1 Name Range]]=""</f>
        <v>0</v>
      </c>
      <c r="P2436" s="14" t="s">
        <v>14</v>
      </c>
      <c r="Q2436" s="14" t="s">
        <v>689</v>
      </c>
      <c r="R2436" s="14" t="s">
        <v>107</v>
      </c>
      <c r="S2436" s="37" cm="1">
        <f t="array" aca="1" ref="S24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36" s="346" t="s">
        <v>2128</v>
      </c>
      <c r="U2436" s="347">
        <f ca="1">S2436*Fuel_Specs!$B$15/S2427*kg2ton</f>
        <v>0</v>
      </c>
      <c r="V2436" s="347">
        <v>0</v>
      </c>
      <c r="W2436" s="347">
        <v>0</v>
      </c>
      <c r="X2436" s="14" t="s">
        <v>5</v>
      </c>
      <c r="Y2436" s="346" t="s">
        <v>416</v>
      </c>
      <c r="Z2436" s="14" t="str">
        <f>IF(ISBLANK(LCI_Table[[#This Row],[Notes for user]])," ",LCI_Table[[#This Row],[Notes for user]])</f>
        <v xml:space="preserve"> </v>
      </c>
      <c r="AA2436" s="14"/>
      <c r="AB2436" s="14"/>
      <c r="AC2436" s="346">
        <f ca="1">LCI_Table[[#This Row],[Default Calculated Value]]-LCI_Table[[#This Row],[Calculated Value]]</f>
        <v>0</v>
      </c>
    </row>
    <row r="2437" spans="1:29" x14ac:dyDescent="0.3">
      <c r="A24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1_Jatropha_Farming_Natural_gasNatural gas</v>
      </c>
      <c r="B2437" s="381" t="s">
        <v>126</v>
      </c>
      <c r="C2437" s="381" t="s">
        <v>30</v>
      </c>
      <c r="D2437" s="378" t="s">
        <v>194</v>
      </c>
      <c r="E2437" s="379" t="s">
        <v>1349</v>
      </c>
      <c r="F2437" s="375" t="s">
        <v>1366</v>
      </c>
      <c r="G2437" s="14" t="b">
        <f>OR(LCI_Table[[#This Row],[Feedstock]]="All",LCI_Table[[#This Row],[Feedstock]]=SelectedFeedstock)</f>
        <v>0</v>
      </c>
      <c r="H2437" s="14" t="b">
        <f>OR(LCI_Table[[#This Row],[Conversion]]="All",LCI_Table[[#This Row],[Conversion]]=SelectedConversion)</f>
        <v>1</v>
      </c>
      <c r="I2437" s="14" t="b">
        <f>OR(LCI_Table[[#This Row],[Data Set]]="all",LCI_Table[[#This Row],[Data Set]]=SelectedDataSet)</f>
        <v>0</v>
      </c>
      <c r="J2437" s="14" t="b">
        <f>OR(LCI_Table[[#This Row],[Technology]]="All",LCI_Table[[#This Row],[Technology]]=SelectedTechnology)</f>
        <v>0</v>
      </c>
      <c r="K2437" s="14" t="b">
        <f>OR(LCI_Table[[#This Row],[Data Source]]="All",LCI_Table[[#This Row],[Data Source]]=SelectedDataSource)</f>
        <v>0</v>
      </c>
      <c r="L2437" s="14" t="b">
        <f>TRUE</f>
        <v>1</v>
      </c>
      <c r="M2437" s="14" t="b">
        <f>(LCI_Table[[#This Row],[Dev Notes]]="Do not display")</f>
        <v>0</v>
      </c>
      <c r="N2437" s="14" t="b">
        <f>AND(LCI_Table[[#This Row],[Show Feedstock]:[Conditional]],NOT(LCI_Table[[#This Row],[Hide Row]]))</f>
        <v>0</v>
      </c>
      <c r="O2437" s="14" t="b">
        <f>LCI_Table[[#This Row],[GREET1 Name Range]]=""</f>
        <v>0</v>
      </c>
      <c r="P2437" s="14" t="s">
        <v>14</v>
      </c>
      <c r="Q2437" s="14" t="s">
        <v>694</v>
      </c>
      <c r="R2437" s="14" t="s">
        <v>108</v>
      </c>
      <c r="S2437" s="37" cm="1">
        <f t="array" aca="1" ref="S24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37" s="346" t="s">
        <v>2120</v>
      </c>
      <c r="U2437" s="347">
        <f ca="1">S2437*Fuel_Specs!$B$79/S2427*kg2ton</f>
        <v>0</v>
      </c>
      <c r="V2437" s="347">
        <v>0</v>
      </c>
      <c r="W2437" s="347">
        <v>0</v>
      </c>
      <c r="X2437" s="14" t="s">
        <v>351</v>
      </c>
      <c r="Y2437" s="346" t="s">
        <v>416</v>
      </c>
      <c r="Z2437" s="14" t="str">
        <f>IF(ISBLANK(LCI_Table[[#This Row],[Notes for user]])," ",LCI_Table[[#This Row],[Notes for user]])</f>
        <v xml:space="preserve"> </v>
      </c>
      <c r="AA2437" s="14"/>
      <c r="AB2437" s="14"/>
      <c r="AC2437" s="346">
        <f ca="1">LCI_Table[[#This Row],[Default Calculated Value]]-LCI_Table[[#This Row],[Calculated Value]]</f>
        <v>0</v>
      </c>
    </row>
    <row r="2438" spans="1:29" x14ac:dyDescent="0.3">
      <c r="A24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1_Jatropha_Farming_CoalCoal</v>
      </c>
      <c r="B2438" s="381" t="s">
        <v>126</v>
      </c>
      <c r="C2438" s="381" t="s">
        <v>30</v>
      </c>
      <c r="D2438" s="378" t="s">
        <v>194</v>
      </c>
      <c r="E2438" s="379" t="s">
        <v>1349</v>
      </c>
      <c r="F2438" s="375" t="s">
        <v>1366</v>
      </c>
      <c r="G2438" s="14" t="b">
        <f>OR(LCI_Table[[#This Row],[Feedstock]]="All",LCI_Table[[#This Row],[Feedstock]]=SelectedFeedstock)</f>
        <v>0</v>
      </c>
      <c r="H2438" s="14" t="b">
        <f>OR(LCI_Table[[#This Row],[Conversion]]="All",LCI_Table[[#This Row],[Conversion]]=SelectedConversion)</f>
        <v>1</v>
      </c>
      <c r="I2438" s="14" t="b">
        <f>OR(LCI_Table[[#This Row],[Data Set]]="all",LCI_Table[[#This Row],[Data Set]]=SelectedDataSet)</f>
        <v>0</v>
      </c>
      <c r="J2438" s="14" t="b">
        <f>OR(LCI_Table[[#This Row],[Technology]]="All",LCI_Table[[#This Row],[Technology]]=SelectedTechnology)</f>
        <v>0</v>
      </c>
      <c r="K2438" s="14" t="b">
        <f>OR(LCI_Table[[#This Row],[Data Source]]="All",LCI_Table[[#This Row],[Data Source]]=SelectedDataSource)</f>
        <v>0</v>
      </c>
      <c r="L2438" s="14" t="b">
        <f>TRUE</f>
        <v>1</v>
      </c>
      <c r="M2438" s="14" t="b">
        <f>(LCI_Table[[#This Row],[Dev Notes]]="Do not display")</f>
        <v>0</v>
      </c>
      <c r="N2438" s="14" t="b">
        <f>AND(LCI_Table[[#This Row],[Show Feedstock]:[Conditional]],NOT(LCI_Table[[#This Row],[Hide Row]]))</f>
        <v>0</v>
      </c>
      <c r="O2438" s="14" t="b">
        <f>LCI_Table[[#This Row],[GREET1 Name Range]]=""</f>
        <v>0</v>
      </c>
      <c r="P2438" s="14" t="s">
        <v>14</v>
      </c>
      <c r="Q2438" s="14" t="s">
        <v>686</v>
      </c>
      <c r="R2438" s="14" t="s">
        <v>9</v>
      </c>
      <c r="S2438" s="37" cm="1">
        <f t="array" aca="1" ref="S24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38" s="346" t="s">
        <v>2147</v>
      </c>
      <c r="U2438" s="347">
        <f ca="1">S2438/S2427*kg2ton</f>
        <v>0</v>
      </c>
      <c r="V2438" s="347">
        <v>0</v>
      </c>
      <c r="W2438" s="347">
        <v>0</v>
      </c>
      <c r="X2438" s="14" t="s">
        <v>117</v>
      </c>
      <c r="Y2438" s="346" t="s">
        <v>416</v>
      </c>
      <c r="Z2438" s="14" t="str">
        <f>IF(ISBLANK(LCI_Table[[#This Row],[Notes for user]])," ",LCI_Table[[#This Row],[Notes for user]])</f>
        <v xml:space="preserve"> </v>
      </c>
      <c r="AA2438" s="14"/>
      <c r="AB2438" s="14"/>
      <c r="AC2438" s="346">
        <f ca="1">LCI_Table[[#This Row],[Default Calculated Value]]-LCI_Table[[#This Row],[Calculated Value]]</f>
        <v>0</v>
      </c>
    </row>
    <row r="2439" spans="1:29" x14ac:dyDescent="0.3">
      <c r="A24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1_Jatropha_Farming_LPGLPG</v>
      </c>
      <c r="B2439" s="381" t="s">
        <v>126</v>
      </c>
      <c r="C2439" s="381" t="s">
        <v>30</v>
      </c>
      <c r="D2439" s="378" t="s">
        <v>194</v>
      </c>
      <c r="E2439" s="379" t="s">
        <v>1349</v>
      </c>
      <c r="F2439" s="375" t="s">
        <v>1366</v>
      </c>
      <c r="G2439" s="14" t="b">
        <f>OR(LCI_Table[[#This Row],[Feedstock]]="All",LCI_Table[[#This Row],[Feedstock]]=SelectedFeedstock)</f>
        <v>0</v>
      </c>
      <c r="H2439" s="14" t="b">
        <f>OR(LCI_Table[[#This Row],[Conversion]]="All",LCI_Table[[#This Row],[Conversion]]=SelectedConversion)</f>
        <v>1</v>
      </c>
      <c r="I2439" s="14" t="b">
        <f>OR(LCI_Table[[#This Row],[Data Set]]="all",LCI_Table[[#This Row],[Data Set]]=SelectedDataSet)</f>
        <v>0</v>
      </c>
      <c r="J2439" s="14" t="b">
        <f>OR(LCI_Table[[#This Row],[Technology]]="All",LCI_Table[[#This Row],[Technology]]=SelectedTechnology)</f>
        <v>0</v>
      </c>
      <c r="K2439" s="14" t="b">
        <f>OR(LCI_Table[[#This Row],[Data Source]]="All",LCI_Table[[#This Row],[Data Source]]=SelectedDataSource)</f>
        <v>0</v>
      </c>
      <c r="L2439" s="14" t="b">
        <f>TRUE</f>
        <v>1</v>
      </c>
      <c r="M2439" s="14" t="b">
        <f>(LCI_Table[[#This Row],[Dev Notes]]="Do not display")</f>
        <v>0</v>
      </c>
      <c r="N2439" s="14" t="b">
        <f>AND(LCI_Table[[#This Row],[Show Feedstock]:[Conditional]],NOT(LCI_Table[[#This Row],[Hide Row]]))</f>
        <v>0</v>
      </c>
      <c r="O2439" s="14" t="b">
        <f>LCI_Table[[#This Row],[GREET1 Name Range]]=""</f>
        <v>0</v>
      </c>
      <c r="P2439" s="14" t="s">
        <v>14</v>
      </c>
      <c r="Q2439" s="14" t="s">
        <v>693</v>
      </c>
      <c r="R2439" s="14" t="s">
        <v>109</v>
      </c>
      <c r="S2439" s="37" cm="1">
        <f t="array" aca="1" ref="S24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39" s="346" t="s">
        <v>2128</v>
      </c>
      <c r="U2439" s="347">
        <f ca="1">S2439*Fuel_Specs!$B$35/S2427*kg2ton</f>
        <v>0</v>
      </c>
      <c r="V2439" s="347">
        <v>0</v>
      </c>
      <c r="W2439" s="347">
        <v>0</v>
      </c>
      <c r="X2439" s="14" t="s">
        <v>5</v>
      </c>
      <c r="Y2439" s="346" t="s">
        <v>416</v>
      </c>
      <c r="Z2439" s="14" t="str">
        <f>IF(ISBLANK(LCI_Table[[#This Row],[Notes for user]])," ",LCI_Table[[#This Row],[Notes for user]])</f>
        <v xml:space="preserve"> </v>
      </c>
      <c r="AA2439" s="14"/>
      <c r="AB2439" s="14"/>
      <c r="AC2439" s="346">
        <f ca="1">LCI_Table[[#This Row],[Default Calculated Value]]-LCI_Table[[#This Row],[Calculated Value]]</f>
        <v>0</v>
      </c>
    </row>
    <row r="2440" spans="1:29" x14ac:dyDescent="0.3">
      <c r="A24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1_Jatropha_Farming_ElectricityElectricity</v>
      </c>
      <c r="B2440" s="381" t="s">
        <v>126</v>
      </c>
      <c r="C2440" s="381" t="s">
        <v>30</v>
      </c>
      <c r="D2440" s="378" t="s">
        <v>194</v>
      </c>
      <c r="E2440" s="379" t="s">
        <v>1349</v>
      </c>
      <c r="F2440" s="375" t="s">
        <v>1366</v>
      </c>
      <c r="G2440" s="14" t="b">
        <f>OR(LCI_Table[[#This Row],[Feedstock]]="All",LCI_Table[[#This Row],[Feedstock]]=SelectedFeedstock)</f>
        <v>0</v>
      </c>
      <c r="H2440" s="14" t="b">
        <f>OR(LCI_Table[[#This Row],[Conversion]]="All",LCI_Table[[#This Row],[Conversion]]=SelectedConversion)</f>
        <v>1</v>
      </c>
      <c r="I2440" s="14" t="b">
        <f>OR(LCI_Table[[#This Row],[Data Set]]="all",LCI_Table[[#This Row],[Data Set]]=SelectedDataSet)</f>
        <v>0</v>
      </c>
      <c r="J2440" s="14" t="b">
        <f>OR(LCI_Table[[#This Row],[Technology]]="All",LCI_Table[[#This Row],[Technology]]=SelectedTechnology)</f>
        <v>0</v>
      </c>
      <c r="K2440" s="14" t="b">
        <f>OR(LCI_Table[[#This Row],[Data Source]]="All",LCI_Table[[#This Row],[Data Source]]=SelectedDataSource)</f>
        <v>0</v>
      </c>
      <c r="L2440" s="14" t="b">
        <f>TRUE</f>
        <v>1</v>
      </c>
      <c r="M2440" s="14" t="b">
        <f>(LCI_Table[[#This Row],[Dev Notes]]="Do not display")</f>
        <v>0</v>
      </c>
      <c r="N2440" s="14" t="b">
        <f>AND(LCI_Table[[#This Row],[Show Feedstock]:[Conditional]],NOT(LCI_Table[[#This Row],[Hide Row]]))</f>
        <v>0</v>
      </c>
      <c r="O2440" s="14" t="b">
        <f>LCI_Table[[#This Row],[GREET1 Name Range]]=""</f>
        <v>0</v>
      </c>
      <c r="P2440" s="14" t="s">
        <v>14</v>
      </c>
      <c r="Q2440" s="14" t="s">
        <v>688</v>
      </c>
      <c r="R2440" s="14" t="s">
        <v>110</v>
      </c>
      <c r="S2440" s="37" cm="1">
        <f t="array" aca="1" ref="S24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40" s="346" t="s">
        <v>2121</v>
      </c>
      <c r="U2440" s="347">
        <f ca="1">S2440/BTU2kWh/S2427*kg2ton</f>
        <v>0</v>
      </c>
      <c r="V2440" s="347">
        <v>0</v>
      </c>
      <c r="W2440" s="347">
        <v>0</v>
      </c>
      <c r="X2440" s="14" t="s">
        <v>51</v>
      </c>
      <c r="Y2440" s="346" t="s">
        <v>416</v>
      </c>
      <c r="Z2440" s="14" t="str">
        <f>IF(ISBLANK(LCI_Table[[#This Row],[Notes for user]])," ",LCI_Table[[#This Row],[Notes for user]])</f>
        <v xml:space="preserve"> </v>
      </c>
      <c r="AA2440" s="14"/>
      <c r="AB2440" s="14"/>
      <c r="AC2440" s="346">
        <f ca="1">LCI_Table[[#This Row],[Default Calculated Value]]-LCI_Table[[#This Row],[Calculated Value]]</f>
        <v>0</v>
      </c>
    </row>
    <row r="2441" spans="1:29" x14ac:dyDescent="0.3">
      <c r="A24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dash_JatrophaHEFAICAOUS (GREET)Scenario 1_Jatropha_Extraction</v>
      </c>
      <c r="B2441" s="381" t="s">
        <v>126</v>
      </c>
      <c r="C2441" s="381" t="s">
        <v>30</v>
      </c>
      <c r="D2441" s="378" t="s">
        <v>194</v>
      </c>
      <c r="E2441" s="379" t="s">
        <v>1349</v>
      </c>
      <c r="F2441" s="375" t="s">
        <v>1366</v>
      </c>
      <c r="G2441" s="14" t="b">
        <f>OR(LCI_Table[[#This Row],[Feedstock]]="All",LCI_Table[[#This Row],[Feedstock]]=SelectedFeedstock)</f>
        <v>0</v>
      </c>
      <c r="H2441" s="14" t="b">
        <f>OR(LCI_Table[[#This Row],[Conversion]]="All",LCI_Table[[#This Row],[Conversion]]=SelectedConversion)</f>
        <v>1</v>
      </c>
      <c r="I2441" s="14" t="b">
        <f>OR(LCI_Table[[#This Row],[Data Set]]="all",LCI_Table[[#This Row],[Data Set]]=SelectedDataSet)</f>
        <v>0</v>
      </c>
      <c r="J2441" s="14" t="b">
        <f>OR(LCI_Table[[#This Row],[Technology]]="All",LCI_Table[[#This Row],[Technology]]=SelectedTechnology)</f>
        <v>0</v>
      </c>
      <c r="K2441" s="14" t="b">
        <f>OR(LCI_Table[[#This Row],[Data Source]]="All",LCI_Table[[#This Row],[Data Source]]=SelectedDataSource)</f>
        <v>0</v>
      </c>
      <c r="L2441" s="14" t="b">
        <f>TRUE</f>
        <v>1</v>
      </c>
      <c r="M2441" s="14" t="b">
        <f>(LCI_Table[[#This Row],[Dev Notes]]="Do not display")</f>
        <v>1</v>
      </c>
      <c r="N2441" s="14" t="b">
        <f>AND(LCI_Table[[#This Row],[Show Feedstock]:[Conditional]],NOT(LCI_Table[[#This Row],[Hide Row]]))</f>
        <v>0</v>
      </c>
      <c r="O2441" s="14" t="b">
        <f>LCI_Table[[#This Row],[GREET1 Name Range]]=""</f>
        <v>1</v>
      </c>
      <c r="P2441" s="14" t="s">
        <v>15</v>
      </c>
      <c r="Q2441" s="14" t="s">
        <v>361</v>
      </c>
      <c r="R2441" s="14" t="s">
        <v>126</v>
      </c>
      <c r="S2441" s="37" cm="1">
        <f t="array" aca="1" ref="S24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2.7663630952380931</v>
      </c>
      <c r="T2441" s="346" t="s">
        <v>2119</v>
      </c>
      <c r="U2441" s="347">
        <f ca="1">S2441/kg2lb</f>
        <v>1.2548011926495799</v>
      </c>
      <c r="V2441" s="347">
        <v>2.7663630952380931</v>
      </c>
      <c r="W2441" s="347">
        <v>1.2548011926495799</v>
      </c>
      <c r="X2441" s="14" t="s">
        <v>12</v>
      </c>
      <c r="Y2441" s="346" t="s">
        <v>416</v>
      </c>
      <c r="Z2441" s="14" t="str">
        <f>IF(ISBLANK(LCI_Table[[#This Row],[Notes for user]])," ",LCI_Table[[#This Row],[Notes for user]])</f>
        <v xml:space="preserve"> </v>
      </c>
      <c r="AA2441" s="348"/>
      <c r="AB2441" s="348" t="s">
        <v>1138</v>
      </c>
      <c r="AC2441" s="346">
        <f ca="1">LCI_Table[[#This Row],[Default Calculated Value]]-LCI_Table[[#This Row],[Calculated Value]]</f>
        <v>0</v>
      </c>
    </row>
    <row r="2442" spans="1:29" x14ac:dyDescent="0.3">
      <c r="A24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1_Jatropha_Extraction_Residual_oilResidual oil</v>
      </c>
      <c r="B2442" s="381" t="s">
        <v>126</v>
      </c>
      <c r="C2442" s="381" t="s">
        <v>30</v>
      </c>
      <c r="D2442" s="378" t="s">
        <v>194</v>
      </c>
      <c r="E2442" s="379" t="s">
        <v>1349</v>
      </c>
      <c r="F2442" s="375" t="s">
        <v>1366</v>
      </c>
      <c r="G2442" s="14" t="b">
        <f>OR(LCI_Table[[#This Row],[Feedstock]]="All",LCI_Table[[#This Row],[Feedstock]]=SelectedFeedstock)</f>
        <v>0</v>
      </c>
      <c r="H2442" s="14" t="b">
        <f>OR(LCI_Table[[#This Row],[Conversion]]="All",LCI_Table[[#This Row],[Conversion]]=SelectedConversion)</f>
        <v>1</v>
      </c>
      <c r="I2442" s="14" t="b">
        <f>OR(LCI_Table[[#This Row],[Data Set]]="all",LCI_Table[[#This Row],[Data Set]]=SelectedDataSet)</f>
        <v>0</v>
      </c>
      <c r="J2442" s="14" t="b">
        <f>OR(LCI_Table[[#This Row],[Technology]]="All",LCI_Table[[#This Row],[Technology]]=SelectedTechnology)</f>
        <v>0</v>
      </c>
      <c r="K2442" s="14" t="b">
        <f>OR(LCI_Table[[#This Row],[Data Source]]="All",LCI_Table[[#This Row],[Data Source]]=SelectedDataSource)</f>
        <v>0</v>
      </c>
      <c r="L2442" s="14" t="b">
        <f>TRUE</f>
        <v>1</v>
      </c>
      <c r="M2442" s="14" t="b">
        <f>(LCI_Table[[#This Row],[Dev Notes]]="Do not display")</f>
        <v>0</v>
      </c>
      <c r="N2442" s="14" t="b">
        <f>AND(LCI_Table[[#This Row],[Show Feedstock]:[Conditional]],NOT(LCI_Table[[#This Row],[Hide Row]]))</f>
        <v>0</v>
      </c>
      <c r="O2442" s="14" t="b">
        <f>LCI_Table[[#This Row],[GREET1 Name Range]]=""</f>
        <v>0</v>
      </c>
      <c r="P2442" s="14" t="s">
        <v>15</v>
      </c>
      <c r="Q2442" s="14" t="s">
        <v>684</v>
      </c>
      <c r="R2442" s="14" t="s">
        <v>115</v>
      </c>
      <c r="S2442" s="37" cm="1">
        <f t="array" aca="1" ref="S24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42" s="346" t="s">
        <v>2128</v>
      </c>
      <c r="U2442" s="347">
        <f ca="1">S2442*Fuel_Specs!$B$28</f>
        <v>0</v>
      </c>
      <c r="V2442" s="347">
        <v>0</v>
      </c>
      <c r="W2442" s="347">
        <v>0</v>
      </c>
      <c r="X2442" s="14" t="s">
        <v>5</v>
      </c>
      <c r="Y2442" s="346" t="s">
        <v>416</v>
      </c>
      <c r="Z2442" s="14" t="str">
        <f>IF(ISBLANK(LCI_Table[[#This Row],[Notes for user]])," ",LCI_Table[[#This Row],[Notes for user]])</f>
        <v xml:space="preserve"> </v>
      </c>
      <c r="AA2442" s="14"/>
      <c r="AB2442" s="14"/>
      <c r="AC2442" s="346">
        <f ca="1">LCI_Table[[#This Row],[Default Calculated Value]]-LCI_Table[[#This Row],[Calculated Value]]</f>
        <v>0</v>
      </c>
    </row>
    <row r="2443" spans="1:29" x14ac:dyDescent="0.3">
      <c r="A24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1_Jatropha_Extraction_DieselDiesel</v>
      </c>
      <c r="B2443" s="381" t="s">
        <v>126</v>
      </c>
      <c r="C2443" s="381" t="s">
        <v>30</v>
      </c>
      <c r="D2443" s="378" t="s">
        <v>194</v>
      </c>
      <c r="E2443" s="379" t="s">
        <v>1349</v>
      </c>
      <c r="F2443" s="375" t="s">
        <v>1366</v>
      </c>
      <c r="G2443" s="14" t="b">
        <f>OR(LCI_Table[[#This Row],[Feedstock]]="All",LCI_Table[[#This Row],[Feedstock]]=SelectedFeedstock)</f>
        <v>0</v>
      </c>
      <c r="H2443" s="14" t="b">
        <f>OR(LCI_Table[[#This Row],[Conversion]]="All",LCI_Table[[#This Row],[Conversion]]=SelectedConversion)</f>
        <v>1</v>
      </c>
      <c r="I2443" s="14" t="b">
        <f>OR(LCI_Table[[#This Row],[Data Set]]="all",LCI_Table[[#This Row],[Data Set]]=SelectedDataSet)</f>
        <v>0</v>
      </c>
      <c r="J2443" s="14" t="b">
        <f>OR(LCI_Table[[#This Row],[Technology]]="All",LCI_Table[[#This Row],[Technology]]=SelectedTechnology)</f>
        <v>0</v>
      </c>
      <c r="K2443" s="14" t="b">
        <f>OR(LCI_Table[[#This Row],[Data Source]]="All",LCI_Table[[#This Row],[Data Source]]=SelectedDataSource)</f>
        <v>0</v>
      </c>
      <c r="L2443" s="14" t="b">
        <f>TRUE</f>
        <v>1</v>
      </c>
      <c r="M2443" s="14" t="b">
        <f>(LCI_Table[[#This Row],[Dev Notes]]="Do not display")</f>
        <v>0</v>
      </c>
      <c r="N2443" s="14" t="b">
        <f>AND(LCI_Table[[#This Row],[Show Feedstock]:[Conditional]],NOT(LCI_Table[[#This Row],[Hide Row]]))</f>
        <v>0</v>
      </c>
      <c r="O2443" s="14" t="b">
        <f>LCI_Table[[#This Row],[GREET1 Name Range]]=""</f>
        <v>0</v>
      </c>
      <c r="P2443" s="14" t="s">
        <v>15</v>
      </c>
      <c r="Q2443" s="14" t="s">
        <v>676</v>
      </c>
      <c r="R2443" s="14" t="s">
        <v>106</v>
      </c>
      <c r="S2443" s="37" cm="1">
        <f t="array" aca="1" ref="S24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43" s="346" t="s">
        <v>2128</v>
      </c>
      <c r="U2443" s="347">
        <f ca="1">S2443*Fuel_Specs!$B$19</f>
        <v>0</v>
      </c>
      <c r="V2443" s="347">
        <v>0</v>
      </c>
      <c r="W2443" s="347">
        <v>0</v>
      </c>
      <c r="X2443" s="14" t="s">
        <v>5</v>
      </c>
      <c r="Y2443" s="346" t="s">
        <v>416</v>
      </c>
      <c r="Z2443" s="14" t="str">
        <f>IF(ISBLANK(LCI_Table[[#This Row],[Notes for user]])," ",LCI_Table[[#This Row],[Notes for user]])</f>
        <v xml:space="preserve"> </v>
      </c>
      <c r="AA2443" s="14"/>
      <c r="AB2443" s="14"/>
      <c r="AC2443" s="346">
        <f ca="1">LCI_Table[[#This Row],[Default Calculated Value]]-LCI_Table[[#This Row],[Calculated Value]]</f>
        <v>0</v>
      </c>
    </row>
    <row r="2444" spans="1:29" x14ac:dyDescent="0.3">
      <c r="A24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1_Jatropha_Extraction_GasolineGasoline</v>
      </c>
      <c r="B2444" s="381" t="s">
        <v>126</v>
      </c>
      <c r="C2444" s="381" t="s">
        <v>30</v>
      </c>
      <c r="D2444" s="378" t="s">
        <v>194</v>
      </c>
      <c r="E2444" s="379" t="s">
        <v>1349</v>
      </c>
      <c r="F2444" s="375" t="s">
        <v>1366</v>
      </c>
      <c r="G2444" s="14" t="b">
        <f>OR(LCI_Table[[#This Row],[Feedstock]]="All",LCI_Table[[#This Row],[Feedstock]]=SelectedFeedstock)</f>
        <v>0</v>
      </c>
      <c r="H2444" s="14" t="b">
        <f>OR(LCI_Table[[#This Row],[Conversion]]="All",LCI_Table[[#This Row],[Conversion]]=SelectedConversion)</f>
        <v>1</v>
      </c>
      <c r="I2444" s="14" t="b">
        <f>OR(LCI_Table[[#This Row],[Data Set]]="all",LCI_Table[[#This Row],[Data Set]]=SelectedDataSet)</f>
        <v>0</v>
      </c>
      <c r="J2444" s="14" t="b">
        <f>OR(LCI_Table[[#This Row],[Technology]]="All",LCI_Table[[#This Row],[Technology]]=SelectedTechnology)</f>
        <v>0</v>
      </c>
      <c r="K2444" s="14" t="b">
        <f>OR(LCI_Table[[#This Row],[Data Source]]="All",LCI_Table[[#This Row],[Data Source]]=SelectedDataSource)</f>
        <v>0</v>
      </c>
      <c r="L2444" s="14" t="b">
        <f>TRUE</f>
        <v>1</v>
      </c>
      <c r="M2444" s="14" t="b">
        <f>(LCI_Table[[#This Row],[Dev Notes]]="Do not display")</f>
        <v>0</v>
      </c>
      <c r="N2444" s="14" t="b">
        <f>AND(LCI_Table[[#This Row],[Show Feedstock]:[Conditional]],NOT(LCI_Table[[#This Row],[Hide Row]]))</f>
        <v>0</v>
      </c>
      <c r="O2444" s="14" t="b">
        <f>LCI_Table[[#This Row],[GREET1 Name Range]]=""</f>
        <v>0</v>
      </c>
      <c r="P2444" s="14" t="s">
        <v>15</v>
      </c>
      <c r="Q2444" s="14" t="s">
        <v>679</v>
      </c>
      <c r="R2444" s="14" t="s">
        <v>107</v>
      </c>
      <c r="S2444" s="37" cm="1">
        <f t="array" aca="1" ref="S24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44" s="346" t="s">
        <v>2128</v>
      </c>
      <c r="U2444" s="347">
        <f ca="1">S2444*Fuel_Specs!$B$15</f>
        <v>0</v>
      </c>
      <c r="V2444" s="347">
        <v>0</v>
      </c>
      <c r="W2444" s="347">
        <v>0</v>
      </c>
      <c r="X2444" s="14" t="s">
        <v>5</v>
      </c>
      <c r="Y2444" s="346" t="s">
        <v>416</v>
      </c>
      <c r="Z2444" s="14" t="str">
        <f>IF(ISBLANK(LCI_Table[[#This Row],[Notes for user]])," ",LCI_Table[[#This Row],[Notes for user]])</f>
        <v xml:space="preserve"> </v>
      </c>
      <c r="AA2444" s="14"/>
      <c r="AB2444" s="14"/>
      <c r="AC2444" s="346">
        <f ca="1">LCI_Table[[#This Row],[Default Calculated Value]]-LCI_Table[[#This Row],[Calculated Value]]</f>
        <v>0</v>
      </c>
    </row>
    <row r="2445" spans="1:29" x14ac:dyDescent="0.3">
      <c r="A24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1_Jatropha_Extraction_Natural_gasNatural gas</v>
      </c>
      <c r="B2445" s="381" t="s">
        <v>126</v>
      </c>
      <c r="C2445" s="381" t="s">
        <v>30</v>
      </c>
      <c r="D2445" s="378" t="s">
        <v>194</v>
      </c>
      <c r="E2445" s="379" t="s">
        <v>1349</v>
      </c>
      <c r="F2445" s="375" t="s">
        <v>1366</v>
      </c>
      <c r="G2445" s="14" t="b">
        <f>OR(LCI_Table[[#This Row],[Feedstock]]="All",LCI_Table[[#This Row],[Feedstock]]=SelectedFeedstock)</f>
        <v>0</v>
      </c>
      <c r="H2445" s="14" t="b">
        <f>OR(LCI_Table[[#This Row],[Conversion]]="All",LCI_Table[[#This Row],[Conversion]]=SelectedConversion)</f>
        <v>1</v>
      </c>
      <c r="I2445" s="14" t="b">
        <f>OR(LCI_Table[[#This Row],[Data Set]]="all",LCI_Table[[#This Row],[Data Set]]=SelectedDataSet)</f>
        <v>0</v>
      </c>
      <c r="J2445" s="14" t="b">
        <f>OR(LCI_Table[[#This Row],[Technology]]="All",LCI_Table[[#This Row],[Technology]]=SelectedTechnology)</f>
        <v>0</v>
      </c>
      <c r="K2445" s="14" t="b">
        <f>OR(LCI_Table[[#This Row],[Data Source]]="All",LCI_Table[[#This Row],[Data Source]]=SelectedDataSource)</f>
        <v>0</v>
      </c>
      <c r="L2445" s="14" t="b">
        <f>TRUE</f>
        <v>1</v>
      </c>
      <c r="M2445" s="14" t="b">
        <f>(LCI_Table[[#This Row],[Dev Notes]]="Do not display")</f>
        <v>0</v>
      </c>
      <c r="N2445" s="14" t="b">
        <f>AND(LCI_Table[[#This Row],[Show Feedstock]:[Conditional]],NOT(LCI_Table[[#This Row],[Hide Row]]))</f>
        <v>0</v>
      </c>
      <c r="O2445" s="14" t="b">
        <f>LCI_Table[[#This Row],[GREET1 Name Range]]=""</f>
        <v>0</v>
      </c>
      <c r="P2445" s="14" t="s">
        <v>15</v>
      </c>
      <c r="Q2445" s="14" t="s">
        <v>683</v>
      </c>
      <c r="R2445" s="14" t="s">
        <v>108</v>
      </c>
      <c r="S2445" s="37" cm="1">
        <f t="array" aca="1" ref="S24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0.78972533062054928</v>
      </c>
      <c r="T2445" s="346" t="s">
        <v>2120</v>
      </c>
      <c r="U2445" s="347">
        <f ca="1">S2445*Fuel_Specs!$B$79</f>
        <v>776.3</v>
      </c>
      <c r="V2445" s="347">
        <v>0.78972533062054928</v>
      </c>
      <c r="W2445" s="347">
        <v>776.3</v>
      </c>
      <c r="X2445" s="14" t="s">
        <v>351</v>
      </c>
      <c r="Y2445" s="346" t="s">
        <v>416</v>
      </c>
      <c r="Z2445" s="14" t="str">
        <f>IF(ISBLANK(LCI_Table[[#This Row],[Notes for user]])," ",LCI_Table[[#This Row],[Notes for user]])</f>
        <v xml:space="preserve"> </v>
      </c>
      <c r="AA2445" s="14"/>
      <c r="AB2445" s="14"/>
      <c r="AC2445" s="346">
        <f ca="1">LCI_Table[[#This Row],[Default Calculated Value]]-LCI_Table[[#This Row],[Calculated Value]]</f>
        <v>0</v>
      </c>
    </row>
    <row r="2446" spans="1:29" x14ac:dyDescent="0.3">
      <c r="A24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1_Jatropha_Extraction_CoalCoal</v>
      </c>
      <c r="B2446" s="381" t="s">
        <v>126</v>
      </c>
      <c r="C2446" s="381" t="s">
        <v>30</v>
      </c>
      <c r="D2446" s="378" t="s">
        <v>194</v>
      </c>
      <c r="E2446" s="379" t="s">
        <v>1349</v>
      </c>
      <c r="F2446" s="375" t="s">
        <v>1366</v>
      </c>
      <c r="G2446" s="14" t="b">
        <f>OR(LCI_Table[[#This Row],[Feedstock]]="All",LCI_Table[[#This Row],[Feedstock]]=SelectedFeedstock)</f>
        <v>0</v>
      </c>
      <c r="H2446" s="14" t="b">
        <f>OR(LCI_Table[[#This Row],[Conversion]]="All",LCI_Table[[#This Row],[Conversion]]=SelectedConversion)</f>
        <v>1</v>
      </c>
      <c r="I2446" s="14" t="b">
        <f>OR(LCI_Table[[#This Row],[Data Set]]="all",LCI_Table[[#This Row],[Data Set]]=SelectedDataSet)</f>
        <v>0</v>
      </c>
      <c r="J2446" s="14" t="b">
        <f>OR(LCI_Table[[#This Row],[Technology]]="All",LCI_Table[[#This Row],[Technology]]=SelectedTechnology)</f>
        <v>0</v>
      </c>
      <c r="K2446" s="14" t="b">
        <f>OR(LCI_Table[[#This Row],[Data Source]]="All",LCI_Table[[#This Row],[Data Source]]=SelectedDataSource)</f>
        <v>0</v>
      </c>
      <c r="L2446" s="14" t="b">
        <f>TRUE</f>
        <v>1</v>
      </c>
      <c r="M2446" s="14" t="b">
        <f>(LCI_Table[[#This Row],[Dev Notes]]="Do not display")</f>
        <v>0</v>
      </c>
      <c r="N2446" s="14" t="b">
        <f>AND(LCI_Table[[#This Row],[Show Feedstock]:[Conditional]],NOT(LCI_Table[[#This Row],[Hide Row]]))</f>
        <v>0</v>
      </c>
      <c r="O2446" s="14" t="b">
        <f>LCI_Table[[#This Row],[GREET1 Name Range]]=""</f>
        <v>0</v>
      </c>
      <c r="P2446" s="14" t="s">
        <v>15</v>
      </c>
      <c r="Q2446" s="14" t="s">
        <v>675</v>
      </c>
      <c r="R2446" s="14" t="s">
        <v>9</v>
      </c>
      <c r="S2446" s="37" cm="1">
        <f t="array" aca="1" ref="S24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46" s="346" t="s">
        <v>2147</v>
      </c>
      <c r="U2446" s="347">
        <f ca="1">S2446</f>
        <v>0</v>
      </c>
      <c r="V2446" s="347">
        <v>0</v>
      </c>
      <c r="W2446" s="347">
        <v>0</v>
      </c>
      <c r="X2446" s="14" t="s">
        <v>117</v>
      </c>
      <c r="Y2446" s="346" t="s">
        <v>416</v>
      </c>
      <c r="Z2446" s="14" t="str">
        <f>IF(ISBLANK(LCI_Table[[#This Row],[Notes for user]])," ",LCI_Table[[#This Row],[Notes for user]])</f>
        <v xml:space="preserve"> </v>
      </c>
      <c r="AA2446" s="14"/>
      <c r="AB2446" s="14"/>
      <c r="AC2446" s="346">
        <f ca="1">LCI_Table[[#This Row],[Default Calculated Value]]-LCI_Table[[#This Row],[Calculated Value]]</f>
        <v>0</v>
      </c>
    </row>
    <row r="2447" spans="1:29" x14ac:dyDescent="0.3">
      <c r="A24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1_Jatropha_Extraction_LPGLPG</v>
      </c>
      <c r="B2447" s="381" t="s">
        <v>126</v>
      </c>
      <c r="C2447" s="381" t="s">
        <v>30</v>
      </c>
      <c r="D2447" s="378" t="s">
        <v>194</v>
      </c>
      <c r="E2447" s="379" t="s">
        <v>1349</v>
      </c>
      <c r="F2447" s="375" t="s">
        <v>1366</v>
      </c>
      <c r="G2447" s="14" t="b">
        <f>OR(LCI_Table[[#This Row],[Feedstock]]="All",LCI_Table[[#This Row],[Feedstock]]=SelectedFeedstock)</f>
        <v>0</v>
      </c>
      <c r="H2447" s="14" t="b">
        <f>OR(LCI_Table[[#This Row],[Conversion]]="All",LCI_Table[[#This Row],[Conversion]]=SelectedConversion)</f>
        <v>1</v>
      </c>
      <c r="I2447" s="14" t="b">
        <f>OR(LCI_Table[[#This Row],[Data Set]]="all",LCI_Table[[#This Row],[Data Set]]=SelectedDataSet)</f>
        <v>0</v>
      </c>
      <c r="J2447" s="14" t="b">
        <f>OR(LCI_Table[[#This Row],[Technology]]="All",LCI_Table[[#This Row],[Technology]]=SelectedTechnology)</f>
        <v>0</v>
      </c>
      <c r="K2447" s="14" t="b">
        <f>OR(LCI_Table[[#This Row],[Data Source]]="All",LCI_Table[[#This Row],[Data Source]]=SelectedDataSource)</f>
        <v>0</v>
      </c>
      <c r="L2447" s="14" t="b">
        <f>TRUE</f>
        <v>1</v>
      </c>
      <c r="M2447" s="14" t="b">
        <f>(LCI_Table[[#This Row],[Dev Notes]]="Do not display")</f>
        <v>0</v>
      </c>
      <c r="N2447" s="14" t="b">
        <f>AND(LCI_Table[[#This Row],[Show Feedstock]:[Conditional]],NOT(LCI_Table[[#This Row],[Hide Row]]))</f>
        <v>0</v>
      </c>
      <c r="O2447" s="14" t="b">
        <f>LCI_Table[[#This Row],[GREET1 Name Range]]=""</f>
        <v>0</v>
      </c>
      <c r="P2447" s="14" t="s">
        <v>15</v>
      </c>
      <c r="Q2447" s="14" t="s">
        <v>681</v>
      </c>
      <c r="R2447" s="14" t="s">
        <v>109</v>
      </c>
      <c r="S2447" s="37" cm="1">
        <f t="array" aca="1" ref="S24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47" s="346" t="s">
        <v>2128</v>
      </c>
      <c r="U2447" s="347">
        <f ca="1">S2447*Fuel_Specs!$B$35</f>
        <v>0</v>
      </c>
      <c r="V2447" s="347">
        <v>0</v>
      </c>
      <c r="W2447" s="347">
        <v>0</v>
      </c>
      <c r="X2447" s="14" t="s">
        <v>5</v>
      </c>
      <c r="Y2447" s="346" t="s">
        <v>416</v>
      </c>
      <c r="Z2447" s="14" t="str">
        <f>IF(ISBLANK(LCI_Table[[#This Row],[Notes for user]])," ",LCI_Table[[#This Row],[Notes for user]])</f>
        <v xml:space="preserve"> </v>
      </c>
      <c r="AA2447" s="14"/>
      <c r="AB2447" s="14"/>
      <c r="AC2447" s="346">
        <f ca="1">LCI_Table[[#This Row],[Default Calculated Value]]-LCI_Table[[#This Row],[Calculated Value]]</f>
        <v>0</v>
      </c>
    </row>
    <row r="2448" spans="1:29" x14ac:dyDescent="0.3">
      <c r="A24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1_Jatropha_Extraction_ElectricityElectricity</v>
      </c>
      <c r="B2448" s="381" t="s">
        <v>126</v>
      </c>
      <c r="C2448" s="381" t="s">
        <v>30</v>
      </c>
      <c r="D2448" s="378" t="s">
        <v>194</v>
      </c>
      <c r="E2448" s="379" t="s">
        <v>1349</v>
      </c>
      <c r="F2448" s="375" t="s">
        <v>1366</v>
      </c>
      <c r="G2448" s="14" t="b">
        <f>OR(LCI_Table[[#This Row],[Feedstock]]="All",LCI_Table[[#This Row],[Feedstock]]=SelectedFeedstock)</f>
        <v>0</v>
      </c>
      <c r="H2448" s="14" t="b">
        <f>OR(LCI_Table[[#This Row],[Conversion]]="All",LCI_Table[[#This Row],[Conversion]]=SelectedConversion)</f>
        <v>1</v>
      </c>
      <c r="I2448" s="14" t="b">
        <f>OR(LCI_Table[[#This Row],[Data Set]]="all",LCI_Table[[#This Row],[Data Set]]=SelectedDataSet)</f>
        <v>0</v>
      </c>
      <c r="J2448" s="14" t="b">
        <f>OR(LCI_Table[[#This Row],[Technology]]="All",LCI_Table[[#This Row],[Technology]]=SelectedTechnology)</f>
        <v>0</v>
      </c>
      <c r="K2448" s="14" t="b">
        <f>OR(LCI_Table[[#This Row],[Data Source]]="All",LCI_Table[[#This Row],[Data Source]]=SelectedDataSource)</f>
        <v>0</v>
      </c>
      <c r="L2448" s="14" t="b">
        <f>TRUE</f>
        <v>1</v>
      </c>
      <c r="M2448" s="14" t="b">
        <f>(LCI_Table[[#This Row],[Dev Notes]]="Do not display")</f>
        <v>0</v>
      </c>
      <c r="N2448" s="14" t="b">
        <f>AND(LCI_Table[[#This Row],[Show Feedstock]:[Conditional]],NOT(LCI_Table[[#This Row],[Hide Row]]))</f>
        <v>0</v>
      </c>
      <c r="O2448" s="14" t="b">
        <f>LCI_Table[[#This Row],[GREET1 Name Range]]=""</f>
        <v>0</v>
      </c>
      <c r="P2448" s="14" t="s">
        <v>15</v>
      </c>
      <c r="Q2448" s="14" t="s">
        <v>677</v>
      </c>
      <c r="R2448" s="14" t="s">
        <v>110</v>
      </c>
      <c r="S2448" s="37" cm="1">
        <f t="array" aca="1" ref="S24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48" s="346" t="s">
        <v>2121</v>
      </c>
      <c r="U2448" s="347">
        <f ca="1">S2448/BTU2kWh</f>
        <v>0</v>
      </c>
      <c r="V2448" s="347">
        <v>0</v>
      </c>
      <c r="W2448" s="347">
        <v>0</v>
      </c>
      <c r="X2448" s="14" t="s">
        <v>51</v>
      </c>
      <c r="Y2448" s="346" t="s">
        <v>416</v>
      </c>
      <c r="Z2448" s="14" t="str">
        <f>IF(ISBLANK(LCI_Table[[#This Row],[Notes for user]])," ",LCI_Table[[#This Row],[Notes for user]])</f>
        <v xml:space="preserve"> </v>
      </c>
      <c r="AA2448" s="14"/>
      <c r="AB2448" s="14"/>
      <c r="AC2448" s="346">
        <f ca="1">LCI_Table[[#This Row],[Default Calculated Value]]-LCI_Table[[#This Row],[Calculated Value]]</f>
        <v>0</v>
      </c>
    </row>
    <row r="2449" spans="1:29" x14ac:dyDescent="0.3">
      <c r="A24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1_Jatropha_Extraction_N_hexaneN-hexane</v>
      </c>
      <c r="B2449" s="381" t="s">
        <v>126</v>
      </c>
      <c r="C2449" s="381" t="s">
        <v>30</v>
      </c>
      <c r="D2449" s="378" t="s">
        <v>194</v>
      </c>
      <c r="E2449" s="379" t="s">
        <v>1349</v>
      </c>
      <c r="F2449" s="375" t="s">
        <v>1366</v>
      </c>
      <c r="G2449" s="14" t="b">
        <f>OR(LCI_Table[[#This Row],[Feedstock]]="All",LCI_Table[[#This Row],[Feedstock]]=SelectedFeedstock)</f>
        <v>0</v>
      </c>
      <c r="H2449" s="14" t="b">
        <f>OR(LCI_Table[[#This Row],[Conversion]]="All",LCI_Table[[#This Row],[Conversion]]=SelectedConversion)</f>
        <v>1</v>
      </c>
      <c r="I2449" s="14" t="b">
        <f>OR(LCI_Table[[#This Row],[Data Set]]="all",LCI_Table[[#This Row],[Data Set]]=SelectedDataSet)</f>
        <v>0</v>
      </c>
      <c r="J2449" s="14" t="b">
        <f>OR(LCI_Table[[#This Row],[Technology]]="All",LCI_Table[[#This Row],[Technology]]=SelectedTechnology)</f>
        <v>0</v>
      </c>
      <c r="K2449" s="14" t="b">
        <f>OR(LCI_Table[[#This Row],[Data Source]]="All",LCI_Table[[#This Row],[Data Source]]=SelectedDataSource)</f>
        <v>0</v>
      </c>
      <c r="L2449" s="14" t="b">
        <f>TRUE</f>
        <v>1</v>
      </c>
      <c r="M2449" s="14" t="b">
        <f>(LCI_Table[[#This Row],[Dev Notes]]="Do not display")</f>
        <v>0</v>
      </c>
      <c r="N2449" s="14" t="b">
        <f>AND(LCI_Table[[#This Row],[Show Feedstock]:[Conditional]],NOT(LCI_Table[[#This Row],[Hide Row]]))</f>
        <v>0</v>
      </c>
      <c r="O2449" s="14" t="b">
        <f>LCI_Table[[#This Row],[GREET1 Name Range]]=""</f>
        <v>0</v>
      </c>
      <c r="P2449" s="14" t="s">
        <v>15</v>
      </c>
      <c r="Q2449" s="14" t="s">
        <v>682</v>
      </c>
      <c r="R2449" s="14" t="s">
        <v>116</v>
      </c>
      <c r="S2449" s="37" cm="1">
        <f t="array" aca="1" ref="S24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3.6004824741640414E-7</v>
      </c>
      <c r="T2449" s="346" t="s">
        <v>2119</v>
      </c>
      <c r="U2449" s="347">
        <f ca="1">S2449*Fuel_Specs!$B$58*ton2lb</f>
        <v>75.7</v>
      </c>
      <c r="V2449" s="347">
        <v>3.6004824741640414E-7</v>
      </c>
      <c r="W2449" s="347">
        <v>75.7</v>
      </c>
      <c r="X2449" s="14" t="s">
        <v>12</v>
      </c>
      <c r="Y2449" s="346" t="s">
        <v>416</v>
      </c>
      <c r="Z2449" s="14" t="str">
        <f>IF(ISBLANK(LCI_Table[[#This Row],[Notes for user]])," ",LCI_Table[[#This Row],[Notes for user]])</f>
        <v xml:space="preserve"> </v>
      </c>
      <c r="AA2449" s="14"/>
      <c r="AB2449" s="14"/>
      <c r="AC2449" s="346">
        <f ca="1">LCI_Table[[#This Row],[Default Calculated Value]]-LCI_Table[[#This Row],[Calculated Value]]</f>
        <v>0</v>
      </c>
    </row>
    <row r="2450" spans="1:29" x14ac:dyDescent="0.3">
      <c r="A24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1_Jatropha_Extraction_Forest_residueForest residue</v>
      </c>
      <c r="B2450" s="381" t="s">
        <v>126</v>
      </c>
      <c r="C2450" s="381" t="s">
        <v>30</v>
      </c>
      <c r="D2450" s="378" t="s">
        <v>194</v>
      </c>
      <c r="E2450" s="379" t="s">
        <v>1349</v>
      </c>
      <c r="F2450" s="375" t="s">
        <v>1366</v>
      </c>
      <c r="G2450" s="14" t="b">
        <f>OR(LCI_Table[[#This Row],[Feedstock]]="All",LCI_Table[[#This Row],[Feedstock]]=SelectedFeedstock)</f>
        <v>0</v>
      </c>
      <c r="H2450" s="14" t="b">
        <f>OR(LCI_Table[[#This Row],[Conversion]]="All",LCI_Table[[#This Row],[Conversion]]=SelectedConversion)</f>
        <v>1</v>
      </c>
      <c r="I2450" s="14" t="b">
        <f>OR(LCI_Table[[#This Row],[Data Set]]="all",LCI_Table[[#This Row],[Data Set]]=SelectedDataSet)</f>
        <v>0</v>
      </c>
      <c r="J2450" s="14" t="b">
        <f>OR(LCI_Table[[#This Row],[Technology]]="All",LCI_Table[[#This Row],[Technology]]=SelectedTechnology)</f>
        <v>0</v>
      </c>
      <c r="K2450" s="14" t="b">
        <f>OR(LCI_Table[[#This Row],[Data Source]]="All",LCI_Table[[#This Row],[Data Source]]=SelectedDataSource)</f>
        <v>0</v>
      </c>
      <c r="L2450" s="14" t="b">
        <f>TRUE</f>
        <v>1</v>
      </c>
      <c r="M2450" s="14" t="b">
        <f>(LCI_Table[[#This Row],[Dev Notes]]="Do not display")</f>
        <v>0</v>
      </c>
      <c r="N2450" s="14" t="b">
        <f>AND(LCI_Table[[#This Row],[Show Feedstock]:[Conditional]],NOT(LCI_Table[[#This Row],[Hide Row]]))</f>
        <v>0</v>
      </c>
      <c r="O2450" s="14" t="b">
        <f>LCI_Table[[#This Row],[GREET1 Name Range]]=""</f>
        <v>0</v>
      </c>
      <c r="P2450" s="14" t="s">
        <v>15</v>
      </c>
      <c r="Q2450" s="14" t="s">
        <v>678</v>
      </c>
      <c r="R2450" s="14" t="s">
        <v>316</v>
      </c>
      <c r="S2450" s="37" cm="1">
        <f t="array" aca="1" ref="S24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50" s="346" t="s">
        <v>2119</v>
      </c>
      <c r="U2450" s="347">
        <f ca="1">S2450*Fuel_Specs!$B$100*ton2lb</f>
        <v>0</v>
      </c>
      <c r="V2450" s="347">
        <v>0</v>
      </c>
      <c r="W2450" s="347">
        <v>0</v>
      </c>
      <c r="X2450" s="14" t="s">
        <v>12</v>
      </c>
      <c r="Y2450" s="346" t="s">
        <v>416</v>
      </c>
      <c r="Z2450" s="14" t="str">
        <f>IF(ISBLANK(LCI_Table[[#This Row],[Notes for user]])," ",LCI_Table[[#This Row],[Notes for user]])</f>
        <v xml:space="preserve"> </v>
      </c>
      <c r="AA2450" s="14"/>
      <c r="AB2450" s="14"/>
      <c r="AC2450" s="346">
        <f ca="1">LCI_Table[[#This Row],[Default Calculated Value]]-LCI_Table[[#This Row],[Calculated Value]]</f>
        <v>0</v>
      </c>
    </row>
    <row r="2451" spans="1:29" x14ac:dyDescent="0.3">
      <c r="A24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1_Jatropha_Extraction_Landfill_gasLandfill gas</v>
      </c>
      <c r="B2451" s="381" t="s">
        <v>126</v>
      </c>
      <c r="C2451" s="381" t="s">
        <v>30</v>
      </c>
      <c r="D2451" s="378" t="s">
        <v>194</v>
      </c>
      <c r="E2451" s="379" t="s">
        <v>1349</v>
      </c>
      <c r="F2451" s="375" t="s">
        <v>1366</v>
      </c>
      <c r="G2451" s="14" t="b">
        <f>OR(LCI_Table[[#This Row],[Feedstock]]="All",LCI_Table[[#This Row],[Feedstock]]=SelectedFeedstock)</f>
        <v>0</v>
      </c>
      <c r="H2451" s="14" t="b">
        <f>OR(LCI_Table[[#This Row],[Conversion]]="All",LCI_Table[[#This Row],[Conversion]]=SelectedConversion)</f>
        <v>1</v>
      </c>
      <c r="I2451" s="14" t="b">
        <f>OR(LCI_Table[[#This Row],[Data Set]]="all",LCI_Table[[#This Row],[Data Set]]=SelectedDataSet)</f>
        <v>0</v>
      </c>
      <c r="J2451" s="14" t="b">
        <f>OR(LCI_Table[[#This Row],[Technology]]="All",LCI_Table[[#This Row],[Technology]]=SelectedTechnology)</f>
        <v>0</v>
      </c>
      <c r="K2451" s="14" t="b">
        <f>OR(LCI_Table[[#This Row],[Data Source]]="All",LCI_Table[[#This Row],[Data Source]]=SelectedDataSource)</f>
        <v>0</v>
      </c>
      <c r="L2451" s="14" t="b">
        <f>TRUE</f>
        <v>1</v>
      </c>
      <c r="M2451" s="14" t="b">
        <f>(LCI_Table[[#This Row],[Dev Notes]]="Do not display")</f>
        <v>0</v>
      </c>
      <c r="N2451" s="14" t="b">
        <f>AND(LCI_Table[[#This Row],[Show Feedstock]:[Conditional]],NOT(LCI_Table[[#This Row],[Hide Row]]))</f>
        <v>0</v>
      </c>
      <c r="O2451" s="14" t="b">
        <f>LCI_Table[[#This Row],[GREET1 Name Range]]=""</f>
        <v>0</v>
      </c>
      <c r="P2451" s="14" t="s">
        <v>15</v>
      </c>
      <c r="Q2451" s="14" t="s">
        <v>680</v>
      </c>
      <c r="R2451" s="14" t="s">
        <v>130</v>
      </c>
      <c r="S2451" s="37" cm="1">
        <f t="array" aca="1" ref="S24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51" s="346" t="s">
        <v>2120</v>
      </c>
      <c r="U2451" s="347">
        <f ca="1">S2451*Fuel_Specs!$B$79</f>
        <v>0</v>
      </c>
      <c r="V2451" s="347">
        <v>0</v>
      </c>
      <c r="W2451" s="347">
        <v>0</v>
      </c>
      <c r="X2451" s="14" t="s">
        <v>351</v>
      </c>
      <c r="Y2451" s="346" t="s">
        <v>416</v>
      </c>
      <c r="Z2451" s="14" t="str">
        <f>IF(ISBLANK(LCI_Table[[#This Row],[Notes for user]])," ",LCI_Table[[#This Row],[Notes for user]])</f>
        <v xml:space="preserve"> </v>
      </c>
      <c r="AA2451" s="14"/>
      <c r="AB2451" s="14"/>
      <c r="AC2451" s="346">
        <f ca="1">LCI_Table[[#This Row],[Default Calculated Value]]-LCI_Table[[#This Row],[Calculated Value]]</f>
        <v>0</v>
      </c>
    </row>
    <row r="2452" spans="1:29" x14ac:dyDescent="0.3">
      <c r="A24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1_Jatropha_Oil_Extraction_Energy_AllocationAllocation factor</v>
      </c>
      <c r="B2452" s="14" t="s">
        <v>126</v>
      </c>
      <c r="C2452" s="14" t="s">
        <v>30</v>
      </c>
      <c r="D2452" s="14" t="s">
        <v>194</v>
      </c>
      <c r="E2452" s="178" t="s">
        <v>1349</v>
      </c>
      <c r="F2452" s="375" t="s">
        <v>1366</v>
      </c>
      <c r="G2452" s="14" t="b">
        <f>OR(LCI_Table[[#This Row],[Feedstock]]="All",LCI_Table[[#This Row],[Feedstock]]=SelectedFeedstock)</f>
        <v>0</v>
      </c>
      <c r="H2452" s="14" t="b">
        <f>OR(LCI_Table[[#This Row],[Conversion]]="All",LCI_Table[[#This Row],[Conversion]]=SelectedConversion)</f>
        <v>1</v>
      </c>
      <c r="I2452" s="14" t="b">
        <f>OR(LCI_Table[[#This Row],[Data Set]]="all",LCI_Table[[#This Row],[Data Set]]=SelectedDataSet)</f>
        <v>0</v>
      </c>
      <c r="J2452" s="14" t="b">
        <f>OR(LCI_Table[[#This Row],[Technology]]="All",LCI_Table[[#This Row],[Technology]]=SelectedTechnology)</f>
        <v>0</v>
      </c>
      <c r="K2452" s="14" t="b">
        <f>OR(LCI_Table[[#This Row],[Data Source]]="All",LCI_Table[[#This Row],[Data Source]]=SelectedDataSource)</f>
        <v>0</v>
      </c>
      <c r="L2452" s="14" t="b">
        <f>TRUE</f>
        <v>1</v>
      </c>
      <c r="M2452" s="14" t="b">
        <f>(LCI_Table[[#This Row],[Dev Notes]]="Do not display")</f>
        <v>0</v>
      </c>
      <c r="N2452" s="14" t="b">
        <f>AND(LCI_Table[[#This Row],[Show Feedstock]:[Conditional]],NOT(LCI_Table[[#This Row],[Hide Row]]))</f>
        <v>0</v>
      </c>
      <c r="O2452" s="14" t="b">
        <f>LCI_Table[[#This Row],[GREET1 Name Range]]=""</f>
        <v>0</v>
      </c>
      <c r="P2452" s="14" t="s">
        <v>15</v>
      </c>
      <c r="Q2452" s="14" t="s">
        <v>1108</v>
      </c>
      <c r="R2452" s="14" t="s">
        <v>1344</v>
      </c>
      <c r="S2452" s="37" cm="1">
        <f t="array" aca="1" ref="S24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64.935064935064929</v>
      </c>
      <c r="T2452" s="346" t="s">
        <v>1345</v>
      </c>
      <c r="U2452" s="347">
        <f ca="1">LCI_Table[[#This Row],[Dashboard Value]]/100</f>
        <v>0.64935064935064934</v>
      </c>
      <c r="V2452" s="347">
        <v>64.935064935064929</v>
      </c>
      <c r="W2452" s="347">
        <v>0.64935064935064934</v>
      </c>
      <c r="X2452" s="14" t="s">
        <v>1345</v>
      </c>
      <c r="Y2452" s="346" t="s">
        <v>416</v>
      </c>
      <c r="Z2452" s="14" t="str">
        <f>IF(ISBLANK(LCI_Table[[#This Row],[Notes for user]])," ",LCI_Table[[#This Row],[Notes for user]])</f>
        <v>Allocation to jatropha oil (energy allocation)</v>
      </c>
      <c r="AA2452" s="14" t="s">
        <v>1365</v>
      </c>
      <c r="AB2452" s="14"/>
      <c r="AC2452" s="346">
        <f ca="1">LCI_Table[[#This Row],[Default Calculated Value]]-LCI_Table[[#This Row],[Calculated Value]]</f>
        <v>0</v>
      </c>
    </row>
    <row r="2453" spans="1:29" x14ac:dyDescent="0.3">
      <c r="A24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1_HEFA_feed_usageJatropha oil</v>
      </c>
      <c r="B2453" s="381" t="s">
        <v>126</v>
      </c>
      <c r="C2453" s="381" t="s">
        <v>30</v>
      </c>
      <c r="D2453" s="378" t="s">
        <v>194</v>
      </c>
      <c r="E2453" s="379" t="s">
        <v>1349</v>
      </c>
      <c r="F2453" s="375" t="s">
        <v>1366</v>
      </c>
      <c r="G2453" s="14" t="b">
        <f>OR(LCI_Table[[#This Row],[Feedstock]]="All",LCI_Table[[#This Row],[Feedstock]]=SelectedFeedstock)</f>
        <v>0</v>
      </c>
      <c r="H2453" s="14" t="b">
        <f>OR(LCI_Table[[#This Row],[Conversion]]="All",LCI_Table[[#This Row],[Conversion]]=SelectedConversion)</f>
        <v>1</v>
      </c>
      <c r="I2453" s="14" t="b">
        <f>OR(LCI_Table[[#This Row],[Data Set]]="all",LCI_Table[[#This Row],[Data Set]]=SelectedDataSet)</f>
        <v>0</v>
      </c>
      <c r="J2453" s="14" t="b">
        <f>OR(LCI_Table[[#This Row],[Technology]]="All",LCI_Table[[#This Row],[Technology]]=SelectedTechnology)</f>
        <v>0</v>
      </c>
      <c r="K2453" s="14" t="b">
        <f>OR(LCI_Table[[#This Row],[Data Source]]="All",LCI_Table[[#This Row],[Data Source]]=SelectedDataSource)</f>
        <v>0</v>
      </c>
      <c r="L2453" s="14" t="b">
        <f>TRUE</f>
        <v>1</v>
      </c>
      <c r="M2453" s="14" t="b">
        <f>(LCI_Table[[#This Row],[Dev Notes]]="Do not display")</f>
        <v>0</v>
      </c>
      <c r="N2453" s="14" t="b">
        <f>AND(LCI_Table[[#This Row],[Show Feedstock]:[Conditional]],NOT(LCI_Table[[#This Row],[Hide Row]]))</f>
        <v>0</v>
      </c>
      <c r="O2453" s="14" t="b">
        <f>LCI_Table[[#This Row],[GREET1 Name Range]]=""</f>
        <v>0</v>
      </c>
      <c r="P2453" s="14" t="s">
        <v>1448</v>
      </c>
      <c r="Q2453" s="14" t="s">
        <v>933</v>
      </c>
      <c r="R2453" s="14" t="s">
        <v>362</v>
      </c>
      <c r="S2453" s="37" cm="1">
        <f t="array" aca="1" ref="S24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66.858287441247398</v>
      </c>
      <c r="T2453" s="346" t="s">
        <v>2119</v>
      </c>
      <c r="U2453" s="347">
        <f ca="1">S2453*lb2g/Fuel_Specs!$E$48*Fuel_Specs!$B$48*BTU2mmBTU</f>
        <v>1.26760553889976</v>
      </c>
      <c r="V2453" s="347">
        <v>66.858287441247398</v>
      </c>
      <c r="W2453" s="347">
        <v>1.26760553889976</v>
      </c>
      <c r="X2453" s="14" t="s">
        <v>12</v>
      </c>
      <c r="Y2453" s="346" t="s">
        <v>416</v>
      </c>
      <c r="Z2453" s="14" t="str">
        <f>IF(ISBLANK(LCI_Table[[#This Row],[Notes for user]])," ",LCI_Table[[#This Row],[Notes for user]])</f>
        <v xml:space="preserve"> </v>
      </c>
      <c r="AA2453" s="14"/>
      <c r="AB2453" s="14"/>
      <c r="AC2453" s="346">
        <f ca="1">LCI_Table[[#This Row],[Default Calculated Value]]-LCI_Table[[#This Row],[Calculated Value]]</f>
        <v>0</v>
      </c>
    </row>
    <row r="2454" spans="1:29" x14ac:dyDescent="0.3">
      <c r="A24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1_Jatropha_HEFA_Natural_gasNatural gas</v>
      </c>
      <c r="B2454" s="381" t="s">
        <v>126</v>
      </c>
      <c r="C2454" s="381" t="s">
        <v>30</v>
      </c>
      <c r="D2454" s="378" t="s">
        <v>194</v>
      </c>
      <c r="E2454" s="379" t="s">
        <v>1349</v>
      </c>
      <c r="F2454" s="375" t="s">
        <v>1366</v>
      </c>
      <c r="G2454" s="14" t="b">
        <f>OR(LCI_Table[[#This Row],[Feedstock]]="All",LCI_Table[[#This Row],[Feedstock]]=SelectedFeedstock)</f>
        <v>0</v>
      </c>
      <c r="H2454" s="14" t="b">
        <f>OR(LCI_Table[[#This Row],[Conversion]]="All",LCI_Table[[#This Row],[Conversion]]=SelectedConversion)</f>
        <v>1</v>
      </c>
      <c r="I2454" s="14" t="b">
        <f>OR(LCI_Table[[#This Row],[Data Set]]="all",LCI_Table[[#This Row],[Data Set]]=SelectedDataSet)</f>
        <v>0</v>
      </c>
      <c r="J2454" s="14" t="b">
        <f>OR(LCI_Table[[#This Row],[Technology]]="All",LCI_Table[[#This Row],[Technology]]=SelectedTechnology)</f>
        <v>0</v>
      </c>
      <c r="K2454" s="14" t="b">
        <f>OR(LCI_Table[[#This Row],[Data Source]]="All",LCI_Table[[#This Row],[Data Source]]=SelectedDataSource)</f>
        <v>0</v>
      </c>
      <c r="L2454" s="14" t="b">
        <f>TRUE</f>
        <v>1</v>
      </c>
      <c r="M2454" s="14" t="b">
        <f>(LCI_Table[[#This Row],[Dev Notes]]="Do not display")</f>
        <v>0</v>
      </c>
      <c r="N2454" s="14" t="b">
        <f>AND(LCI_Table[[#This Row],[Show Feedstock]:[Conditional]],NOT(LCI_Table[[#This Row],[Hide Row]]))</f>
        <v>0</v>
      </c>
      <c r="O2454" s="14" t="b">
        <f>LCI_Table[[#This Row],[GREET1 Name Range]]=""</f>
        <v>0</v>
      </c>
      <c r="P2454" s="14" t="s">
        <v>1448</v>
      </c>
      <c r="Q2454" s="14" t="s">
        <v>700</v>
      </c>
      <c r="R2454" s="14" t="s">
        <v>108</v>
      </c>
      <c r="S2454" s="37" cm="1">
        <f t="array" aca="1" ref="S24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83.039077531566818</v>
      </c>
      <c r="T2454" s="346" t="s">
        <v>2120</v>
      </c>
      <c r="U2454" s="347">
        <f ca="1">S2454*lb2g/Fuel_Specs!$E$48*Fuel_Specs!$B$48*Fuel_Specs!$B$79*BTU2mmBTU</f>
        <v>1547.62206863969</v>
      </c>
      <c r="V2454" s="347">
        <v>83.039077531566818</v>
      </c>
      <c r="W2454" s="347">
        <v>1547.62206863969</v>
      </c>
      <c r="X2454" s="14" t="s">
        <v>351</v>
      </c>
      <c r="Y2454" s="346" t="s">
        <v>416</v>
      </c>
      <c r="Z2454" s="14" t="str">
        <f>IF(ISBLANK(LCI_Table[[#This Row],[Notes for user]])," ",LCI_Table[[#This Row],[Notes for user]])</f>
        <v xml:space="preserve"> </v>
      </c>
      <c r="AA2454" s="14"/>
      <c r="AB2454" s="14"/>
      <c r="AC2454" s="346">
        <f ca="1">LCI_Table[[#This Row],[Default Calculated Value]]-LCI_Table[[#This Row],[Calculated Value]]</f>
        <v>0</v>
      </c>
    </row>
    <row r="2455" spans="1:29" x14ac:dyDescent="0.3">
      <c r="A24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1_Jatropha_HEFA_ElectricityGrid Electricity</v>
      </c>
      <c r="B2455" s="381" t="s">
        <v>126</v>
      </c>
      <c r="C2455" s="381" t="s">
        <v>30</v>
      </c>
      <c r="D2455" s="378" t="s">
        <v>194</v>
      </c>
      <c r="E2455" s="379" t="s">
        <v>1349</v>
      </c>
      <c r="F2455" s="375" t="s">
        <v>1366</v>
      </c>
      <c r="G2455" s="14" t="b">
        <f>OR(LCI_Table[[#This Row],[Feedstock]]="All",LCI_Table[[#This Row],[Feedstock]]=SelectedFeedstock)</f>
        <v>0</v>
      </c>
      <c r="H2455" s="14" t="b">
        <f>OR(LCI_Table[[#This Row],[Conversion]]="All",LCI_Table[[#This Row],[Conversion]]=SelectedConversion)</f>
        <v>1</v>
      </c>
      <c r="I2455" s="14" t="b">
        <f>OR(LCI_Table[[#This Row],[Data Set]]="all",LCI_Table[[#This Row],[Data Set]]=SelectedDataSet)</f>
        <v>0</v>
      </c>
      <c r="J2455" s="14" t="b">
        <f>OR(LCI_Table[[#This Row],[Technology]]="All",LCI_Table[[#This Row],[Technology]]=SelectedTechnology)</f>
        <v>0</v>
      </c>
      <c r="K2455" s="14" t="b">
        <f>OR(LCI_Table[[#This Row],[Data Source]]="All",LCI_Table[[#This Row],[Data Source]]=SelectedDataSource)</f>
        <v>0</v>
      </c>
      <c r="L2455" s="14" t="b">
        <f>TRUE</f>
        <v>1</v>
      </c>
      <c r="M2455" s="14" t="b">
        <f>(LCI_Table[[#This Row],[Dev Notes]]="Do not display")</f>
        <v>0</v>
      </c>
      <c r="N2455" s="14" t="b">
        <f>AND(LCI_Table[[#This Row],[Show Feedstock]:[Conditional]],NOT(LCI_Table[[#This Row],[Hide Row]]))</f>
        <v>0</v>
      </c>
      <c r="O2455" s="14" t="b">
        <f>LCI_Table[[#This Row],[GREET1 Name Range]]=""</f>
        <v>0</v>
      </c>
      <c r="P2455" s="14" t="s">
        <v>1448</v>
      </c>
      <c r="Q2455" s="14" t="s">
        <v>698</v>
      </c>
      <c r="R2455" s="14" t="s">
        <v>1684</v>
      </c>
      <c r="S2455" s="37" cm="1">
        <f t="array" aca="1" ref="S24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1.3550946959657855</v>
      </c>
      <c r="T2455" s="346" t="s">
        <v>2121</v>
      </c>
      <c r="U2455" s="347">
        <f ca="1">S2455*lb2g/Fuel_Specs!$E$48*Fuel_Specs!$B$48/BTU2kWh*BTU2mmBTU</f>
        <v>87.664866633185198</v>
      </c>
      <c r="V2455" s="347">
        <v>1.3550946959657855</v>
      </c>
      <c r="W2455" s="347">
        <v>87.664866633185198</v>
      </c>
      <c r="X2455" s="14" t="s">
        <v>51</v>
      </c>
      <c r="Y2455" s="346" t="s">
        <v>416</v>
      </c>
      <c r="Z2455" s="14" t="str">
        <f>IF(ISBLANK(LCI_Table[[#This Row],[Notes for user]])," ",LCI_Table[[#This Row],[Notes for user]])</f>
        <v xml:space="preserve"> </v>
      </c>
      <c r="AA2455" s="14"/>
      <c r="AB2455" s="14"/>
      <c r="AC2455" s="346">
        <f ca="1">LCI_Table[[#This Row],[Default Calculated Value]]-LCI_Table[[#This Row],[Calculated Value]]</f>
        <v>0</v>
      </c>
    </row>
    <row r="2456" spans="1:29" x14ac:dyDescent="0.3">
      <c r="A24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1_Jatropha_HEFA_HydrogenHydrogen</v>
      </c>
      <c r="B2456" s="382" t="s">
        <v>126</v>
      </c>
      <c r="C2456" s="382" t="s">
        <v>30</v>
      </c>
      <c r="D2456" s="378" t="s">
        <v>194</v>
      </c>
      <c r="E2456" s="379" t="s">
        <v>1349</v>
      </c>
      <c r="F2456" s="375" t="s">
        <v>1366</v>
      </c>
      <c r="G2456" s="14" t="b">
        <f>OR(LCI_Table[[#This Row],[Feedstock]]="All",LCI_Table[[#This Row],[Feedstock]]=SelectedFeedstock)</f>
        <v>0</v>
      </c>
      <c r="H2456" s="14" t="b">
        <f>OR(LCI_Table[[#This Row],[Conversion]]="All",LCI_Table[[#This Row],[Conversion]]=SelectedConversion)</f>
        <v>1</v>
      </c>
      <c r="I2456" s="14" t="b">
        <f>OR(LCI_Table[[#This Row],[Data Set]]="all",LCI_Table[[#This Row],[Data Set]]=SelectedDataSet)</f>
        <v>0</v>
      </c>
      <c r="J2456" s="14" t="b">
        <f>OR(LCI_Table[[#This Row],[Technology]]="All",LCI_Table[[#This Row],[Technology]]=SelectedTechnology)</f>
        <v>0</v>
      </c>
      <c r="K2456" s="14" t="b">
        <f>OR(LCI_Table[[#This Row],[Data Source]]="All",LCI_Table[[#This Row],[Data Source]]=SelectedDataSource)</f>
        <v>0</v>
      </c>
      <c r="L2456" s="14" t="b">
        <f>TRUE</f>
        <v>1</v>
      </c>
      <c r="M2456" s="14" t="b">
        <f>(LCI_Table[[#This Row],[Dev Notes]]="Do not display")</f>
        <v>0</v>
      </c>
      <c r="N2456" s="14" t="b">
        <f>AND(LCI_Table[[#This Row],[Show Feedstock]:[Conditional]],NOT(LCI_Table[[#This Row],[Hide Row]]))</f>
        <v>0</v>
      </c>
      <c r="O2456" s="14" t="b">
        <f>LCI_Table[[#This Row],[GREET1 Name Range]]=""</f>
        <v>0</v>
      </c>
      <c r="P2456" s="14" t="s">
        <v>1448</v>
      </c>
      <c r="Q2456" s="14" t="s">
        <v>699</v>
      </c>
      <c r="R2456" s="14" t="s">
        <v>73</v>
      </c>
      <c r="S2456" s="37" cm="1">
        <f t="array" aca="1" ref="S24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315.81487345029103</v>
      </c>
      <c r="T2456" s="346" t="s">
        <v>2120</v>
      </c>
      <c r="U2456" s="347">
        <f ca="1">S2456*lb2g/Fuel_Specs!$E$48*Fuel_Specs!$B$48*Fuel_Specs!$B$81*BTU2mmBTU</f>
        <v>1736.4387044650198</v>
      </c>
      <c r="V2456" s="347">
        <v>315.81487345029103</v>
      </c>
      <c r="W2456" s="347">
        <v>1736.4387044650198</v>
      </c>
      <c r="X2456" s="14" t="s">
        <v>351</v>
      </c>
      <c r="Y2456" s="346" t="s">
        <v>416</v>
      </c>
      <c r="Z2456" s="14" t="str">
        <f>IF(ISBLANK(LCI_Table[[#This Row],[Notes for user]])," ",LCI_Table[[#This Row],[Notes for user]])</f>
        <v xml:space="preserve"> </v>
      </c>
      <c r="AA2456" s="14"/>
      <c r="AB2456" s="14"/>
      <c r="AC2456" s="346">
        <f ca="1">LCI_Table[[#This Row],[Default Calculated Value]]-LCI_Table[[#This Row],[Calculated Value]]</f>
        <v>0</v>
      </c>
    </row>
    <row r="2457" spans="1:29" x14ac:dyDescent="0.3">
      <c r="A24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1_Jatropha_Oil_HEFA_Energy_AllocationAllocation factor</v>
      </c>
      <c r="B2457" s="14" t="s">
        <v>126</v>
      </c>
      <c r="C2457" s="14" t="s">
        <v>30</v>
      </c>
      <c r="D2457" s="14" t="s">
        <v>194</v>
      </c>
      <c r="E2457" s="178" t="s">
        <v>1349</v>
      </c>
      <c r="F2457" s="375" t="s">
        <v>1366</v>
      </c>
      <c r="G2457" s="14" t="b">
        <f>OR(LCI_Table[[#This Row],[Feedstock]]="All",LCI_Table[[#This Row],[Feedstock]]=SelectedFeedstock)</f>
        <v>0</v>
      </c>
      <c r="H2457" s="14" t="b">
        <f>OR(LCI_Table[[#This Row],[Conversion]]="All",LCI_Table[[#This Row],[Conversion]]=SelectedConversion)</f>
        <v>1</v>
      </c>
      <c r="I2457" s="14" t="b">
        <f>OR(LCI_Table[[#This Row],[Data Set]]="all",LCI_Table[[#This Row],[Data Set]]=SelectedDataSet)</f>
        <v>0</v>
      </c>
      <c r="J2457" s="14" t="b">
        <f>OR(LCI_Table[[#This Row],[Technology]]="All",LCI_Table[[#This Row],[Technology]]=SelectedTechnology)</f>
        <v>0</v>
      </c>
      <c r="K2457" s="14" t="b">
        <f>OR(LCI_Table[[#This Row],[Data Source]]="All",LCI_Table[[#This Row],[Data Source]]=SelectedDataSource)</f>
        <v>0</v>
      </c>
      <c r="L2457" s="14" t="b">
        <f>TRUE</f>
        <v>1</v>
      </c>
      <c r="M2457" s="14" t="b">
        <f>(LCI_Table[[#This Row],[Dev Notes]]="Do not display")</f>
        <v>0</v>
      </c>
      <c r="N2457" s="14" t="b">
        <f>AND(LCI_Table[[#This Row],[Show Feedstock]:[Conditional]],NOT(LCI_Table[[#This Row],[Hide Row]]))</f>
        <v>0</v>
      </c>
      <c r="O2457" s="14" t="b">
        <f>LCI_Table[[#This Row],[GREET1 Name Range]]=""</f>
        <v>0</v>
      </c>
      <c r="P2457" s="14" t="s">
        <v>1448</v>
      </c>
      <c r="Q2457" s="14" t="s">
        <v>1118</v>
      </c>
      <c r="R2457" s="14" t="s">
        <v>1344</v>
      </c>
      <c r="S2457" s="37" cm="1">
        <f t="array" aca="1" ref="S24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91.171197532976606</v>
      </c>
      <c r="T2457" s="346" t="s">
        <v>1345</v>
      </c>
      <c r="U2457" s="347">
        <f ca="1">LCI_Table[[#This Row],[Dashboard Value]]/100</f>
        <v>0.91171197532976611</v>
      </c>
      <c r="V2457" s="351">
        <v>91.171197532976606</v>
      </c>
      <c r="W2457" s="351">
        <v>0.91171197532976611</v>
      </c>
      <c r="X2457" s="14" t="s">
        <v>1345</v>
      </c>
      <c r="Y2457" s="346" t="s">
        <v>416</v>
      </c>
      <c r="Z2457" s="14" t="str">
        <f>IF(ISBLANK(LCI_Table[[#This Row],[Notes for user]])," ",LCI_Table[[#This Row],[Notes for user]])</f>
        <v>Allocation to main distillate fuels (energy allocation)</v>
      </c>
      <c r="AA2457" s="14" t="s">
        <v>1353</v>
      </c>
      <c r="AB2457" s="14"/>
      <c r="AC2457" s="346">
        <f ca="1">LCI_Table[[#This Row],[Default Calculated Value]]-LCI_Table[[#This Row],[Calculated Value]]</f>
        <v>0</v>
      </c>
    </row>
    <row r="2458" spans="1:29" x14ac:dyDescent="0.3">
      <c r="A24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dash_JatrophaHEFAICAOUS (GREET)Scenario 2_Yield_Farming</v>
      </c>
      <c r="B2458" s="377" t="s">
        <v>126</v>
      </c>
      <c r="C2458" s="377" t="s">
        <v>30</v>
      </c>
      <c r="D2458" s="378" t="s">
        <v>194</v>
      </c>
      <c r="E2458" s="379" t="s">
        <v>1349</v>
      </c>
      <c r="F2458" s="375" t="s">
        <v>1367</v>
      </c>
      <c r="G2458" s="14" t="b">
        <f>OR(LCI_Table[[#This Row],[Feedstock]]="All",LCI_Table[[#This Row],[Feedstock]]=SelectedFeedstock)</f>
        <v>0</v>
      </c>
      <c r="H2458" s="14" t="b">
        <f>OR(LCI_Table[[#This Row],[Conversion]]="All",LCI_Table[[#This Row],[Conversion]]=SelectedConversion)</f>
        <v>1</v>
      </c>
      <c r="I2458" s="14" t="b">
        <f>OR(LCI_Table[[#This Row],[Data Set]]="all",LCI_Table[[#This Row],[Data Set]]=SelectedDataSet)</f>
        <v>0</v>
      </c>
      <c r="J2458" s="14" t="b">
        <f>OR(LCI_Table[[#This Row],[Technology]]="All",LCI_Table[[#This Row],[Technology]]=SelectedTechnology)</f>
        <v>0</v>
      </c>
      <c r="K2458" s="14" t="b">
        <f>OR(LCI_Table[[#This Row],[Data Source]]="All",LCI_Table[[#This Row],[Data Source]]=SelectedDataSource)</f>
        <v>0</v>
      </c>
      <c r="L2458" s="14" t="b">
        <f>TRUE</f>
        <v>1</v>
      </c>
      <c r="M2458" s="14" t="b">
        <f>(LCI_Table[[#This Row],[Dev Notes]]="Do not display")</f>
        <v>0</v>
      </c>
      <c r="N2458" s="14" t="b">
        <f>AND(LCI_Table[[#This Row],[Show Feedstock]:[Conditional]],NOT(LCI_Table[[#This Row],[Hide Row]]))</f>
        <v>0</v>
      </c>
      <c r="O2458" s="14" t="b">
        <f>LCI_Table[[#This Row],[GREET1 Name Range]]=""</f>
        <v>1</v>
      </c>
      <c r="P2458" s="380" t="s">
        <v>14</v>
      </c>
      <c r="Q2458" s="14" t="s">
        <v>361</v>
      </c>
      <c r="R2458" s="48" t="s">
        <v>200</v>
      </c>
      <c r="S2458" s="37" cm="1">
        <f t="array" aca="1" ref="S24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0.78065793655234927</v>
      </c>
      <c r="T2458" s="346" t="s">
        <v>2125</v>
      </c>
      <c r="U2458" s="343"/>
      <c r="V2458" s="343">
        <v>0.78065793655234927</v>
      </c>
      <c r="W2458" s="343"/>
      <c r="X2458" s="48" t="s">
        <v>55</v>
      </c>
      <c r="Y2458" s="346" t="s">
        <v>416</v>
      </c>
      <c r="Z2458" s="14" t="str">
        <f>IF(ISBLANK(LCI_Table[[#This Row],[Notes for user]])," ",LCI_Table[[#This Row],[Notes for user]])</f>
        <v>Plantations International (2022)</v>
      </c>
      <c r="AA2458" s="48" t="s">
        <v>1150</v>
      </c>
      <c r="AB2458" s="345"/>
      <c r="AC2458" s="346">
        <f>LCI_Table[[#This Row],[Default Calculated Value]]-LCI_Table[[#This Row],[Calculated Value]]</f>
        <v>0</v>
      </c>
    </row>
    <row r="2459" spans="1:29" x14ac:dyDescent="0.3">
      <c r="A24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2_Jatropha_Farming_Nitrogen_fertilizerNitrogen fertilizer</v>
      </c>
      <c r="B2459" s="381" t="s">
        <v>126</v>
      </c>
      <c r="C2459" s="381" t="s">
        <v>30</v>
      </c>
      <c r="D2459" s="383" t="s">
        <v>194</v>
      </c>
      <c r="E2459" s="384" t="s">
        <v>1349</v>
      </c>
      <c r="F2459" s="375" t="s">
        <v>1367</v>
      </c>
      <c r="G2459" s="14" t="b">
        <f>OR(LCI_Table[[#This Row],[Feedstock]]="All",LCI_Table[[#This Row],[Feedstock]]=SelectedFeedstock)</f>
        <v>0</v>
      </c>
      <c r="H2459" s="14" t="b">
        <f>OR(LCI_Table[[#This Row],[Conversion]]="All",LCI_Table[[#This Row],[Conversion]]=SelectedConversion)</f>
        <v>1</v>
      </c>
      <c r="I2459" s="14" t="b">
        <f>OR(LCI_Table[[#This Row],[Data Set]]="all",LCI_Table[[#This Row],[Data Set]]=SelectedDataSet)</f>
        <v>0</v>
      </c>
      <c r="J2459" s="14" t="b">
        <f>OR(LCI_Table[[#This Row],[Technology]]="All",LCI_Table[[#This Row],[Technology]]=SelectedTechnology)</f>
        <v>0</v>
      </c>
      <c r="K2459" s="14" t="b">
        <f>OR(LCI_Table[[#This Row],[Data Source]]="All",LCI_Table[[#This Row],[Data Source]]=SelectedDataSource)</f>
        <v>0</v>
      </c>
      <c r="L2459" s="14" t="b">
        <f>TRUE</f>
        <v>1</v>
      </c>
      <c r="M2459" s="14" t="b">
        <f>(LCI_Table[[#This Row],[Dev Notes]]="Do not display")</f>
        <v>0</v>
      </c>
      <c r="N2459" s="14" t="b">
        <f>AND(LCI_Table[[#This Row],[Show Feedstock]:[Conditional]],NOT(LCI_Table[[#This Row],[Hide Row]]))</f>
        <v>0</v>
      </c>
      <c r="O2459" s="14" t="b">
        <f>LCI_Table[[#This Row],[GREET1 Name Range]]=""</f>
        <v>0</v>
      </c>
      <c r="P2459" s="14" t="s">
        <v>14</v>
      </c>
      <c r="Q2459" s="14" t="s">
        <v>695</v>
      </c>
      <c r="R2459" s="14" t="s">
        <v>111</v>
      </c>
      <c r="S2459" s="37" cm="1">
        <f t="array" aca="1" ref="S24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57.111193015541474</v>
      </c>
      <c r="T2459" s="346" t="s">
        <v>2119</v>
      </c>
      <c r="U2459" s="347">
        <f ca="1">S2459/g2lb/S2458*kg2ton</f>
        <v>36.578884516158197</v>
      </c>
      <c r="V2459" s="347">
        <v>57.111193015541474</v>
      </c>
      <c r="W2459" s="347">
        <v>36.578884516158197</v>
      </c>
      <c r="X2459" s="14" t="s">
        <v>12</v>
      </c>
      <c r="Y2459" s="346" t="s">
        <v>416</v>
      </c>
      <c r="Z2459" s="14" t="str">
        <f>IF(ISBLANK(LCI_Table[[#This Row],[Notes for user]])," ",LCI_Table[[#This Row],[Notes for user]])</f>
        <v xml:space="preserve"> </v>
      </c>
      <c r="AA2459" s="14"/>
      <c r="AB2459" s="14"/>
      <c r="AC2459" s="346">
        <f ca="1">LCI_Table[[#This Row],[Default Calculated Value]]-LCI_Table[[#This Row],[Calculated Value]]</f>
        <v>0</v>
      </c>
    </row>
    <row r="2460" spans="1:29" x14ac:dyDescent="0.3">
      <c r="A24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2_Jatropha_Farming_P2O5P2O5</v>
      </c>
      <c r="B2460" s="381" t="s">
        <v>126</v>
      </c>
      <c r="C2460" s="381" t="s">
        <v>30</v>
      </c>
      <c r="D2460" s="383" t="s">
        <v>194</v>
      </c>
      <c r="E2460" s="384" t="s">
        <v>1349</v>
      </c>
      <c r="F2460" s="375" t="s">
        <v>1367</v>
      </c>
      <c r="G2460" s="14" t="b">
        <f>OR(LCI_Table[[#This Row],[Feedstock]]="All",LCI_Table[[#This Row],[Feedstock]]=SelectedFeedstock)</f>
        <v>0</v>
      </c>
      <c r="H2460" s="14" t="b">
        <f>OR(LCI_Table[[#This Row],[Conversion]]="All",LCI_Table[[#This Row],[Conversion]]=SelectedConversion)</f>
        <v>1</v>
      </c>
      <c r="I2460" s="14" t="b">
        <f>OR(LCI_Table[[#This Row],[Data Set]]="all",LCI_Table[[#This Row],[Data Set]]=SelectedDataSet)</f>
        <v>0</v>
      </c>
      <c r="J2460" s="14" t="b">
        <f>OR(LCI_Table[[#This Row],[Technology]]="All",LCI_Table[[#This Row],[Technology]]=SelectedTechnology)</f>
        <v>0</v>
      </c>
      <c r="K2460" s="14" t="b">
        <f>OR(LCI_Table[[#This Row],[Data Source]]="All",LCI_Table[[#This Row],[Data Source]]=SelectedDataSource)</f>
        <v>0</v>
      </c>
      <c r="L2460" s="14" t="b">
        <f>TRUE</f>
        <v>1</v>
      </c>
      <c r="M2460" s="14" t="b">
        <f>(LCI_Table[[#This Row],[Dev Notes]]="Do not display")</f>
        <v>0</v>
      </c>
      <c r="N2460" s="14" t="b">
        <f>AND(LCI_Table[[#This Row],[Show Feedstock]:[Conditional]],NOT(LCI_Table[[#This Row],[Hide Row]]))</f>
        <v>0</v>
      </c>
      <c r="O2460" s="14" t="b">
        <f>LCI_Table[[#This Row],[GREET1 Name Range]]=""</f>
        <v>0</v>
      </c>
      <c r="P2460" s="14" t="s">
        <v>14</v>
      </c>
      <c r="Q2460" s="14" t="s">
        <v>696</v>
      </c>
      <c r="R2460" s="14" t="s">
        <v>112</v>
      </c>
      <c r="S2460" s="37" cm="1">
        <f t="array" aca="1" ref="S24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21.836632623589317</v>
      </c>
      <c r="T2460" s="346" t="s">
        <v>2119</v>
      </c>
      <c r="U2460" s="347">
        <f ca="1">S2460/g2lb/S2458*kg2ton</f>
        <v>13.986044079707501</v>
      </c>
      <c r="V2460" s="347">
        <v>21.836632623589317</v>
      </c>
      <c r="W2460" s="347">
        <v>13.986044079707501</v>
      </c>
      <c r="X2460" s="14" t="s">
        <v>12</v>
      </c>
      <c r="Y2460" s="346" t="s">
        <v>416</v>
      </c>
      <c r="Z2460" s="14" t="str">
        <f>IF(ISBLANK(LCI_Table[[#This Row],[Notes for user]])," ",LCI_Table[[#This Row],[Notes for user]])</f>
        <v xml:space="preserve"> </v>
      </c>
      <c r="AA2460" s="14"/>
      <c r="AB2460" s="14"/>
      <c r="AC2460" s="346">
        <f ca="1">LCI_Table[[#This Row],[Default Calculated Value]]-LCI_Table[[#This Row],[Calculated Value]]</f>
        <v>0</v>
      </c>
    </row>
    <row r="2461" spans="1:29" x14ac:dyDescent="0.3">
      <c r="A24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2_Jatropha_Farming_K2OK2O</v>
      </c>
      <c r="B2461" s="381" t="s">
        <v>126</v>
      </c>
      <c r="C2461" s="381" t="s">
        <v>30</v>
      </c>
      <c r="D2461" s="383" t="s">
        <v>194</v>
      </c>
      <c r="E2461" s="384" t="s">
        <v>1349</v>
      </c>
      <c r="F2461" s="375" t="s">
        <v>1367</v>
      </c>
      <c r="G2461" s="14" t="b">
        <f>OR(LCI_Table[[#This Row],[Feedstock]]="All",LCI_Table[[#This Row],[Feedstock]]=SelectedFeedstock)</f>
        <v>0</v>
      </c>
      <c r="H2461" s="14" t="b">
        <f>OR(LCI_Table[[#This Row],[Conversion]]="All",LCI_Table[[#This Row],[Conversion]]=SelectedConversion)</f>
        <v>1</v>
      </c>
      <c r="I2461" s="14" t="b">
        <f>OR(LCI_Table[[#This Row],[Data Set]]="all",LCI_Table[[#This Row],[Data Set]]=SelectedDataSet)</f>
        <v>0</v>
      </c>
      <c r="J2461" s="14" t="b">
        <f>OR(LCI_Table[[#This Row],[Technology]]="All",LCI_Table[[#This Row],[Technology]]=SelectedTechnology)</f>
        <v>0</v>
      </c>
      <c r="K2461" s="14" t="b">
        <f>OR(LCI_Table[[#This Row],[Data Source]]="All",LCI_Table[[#This Row],[Data Source]]=SelectedDataSource)</f>
        <v>0</v>
      </c>
      <c r="L2461" s="14" t="b">
        <f>TRUE</f>
        <v>1</v>
      </c>
      <c r="M2461" s="14" t="b">
        <f>(LCI_Table[[#This Row],[Dev Notes]]="Do not display")</f>
        <v>0</v>
      </c>
      <c r="N2461" s="14" t="b">
        <f>AND(LCI_Table[[#This Row],[Show Feedstock]:[Conditional]],NOT(LCI_Table[[#This Row],[Hide Row]]))</f>
        <v>0</v>
      </c>
      <c r="O2461" s="14" t="b">
        <f>LCI_Table[[#This Row],[GREET1 Name Range]]=""</f>
        <v>0</v>
      </c>
      <c r="P2461" s="14" t="s">
        <v>14</v>
      </c>
      <c r="Q2461" s="14" t="s">
        <v>692</v>
      </c>
      <c r="R2461" s="14" t="s">
        <v>113</v>
      </c>
      <c r="S2461" s="37" cm="1">
        <f t="array" aca="1" ref="S24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62.822312317095594</v>
      </c>
      <c r="T2461" s="346" t="s">
        <v>2119</v>
      </c>
      <c r="U2461" s="347">
        <f ca="1">S2461/g2lb/S2458*kg2ton</f>
        <v>40.236772967773994</v>
      </c>
      <c r="V2461" s="347">
        <v>62.822312317095594</v>
      </c>
      <c r="W2461" s="347">
        <v>40.236772967773994</v>
      </c>
      <c r="X2461" s="14" t="s">
        <v>12</v>
      </c>
      <c r="Y2461" s="346" t="s">
        <v>416</v>
      </c>
      <c r="Z2461" s="14" t="str">
        <f>IF(ISBLANK(LCI_Table[[#This Row],[Notes for user]])," ",LCI_Table[[#This Row],[Notes for user]])</f>
        <v xml:space="preserve"> </v>
      </c>
      <c r="AA2461" s="14"/>
      <c r="AB2461" s="14"/>
      <c r="AC2461" s="346">
        <f ca="1">LCI_Table[[#This Row],[Default Calculated Value]]-LCI_Table[[#This Row],[Calculated Value]]</f>
        <v>0</v>
      </c>
    </row>
    <row r="2462" spans="1:29" x14ac:dyDescent="0.3">
      <c r="A24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2_Jatropha_Farming_CaCO3CaCO3</v>
      </c>
      <c r="B2462" s="381" t="s">
        <v>126</v>
      </c>
      <c r="C2462" s="381" t="s">
        <v>30</v>
      </c>
      <c r="D2462" s="383" t="s">
        <v>194</v>
      </c>
      <c r="E2462" s="384" t="s">
        <v>1349</v>
      </c>
      <c r="F2462" s="375" t="s">
        <v>1367</v>
      </c>
      <c r="G2462" s="14" t="b">
        <f>OR(LCI_Table[[#This Row],[Feedstock]]="All",LCI_Table[[#This Row],[Feedstock]]=SelectedFeedstock)</f>
        <v>0</v>
      </c>
      <c r="H2462" s="14" t="b">
        <f>OR(LCI_Table[[#This Row],[Conversion]]="All",LCI_Table[[#This Row],[Conversion]]=SelectedConversion)</f>
        <v>1</v>
      </c>
      <c r="I2462" s="14" t="b">
        <f>OR(LCI_Table[[#This Row],[Data Set]]="all",LCI_Table[[#This Row],[Data Set]]=SelectedDataSet)</f>
        <v>0</v>
      </c>
      <c r="J2462" s="14" t="b">
        <f>OR(LCI_Table[[#This Row],[Technology]]="All",LCI_Table[[#This Row],[Technology]]=SelectedTechnology)</f>
        <v>0</v>
      </c>
      <c r="K2462" s="14" t="b">
        <f>OR(LCI_Table[[#This Row],[Data Source]]="All",LCI_Table[[#This Row],[Data Source]]=SelectedDataSource)</f>
        <v>0</v>
      </c>
      <c r="L2462" s="14" t="b">
        <f>TRUE</f>
        <v>1</v>
      </c>
      <c r="M2462" s="14" t="b">
        <f>(LCI_Table[[#This Row],[Dev Notes]]="Do not display")</f>
        <v>0</v>
      </c>
      <c r="N2462" s="14" t="b">
        <f>AND(LCI_Table[[#This Row],[Show Feedstock]:[Conditional]],NOT(LCI_Table[[#This Row],[Hide Row]]))</f>
        <v>0</v>
      </c>
      <c r="O2462" s="14" t="b">
        <f>LCI_Table[[#This Row],[GREET1 Name Range]]=""</f>
        <v>0</v>
      </c>
      <c r="P2462" s="14" t="s">
        <v>14</v>
      </c>
      <c r="Q2462" s="14" t="s">
        <v>685</v>
      </c>
      <c r="R2462" s="14" t="s">
        <v>141</v>
      </c>
      <c r="S2462" s="37" cm="1">
        <f t="array" aca="1" ref="S24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62" s="346" t="s">
        <v>2119</v>
      </c>
      <c r="U2462" s="347">
        <f ca="1">S2462/g2lb/S2458*kg2ton</f>
        <v>0</v>
      </c>
      <c r="V2462" s="347">
        <v>0</v>
      </c>
      <c r="W2462" s="347">
        <v>0</v>
      </c>
      <c r="X2462" s="14" t="s">
        <v>12</v>
      </c>
      <c r="Y2462" s="346" t="s">
        <v>416</v>
      </c>
      <c r="Z2462" s="14" t="str">
        <f>IF(ISBLANK(LCI_Table[[#This Row],[Notes for user]])," ",LCI_Table[[#This Row],[Notes for user]])</f>
        <v xml:space="preserve"> </v>
      </c>
      <c r="AA2462" s="14"/>
      <c r="AB2462" s="14"/>
      <c r="AC2462" s="346">
        <f ca="1">LCI_Table[[#This Row],[Default Calculated Value]]-LCI_Table[[#This Row],[Calculated Value]]</f>
        <v>0</v>
      </c>
    </row>
    <row r="2463" spans="1:29" x14ac:dyDescent="0.3">
      <c r="A24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2_Jatropha_Farming_HerbicidesHerbicides</v>
      </c>
      <c r="B2463" s="381" t="s">
        <v>126</v>
      </c>
      <c r="C2463" s="381" t="s">
        <v>30</v>
      </c>
      <c r="D2463" s="383" t="s">
        <v>194</v>
      </c>
      <c r="E2463" s="384" t="s">
        <v>1349</v>
      </c>
      <c r="F2463" s="375" t="s">
        <v>1367</v>
      </c>
      <c r="G2463" s="14" t="b">
        <f>OR(LCI_Table[[#This Row],[Feedstock]]="All",LCI_Table[[#This Row],[Feedstock]]=SelectedFeedstock)</f>
        <v>0</v>
      </c>
      <c r="H2463" s="14" t="b">
        <f>OR(LCI_Table[[#This Row],[Conversion]]="All",LCI_Table[[#This Row],[Conversion]]=SelectedConversion)</f>
        <v>1</v>
      </c>
      <c r="I2463" s="14" t="b">
        <f>OR(LCI_Table[[#This Row],[Data Set]]="all",LCI_Table[[#This Row],[Data Set]]=SelectedDataSet)</f>
        <v>0</v>
      </c>
      <c r="J2463" s="14" t="b">
        <f>OR(LCI_Table[[#This Row],[Technology]]="All",LCI_Table[[#This Row],[Technology]]=SelectedTechnology)</f>
        <v>0</v>
      </c>
      <c r="K2463" s="14" t="b">
        <f>OR(LCI_Table[[#This Row],[Data Source]]="All",LCI_Table[[#This Row],[Data Source]]=SelectedDataSource)</f>
        <v>0</v>
      </c>
      <c r="L2463" s="14" t="b">
        <f>TRUE</f>
        <v>1</v>
      </c>
      <c r="M2463" s="14" t="b">
        <f>(LCI_Table[[#This Row],[Dev Notes]]="Do not display")</f>
        <v>0</v>
      </c>
      <c r="N2463" s="14" t="b">
        <f>AND(LCI_Table[[#This Row],[Show Feedstock]:[Conditional]],NOT(LCI_Table[[#This Row],[Hide Row]]))</f>
        <v>0</v>
      </c>
      <c r="O2463" s="14" t="b">
        <f>LCI_Table[[#This Row],[GREET1 Name Range]]=""</f>
        <v>0</v>
      </c>
      <c r="P2463" s="14" t="s">
        <v>14</v>
      </c>
      <c r="Q2463" s="14" t="s">
        <v>690</v>
      </c>
      <c r="R2463" s="14" t="s">
        <v>356</v>
      </c>
      <c r="S2463" s="37" cm="1">
        <f t="array" aca="1" ref="S24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63" s="346" t="s">
        <v>2119</v>
      </c>
      <c r="U2463" s="347">
        <f ca="1">S2463/g2lb/S2458*kg2ton</f>
        <v>0</v>
      </c>
      <c r="V2463" s="347">
        <v>0</v>
      </c>
      <c r="W2463" s="347">
        <v>0</v>
      </c>
      <c r="X2463" s="14" t="s">
        <v>12</v>
      </c>
      <c r="Y2463" s="346" t="s">
        <v>416</v>
      </c>
      <c r="Z2463" s="14" t="str">
        <f>IF(ISBLANK(LCI_Table[[#This Row],[Notes for user]])," ",LCI_Table[[#This Row],[Notes for user]])</f>
        <v xml:space="preserve"> </v>
      </c>
      <c r="AA2463" s="14"/>
      <c r="AB2463" s="14"/>
      <c r="AC2463" s="346">
        <f ca="1">LCI_Table[[#This Row],[Default Calculated Value]]-LCI_Table[[#This Row],[Calculated Value]]</f>
        <v>0</v>
      </c>
    </row>
    <row r="2464" spans="1:29" x14ac:dyDescent="0.3">
      <c r="A24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2_Jatropha_Farming_InsecticideInsecticide</v>
      </c>
      <c r="B2464" s="381" t="s">
        <v>126</v>
      </c>
      <c r="C2464" s="381" t="s">
        <v>30</v>
      </c>
      <c r="D2464" s="383" t="s">
        <v>194</v>
      </c>
      <c r="E2464" s="384" t="s">
        <v>1349</v>
      </c>
      <c r="F2464" s="375" t="s">
        <v>1367</v>
      </c>
      <c r="G2464" s="14" t="b">
        <f>OR(LCI_Table[[#This Row],[Feedstock]]="All",LCI_Table[[#This Row],[Feedstock]]=SelectedFeedstock)</f>
        <v>0</v>
      </c>
      <c r="H2464" s="14" t="b">
        <f>OR(LCI_Table[[#This Row],[Conversion]]="All",LCI_Table[[#This Row],[Conversion]]=SelectedConversion)</f>
        <v>1</v>
      </c>
      <c r="I2464" s="14" t="b">
        <f>OR(LCI_Table[[#This Row],[Data Set]]="all",LCI_Table[[#This Row],[Data Set]]=SelectedDataSet)</f>
        <v>0</v>
      </c>
      <c r="J2464" s="14" t="b">
        <f>OR(LCI_Table[[#This Row],[Technology]]="All",LCI_Table[[#This Row],[Technology]]=SelectedTechnology)</f>
        <v>0</v>
      </c>
      <c r="K2464" s="14" t="b">
        <f>OR(LCI_Table[[#This Row],[Data Source]]="All",LCI_Table[[#This Row],[Data Source]]=SelectedDataSource)</f>
        <v>0</v>
      </c>
      <c r="L2464" s="14" t="b">
        <f>TRUE</f>
        <v>1</v>
      </c>
      <c r="M2464" s="14" t="b">
        <f>(LCI_Table[[#This Row],[Dev Notes]]="Do not display")</f>
        <v>0</v>
      </c>
      <c r="N2464" s="14" t="b">
        <f>AND(LCI_Table[[#This Row],[Show Feedstock]:[Conditional]],NOT(LCI_Table[[#This Row],[Hide Row]]))</f>
        <v>0</v>
      </c>
      <c r="O2464" s="14" t="b">
        <f>LCI_Table[[#This Row],[GREET1 Name Range]]=""</f>
        <v>0</v>
      </c>
      <c r="P2464" s="14" t="s">
        <v>14</v>
      </c>
      <c r="Q2464" s="14" t="s">
        <v>691</v>
      </c>
      <c r="R2464" s="14" t="s">
        <v>114</v>
      </c>
      <c r="S2464" s="37" cm="1">
        <f t="array" aca="1" ref="S24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64" s="346" t="s">
        <v>2119</v>
      </c>
      <c r="U2464" s="347">
        <f ca="1">S2464/g2lb/S2458*kg2ton</f>
        <v>0</v>
      </c>
      <c r="V2464" s="347">
        <v>0</v>
      </c>
      <c r="W2464" s="347">
        <v>0</v>
      </c>
      <c r="X2464" s="14" t="s">
        <v>12</v>
      </c>
      <c r="Y2464" s="346" t="s">
        <v>416</v>
      </c>
      <c r="Z2464" s="14" t="str">
        <f>IF(ISBLANK(LCI_Table[[#This Row],[Notes for user]])," ",LCI_Table[[#This Row],[Notes for user]])</f>
        <v xml:space="preserve"> </v>
      </c>
      <c r="AA2464" s="14"/>
      <c r="AB2464" s="14"/>
      <c r="AC2464" s="346">
        <f ca="1">LCI_Table[[#This Row],[Default Calculated Value]]-LCI_Table[[#This Row],[Calculated Value]]</f>
        <v>0</v>
      </c>
    </row>
    <row r="2465" spans="1:29" x14ac:dyDescent="0.3">
      <c r="A24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2_Jatropha_Farming_Residual_oilResidual oil</v>
      </c>
      <c r="B2465" s="381" t="s">
        <v>126</v>
      </c>
      <c r="C2465" s="381" t="s">
        <v>30</v>
      </c>
      <c r="D2465" s="383" t="s">
        <v>194</v>
      </c>
      <c r="E2465" s="384" t="s">
        <v>1349</v>
      </c>
      <c r="F2465" s="375" t="s">
        <v>1367</v>
      </c>
      <c r="G2465" s="14" t="b">
        <f>OR(LCI_Table[[#This Row],[Feedstock]]="All",LCI_Table[[#This Row],[Feedstock]]=SelectedFeedstock)</f>
        <v>0</v>
      </c>
      <c r="H2465" s="14" t="b">
        <f>OR(LCI_Table[[#This Row],[Conversion]]="All",LCI_Table[[#This Row],[Conversion]]=SelectedConversion)</f>
        <v>1</v>
      </c>
      <c r="I2465" s="14" t="b">
        <f>OR(LCI_Table[[#This Row],[Data Set]]="all",LCI_Table[[#This Row],[Data Set]]=SelectedDataSet)</f>
        <v>0</v>
      </c>
      <c r="J2465" s="14" t="b">
        <f>OR(LCI_Table[[#This Row],[Technology]]="All",LCI_Table[[#This Row],[Technology]]=SelectedTechnology)</f>
        <v>0</v>
      </c>
      <c r="K2465" s="14" t="b">
        <f>OR(LCI_Table[[#This Row],[Data Source]]="All",LCI_Table[[#This Row],[Data Source]]=SelectedDataSource)</f>
        <v>0</v>
      </c>
      <c r="L2465" s="14" t="b">
        <f>TRUE</f>
        <v>1</v>
      </c>
      <c r="M2465" s="14" t="b">
        <f>(LCI_Table[[#This Row],[Dev Notes]]="Do not display")</f>
        <v>0</v>
      </c>
      <c r="N2465" s="14" t="b">
        <f>AND(LCI_Table[[#This Row],[Show Feedstock]:[Conditional]],NOT(LCI_Table[[#This Row],[Hide Row]]))</f>
        <v>0</v>
      </c>
      <c r="O2465" s="14" t="b">
        <f>LCI_Table[[#This Row],[GREET1 Name Range]]=""</f>
        <v>0</v>
      </c>
      <c r="P2465" s="14" t="s">
        <v>14</v>
      </c>
      <c r="Q2465" s="14" t="s">
        <v>697</v>
      </c>
      <c r="R2465" s="14" t="s">
        <v>115</v>
      </c>
      <c r="S2465" s="37" cm="1">
        <f t="array" aca="1" ref="S24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65" s="346" t="s">
        <v>2128</v>
      </c>
      <c r="U2465" s="347">
        <f ca="1">S2465*Fuel_Specs!$B$28/S2458*kg2ton</f>
        <v>0</v>
      </c>
      <c r="V2465" s="347">
        <v>0</v>
      </c>
      <c r="W2465" s="347">
        <v>0</v>
      </c>
      <c r="X2465" s="14" t="s">
        <v>5</v>
      </c>
      <c r="Y2465" s="346" t="s">
        <v>416</v>
      </c>
      <c r="Z2465" s="14" t="str">
        <f>IF(ISBLANK(LCI_Table[[#This Row],[Notes for user]])," ",LCI_Table[[#This Row],[Notes for user]])</f>
        <v xml:space="preserve"> </v>
      </c>
      <c r="AA2465" s="14"/>
      <c r="AB2465" s="14"/>
      <c r="AC2465" s="346">
        <f ca="1">LCI_Table[[#This Row],[Default Calculated Value]]-LCI_Table[[#This Row],[Calculated Value]]</f>
        <v>0</v>
      </c>
    </row>
    <row r="2466" spans="1:29" x14ac:dyDescent="0.3">
      <c r="A24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2_Jatropha_Farming_DieselDiesel</v>
      </c>
      <c r="B2466" s="381" t="s">
        <v>126</v>
      </c>
      <c r="C2466" s="381" t="s">
        <v>30</v>
      </c>
      <c r="D2466" s="383" t="s">
        <v>194</v>
      </c>
      <c r="E2466" s="384" t="s">
        <v>1349</v>
      </c>
      <c r="F2466" s="375" t="s">
        <v>1367</v>
      </c>
      <c r="G2466" s="14" t="b">
        <f>OR(LCI_Table[[#This Row],[Feedstock]]="All",LCI_Table[[#This Row],[Feedstock]]=SelectedFeedstock)</f>
        <v>0</v>
      </c>
      <c r="H2466" s="14" t="b">
        <f>OR(LCI_Table[[#This Row],[Conversion]]="All",LCI_Table[[#This Row],[Conversion]]=SelectedConversion)</f>
        <v>1</v>
      </c>
      <c r="I2466" s="14" t="b">
        <f>OR(LCI_Table[[#This Row],[Data Set]]="all",LCI_Table[[#This Row],[Data Set]]=SelectedDataSet)</f>
        <v>0</v>
      </c>
      <c r="J2466" s="14" t="b">
        <f>OR(LCI_Table[[#This Row],[Technology]]="All",LCI_Table[[#This Row],[Technology]]=SelectedTechnology)</f>
        <v>0</v>
      </c>
      <c r="K2466" s="14" t="b">
        <f>OR(LCI_Table[[#This Row],[Data Source]]="All",LCI_Table[[#This Row],[Data Source]]=SelectedDataSource)</f>
        <v>0</v>
      </c>
      <c r="L2466" s="14" t="b">
        <f>TRUE</f>
        <v>1</v>
      </c>
      <c r="M2466" s="14" t="b">
        <f>(LCI_Table[[#This Row],[Dev Notes]]="Do not display")</f>
        <v>0</v>
      </c>
      <c r="N2466" s="14" t="b">
        <f>AND(LCI_Table[[#This Row],[Show Feedstock]:[Conditional]],NOT(LCI_Table[[#This Row],[Hide Row]]))</f>
        <v>0</v>
      </c>
      <c r="O2466" s="14" t="b">
        <f>LCI_Table[[#This Row],[GREET1 Name Range]]=""</f>
        <v>0</v>
      </c>
      <c r="P2466" s="14" t="s">
        <v>14</v>
      </c>
      <c r="Q2466" s="14" t="s">
        <v>687</v>
      </c>
      <c r="R2466" s="14" t="s">
        <v>106</v>
      </c>
      <c r="S2466" s="37" cm="1">
        <f t="array" aca="1" ref="S24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7.829749694170272</v>
      </c>
      <c r="T2466" s="346" t="s">
        <v>2128</v>
      </c>
      <c r="U2466" s="347">
        <f ca="1">S2466*Fuel_Specs!$B$19/S2458*kg2ton</f>
        <v>1420.1213988626116</v>
      </c>
      <c r="V2466" s="347">
        <v>7.829749694170272</v>
      </c>
      <c r="W2466" s="347">
        <v>1420.1213988626116</v>
      </c>
      <c r="X2466" s="14" t="s">
        <v>5</v>
      </c>
      <c r="Y2466" s="346" t="s">
        <v>416</v>
      </c>
      <c r="Z2466" s="14" t="str">
        <f>IF(ISBLANK(LCI_Table[[#This Row],[Notes for user]])," ",LCI_Table[[#This Row],[Notes for user]])</f>
        <v xml:space="preserve"> </v>
      </c>
      <c r="AA2466" s="14"/>
      <c r="AB2466" s="14"/>
      <c r="AC2466" s="346">
        <f ca="1">LCI_Table[[#This Row],[Default Calculated Value]]-LCI_Table[[#This Row],[Calculated Value]]</f>
        <v>0</v>
      </c>
    </row>
    <row r="2467" spans="1:29" x14ac:dyDescent="0.3">
      <c r="A24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2_Jatropha_Farming_GasolineGasoline</v>
      </c>
      <c r="B2467" s="381" t="s">
        <v>126</v>
      </c>
      <c r="C2467" s="381" t="s">
        <v>30</v>
      </c>
      <c r="D2467" s="383" t="s">
        <v>194</v>
      </c>
      <c r="E2467" s="384" t="s">
        <v>1349</v>
      </c>
      <c r="F2467" s="375" t="s">
        <v>1367</v>
      </c>
      <c r="G2467" s="14" t="b">
        <f>OR(LCI_Table[[#This Row],[Feedstock]]="All",LCI_Table[[#This Row],[Feedstock]]=SelectedFeedstock)</f>
        <v>0</v>
      </c>
      <c r="H2467" s="14" t="b">
        <f>OR(LCI_Table[[#This Row],[Conversion]]="All",LCI_Table[[#This Row],[Conversion]]=SelectedConversion)</f>
        <v>1</v>
      </c>
      <c r="I2467" s="14" t="b">
        <f>OR(LCI_Table[[#This Row],[Data Set]]="all",LCI_Table[[#This Row],[Data Set]]=SelectedDataSet)</f>
        <v>0</v>
      </c>
      <c r="J2467" s="14" t="b">
        <f>OR(LCI_Table[[#This Row],[Technology]]="All",LCI_Table[[#This Row],[Technology]]=SelectedTechnology)</f>
        <v>0</v>
      </c>
      <c r="K2467" s="14" t="b">
        <f>OR(LCI_Table[[#This Row],[Data Source]]="All",LCI_Table[[#This Row],[Data Source]]=SelectedDataSource)</f>
        <v>0</v>
      </c>
      <c r="L2467" s="14" t="b">
        <f>TRUE</f>
        <v>1</v>
      </c>
      <c r="M2467" s="14" t="b">
        <f>(LCI_Table[[#This Row],[Dev Notes]]="Do not display")</f>
        <v>0</v>
      </c>
      <c r="N2467" s="14" t="b">
        <f>AND(LCI_Table[[#This Row],[Show Feedstock]:[Conditional]],NOT(LCI_Table[[#This Row],[Hide Row]]))</f>
        <v>0</v>
      </c>
      <c r="O2467" s="14" t="b">
        <f>LCI_Table[[#This Row],[GREET1 Name Range]]=""</f>
        <v>0</v>
      </c>
      <c r="P2467" s="14" t="s">
        <v>14</v>
      </c>
      <c r="Q2467" s="14" t="s">
        <v>689</v>
      </c>
      <c r="R2467" s="14" t="s">
        <v>107</v>
      </c>
      <c r="S2467" s="37" cm="1">
        <f t="array" aca="1" ref="S24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67" s="346" t="s">
        <v>2128</v>
      </c>
      <c r="U2467" s="347">
        <f ca="1">S2467*Fuel_Specs!$B$15/S2458*kg2ton</f>
        <v>0</v>
      </c>
      <c r="V2467" s="347">
        <v>0</v>
      </c>
      <c r="W2467" s="347">
        <v>0</v>
      </c>
      <c r="X2467" s="14" t="s">
        <v>5</v>
      </c>
      <c r="Y2467" s="346" t="s">
        <v>416</v>
      </c>
      <c r="Z2467" s="14" t="str">
        <f>IF(ISBLANK(LCI_Table[[#This Row],[Notes for user]])," ",LCI_Table[[#This Row],[Notes for user]])</f>
        <v xml:space="preserve"> </v>
      </c>
      <c r="AA2467" s="14"/>
      <c r="AB2467" s="14"/>
      <c r="AC2467" s="346">
        <f ca="1">LCI_Table[[#This Row],[Default Calculated Value]]-LCI_Table[[#This Row],[Calculated Value]]</f>
        <v>0</v>
      </c>
    </row>
    <row r="2468" spans="1:29" x14ac:dyDescent="0.3">
      <c r="A24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2_Jatropha_Farming_Natural_gasNatural gas</v>
      </c>
      <c r="B2468" s="381" t="s">
        <v>126</v>
      </c>
      <c r="C2468" s="381" t="s">
        <v>30</v>
      </c>
      <c r="D2468" s="383" t="s">
        <v>194</v>
      </c>
      <c r="E2468" s="384" t="s">
        <v>1349</v>
      </c>
      <c r="F2468" s="375" t="s">
        <v>1367</v>
      </c>
      <c r="G2468" s="14" t="b">
        <f>OR(LCI_Table[[#This Row],[Feedstock]]="All",LCI_Table[[#This Row],[Feedstock]]=SelectedFeedstock)</f>
        <v>0</v>
      </c>
      <c r="H2468" s="14" t="b">
        <f>OR(LCI_Table[[#This Row],[Conversion]]="All",LCI_Table[[#This Row],[Conversion]]=SelectedConversion)</f>
        <v>1</v>
      </c>
      <c r="I2468" s="14" t="b">
        <f>OR(LCI_Table[[#This Row],[Data Set]]="all",LCI_Table[[#This Row],[Data Set]]=SelectedDataSet)</f>
        <v>0</v>
      </c>
      <c r="J2468" s="14" t="b">
        <f>OR(LCI_Table[[#This Row],[Technology]]="All",LCI_Table[[#This Row],[Technology]]=SelectedTechnology)</f>
        <v>0</v>
      </c>
      <c r="K2468" s="14" t="b">
        <f>OR(LCI_Table[[#This Row],[Data Source]]="All",LCI_Table[[#This Row],[Data Source]]=SelectedDataSource)</f>
        <v>0</v>
      </c>
      <c r="L2468" s="14" t="b">
        <f>TRUE</f>
        <v>1</v>
      </c>
      <c r="M2468" s="14" t="b">
        <f>(LCI_Table[[#This Row],[Dev Notes]]="Do not display")</f>
        <v>0</v>
      </c>
      <c r="N2468" s="14" t="b">
        <f>AND(LCI_Table[[#This Row],[Show Feedstock]:[Conditional]],NOT(LCI_Table[[#This Row],[Hide Row]]))</f>
        <v>0</v>
      </c>
      <c r="O2468" s="14" t="b">
        <f>LCI_Table[[#This Row],[GREET1 Name Range]]=""</f>
        <v>0</v>
      </c>
      <c r="P2468" s="14" t="s">
        <v>14</v>
      </c>
      <c r="Q2468" s="14" t="s">
        <v>694</v>
      </c>
      <c r="R2468" s="14" t="s">
        <v>108</v>
      </c>
      <c r="S2468" s="37" cm="1">
        <f t="array" aca="1" ref="S24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68" s="346" t="s">
        <v>2120</v>
      </c>
      <c r="U2468" s="347">
        <f ca="1">S2468*Fuel_Specs!$B$79/S2458*kg2ton</f>
        <v>0</v>
      </c>
      <c r="V2468" s="347">
        <v>0</v>
      </c>
      <c r="W2468" s="347">
        <v>0</v>
      </c>
      <c r="X2468" s="14" t="s">
        <v>351</v>
      </c>
      <c r="Y2468" s="346" t="s">
        <v>416</v>
      </c>
      <c r="Z2468" s="14" t="str">
        <f>IF(ISBLANK(LCI_Table[[#This Row],[Notes for user]])," ",LCI_Table[[#This Row],[Notes for user]])</f>
        <v xml:space="preserve"> </v>
      </c>
      <c r="AA2468" s="14"/>
      <c r="AB2468" s="14"/>
      <c r="AC2468" s="346">
        <f ca="1">LCI_Table[[#This Row],[Default Calculated Value]]-LCI_Table[[#This Row],[Calculated Value]]</f>
        <v>0</v>
      </c>
    </row>
    <row r="2469" spans="1:29" x14ac:dyDescent="0.3">
      <c r="A24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2_Jatropha_Farming_CoalCoal</v>
      </c>
      <c r="B2469" s="381" t="s">
        <v>126</v>
      </c>
      <c r="C2469" s="381" t="s">
        <v>30</v>
      </c>
      <c r="D2469" s="383" t="s">
        <v>194</v>
      </c>
      <c r="E2469" s="384" t="s">
        <v>1349</v>
      </c>
      <c r="F2469" s="375" t="s">
        <v>1367</v>
      </c>
      <c r="G2469" s="14" t="b">
        <f>OR(LCI_Table[[#This Row],[Feedstock]]="All",LCI_Table[[#This Row],[Feedstock]]=SelectedFeedstock)</f>
        <v>0</v>
      </c>
      <c r="H2469" s="14" t="b">
        <f>OR(LCI_Table[[#This Row],[Conversion]]="All",LCI_Table[[#This Row],[Conversion]]=SelectedConversion)</f>
        <v>1</v>
      </c>
      <c r="I2469" s="14" t="b">
        <f>OR(LCI_Table[[#This Row],[Data Set]]="all",LCI_Table[[#This Row],[Data Set]]=SelectedDataSet)</f>
        <v>0</v>
      </c>
      <c r="J2469" s="14" t="b">
        <f>OR(LCI_Table[[#This Row],[Technology]]="All",LCI_Table[[#This Row],[Technology]]=SelectedTechnology)</f>
        <v>0</v>
      </c>
      <c r="K2469" s="14" t="b">
        <f>OR(LCI_Table[[#This Row],[Data Source]]="All",LCI_Table[[#This Row],[Data Source]]=SelectedDataSource)</f>
        <v>0</v>
      </c>
      <c r="L2469" s="14" t="b">
        <f>TRUE</f>
        <v>1</v>
      </c>
      <c r="M2469" s="14" t="b">
        <f>(LCI_Table[[#This Row],[Dev Notes]]="Do not display")</f>
        <v>0</v>
      </c>
      <c r="N2469" s="14" t="b">
        <f>AND(LCI_Table[[#This Row],[Show Feedstock]:[Conditional]],NOT(LCI_Table[[#This Row],[Hide Row]]))</f>
        <v>0</v>
      </c>
      <c r="O2469" s="14" t="b">
        <f>LCI_Table[[#This Row],[GREET1 Name Range]]=""</f>
        <v>0</v>
      </c>
      <c r="P2469" s="14" t="s">
        <v>14</v>
      </c>
      <c r="Q2469" s="14" t="s">
        <v>686</v>
      </c>
      <c r="R2469" s="14" t="s">
        <v>9</v>
      </c>
      <c r="S2469" s="37" cm="1">
        <f t="array" aca="1" ref="S24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69" s="346" t="s">
        <v>2147</v>
      </c>
      <c r="U2469" s="347">
        <f ca="1">S2469/S2458*kg2ton</f>
        <v>0</v>
      </c>
      <c r="V2469" s="347">
        <v>0</v>
      </c>
      <c r="W2469" s="347">
        <v>0</v>
      </c>
      <c r="X2469" s="14" t="s">
        <v>117</v>
      </c>
      <c r="Y2469" s="346" t="s">
        <v>416</v>
      </c>
      <c r="Z2469" s="14" t="str">
        <f>IF(ISBLANK(LCI_Table[[#This Row],[Notes for user]])," ",LCI_Table[[#This Row],[Notes for user]])</f>
        <v xml:space="preserve"> </v>
      </c>
      <c r="AA2469" s="14"/>
      <c r="AB2469" s="14"/>
      <c r="AC2469" s="346">
        <f ca="1">LCI_Table[[#This Row],[Default Calculated Value]]-LCI_Table[[#This Row],[Calculated Value]]</f>
        <v>0</v>
      </c>
    </row>
    <row r="2470" spans="1:29" x14ac:dyDescent="0.3">
      <c r="A24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2_Jatropha_Farming_LPGLPG</v>
      </c>
      <c r="B2470" s="381" t="s">
        <v>126</v>
      </c>
      <c r="C2470" s="381" t="s">
        <v>30</v>
      </c>
      <c r="D2470" s="383" t="s">
        <v>194</v>
      </c>
      <c r="E2470" s="384" t="s">
        <v>1349</v>
      </c>
      <c r="F2470" s="375" t="s">
        <v>1367</v>
      </c>
      <c r="G2470" s="14" t="b">
        <f>OR(LCI_Table[[#This Row],[Feedstock]]="All",LCI_Table[[#This Row],[Feedstock]]=SelectedFeedstock)</f>
        <v>0</v>
      </c>
      <c r="H2470" s="14" t="b">
        <f>OR(LCI_Table[[#This Row],[Conversion]]="All",LCI_Table[[#This Row],[Conversion]]=SelectedConversion)</f>
        <v>1</v>
      </c>
      <c r="I2470" s="14" t="b">
        <f>OR(LCI_Table[[#This Row],[Data Set]]="all",LCI_Table[[#This Row],[Data Set]]=SelectedDataSet)</f>
        <v>0</v>
      </c>
      <c r="J2470" s="14" t="b">
        <f>OR(LCI_Table[[#This Row],[Technology]]="All",LCI_Table[[#This Row],[Technology]]=SelectedTechnology)</f>
        <v>0</v>
      </c>
      <c r="K2470" s="14" t="b">
        <f>OR(LCI_Table[[#This Row],[Data Source]]="All",LCI_Table[[#This Row],[Data Source]]=SelectedDataSource)</f>
        <v>0</v>
      </c>
      <c r="L2470" s="14" t="b">
        <f>TRUE</f>
        <v>1</v>
      </c>
      <c r="M2470" s="14" t="b">
        <f>(LCI_Table[[#This Row],[Dev Notes]]="Do not display")</f>
        <v>0</v>
      </c>
      <c r="N2470" s="14" t="b">
        <f>AND(LCI_Table[[#This Row],[Show Feedstock]:[Conditional]],NOT(LCI_Table[[#This Row],[Hide Row]]))</f>
        <v>0</v>
      </c>
      <c r="O2470" s="14" t="b">
        <f>LCI_Table[[#This Row],[GREET1 Name Range]]=""</f>
        <v>0</v>
      </c>
      <c r="P2470" s="14" t="s">
        <v>14</v>
      </c>
      <c r="Q2470" s="14" t="s">
        <v>693</v>
      </c>
      <c r="R2470" s="14" t="s">
        <v>109</v>
      </c>
      <c r="S2470" s="37" cm="1">
        <f t="array" aca="1" ref="S24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70" s="346" t="s">
        <v>2128</v>
      </c>
      <c r="U2470" s="347">
        <f ca="1">S2470*Fuel_Specs!$B$35/S2458*kg2ton</f>
        <v>0</v>
      </c>
      <c r="V2470" s="347">
        <v>0</v>
      </c>
      <c r="W2470" s="347">
        <v>0</v>
      </c>
      <c r="X2470" s="14" t="s">
        <v>5</v>
      </c>
      <c r="Y2470" s="346" t="s">
        <v>416</v>
      </c>
      <c r="Z2470" s="14" t="str">
        <f>IF(ISBLANK(LCI_Table[[#This Row],[Notes for user]])," ",LCI_Table[[#This Row],[Notes for user]])</f>
        <v xml:space="preserve"> </v>
      </c>
      <c r="AA2470" s="14"/>
      <c r="AB2470" s="14"/>
      <c r="AC2470" s="346">
        <f ca="1">LCI_Table[[#This Row],[Default Calculated Value]]-LCI_Table[[#This Row],[Calculated Value]]</f>
        <v>0</v>
      </c>
    </row>
    <row r="2471" spans="1:29" x14ac:dyDescent="0.3">
      <c r="A24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2_Jatropha_Farming_ElectricityElectricity</v>
      </c>
      <c r="B2471" s="381" t="s">
        <v>126</v>
      </c>
      <c r="C2471" s="381" t="s">
        <v>30</v>
      </c>
      <c r="D2471" s="383" t="s">
        <v>194</v>
      </c>
      <c r="E2471" s="384" t="s">
        <v>1349</v>
      </c>
      <c r="F2471" s="375" t="s">
        <v>1367</v>
      </c>
      <c r="G2471" s="14" t="b">
        <f>OR(LCI_Table[[#This Row],[Feedstock]]="All",LCI_Table[[#This Row],[Feedstock]]=SelectedFeedstock)</f>
        <v>0</v>
      </c>
      <c r="H2471" s="14" t="b">
        <f>OR(LCI_Table[[#This Row],[Conversion]]="All",LCI_Table[[#This Row],[Conversion]]=SelectedConversion)</f>
        <v>1</v>
      </c>
      <c r="I2471" s="14" t="b">
        <f>OR(LCI_Table[[#This Row],[Data Set]]="all",LCI_Table[[#This Row],[Data Set]]=SelectedDataSet)</f>
        <v>0</v>
      </c>
      <c r="J2471" s="14" t="b">
        <f>OR(LCI_Table[[#This Row],[Technology]]="All",LCI_Table[[#This Row],[Technology]]=SelectedTechnology)</f>
        <v>0</v>
      </c>
      <c r="K2471" s="14" t="b">
        <f>OR(LCI_Table[[#This Row],[Data Source]]="All",LCI_Table[[#This Row],[Data Source]]=SelectedDataSource)</f>
        <v>0</v>
      </c>
      <c r="L2471" s="14" t="b">
        <f>TRUE</f>
        <v>1</v>
      </c>
      <c r="M2471" s="14" t="b">
        <f>(LCI_Table[[#This Row],[Dev Notes]]="Do not display")</f>
        <v>0</v>
      </c>
      <c r="N2471" s="14" t="b">
        <f>AND(LCI_Table[[#This Row],[Show Feedstock]:[Conditional]],NOT(LCI_Table[[#This Row],[Hide Row]]))</f>
        <v>0</v>
      </c>
      <c r="O2471" s="14" t="b">
        <f>LCI_Table[[#This Row],[GREET1 Name Range]]=""</f>
        <v>0</v>
      </c>
      <c r="P2471" s="14" t="s">
        <v>14</v>
      </c>
      <c r="Q2471" s="14" t="s">
        <v>688</v>
      </c>
      <c r="R2471" s="14" t="s">
        <v>110</v>
      </c>
      <c r="S2471" s="37" cm="1">
        <f t="array" aca="1" ref="S24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71" s="346" t="s">
        <v>2121</v>
      </c>
      <c r="U2471" s="347">
        <f ca="1">S2471/BTU2kWh/S2458*kg2ton</f>
        <v>0</v>
      </c>
      <c r="V2471" s="347">
        <v>0</v>
      </c>
      <c r="W2471" s="347">
        <v>0</v>
      </c>
      <c r="X2471" s="14" t="s">
        <v>51</v>
      </c>
      <c r="Y2471" s="346" t="s">
        <v>416</v>
      </c>
      <c r="Z2471" s="14" t="str">
        <f>IF(ISBLANK(LCI_Table[[#This Row],[Notes for user]])," ",LCI_Table[[#This Row],[Notes for user]])</f>
        <v xml:space="preserve"> </v>
      </c>
      <c r="AA2471" s="14"/>
      <c r="AB2471" s="14"/>
      <c r="AC2471" s="346">
        <f ca="1">LCI_Table[[#This Row],[Default Calculated Value]]-LCI_Table[[#This Row],[Calculated Value]]</f>
        <v>0</v>
      </c>
    </row>
    <row r="2472" spans="1:29" x14ac:dyDescent="0.3">
      <c r="A24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dash_JatrophaHEFAICAOUS (GREET)Scenario 2_Jatropha_Extraction</v>
      </c>
      <c r="B2472" s="381" t="s">
        <v>126</v>
      </c>
      <c r="C2472" s="381" t="s">
        <v>30</v>
      </c>
      <c r="D2472" s="383" t="s">
        <v>194</v>
      </c>
      <c r="E2472" s="384" t="s">
        <v>1349</v>
      </c>
      <c r="F2472" s="375" t="s">
        <v>1367</v>
      </c>
      <c r="G2472" s="14" t="b">
        <f>OR(LCI_Table[[#This Row],[Feedstock]]="All",LCI_Table[[#This Row],[Feedstock]]=SelectedFeedstock)</f>
        <v>0</v>
      </c>
      <c r="H2472" s="14" t="b">
        <f>OR(LCI_Table[[#This Row],[Conversion]]="All",LCI_Table[[#This Row],[Conversion]]=SelectedConversion)</f>
        <v>1</v>
      </c>
      <c r="I2472" s="14" t="b">
        <f>OR(LCI_Table[[#This Row],[Data Set]]="all",LCI_Table[[#This Row],[Data Set]]=SelectedDataSet)</f>
        <v>0</v>
      </c>
      <c r="J2472" s="14" t="b">
        <f>OR(LCI_Table[[#This Row],[Technology]]="All",LCI_Table[[#This Row],[Technology]]=SelectedTechnology)</f>
        <v>0</v>
      </c>
      <c r="K2472" s="14" t="b">
        <f>OR(LCI_Table[[#This Row],[Data Source]]="All",LCI_Table[[#This Row],[Data Source]]=SelectedDataSource)</f>
        <v>0</v>
      </c>
      <c r="L2472" s="14" t="b">
        <f>TRUE</f>
        <v>1</v>
      </c>
      <c r="M2472" s="14" t="b">
        <f>(LCI_Table[[#This Row],[Dev Notes]]="Do not display")</f>
        <v>1</v>
      </c>
      <c r="N2472" s="14" t="b">
        <f>AND(LCI_Table[[#This Row],[Show Feedstock]:[Conditional]],NOT(LCI_Table[[#This Row],[Hide Row]]))</f>
        <v>0</v>
      </c>
      <c r="O2472" s="14" t="b">
        <f>LCI_Table[[#This Row],[GREET1 Name Range]]=""</f>
        <v>1</v>
      </c>
      <c r="P2472" s="14" t="s">
        <v>15</v>
      </c>
      <c r="Q2472" s="14" t="s">
        <v>361</v>
      </c>
      <c r="R2472" s="14" t="s">
        <v>126</v>
      </c>
      <c r="S2472" s="37" cm="1">
        <f t="array" aca="1" ref="S24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2.7663630952380931</v>
      </c>
      <c r="T2472" s="346" t="s">
        <v>2119</v>
      </c>
      <c r="U2472" s="347">
        <f ca="1">S2472/kg2lb</f>
        <v>1.2548011926495799</v>
      </c>
      <c r="V2472" s="347">
        <v>2.7663630952380931</v>
      </c>
      <c r="W2472" s="347">
        <v>1.2548011926495799</v>
      </c>
      <c r="X2472" s="14" t="s">
        <v>12</v>
      </c>
      <c r="Y2472" s="346" t="s">
        <v>416</v>
      </c>
      <c r="Z2472" s="14" t="str">
        <f>IF(ISBLANK(LCI_Table[[#This Row],[Notes for user]])," ",LCI_Table[[#This Row],[Notes for user]])</f>
        <v xml:space="preserve"> </v>
      </c>
      <c r="AA2472" s="348"/>
      <c r="AB2472" s="348" t="s">
        <v>1138</v>
      </c>
      <c r="AC2472" s="346">
        <f ca="1">LCI_Table[[#This Row],[Default Calculated Value]]-LCI_Table[[#This Row],[Calculated Value]]</f>
        <v>0</v>
      </c>
    </row>
    <row r="2473" spans="1:29" x14ac:dyDescent="0.3">
      <c r="A24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2_Jatropha_Extraction_Residual_oilResidual oil</v>
      </c>
      <c r="B2473" s="381" t="s">
        <v>126</v>
      </c>
      <c r="C2473" s="381" t="s">
        <v>30</v>
      </c>
      <c r="D2473" s="383" t="s">
        <v>194</v>
      </c>
      <c r="E2473" s="384" t="s">
        <v>1349</v>
      </c>
      <c r="F2473" s="375" t="s">
        <v>1367</v>
      </c>
      <c r="G2473" s="14" t="b">
        <f>OR(LCI_Table[[#This Row],[Feedstock]]="All",LCI_Table[[#This Row],[Feedstock]]=SelectedFeedstock)</f>
        <v>0</v>
      </c>
      <c r="H2473" s="14" t="b">
        <f>OR(LCI_Table[[#This Row],[Conversion]]="All",LCI_Table[[#This Row],[Conversion]]=SelectedConversion)</f>
        <v>1</v>
      </c>
      <c r="I2473" s="14" t="b">
        <f>OR(LCI_Table[[#This Row],[Data Set]]="all",LCI_Table[[#This Row],[Data Set]]=SelectedDataSet)</f>
        <v>0</v>
      </c>
      <c r="J2473" s="14" t="b">
        <f>OR(LCI_Table[[#This Row],[Technology]]="All",LCI_Table[[#This Row],[Technology]]=SelectedTechnology)</f>
        <v>0</v>
      </c>
      <c r="K2473" s="14" t="b">
        <f>OR(LCI_Table[[#This Row],[Data Source]]="All",LCI_Table[[#This Row],[Data Source]]=SelectedDataSource)</f>
        <v>0</v>
      </c>
      <c r="L2473" s="14" t="b">
        <f>TRUE</f>
        <v>1</v>
      </c>
      <c r="M2473" s="14" t="b">
        <f>(LCI_Table[[#This Row],[Dev Notes]]="Do not display")</f>
        <v>0</v>
      </c>
      <c r="N2473" s="14" t="b">
        <f>AND(LCI_Table[[#This Row],[Show Feedstock]:[Conditional]],NOT(LCI_Table[[#This Row],[Hide Row]]))</f>
        <v>0</v>
      </c>
      <c r="O2473" s="14" t="b">
        <f>LCI_Table[[#This Row],[GREET1 Name Range]]=""</f>
        <v>0</v>
      </c>
      <c r="P2473" s="14" t="s">
        <v>15</v>
      </c>
      <c r="Q2473" s="14" t="s">
        <v>684</v>
      </c>
      <c r="R2473" s="14" t="s">
        <v>115</v>
      </c>
      <c r="S2473" s="37" cm="1">
        <f t="array" aca="1" ref="S24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73" s="346" t="s">
        <v>2128</v>
      </c>
      <c r="U2473" s="347">
        <f ca="1">S2473*Fuel_Specs!$B$28</f>
        <v>0</v>
      </c>
      <c r="V2473" s="347">
        <v>0</v>
      </c>
      <c r="W2473" s="347">
        <v>0</v>
      </c>
      <c r="X2473" s="14" t="s">
        <v>5</v>
      </c>
      <c r="Y2473" s="346" t="s">
        <v>416</v>
      </c>
      <c r="Z2473" s="14" t="str">
        <f>IF(ISBLANK(LCI_Table[[#This Row],[Notes for user]])," ",LCI_Table[[#This Row],[Notes for user]])</f>
        <v xml:space="preserve"> </v>
      </c>
      <c r="AA2473" s="14"/>
      <c r="AB2473" s="14"/>
      <c r="AC2473" s="346">
        <f ca="1">LCI_Table[[#This Row],[Default Calculated Value]]-LCI_Table[[#This Row],[Calculated Value]]</f>
        <v>0</v>
      </c>
    </row>
    <row r="2474" spans="1:29" x14ac:dyDescent="0.3">
      <c r="A24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2_Jatropha_Extraction_DieselDiesel</v>
      </c>
      <c r="B2474" s="381" t="s">
        <v>126</v>
      </c>
      <c r="C2474" s="381" t="s">
        <v>30</v>
      </c>
      <c r="D2474" s="383" t="s">
        <v>194</v>
      </c>
      <c r="E2474" s="384" t="s">
        <v>1349</v>
      </c>
      <c r="F2474" s="375" t="s">
        <v>1367</v>
      </c>
      <c r="G2474" s="14" t="b">
        <f>OR(LCI_Table[[#This Row],[Feedstock]]="All",LCI_Table[[#This Row],[Feedstock]]=SelectedFeedstock)</f>
        <v>0</v>
      </c>
      <c r="H2474" s="14" t="b">
        <f>OR(LCI_Table[[#This Row],[Conversion]]="All",LCI_Table[[#This Row],[Conversion]]=SelectedConversion)</f>
        <v>1</v>
      </c>
      <c r="I2474" s="14" t="b">
        <f>OR(LCI_Table[[#This Row],[Data Set]]="all",LCI_Table[[#This Row],[Data Set]]=SelectedDataSet)</f>
        <v>0</v>
      </c>
      <c r="J2474" s="14" t="b">
        <f>OR(LCI_Table[[#This Row],[Technology]]="All",LCI_Table[[#This Row],[Technology]]=SelectedTechnology)</f>
        <v>0</v>
      </c>
      <c r="K2474" s="14" t="b">
        <f>OR(LCI_Table[[#This Row],[Data Source]]="All",LCI_Table[[#This Row],[Data Source]]=SelectedDataSource)</f>
        <v>0</v>
      </c>
      <c r="L2474" s="14" t="b">
        <f>TRUE</f>
        <v>1</v>
      </c>
      <c r="M2474" s="14" t="b">
        <f>(LCI_Table[[#This Row],[Dev Notes]]="Do not display")</f>
        <v>0</v>
      </c>
      <c r="N2474" s="14" t="b">
        <f>AND(LCI_Table[[#This Row],[Show Feedstock]:[Conditional]],NOT(LCI_Table[[#This Row],[Hide Row]]))</f>
        <v>0</v>
      </c>
      <c r="O2474" s="14" t="b">
        <f>LCI_Table[[#This Row],[GREET1 Name Range]]=""</f>
        <v>0</v>
      </c>
      <c r="P2474" s="14" t="s">
        <v>15</v>
      </c>
      <c r="Q2474" s="14" t="s">
        <v>676</v>
      </c>
      <c r="R2474" s="14" t="s">
        <v>106</v>
      </c>
      <c r="S2474" s="37" cm="1">
        <f t="array" aca="1" ref="S24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74" s="346" t="s">
        <v>2128</v>
      </c>
      <c r="U2474" s="347">
        <f ca="1">S2474*Fuel_Specs!$B$19</f>
        <v>0</v>
      </c>
      <c r="V2474" s="347">
        <v>0</v>
      </c>
      <c r="W2474" s="347">
        <v>0</v>
      </c>
      <c r="X2474" s="14" t="s">
        <v>5</v>
      </c>
      <c r="Y2474" s="346" t="s">
        <v>416</v>
      </c>
      <c r="Z2474" s="14" t="str">
        <f>IF(ISBLANK(LCI_Table[[#This Row],[Notes for user]])," ",LCI_Table[[#This Row],[Notes for user]])</f>
        <v xml:space="preserve"> </v>
      </c>
      <c r="AA2474" s="14"/>
      <c r="AB2474" s="14"/>
      <c r="AC2474" s="346">
        <f ca="1">LCI_Table[[#This Row],[Default Calculated Value]]-LCI_Table[[#This Row],[Calculated Value]]</f>
        <v>0</v>
      </c>
    </row>
    <row r="2475" spans="1:29" x14ac:dyDescent="0.3">
      <c r="A24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2_Jatropha_Extraction_GasolineGasoline</v>
      </c>
      <c r="B2475" s="381" t="s">
        <v>126</v>
      </c>
      <c r="C2475" s="381" t="s">
        <v>30</v>
      </c>
      <c r="D2475" s="383" t="s">
        <v>194</v>
      </c>
      <c r="E2475" s="384" t="s">
        <v>1349</v>
      </c>
      <c r="F2475" s="375" t="s">
        <v>1367</v>
      </c>
      <c r="G2475" s="14" t="b">
        <f>OR(LCI_Table[[#This Row],[Feedstock]]="All",LCI_Table[[#This Row],[Feedstock]]=SelectedFeedstock)</f>
        <v>0</v>
      </c>
      <c r="H2475" s="14" t="b">
        <f>OR(LCI_Table[[#This Row],[Conversion]]="All",LCI_Table[[#This Row],[Conversion]]=SelectedConversion)</f>
        <v>1</v>
      </c>
      <c r="I2475" s="14" t="b">
        <f>OR(LCI_Table[[#This Row],[Data Set]]="all",LCI_Table[[#This Row],[Data Set]]=SelectedDataSet)</f>
        <v>0</v>
      </c>
      <c r="J2475" s="14" t="b">
        <f>OR(LCI_Table[[#This Row],[Technology]]="All",LCI_Table[[#This Row],[Technology]]=SelectedTechnology)</f>
        <v>0</v>
      </c>
      <c r="K2475" s="14" t="b">
        <f>OR(LCI_Table[[#This Row],[Data Source]]="All",LCI_Table[[#This Row],[Data Source]]=SelectedDataSource)</f>
        <v>0</v>
      </c>
      <c r="L2475" s="14" t="b">
        <f>TRUE</f>
        <v>1</v>
      </c>
      <c r="M2475" s="14" t="b">
        <f>(LCI_Table[[#This Row],[Dev Notes]]="Do not display")</f>
        <v>0</v>
      </c>
      <c r="N2475" s="14" t="b">
        <f>AND(LCI_Table[[#This Row],[Show Feedstock]:[Conditional]],NOT(LCI_Table[[#This Row],[Hide Row]]))</f>
        <v>0</v>
      </c>
      <c r="O2475" s="14" t="b">
        <f>LCI_Table[[#This Row],[GREET1 Name Range]]=""</f>
        <v>0</v>
      </c>
      <c r="P2475" s="14" t="s">
        <v>15</v>
      </c>
      <c r="Q2475" s="14" t="s">
        <v>679</v>
      </c>
      <c r="R2475" s="14" t="s">
        <v>107</v>
      </c>
      <c r="S2475" s="37" cm="1">
        <f t="array" aca="1" ref="S24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75" s="346" t="s">
        <v>2128</v>
      </c>
      <c r="U2475" s="347">
        <f ca="1">S2475*Fuel_Specs!$B$15</f>
        <v>0</v>
      </c>
      <c r="V2475" s="347">
        <v>0</v>
      </c>
      <c r="W2475" s="347">
        <v>0</v>
      </c>
      <c r="X2475" s="14" t="s">
        <v>5</v>
      </c>
      <c r="Y2475" s="346" t="s">
        <v>416</v>
      </c>
      <c r="Z2475" s="14" t="str">
        <f>IF(ISBLANK(LCI_Table[[#This Row],[Notes for user]])," ",LCI_Table[[#This Row],[Notes for user]])</f>
        <v xml:space="preserve"> </v>
      </c>
      <c r="AA2475" s="14"/>
      <c r="AB2475" s="14"/>
      <c r="AC2475" s="346">
        <f ca="1">LCI_Table[[#This Row],[Default Calculated Value]]-LCI_Table[[#This Row],[Calculated Value]]</f>
        <v>0</v>
      </c>
    </row>
    <row r="2476" spans="1:29" x14ac:dyDescent="0.3">
      <c r="A24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2_Jatropha_Extraction_Natural_gasNatural gas</v>
      </c>
      <c r="B2476" s="381" t="s">
        <v>126</v>
      </c>
      <c r="C2476" s="381" t="s">
        <v>30</v>
      </c>
      <c r="D2476" s="383" t="s">
        <v>194</v>
      </c>
      <c r="E2476" s="384" t="s">
        <v>1349</v>
      </c>
      <c r="F2476" s="375" t="s">
        <v>1367</v>
      </c>
      <c r="G2476" s="14" t="b">
        <f>OR(LCI_Table[[#This Row],[Feedstock]]="All",LCI_Table[[#This Row],[Feedstock]]=SelectedFeedstock)</f>
        <v>0</v>
      </c>
      <c r="H2476" s="14" t="b">
        <f>OR(LCI_Table[[#This Row],[Conversion]]="All",LCI_Table[[#This Row],[Conversion]]=SelectedConversion)</f>
        <v>1</v>
      </c>
      <c r="I2476" s="14" t="b">
        <f>OR(LCI_Table[[#This Row],[Data Set]]="all",LCI_Table[[#This Row],[Data Set]]=SelectedDataSet)</f>
        <v>0</v>
      </c>
      <c r="J2476" s="14" t="b">
        <f>OR(LCI_Table[[#This Row],[Technology]]="All",LCI_Table[[#This Row],[Technology]]=SelectedTechnology)</f>
        <v>0</v>
      </c>
      <c r="K2476" s="14" t="b">
        <f>OR(LCI_Table[[#This Row],[Data Source]]="All",LCI_Table[[#This Row],[Data Source]]=SelectedDataSource)</f>
        <v>0</v>
      </c>
      <c r="L2476" s="14" t="b">
        <f>TRUE</f>
        <v>1</v>
      </c>
      <c r="M2476" s="14" t="b">
        <f>(LCI_Table[[#This Row],[Dev Notes]]="Do not display")</f>
        <v>0</v>
      </c>
      <c r="N2476" s="14" t="b">
        <f>AND(LCI_Table[[#This Row],[Show Feedstock]:[Conditional]],NOT(LCI_Table[[#This Row],[Hide Row]]))</f>
        <v>0</v>
      </c>
      <c r="O2476" s="14" t="b">
        <f>LCI_Table[[#This Row],[GREET1 Name Range]]=""</f>
        <v>0</v>
      </c>
      <c r="P2476" s="14" t="s">
        <v>15</v>
      </c>
      <c r="Q2476" s="14" t="s">
        <v>683</v>
      </c>
      <c r="R2476" s="14" t="s">
        <v>108</v>
      </c>
      <c r="S2476" s="37" cm="1">
        <f t="array" aca="1" ref="S24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0.78972533062054928</v>
      </c>
      <c r="T2476" s="346" t="s">
        <v>2120</v>
      </c>
      <c r="U2476" s="347">
        <f ca="1">S2476*Fuel_Specs!$B$79</f>
        <v>776.3</v>
      </c>
      <c r="V2476" s="347">
        <v>0.78972533062054928</v>
      </c>
      <c r="W2476" s="347">
        <v>776.3</v>
      </c>
      <c r="X2476" s="14" t="s">
        <v>351</v>
      </c>
      <c r="Y2476" s="346" t="s">
        <v>416</v>
      </c>
      <c r="Z2476" s="14" t="str">
        <f>IF(ISBLANK(LCI_Table[[#This Row],[Notes for user]])," ",LCI_Table[[#This Row],[Notes for user]])</f>
        <v xml:space="preserve"> </v>
      </c>
      <c r="AA2476" s="14"/>
      <c r="AB2476" s="14"/>
      <c r="AC2476" s="346">
        <f ca="1">LCI_Table[[#This Row],[Default Calculated Value]]-LCI_Table[[#This Row],[Calculated Value]]</f>
        <v>0</v>
      </c>
    </row>
    <row r="2477" spans="1:29" x14ac:dyDescent="0.3">
      <c r="A24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2_Jatropha_Extraction_CoalCoal</v>
      </c>
      <c r="B2477" s="381" t="s">
        <v>126</v>
      </c>
      <c r="C2477" s="381" t="s">
        <v>30</v>
      </c>
      <c r="D2477" s="383" t="s">
        <v>194</v>
      </c>
      <c r="E2477" s="384" t="s">
        <v>1349</v>
      </c>
      <c r="F2477" s="375" t="s">
        <v>1367</v>
      </c>
      <c r="G2477" s="14" t="b">
        <f>OR(LCI_Table[[#This Row],[Feedstock]]="All",LCI_Table[[#This Row],[Feedstock]]=SelectedFeedstock)</f>
        <v>0</v>
      </c>
      <c r="H2477" s="14" t="b">
        <f>OR(LCI_Table[[#This Row],[Conversion]]="All",LCI_Table[[#This Row],[Conversion]]=SelectedConversion)</f>
        <v>1</v>
      </c>
      <c r="I2477" s="14" t="b">
        <f>OR(LCI_Table[[#This Row],[Data Set]]="all",LCI_Table[[#This Row],[Data Set]]=SelectedDataSet)</f>
        <v>0</v>
      </c>
      <c r="J2477" s="14" t="b">
        <f>OR(LCI_Table[[#This Row],[Technology]]="All",LCI_Table[[#This Row],[Technology]]=SelectedTechnology)</f>
        <v>0</v>
      </c>
      <c r="K2477" s="14" t="b">
        <f>OR(LCI_Table[[#This Row],[Data Source]]="All",LCI_Table[[#This Row],[Data Source]]=SelectedDataSource)</f>
        <v>0</v>
      </c>
      <c r="L2477" s="14" t="b">
        <f>TRUE</f>
        <v>1</v>
      </c>
      <c r="M2477" s="14" t="b">
        <f>(LCI_Table[[#This Row],[Dev Notes]]="Do not display")</f>
        <v>0</v>
      </c>
      <c r="N2477" s="14" t="b">
        <f>AND(LCI_Table[[#This Row],[Show Feedstock]:[Conditional]],NOT(LCI_Table[[#This Row],[Hide Row]]))</f>
        <v>0</v>
      </c>
      <c r="O2477" s="14" t="b">
        <f>LCI_Table[[#This Row],[GREET1 Name Range]]=""</f>
        <v>0</v>
      </c>
      <c r="P2477" s="14" t="s">
        <v>15</v>
      </c>
      <c r="Q2477" s="14" t="s">
        <v>675</v>
      </c>
      <c r="R2477" s="14" t="s">
        <v>9</v>
      </c>
      <c r="S2477" s="37" cm="1">
        <f t="array" aca="1" ref="S24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77" s="346" t="s">
        <v>2147</v>
      </c>
      <c r="U2477" s="347">
        <f ca="1">S2477</f>
        <v>0</v>
      </c>
      <c r="V2477" s="347">
        <v>0</v>
      </c>
      <c r="W2477" s="347">
        <v>0</v>
      </c>
      <c r="X2477" s="14" t="s">
        <v>117</v>
      </c>
      <c r="Y2477" s="346" t="s">
        <v>416</v>
      </c>
      <c r="Z2477" s="14" t="str">
        <f>IF(ISBLANK(LCI_Table[[#This Row],[Notes for user]])," ",LCI_Table[[#This Row],[Notes for user]])</f>
        <v xml:space="preserve"> </v>
      </c>
      <c r="AA2477" s="14"/>
      <c r="AB2477" s="14"/>
      <c r="AC2477" s="346">
        <f ca="1">LCI_Table[[#This Row],[Default Calculated Value]]-LCI_Table[[#This Row],[Calculated Value]]</f>
        <v>0</v>
      </c>
    </row>
    <row r="2478" spans="1:29" x14ac:dyDescent="0.3">
      <c r="A24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2_Jatropha_Extraction_LPGLPG</v>
      </c>
      <c r="B2478" s="381" t="s">
        <v>126</v>
      </c>
      <c r="C2478" s="381" t="s">
        <v>30</v>
      </c>
      <c r="D2478" s="383" t="s">
        <v>194</v>
      </c>
      <c r="E2478" s="384" t="s">
        <v>1349</v>
      </c>
      <c r="F2478" s="375" t="s">
        <v>1367</v>
      </c>
      <c r="G2478" s="14" t="b">
        <f>OR(LCI_Table[[#This Row],[Feedstock]]="All",LCI_Table[[#This Row],[Feedstock]]=SelectedFeedstock)</f>
        <v>0</v>
      </c>
      <c r="H2478" s="14" t="b">
        <f>OR(LCI_Table[[#This Row],[Conversion]]="All",LCI_Table[[#This Row],[Conversion]]=SelectedConversion)</f>
        <v>1</v>
      </c>
      <c r="I2478" s="14" t="b">
        <f>OR(LCI_Table[[#This Row],[Data Set]]="all",LCI_Table[[#This Row],[Data Set]]=SelectedDataSet)</f>
        <v>0</v>
      </c>
      <c r="J2478" s="14" t="b">
        <f>OR(LCI_Table[[#This Row],[Technology]]="All",LCI_Table[[#This Row],[Technology]]=SelectedTechnology)</f>
        <v>0</v>
      </c>
      <c r="K2478" s="14" t="b">
        <f>OR(LCI_Table[[#This Row],[Data Source]]="All",LCI_Table[[#This Row],[Data Source]]=SelectedDataSource)</f>
        <v>0</v>
      </c>
      <c r="L2478" s="14" t="b">
        <f>TRUE</f>
        <v>1</v>
      </c>
      <c r="M2478" s="14" t="b">
        <f>(LCI_Table[[#This Row],[Dev Notes]]="Do not display")</f>
        <v>0</v>
      </c>
      <c r="N2478" s="14" t="b">
        <f>AND(LCI_Table[[#This Row],[Show Feedstock]:[Conditional]],NOT(LCI_Table[[#This Row],[Hide Row]]))</f>
        <v>0</v>
      </c>
      <c r="O2478" s="14" t="b">
        <f>LCI_Table[[#This Row],[GREET1 Name Range]]=""</f>
        <v>0</v>
      </c>
      <c r="P2478" s="14" t="s">
        <v>15</v>
      </c>
      <c r="Q2478" s="14" t="s">
        <v>681</v>
      </c>
      <c r="R2478" s="14" t="s">
        <v>109</v>
      </c>
      <c r="S2478" s="37" cm="1">
        <f t="array" aca="1" ref="S24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78" s="346" t="s">
        <v>2128</v>
      </c>
      <c r="U2478" s="347">
        <f ca="1">S2478*Fuel_Specs!$B$35</f>
        <v>0</v>
      </c>
      <c r="V2478" s="347">
        <v>0</v>
      </c>
      <c r="W2478" s="347">
        <v>0</v>
      </c>
      <c r="X2478" s="14" t="s">
        <v>5</v>
      </c>
      <c r="Y2478" s="346" t="s">
        <v>416</v>
      </c>
      <c r="Z2478" s="14" t="str">
        <f>IF(ISBLANK(LCI_Table[[#This Row],[Notes for user]])," ",LCI_Table[[#This Row],[Notes for user]])</f>
        <v xml:space="preserve"> </v>
      </c>
      <c r="AA2478" s="14"/>
      <c r="AB2478" s="14"/>
      <c r="AC2478" s="346">
        <f ca="1">LCI_Table[[#This Row],[Default Calculated Value]]-LCI_Table[[#This Row],[Calculated Value]]</f>
        <v>0</v>
      </c>
    </row>
    <row r="2479" spans="1:29" x14ac:dyDescent="0.3">
      <c r="A24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2_Jatropha_Extraction_ElectricityElectricity</v>
      </c>
      <c r="B2479" s="381" t="s">
        <v>126</v>
      </c>
      <c r="C2479" s="381" t="s">
        <v>30</v>
      </c>
      <c r="D2479" s="383" t="s">
        <v>194</v>
      </c>
      <c r="E2479" s="384" t="s">
        <v>1349</v>
      </c>
      <c r="F2479" s="375" t="s">
        <v>1367</v>
      </c>
      <c r="G2479" s="14" t="b">
        <f>OR(LCI_Table[[#This Row],[Feedstock]]="All",LCI_Table[[#This Row],[Feedstock]]=SelectedFeedstock)</f>
        <v>0</v>
      </c>
      <c r="H2479" s="14" t="b">
        <f>OR(LCI_Table[[#This Row],[Conversion]]="All",LCI_Table[[#This Row],[Conversion]]=SelectedConversion)</f>
        <v>1</v>
      </c>
      <c r="I2479" s="14" t="b">
        <f>OR(LCI_Table[[#This Row],[Data Set]]="all",LCI_Table[[#This Row],[Data Set]]=SelectedDataSet)</f>
        <v>0</v>
      </c>
      <c r="J2479" s="14" t="b">
        <f>OR(LCI_Table[[#This Row],[Technology]]="All",LCI_Table[[#This Row],[Technology]]=SelectedTechnology)</f>
        <v>0</v>
      </c>
      <c r="K2479" s="14" t="b">
        <f>OR(LCI_Table[[#This Row],[Data Source]]="All",LCI_Table[[#This Row],[Data Source]]=SelectedDataSource)</f>
        <v>0</v>
      </c>
      <c r="L2479" s="14" t="b">
        <f>TRUE</f>
        <v>1</v>
      </c>
      <c r="M2479" s="14" t="b">
        <f>(LCI_Table[[#This Row],[Dev Notes]]="Do not display")</f>
        <v>0</v>
      </c>
      <c r="N2479" s="14" t="b">
        <f>AND(LCI_Table[[#This Row],[Show Feedstock]:[Conditional]],NOT(LCI_Table[[#This Row],[Hide Row]]))</f>
        <v>0</v>
      </c>
      <c r="O2479" s="14" t="b">
        <f>LCI_Table[[#This Row],[GREET1 Name Range]]=""</f>
        <v>0</v>
      </c>
      <c r="P2479" s="14" t="s">
        <v>15</v>
      </c>
      <c r="Q2479" s="14" t="s">
        <v>677</v>
      </c>
      <c r="R2479" s="14" t="s">
        <v>110</v>
      </c>
      <c r="S2479" s="37" cm="1">
        <f t="array" aca="1" ref="S24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79" s="346" t="s">
        <v>2121</v>
      </c>
      <c r="U2479" s="347">
        <f ca="1">S2479/BTU2kWh</f>
        <v>0</v>
      </c>
      <c r="V2479" s="347">
        <v>0</v>
      </c>
      <c r="W2479" s="347">
        <v>0</v>
      </c>
      <c r="X2479" s="14" t="s">
        <v>51</v>
      </c>
      <c r="Y2479" s="346" t="s">
        <v>416</v>
      </c>
      <c r="Z2479" s="14" t="str">
        <f>IF(ISBLANK(LCI_Table[[#This Row],[Notes for user]])," ",LCI_Table[[#This Row],[Notes for user]])</f>
        <v xml:space="preserve"> </v>
      </c>
      <c r="AA2479" s="14"/>
      <c r="AB2479" s="14"/>
      <c r="AC2479" s="346">
        <f ca="1">LCI_Table[[#This Row],[Default Calculated Value]]-LCI_Table[[#This Row],[Calculated Value]]</f>
        <v>0</v>
      </c>
    </row>
    <row r="2480" spans="1:29" x14ac:dyDescent="0.3">
      <c r="A24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2_Jatropha_Extraction_N_hexaneN-hexane</v>
      </c>
      <c r="B2480" s="381" t="s">
        <v>126</v>
      </c>
      <c r="C2480" s="381" t="s">
        <v>30</v>
      </c>
      <c r="D2480" s="383" t="s">
        <v>194</v>
      </c>
      <c r="E2480" s="384" t="s">
        <v>1349</v>
      </c>
      <c r="F2480" s="375" t="s">
        <v>1367</v>
      </c>
      <c r="G2480" s="14" t="b">
        <f>OR(LCI_Table[[#This Row],[Feedstock]]="All",LCI_Table[[#This Row],[Feedstock]]=SelectedFeedstock)</f>
        <v>0</v>
      </c>
      <c r="H2480" s="14" t="b">
        <f>OR(LCI_Table[[#This Row],[Conversion]]="All",LCI_Table[[#This Row],[Conversion]]=SelectedConversion)</f>
        <v>1</v>
      </c>
      <c r="I2480" s="14" t="b">
        <f>OR(LCI_Table[[#This Row],[Data Set]]="all",LCI_Table[[#This Row],[Data Set]]=SelectedDataSet)</f>
        <v>0</v>
      </c>
      <c r="J2480" s="14" t="b">
        <f>OR(LCI_Table[[#This Row],[Technology]]="All",LCI_Table[[#This Row],[Technology]]=SelectedTechnology)</f>
        <v>0</v>
      </c>
      <c r="K2480" s="14" t="b">
        <f>OR(LCI_Table[[#This Row],[Data Source]]="All",LCI_Table[[#This Row],[Data Source]]=SelectedDataSource)</f>
        <v>0</v>
      </c>
      <c r="L2480" s="14" t="b">
        <f>TRUE</f>
        <v>1</v>
      </c>
      <c r="M2480" s="14" t="b">
        <f>(LCI_Table[[#This Row],[Dev Notes]]="Do not display")</f>
        <v>0</v>
      </c>
      <c r="N2480" s="14" t="b">
        <f>AND(LCI_Table[[#This Row],[Show Feedstock]:[Conditional]],NOT(LCI_Table[[#This Row],[Hide Row]]))</f>
        <v>0</v>
      </c>
      <c r="O2480" s="14" t="b">
        <f>LCI_Table[[#This Row],[GREET1 Name Range]]=""</f>
        <v>0</v>
      </c>
      <c r="P2480" s="14" t="s">
        <v>15</v>
      </c>
      <c r="Q2480" s="14" t="s">
        <v>682</v>
      </c>
      <c r="R2480" s="14" t="s">
        <v>116</v>
      </c>
      <c r="S2480" s="37" cm="1">
        <f t="array" aca="1" ref="S24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3.6004824741640414E-7</v>
      </c>
      <c r="T2480" s="346" t="s">
        <v>2119</v>
      </c>
      <c r="U2480" s="347">
        <f ca="1">S2480*Fuel_Specs!$B$58*ton2lb</f>
        <v>75.7</v>
      </c>
      <c r="V2480" s="347">
        <v>3.6004824741640414E-7</v>
      </c>
      <c r="W2480" s="347">
        <v>75.7</v>
      </c>
      <c r="X2480" s="14" t="s">
        <v>12</v>
      </c>
      <c r="Y2480" s="346" t="s">
        <v>416</v>
      </c>
      <c r="Z2480" s="14" t="str">
        <f>IF(ISBLANK(LCI_Table[[#This Row],[Notes for user]])," ",LCI_Table[[#This Row],[Notes for user]])</f>
        <v xml:space="preserve"> </v>
      </c>
      <c r="AA2480" s="14"/>
      <c r="AB2480" s="14"/>
      <c r="AC2480" s="346">
        <f ca="1">LCI_Table[[#This Row],[Default Calculated Value]]-LCI_Table[[#This Row],[Calculated Value]]</f>
        <v>0</v>
      </c>
    </row>
    <row r="2481" spans="1:29" x14ac:dyDescent="0.3">
      <c r="A24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2_Jatropha_Extraction_Forest_residueForest residue</v>
      </c>
      <c r="B2481" s="381" t="s">
        <v>126</v>
      </c>
      <c r="C2481" s="381" t="s">
        <v>30</v>
      </c>
      <c r="D2481" s="383" t="s">
        <v>194</v>
      </c>
      <c r="E2481" s="384" t="s">
        <v>1349</v>
      </c>
      <c r="F2481" s="375" t="s">
        <v>1367</v>
      </c>
      <c r="G2481" s="14" t="b">
        <f>OR(LCI_Table[[#This Row],[Feedstock]]="All",LCI_Table[[#This Row],[Feedstock]]=SelectedFeedstock)</f>
        <v>0</v>
      </c>
      <c r="H2481" s="14" t="b">
        <f>OR(LCI_Table[[#This Row],[Conversion]]="All",LCI_Table[[#This Row],[Conversion]]=SelectedConversion)</f>
        <v>1</v>
      </c>
      <c r="I2481" s="14" t="b">
        <f>OR(LCI_Table[[#This Row],[Data Set]]="all",LCI_Table[[#This Row],[Data Set]]=SelectedDataSet)</f>
        <v>0</v>
      </c>
      <c r="J2481" s="14" t="b">
        <f>OR(LCI_Table[[#This Row],[Technology]]="All",LCI_Table[[#This Row],[Technology]]=SelectedTechnology)</f>
        <v>0</v>
      </c>
      <c r="K2481" s="14" t="b">
        <f>OR(LCI_Table[[#This Row],[Data Source]]="All",LCI_Table[[#This Row],[Data Source]]=SelectedDataSource)</f>
        <v>0</v>
      </c>
      <c r="L2481" s="14" t="b">
        <f>TRUE</f>
        <v>1</v>
      </c>
      <c r="M2481" s="14" t="b">
        <f>(LCI_Table[[#This Row],[Dev Notes]]="Do not display")</f>
        <v>0</v>
      </c>
      <c r="N2481" s="14" t="b">
        <f>AND(LCI_Table[[#This Row],[Show Feedstock]:[Conditional]],NOT(LCI_Table[[#This Row],[Hide Row]]))</f>
        <v>0</v>
      </c>
      <c r="O2481" s="14" t="b">
        <f>LCI_Table[[#This Row],[GREET1 Name Range]]=""</f>
        <v>0</v>
      </c>
      <c r="P2481" s="14" t="s">
        <v>15</v>
      </c>
      <c r="Q2481" s="14" t="s">
        <v>678</v>
      </c>
      <c r="R2481" s="14" t="s">
        <v>316</v>
      </c>
      <c r="S2481" s="37" cm="1">
        <f t="array" aca="1" ref="S24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81" s="346" t="s">
        <v>2119</v>
      </c>
      <c r="U2481" s="347">
        <f ca="1">S2481*Fuel_Specs!$B$100*ton2lb</f>
        <v>0</v>
      </c>
      <c r="V2481" s="347">
        <v>0</v>
      </c>
      <c r="W2481" s="347">
        <v>0</v>
      </c>
      <c r="X2481" s="14" t="s">
        <v>12</v>
      </c>
      <c r="Y2481" s="346" t="s">
        <v>416</v>
      </c>
      <c r="Z2481" s="14" t="str">
        <f>IF(ISBLANK(LCI_Table[[#This Row],[Notes for user]])," ",LCI_Table[[#This Row],[Notes for user]])</f>
        <v xml:space="preserve"> </v>
      </c>
      <c r="AA2481" s="14"/>
      <c r="AB2481" s="14"/>
      <c r="AC2481" s="346">
        <f ca="1">LCI_Table[[#This Row],[Default Calculated Value]]-LCI_Table[[#This Row],[Calculated Value]]</f>
        <v>0</v>
      </c>
    </row>
    <row r="2482" spans="1:29" x14ac:dyDescent="0.3">
      <c r="A24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2_Jatropha_Extraction_Landfill_gasLandfill gas</v>
      </c>
      <c r="B2482" s="381" t="s">
        <v>126</v>
      </c>
      <c r="C2482" s="381" t="s">
        <v>30</v>
      </c>
      <c r="D2482" s="383" t="s">
        <v>194</v>
      </c>
      <c r="E2482" s="384" t="s">
        <v>1349</v>
      </c>
      <c r="F2482" s="375" t="s">
        <v>1367</v>
      </c>
      <c r="G2482" s="14" t="b">
        <f>OR(LCI_Table[[#This Row],[Feedstock]]="All",LCI_Table[[#This Row],[Feedstock]]=SelectedFeedstock)</f>
        <v>0</v>
      </c>
      <c r="H2482" s="14" t="b">
        <f>OR(LCI_Table[[#This Row],[Conversion]]="All",LCI_Table[[#This Row],[Conversion]]=SelectedConversion)</f>
        <v>1</v>
      </c>
      <c r="I2482" s="14" t="b">
        <f>OR(LCI_Table[[#This Row],[Data Set]]="all",LCI_Table[[#This Row],[Data Set]]=SelectedDataSet)</f>
        <v>0</v>
      </c>
      <c r="J2482" s="14" t="b">
        <f>OR(LCI_Table[[#This Row],[Technology]]="All",LCI_Table[[#This Row],[Technology]]=SelectedTechnology)</f>
        <v>0</v>
      </c>
      <c r="K2482" s="14" t="b">
        <f>OR(LCI_Table[[#This Row],[Data Source]]="All",LCI_Table[[#This Row],[Data Source]]=SelectedDataSource)</f>
        <v>0</v>
      </c>
      <c r="L2482" s="14" t="b">
        <f>TRUE</f>
        <v>1</v>
      </c>
      <c r="M2482" s="14" t="b">
        <f>(LCI_Table[[#This Row],[Dev Notes]]="Do not display")</f>
        <v>0</v>
      </c>
      <c r="N2482" s="14" t="b">
        <f>AND(LCI_Table[[#This Row],[Show Feedstock]:[Conditional]],NOT(LCI_Table[[#This Row],[Hide Row]]))</f>
        <v>0</v>
      </c>
      <c r="O2482" s="14" t="b">
        <f>LCI_Table[[#This Row],[GREET1 Name Range]]=""</f>
        <v>0</v>
      </c>
      <c r="P2482" s="14" t="s">
        <v>15</v>
      </c>
      <c r="Q2482" s="14" t="s">
        <v>680</v>
      </c>
      <c r="R2482" s="14" t="s">
        <v>130</v>
      </c>
      <c r="S2482" s="37" cm="1">
        <f t="array" aca="1" ref="S24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82" s="346" t="s">
        <v>2120</v>
      </c>
      <c r="U2482" s="347">
        <f ca="1">S2482*Fuel_Specs!$B$79</f>
        <v>0</v>
      </c>
      <c r="V2482" s="347">
        <v>0</v>
      </c>
      <c r="W2482" s="347">
        <v>0</v>
      </c>
      <c r="X2482" s="14" t="s">
        <v>351</v>
      </c>
      <c r="Y2482" s="346" t="s">
        <v>416</v>
      </c>
      <c r="Z2482" s="14" t="str">
        <f>IF(ISBLANK(LCI_Table[[#This Row],[Notes for user]])," ",LCI_Table[[#This Row],[Notes for user]])</f>
        <v xml:space="preserve"> </v>
      </c>
      <c r="AA2482" s="14"/>
      <c r="AB2482" s="14"/>
      <c r="AC2482" s="346">
        <f ca="1">LCI_Table[[#This Row],[Default Calculated Value]]-LCI_Table[[#This Row],[Calculated Value]]</f>
        <v>0</v>
      </c>
    </row>
    <row r="2483" spans="1:29" x14ac:dyDescent="0.3">
      <c r="A24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2_Jatropha_Oil_Extraction_Energy_AllocationAllocation factor</v>
      </c>
      <c r="B2483" s="381" t="s">
        <v>126</v>
      </c>
      <c r="C2483" s="381" t="s">
        <v>30</v>
      </c>
      <c r="D2483" s="383" t="s">
        <v>194</v>
      </c>
      <c r="E2483" s="384" t="s">
        <v>1349</v>
      </c>
      <c r="F2483" s="375" t="s">
        <v>1367</v>
      </c>
      <c r="G2483" s="14" t="b">
        <f>OR(LCI_Table[[#This Row],[Feedstock]]="All",LCI_Table[[#This Row],[Feedstock]]=SelectedFeedstock)</f>
        <v>0</v>
      </c>
      <c r="H2483" s="14" t="b">
        <f>OR(LCI_Table[[#This Row],[Conversion]]="All",LCI_Table[[#This Row],[Conversion]]=SelectedConversion)</f>
        <v>1</v>
      </c>
      <c r="I2483" s="14" t="b">
        <f>OR(LCI_Table[[#This Row],[Data Set]]="all",LCI_Table[[#This Row],[Data Set]]=SelectedDataSet)</f>
        <v>0</v>
      </c>
      <c r="J2483" s="14" t="b">
        <f>OR(LCI_Table[[#This Row],[Technology]]="All",LCI_Table[[#This Row],[Technology]]=SelectedTechnology)</f>
        <v>0</v>
      </c>
      <c r="K2483" s="14" t="b">
        <f>OR(LCI_Table[[#This Row],[Data Source]]="All",LCI_Table[[#This Row],[Data Source]]=SelectedDataSource)</f>
        <v>0</v>
      </c>
      <c r="L2483" s="14" t="b">
        <f>TRUE</f>
        <v>1</v>
      </c>
      <c r="M2483" s="14" t="b">
        <f>(LCI_Table[[#This Row],[Dev Notes]]="Do not display")</f>
        <v>0</v>
      </c>
      <c r="N2483" s="14" t="b">
        <f>AND(LCI_Table[[#This Row],[Show Feedstock]:[Conditional]],NOT(LCI_Table[[#This Row],[Hide Row]]))</f>
        <v>0</v>
      </c>
      <c r="O2483" s="14" t="b">
        <f>LCI_Table[[#This Row],[GREET1 Name Range]]=""</f>
        <v>0</v>
      </c>
      <c r="P2483" s="14" t="s">
        <v>15</v>
      </c>
      <c r="Q2483" s="14" t="s">
        <v>1108</v>
      </c>
      <c r="R2483" s="14" t="s">
        <v>1344</v>
      </c>
      <c r="S2483" s="37" cm="1">
        <f t="array" aca="1" ref="S24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71.183997116597595</v>
      </c>
      <c r="T2483" s="346" t="s">
        <v>1345</v>
      </c>
      <c r="U2483" s="347">
        <f ca="1">LCI_Table[[#This Row],[Dashboard Value]]/100</f>
        <v>0.71183997116597597</v>
      </c>
      <c r="V2483" s="347">
        <v>71.183997116597595</v>
      </c>
      <c r="W2483" s="347">
        <v>0.71183997116597597</v>
      </c>
      <c r="X2483" s="14" t="s">
        <v>1345</v>
      </c>
      <c r="Y2483" s="346" t="s">
        <v>416</v>
      </c>
      <c r="Z2483" s="14" t="str">
        <f>IF(ISBLANK(LCI_Table[[#This Row],[Notes for user]])," ",LCI_Table[[#This Row],[Notes for user]])</f>
        <v>Allocation to jatropha oil (energy allocation)</v>
      </c>
      <c r="AA2483" s="14" t="s">
        <v>1365</v>
      </c>
      <c r="AB2483" s="14"/>
      <c r="AC2483" s="346">
        <f ca="1">LCI_Table[[#This Row],[Default Calculated Value]]-LCI_Table[[#This Row],[Calculated Value]]</f>
        <v>0</v>
      </c>
    </row>
    <row r="2484" spans="1:29" x14ac:dyDescent="0.3">
      <c r="A24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2_HEFA_feed_usageJatropha oil</v>
      </c>
      <c r="B2484" s="381" t="s">
        <v>126</v>
      </c>
      <c r="C2484" s="381" t="s">
        <v>30</v>
      </c>
      <c r="D2484" s="383" t="s">
        <v>194</v>
      </c>
      <c r="E2484" s="384" t="s">
        <v>1349</v>
      </c>
      <c r="F2484" s="375" t="s">
        <v>1367</v>
      </c>
      <c r="G2484" s="14" t="b">
        <f>OR(LCI_Table[[#This Row],[Feedstock]]="All",LCI_Table[[#This Row],[Feedstock]]=SelectedFeedstock)</f>
        <v>0</v>
      </c>
      <c r="H2484" s="14" t="b">
        <f>OR(LCI_Table[[#This Row],[Conversion]]="All",LCI_Table[[#This Row],[Conversion]]=SelectedConversion)</f>
        <v>1</v>
      </c>
      <c r="I2484" s="14" t="b">
        <f>OR(LCI_Table[[#This Row],[Data Set]]="all",LCI_Table[[#This Row],[Data Set]]=SelectedDataSet)</f>
        <v>0</v>
      </c>
      <c r="J2484" s="14" t="b">
        <f>OR(LCI_Table[[#This Row],[Technology]]="All",LCI_Table[[#This Row],[Technology]]=SelectedTechnology)</f>
        <v>0</v>
      </c>
      <c r="K2484" s="14" t="b">
        <f>OR(LCI_Table[[#This Row],[Data Source]]="All",LCI_Table[[#This Row],[Data Source]]=SelectedDataSource)</f>
        <v>0</v>
      </c>
      <c r="L2484" s="14" t="b">
        <f>TRUE</f>
        <v>1</v>
      </c>
      <c r="M2484" s="14" t="b">
        <f>(LCI_Table[[#This Row],[Dev Notes]]="Do not display")</f>
        <v>0</v>
      </c>
      <c r="N2484" s="14" t="b">
        <f>AND(LCI_Table[[#This Row],[Show Feedstock]:[Conditional]],NOT(LCI_Table[[#This Row],[Hide Row]]))</f>
        <v>0</v>
      </c>
      <c r="O2484" s="14" t="b">
        <f>LCI_Table[[#This Row],[GREET1 Name Range]]=""</f>
        <v>0</v>
      </c>
      <c r="P2484" s="14" t="s">
        <v>1448</v>
      </c>
      <c r="Q2484" s="14" t="s">
        <v>933</v>
      </c>
      <c r="R2484" s="14" t="s">
        <v>362</v>
      </c>
      <c r="S2484" s="37" cm="1">
        <f t="array" aca="1" ref="S24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66.858287441247398</v>
      </c>
      <c r="T2484" s="346" t="s">
        <v>2119</v>
      </c>
      <c r="U2484" s="347">
        <f ca="1">S2484*lb2g/Fuel_Specs!$E$48*Fuel_Specs!$B$48*BTU2mmBTU</f>
        <v>1.26760553889976</v>
      </c>
      <c r="V2484" s="347">
        <v>66.858287441247398</v>
      </c>
      <c r="W2484" s="347">
        <v>1.26760553889976</v>
      </c>
      <c r="X2484" s="14" t="s">
        <v>12</v>
      </c>
      <c r="Y2484" s="346" t="s">
        <v>416</v>
      </c>
      <c r="Z2484" s="14" t="str">
        <f>IF(ISBLANK(LCI_Table[[#This Row],[Notes for user]])," ",LCI_Table[[#This Row],[Notes for user]])</f>
        <v xml:space="preserve"> </v>
      </c>
      <c r="AA2484" s="14"/>
      <c r="AB2484" s="14"/>
      <c r="AC2484" s="346">
        <f ca="1">LCI_Table[[#This Row],[Default Calculated Value]]-LCI_Table[[#This Row],[Calculated Value]]</f>
        <v>0</v>
      </c>
    </row>
    <row r="2485" spans="1:29" x14ac:dyDescent="0.3">
      <c r="A24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2_Jatropha_HEFA_Natural_gasNatural gas</v>
      </c>
      <c r="B2485" s="381" t="s">
        <v>126</v>
      </c>
      <c r="C2485" s="381" t="s">
        <v>30</v>
      </c>
      <c r="D2485" s="383" t="s">
        <v>194</v>
      </c>
      <c r="E2485" s="384" t="s">
        <v>1349</v>
      </c>
      <c r="F2485" s="375" t="s">
        <v>1367</v>
      </c>
      <c r="G2485" s="14" t="b">
        <f>OR(LCI_Table[[#This Row],[Feedstock]]="All",LCI_Table[[#This Row],[Feedstock]]=SelectedFeedstock)</f>
        <v>0</v>
      </c>
      <c r="H2485" s="14" t="b">
        <f>OR(LCI_Table[[#This Row],[Conversion]]="All",LCI_Table[[#This Row],[Conversion]]=SelectedConversion)</f>
        <v>1</v>
      </c>
      <c r="I2485" s="14" t="b">
        <f>OR(LCI_Table[[#This Row],[Data Set]]="all",LCI_Table[[#This Row],[Data Set]]=SelectedDataSet)</f>
        <v>0</v>
      </c>
      <c r="J2485" s="14" t="b">
        <f>OR(LCI_Table[[#This Row],[Technology]]="All",LCI_Table[[#This Row],[Technology]]=SelectedTechnology)</f>
        <v>0</v>
      </c>
      <c r="K2485" s="14" t="b">
        <f>OR(LCI_Table[[#This Row],[Data Source]]="All",LCI_Table[[#This Row],[Data Source]]=SelectedDataSource)</f>
        <v>0</v>
      </c>
      <c r="L2485" s="14" t="b">
        <f>TRUE</f>
        <v>1</v>
      </c>
      <c r="M2485" s="14" t="b">
        <f>(LCI_Table[[#This Row],[Dev Notes]]="Do not display")</f>
        <v>0</v>
      </c>
      <c r="N2485" s="14" t="b">
        <f>AND(LCI_Table[[#This Row],[Show Feedstock]:[Conditional]],NOT(LCI_Table[[#This Row],[Hide Row]]))</f>
        <v>0</v>
      </c>
      <c r="O2485" s="14" t="b">
        <f>LCI_Table[[#This Row],[GREET1 Name Range]]=""</f>
        <v>0</v>
      </c>
      <c r="P2485" s="14" t="s">
        <v>1448</v>
      </c>
      <c r="Q2485" s="14" t="s">
        <v>700</v>
      </c>
      <c r="R2485" s="14" t="s">
        <v>108</v>
      </c>
      <c r="S2485" s="37" cm="1">
        <f t="array" aca="1" ref="S24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83.039077531566818</v>
      </c>
      <c r="T2485" s="346" t="s">
        <v>2120</v>
      </c>
      <c r="U2485" s="347">
        <f ca="1">S2485*lb2g/Fuel_Specs!$E$48*Fuel_Specs!$B$48*Fuel_Specs!$B$79*BTU2mmBTU</f>
        <v>1547.62206863969</v>
      </c>
      <c r="V2485" s="347">
        <v>83.039077531566818</v>
      </c>
      <c r="W2485" s="347">
        <v>1547.62206863969</v>
      </c>
      <c r="X2485" s="14" t="s">
        <v>351</v>
      </c>
      <c r="Y2485" s="346" t="s">
        <v>416</v>
      </c>
      <c r="Z2485" s="14" t="str">
        <f>IF(ISBLANK(LCI_Table[[#This Row],[Notes for user]])," ",LCI_Table[[#This Row],[Notes for user]])</f>
        <v xml:space="preserve"> </v>
      </c>
      <c r="AA2485" s="14"/>
      <c r="AB2485" s="14"/>
      <c r="AC2485" s="346">
        <f ca="1">LCI_Table[[#This Row],[Default Calculated Value]]-LCI_Table[[#This Row],[Calculated Value]]</f>
        <v>0</v>
      </c>
    </row>
    <row r="2486" spans="1:29" x14ac:dyDescent="0.3">
      <c r="A24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2_Jatropha_HEFA_ElectricityGrid Electricity</v>
      </c>
      <c r="B2486" s="381" t="s">
        <v>126</v>
      </c>
      <c r="C2486" s="381" t="s">
        <v>30</v>
      </c>
      <c r="D2486" s="383" t="s">
        <v>194</v>
      </c>
      <c r="E2486" s="384" t="s">
        <v>1349</v>
      </c>
      <c r="F2486" s="375" t="s">
        <v>1367</v>
      </c>
      <c r="G2486" s="14" t="b">
        <f>OR(LCI_Table[[#This Row],[Feedstock]]="All",LCI_Table[[#This Row],[Feedstock]]=SelectedFeedstock)</f>
        <v>0</v>
      </c>
      <c r="H2486" s="14" t="b">
        <f>OR(LCI_Table[[#This Row],[Conversion]]="All",LCI_Table[[#This Row],[Conversion]]=SelectedConversion)</f>
        <v>1</v>
      </c>
      <c r="I2486" s="14" t="b">
        <f>OR(LCI_Table[[#This Row],[Data Set]]="all",LCI_Table[[#This Row],[Data Set]]=SelectedDataSet)</f>
        <v>0</v>
      </c>
      <c r="J2486" s="14" t="b">
        <f>OR(LCI_Table[[#This Row],[Technology]]="All",LCI_Table[[#This Row],[Technology]]=SelectedTechnology)</f>
        <v>0</v>
      </c>
      <c r="K2486" s="14" t="b">
        <f>OR(LCI_Table[[#This Row],[Data Source]]="All",LCI_Table[[#This Row],[Data Source]]=SelectedDataSource)</f>
        <v>0</v>
      </c>
      <c r="L2486" s="14" t="b">
        <f>TRUE</f>
        <v>1</v>
      </c>
      <c r="M2486" s="14" t="b">
        <f>(LCI_Table[[#This Row],[Dev Notes]]="Do not display")</f>
        <v>0</v>
      </c>
      <c r="N2486" s="14" t="b">
        <f>AND(LCI_Table[[#This Row],[Show Feedstock]:[Conditional]],NOT(LCI_Table[[#This Row],[Hide Row]]))</f>
        <v>0</v>
      </c>
      <c r="O2486" s="14" t="b">
        <f>LCI_Table[[#This Row],[GREET1 Name Range]]=""</f>
        <v>0</v>
      </c>
      <c r="P2486" s="14" t="s">
        <v>1448</v>
      </c>
      <c r="Q2486" s="14" t="s">
        <v>698</v>
      </c>
      <c r="R2486" s="14" t="s">
        <v>1684</v>
      </c>
      <c r="S2486" s="37" cm="1">
        <f t="array" aca="1" ref="S24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1.3550946959657855</v>
      </c>
      <c r="T2486" s="346" t="s">
        <v>2121</v>
      </c>
      <c r="U2486" s="347">
        <f ca="1">S2486*lb2g/Fuel_Specs!$E$48*Fuel_Specs!$B$48/BTU2kWh*BTU2mmBTU</f>
        <v>87.664866633185198</v>
      </c>
      <c r="V2486" s="347">
        <v>1.3550946959657855</v>
      </c>
      <c r="W2486" s="347">
        <v>87.664866633185198</v>
      </c>
      <c r="X2486" s="14" t="s">
        <v>51</v>
      </c>
      <c r="Y2486" s="346" t="s">
        <v>416</v>
      </c>
      <c r="Z2486" s="14" t="str">
        <f>IF(ISBLANK(LCI_Table[[#This Row],[Notes for user]])," ",LCI_Table[[#This Row],[Notes for user]])</f>
        <v xml:space="preserve"> </v>
      </c>
      <c r="AA2486" s="14"/>
      <c r="AB2486" s="14"/>
      <c r="AC2486" s="346">
        <f ca="1">LCI_Table[[#This Row],[Default Calculated Value]]-LCI_Table[[#This Row],[Calculated Value]]</f>
        <v>0</v>
      </c>
    </row>
    <row r="2487" spans="1:29" x14ac:dyDescent="0.3">
      <c r="A24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2_Jatropha_HEFA_HydrogenHydrogen</v>
      </c>
      <c r="B2487" s="381" t="s">
        <v>126</v>
      </c>
      <c r="C2487" s="381" t="s">
        <v>30</v>
      </c>
      <c r="D2487" s="383" t="s">
        <v>194</v>
      </c>
      <c r="E2487" s="384" t="s">
        <v>1349</v>
      </c>
      <c r="F2487" s="375" t="s">
        <v>1367</v>
      </c>
      <c r="G2487" s="14" t="b">
        <f>OR(LCI_Table[[#This Row],[Feedstock]]="All",LCI_Table[[#This Row],[Feedstock]]=SelectedFeedstock)</f>
        <v>0</v>
      </c>
      <c r="H2487" s="14" t="b">
        <f>OR(LCI_Table[[#This Row],[Conversion]]="All",LCI_Table[[#This Row],[Conversion]]=SelectedConversion)</f>
        <v>1</v>
      </c>
      <c r="I2487" s="14" t="b">
        <f>OR(LCI_Table[[#This Row],[Data Set]]="all",LCI_Table[[#This Row],[Data Set]]=SelectedDataSet)</f>
        <v>0</v>
      </c>
      <c r="J2487" s="14" t="b">
        <f>OR(LCI_Table[[#This Row],[Technology]]="All",LCI_Table[[#This Row],[Technology]]=SelectedTechnology)</f>
        <v>0</v>
      </c>
      <c r="K2487" s="14" t="b">
        <f>OR(LCI_Table[[#This Row],[Data Source]]="All",LCI_Table[[#This Row],[Data Source]]=SelectedDataSource)</f>
        <v>0</v>
      </c>
      <c r="L2487" s="14" t="b">
        <f>TRUE</f>
        <v>1</v>
      </c>
      <c r="M2487" s="14" t="b">
        <f>(LCI_Table[[#This Row],[Dev Notes]]="Do not display")</f>
        <v>0</v>
      </c>
      <c r="N2487" s="14" t="b">
        <f>AND(LCI_Table[[#This Row],[Show Feedstock]:[Conditional]],NOT(LCI_Table[[#This Row],[Hide Row]]))</f>
        <v>0</v>
      </c>
      <c r="O2487" s="14" t="b">
        <f>LCI_Table[[#This Row],[GREET1 Name Range]]=""</f>
        <v>0</v>
      </c>
      <c r="P2487" s="14" t="s">
        <v>1448</v>
      </c>
      <c r="Q2487" s="14" t="s">
        <v>699</v>
      </c>
      <c r="R2487" s="14" t="s">
        <v>73</v>
      </c>
      <c r="S2487" s="37" cm="1">
        <f t="array" aca="1" ref="S24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315.81487345029103</v>
      </c>
      <c r="T2487" s="346" t="s">
        <v>2120</v>
      </c>
      <c r="U2487" s="347">
        <f ca="1">S2487*lb2g/Fuel_Specs!$E$48*Fuel_Specs!$B$48*Fuel_Specs!$B$81*BTU2mmBTU</f>
        <v>1736.4387044650198</v>
      </c>
      <c r="V2487" s="347">
        <v>315.81487345029103</v>
      </c>
      <c r="W2487" s="347">
        <v>1736.4387044650198</v>
      </c>
      <c r="X2487" s="14" t="s">
        <v>351</v>
      </c>
      <c r="Y2487" s="346" t="s">
        <v>416</v>
      </c>
      <c r="Z2487" s="14" t="str">
        <f>IF(ISBLANK(LCI_Table[[#This Row],[Notes for user]])," ",LCI_Table[[#This Row],[Notes for user]])</f>
        <v xml:space="preserve"> </v>
      </c>
      <c r="AA2487" s="14"/>
      <c r="AB2487" s="14"/>
      <c r="AC2487" s="346">
        <f ca="1">LCI_Table[[#This Row],[Default Calculated Value]]-LCI_Table[[#This Row],[Calculated Value]]</f>
        <v>0</v>
      </c>
    </row>
    <row r="2488" spans="1:29" x14ac:dyDescent="0.3">
      <c r="A24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2_Jatropha_Oil_HEFA_Energy_AllocationAllocation factor</v>
      </c>
      <c r="B2488" s="382" t="s">
        <v>126</v>
      </c>
      <c r="C2488" s="382" t="s">
        <v>30</v>
      </c>
      <c r="D2488" s="385" t="s">
        <v>194</v>
      </c>
      <c r="E2488" s="386" t="s">
        <v>1349</v>
      </c>
      <c r="F2488" s="375" t="s">
        <v>1367</v>
      </c>
      <c r="G2488" s="14" t="b">
        <f>OR(LCI_Table[[#This Row],[Feedstock]]="All",LCI_Table[[#This Row],[Feedstock]]=SelectedFeedstock)</f>
        <v>0</v>
      </c>
      <c r="H2488" s="14" t="b">
        <f>OR(LCI_Table[[#This Row],[Conversion]]="All",LCI_Table[[#This Row],[Conversion]]=SelectedConversion)</f>
        <v>1</v>
      </c>
      <c r="I2488" s="14" t="b">
        <f>OR(LCI_Table[[#This Row],[Data Set]]="all",LCI_Table[[#This Row],[Data Set]]=SelectedDataSet)</f>
        <v>0</v>
      </c>
      <c r="J2488" s="14" t="b">
        <f>OR(LCI_Table[[#This Row],[Technology]]="All",LCI_Table[[#This Row],[Technology]]=SelectedTechnology)</f>
        <v>0</v>
      </c>
      <c r="K2488" s="14" t="b">
        <f>OR(LCI_Table[[#This Row],[Data Source]]="All",LCI_Table[[#This Row],[Data Source]]=SelectedDataSource)</f>
        <v>0</v>
      </c>
      <c r="L2488" s="14" t="b">
        <f>TRUE</f>
        <v>1</v>
      </c>
      <c r="M2488" s="14" t="b">
        <f>(LCI_Table[[#This Row],[Dev Notes]]="Do not display")</f>
        <v>0</v>
      </c>
      <c r="N2488" s="14" t="b">
        <f>AND(LCI_Table[[#This Row],[Show Feedstock]:[Conditional]],NOT(LCI_Table[[#This Row],[Hide Row]]))</f>
        <v>0</v>
      </c>
      <c r="O2488" s="14" t="b">
        <f>LCI_Table[[#This Row],[GREET1 Name Range]]=""</f>
        <v>0</v>
      </c>
      <c r="P2488" s="14" t="s">
        <v>1448</v>
      </c>
      <c r="Q2488" s="14" t="s">
        <v>1118</v>
      </c>
      <c r="R2488" s="14" t="s">
        <v>1344</v>
      </c>
      <c r="S2488" s="37" cm="1">
        <f t="array" aca="1" ref="S24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91.171197532976606</v>
      </c>
      <c r="T2488" s="346" t="s">
        <v>1345</v>
      </c>
      <c r="U2488" s="376">
        <f ca="1">LCI_Table[[#This Row],[Dashboard Value]]/100</f>
        <v>0.91171197532976611</v>
      </c>
      <c r="V2488" s="376">
        <v>91.171197532976606</v>
      </c>
      <c r="W2488" s="376">
        <v>0.91171197532976611</v>
      </c>
      <c r="X2488" s="14" t="s">
        <v>1345</v>
      </c>
      <c r="Y2488" s="346" t="s">
        <v>416</v>
      </c>
      <c r="Z2488" s="14" t="str">
        <f>IF(ISBLANK(LCI_Table[[#This Row],[Notes for user]])," ",LCI_Table[[#This Row],[Notes for user]])</f>
        <v>Allocation to main distillate fuels (energy allocation)</v>
      </c>
      <c r="AA2488" s="14" t="s">
        <v>1353</v>
      </c>
      <c r="AB2488" s="14"/>
      <c r="AC2488" s="346">
        <f ca="1">LCI_Table[[#This Row],[Default Calculated Value]]-LCI_Table[[#This Row],[Calculated Value]]</f>
        <v>0</v>
      </c>
    </row>
    <row r="2489" spans="1:29" x14ac:dyDescent="0.3">
      <c r="A24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dash_JatrophaHEFAICAOUS (GREET)Scenario 3_Yield_Farming</v>
      </c>
      <c r="B2489" s="377" t="s">
        <v>126</v>
      </c>
      <c r="C2489" s="377" t="s">
        <v>30</v>
      </c>
      <c r="D2489" s="378" t="s">
        <v>194</v>
      </c>
      <c r="E2489" s="379" t="s">
        <v>1349</v>
      </c>
      <c r="F2489" s="375" t="s">
        <v>1368</v>
      </c>
      <c r="G2489" s="14" t="b">
        <f>OR(LCI_Table[[#This Row],[Feedstock]]="All",LCI_Table[[#This Row],[Feedstock]]=SelectedFeedstock)</f>
        <v>0</v>
      </c>
      <c r="H2489" s="14" t="b">
        <f>OR(LCI_Table[[#This Row],[Conversion]]="All",LCI_Table[[#This Row],[Conversion]]=SelectedConversion)</f>
        <v>1</v>
      </c>
      <c r="I2489" s="14" t="b">
        <f>OR(LCI_Table[[#This Row],[Data Set]]="all",LCI_Table[[#This Row],[Data Set]]=SelectedDataSet)</f>
        <v>0</v>
      </c>
      <c r="J2489" s="14" t="b">
        <f>OR(LCI_Table[[#This Row],[Technology]]="All",LCI_Table[[#This Row],[Technology]]=SelectedTechnology)</f>
        <v>0</v>
      </c>
      <c r="K2489" s="14" t="b">
        <f>OR(LCI_Table[[#This Row],[Data Source]]="All",LCI_Table[[#This Row],[Data Source]]=SelectedDataSource)</f>
        <v>0</v>
      </c>
      <c r="L2489" s="14" t="b">
        <f>TRUE</f>
        <v>1</v>
      </c>
      <c r="M2489" s="14" t="b">
        <f>(LCI_Table[[#This Row],[Dev Notes]]="Do not display")</f>
        <v>0</v>
      </c>
      <c r="N2489" s="14" t="b">
        <f>AND(LCI_Table[[#This Row],[Show Feedstock]:[Conditional]],NOT(LCI_Table[[#This Row],[Hide Row]]))</f>
        <v>0</v>
      </c>
      <c r="O2489" s="14" t="b">
        <f>LCI_Table[[#This Row],[GREET1 Name Range]]=""</f>
        <v>1</v>
      </c>
      <c r="P2489" s="380" t="s">
        <v>14</v>
      </c>
      <c r="Q2489" s="14" t="s">
        <v>361</v>
      </c>
      <c r="R2489" s="48" t="s">
        <v>200</v>
      </c>
      <c r="S2489" s="37" cm="1">
        <f t="array" aca="1" ref="S24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0.78065793655234927</v>
      </c>
      <c r="T2489" s="346" t="s">
        <v>2125</v>
      </c>
      <c r="U2489" s="343"/>
      <c r="V2489" s="343">
        <v>0.78065793655234927</v>
      </c>
      <c r="W2489" s="343"/>
      <c r="X2489" s="48" t="s">
        <v>55</v>
      </c>
      <c r="Y2489" s="346" t="s">
        <v>416</v>
      </c>
      <c r="Z2489" s="14" t="str">
        <f>IF(ISBLANK(LCI_Table[[#This Row],[Notes for user]])," ",LCI_Table[[#This Row],[Notes for user]])</f>
        <v>Plantations International (2022)</v>
      </c>
      <c r="AA2489" s="48" t="s">
        <v>1150</v>
      </c>
      <c r="AB2489" s="345"/>
      <c r="AC2489" s="346">
        <f>LCI_Table[[#This Row],[Default Calculated Value]]-LCI_Table[[#This Row],[Calculated Value]]</f>
        <v>0</v>
      </c>
    </row>
    <row r="2490" spans="1:29" x14ac:dyDescent="0.3">
      <c r="A24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3_Jatropha_Farming_Nitrogen_fertilizerNitrogen fertilizer</v>
      </c>
      <c r="B2490" s="381" t="s">
        <v>126</v>
      </c>
      <c r="C2490" s="381" t="s">
        <v>30</v>
      </c>
      <c r="D2490" s="383" t="s">
        <v>194</v>
      </c>
      <c r="E2490" s="384" t="s">
        <v>1349</v>
      </c>
      <c r="F2490" s="375" t="s">
        <v>1368</v>
      </c>
      <c r="G2490" s="14" t="b">
        <f>OR(LCI_Table[[#This Row],[Feedstock]]="All",LCI_Table[[#This Row],[Feedstock]]=SelectedFeedstock)</f>
        <v>0</v>
      </c>
      <c r="H2490" s="14" t="b">
        <f>OR(LCI_Table[[#This Row],[Conversion]]="All",LCI_Table[[#This Row],[Conversion]]=SelectedConversion)</f>
        <v>1</v>
      </c>
      <c r="I2490" s="14" t="b">
        <f>OR(LCI_Table[[#This Row],[Data Set]]="all",LCI_Table[[#This Row],[Data Set]]=SelectedDataSet)</f>
        <v>0</v>
      </c>
      <c r="J2490" s="14" t="b">
        <f>OR(LCI_Table[[#This Row],[Technology]]="All",LCI_Table[[#This Row],[Technology]]=SelectedTechnology)</f>
        <v>0</v>
      </c>
      <c r="K2490" s="14" t="b">
        <f>OR(LCI_Table[[#This Row],[Data Source]]="All",LCI_Table[[#This Row],[Data Source]]=SelectedDataSource)</f>
        <v>0</v>
      </c>
      <c r="L2490" s="14" t="b">
        <f>TRUE</f>
        <v>1</v>
      </c>
      <c r="M2490" s="14" t="b">
        <f>(LCI_Table[[#This Row],[Dev Notes]]="Do not display")</f>
        <v>0</v>
      </c>
      <c r="N2490" s="14" t="b">
        <f>AND(LCI_Table[[#This Row],[Show Feedstock]:[Conditional]],NOT(LCI_Table[[#This Row],[Hide Row]]))</f>
        <v>0</v>
      </c>
      <c r="O2490" s="14" t="b">
        <f>LCI_Table[[#This Row],[GREET1 Name Range]]=""</f>
        <v>0</v>
      </c>
      <c r="P2490" s="14" t="s">
        <v>14</v>
      </c>
      <c r="Q2490" s="14" t="s">
        <v>695</v>
      </c>
      <c r="R2490" s="14" t="s">
        <v>111</v>
      </c>
      <c r="S2490" s="37" cm="1">
        <f t="array" aca="1" ref="S24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57.111193015541474</v>
      </c>
      <c r="T2490" s="346" t="s">
        <v>2119</v>
      </c>
      <c r="U2490" s="347">
        <f ca="1">S2490/g2lb/S2489*kg2ton</f>
        <v>36.578884516158197</v>
      </c>
      <c r="V2490" s="347">
        <v>57.111193015541474</v>
      </c>
      <c r="W2490" s="347">
        <v>36.578884516158197</v>
      </c>
      <c r="X2490" s="14" t="s">
        <v>12</v>
      </c>
      <c r="Y2490" s="346" t="s">
        <v>416</v>
      </c>
      <c r="Z2490" s="14" t="str">
        <f>IF(ISBLANK(LCI_Table[[#This Row],[Notes for user]])," ",LCI_Table[[#This Row],[Notes for user]])</f>
        <v xml:space="preserve"> </v>
      </c>
      <c r="AA2490" s="14"/>
      <c r="AB2490" s="14"/>
      <c r="AC2490" s="346">
        <f ca="1">LCI_Table[[#This Row],[Default Calculated Value]]-LCI_Table[[#This Row],[Calculated Value]]</f>
        <v>0</v>
      </c>
    </row>
    <row r="2491" spans="1:29" x14ac:dyDescent="0.3">
      <c r="A24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3_Jatropha_Farming_P2O5P2O5</v>
      </c>
      <c r="B2491" s="381" t="s">
        <v>126</v>
      </c>
      <c r="C2491" s="381" t="s">
        <v>30</v>
      </c>
      <c r="D2491" s="383" t="s">
        <v>194</v>
      </c>
      <c r="E2491" s="384" t="s">
        <v>1349</v>
      </c>
      <c r="F2491" s="375" t="s">
        <v>1368</v>
      </c>
      <c r="G2491" s="14" t="b">
        <f>OR(LCI_Table[[#This Row],[Feedstock]]="All",LCI_Table[[#This Row],[Feedstock]]=SelectedFeedstock)</f>
        <v>0</v>
      </c>
      <c r="H2491" s="14" t="b">
        <f>OR(LCI_Table[[#This Row],[Conversion]]="All",LCI_Table[[#This Row],[Conversion]]=SelectedConversion)</f>
        <v>1</v>
      </c>
      <c r="I2491" s="14" t="b">
        <f>OR(LCI_Table[[#This Row],[Data Set]]="all",LCI_Table[[#This Row],[Data Set]]=SelectedDataSet)</f>
        <v>0</v>
      </c>
      <c r="J2491" s="14" t="b">
        <f>OR(LCI_Table[[#This Row],[Technology]]="All",LCI_Table[[#This Row],[Technology]]=SelectedTechnology)</f>
        <v>0</v>
      </c>
      <c r="K2491" s="14" t="b">
        <f>OR(LCI_Table[[#This Row],[Data Source]]="All",LCI_Table[[#This Row],[Data Source]]=SelectedDataSource)</f>
        <v>0</v>
      </c>
      <c r="L2491" s="14" t="b">
        <f>TRUE</f>
        <v>1</v>
      </c>
      <c r="M2491" s="14" t="b">
        <f>(LCI_Table[[#This Row],[Dev Notes]]="Do not display")</f>
        <v>0</v>
      </c>
      <c r="N2491" s="14" t="b">
        <f>AND(LCI_Table[[#This Row],[Show Feedstock]:[Conditional]],NOT(LCI_Table[[#This Row],[Hide Row]]))</f>
        <v>0</v>
      </c>
      <c r="O2491" s="14" t="b">
        <f>LCI_Table[[#This Row],[GREET1 Name Range]]=""</f>
        <v>0</v>
      </c>
      <c r="P2491" s="14" t="s">
        <v>14</v>
      </c>
      <c r="Q2491" s="14" t="s">
        <v>696</v>
      </c>
      <c r="R2491" s="14" t="s">
        <v>112</v>
      </c>
      <c r="S2491" s="37" cm="1">
        <f t="array" aca="1" ref="S24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21.836632623589317</v>
      </c>
      <c r="T2491" s="346" t="s">
        <v>2119</v>
      </c>
      <c r="U2491" s="347">
        <f ca="1">S2491/g2lb/S2489*kg2ton</f>
        <v>13.986044079707501</v>
      </c>
      <c r="V2491" s="347">
        <v>21.836632623589317</v>
      </c>
      <c r="W2491" s="347">
        <v>13.986044079707501</v>
      </c>
      <c r="X2491" s="14" t="s">
        <v>12</v>
      </c>
      <c r="Y2491" s="346" t="s">
        <v>416</v>
      </c>
      <c r="Z2491" s="14" t="str">
        <f>IF(ISBLANK(LCI_Table[[#This Row],[Notes for user]])," ",LCI_Table[[#This Row],[Notes for user]])</f>
        <v xml:space="preserve"> </v>
      </c>
      <c r="AA2491" s="14"/>
      <c r="AB2491" s="14"/>
      <c r="AC2491" s="346">
        <f ca="1">LCI_Table[[#This Row],[Default Calculated Value]]-LCI_Table[[#This Row],[Calculated Value]]</f>
        <v>0</v>
      </c>
    </row>
    <row r="2492" spans="1:29" x14ac:dyDescent="0.3">
      <c r="A24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3_Jatropha_Farming_K2OK2O</v>
      </c>
      <c r="B2492" s="381" t="s">
        <v>126</v>
      </c>
      <c r="C2492" s="381" t="s">
        <v>30</v>
      </c>
      <c r="D2492" s="383" t="s">
        <v>194</v>
      </c>
      <c r="E2492" s="384" t="s">
        <v>1349</v>
      </c>
      <c r="F2492" s="375" t="s">
        <v>1368</v>
      </c>
      <c r="G2492" s="14" t="b">
        <f>OR(LCI_Table[[#This Row],[Feedstock]]="All",LCI_Table[[#This Row],[Feedstock]]=SelectedFeedstock)</f>
        <v>0</v>
      </c>
      <c r="H2492" s="14" t="b">
        <f>OR(LCI_Table[[#This Row],[Conversion]]="All",LCI_Table[[#This Row],[Conversion]]=SelectedConversion)</f>
        <v>1</v>
      </c>
      <c r="I2492" s="14" t="b">
        <f>OR(LCI_Table[[#This Row],[Data Set]]="all",LCI_Table[[#This Row],[Data Set]]=SelectedDataSet)</f>
        <v>0</v>
      </c>
      <c r="J2492" s="14" t="b">
        <f>OR(LCI_Table[[#This Row],[Technology]]="All",LCI_Table[[#This Row],[Technology]]=SelectedTechnology)</f>
        <v>0</v>
      </c>
      <c r="K2492" s="14" t="b">
        <f>OR(LCI_Table[[#This Row],[Data Source]]="All",LCI_Table[[#This Row],[Data Source]]=SelectedDataSource)</f>
        <v>0</v>
      </c>
      <c r="L2492" s="14" t="b">
        <f>TRUE</f>
        <v>1</v>
      </c>
      <c r="M2492" s="14" t="b">
        <f>(LCI_Table[[#This Row],[Dev Notes]]="Do not display")</f>
        <v>0</v>
      </c>
      <c r="N2492" s="14" t="b">
        <f>AND(LCI_Table[[#This Row],[Show Feedstock]:[Conditional]],NOT(LCI_Table[[#This Row],[Hide Row]]))</f>
        <v>0</v>
      </c>
      <c r="O2492" s="14" t="b">
        <f>LCI_Table[[#This Row],[GREET1 Name Range]]=""</f>
        <v>0</v>
      </c>
      <c r="P2492" s="14" t="s">
        <v>14</v>
      </c>
      <c r="Q2492" s="14" t="s">
        <v>692</v>
      </c>
      <c r="R2492" s="14" t="s">
        <v>113</v>
      </c>
      <c r="S2492" s="37" cm="1">
        <f t="array" aca="1" ref="S24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62.822312317095594</v>
      </c>
      <c r="T2492" s="346" t="s">
        <v>2119</v>
      </c>
      <c r="U2492" s="347">
        <f ca="1">S2492/g2lb/S2489*kg2ton</f>
        <v>40.236772967773994</v>
      </c>
      <c r="V2492" s="347">
        <v>62.822312317095594</v>
      </c>
      <c r="W2492" s="347">
        <v>40.236772967773994</v>
      </c>
      <c r="X2492" s="14" t="s">
        <v>12</v>
      </c>
      <c r="Y2492" s="346" t="s">
        <v>416</v>
      </c>
      <c r="Z2492" s="14" t="str">
        <f>IF(ISBLANK(LCI_Table[[#This Row],[Notes for user]])," ",LCI_Table[[#This Row],[Notes for user]])</f>
        <v xml:space="preserve"> </v>
      </c>
      <c r="AA2492" s="14"/>
      <c r="AB2492" s="14"/>
      <c r="AC2492" s="346">
        <f ca="1">LCI_Table[[#This Row],[Default Calculated Value]]-LCI_Table[[#This Row],[Calculated Value]]</f>
        <v>0</v>
      </c>
    </row>
    <row r="2493" spans="1:29" x14ac:dyDescent="0.3">
      <c r="A24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3_Jatropha_Farming_CaCO3CaCO3</v>
      </c>
      <c r="B2493" s="381" t="s">
        <v>126</v>
      </c>
      <c r="C2493" s="381" t="s">
        <v>30</v>
      </c>
      <c r="D2493" s="383" t="s">
        <v>194</v>
      </c>
      <c r="E2493" s="384" t="s">
        <v>1349</v>
      </c>
      <c r="F2493" s="375" t="s">
        <v>1368</v>
      </c>
      <c r="G2493" s="14" t="b">
        <f>OR(LCI_Table[[#This Row],[Feedstock]]="All",LCI_Table[[#This Row],[Feedstock]]=SelectedFeedstock)</f>
        <v>0</v>
      </c>
      <c r="H2493" s="14" t="b">
        <f>OR(LCI_Table[[#This Row],[Conversion]]="All",LCI_Table[[#This Row],[Conversion]]=SelectedConversion)</f>
        <v>1</v>
      </c>
      <c r="I2493" s="14" t="b">
        <f>OR(LCI_Table[[#This Row],[Data Set]]="all",LCI_Table[[#This Row],[Data Set]]=SelectedDataSet)</f>
        <v>0</v>
      </c>
      <c r="J2493" s="14" t="b">
        <f>OR(LCI_Table[[#This Row],[Technology]]="All",LCI_Table[[#This Row],[Technology]]=SelectedTechnology)</f>
        <v>0</v>
      </c>
      <c r="K2493" s="14" t="b">
        <f>OR(LCI_Table[[#This Row],[Data Source]]="All",LCI_Table[[#This Row],[Data Source]]=SelectedDataSource)</f>
        <v>0</v>
      </c>
      <c r="L2493" s="14" t="b">
        <f>TRUE</f>
        <v>1</v>
      </c>
      <c r="M2493" s="14" t="b">
        <f>(LCI_Table[[#This Row],[Dev Notes]]="Do not display")</f>
        <v>0</v>
      </c>
      <c r="N2493" s="14" t="b">
        <f>AND(LCI_Table[[#This Row],[Show Feedstock]:[Conditional]],NOT(LCI_Table[[#This Row],[Hide Row]]))</f>
        <v>0</v>
      </c>
      <c r="O2493" s="14" t="b">
        <f>LCI_Table[[#This Row],[GREET1 Name Range]]=""</f>
        <v>0</v>
      </c>
      <c r="P2493" s="14" t="s">
        <v>14</v>
      </c>
      <c r="Q2493" s="14" t="s">
        <v>685</v>
      </c>
      <c r="R2493" s="14" t="s">
        <v>141</v>
      </c>
      <c r="S2493" s="37" cm="1">
        <f t="array" aca="1" ref="S24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93" s="346" t="s">
        <v>2119</v>
      </c>
      <c r="U2493" s="347">
        <f ca="1">S2493/g2lb/S2489*kg2ton</f>
        <v>0</v>
      </c>
      <c r="V2493" s="347">
        <v>0</v>
      </c>
      <c r="W2493" s="347">
        <v>0</v>
      </c>
      <c r="X2493" s="14" t="s">
        <v>12</v>
      </c>
      <c r="Y2493" s="346" t="s">
        <v>416</v>
      </c>
      <c r="Z2493" s="14" t="str">
        <f>IF(ISBLANK(LCI_Table[[#This Row],[Notes for user]])," ",LCI_Table[[#This Row],[Notes for user]])</f>
        <v xml:space="preserve"> </v>
      </c>
      <c r="AA2493" s="14"/>
      <c r="AB2493" s="14"/>
      <c r="AC2493" s="346">
        <f ca="1">LCI_Table[[#This Row],[Default Calculated Value]]-LCI_Table[[#This Row],[Calculated Value]]</f>
        <v>0</v>
      </c>
    </row>
    <row r="2494" spans="1:29" x14ac:dyDescent="0.3">
      <c r="A24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3_Jatropha_Farming_HerbicidesHerbicides</v>
      </c>
      <c r="B2494" s="381" t="s">
        <v>126</v>
      </c>
      <c r="C2494" s="381" t="s">
        <v>30</v>
      </c>
      <c r="D2494" s="383" t="s">
        <v>194</v>
      </c>
      <c r="E2494" s="384" t="s">
        <v>1349</v>
      </c>
      <c r="F2494" s="375" t="s">
        <v>1368</v>
      </c>
      <c r="G2494" s="14" t="b">
        <f>OR(LCI_Table[[#This Row],[Feedstock]]="All",LCI_Table[[#This Row],[Feedstock]]=SelectedFeedstock)</f>
        <v>0</v>
      </c>
      <c r="H2494" s="14" t="b">
        <f>OR(LCI_Table[[#This Row],[Conversion]]="All",LCI_Table[[#This Row],[Conversion]]=SelectedConversion)</f>
        <v>1</v>
      </c>
      <c r="I2494" s="14" t="b">
        <f>OR(LCI_Table[[#This Row],[Data Set]]="all",LCI_Table[[#This Row],[Data Set]]=SelectedDataSet)</f>
        <v>0</v>
      </c>
      <c r="J2494" s="14" t="b">
        <f>OR(LCI_Table[[#This Row],[Technology]]="All",LCI_Table[[#This Row],[Technology]]=SelectedTechnology)</f>
        <v>0</v>
      </c>
      <c r="K2494" s="14" t="b">
        <f>OR(LCI_Table[[#This Row],[Data Source]]="All",LCI_Table[[#This Row],[Data Source]]=SelectedDataSource)</f>
        <v>0</v>
      </c>
      <c r="L2494" s="14" t="b">
        <f>TRUE</f>
        <v>1</v>
      </c>
      <c r="M2494" s="14" t="b">
        <f>(LCI_Table[[#This Row],[Dev Notes]]="Do not display")</f>
        <v>0</v>
      </c>
      <c r="N2494" s="14" t="b">
        <f>AND(LCI_Table[[#This Row],[Show Feedstock]:[Conditional]],NOT(LCI_Table[[#This Row],[Hide Row]]))</f>
        <v>0</v>
      </c>
      <c r="O2494" s="14" t="b">
        <f>LCI_Table[[#This Row],[GREET1 Name Range]]=""</f>
        <v>0</v>
      </c>
      <c r="P2494" s="14" t="s">
        <v>14</v>
      </c>
      <c r="Q2494" s="14" t="s">
        <v>690</v>
      </c>
      <c r="R2494" s="14" t="s">
        <v>356</v>
      </c>
      <c r="S2494" s="37" cm="1">
        <f t="array" aca="1" ref="S24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94" s="346" t="s">
        <v>2119</v>
      </c>
      <c r="U2494" s="347">
        <f ca="1">S2494/g2lb/S2489*kg2ton</f>
        <v>0</v>
      </c>
      <c r="V2494" s="347">
        <v>0</v>
      </c>
      <c r="W2494" s="347">
        <v>0</v>
      </c>
      <c r="X2494" s="14" t="s">
        <v>12</v>
      </c>
      <c r="Y2494" s="346" t="s">
        <v>416</v>
      </c>
      <c r="Z2494" s="14" t="str">
        <f>IF(ISBLANK(LCI_Table[[#This Row],[Notes for user]])," ",LCI_Table[[#This Row],[Notes for user]])</f>
        <v xml:space="preserve"> </v>
      </c>
      <c r="AA2494" s="14"/>
      <c r="AB2494" s="14"/>
      <c r="AC2494" s="346">
        <f ca="1">LCI_Table[[#This Row],[Default Calculated Value]]-LCI_Table[[#This Row],[Calculated Value]]</f>
        <v>0</v>
      </c>
    </row>
    <row r="2495" spans="1:29" x14ac:dyDescent="0.3">
      <c r="A24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3_Jatropha_Farming_InsecticideInsecticide</v>
      </c>
      <c r="B2495" s="381" t="s">
        <v>126</v>
      </c>
      <c r="C2495" s="381" t="s">
        <v>30</v>
      </c>
      <c r="D2495" s="383" t="s">
        <v>194</v>
      </c>
      <c r="E2495" s="384" t="s">
        <v>1349</v>
      </c>
      <c r="F2495" s="375" t="s">
        <v>1368</v>
      </c>
      <c r="G2495" s="14" t="b">
        <f>OR(LCI_Table[[#This Row],[Feedstock]]="All",LCI_Table[[#This Row],[Feedstock]]=SelectedFeedstock)</f>
        <v>0</v>
      </c>
      <c r="H2495" s="14" t="b">
        <f>OR(LCI_Table[[#This Row],[Conversion]]="All",LCI_Table[[#This Row],[Conversion]]=SelectedConversion)</f>
        <v>1</v>
      </c>
      <c r="I2495" s="14" t="b">
        <f>OR(LCI_Table[[#This Row],[Data Set]]="all",LCI_Table[[#This Row],[Data Set]]=SelectedDataSet)</f>
        <v>0</v>
      </c>
      <c r="J2495" s="14" t="b">
        <f>OR(LCI_Table[[#This Row],[Technology]]="All",LCI_Table[[#This Row],[Technology]]=SelectedTechnology)</f>
        <v>0</v>
      </c>
      <c r="K2495" s="14" t="b">
        <f>OR(LCI_Table[[#This Row],[Data Source]]="All",LCI_Table[[#This Row],[Data Source]]=SelectedDataSource)</f>
        <v>0</v>
      </c>
      <c r="L2495" s="14" t="b">
        <f>TRUE</f>
        <v>1</v>
      </c>
      <c r="M2495" s="14" t="b">
        <f>(LCI_Table[[#This Row],[Dev Notes]]="Do not display")</f>
        <v>0</v>
      </c>
      <c r="N2495" s="14" t="b">
        <f>AND(LCI_Table[[#This Row],[Show Feedstock]:[Conditional]],NOT(LCI_Table[[#This Row],[Hide Row]]))</f>
        <v>0</v>
      </c>
      <c r="O2495" s="14" t="b">
        <f>LCI_Table[[#This Row],[GREET1 Name Range]]=""</f>
        <v>0</v>
      </c>
      <c r="P2495" s="14" t="s">
        <v>14</v>
      </c>
      <c r="Q2495" s="14" t="s">
        <v>691</v>
      </c>
      <c r="R2495" s="14" t="s">
        <v>114</v>
      </c>
      <c r="S2495" s="37" cm="1">
        <f t="array" aca="1" ref="S24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95" s="346" t="s">
        <v>2119</v>
      </c>
      <c r="U2495" s="347">
        <f ca="1">S2495/g2lb/S2489*kg2ton</f>
        <v>0</v>
      </c>
      <c r="V2495" s="347">
        <v>0</v>
      </c>
      <c r="W2495" s="347">
        <v>0</v>
      </c>
      <c r="X2495" s="14" t="s">
        <v>12</v>
      </c>
      <c r="Y2495" s="346" t="s">
        <v>416</v>
      </c>
      <c r="Z2495" s="14" t="str">
        <f>IF(ISBLANK(LCI_Table[[#This Row],[Notes for user]])," ",LCI_Table[[#This Row],[Notes for user]])</f>
        <v xml:space="preserve"> </v>
      </c>
      <c r="AA2495" s="14"/>
      <c r="AB2495" s="14"/>
      <c r="AC2495" s="346">
        <f ca="1">LCI_Table[[#This Row],[Default Calculated Value]]-LCI_Table[[#This Row],[Calculated Value]]</f>
        <v>0</v>
      </c>
    </row>
    <row r="2496" spans="1:29" x14ac:dyDescent="0.3">
      <c r="A24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3_Jatropha_Farming_Residual_oilResidual oil</v>
      </c>
      <c r="B2496" s="381" t="s">
        <v>126</v>
      </c>
      <c r="C2496" s="381" t="s">
        <v>30</v>
      </c>
      <c r="D2496" s="383" t="s">
        <v>194</v>
      </c>
      <c r="E2496" s="384" t="s">
        <v>1349</v>
      </c>
      <c r="F2496" s="375" t="s">
        <v>1368</v>
      </c>
      <c r="G2496" s="14" t="b">
        <f>OR(LCI_Table[[#This Row],[Feedstock]]="All",LCI_Table[[#This Row],[Feedstock]]=SelectedFeedstock)</f>
        <v>0</v>
      </c>
      <c r="H2496" s="14" t="b">
        <f>OR(LCI_Table[[#This Row],[Conversion]]="All",LCI_Table[[#This Row],[Conversion]]=SelectedConversion)</f>
        <v>1</v>
      </c>
      <c r="I2496" s="14" t="b">
        <f>OR(LCI_Table[[#This Row],[Data Set]]="all",LCI_Table[[#This Row],[Data Set]]=SelectedDataSet)</f>
        <v>0</v>
      </c>
      <c r="J2496" s="14" t="b">
        <f>OR(LCI_Table[[#This Row],[Technology]]="All",LCI_Table[[#This Row],[Technology]]=SelectedTechnology)</f>
        <v>0</v>
      </c>
      <c r="K2496" s="14" t="b">
        <f>OR(LCI_Table[[#This Row],[Data Source]]="All",LCI_Table[[#This Row],[Data Source]]=SelectedDataSource)</f>
        <v>0</v>
      </c>
      <c r="L2496" s="14" t="b">
        <f>TRUE</f>
        <v>1</v>
      </c>
      <c r="M2496" s="14" t="b">
        <f>(LCI_Table[[#This Row],[Dev Notes]]="Do not display")</f>
        <v>0</v>
      </c>
      <c r="N2496" s="14" t="b">
        <f>AND(LCI_Table[[#This Row],[Show Feedstock]:[Conditional]],NOT(LCI_Table[[#This Row],[Hide Row]]))</f>
        <v>0</v>
      </c>
      <c r="O2496" s="14" t="b">
        <f>LCI_Table[[#This Row],[GREET1 Name Range]]=""</f>
        <v>0</v>
      </c>
      <c r="P2496" s="14" t="s">
        <v>14</v>
      </c>
      <c r="Q2496" s="14" t="s">
        <v>697</v>
      </c>
      <c r="R2496" s="14" t="s">
        <v>115</v>
      </c>
      <c r="S2496" s="37" cm="1">
        <f t="array" aca="1" ref="S24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96" s="346" t="s">
        <v>2128</v>
      </c>
      <c r="U2496" s="347">
        <f ca="1">S2496*Fuel_Specs!$B$28/S2489*kg2ton</f>
        <v>0</v>
      </c>
      <c r="V2496" s="347">
        <v>0</v>
      </c>
      <c r="W2496" s="347">
        <v>0</v>
      </c>
      <c r="X2496" s="14" t="s">
        <v>5</v>
      </c>
      <c r="Y2496" s="346" t="s">
        <v>416</v>
      </c>
      <c r="Z2496" s="14" t="str">
        <f>IF(ISBLANK(LCI_Table[[#This Row],[Notes for user]])," ",LCI_Table[[#This Row],[Notes for user]])</f>
        <v xml:space="preserve"> </v>
      </c>
      <c r="AA2496" s="14"/>
      <c r="AB2496" s="14"/>
      <c r="AC2496" s="346">
        <f ca="1">LCI_Table[[#This Row],[Default Calculated Value]]-LCI_Table[[#This Row],[Calculated Value]]</f>
        <v>0</v>
      </c>
    </row>
    <row r="2497" spans="1:29" x14ac:dyDescent="0.3">
      <c r="A24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3_Jatropha_Farming_DieselDiesel</v>
      </c>
      <c r="B2497" s="381" t="s">
        <v>126</v>
      </c>
      <c r="C2497" s="381" t="s">
        <v>30</v>
      </c>
      <c r="D2497" s="383" t="s">
        <v>194</v>
      </c>
      <c r="E2497" s="384" t="s">
        <v>1349</v>
      </c>
      <c r="F2497" s="375" t="s">
        <v>1368</v>
      </c>
      <c r="G2497" s="14" t="b">
        <f>OR(LCI_Table[[#This Row],[Feedstock]]="All",LCI_Table[[#This Row],[Feedstock]]=SelectedFeedstock)</f>
        <v>0</v>
      </c>
      <c r="H2497" s="14" t="b">
        <f>OR(LCI_Table[[#This Row],[Conversion]]="All",LCI_Table[[#This Row],[Conversion]]=SelectedConversion)</f>
        <v>1</v>
      </c>
      <c r="I2497" s="14" t="b">
        <f>OR(LCI_Table[[#This Row],[Data Set]]="all",LCI_Table[[#This Row],[Data Set]]=SelectedDataSet)</f>
        <v>0</v>
      </c>
      <c r="J2497" s="14" t="b">
        <f>OR(LCI_Table[[#This Row],[Technology]]="All",LCI_Table[[#This Row],[Technology]]=SelectedTechnology)</f>
        <v>0</v>
      </c>
      <c r="K2497" s="14" t="b">
        <f>OR(LCI_Table[[#This Row],[Data Source]]="All",LCI_Table[[#This Row],[Data Source]]=SelectedDataSource)</f>
        <v>0</v>
      </c>
      <c r="L2497" s="14" t="b">
        <f>TRUE</f>
        <v>1</v>
      </c>
      <c r="M2497" s="14" t="b">
        <f>(LCI_Table[[#This Row],[Dev Notes]]="Do not display")</f>
        <v>0</v>
      </c>
      <c r="N2497" s="14" t="b">
        <f>AND(LCI_Table[[#This Row],[Show Feedstock]:[Conditional]],NOT(LCI_Table[[#This Row],[Hide Row]]))</f>
        <v>0</v>
      </c>
      <c r="O2497" s="14" t="b">
        <f>LCI_Table[[#This Row],[GREET1 Name Range]]=""</f>
        <v>0</v>
      </c>
      <c r="P2497" s="14" t="s">
        <v>14</v>
      </c>
      <c r="Q2497" s="14" t="s">
        <v>687</v>
      </c>
      <c r="R2497" s="14" t="s">
        <v>106</v>
      </c>
      <c r="S2497" s="37" cm="1">
        <f t="array" aca="1" ref="S24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7.829749694170272</v>
      </c>
      <c r="T2497" s="346" t="s">
        <v>2128</v>
      </c>
      <c r="U2497" s="347">
        <f ca="1">S2497*Fuel_Specs!$B$19/S2489*kg2ton</f>
        <v>1420.1213988626116</v>
      </c>
      <c r="V2497" s="347">
        <v>7.829749694170272</v>
      </c>
      <c r="W2497" s="347">
        <v>1420.1213988626116</v>
      </c>
      <c r="X2497" s="14" t="s">
        <v>5</v>
      </c>
      <c r="Y2497" s="346" t="s">
        <v>416</v>
      </c>
      <c r="Z2497" s="14" t="str">
        <f>IF(ISBLANK(LCI_Table[[#This Row],[Notes for user]])," ",LCI_Table[[#This Row],[Notes for user]])</f>
        <v xml:space="preserve"> </v>
      </c>
      <c r="AA2497" s="14"/>
      <c r="AB2497" s="14"/>
      <c r="AC2497" s="346">
        <f ca="1">LCI_Table[[#This Row],[Default Calculated Value]]-LCI_Table[[#This Row],[Calculated Value]]</f>
        <v>0</v>
      </c>
    </row>
    <row r="2498" spans="1:29" x14ac:dyDescent="0.3">
      <c r="A24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3_Jatropha_Farming_GasolineGasoline</v>
      </c>
      <c r="B2498" s="381" t="s">
        <v>126</v>
      </c>
      <c r="C2498" s="381" t="s">
        <v>30</v>
      </c>
      <c r="D2498" s="383" t="s">
        <v>194</v>
      </c>
      <c r="E2498" s="384" t="s">
        <v>1349</v>
      </c>
      <c r="F2498" s="375" t="s">
        <v>1368</v>
      </c>
      <c r="G2498" s="14" t="b">
        <f>OR(LCI_Table[[#This Row],[Feedstock]]="All",LCI_Table[[#This Row],[Feedstock]]=SelectedFeedstock)</f>
        <v>0</v>
      </c>
      <c r="H2498" s="14" t="b">
        <f>OR(LCI_Table[[#This Row],[Conversion]]="All",LCI_Table[[#This Row],[Conversion]]=SelectedConversion)</f>
        <v>1</v>
      </c>
      <c r="I2498" s="14" t="b">
        <f>OR(LCI_Table[[#This Row],[Data Set]]="all",LCI_Table[[#This Row],[Data Set]]=SelectedDataSet)</f>
        <v>0</v>
      </c>
      <c r="J2498" s="14" t="b">
        <f>OR(LCI_Table[[#This Row],[Technology]]="All",LCI_Table[[#This Row],[Technology]]=SelectedTechnology)</f>
        <v>0</v>
      </c>
      <c r="K2498" s="14" t="b">
        <f>OR(LCI_Table[[#This Row],[Data Source]]="All",LCI_Table[[#This Row],[Data Source]]=SelectedDataSource)</f>
        <v>0</v>
      </c>
      <c r="L2498" s="14" t="b">
        <f>TRUE</f>
        <v>1</v>
      </c>
      <c r="M2498" s="14" t="b">
        <f>(LCI_Table[[#This Row],[Dev Notes]]="Do not display")</f>
        <v>0</v>
      </c>
      <c r="N2498" s="14" t="b">
        <f>AND(LCI_Table[[#This Row],[Show Feedstock]:[Conditional]],NOT(LCI_Table[[#This Row],[Hide Row]]))</f>
        <v>0</v>
      </c>
      <c r="O2498" s="14" t="b">
        <f>LCI_Table[[#This Row],[GREET1 Name Range]]=""</f>
        <v>0</v>
      </c>
      <c r="P2498" s="14" t="s">
        <v>14</v>
      </c>
      <c r="Q2498" s="14" t="s">
        <v>689</v>
      </c>
      <c r="R2498" s="14" t="s">
        <v>107</v>
      </c>
      <c r="S2498" s="37" cm="1">
        <f t="array" aca="1" ref="S24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98" s="346" t="s">
        <v>2128</v>
      </c>
      <c r="U2498" s="347">
        <f ca="1">S2498*Fuel_Specs!$B$15/S2489*kg2ton</f>
        <v>0</v>
      </c>
      <c r="V2498" s="347">
        <v>0</v>
      </c>
      <c r="W2498" s="347">
        <v>0</v>
      </c>
      <c r="X2498" s="14" t="s">
        <v>5</v>
      </c>
      <c r="Y2498" s="346" t="s">
        <v>416</v>
      </c>
      <c r="Z2498" s="14" t="str">
        <f>IF(ISBLANK(LCI_Table[[#This Row],[Notes for user]])," ",LCI_Table[[#This Row],[Notes for user]])</f>
        <v xml:space="preserve"> </v>
      </c>
      <c r="AA2498" s="14"/>
      <c r="AB2498" s="14"/>
      <c r="AC2498" s="346">
        <f ca="1">LCI_Table[[#This Row],[Default Calculated Value]]-LCI_Table[[#This Row],[Calculated Value]]</f>
        <v>0</v>
      </c>
    </row>
    <row r="2499" spans="1:29" x14ac:dyDescent="0.3">
      <c r="A24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3_Jatropha_Farming_Natural_gasNatural gas</v>
      </c>
      <c r="B2499" s="381" t="s">
        <v>126</v>
      </c>
      <c r="C2499" s="381" t="s">
        <v>30</v>
      </c>
      <c r="D2499" s="383" t="s">
        <v>194</v>
      </c>
      <c r="E2499" s="384" t="s">
        <v>1349</v>
      </c>
      <c r="F2499" s="375" t="s">
        <v>1368</v>
      </c>
      <c r="G2499" s="14" t="b">
        <f>OR(LCI_Table[[#This Row],[Feedstock]]="All",LCI_Table[[#This Row],[Feedstock]]=SelectedFeedstock)</f>
        <v>0</v>
      </c>
      <c r="H2499" s="14" t="b">
        <f>OR(LCI_Table[[#This Row],[Conversion]]="All",LCI_Table[[#This Row],[Conversion]]=SelectedConversion)</f>
        <v>1</v>
      </c>
      <c r="I2499" s="14" t="b">
        <f>OR(LCI_Table[[#This Row],[Data Set]]="all",LCI_Table[[#This Row],[Data Set]]=SelectedDataSet)</f>
        <v>0</v>
      </c>
      <c r="J2499" s="14" t="b">
        <f>OR(LCI_Table[[#This Row],[Technology]]="All",LCI_Table[[#This Row],[Technology]]=SelectedTechnology)</f>
        <v>0</v>
      </c>
      <c r="K2499" s="14" t="b">
        <f>OR(LCI_Table[[#This Row],[Data Source]]="All",LCI_Table[[#This Row],[Data Source]]=SelectedDataSource)</f>
        <v>0</v>
      </c>
      <c r="L2499" s="14" t="b">
        <f>TRUE</f>
        <v>1</v>
      </c>
      <c r="M2499" s="14" t="b">
        <f>(LCI_Table[[#This Row],[Dev Notes]]="Do not display")</f>
        <v>0</v>
      </c>
      <c r="N2499" s="14" t="b">
        <f>AND(LCI_Table[[#This Row],[Show Feedstock]:[Conditional]],NOT(LCI_Table[[#This Row],[Hide Row]]))</f>
        <v>0</v>
      </c>
      <c r="O2499" s="14" t="b">
        <f>LCI_Table[[#This Row],[GREET1 Name Range]]=""</f>
        <v>0</v>
      </c>
      <c r="P2499" s="14" t="s">
        <v>14</v>
      </c>
      <c r="Q2499" s="14" t="s">
        <v>694</v>
      </c>
      <c r="R2499" s="14" t="s">
        <v>108</v>
      </c>
      <c r="S2499" s="37" cm="1">
        <f t="array" aca="1" ref="S24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499" s="346" t="s">
        <v>2120</v>
      </c>
      <c r="U2499" s="347">
        <f ca="1">S2499*Fuel_Specs!$B$79/S2489*kg2ton</f>
        <v>0</v>
      </c>
      <c r="V2499" s="347">
        <v>0</v>
      </c>
      <c r="W2499" s="347">
        <v>0</v>
      </c>
      <c r="X2499" s="14" t="s">
        <v>351</v>
      </c>
      <c r="Y2499" s="346" t="s">
        <v>416</v>
      </c>
      <c r="Z2499" s="14" t="str">
        <f>IF(ISBLANK(LCI_Table[[#This Row],[Notes for user]])," ",LCI_Table[[#This Row],[Notes for user]])</f>
        <v xml:space="preserve"> </v>
      </c>
      <c r="AA2499" s="14"/>
      <c r="AB2499" s="14"/>
      <c r="AC2499" s="346">
        <f ca="1">LCI_Table[[#This Row],[Default Calculated Value]]-LCI_Table[[#This Row],[Calculated Value]]</f>
        <v>0</v>
      </c>
    </row>
    <row r="2500" spans="1:29" x14ac:dyDescent="0.3">
      <c r="A25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3_Jatropha_Farming_CoalCoal</v>
      </c>
      <c r="B2500" s="381" t="s">
        <v>126</v>
      </c>
      <c r="C2500" s="381" t="s">
        <v>30</v>
      </c>
      <c r="D2500" s="383" t="s">
        <v>194</v>
      </c>
      <c r="E2500" s="384" t="s">
        <v>1349</v>
      </c>
      <c r="F2500" s="375" t="s">
        <v>1368</v>
      </c>
      <c r="G2500" s="14" t="b">
        <f>OR(LCI_Table[[#This Row],[Feedstock]]="All",LCI_Table[[#This Row],[Feedstock]]=SelectedFeedstock)</f>
        <v>0</v>
      </c>
      <c r="H2500" s="14" t="b">
        <f>OR(LCI_Table[[#This Row],[Conversion]]="All",LCI_Table[[#This Row],[Conversion]]=SelectedConversion)</f>
        <v>1</v>
      </c>
      <c r="I2500" s="14" t="b">
        <f>OR(LCI_Table[[#This Row],[Data Set]]="all",LCI_Table[[#This Row],[Data Set]]=SelectedDataSet)</f>
        <v>0</v>
      </c>
      <c r="J2500" s="14" t="b">
        <f>OR(LCI_Table[[#This Row],[Technology]]="All",LCI_Table[[#This Row],[Technology]]=SelectedTechnology)</f>
        <v>0</v>
      </c>
      <c r="K2500" s="14" t="b">
        <f>OR(LCI_Table[[#This Row],[Data Source]]="All",LCI_Table[[#This Row],[Data Source]]=SelectedDataSource)</f>
        <v>0</v>
      </c>
      <c r="L2500" s="14" t="b">
        <f>TRUE</f>
        <v>1</v>
      </c>
      <c r="M2500" s="14" t="b">
        <f>(LCI_Table[[#This Row],[Dev Notes]]="Do not display")</f>
        <v>0</v>
      </c>
      <c r="N2500" s="14" t="b">
        <f>AND(LCI_Table[[#This Row],[Show Feedstock]:[Conditional]],NOT(LCI_Table[[#This Row],[Hide Row]]))</f>
        <v>0</v>
      </c>
      <c r="O2500" s="14" t="b">
        <f>LCI_Table[[#This Row],[GREET1 Name Range]]=""</f>
        <v>0</v>
      </c>
      <c r="P2500" s="14" t="s">
        <v>14</v>
      </c>
      <c r="Q2500" s="14" t="s">
        <v>686</v>
      </c>
      <c r="R2500" s="14" t="s">
        <v>9</v>
      </c>
      <c r="S2500" s="37" cm="1">
        <f t="array" aca="1" ref="S25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00" s="346" t="s">
        <v>2147</v>
      </c>
      <c r="U2500" s="347">
        <f ca="1">S2500/S2489*kg2ton</f>
        <v>0</v>
      </c>
      <c r="V2500" s="347">
        <v>0</v>
      </c>
      <c r="W2500" s="347">
        <v>0</v>
      </c>
      <c r="X2500" s="14" t="s">
        <v>117</v>
      </c>
      <c r="Y2500" s="346" t="s">
        <v>416</v>
      </c>
      <c r="Z2500" s="14" t="str">
        <f>IF(ISBLANK(LCI_Table[[#This Row],[Notes for user]])," ",LCI_Table[[#This Row],[Notes for user]])</f>
        <v xml:space="preserve"> </v>
      </c>
      <c r="AA2500" s="14"/>
      <c r="AB2500" s="14"/>
      <c r="AC2500" s="346">
        <f ca="1">LCI_Table[[#This Row],[Default Calculated Value]]-LCI_Table[[#This Row],[Calculated Value]]</f>
        <v>0</v>
      </c>
    </row>
    <row r="2501" spans="1:29" x14ac:dyDescent="0.3">
      <c r="A25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3_Jatropha_Farming_LPGLPG</v>
      </c>
      <c r="B2501" s="381" t="s">
        <v>126</v>
      </c>
      <c r="C2501" s="381" t="s">
        <v>30</v>
      </c>
      <c r="D2501" s="383" t="s">
        <v>194</v>
      </c>
      <c r="E2501" s="384" t="s">
        <v>1349</v>
      </c>
      <c r="F2501" s="375" t="s">
        <v>1368</v>
      </c>
      <c r="G2501" s="14" t="b">
        <f>OR(LCI_Table[[#This Row],[Feedstock]]="All",LCI_Table[[#This Row],[Feedstock]]=SelectedFeedstock)</f>
        <v>0</v>
      </c>
      <c r="H2501" s="14" t="b">
        <f>OR(LCI_Table[[#This Row],[Conversion]]="All",LCI_Table[[#This Row],[Conversion]]=SelectedConversion)</f>
        <v>1</v>
      </c>
      <c r="I2501" s="14" t="b">
        <f>OR(LCI_Table[[#This Row],[Data Set]]="all",LCI_Table[[#This Row],[Data Set]]=SelectedDataSet)</f>
        <v>0</v>
      </c>
      <c r="J2501" s="14" t="b">
        <f>OR(LCI_Table[[#This Row],[Technology]]="All",LCI_Table[[#This Row],[Technology]]=SelectedTechnology)</f>
        <v>0</v>
      </c>
      <c r="K2501" s="14" t="b">
        <f>OR(LCI_Table[[#This Row],[Data Source]]="All",LCI_Table[[#This Row],[Data Source]]=SelectedDataSource)</f>
        <v>0</v>
      </c>
      <c r="L2501" s="14" t="b">
        <f>TRUE</f>
        <v>1</v>
      </c>
      <c r="M2501" s="14" t="b">
        <f>(LCI_Table[[#This Row],[Dev Notes]]="Do not display")</f>
        <v>0</v>
      </c>
      <c r="N2501" s="14" t="b">
        <f>AND(LCI_Table[[#This Row],[Show Feedstock]:[Conditional]],NOT(LCI_Table[[#This Row],[Hide Row]]))</f>
        <v>0</v>
      </c>
      <c r="O2501" s="14" t="b">
        <f>LCI_Table[[#This Row],[GREET1 Name Range]]=""</f>
        <v>0</v>
      </c>
      <c r="P2501" s="14" t="s">
        <v>14</v>
      </c>
      <c r="Q2501" s="14" t="s">
        <v>693</v>
      </c>
      <c r="R2501" s="14" t="s">
        <v>109</v>
      </c>
      <c r="S2501" s="37" cm="1">
        <f t="array" aca="1" ref="S25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01" s="346" t="s">
        <v>2128</v>
      </c>
      <c r="U2501" s="347">
        <f ca="1">S2501*Fuel_Specs!$B$35/S2489*kg2ton</f>
        <v>0</v>
      </c>
      <c r="V2501" s="347">
        <v>0</v>
      </c>
      <c r="W2501" s="347">
        <v>0</v>
      </c>
      <c r="X2501" s="14" t="s">
        <v>5</v>
      </c>
      <c r="Y2501" s="346" t="s">
        <v>416</v>
      </c>
      <c r="Z2501" s="14" t="str">
        <f>IF(ISBLANK(LCI_Table[[#This Row],[Notes for user]])," ",LCI_Table[[#This Row],[Notes for user]])</f>
        <v xml:space="preserve"> </v>
      </c>
      <c r="AA2501" s="14"/>
      <c r="AB2501" s="14"/>
      <c r="AC2501" s="346">
        <f ca="1">LCI_Table[[#This Row],[Default Calculated Value]]-LCI_Table[[#This Row],[Calculated Value]]</f>
        <v>0</v>
      </c>
    </row>
    <row r="2502" spans="1:29" x14ac:dyDescent="0.3">
      <c r="A25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3_Jatropha_Farming_ElectricityElectricity</v>
      </c>
      <c r="B2502" s="381" t="s">
        <v>126</v>
      </c>
      <c r="C2502" s="381" t="s">
        <v>30</v>
      </c>
      <c r="D2502" s="383" t="s">
        <v>194</v>
      </c>
      <c r="E2502" s="384" t="s">
        <v>1349</v>
      </c>
      <c r="F2502" s="375" t="s">
        <v>1368</v>
      </c>
      <c r="G2502" s="14" t="b">
        <f>OR(LCI_Table[[#This Row],[Feedstock]]="All",LCI_Table[[#This Row],[Feedstock]]=SelectedFeedstock)</f>
        <v>0</v>
      </c>
      <c r="H2502" s="14" t="b">
        <f>OR(LCI_Table[[#This Row],[Conversion]]="All",LCI_Table[[#This Row],[Conversion]]=SelectedConversion)</f>
        <v>1</v>
      </c>
      <c r="I2502" s="14" t="b">
        <f>OR(LCI_Table[[#This Row],[Data Set]]="all",LCI_Table[[#This Row],[Data Set]]=SelectedDataSet)</f>
        <v>0</v>
      </c>
      <c r="J2502" s="14" t="b">
        <f>OR(LCI_Table[[#This Row],[Technology]]="All",LCI_Table[[#This Row],[Technology]]=SelectedTechnology)</f>
        <v>0</v>
      </c>
      <c r="K2502" s="14" t="b">
        <f>OR(LCI_Table[[#This Row],[Data Source]]="All",LCI_Table[[#This Row],[Data Source]]=SelectedDataSource)</f>
        <v>0</v>
      </c>
      <c r="L2502" s="14" t="b">
        <f>TRUE</f>
        <v>1</v>
      </c>
      <c r="M2502" s="14" t="b">
        <f>(LCI_Table[[#This Row],[Dev Notes]]="Do not display")</f>
        <v>0</v>
      </c>
      <c r="N2502" s="14" t="b">
        <f>AND(LCI_Table[[#This Row],[Show Feedstock]:[Conditional]],NOT(LCI_Table[[#This Row],[Hide Row]]))</f>
        <v>0</v>
      </c>
      <c r="O2502" s="14" t="b">
        <f>LCI_Table[[#This Row],[GREET1 Name Range]]=""</f>
        <v>0</v>
      </c>
      <c r="P2502" s="14" t="s">
        <v>14</v>
      </c>
      <c r="Q2502" s="14" t="s">
        <v>688</v>
      </c>
      <c r="R2502" s="14" t="s">
        <v>110</v>
      </c>
      <c r="S2502" s="37" cm="1">
        <f t="array" aca="1" ref="S25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02" s="346" t="s">
        <v>2121</v>
      </c>
      <c r="U2502" s="347">
        <f ca="1">S2502/BTU2kWh/S2489*kg2ton</f>
        <v>0</v>
      </c>
      <c r="V2502" s="347">
        <v>0</v>
      </c>
      <c r="W2502" s="347">
        <v>0</v>
      </c>
      <c r="X2502" s="14" t="s">
        <v>51</v>
      </c>
      <c r="Y2502" s="346" t="s">
        <v>416</v>
      </c>
      <c r="Z2502" s="14" t="str">
        <f>IF(ISBLANK(LCI_Table[[#This Row],[Notes for user]])," ",LCI_Table[[#This Row],[Notes for user]])</f>
        <v xml:space="preserve"> </v>
      </c>
      <c r="AA2502" s="14"/>
      <c r="AB2502" s="14"/>
      <c r="AC2502" s="346">
        <f ca="1">LCI_Table[[#This Row],[Default Calculated Value]]-LCI_Table[[#This Row],[Calculated Value]]</f>
        <v>0</v>
      </c>
    </row>
    <row r="2503" spans="1:29" x14ac:dyDescent="0.3">
      <c r="A25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dash_JatrophaHEFAICAOUS (GREET)Scenario 3_Jatropha_Extraction</v>
      </c>
      <c r="B2503" s="381" t="s">
        <v>126</v>
      </c>
      <c r="C2503" s="381" t="s">
        <v>30</v>
      </c>
      <c r="D2503" s="383" t="s">
        <v>194</v>
      </c>
      <c r="E2503" s="384" t="s">
        <v>1349</v>
      </c>
      <c r="F2503" s="375" t="s">
        <v>1368</v>
      </c>
      <c r="G2503" s="14" t="b">
        <f>OR(LCI_Table[[#This Row],[Feedstock]]="All",LCI_Table[[#This Row],[Feedstock]]=SelectedFeedstock)</f>
        <v>0</v>
      </c>
      <c r="H2503" s="14" t="b">
        <f>OR(LCI_Table[[#This Row],[Conversion]]="All",LCI_Table[[#This Row],[Conversion]]=SelectedConversion)</f>
        <v>1</v>
      </c>
      <c r="I2503" s="14" t="b">
        <f>OR(LCI_Table[[#This Row],[Data Set]]="all",LCI_Table[[#This Row],[Data Set]]=SelectedDataSet)</f>
        <v>0</v>
      </c>
      <c r="J2503" s="14" t="b">
        <f>OR(LCI_Table[[#This Row],[Technology]]="All",LCI_Table[[#This Row],[Technology]]=SelectedTechnology)</f>
        <v>0</v>
      </c>
      <c r="K2503" s="14" t="b">
        <f>OR(LCI_Table[[#This Row],[Data Source]]="All",LCI_Table[[#This Row],[Data Source]]=SelectedDataSource)</f>
        <v>0</v>
      </c>
      <c r="L2503" s="14" t="b">
        <f>TRUE</f>
        <v>1</v>
      </c>
      <c r="M2503" s="14" t="b">
        <f>(LCI_Table[[#This Row],[Dev Notes]]="Do not display")</f>
        <v>1</v>
      </c>
      <c r="N2503" s="14" t="b">
        <f>AND(LCI_Table[[#This Row],[Show Feedstock]:[Conditional]],NOT(LCI_Table[[#This Row],[Hide Row]]))</f>
        <v>0</v>
      </c>
      <c r="O2503" s="14" t="b">
        <f>LCI_Table[[#This Row],[GREET1 Name Range]]=""</f>
        <v>1</v>
      </c>
      <c r="P2503" s="14" t="s">
        <v>15</v>
      </c>
      <c r="Q2503" s="14" t="s">
        <v>361</v>
      </c>
      <c r="R2503" s="14" t="s">
        <v>126</v>
      </c>
      <c r="S2503" s="37" cm="1">
        <f t="array" aca="1" ref="S25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2.7663630952380931</v>
      </c>
      <c r="T2503" s="346" t="s">
        <v>2119</v>
      </c>
      <c r="U2503" s="347">
        <f ca="1">S2503/kg2lb</f>
        <v>1.2548011926495799</v>
      </c>
      <c r="V2503" s="347">
        <v>2.7663630952380931</v>
      </c>
      <c r="W2503" s="347">
        <v>1.2548011926495799</v>
      </c>
      <c r="X2503" s="14" t="s">
        <v>12</v>
      </c>
      <c r="Y2503" s="346" t="s">
        <v>416</v>
      </c>
      <c r="Z2503" s="14" t="str">
        <f>IF(ISBLANK(LCI_Table[[#This Row],[Notes for user]])," ",LCI_Table[[#This Row],[Notes for user]])</f>
        <v xml:space="preserve"> </v>
      </c>
      <c r="AA2503" s="348"/>
      <c r="AB2503" s="348" t="s">
        <v>1138</v>
      </c>
      <c r="AC2503" s="346">
        <f ca="1">LCI_Table[[#This Row],[Default Calculated Value]]-LCI_Table[[#This Row],[Calculated Value]]</f>
        <v>0</v>
      </c>
    </row>
    <row r="2504" spans="1:29" x14ac:dyDescent="0.3">
      <c r="A25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3_Jatropha_Extraction_Residual_oilResidual oil</v>
      </c>
      <c r="B2504" s="381" t="s">
        <v>126</v>
      </c>
      <c r="C2504" s="381" t="s">
        <v>30</v>
      </c>
      <c r="D2504" s="383" t="s">
        <v>194</v>
      </c>
      <c r="E2504" s="384" t="s">
        <v>1349</v>
      </c>
      <c r="F2504" s="375" t="s">
        <v>1368</v>
      </c>
      <c r="G2504" s="14" t="b">
        <f>OR(LCI_Table[[#This Row],[Feedstock]]="All",LCI_Table[[#This Row],[Feedstock]]=SelectedFeedstock)</f>
        <v>0</v>
      </c>
      <c r="H2504" s="14" t="b">
        <f>OR(LCI_Table[[#This Row],[Conversion]]="All",LCI_Table[[#This Row],[Conversion]]=SelectedConversion)</f>
        <v>1</v>
      </c>
      <c r="I2504" s="14" t="b">
        <f>OR(LCI_Table[[#This Row],[Data Set]]="all",LCI_Table[[#This Row],[Data Set]]=SelectedDataSet)</f>
        <v>0</v>
      </c>
      <c r="J2504" s="14" t="b">
        <f>OR(LCI_Table[[#This Row],[Technology]]="All",LCI_Table[[#This Row],[Technology]]=SelectedTechnology)</f>
        <v>0</v>
      </c>
      <c r="K2504" s="14" t="b">
        <f>OR(LCI_Table[[#This Row],[Data Source]]="All",LCI_Table[[#This Row],[Data Source]]=SelectedDataSource)</f>
        <v>0</v>
      </c>
      <c r="L2504" s="14" t="b">
        <f>TRUE</f>
        <v>1</v>
      </c>
      <c r="M2504" s="14" t="b">
        <f>(LCI_Table[[#This Row],[Dev Notes]]="Do not display")</f>
        <v>0</v>
      </c>
      <c r="N2504" s="14" t="b">
        <f>AND(LCI_Table[[#This Row],[Show Feedstock]:[Conditional]],NOT(LCI_Table[[#This Row],[Hide Row]]))</f>
        <v>0</v>
      </c>
      <c r="O2504" s="14" t="b">
        <f>LCI_Table[[#This Row],[GREET1 Name Range]]=""</f>
        <v>0</v>
      </c>
      <c r="P2504" s="14" t="s">
        <v>15</v>
      </c>
      <c r="Q2504" s="14" t="s">
        <v>684</v>
      </c>
      <c r="R2504" s="14" t="s">
        <v>115</v>
      </c>
      <c r="S2504" s="37" cm="1">
        <f t="array" aca="1" ref="S25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04" s="346" t="s">
        <v>2128</v>
      </c>
      <c r="U2504" s="347">
        <f ca="1">S2504*Fuel_Specs!$B$28</f>
        <v>0</v>
      </c>
      <c r="V2504" s="347">
        <v>0</v>
      </c>
      <c r="W2504" s="347">
        <v>0</v>
      </c>
      <c r="X2504" s="14" t="s">
        <v>5</v>
      </c>
      <c r="Y2504" s="346" t="s">
        <v>416</v>
      </c>
      <c r="Z2504" s="14" t="str">
        <f>IF(ISBLANK(LCI_Table[[#This Row],[Notes for user]])," ",LCI_Table[[#This Row],[Notes for user]])</f>
        <v xml:space="preserve"> </v>
      </c>
      <c r="AA2504" s="14"/>
      <c r="AB2504" s="14"/>
      <c r="AC2504" s="346">
        <f ca="1">LCI_Table[[#This Row],[Default Calculated Value]]-LCI_Table[[#This Row],[Calculated Value]]</f>
        <v>0</v>
      </c>
    </row>
    <row r="2505" spans="1:29" x14ac:dyDescent="0.3">
      <c r="A25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3_Jatropha_Extraction_DieselDiesel</v>
      </c>
      <c r="B2505" s="381" t="s">
        <v>126</v>
      </c>
      <c r="C2505" s="381" t="s">
        <v>30</v>
      </c>
      <c r="D2505" s="383" t="s">
        <v>194</v>
      </c>
      <c r="E2505" s="384" t="s">
        <v>1349</v>
      </c>
      <c r="F2505" s="375" t="s">
        <v>1368</v>
      </c>
      <c r="G2505" s="14" t="b">
        <f>OR(LCI_Table[[#This Row],[Feedstock]]="All",LCI_Table[[#This Row],[Feedstock]]=SelectedFeedstock)</f>
        <v>0</v>
      </c>
      <c r="H2505" s="14" t="b">
        <f>OR(LCI_Table[[#This Row],[Conversion]]="All",LCI_Table[[#This Row],[Conversion]]=SelectedConversion)</f>
        <v>1</v>
      </c>
      <c r="I2505" s="14" t="b">
        <f>OR(LCI_Table[[#This Row],[Data Set]]="all",LCI_Table[[#This Row],[Data Set]]=SelectedDataSet)</f>
        <v>0</v>
      </c>
      <c r="J2505" s="14" t="b">
        <f>OR(LCI_Table[[#This Row],[Technology]]="All",LCI_Table[[#This Row],[Technology]]=SelectedTechnology)</f>
        <v>0</v>
      </c>
      <c r="K2505" s="14" t="b">
        <f>OR(LCI_Table[[#This Row],[Data Source]]="All",LCI_Table[[#This Row],[Data Source]]=SelectedDataSource)</f>
        <v>0</v>
      </c>
      <c r="L2505" s="14" t="b">
        <f>TRUE</f>
        <v>1</v>
      </c>
      <c r="M2505" s="14" t="b">
        <f>(LCI_Table[[#This Row],[Dev Notes]]="Do not display")</f>
        <v>0</v>
      </c>
      <c r="N2505" s="14" t="b">
        <f>AND(LCI_Table[[#This Row],[Show Feedstock]:[Conditional]],NOT(LCI_Table[[#This Row],[Hide Row]]))</f>
        <v>0</v>
      </c>
      <c r="O2505" s="14" t="b">
        <f>LCI_Table[[#This Row],[GREET1 Name Range]]=""</f>
        <v>0</v>
      </c>
      <c r="P2505" s="14" t="s">
        <v>15</v>
      </c>
      <c r="Q2505" s="14" t="s">
        <v>676</v>
      </c>
      <c r="R2505" s="14" t="s">
        <v>106</v>
      </c>
      <c r="S2505" s="37" cm="1">
        <f t="array" aca="1" ref="S25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05" s="346" t="s">
        <v>2128</v>
      </c>
      <c r="U2505" s="347">
        <f ca="1">S2505*Fuel_Specs!$B$19</f>
        <v>0</v>
      </c>
      <c r="V2505" s="347">
        <v>0</v>
      </c>
      <c r="W2505" s="347">
        <v>0</v>
      </c>
      <c r="X2505" s="14" t="s">
        <v>5</v>
      </c>
      <c r="Y2505" s="346" t="s">
        <v>416</v>
      </c>
      <c r="Z2505" s="14" t="str">
        <f>IF(ISBLANK(LCI_Table[[#This Row],[Notes for user]])," ",LCI_Table[[#This Row],[Notes for user]])</f>
        <v xml:space="preserve"> </v>
      </c>
      <c r="AA2505" s="14"/>
      <c r="AB2505" s="14"/>
      <c r="AC2505" s="346">
        <f ca="1">LCI_Table[[#This Row],[Default Calculated Value]]-LCI_Table[[#This Row],[Calculated Value]]</f>
        <v>0</v>
      </c>
    </row>
    <row r="2506" spans="1:29" x14ac:dyDescent="0.3">
      <c r="A25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3_Jatropha_Extraction_GasolineGasoline</v>
      </c>
      <c r="B2506" s="381" t="s">
        <v>126</v>
      </c>
      <c r="C2506" s="381" t="s">
        <v>30</v>
      </c>
      <c r="D2506" s="383" t="s">
        <v>194</v>
      </c>
      <c r="E2506" s="384" t="s">
        <v>1349</v>
      </c>
      <c r="F2506" s="375" t="s">
        <v>1368</v>
      </c>
      <c r="G2506" s="14" t="b">
        <f>OR(LCI_Table[[#This Row],[Feedstock]]="All",LCI_Table[[#This Row],[Feedstock]]=SelectedFeedstock)</f>
        <v>0</v>
      </c>
      <c r="H2506" s="14" t="b">
        <f>OR(LCI_Table[[#This Row],[Conversion]]="All",LCI_Table[[#This Row],[Conversion]]=SelectedConversion)</f>
        <v>1</v>
      </c>
      <c r="I2506" s="14" t="b">
        <f>OR(LCI_Table[[#This Row],[Data Set]]="all",LCI_Table[[#This Row],[Data Set]]=SelectedDataSet)</f>
        <v>0</v>
      </c>
      <c r="J2506" s="14" t="b">
        <f>OR(LCI_Table[[#This Row],[Technology]]="All",LCI_Table[[#This Row],[Technology]]=SelectedTechnology)</f>
        <v>0</v>
      </c>
      <c r="K2506" s="14" t="b">
        <f>OR(LCI_Table[[#This Row],[Data Source]]="All",LCI_Table[[#This Row],[Data Source]]=SelectedDataSource)</f>
        <v>0</v>
      </c>
      <c r="L2506" s="14" t="b">
        <f>TRUE</f>
        <v>1</v>
      </c>
      <c r="M2506" s="14" t="b">
        <f>(LCI_Table[[#This Row],[Dev Notes]]="Do not display")</f>
        <v>0</v>
      </c>
      <c r="N2506" s="14" t="b">
        <f>AND(LCI_Table[[#This Row],[Show Feedstock]:[Conditional]],NOT(LCI_Table[[#This Row],[Hide Row]]))</f>
        <v>0</v>
      </c>
      <c r="O2506" s="14" t="b">
        <f>LCI_Table[[#This Row],[GREET1 Name Range]]=""</f>
        <v>0</v>
      </c>
      <c r="P2506" s="14" t="s">
        <v>15</v>
      </c>
      <c r="Q2506" s="14" t="s">
        <v>679</v>
      </c>
      <c r="R2506" s="14" t="s">
        <v>107</v>
      </c>
      <c r="S2506" s="37" cm="1">
        <f t="array" aca="1" ref="S25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06" s="346" t="s">
        <v>2128</v>
      </c>
      <c r="U2506" s="347">
        <f ca="1">S2506*Fuel_Specs!$B$15</f>
        <v>0</v>
      </c>
      <c r="V2506" s="347">
        <v>0</v>
      </c>
      <c r="W2506" s="347">
        <v>0</v>
      </c>
      <c r="X2506" s="14" t="s">
        <v>5</v>
      </c>
      <c r="Y2506" s="346" t="s">
        <v>416</v>
      </c>
      <c r="Z2506" s="14" t="str">
        <f>IF(ISBLANK(LCI_Table[[#This Row],[Notes for user]])," ",LCI_Table[[#This Row],[Notes for user]])</f>
        <v xml:space="preserve"> </v>
      </c>
      <c r="AA2506" s="14"/>
      <c r="AB2506" s="14"/>
      <c r="AC2506" s="346">
        <f ca="1">LCI_Table[[#This Row],[Default Calculated Value]]-LCI_Table[[#This Row],[Calculated Value]]</f>
        <v>0</v>
      </c>
    </row>
    <row r="2507" spans="1:29" x14ac:dyDescent="0.3">
      <c r="A25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3_Jatropha_Extraction_Natural_gasNatural gas</v>
      </c>
      <c r="B2507" s="381" t="s">
        <v>126</v>
      </c>
      <c r="C2507" s="381" t="s">
        <v>30</v>
      </c>
      <c r="D2507" s="383" t="s">
        <v>194</v>
      </c>
      <c r="E2507" s="384" t="s">
        <v>1349</v>
      </c>
      <c r="F2507" s="375" t="s">
        <v>1368</v>
      </c>
      <c r="G2507" s="14" t="b">
        <f>OR(LCI_Table[[#This Row],[Feedstock]]="All",LCI_Table[[#This Row],[Feedstock]]=SelectedFeedstock)</f>
        <v>0</v>
      </c>
      <c r="H2507" s="14" t="b">
        <f>OR(LCI_Table[[#This Row],[Conversion]]="All",LCI_Table[[#This Row],[Conversion]]=SelectedConversion)</f>
        <v>1</v>
      </c>
      <c r="I2507" s="14" t="b">
        <f>OR(LCI_Table[[#This Row],[Data Set]]="all",LCI_Table[[#This Row],[Data Set]]=SelectedDataSet)</f>
        <v>0</v>
      </c>
      <c r="J2507" s="14" t="b">
        <f>OR(LCI_Table[[#This Row],[Technology]]="All",LCI_Table[[#This Row],[Technology]]=SelectedTechnology)</f>
        <v>0</v>
      </c>
      <c r="K2507" s="14" t="b">
        <f>OR(LCI_Table[[#This Row],[Data Source]]="All",LCI_Table[[#This Row],[Data Source]]=SelectedDataSource)</f>
        <v>0</v>
      </c>
      <c r="L2507" s="14" t="b">
        <f>TRUE</f>
        <v>1</v>
      </c>
      <c r="M2507" s="14" t="b">
        <f>(LCI_Table[[#This Row],[Dev Notes]]="Do not display")</f>
        <v>0</v>
      </c>
      <c r="N2507" s="14" t="b">
        <f>AND(LCI_Table[[#This Row],[Show Feedstock]:[Conditional]],NOT(LCI_Table[[#This Row],[Hide Row]]))</f>
        <v>0</v>
      </c>
      <c r="O2507" s="14" t="b">
        <f>LCI_Table[[#This Row],[GREET1 Name Range]]=""</f>
        <v>0</v>
      </c>
      <c r="P2507" s="14" t="s">
        <v>15</v>
      </c>
      <c r="Q2507" s="14" t="s">
        <v>683</v>
      </c>
      <c r="R2507" s="14" t="s">
        <v>108</v>
      </c>
      <c r="S2507" s="37" cm="1">
        <f t="array" aca="1" ref="S25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0.78972533062054928</v>
      </c>
      <c r="T2507" s="346" t="s">
        <v>2120</v>
      </c>
      <c r="U2507" s="347">
        <f ca="1">S2507*Fuel_Specs!$B$79</f>
        <v>776.3</v>
      </c>
      <c r="V2507" s="347">
        <v>0.78972533062054928</v>
      </c>
      <c r="W2507" s="347">
        <v>776.3</v>
      </c>
      <c r="X2507" s="14" t="s">
        <v>351</v>
      </c>
      <c r="Y2507" s="346" t="s">
        <v>416</v>
      </c>
      <c r="Z2507" s="14" t="str">
        <f>IF(ISBLANK(LCI_Table[[#This Row],[Notes for user]])," ",LCI_Table[[#This Row],[Notes for user]])</f>
        <v xml:space="preserve"> </v>
      </c>
      <c r="AA2507" s="14"/>
      <c r="AB2507" s="14"/>
      <c r="AC2507" s="346">
        <f ca="1">LCI_Table[[#This Row],[Default Calculated Value]]-LCI_Table[[#This Row],[Calculated Value]]</f>
        <v>0</v>
      </c>
    </row>
    <row r="2508" spans="1:29" x14ac:dyDescent="0.3">
      <c r="A25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3_Jatropha_Extraction_CoalCoal</v>
      </c>
      <c r="B2508" s="381" t="s">
        <v>126</v>
      </c>
      <c r="C2508" s="381" t="s">
        <v>30</v>
      </c>
      <c r="D2508" s="383" t="s">
        <v>194</v>
      </c>
      <c r="E2508" s="384" t="s">
        <v>1349</v>
      </c>
      <c r="F2508" s="375" t="s">
        <v>1368</v>
      </c>
      <c r="G2508" s="14" t="b">
        <f>OR(LCI_Table[[#This Row],[Feedstock]]="All",LCI_Table[[#This Row],[Feedstock]]=SelectedFeedstock)</f>
        <v>0</v>
      </c>
      <c r="H2508" s="14" t="b">
        <f>OR(LCI_Table[[#This Row],[Conversion]]="All",LCI_Table[[#This Row],[Conversion]]=SelectedConversion)</f>
        <v>1</v>
      </c>
      <c r="I2508" s="14" t="b">
        <f>OR(LCI_Table[[#This Row],[Data Set]]="all",LCI_Table[[#This Row],[Data Set]]=SelectedDataSet)</f>
        <v>0</v>
      </c>
      <c r="J2508" s="14" t="b">
        <f>OR(LCI_Table[[#This Row],[Technology]]="All",LCI_Table[[#This Row],[Technology]]=SelectedTechnology)</f>
        <v>0</v>
      </c>
      <c r="K2508" s="14" t="b">
        <f>OR(LCI_Table[[#This Row],[Data Source]]="All",LCI_Table[[#This Row],[Data Source]]=SelectedDataSource)</f>
        <v>0</v>
      </c>
      <c r="L2508" s="14" t="b">
        <f>TRUE</f>
        <v>1</v>
      </c>
      <c r="M2508" s="14" t="b">
        <f>(LCI_Table[[#This Row],[Dev Notes]]="Do not display")</f>
        <v>0</v>
      </c>
      <c r="N2508" s="14" t="b">
        <f>AND(LCI_Table[[#This Row],[Show Feedstock]:[Conditional]],NOT(LCI_Table[[#This Row],[Hide Row]]))</f>
        <v>0</v>
      </c>
      <c r="O2508" s="14" t="b">
        <f>LCI_Table[[#This Row],[GREET1 Name Range]]=""</f>
        <v>0</v>
      </c>
      <c r="P2508" s="14" t="s">
        <v>15</v>
      </c>
      <c r="Q2508" s="14" t="s">
        <v>675</v>
      </c>
      <c r="R2508" s="14" t="s">
        <v>9</v>
      </c>
      <c r="S2508" s="37" cm="1">
        <f t="array" aca="1" ref="S25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08" s="346" t="s">
        <v>2147</v>
      </c>
      <c r="U2508" s="347">
        <f ca="1">S2508</f>
        <v>0</v>
      </c>
      <c r="V2508" s="347">
        <v>0</v>
      </c>
      <c r="W2508" s="347">
        <v>0</v>
      </c>
      <c r="X2508" s="14" t="s">
        <v>117</v>
      </c>
      <c r="Y2508" s="346" t="s">
        <v>416</v>
      </c>
      <c r="Z2508" s="14" t="str">
        <f>IF(ISBLANK(LCI_Table[[#This Row],[Notes for user]])," ",LCI_Table[[#This Row],[Notes for user]])</f>
        <v xml:space="preserve"> </v>
      </c>
      <c r="AA2508" s="14"/>
      <c r="AB2508" s="14"/>
      <c r="AC2508" s="346">
        <f ca="1">LCI_Table[[#This Row],[Default Calculated Value]]-LCI_Table[[#This Row],[Calculated Value]]</f>
        <v>0</v>
      </c>
    </row>
    <row r="2509" spans="1:29" x14ac:dyDescent="0.3">
      <c r="A25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3_Jatropha_Extraction_LPGLPG</v>
      </c>
      <c r="B2509" s="381" t="s">
        <v>126</v>
      </c>
      <c r="C2509" s="381" t="s">
        <v>30</v>
      </c>
      <c r="D2509" s="383" t="s">
        <v>194</v>
      </c>
      <c r="E2509" s="384" t="s">
        <v>1349</v>
      </c>
      <c r="F2509" s="375" t="s">
        <v>1368</v>
      </c>
      <c r="G2509" s="14" t="b">
        <f>OR(LCI_Table[[#This Row],[Feedstock]]="All",LCI_Table[[#This Row],[Feedstock]]=SelectedFeedstock)</f>
        <v>0</v>
      </c>
      <c r="H2509" s="14" t="b">
        <f>OR(LCI_Table[[#This Row],[Conversion]]="All",LCI_Table[[#This Row],[Conversion]]=SelectedConversion)</f>
        <v>1</v>
      </c>
      <c r="I2509" s="14" t="b">
        <f>OR(LCI_Table[[#This Row],[Data Set]]="all",LCI_Table[[#This Row],[Data Set]]=SelectedDataSet)</f>
        <v>0</v>
      </c>
      <c r="J2509" s="14" t="b">
        <f>OR(LCI_Table[[#This Row],[Technology]]="All",LCI_Table[[#This Row],[Technology]]=SelectedTechnology)</f>
        <v>0</v>
      </c>
      <c r="K2509" s="14" t="b">
        <f>OR(LCI_Table[[#This Row],[Data Source]]="All",LCI_Table[[#This Row],[Data Source]]=SelectedDataSource)</f>
        <v>0</v>
      </c>
      <c r="L2509" s="14" t="b">
        <f>TRUE</f>
        <v>1</v>
      </c>
      <c r="M2509" s="14" t="b">
        <f>(LCI_Table[[#This Row],[Dev Notes]]="Do not display")</f>
        <v>0</v>
      </c>
      <c r="N2509" s="14" t="b">
        <f>AND(LCI_Table[[#This Row],[Show Feedstock]:[Conditional]],NOT(LCI_Table[[#This Row],[Hide Row]]))</f>
        <v>0</v>
      </c>
      <c r="O2509" s="14" t="b">
        <f>LCI_Table[[#This Row],[GREET1 Name Range]]=""</f>
        <v>0</v>
      </c>
      <c r="P2509" s="14" t="s">
        <v>15</v>
      </c>
      <c r="Q2509" s="14" t="s">
        <v>681</v>
      </c>
      <c r="R2509" s="14" t="s">
        <v>109</v>
      </c>
      <c r="S2509" s="37" cm="1">
        <f t="array" aca="1" ref="S25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09" s="346" t="s">
        <v>2128</v>
      </c>
      <c r="U2509" s="347">
        <f ca="1">S2509*Fuel_Specs!$B$35</f>
        <v>0</v>
      </c>
      <c r="V2509" s="347">
        <v>0</v>
      </c>
      <c r="W2509" s="347">
        <v>0</v>
      </c>
      <c r="X2509" s="14" t="s">
        <v>5</v>
      </c>
      <c r="Y2509" s="346" t="s">
        <v>416</v>
      </c>
      <c r="Z2509" s="14" t="str">
        <f>IF(ISBLANK(LCI_Table[[#This Row],[Notes for user]])," ",LCI_Table[[#This Row],[Notes for user]])</f>
        <v xml:space="preserve"> </v>
      </c>
      <c r="AA2509" s="14"/>
      <c r="AB2509" s="14"/>
      <c r="AC2509" s="346">
        <f ca="1">LCI_Table[[#This Row],[Default Calculated Value]]-LCI_Table[[#This Row],[Calculated Value]]</f>
        <v>0</v>
      </c>
    </row>
    <row r="2510" spans="1:29" x14ac:dyDescent="0.3">
      <c r="A25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3_Jatropha_Extraction_ElectricityElectricity</v>
      </c>
      <c r="B2510" s="381" t="s">
        <v>126</v>
      </c>
      <c r="C2510" s="381" t="s">
        <v>30</v>
      </c>
      <c r="D2510" s="383" t="s">
        <v>194</v>
      </c>
      <c r="E2510" s="384" t="s">
        <v>1349</v>
      </c>
      <c r="F2510" s="375" t="s">
        <v>1368</v>
      </c>
      <c r="G2510" s="14" t="b">
        <f>OR(LCI_Table[[#This Row],[Feedstock]]="All",LCI_Table[[#This Row],[Feedstock]]=SelectedFeedstock)</f>
        <v>0</v>
      </c>
      <c r="H2510" s="14" t="b">
        <f>OR(LCI_Table[[#This Row],[Conversion]]="All",LCI_Table[[#This Row],[Conversion]]=SelectedConversion)</f>
        <v>1</v>
      </c>
      <c r="I2510" s="14" t="b">
        <f>OR(LCI_Table[[#This Row],[Data Set]]="all",LCI_Table[[#This Row],[Data Set]]=SelectedDataSet)</f>
        <v>0</v>
      </c>
      <c r="J2510" s="14" t="b">
        <f>OR(LCI_Table[[#This Row],[Technology]]="All",LCI_Table[[#This Row],[Technology]]=SelectedTechnology)</f>
        <v>0</v>
      </c>
      <c r="K2510" s="14" t="b">
        <f>OR(LCI_Table[[#This Row],[Data Source]]="All",LCI_Table[[#This Row],[Data Source]]=SelectedDataSource)</f>
        <v>0</v>
      </c>
      <c r="L2510" s="14" t="b">
        <f>TRUE</f>
        <v>1</v>
      </c>
      <c r="M2510" s="14" t="b">
        <f>(LCI_Table[[#This Row],[Dev Notes]]="Do not display")</f>
        <v>0</v>
      </c>
      <c r="N2510" s="14" t="b">
        <f>AND(LCI_Table[[#This Row],[Show Feedstock]:[Conditional]],NOT(LCI_Table[[#This Row],[Hide Row]]))</f>
        <v>0</v>
      </c>
      <c r="O2510" s="14" t="b">
        <f>LCI_Table[[#This Row],[GREET1 Name Range]]=""</f>
        <v>0</v>
      </c>
      <c r="P2510" s="14" t="s">
        <v>15</v>
      </c>
      <c r="Q2510" s="14" t="s">
        <v>677</v>
      </c>
      <c r="R2510" s="14" t="s">
        <v>110</v>
      </c>
      <c r="S2510" s="37" cm="1">
        <f t="array" aca="1" ref="S25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10" s="346" t="s">
        <v>2121</v>
      </c>
      <c r="U2510" s="347">
        <f ca="1">S2510/BTU2kWh</f>
        <v>0</v>
      </c>
      <c r="V2510" s="347">
        <v>0</v>
      </c>
      <c r="W2510" s="347">
        <v>0</v>
      </c>
      <c r="X2510" s="14" t="s">
        <v>51</v>
      </c>
      <c r="Y2510" s="346" t="s">
        <v>416</v>
      </c>
      <c r="Z2510" s="14" t="str">
        <f>IF(ISBLANK(LCI_Table[[#This Row],[Notes for user]])," ",LCI_Table[[#This Row],[Notes for user]])</f>
        <v xml:space="preserve"> </v>
      </c>
      <c r="AA2510" s="14"/>
      <c r="AB2510" s="14"/>
      <c r="AC2510" s="346">
        <f ca="1">LCI_Table[[#This Row],[Default Calculated Value]]-LCI_Table[[#This Row],[Calculated Value]]</f>
        <v>0</v>
      </c>
    </row>
    <row r="2511" spans="1:29" x14ac:dyDescent="0.3">
      <c r="A25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3_Jatropha_Extraction_N_hexaneN-hexane</v>
      </c>
      <c r="B2511" s="381" t="s">
        <v>126</v>
      </c>
      <c r="C2511" s="381" t="s">
        <v>30</v>
      </c>
      <c r="D2511" s="383" t="s">
        <v>194</v>
      </c>
      <c r="E2511" s="384" t="s">
        <v>1349</v>
      </c>
      <c r="F2511" s="375" t="s">
        <v>1368</v>
      </c>
      <c r="G2511" s="14" t="b">
        <f>OR(LCI_Table[[#This Row],[Feedstock]]="All",LCI_Table[[#This Row],[Feedstock]]=SelectedFeedstock)</f>
        <v>0</v>
      </c>
      <c r="H2511" s="14" t="b">
        <f>OR(LCI_Table[[#This Row],[Conversion]]="All",LCI_Table[[#This Row],[Conversion]]=SelectedConversion)</f>
        <v>1</v>
      </c>
      <c r="I2511" s="14" t="b">
        <f>OR(LCI_Table[[#This Row],[Data Set]]="all",LCI_Table[[#This Row],[Data Set]]=SelectedDataSet)</f>
        <v>0</v>
      </c>
      <c r="J2511" s="14" t="b">
        <f>OR(LCI_Table[[#This Row],[Technology]]="All",LCI_Table[[#This Row],[Technology]]=SelectedTechnology)</f>
        <v>0</v>
      </c>
      <c r="K2511" s="14" t="b">
        <f>OR(LCI_Table[[#This Row],[Data Source]]="All",LCI_Table[[#This Row],[Data Source]]=SelectedDataSource)</f>
        <v>0</v>
      </c>
      <c r="L2511" s="14" t="b">
        <f>TRUE</f>
        <v>1</v>
      </c>
      <c r="M2511" s="14" t="b">
        <f>(LCI_Table[[#This Row],[Dev Notes]]="Do not display")</f>
        <v>0</v>
      </c>
      <c r="N2511" s="14" t="b">
        <f>AND(LCI_Table[[#This Row],[Show Feedstock]:[Conditional]],NOT(LCI_Table[[#This Row],[Hide Row]]))</f>
        <v>0</v>
      </c>
      <c r="O2511" s="14" t="b">
        <f>LCI_Table[[#This Row],[GREET1 Name Range]]=""</f>
        <v>0</v>
      </c>
      <c r="P2511" s="14" t="s">
        <v>15</v>
      </c>
      <c r="Q2511" s="14" t="s">
        <v>682</v>
      </c>
      <c r="R2511" s="14" t="s">
        <v>116</v>
      </c>
      <c r="S2511" s="37" cm="1">
        <f t="array" aca="1" ref="S25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3.6004824741640414E-7</v>
      </c>
      <c r="T2511" s="346" t="s">
        <v>2119</v>
      </c>
      <c r="U2511" s="347">
        <f ca="1">S2511*Fuel_Specs!$B$58*ton2lb</f>
        <v>75.7</v>
      </c>
      <c r="V2511" s="347">
        <v>3.6004824741640414E-7</v>
      </c>
      <c r="W2511" s="347">
        <v>75.7</v>
      </c>
      <c r="X2511" s="14" t="s">
        <v>12</v>
      </c>
      <c r="Y2511" s="346" t="s">
        <v>416</v>
      </c>
      <c r="Z2511" s="14" t="str">
        <f>IF(ISBLANK(LCI_Table[[#This Row],[Notes for user]])," ",LCI_Table[[#This Row],[Notes for user]])</f>
        <v xml:space="preserve"> </v>
      </c>
      <c r="AA2511" s="14"/>
      <c r="AB2511" s="14"/>
      <c r="AC2511" s="346">
        <f ca="1">LCI_Table[[#This Row],[Default Calculated Value]]-LCI_Table[[#This Row],[Calculated Value]]</f>
        <v>0</v>
      </c>
    </row>
    <row r="2512" spans="1:29" x14ac:dyDescent="0.3">
      <c r="A25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3_Jatropha_Extraction_Forest_residueForest residue</v>
      </c>
      <c r="B2512" s="381" t="s">
        <v>126</v>
      </c>
      <c r="C2512" s="381" t="s">
        <v>30</v>
      </c>
      <c r="D2512" s="383" t="s">
        <v>194</v>
      </c>
      <c r="E2512" s="384" t="s">
        <v>1349</v>
      </c>
      <c r="F2512" s="375" t="s">
        <v>1368</v>
      </c>
      <c r="G2512" s="14" t="b">
        <f>OR(LCI_Table[[#This Row],[Feedstock]]="All",LCI_Table[[#This Row],[Feedstock]]=SelectedFeedstock)</f>
        <v>0</v>
      </c>
      <c r="H2512" s="14" t="b">
        <f>OR(LCI_Table[[#This Row],[Conversion]]="All",LCI_Table[[#This Row],[Conversion]]=SelectedConversion)</f>
        <v>1</v>
      </c>
      <c r="I2512" s="14" t="b">
        <f>OR(LCI_Table[[#This Row],[Data Set]]="all",LCI_Table[[#This Row],[Data Set]]=SelectedDataSet)</f>
        <v>0</v>
      </c>
      <c r="J2512" s="14" t="b">
        <f>OR(LCI_Table[[#This Row],[Technology]]="All",LCI_Table[[#This Row],[Technology]]=SelectedTechnology)</f>
        <v>0</v>
      </c>
      <c r="K2512" s="14" t="b">
        <f>OR(LCI_Table[[#This Row],[Data Source]]="All",LCI_Table[[#This Row],[Data Source]]=SelectedDataSource)</f>
        <v>0</v>
      </c>
      <c r="L2512" s="14" t="b">
        <f>TRUE</f>
        <v>1</v>
      </c>
      <c r="M2512" s="14" t="b">
        <f>(LCI_Table[[#This Row],[Dev Notes]]="Do not display")</f>
        <v>0</v>
      </c>
      <c r="N2512" s="14" t="b">
        <f>AND(LCI_Table[[#This Row],[Show Feedstock]:[Conditional]],NOT(LCI_Table[[#This Row],[Hide Row]]))</f>
        <v>0</v>
      </c>
      <c r="O2512" s="14" t="b">
        <f>LCI_Table[[#This Row],[GREET1 Name Range]]=""</f>
        <v>0</v>
      </c>
      <c r="P2512" s="14" t="s">
        <v>15</v>
      </c>
      <c r="Q2512" s="14" t="s">
        <v>678</v>
      </c>
      <c r="R2512" s="14" t="s">
        <v>316</v>
      </c>
      <c r="S2512" s="37" cm="1">
        <f t="array" aca="1" ref="S25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12" s="346" t="s">
        <v>2119</v>
      </c>
      <c r="U2512" s="347">
        <f ca="1">S2512*Fuel_Specs!$B$100*ton2lb</f>
        <v>0</v>
      </c>
      <c r="V2512" s="347">
        <v>0</v>
      </c>
      <c r="W2512" s="347">
        <v>0</v>
      </c>
      <c r="X2512" s="14" t="s">
        <v>12</v>
      </c>
      <c r="Y2512" s="346" t="s">
        <v>416</v>
      </c>
      <c r="Z2512" s="14" t="str">
        <f>IF(ISBLANK(LCI_Table[[#This Row],[Notes for user]])," ",LCI_Table[[#This Row],[Notes for user]])</f>
        <v xml:space="preserve"> </v>
      </c>
      <c r="AA2512" s="14"/>
      <c r="AB2512" s="14"/>
      <c r="AC2512" s="346">
        <f ca="1">LCI_Table[[#This Row],[Default Calculated Value]]-LCI_Table[[#This Row],[Calculated Value]]</f>
        <v>0</v>
      </c>
    </row>
    <row r="2513" spans="1:29" x14ac:dyDescent="0.3">
      <c r="A25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3_Jatropha_Extraction_Landfill_gasLandfill gas</v>
      </c>
      <c r="B2513" s="381" t="s">
        <v>126</v>
      </c>
      <c r="C2513" s="381" t="s">
        <v>30</v>
      </c>
      <c r="D2513" s="383" t="s">
        <v>194</v>
      </c>
      <c r="E2513" s="384" t="s">
        <v>1349</v>
      </c>
      <c r="F2513" s="375" t="s">
        <v>1368</v>
      </c>
      <c r="G2513" s="14" t="b">
        <f>OR(LCI_Table[[#This Row],[Feedstock]]="All",LCI_Table[[#This Row],[Feedstock]]=SelectedFeedstock)</f>
        <v>0</v>
      </c>
      <c r="H2513" s="14" t="b">
        <f>OR(LCI_Table[[#This Row],[Conversion]]="All",LCI_Table[[#This Row],[Conversion]]=SelectedConversion)</f>
        <v>1</v>
      </c>
      <c r="I2513" s="14" t="b">
        <f>OR(LCI_Table[[#This Row],[Data Set]]="all",LCI_Table[[#This Row],[Data Set]]=SelectedDataSet)</f>
        <v>0</v>
      </c>
      <c r="J2513" s="14" t="b">
        <f>OR(LCI_Table[[#This Row],[Technology]]="All",LCI_Table[[#This Row],[Technology]]=SelectedTechnology)</f>
        <v>0</v>
      </c>
      <c r="K2513" s="14" t="b">
        <f>OR(LCI_Table[[#This Row],[Data Source]]="All",LCI_Table[[#This Row],[Data Source]]=SelectedDataSource)</f>
        <v>0</v>
      </c>
      <c r="L2513" s="14" t="b">
        <f>TRUE</f>
        <v>1</v>
      </c>
      <c r="M2513" s="14" t="b">
        <f>(LCI_Table[[#This Row],[Dev Notes]]="Do not display")</f>
        <v>0</v>
      </c>
      <c r="N2513" s="14" t="b">
        <f>AND(LCI_Table[[#This Row],[Show Feedstock]:[Conditional]],NOT(LCI_Table[[#This Row],[Hide Row]]))</f>
        <v>0</v>
      </c>
      <c r="O2513" s="14" t="b">
        <f>LCI_Table[[#This Row],[GREET1 Name Range]]=""</f>
        <v>0</v>
      </c>
      <c r="P2513" s="14" t="s">
        <v>15</v>
      </c>
      <c r="Q2513" s="14" t="s">
        <v>680</v>
      </c>
      <c r="R2513" s="14" t="s">
        <v>130</v>
      </c>
      <c r="S2513" s="37" cm="1">
        <f t="array" aca="1" ref="S25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13" s="346" t="s">
        <v>2120</v>
      </c>
      <c r="U2513" s="347">
        <f ca="1">S2513*Fuel_Specs!$B$79</f>
        <v>0</v>
      </c>
      <c r="V2513" s="347">
        <v>0</v>
      </c>
      <c r="W2513" s="347">
        <v>0</v>
      </c>
      <c r="X2513" s="14" t="s">
        <v>351</v>
      </c>
      <c r="Y2513" s="346" t="s">
        <v>416</v>
      </c>
      <c r="Z2513" s="14" t="str">
        <f>IF(ISBLANK(LCI_Table[[#This Row],[Notes for user]])," ",LCI_Table[[#This Row],[Notes for user]])</f>
        <v xml:space="preserve"> </v>
      </c>
      <c r="AA2513" s="14"/>
      <c r="AB2513" s="14"/>
      <c r="AC2513" s="346">
        <f ca="1">LCI_Table[[#This Row],[Default Calculated Value]]-LCI_Table[[#This Row],[Calculated Value]]</f>
        <v>0</v>
      </c>
    </row>
    <row r="2514" spans="1:29" x14ac:dyDescent="0.3">
      <c r="A25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3_Jatropha_Oil_Extraction_Energy_AllocationAllocation factor</v>
      </c>
      <c r="B2514" s="381" t="s">
        <v>126</v>
      </c>
      <c r="C2514" s="381" t="s">
        <v>30</v>
      </c>
      <c r="D2514" s="383" t="s">
        <v>194</v>
      </c>
      <c r="E2514" s="384" t="s">
        <v>1349</v>
      </c>
      <c r="F2514" s="375" t="s">
        <v>1368</v>
      </c>
      <c r="G2514" s="14" t="b">
        <f>OR(LCI_Table[[#This Row],[Feedstock]]="All",LCI_Table[[#This Row],[Feedstock]]=SelectedFeedstock)</f>
        <v>0</v>
      </c>
      <c r="H2514" s="14" t="b">
        <f>OR(LCI_Table[[#This Row],[Conversion]]="All",LCI_Table[[#This Row],[Conversion]]=SelectedConversion)</f>
        <v>1</v>
      </c>
      <c r="I2514" s="14" t="b">
        <f>OR(LCI_Table[[#This Row],[Data Set]]="all",LCI_Table[[#This Row],[Data Set]]=SelectedDataSet)</f>
        <v>0</v>
      </c>
      <c r="J2514" s="14" t="b">
        <f>OR(LCI_Table[[#This Row],[Technology]]="All",LCI_Table[[#This Row],[Technology]]=SelectedTechnology)</f>
        <v>0</v>
      </c>
      <c r="K2514" s="14" t="b">
        <f>OR(LCI_Table[[#This Row],[Data Source]]="All",LCI_Table[[#This Row],[Data Source]]=SelectedDataSource)</f>
        <v>0</v>
      </c>
      <c r="L2514" s="14" t="b">
        <f>TRUE</f>
        <v>1</v>
      </c>
      <c r="M2514" s="14" t="b">
        <f>(LCI_Table[[#This Row],[Dev Notes]]="Do not display")</f>
        <v>0</v>
      </c>
      <c r="N2514" s="14" t="b">
        <f>AND(LCI_Table[[#This Row],[Show Feedstock]:[Conditional]],NOT(LCI_Table[[#This Row],[Hide Row]]))</f>
        <v>0</v>
      </c>
      <c r="O2514" s="14" t="b">
        <f>LCI_Table[[#This Row],[GREET1 Name Range]]=""</f>
        <v>0</v>
      </c>
      <c r="P2514" s="14" t="s">
        <v>15</v>
      </c>
      <c r="Q2514" s="14" t="s">
        <v>1108</v>
      </c>
      <c r="R2514" s="14" t="s">
        <v>1344</v>
      </c>
      <c r="S2514" s="37" cm="1">
        <f t="array" aca="1" ref="S25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77.755905511811036</v>
      </c>
      <c r="T2514" s="346" t="s">
        <v>1345</v>
      </c>
      <c r="U2514" s="347">
        <f ca="1">LCI_Table[[#This Row],[Dashboard Value]]/100</f>
        <v>0.77755905511811041</v>
      </c>
      <c r="V2514" s="347">
        <v>77.755905511811036</v>
      </c>
      <c r="W2514" s="347">
        <v>0.77755905511811041</v>
      </c>
      <c r="X2514" s="14" t="s">
        <v>1345</v>
      </c>
      <c r="Y2514" s="346" t="s">
        <v>416</v>
      </c>
      <c r="Z2514" s="14" t="str">
        <f>IF(ISBLANK(LCI_Table[[#This Row],[Notes for user]])," ",LCI_Table[[#This Row],[Notes for user]])</f>
        <v>Allocation to jatropha oil (energy allocation)</v>
      </c>
      <c r="AA2514" s="14" t="s">
        <v>1365</v>
      </c>
      <c r="AB2514" s="14"/>
      <c r="AC2514" s="346">
        <f ca="1">LCI_Table[[#This Row],[Default Calculated Value]]-LCI_Table[[#This Row],[Calculated Value]]</f>
        <v>0</v>
      </c>
    </row>
    <row r="2515" spans="1:29" x14ac:dyDescent="0.3">
      <c r="A25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3_HEFA_feed_usageJatropha oil</v>
      </c>
      <c r="B2515" s="381" t="s">
        <v>126</v>
      </c>
      <c r="C2515" s="381" t="s">
        <v>30</v>
      </c>
      <c r="D2515" s="383" t="s">
        <v>194</v>
      </c>
      <c r="E2515" s="384" t="s">
        <v>1349</v>
      </c>
      <c r="F2515" s="375" t="s">
        <v>1368</v>
      </c>
      <c r="G2515" s="14" t="b">
        <f>OR(LCI_Table[[#This Row],[Feedstock]]="All",LCI_Table[[#This Row],[Feedstock]]=SelectedFeedstock)</f>
        <v>0</v>
      </c>
      <c r="H2515" s="14" t="b">
        <f>OR(LCI_Table[[#This Row],[Conversion]]="All",LCI_Table[[#This Row],[Conversion]]=SelectedConversion)</f>
        <v>1</v>
      </c>
      <c r="I2515" s="14" t="b">
        <f>OR(LCI_Table[[#This Row],[Data Set]]="all",LCI_Table[[#This Row],[Data Set]]=SelectedDataSet)</f>
        <v>0</v>
      </c>
      <c r="J2515" s="14" t="b">
        <f>OR(LCI_Table[[#This Row],[Technology]]="All",LCI_Table[[#This Row],[Technology]]=SelectedTechnology)</f>
        <v>0</v>
      </c>
      <c r="K2515" s="14" t="b">
        <f>OR(LCI_Table[[#This Row],[Data Source]]="All",LCI_Table[[#This Row],[Data Source]]=SelectedDataSource)</f>
        <v>0</v>
      </c>
      <c r="L2515" s="14" t="b">
        <f>TRUE</f>
        <v>1</v>
      </c>
      <c r="M2515" s="14" t="b">
        <f>(LCI_Table[[#This Row],[Dev Notes]]="Do not display")</f>
        <v>0</v>
      </c>
      <c r="N2515" s="14" t="b">
        <f>AND(LCI_Table[[#This Row],[Show Feedstock]:[Conditional]],NOT(LCI_Table[[#This Row],[Hide Row]]))</f>
        <v>0</v>
      </c>
      <c r="O2515" s="14" t="b">
        <f>LCI_Table[[#This Row],[GREET1 Name Range]]=""</f>
        <v>0</v>
      </c>
      <c r="P2515" s="14" t="s">
        <v>1448</v>
      </c>
      <c r="Q2515" s="14" t="s">
        <v>933</v>
      </c>
      <c r="R2515" s="14" t="s">
        <v>362</v>
      </c>
      <c r="S2515" s="37" cm="1">
        <f t="array" aca="1" ref="S25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66.858287441247398</v>
      </c>
      <c r="T2515" s="346" t="s">
        <v>2119</v>
      </c>
      <c r="U2515" s="347">
        <f ca="1">S2515*lb2g/Fuel_Specs!$E$48*Fuel_Specs!$B$48*BTU2mmBTU</f>
        <v>1.26760553889976</v>
      </c>
      <c r="V2515" s="347">
        <v>66.858287441247398</v>
      </c>
      <c r="W2515" s="347">
        <v>1.26760553889976</v>
      </c>
      <c r="X2515" s="14" t="s">
        <v>12</v>
      </c>
      <c r="Y2515" s="346" t="s">
        <v>416</v>
      </c>
      <c r="Z2515" s="14" t="str">
        <f>IF(ISBLANK(LCI_Table[[#This Row],[Notes for user]])," ",LCI_Table[[#This Row],[Notes for user]])</f>
        <v xml:space="preserve"> </v>
      </c>
      <c r="AA2515" s="14"/>
      <c r="AB2515" s="14"/>
      <c r="AC2515" s="346">
        <f ca="1">LCI_Table[[#This Row],[Default Calculated Value]]-LCI_Table[[#This Row],[Calculated Value]]</f>
        <v>0</v>
      </c>
    </row>
    <row r="2516" spans="1:29" x14ac:dyDescent="0.3">
      <c r="A25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3_Jatropha_HEFA_Natural_gasNatural gas</v>
      </c>
      <c r="B2516" s="381" t="s">
        <v>126</v>
      </c>
      <c r="C2516" s="381" t="s">
        <v>30</v>
      </c>
      <c r="D2516" s="383" t="s">
        <v>194</v>
      </c>
      <c r="E2516" s="384" t="s">
        <v>1349</v>
      </c>
      <c r="F2516" s="375" t="s">
        <v>1368</v>
      </c>
      <c r="G2516" s="14" t="b">
        <f>OR(LCI_Table[[#This Row],[Feedstock]]="All",LCI_Table[[#This Row],[Feedstock]]=SelectedFeedstock)</f>
        <v>0</v>
      </c>
      <c r="H2516" s="14" t="b">
        <f>OR(LCI_Table[[#This Row],[Conversion]]="All",LCI_Table[[#This Row],[Conversion]]=SelectedConversion)</f>
        <v>1</v>
      </c>
      <c r="I2516" s="14" t="b">
        <f>OR(LCI_Table[[#This Row],[Data Set]]="all",LCI_Table[[#This Row],[Data Set]]=SelectedDataSet)</f>
        <v>0</v>
      </c>
      <c r="J2516" s="14" t="b">
        <f>OR(LCI_Table[[#This Row],[Technology]]="All",LCI_Table[[#This Row],[Technology]]=SelectedTechnology)</f>
        <v>0</v>
      </c>
      <c r="K2516" s="14" t="b">
        <f>OR(LCI_Table[[#This Row],[Data Source]]="All",LCI_Table[[#This Row],[Data Source]]=SelectedDataSource)</f>
        <v>0</v>
      </c>
      <c r="L2516" s="14" t="b">
        <f>TRUE</f>
        <v>1</v>
      </c>
      <c r="M2516" s="14" t="b">
        <f>(LCI_Table[[#This Row],[Dev Notes]]="Do not display")</f>
        <v>0</v>
      </c>
      <c r="N2516" s="14" t="b">
        <f>AND(LCI_Table[[#This Row],[Show Feedstock]:[Conditional]],NOT(LCI_Table[[#This Row],[Hide Row]]))</f>
        <v>0</v>
      </c>
      <c r="O2516" s="14" t="b">
        <f>LCI_Table[[#This Row],[GREET1 Name Range]]=""</f>
        <v>0</v>
      </c>
      <c r="P2516" s="14" t="s">
        <v>1448</v>
      </c>
      <c r="Q2516" s="14" t="s">
        <v>700</v>
      </c>
      <c r="R2516" s="14" t="s">
        <v>108</v>
      </c>
      <c r="S2516" s="37" cm="1">
        <f t="array" aca="1" ref="S25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83.039077531566818</v>
      </c>
      <c r="T2516" s="346" t="s">
        <v>2120</v>
      </c>
      <c r="U2516" s="347">
        <f ca="1">S2516*lb2g/Fuel_Specs!$E$48*Fuel_Specs!$B$48*Fuel_Specs!$B$79*BTU2mmBTU</f>
        <v>1547.62206863969</v>
      </c>
      <c r="V2516" s="347">
        <v>83.039077531566818</v>
      </c>
      <c r="W2516" s="347">
        <v>1547.62206863969</v>
      </c>
      <c r="X2516" s="14" t="s">
        <v>351</v>
      </c>
      <c r="Y2516" s="346" t="s">
        <v>416</v>
      </c>
      <c r="Z2516" s="14" t="str">
        <f>IF(ISBLANK(LCI_Table[[#This Row],[Notes for user]])," ",LCI_Table[[#This Row],[Notes for user]])</f>
        <v xml:space="preserve"> </v>
      </c>
      <c r="AA2516" s="14"/>
      <c r="AB2516" s="14"/>
      <c r="AC2516" s="346">
        <f ca="1">LCI_Table[[#This Row],[Default Calculated Value]]-LCI_Table[[#This Row],[Calculated Value]]</f>
        <v>0</v>
      </c>
    </row>
    <row r="2517" spans="1:29" x14ac:dyDescent="0.3">
      <c r="A25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3_Jatropha_HEFA_ElectricityGrid Electricity</v>
      </c>
      <c r="B2517" s="381" t="s">
        <v>126</v>
      </c>
      <c r="C2517" s="381" t="s">
        <v>30</v>
      </c>
      <c r="D2517" s="383" t="s">
        <v>194</v>
      </c>
      <c r="E2517" s="384" t="s">
        <v>1349</v>
      </c>
      <c r="F2517" s="375" t="s">
        <v>1368</v>
      </c>
      <c r="G2517" s="14" t="b">
        <f>OR(LCI_Table[[#This Row],[Feedstock]]="All",LCI_Table[[#This Row],[Feedstock]]=SelectedFeedstock)</f>
        <v>0</v>
      </c>
      <c r="H2517" s="14" t="b">
        <f>OR(LCI_Table[[#This Row],[Conversion]]="All",LCI_Table[[#This Row],[Conversion]]=SelectedConversion)</f>
        <v>1</v>
      </c>
      <c r="I2517" s="14" t="b">
        <f>OR(LCI_Table[[#This Row],[Data Set]]="all",LCI_Table[[#This Row],[Data Set]]=SelectedDataSet)</f>
        <v>0</v>
      </c>
      <c r="J2517" s="14" t="b">
        <f>OR(LCI_Table[[#This Row],[Technology]]="All",LCI_Table[[#This Row],[Technology]]=SelectedTechnology)</f>
        <v>0</v>
      </c>
      <c r="K2517" s="14" t="b">
        <f>OR(LCI_Table[[#This Row],[Data Source]]="All",LCI_Table[[#This Row],[Data Source]]=SelectedDataSource)</f>
        <v>0</v>
      </c>
      <c r="L2517" s="14" t="b">
        <f>TRUE</f>
        <v>1</v>
      </c>
      <c r="M2517" s="14" t="b">
        <f>(LCI_Table[[#This Row],[Dev Notes]]="Do not display")</f>
        <v>0</v>
      </c>
      <c r="N2517" s="14" t="b">
        <f>AND(LCI_Table[[#This Row],[Show Feedstock]:[Conditional]],NOT(LCI_Table[[#This Row],[Hide Row]]))</f>
        <v>0</v>
      </c>
      <c r="O2517" s="14" t="b">
        <f>LCI_Table[[#This Row],[GREET1 Name Range]]=""</f>
        <v>0</v>
      </c>
      <c r="P2517" s="14" t="s">
        <v>1448</v>
      </c>
      <c r="Q2517" s="14" t="s">
        <v>698</v>
      </c>
      <c r="R2517" s="14" t="s">
        <v>1684</v>
      </c>
      <c r="S2517" s="37" cm="1">
        <f t="array" aca="1" ref="S25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1.3550946959657855</v>
      </c>
      <c r="T2517" s="346" t="s">
        <v>2121</v>
      </c>
      <c r="U2517" s="347">
        <f ca="1">S2517*lb2g/Fuel_Specs!$E$48*Fuel_Specs!$B$48/BTU2kWh*BTU2mmBTU</f>
        <v>87.664866633185198</v>
      </c>
      <c r="V2517" s="347">
        <v>1.3550946959657855</v>
      </c>
      <c r="W2517" s="347">
        <v>87.664866633185198</v>
      </c>
      <c r="X2517" s="14" t="s">
        <v>51</v>
      </c>
      <c r="Y2517" s="346" t="s">
        <v>416</v>
      </c>
      <c r="Z2517" s="14" t="str">
        <f>IF(ISBLANK(LCI_Table[[#This Row],[Notes for user]])," ",LCI_Table[[#This Row],[Notes for user]])</f>
        <v xml:space="preserve"> </v>
      </c>
      <c r="AA2517" s="14"/>
      <c r="AB2517" s="14"/>
      <c r="AC2517" s="346">
        <f ca="1">LCI_Table[[#This Row],[Default Calculated Value]]-LCI_Table[[#This Row],[Calculated Value]]</f>
        <v>0</v>
      </c>
    </row>
    <row r="2518" spans="1:29" x14ac:dyDescent="0.3">
      <c r="A25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3_Jatropha_HEFA_HydrogenHydrogen</v>
      </c>
      <c r="B2518" s="381" t="s">
        <v>126</v>
      </c>
      <c r="C2518" s="381" t="s">
        <v>30</v>
      </c>
      <c r="D2518" s="383" t="s">
        <v>194</v>
      </c>
      <c r="E2518" s="384" t="s">
        <v>1349</v>
      </c>
      <c r="F2518" s="375" t="s">
        <v>1368</v>
      </c>
      <c r="G2518" s="14" t="b">
        <f>OR(LCI_Table[[#This Row],[Feedstock]]="All",LCI_Table[[#This Row],[Feedstock]]=SelectedFeedstock)</f>
        <v>0</v>
      </c>
      <c r="H2518" s="14" t="b">
        <f>OR(LCI_Table[[#This Row],[Conversion]]="All",LCI_Table[[#This Row],[Conversion]]=SelectedConversion)</f>
        <v>1</v>
      </c>
      <c r="I2518" s="14" t="b">
        <f>OR(LCI_Table[[#This Row],[Data Set]]="all",LCI_Table[[#This Row],[Data Set]]=SelectedDataSet)</f>
        <v>0</v>
      </c>
      <c r="J2518" s="14" t="b">
        <f>OR(LCI_Table[[#This Row],[Technology]]="All",LCI_Table[[#This Row],[Technology]]=SelectedTechnology)</f>
        <v>0</v>
      </c>
      <c r="K2518" s="14" t="b">
        <f>OR(LCI_Table[[#This Row],[Data Source]]="All",LCI_Table[[#This Row],[Data Source]]=SelectedDataSource)</f>
        <v>0</v>
      </c>
      <c r="L2518" s="14" t="b">
        <f>TRUE</f>
        <v>1</v>
      </c>
      <c r="M2518" s="14" t="b">
        <f>(LCI_Table[[#This Row],[Dev Notes]]="Do not display")</f>
        <v>0</v>
      </c>
      <c r="N2518" s="14" t="b">
        <f>AND(LCI_Table[[#This Row],[Show Feedstock]:[Conditional]],NOT(LCI_Table[[#This Row],[Hide Row]]))</f>
        <v>0</v>
      </c>
      <c r="O2518" s="14" t="b">
        <f>LCI_Table[[#This Row],[GREET1 Name Range]]=""</f>
        <v>0</v>
      </c>
      <c r="P2518" s="14" t="s">
        <v>1448</v>
      </c>
      <c r="Q2518" s="14" t="s">
        <v>699</v>
      </c>
      <c r="R2518" s="14" t="s">
        <v>73</v>
      </c>
      <c r="S2518" s="37" cm="1">
        <f t="array" aca="1" ref="S25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315.81487345029103</v>
      </c>
      <c r="T2518" s="346" t="s">
        <v>2120</v>
      </c>
      <c r="U2518" s="347">
        <f ca="1">S2518*lb2g/Fuel_Specs!$E$48*Fuel_Specs!$B$48*Fuel_Specs!$B$81*BTU2mmBTU</f>
        <v>1736.4387044650198</v>
      </c>
      <c r="V2518" s="347">
        <v>315.81487345029103</v>
      </c>
      <c r="W2518" s="347">
        <v>1736.4387044650198</v>
      </c>
      <c r="X2518" s="14" t="s">
        <v>351</v>
      </c>
      <c r="Y2518" s="346" t="s">
        <v>416</v>
      </c>
      <c r="Z2518" s="14" t="str">
        <f>IF(ISBLANK(LCI_Table[[#This Row],[Notes for user]])," ",LCI_Table[[#This Row],[Notes for user]])</f>
        <v xml:space="preserve"> </v>
      </c>
      <c r="AA2518" s="14"/>
      <c r="AB2518" s="14"/>
      <c r="AC2518" s="346">
        <f ca="1">LCI_Table[[#This Row],[Default Calculated Value]]-LCI_Table[[#This Row],[Calculated Value]]</f>
        <v>0</v>
      </c>
    </row>
    <row r="2519" spans="1:29" x14ac:dyDescent="0.3">
      <c r="A25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JatrophaHEFAICAOUS (GREET)Scenario 3_Jatropha_Oil_HEFA_Energy_AllocationAllocation factor</v>
      </c>
      <c r="B2519" s="382" t="s">
        <v>126</v>
      </c>
      <c r="C2519" s="382" t="s">
        <v>30</v>
      </c>
      <c r="D2519" s="385" t="s">
        <v>194</v>
      </c>
      <c r="E2519" s="386" t="s">
        <v>1349</v>
      </c>
      <c r="F2519" s="375" t="s">
        <v>1368</v>
      </c>
      <c r="G2519" s="14" t="b">
        <f>OR(LCI_Table[[#This Row],[Feedstock]]="All",LCI_Table[[#This Row],[Feedstock]]=SelectedFeedstock)</f>
        <v>0</v>
      </c>
      <c r="H2519" s="14" t="b">
        <f>OR(LCI_Table[[#This Row],[Conversion]]="All",LCI_Table[[#This Row],[Conversion]]=SelectedConversion)</f>
        <v>1</v>
      </c>
      <c r="I2519" s="14" t="b">
        <f>OR(LCI_Table[[#This Row],[Data Set]]="all",LCI_Table[[#This Row],[Data Set]]=SelectedDataSet)</f>
        <v>0</v>
      </c>
      <c r="J2519" s="14" t="b">
        <f>OR(LCI_Table[[#This Row],[Technology]]="All",LCI_Table[[#This Row],[Technology]]=SelectedTechnology)</f>
        <v>0</v>
      </c>
      <c r="K2519" s="14" t="b">
        <f>OR(LCI_Table[[#This Row],[Data Source]]="All",LCI_Table[[#This Row],[Data Source]]=SelectedDataSource)</f>
        <v>0</v>
      </c>
      <c r="L2519" s="14" t="b">
        <f>TRUE</f>
        <v>1</v>
      </c>
      <c r="M2519" s="14" t="b">
        <f>(LCI_Table[[#This Row],[Dev Notes]]="Do not display")</f>
        <v>0</v>
      </c>
      <c r="N2519" s="14" t="b">
        <f>AND(LCI_Table[[#This Row],[Show Feedstock]:[Conditional]],NOT(LCI_Table[[#This Row],[Hide Row]]))</f>
        <v>0</v>
      </c>
      <c r="O2519" s="14" t="b">
        <f>LCI_Table[[#This Row],[GREET1 Name Range]]=""</f>
        <v>0</v>
      </c>
      <c r="P2519" s="14" t="s">
        <v>1448</v>
      </c>
      <c r="Q2519" s="14" t="s">
        <v>1118</v>
      </c>
      <c r="R2519" s="14" t="s">
        <v>1344</v>
      </c>
      <c r="S2519" s="37" cm="1">
        <f t="array" aca="1" ref="S25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91.171197532976606</v>
      </c>
      <c r="T2519" s="346" t="s">
        <v>1345</v>
      </c>
      <c r="U2519" s="376">
        <f ca="1">LCI_Table[[#This Row],[Dashboard Value]]/100</f>
        <v>0.91171197532976611</v>
      </c>
      <c r="V2519" s="376">
        <v>91.171197532976606</v>
      </c>
      <c r="W2519" s="376">
        <v>0.91171197532976611</v>
      </c>
      <c r="X2519" s="14" t="s">
        <v>1345</v>
      </c>
      <c r="Y2519" s="346" t="s">
        <v>416</v>
      </c>
      <c r="Z2519" s="14" t="str">
        <f>IF(ISBLANK(LCI_Table[[#This Row],[Notes for user]])," ",LCI_Table[[#This Row],[Notes for user]])</f>
        <v>Allocation to main distillate fuels (energy allocation)</v>
      </c>
      <c r="AA2519" s="14" t="s">
        <v>1353</v>
      </c>
      <c r="AB2519" s="14"/>
      <c r="AC2519" s="346">
        <f ca="1">LCI_Table[[#This Row],[Default Calculated Value]]-LCI_Table[[#This Row],[Calculated Value]]</f>
        <v>0</v>
      </c>
    </row>
    <row r="2520" spans="1:29" x14ac:dyDescent="0.3">
      <c r="A25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dash_Corni-BuOH ATJICAOJRC(blank)_Yield_Farming</v>
      </c>
      <c r="B2520" s="377" t="s">
        <v>136</v>
      </c>
      <c r="C2520" s="377" t="s">
        <v>883</v>
      </c>
      <c r="D2520" s="378" t="s">
        <v>194</v>
      </c>
      <c r="E2520" s="379" t="s">
        <v>355</v>
      </c>
      <c r="F2520" s="375" t="s">
        <v>31</v>
      </c>
      <c r="G2520" s="14" t="b">
        <f>OR(LCI_Table[[#This Row],[Feedstock]]="All",LCI_Table[[#This Row],[Feedstock]]=SelectedFeedstock)</f>
        <v>0</v>
      </c>
      <c r="H2520" s="14" t="b">
        <f>OR(LCI_Table[[#This Row],[Conversion]]="All",LCI_Table[[#This Row],[Conversion]]=SelectedConversion)</f>
        <v>0</v>
      </c>
      <c r="I2520" s="14" t="b">
        <f>OR(LCI_Table[[#This Row],[Data Set]]="all",LCI_Table[[#This Row],[Data Set]]=SelectedDataSet)</f>
        <v>0</v>
      </c>
      <c r="J2520" s="14" t="b">
        <f>OR(LCI_Table[[#This Row],[Technology]]="All",LCI_Table[[#This Row],[Technology]]=SelectedTechnology)</f>
        <v>1</v>
      </c>
      <c r="K2520" s="14" t="b">
        <f>OR(LCI_Table[[#This Row],[Data Source]]="All",LCI_Table[[#This Row],[Data Source]]=SelectedDataSource)</f>
        <v>0</v>
      </c>
      <c r="L2520" s="14" t="b">
        <f>TRUE</f>
        <v>1</v>
      </c>
      <c r="M2520" s="14" t="b">
        <f>(LCI_Table[[#This Row],[Dev Notes]]="Do not display")</f>
        <v>0</v>
      </c>
      <c r="N2520" s="14" t="b">
        <f>AND(LCI_Table[[#This Row],[Show Feedstock]:[Conditional]],NOT(LCI_Table[[#This Row],[Hide Row]]))</f>
        <v>0</v>
      </c>
      <c r="O2520" s="14" t="b">
        <f>LCI_Table[[#This Row],[GREET1 Name Range]]=""</f>
        <v>1</v>
      </c>
      <c r="P2520" s="380" t="s">
        <v>14</v>
      </c>
      <c r="Q2520" s="14" t="s">
        <v>361</v>
      </c>
      <c r="R2520" s="48" t="s">
        <v>200</v>
      </c>
      <c r="S2520" s="37" cm="1">
        <f t="array" aca="1" ref="S25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178.4</v>
      </c>
      <c r="T2520" s="346" t="s">
        <v>2148</v>
      </c>
      <c r="U2520" s="343"/>
      <c r="V2520" s="343">
        <v>178.4</v>
      </c>
      <c r="W2520" s="343"/>
      <c r="X2520" s="48" t="s">
        <v>70</v>
      </c>
      <c r="Y2520" s="346" t="s">
        <v>416</v>
      </c>
      <c r="Z2520" s="14" t="str">
        <f>IF(ISBLANK(LCI_Table[[#This Row],[Notes for user]])," ",LCI_Table[[#This Row],[Notes for user]])</f>
        <v>Farming data from GREET</v>
      </c>
      <c r="AA2520" s="14" t="s">
        <v>1373</v>
      </c>
      <c r="AB2520" s="345"/>
      <c r="AC2520" s="346">
        <f>LCI_Table[[#This Row],[Default Calculated Value]]-LCI_Table[[#This Row],[Calculated Value]]</f>
        <v>0</v>
      </c>
    </row>
    <row r="2521" spans="1:29" x14ac:dyDescent="0.3">
      <c r="A25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ATJICAOJRC(blank)_Corn_Farming_Nitrogen_fertilizerNitrogen fertilizer</v>
      </c>
      <c r="B2521" s="381" t="s">
        <v>136</v>
      </c>
      <c r="C2521" s="381" t="s">
        <v>883</v>
      </c>
      <c r="D2521" s="383" t="s">
        <v>194</v>
      </c>
      <c r="E2521" s="379" t="s">
        <v>355</v>
      </c>
      <c r="F2521" s="375" t="s">
        <v>31</v>
      </c>
      <c r="G2521" s="14" t="b">
        <f>OR(LCI_Table[[#This Row],[Feedstock]]="All",LCI_Table[[#This Row],[Feedstock]]=SelectedFeedstock)</f>
        <v>0</v>
      </c>
      <c r="H2521" s="14" t="b">
        <f>OR(LCI_Table[[#This Row],[Conversion]]="All",LCI_Table[[#This Row],[Conversion]]=SelectedConversion)</f>
        <v>0</v>
      </c>
      <c r="I2521" s="14" t="b">
        <f>OR(LCI_Table[[#This Row],[Data Set]]="all",LCI_Table[[#This Row],[Data Set]]=SelectedDataSet)</f>
        <v>0</v>
      </c>
      <c r="J2521" s="14" t="b">
        <f>OR(LCI_Table[[#This Row],[Technology]]="All",LCI_Table[[#This Row],[Technology]]=SelectedTechnology)</f>
        <v>1</v>
      </c>
      <c r="K2521" s="14" t="b">
        <f>OR(LCI_Table[[#This Row],[Data Source]]="All",LCI_Table[[#This Row],[Data Source]]=SelectedDataSource)</f>
        <v>0</v>
      </c>
      <c r="L2521" s="14" t="b">
        <f>TRUE</f>
        <v>1</v>
      </c>
      <c r="M2521" s="14" t="b">
        <f>(LCI_Table[[#This Row],[Dev Notes]]="Do not display")</f>
        <v>0</v>
      </c>
      <c r="N2521" s="14" t="b">
        <f>AND(LCI_Table[[#This Row],[Show Feedstock]:[Conditional]],NOT(LCI_Table[[#This Row],[Hide Row]]))</f>
        <v>0</v>
      </c>
      <c r="O2521" s="14" t="b">
        <f>LCI_Table[[#This Row],[GREET1 Name Range]]=""</f>
        <v>0</v>
      </c>
      <c r="P2521" s="14" t="s">
        <v>14</v>
      </c>
      <c r="Q2521" s="14" t="s">
        <v>589</v>
      </c>
      <c r="R2521" s="14" t="s">
        <v>111</v>
      </c>
      <c r="S2521" s="37" cm="1">
        <f t="array" aca="1" ref="S25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150.63569080758597</v>
      </c>
      <c r="T2521" s="346" t="s">
        <v>2119</v>
      </c>
      <c r="U2521" s="347">
        <f ca="1">S2521/$S$2266*lb2g</f>
        <v>383.0000000000008</v>
      </c>
      <c r="V2521" s="347">
        <v>150.63569080758597</v>
      </c>
      <c r="W2521" s="347">
        <v>383.0000000000008</v>
      </c>
      <c r="X2521" s="14" t="s">
        <v>12</v>
      </c>
      <c r="Y2521" s="346" t="s">
        <v>416</v>
      </c>
      <c r="Z2521" s="14" t="str">
        <f>IF(ISBLANK(LCI_Table[[#This Row],[Notes for user]])," ",LCI_Table[[#This Row],[Notes for user]])</f>
        <v>Farming data from GREET</v>
      </c>
      <c r="AA2521" s="14" t="s">
        <v>1373</v>
      </c>
      <c r="AB2521" s="14"/>
      <c r="AC2521" s="346">
        <f ca="1">LCI_Table[[#This Row],[Default Calculated Value]]-LCI_Table[[#This Row],[Calculated Value]]</f>
        <v>0</v>
      </c>
    </row>
    <row r="2522" spans="1:29" x14ac:dyDescent="0.3">
      <c r="A25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ATJICAOJRC(blank)_Corn_Farming_P2O5P2O5</v>
      </c>
      <c r="B2522" s="381" t="s">
        <v>136</v>
      </c>
      <c r="C2522" s="381" t="s">
        <v>883</v>
      </c>
      <c r="D2522" s="383" t="s">
        <v>194</v>
      </c>
      <c r="E2522" s="379" t="s">
        <v>355</v>
      </c>
      <c r="F2522" s="375" t="s">
        <v>31</v>
      </c>
      <c r="G2522" s="14" t="b">
        <f>OR(LCI_Table[[#This Row],[Feedstock]]="All",LCI_Table[[#This Row],[Feedstock]]=SelectedFeedstock)</f>
        <v>0</v>
      </c>
      <c r="H2522" s="14" t="b">
        <f>OR(LCI_Table[[#This Row],[Conversion]]="All",LCI_Table[[#This Row],[Conversion]]=SelectedConversion)</f>
        <v>0</v>
      </c>
      <c r="I2522" s="14" t="b">
        <f>OR(LCI_Table[[#This Row],[Data Set]]="all",LCI_Table[[#This Row],[Data Set]]=SelectedDataSet)</f>
        <v>0</v>
      </c>
      <c r="J2522" s="14" t="b">
        <f>OR(LCI_Table[[#This Row],[Technology]]="All",LCI_Table[[#This Row],[Technology]]=SelectedTechnology)</f>
        <v>1</v>
      </c>
      <c r="K2522" s="14" t="b">
        <f>OR(LCI_Table[[#This Row],[Data Source]]="All",LCI_Table[[#This Row],[Data Source]]=SelectedDataSource)</f>
        <v>0</v>
      </c>
      <c r="L2522" s="14" t="b">
        <f>TRUE</f>
        <v>1</v>
      </c>
      <c r="M2522" s="14" t="b">
        <f>(LCI_Table[[#This Row],[Dev Notes]]="Do not display")</f>
        <v>0</v>
      </c>
      <c r="N2522" s="14" t="b">
        <f>AND(LCI_Table[[#This Row],[Show Feedstock]:[Conditional]],NOT(LCI_Table[[#This Row],[Hide Row]]))</f>
        <v>0</v>
      </c>
      <c r="O2522" s="14" t="b">
        <f>LCI_Table[[#This Row],[GREET1 Name Range]]=""</f>
        <v>0</v>
      </c>
      <c r="P2522" s="14" t="s">
        <v>14</v>
      </c>
      <c r="Q2522" s="14" t="s">
        <v>590</v>
      </c>
      <c r="R2522" s="14" t="s">
        <v>112</v>
      </c>
      <c r="S2522" s="37" cm="1">
        <f t="array" aca="1" ref="S25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54.787341330278672</v>
      </c>
      <c r="T2522" s="346" t="s">
        <v>2119</v>
      </c>
      <c r="U2522" s="347">
        <f ca="1">S2522/S2520*lb2g</f>
        <v>139.3000000000003</v>
      </c>
      <c r="V2522" s="347">
        <v>54.787341330278672</v>
      </c>
      <c r="W2522" s="347">
        <v>139.3000000000003</v>
      </c>
      <c r="X2522" s="14" t="s">
        <v>12</v>
      </c>
      <c r="Y2522" s="346" t="s">
        <v>416</v>
      </c>
      <c r="Z2522" s="14" t="str">
        <f>IF(ISBLANK(LCI_Table[[#This Row],[Notes for user]])," ",LCI_Table[[#This Row],[Notes for user]])</f>
        <v>Farming data from GREET</v>
      </c>
      <c r="AA2522" s="14" t="s">
        <v>1373</v>
      </c>
      <c r="AB2522" s="14"/>
      <c r="AC2522" s="346">
        <f ca="1">LCI_Table[[#This Row],[Default Calculated Value]]-LCI_Table[[#This Row],[Calculated Value]]</f>
        <v>0</v>
      </c>
    </row>
    <row r="2523" spans="1:29" x14ac:dyDescent="0.3">
      <c r="A25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ATJICAOJRC(blank)_Corn_Farming_K2OK2O</v>
      </c>
      <c r="B2523" s="381" t="s">
        <v>136</v>
      </c>
      <c r="C2523" s="381" t="s">
        <v>883</v>
      </c>
      <c r="D2523" s="383" t="s">
        <v>194</v>
      </c>
      <c r="E2523" s="379" t="s">
        <v>355</v>
      </c>
      <c r="F2523" s="375" t="s">
        <v>31</v>
      </c>
      <c r="G2523" s="14" t="b">
        <f>OR(LCI_Table[[#This Row],[Feedstock]]="All",LCI_Table[[#This Row],[Feedstock]]=SelectedFeedstock)</f>
        <v>0</v>
      </c>
      <c r="H2523" s="14" t="b">
        <f>OR(LCI_Table[[#This Row],[Conversion]]="All",LCI_Table[[#This Row],[Conversion]]=SelectedConversion)</f>
        <v>0</v>
      </c>
      <c r="I2523" s="14" t="b">
        <f>OR(LCI_Table[[#This Row],[Data Set]]="all",LCI_Table[[#This Row],[Data Set]]=SelectedDataSet)</f>
        <v>0</v>
      </c>
      <c r="J2523" s="14" t="b">
        <f>OR(LCI_Table[[#This Row],[Technology]]="All",LCI_Table[[#This Row],[Technology]]=SelectedTechnology)</f>
        <v>1</v>
      </c>
      <c r="K2523" s="14" t="b">
        <f>OR(LCI_Table[[#This Row],[Data Source]]="All",LCI_Table[[#This Row],[Data Source]]=SelectedDataSource)</f>
        <v>0</v>
      </c>
      <c r="L2523" s="14" t="b">
        <f>TRUE</f>
        <v>1</v>
      </c>
      <c r="M2523" s="14" t="b">
        <f>(LCI_Table[[#This Row],[Dev Notes]]="Do not display")</f>
        <v>0</v>
      </c>
      <c r="N2523" s="14" t="b">
        <f>AND(LCI_Table[[#This Row],[Show Feedstock]:[Conditional]],NOT(LCI_Table[[#This Row],[Hide Row]]))</f>
        <v>0</v>
      </c>
      <c r="O2523" s="14" t="b">
        <f>LCI_Table[[#This Row],[GREET1 Name Range]]=""</f>
        <v>0</v>
      </c>
      <c r="P2523" s="14" t="s">
        <v>14</v>
      </c>
      <c r="Q2523" s="14" t="s">
        <v>588</v>
      </c>
      <c r="R2523" s="14" t="s">
        <v>113</v>
      </c>
      <c r="S2523" s="37" cm="1">
        <f t="array" aca="1" ref="S25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57.579804528017199</v>
      </c>
      <c r="T2523" s="346" t="s">
        <v>2119</v>
      </c>
      <c r="U2523" s="347">
        <f ca="1">S2523/S2520*lb2g</f>
        <v>146.40000000000029</v>
      </c>
      <c r="V2523" s="347">
        <v>57.579804528017199</v>
      </c>
      <c r="W2523" s="347">
        <v>146.40000000000029</v>
      </c>
      <c r="X2523" s="14" t="s">
        <v>12</v>
      </c>
      <c r="Y2523" s="346" t="s">
        <v>416</v>
      </c>
      <c r="Z2523" s="14" t="str">
        <f>IF(ISBLANK(LCI_Table[[#This Row],[Notes for user]])," ",LCI_Table[[#This Row],[Notes for user]])</f>
        <v>Farming data from GREET</v>
      </c>
      <c r="AA2523" s="14" t="s">
        <v>1373</v>
      </c>
      <c r="AB2523" s="14"/>
      <c r="AC2523" s="346">
        <f ca="1">LCI_Table[[#This Row],[Default Calculated Value]]-LCI_Table[[#This Row],[Calculated Value]]</f>
        <v>0</v>
      </c>
    </row>
    <row r="2524" spans="1:29" x14ac:dyDescent="0.3">
      <c r="A25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ATJICAOJRC(blank)_Corn_Farming_CaCO3CaCO3</v>
      </c>
      <c r="B2524" s="381" t="s">
        <v>136</v>
      </c>
      <c r="C2524" s="381" t="s">
        <v>883</v>
      </c>
      <c r="D2524" s="383" t="s">
        <v>194</v>
      </c>
      <c r="E2524" s="379" t="s">
        <v>355</v>
      </c>
      <c r="F2524" s="375" t="s">
        <v>31</v>
      </c>
      <c r="G2524" s="14" t="b">
        <f>OR(LCI_Table[[#This Row],[Feedstock]]="All",LCI_Table[[#This Row],[Feedstock]]=SelectedFeedstock)</f>
        <v>0</v>
      </c>
      <c r="H2524" s="14" t="b">
        <f>OR(LCI_Table[[#This Row],[Conversion]]="All",LCI_Table[[#This Row],[Conversion]]=SelectedConversion)</f>
        <v>0</v>
      </c>
      <c r="I2524" s="14" t="b">
        <f>OR(LCI_Table[[#This Row],[Data Set]]="all",LCI_Table[[#This Row],[Data Set]]=SelectedDataSet)</f>
        <v>0</v>
      </c>
      <c r="J2524" s="14" t="b">
        <f>OR(LCI_Table[[#This Row],[Technology]]="All",LCI_Table[[#This Row],[Technology]]=SelectedTechnology)</f>
        <v>1</v>
      </c>
      <c r="K2524" s="14" t="b">
        <f>OR(LCI_Table[[#This Row],[Data Source]]="All",LCI_Table[[#This Row],[Data Source]]=SelectedDataSource)</f>
        <v>0</v>
      </c>
      <c r="L2524" s="14" t="b">
        <f>TRUE</f>
        <v>1</v>
      </c>
      <c r="M2524" s="14" t="b">
        <f>(LCI_Table[[#This Row],[Dev Notes]]="Do not display")</f>
        <v>0</v>
      </c>
      <c r="N2524" s="14" t="b">
        <f>AND(LCI_Table[[#This Row],[Show Feedstock]:[Conditional]],NOT(LCI_Table[[#This Row],[Hide Row]]))</f>
        <v>0</v>
      </c>
      <c r="O2524" s="14" t="b">
        <f>LCI_Table[[#This Row],[GREET1 Name Range]]=""</f>
        <v>0</v>
      </c>
      <c r="P2524" s="14" t="s">
        <v>14</v>
      </c>
      <c r="Q2524" s="14" t="s">
        <v>584</v>
      </c>
      <c r="R2524" s="14" t="s">
        <v>141</v>
      </c>
      <c r="S2524" s="37" cm="1">
        <f t="array" aca="1" ref="S25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507.44169263693851</v>
      </c>
      <c r="T2524" s="346" t="s">
        <v>2119</v>
      </c>
      <c r="U2524" s="347">
        <f ca="1">S2524/S2520*lb2g</f>
        <v>1290.2000000000028</v>
      </c>
      <c r="V2524" s="347">
        <v>507.44169263693851</v>
      </c>
      <c r="W2524" s="347">
        <v>1290.2000000000028</v>
      </c>
      <c r="X2524" s="14" t="s">
        <v>12</v>
      </c>
      <c r="Y2524" s="346" t="s">
        <v>416</v>
      </c>
      <c r="Z2524" s="14" t="str">
        <f>IF(ISBLANK(LCI_Table[[#This Row],[Notes for user]])," ",LCI_Table[[#This Row],[Notes for user]])</f>
        <v>Farming data from GREET</v>
      </c>
      <c r="AA2524" s="14" t="s">
        <v>1373</v>
      </c>
      <c r="AB2524" s="14"/>
      <c r="AC2524" s="346">
        <f ca="1">LCI_Table[[#This Row],[Default Calculated Value]]-LCI_Table[[#This Row],[Calculated Value]]</f>
        <v>0</v>
      </c>
    </row>
    <row r="2525" spans="1:29" x14ac:dyDescent="0.3">
      <c r="A25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ATJICAOJRC(blank)_Corn_Farming_HerbicidesHerbicides</v>
      </c>
      <c r="B2525" s="381" t="s">
        <v>136</v>
      </c>
      <c r="C2525" s="381" t="s">
        <v>883</v>
      </c>
      <c r="D2525" s="383" t="s">
        <v>194</v>
      </c>
      <c r="E2525" s="379" t="s">
        <v>355</v>
      </c>
      <c r="F2525" s="375" t="s">
        <v>31</v>
      </c>
      <c r="G2525" s="14" t="b">
        <f>OR(LCI_Table[[#This Row],[Feedstock]]="All",LCI_Table[[#This Row],[Feedstock]]=SelectedFeedstock)</f>
        <v>0</v>
      </c>
      <c r="H2525" s="14" t="b">
        <f>OR(LCI_Table[[#This Row],[Conversion]]="All",LCI_Table[[#This Row],[Conversion]]=SelectedConversion)</f>
        <v>0</v>
      </c>
      <c r="I2525" s="14" t="b">
        <f>OR(LCI_Table[[#This Row],[Data Set]]="all",LCI_Table[[#This Row],[Data Set]]=SelectedDataSet)</f>
        <v>0</v>
      </c>
      <c r="J2525" s="14" t="b">
        <f>OR(LCI_Table[[#This Row],[Technology]]="All",LCI_Table[[#This Row],[Technology]]=SelectedTechnology)</f>
        <v>1</v>
      </c>
      <c r="K2525" s="14" t="b">
        <f>OR(LCI_Table[[#This Row],[Data Source]]="All",LCI_Table[[#This Row],[Data Source]]=SelectedDataSource)</f>
        <v>0</v>
      </c>
      <c r="L2525" s="14" t="b">
        <f>TRUE</f>
        <v>1</v>
      </c>
      <c r="M2525" s="14" t="b">
        <f>(LCI_Table[[#This Row],[Dev Notes]]="Do not display")</f>
        <v>0</v>
      </c>
      <c r="N2525" s="14" t="b">
        <f>AND(LCI_Table[[#This Row],[Show Feedstock]:[Conditional]],NOT(LCI_Table[[#This Row],[Hide Row]]))</f>
        <v>0</v>
      </c>
      <c r="O2525" s="14" t="b">
        <f>LCI_Table[[#This Row],[GREET1 Name Range]]=""</f>
        <v>0</v>
      </c>
      <c r="P2525" s="14" t="s">
        <v>14</v>
      </c>
      <c r="Q2525" s="14" t="s">
        <v>586</v>
      </c>
      <c r="R2525" s="14" t="s">
        <v>356</v>
      </c>
      <c r="S2525" s="37" cm="1">
        <f t="array" aca="1" ref="S25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2.3204975868531523</v>
      </c>
      <c r="T2525" s="346" t="s">
        <v>2119</v>
      </c>
      <c r="U2525" s="347">
        <f ca="1">S2525/S2520*lb2g</f>
        <v>5.9000000000000128</v>
      </c>
      <c r="V2525" s="347">
        <v>2.3204975868531523</v>
      </c>
      <c r="W2525" s="347">
        <v>5.9000000000000128</v>
      </c>
      <c r="X2525" s="14" t="s">
        <v>12</v>
      </c>
      <c r="Y2525" s="346" t="s">
        <v>416</v>
      </c>
      <c r="Z2525" s="14" t="str">
        <f>IF(ISBLANK(LCI_Table[[#This Row],[Notes for user]])," ",LCI_Table[[#This Row],[Notes for user]])</f>
        <v>Farming data from GREET</v>
      </c>
      <c r="AA2525" s="14" t="s">
        <v>1373</v>
      </c>
      <c r="AB2525" s="14"/>
      <c r="AC2525" s="346">
        <f ca="1">LCI_Table[[#This Row],[Default Calculated Value]]-LCI_Table[[#This Row],[Calculated Value]]</f>
        <v>0</v>
      </c>
    </row>
    <row r="2526" spans="1:29" x14ac:dyDescent="0.3">
      <c r="A25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ATJICAOJRC(blank)_Corn_Farming_InsecticideInsecticide</v>
      </c>
      <c r="B2526" s="381" t="s">
        <v>136</v>
      </c>
      <c r="C2526" s="381" t="s">
        <v>883</v>
      </c>
      <c r="D2526" s="383" t="s">
        <v>194</v>
      </c>
      <c r="E2526" s="379" t="s">
        <v>355</v>
      </c>
      <c r="F2526" s="375" t="s">
        <v>31</v>
      </c>
      <c r="G2526" s="14" t="b">
        <f>OR(LCI_Table[[#This Row],[Feedstock]]="All",LCI_Table[[#This Row],[Feedstock]]=SelectedFeedstock)</f>
        <v>0</v>
      </c>
      <c r="H2526" s="14" t="b">
        <f>OR(LCI_Table[[#This Row],[Conversion]]="All",LCI_Table[[#This Row],[Conversion]]=SelectedConversion)</f>
        <v>0</v>
      </c>
      <c r="I2526" s="14" t="b">
        <f>OR(LCI_Table[[#This Row],[Data Set]]="all",LCI_Table[[#This Row],[Data Set]]=SelectedDataSet)</f>
        <v>0</v>
      </c>
      <c r="J2526" s="14" t="b">
        <f>OR(LCI_Table[[#This Row],[Technology]]="All",LCI_Table[[#This Row],[Technology]]=SelectedTechnology)</f>
        <v>1</v>
      </c>
      <c r="K2526" s="14" t="b">
        <f>OR(LCI_Table[[#This Row],[Data Source]]="All",LCI_Table[[#This Row],[Data Source]]=SelectedDataSource)</f>
        <v>0</v>
      </c>
      <c r="L2526" s="14" t="b">
        <f>TRUE</f>
        <v>1</v>
      </c>
      <c r="M2526" s="14" t="b">
        <f>(LCI_Table[[#This Row],[Dev Notes]]="Do not display")</f>
        <v>0</v>
      </c>
      <c r="N2526" s="14" t="b">
        <f>AND(LCI_Table[[#This Row],[Show Feedstock]:[Conditional]],NOT(LCI_Table[[#This Row],[Hide Row]]))</f>
        <v>0</v>
      </c>
      <c r="O2526" s="14" t="b">
        <f>LCI_Table[[#This Row],[GREET1 Name Range]]=""</f>
        <v>0</v>
      </c>
      <c r="P2526" s="14" t="s">
        <v>14</v>
      </c>
      <c r="Q2526" s="14" t="s">
        <v>587</v>
      </c>
      <c r="R2526" s="14" t="s">
        <v>114</v>
      </c>
      <c r="S2526" s="37" cm="1">
        <f t="array" aca="1" ref="S25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4.9113204344759728E-3</v>
      </c>
      <c r="T2526" s="346" t="s">
        <v>2119</v>
      </c>
      <c r="U2526" s="347">
        <f ca="1">S2526/S2520*lb2g</f>
        <v>1.2487317688920327E-2</v>
      </c>
      <c r="V2526" s="347">
        <v>4.9113204344759728E-3</v>
      </c>
      <c r="W2526" s="347">
        <v>1.2487317688920327E-2</v>
      </c>
      <c r="X2526" s="14" t="s">
        <v>12</v>
      </c>
      <c r="Y2526" s="346" t="s">
        <v>416</v>
      </c>
      <c r="Z2526" s="14" t="str">
        <f>IF(ISBLANK(LCI_Table[[#This Row],[Notes for user]])," ",LCI_Table[[#This Row],[Notes for user]])</f>
        <v>Farming data from GREET</v>
      </c>
      <c r="AA2526" s="14" t="s">
        <v>1373</v>
      </c>
      <c r="AB2526" s="14"/>
      <c r="AC2526" s="346">
        <f ca="1">LCI_Table[[#This Row],[Default Calculated Value]]-LCI_Table[[#This Row],[Calculated Value]]</f>
        <v>0</v>
      </c>
    </row>
    <row r="2527" spans="1:29" x14ac:dyDescent="0.3">
      <c r="A25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ATJICAOJRC(blank)_Corn_Farming_Residual_oilResidual oil</v>
      </c>
      <c r="B2527" s="381" t="s">
        <v>136</v>
      </c>
      <c r="C2527" s="381" t="s">
        <v>883</v>
      </c>
      <c r="D2527" s="383" t="s">
        <v>194</v>
      </c>
      <c r="E2527" s="379" t="s">
        <v>355</v>
      </c>
      <c r="F2527" s="375" t="s">
        <v>31</v>
      </c>
      <c r="G2527" s="14" t="b">
        <f>OR(LCI_Table[[#This Row],[Feedstock]]="All",LCI_Table[[#This Row],[Feedstock]]=SelectedFeedstock)</f>
        <v>0</v>
      </c>
      <c r="H2527" s="14" t="b">
        <f>OR(LCI_Table[[#This Row],[Conversion]]="All",LCI_Table[[#This Row],[Conversion]]=SelectedConversion)</f>
        <v>0</v>
      </c>
      <c r="I2527" s="14" t="b">
        <f>OR(LCI_Table[[#This Row],[Data Set]]="all",LCI_Table[[#This Row],[Data Set]]=SelectedDataSet)</f>
        <v>0</v>
      </c>
      <c r="J2527" s="14" t="b">
        <f>OR(LCI_Table[[#This Row],[Technology]]="All",LCI_Table[[#This Row],[Technology]]=SelectedTechnology)</f>
        <v>1</v>
      </c>
      <c r="K2527" s="14" t="b">
        <f>OR(LCI_Table[[#This Row],[Data Source]]="All",LCI_Table[[#This Row],[Data Source]]=SelectedDataSource)</f>
        <v>0</v>
      </c>
      <c r="L2527" s="14" t="b">
        <f>TRUE</f>
        <v>1</v>
      </c>
      <c r="M2527" s="14" t="b">
        <f>(LCI_Table[[#This Row],[Dev Notes]]="Do not display")</f>
        <v>0</v>
      </c>
      <c r="N2527" s="14" t="b">
        <f>AND(LCI_Table[[#This Row],[Show Feedstock]:[Conditional]],NOT(LCI_Table[[#This Row],[Hide Row]]))</f>
        <v>0</v>
      </c>
      <c r="O2527" s="14" t="b">
        <f>LCI_Table[[#This Row],[GREET1 Name Range]]=""</f>
        <v>0</v>
      </c>
      <c r="P2527" s="14" t="s">
        <v>14</v>
      </c>
      <c r="Q2527" s="14" t="s">
        <v>591</v>
      </c>
      <c r="R2527" s="14" t="s">
        <v>115</v>
      </c>
      <c r="S2527" s="37" cm="1">
        <f t="array" aca="1" ref="S25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27" s="346" t="s">
        <v>2128</v>
      </c>
      <c r="U2527" s="347">
        <f ca="1">S2527/$S$2266*Fuel_Specs!$B$28</f>
        <v>0</v>
      </c>
      <c r="V2527" s="347">
        <v>0</v>
      </c>
      <c r="W2527" s="347">
        <v>0</v>
      </c>
      <c r="X2527" s="14" t="s">
        <v>5</v>
      </c>
      <c r="Y2527" s="346" t="s">
        <v>416</v>
      </c>
      <c r="Z2527" s="14" t="str">
        <f>IF(ISBLANK(LCI_Table[[#This Row],[Notes for user]])," ",LCI_Table[[#This Row],[Notes for user]])</f>
        <v>Farming data from GREET</v>
      </c>
      <c r="AA2527" s="14" t="s">
        <v>1373</v>
      </c>
      <c r="AB2527" s="14"/>
      <c r="AC2527" s="346">
        <f ca="1">LCI_Table[[#This Row],[Default Calculated Value]]-LCI_Table[[#This Row],[Calculated Value]]</f>
        <v>0</v>
      </c>
    </row>
    <row r="2528" spans="1:29" x14ac:dyDescent="0.3">
      <c r="A25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ATJICAOJRC(blank)_Diesel_CornFarmingDiesel</v>
      </c>
      <c r="B2528" s="381" t="s">
        <v>136</v>
      </c>
      <c r="C2528" s="381" t="s">
        <v>883</v>
      </c>
      <c r="D2528" s="383" t="s">
        <v>194</v>
      </c>
      <c r="E2528" s="379" t="s">
        <v>355</v>
      </c>
      <c r="F2528" s="375" t="s">
        <v>31</v>
      </c>
      <c r="G2528" s="14" t="b">
        <f>OR(LCI_Table[[#This Row],[Feedstock]]="All",LCI_Table[[#This Row],[Feedstock]]=SelectedFeedstock)</f>
        <v>0</v>
      </c>
      <c r="H2528" s="14" t="b">
        <f>OR(LCI_Table[[#This Row],[Conversion]]="All",LCI_Table[[#This Row],[Conversion]]=SelectedConversion)</f>
        <v>0</v>
      </c>
      <c r="I2528" s="14" t="b">
        <f>OR(LCI_Table[[#This Row],[Data Set]]="all",LCI_Table[[#This Row],[Data Set]]=SelectedDataSet)</f>
        <v>0</v>
      </c>
      <c r="J2528" s="14" t="b">
        <f>OR(LCI_Table[[#This Row],[Technology]]="All",LCI_Table[[#This Row],[Technology]]=SelectedTechnology)</f>
        <v>1</v>
      </c>
      <c r="K2528" s="14" t="b">
        <f>OR(LCI_Table[[#This Row],[Data Source]]="All",LCI_Table[[#This Row],[Data Source]]=SelectedDataSource)</f>
        <v>0</v>
      </c>
      <c r="L2528" s="14" t="b">
        <f>TRUE</f>
        <v>1</v>
      </c>
      <c r="M2528" s="14" t="b">
        <f>(LCI_Table[[#This Row],[Dev Notes]]="Do not display")</f>
        <v>0</v>
      </c>
      <c r="N2528" s="14" t="b">
        <f>AND(LCI_Table[[#This Row],[Show Feedstock]:[Conditional]],NOT(LCI_Table[[#This Row],[Hide Row]]))</f>
        <v>0</v>
      </c>
      <c r="O2528" s="14" t="b">
        <f>LCI_Table[[#This Row],[GREET1 Name Range]]=""</f>
        <v>0</v>
      </c>
      <c r="P2528" s="14" t="s">
        <v>14</v>
      </c>
      <c r="Q2528" s="14" t="s">
        <v>75</v>
      </c>
      <c r="R2528" s="14" t="s">
        <v>106</v>
      </c>
      <c r="S2528" s="37" cm="1">
        <f t="array" aca="1" ref="S25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4.7341883389641222</v>
      </c>
      <c r="T2528" s="346" t="s">
        <v>2128</v>
      </c>
      <c r="U2528" s="347">
        <f ca="1">S2528/$S$2266*Fuel_Specs!$B$19</f>
        <v>3408.6686779144702</v>
      </c>
      <c r="V2528" s="347">
        <v>4.7341883389641222</v>
      </c>
      <c r="W2528" s="347">
        <v>3408.6686779144702</v>
      </c>
      <c r="X2528" s="14" t="s">
        <v>5</v>
      </c>
      <c r="Y2528" s="346" t="s">
        <v>416</v>
      </c>
      <c r="Z2528" s="14" t="str">
        <f>IF(ISBLANK(LCI_Table[[#This Row],[Notes for user]])," ",LCI_Table[[#This Row],[Notes for user]])</f>
        <v>Farming data from GREET</v>
      </c>
      <c r="AA2528" s="14" t="s">
        <v>1373</v>
      </c>
      <c r="AB2528" s="14"/>
      <c r="AC2528" s="346">
        <f ca="1">LCI_Table[[#This Row],[Default Calculated Value]]-LCI_Table[[#This Row],[Calculated Value]]</f>
        <v>0</v>
      </c>
    </row>
    <row r="2529" spans="1:29" x14ac:dyDescent="0.3">
      <c r="A25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ATJICAOJRC(blank)_Gasoline_CornFarmingGasoline</v>
      </c>
      <c r="B2529" s="381" t="s">
        <v>136</v>
      </c>
      <c r="C2529" s="381" t="s">
        <v>883</v>
      </c>
      <c r="D2529" s="383" t="s">
        <v>194</v>
      </c>
      <c r="E2529" s="379" t="s">
        <v>355</v>
      </c>
      <c r="F2529" s="375" t="s">
        <v>31</v>
      </c>
      <c r="G2529" s="14" t="b">
        <f>OR(LCI_Table[[#This Row],[Feedstock]]="All",LCI_Table[[#This Row],[Feedstock]]=SelectedFeedstock)</f>
        <v>0</v>
      </c>
      <c r="H2529" s="14" t="b">
        <f>OR(LCI_Table[[#This Row],[Conversion]]="All",LCI_Table[[#This Row],[Conversion]]=SelectedConversion)</f>
        <v>0</v>
      </c>
      <c r="I2529" s="14" t="b">
        <f>OR(LCI_Table[[#This Row],[Data Set]]="all",LCI_Table[[#This Row],[Data Set]]=SelectedDataSet)</f>
        <v>0</v>
      </c>
      <c r="J2529" s="14" t="b">
        <f>OR(LCI_Table[[#This Row],[Technology]]="All",LCI_Table[[#This Row],[Technology]]=SelectedTechnology)</f>
        <v>1</v>
      </c>
      <c r="K2529" s="14" t="b">
        <f>OR(LCI_Table[[#This Row],[Data Source]]="All",LCI_Table[[#This Row],[Data Source]]=SelectedDataSource)</f>
        <v>0</v>
      </c>
      <c r="L2529" s="14" t="b">
        <f>TRUE</f>
        <v>1</v>
      </c>
      <c r="M2529" s="14" t="b">
        <f>(LCI_Table[[#This Row],[Dev Notes]]="Do not display")</f>
        <v>0</v>
      </c>
      <c r="N2529" s="14" t="b">
        <f>AND(LCI_Table[[#This Row],[Show Feedstock]:[Conditional]],NOT(LCI_Table[[#This Row],[Hide Row]]))</f>
        <v>0</v>
      </c>
      <c r="O2529" s="14" t="b">
        <f>LCI_Table[[#This Row],[GREET1 Name Range]]=""</f>
        <v>0</v>
      </c>
      <c r="P2529" s="14" t="s">
        <v>14</v>
      </c>
      <c r="Q2529" s="14" t="s">
        <v>85</v>
      </c>
      <c r="R2529" s="14" t="s">
        <v>107</v>
      </c>
      <c r="S2529" s="37" cm="1">
        <f t="array" aca="1" ref="S25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1.41394113798114</v>
      </c>
      <c r="T2529" s="346" t="s">
        <v>2128</v>
      </c>
      <c r="U2529" s="347">
        <f ca="1">S2529/$S$2266*Fuel_Specs!$B$15</f>
        <v>889.20982815532398</v>
      </c>
      <c r="V2529" s="347">
        <v>1.41394113798114</v>
      </c>
      <c r="W2529" s="347">
        <v>889.20982815532398</v>
      </c>
      <c r="X2529" s="14" t="s">
        <v>5</v>
      </c>
      <c r="Y2529" s="346" t="s">
        <v>416</v>
      </c>
      <c r="Z2529" s="14" t="str">
        <f>IF(ISBLANK(LCI_Table[[#This Row],[Notes for user]])," ",LCI_Table[[#This Row],[Notes for user]])</f>
        <v>Farming data from GREET</v>
      </c>
      <c r="AA2529" s="14" t="s">
        <v>1373</v>
      </c>
      <c r="AB2529" s="14"/>
      <c r="AC2529" s="346">
        <f ca="1">LCI_Table[[#This Row],[Default Calculated Value]]-LCI_Table[[#This Row],[Calculated Value]]</f>
        <v>0</v>
      </c>
    </row>
    <row r="2530" spans="1:29" x14ac:dyDescent="0.3">
      <c r="A25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ATJICAOJRC(blank)_NG_CornFarmingNatural gas</v>
      </c>
      <c r="B2530" s="381" t="s">
        <v>136</v>
      </c>
      <c r="C2530" s="381" t="s">
        <v>883</v>
      </c>
      <c r="D2530" s="383" t="s">
        <v>194</v>
      </c>
      <c r="E2530" s="379" t="s">
        <v>355</v>
      </c>
      <c r="F2530" s="375" t="s">
        <v>31</v>
      </c>
      <c r="G2530" s="14" t="b">
        <f>OR(LCI_Table[[#This Row],[Feedstock]]="All",LCI_Table[[#This Row],[Feedstock]]=SelectedFeedstock)</f>
        <v>0</v>
      </c>
      <c r="H2530" s="14" t="b">
        <f>OR(LCI_Table[[#This Row],[Conversion]]="All",LCI_Table[[#This Row],[Conversion]]=SelectedConversion)</f>
        <v>0</v>
      </c>
      <c r="I2530" s="14" t="b">
        <f>OR(LCI_Table[[#This Row],[Data Set]]="all",LCI_Table[[#This Row],[Data Set]]=SelectedDataSet)</f>
        <v>0</v>
      </c>
      <c r="J2530" s="14" t="b">
        <f>OR(LCI_Table[[#This Row],[Technology]]="All",LCI_Table[[#This Row],[Technology]]=SelectedTechnology)</f>
        <v>1</v>
      </c>
      <c r="K2530" s="14" t="b">
        <f>OR(LCI_Table[[#This Row],[Data Source]]="All",LCI_Table[[#This Row],[Data Source]]=SelectedDataSource)</f>
        <v>0</v>
      </c>
      <c r="L2530" s="14" t="b">
        <f>TRUE</f>
        <v>1</v>
      </c>
      <c r="M2530" s="14" t="b">
        <f>(LCI_Table[[#This Row],[Dev Notes]]="Do not display")</f>
        <v>0</v>
      </c>
      <c r="N2530" s="14" t="b">
        <f>AND(LCI_Table[[#This Row],[Show Feedstock]:[Conditional]],NOT(LCI_Table[[#This Row],[Hide Row]]))</f>
        <v>0</v>
      </c>
      <c r="O2530" s="14" t="b">
        <f>LCI_Table[[#This Row],[GREET1 Name Range]]=""</f>
        <v>0</v>
      </c>
      <c r="P2530" s="14" t="s">
        <v>14</v>
      </c>
      <c r="Q2530" s="14" t="s">
        <v>90</v>
      </c>
      <c r="R2530" s="14" t="s">
        <v>108</v>
      </c>
      <c r="S2530" s="37" cm="1">
        <f t="array" aca="1" ref="S25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170.21892323745328</v>
      </c>
      <c r="T2530" s="346" t="s">
        <v>2120</v>
      </c>
      <c r="U2530" s="347">
        <f ca="1">S2530/$S$2266*Fuel_Specs!$B$79</f>
        <v>937.92153330950987</v>
      </c>
      <c r="V2530" s="347">
        <v>170.21892323745328</v>
      </c>
      <c r="W2530" s="347">
        <v>937.92153330950987</v>
      </c>
      <c r="X2530" s="14" t="s">
        <v>351</v>
      </c>
      <c r="Y2530" s="346" t="s">
        <v>416</v>
      </c>
      <c r="Z2530" s="14" t="str">
        <f>IF(ISBLANK(LCI_Table[[#This Row],[Notes for user]])," ",LCI_Table[[#This Row],[Notes for user]])</f>
        <v>Farming data from GREET</v>
      </c>
      <c r="AA2530" s="14" t="s">
        <v>1373</v>
      </c>
      <c r="AB2530" s="14"/>
      <c r="AC2530" s="346">
        <f ca="1">LCI_Table[[#This Row],[Default Calculated Value]]-LCI_Table[[#This Row],[Calculated Value]]</f>
        <v>0</v>
      </c>
    </row>
    <row r="2531" spans="1:29" x14ac:dyDescent="0.3">
      <c r="A25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ATJICAOJRC(blank)_Corn_Farming_CoalCoal</v>
      </c>
      <c r="B2531" s="381" t="s">
        <v>136</v>
      </c>
      <c r="C2531" s="381" t="s">
        <v>883</v>
      </c>
      <c r="D2531" s="383" t="s">
        <v>194</v>
      </c>
      <c r="E2531" s="379" t="s">
        <v>355</v>
      </c>
      <c r="F2531" s="375" t="s">
        <v>31</v>
      </c>
      <c r="G2531" s="14" t="b">
        <f>OR(LCI_Table[[#This Row],[Feedstock]]="All",LCI_Table[[#This Row],[Feedstock]]=SelectedFeedstock)</f>
        <v>0</v>
      </c>
      <c r="H2531" s="14" t="b">
        <f>OR(LCI_Table[[#This Row],[Conversion]]="All",LCI_Table[[#This Row],[Conversion]]=SelectedConversion)</f>
        <v>0</v>
      </c>
      <c r="I2531" s="14" t="b">
        <f>OR(LCI_Table[[#This Row],[Data Set]]="all",LCI_Table[[#This Row],[Data Set]]=SelectedDataSet)</f>
        <v>0</v>
      </c>
      <c r="J2531" s="14" t="b">
        <f>OR(LCI_Table[[#This Row],[Technology]]="All",LCI_Table[[#This Row],[Technology]]=SelectedTechnology)</f>
        <v>1</v>
      </c>
      <c r="K2531" s="14" t="b">
        <f>OR(LCI_Table[[#This Row],[Data Source]]="All",LCI_Table[[#This Row],[Data Source]]=SelectedDataSource)</f>
        <v>0</v>
      </c>
      <c r="L2531" s="14" t="b">
        <f>TRUE</f>
        <v>1</v>
      </c>
      <c r="M2531" s="14" t="b">
        <f>(LCI_Table[[#This Row],[Dev Notes]]="Do not display")</f>
        <v>0</v>
      </c>
      <c r="N2531" s="14" t="b">
        <f>AND(LCI_Table[[#This Row],[Show Feedstock]:[Conditional]],NOT(LCI_Table[[#This Row],[Hide Row]]))</f>
        <v>0</v>
      </c>
      <c r="O2531" s="14" t="b">
        <f>LCI_Table[[#This Row],[GREET1 Name Range]]=""</f>
        <v>0</v>
      </c>
      <c r="P2531" s="14" t="s">
        <v>14</v>
      </c>
      <c r="Q2531" s="14" t="s">
        <v>585</v>
      </c>
      <c r="R2531" s="14" t="s">
        <v>9</v>
      </c>
      <c r="S2531" s="37" cm="1">
        <f t="array" aca="1" ref="S25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31" s="346" t="s">
        <v>2147</v>
      </c>
      <c r="U2531" s="347">
        <f ca="1">S2531/$S$2266</f>
        <v>0</v>
      </c>
      <c r="V2531" s="347">
        <v>0</v>
      </c>
      <c r="W2531" s="347">
        <v>0</v>
      </c>
      <c r="X2531" s="14" t="s">
        <v>117</v>
      </c>
      <c r="Y2531" s="346" t="s">
        <v>416</v>
      </c>
      <c r="Z2531" s="14" t="str">
        <f>IF(ISBLANK(LCI_Table[[#This Row],[Notes for user]])," ",LCI_Table[[#This Row],[Notes for user]])</f>
        <v>Farming data from GREET</v>
      </c>
      <c r="AA2531" s="14" t="s">
        <v>1373</v>
      </c>
      <c r="AB2531" s="14"/>
      <c r="AC2531" s="346">
        <f ca="1">LCI_Table[[#This Row],[Default Calculated Value]]-LCI_Table[[#This Row],[Calculated Value]]</f>
        <v>0</v>
      </c>
    </row>
    <row r="2532" spans="1:29" x14ac:dyDescent="0.3">
      <c r="A25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ATJICAOJRC(blank)_LPG_CornFarmingLPG</v>
      </c>
      <c r="B2532" s="381" t="s">
        <v>136</v>
      </c>
      <c r="C2532" s="381" t="s">
        <v>883</v>
      </c>
      <c r="D2532" s="383" t="s">
        <v>194</v>
      </c>
      <c r="E2532" s="379" t="s">
        <v>355</v>
      </c>
      <c r="F2532" s="375" t="s">
        <v>31</v>
      </c>
      <c r="G2532" s="14" t="b">
        <f>OR(LCI_Table[[#This Row],[Feedstock]]="All",LCI_Table[[#This Row],[Feedstock]]=SelectedFeedstock)</f>
        <v>0</v>
      </c>
      <c r="H2532" s="14" t="b">
        <f>OR(LCI_Table[[#This Row],[Conversion]]="All",LCI_Table[[#This Row],[Conversion]]=SelectedConversion)</f>
        <v>0</v>
      </c>
      <c r="I2532" s="14" t="b">
        <f>OR(LCI_Table[[#This Row],[Data Set]]="all",LCI_Table[[#This Row],[Data Set]]=SelectedDataSet)</f>
        <v>0</v>
      </c>
      <c r="J2532" s="14" t="b">
        <f>OR(LCI_Table[[#This Row],[Technology]]="All",LCI_Table[[#This Row],[Technology]]=SelectedTechnology)</f>
        <v>1</v>
      </c>
      <c r="K2532" s="14" t="b">
        <f>OR(LCI_Table[[#This Row],[Data Source]]="All",LCI_Table[[#This Row],[Data Source]]=SelectedDataSource)</f>
        <v>0</v>
      </c>
      <c r="L2532" s="14" t="b">
        <f>TRUE</f>
        <v>1</v>
      </c>
      <c r="M2532" s="14" t="b">
        <f>(LCI_Table[[#This Row],[Dev Notes]]="Do not display")</f>
        <v>0</v>
      </c>
      <c r="N2532" s="14" t="b">
        <f>AND(LCI_Table[[#This Row],[Show Feedstock]:[Conditional]],NOT(LCI_Table[[#This Row],[Hide Row]]))</f>
        <v>0</v>
      </c>
      <c r="O2532" s="14" t="b">
        <f>LCI_Table[[#This Row],[GREET1 Name Range]]=""</f>
        <v>0</v>
      </c>
      <c r="P2532" s="14" t="s">
        <v>14</v>
      </c>
      <c r="Q2532" s="14" t="s">
        <v>89</v>
      </c>
      <c r="R2532" s="14" t="s">
        <v>109</v>
      </c>
      <c r="S2532" s="37" cm="1">
        <f t="array" aca="1" ref="S25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2.6074703415981424</v>
      </c>
      <c r="T2532" s="346" t="s">
        <v>2128</v>
      </c>
      <c r="U2532" s="347">
        <f ca="1">S2532/$S$2266*Fuel_Specs!$B$35</f>
        <v>1241.61774393925</v>
      </c>
      <c r="V2532" s="347">
        <v>2.6074703415981424</v>
      </c>
      <c r="W2532" s="347">
        <v>1241.61774393925</v>
      </c>
      <c r="X2532" s="14" t="s">
        <v>5</v>
      </c>
      <c r="Y2532" s="346" t="s">
        <v>416</v>
      </c>
      <c r="Z2532" s="14" t="str">
        <f>IF(ISBLANK(LCI_Table[[#This Row],[Notes for user]])," ",LCI_Table[[#This Row],[Notes for user]])</f>
        <v>Farming data from GREET</v>
      </c>
      <c r="AA2532" s="14" t="s">
        <v>1373</v>
      </c>
      <c r="AB2532" s="14"/>
      <c r="AC2532" s="346">
        <f ca="1">LCI_Table[[#This Row],[Default Calculated Value]]-LCI_Table[[#This Row],[Calculated Value]]</f>
        <v>0</v>
      </c>
    </row>
    <row r="2533" spans="1:29" x14ac:dyDescent="0.3">
      <c r="A25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ATJICAOJRC(blank)_Electricity_CornFarmingElectricity</v>
      </c>
      <c r="B2533" s="381" t="s">
        <v>136</v>
      </c>
      <c r="C2533" s="381" t="s">
        <v>883</v>
      </c>
      <c r="D2533" s="383" t="s">
        <v>194</v>
      </c>
      <c r="E2533" s="379" t="s">
        <v>355</v>
      </c>
      <c r="F2533" s="375" t="s">
        <v>31</v>
      </c>
      <c r="G2533" s="14" t="b">
        <f>OR(LCI_Table[[#This Row],[Feedstock]]="All",LCI_Table[[#This Row],[Feedstock]]=SelectedFeedstock)</f>
        <v>0</v>
      </c>
      <c r="H2533" s="14" t="b">
        <f>OR(LCI_Table[[#This Row],[Conversion]]="All",LCI_Table[[#This Row],[Conversion]]=SelectedConversion)</f>
        <v>0</v>
      </c>
      <c r="I2533" s="14" t="b">
        <f>OR(LCI_Table[[#This Row],[Data Set]]="all",LCI_Table[[#This Row],[Data Set]]=SelectedDataSet)</f>
        <v>0</v>
      </c>
      <c r="J2533" s="14" t="b">
        <f>OR(LCI_Table[[#This Row],[Technology]]="All",LCI_Table[[#This Row],[Technology]]=SelectedTechnology)</f>
        <v>1</v>
      </c>
      <c r="K2533" s="14" t="b">
        <f>OR(LCI_Table[[#This Row],[Data Source]]="All",LCI_Table[[#This Row],[Data Source]]=SelectedDataSource)</f>
        <v>0</v>
      </c>
      <c r="L2533" s="14" t="b">
        <f>TRUE</f>
        <v>1</v>
      </c>
      <c r="M2533" s="14" t="b">
        <f>(LCI_Table[[#This Row],[Dev Notes]]="Do not display")</f>
        <v>0</v>
      </c>
      <c r="N2533" s="14" t="b">
        <f>AND(LCI_Table[[#This Row],[Show Feedstock]:[Conditional]],NOT(LCI_Table[[#This Row],[Hide Row]]))</f>
        <v>0</v>
      </c>
      <c r="O2533" s="14" t="b">
        <f>LCI_Table[[#This Row],[GREET1 Name Range]]=""</f>
        <v>0</v>
      </c>
      <c r="P2533" s="14" t="s">
        <v>14</v>
      </c>
      <c r="Q2533" s="14" t="s">
        <v>76</v>
      </c>
      <c r="R2533" s="348" t="s">
        <v>110</v>
      </c>
      <c r="S2533" s="37" cm="1">
        <f t="array" aca="1" ref="S25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16.630081411614597</v>
      </c>
      <c r="T2533" s="346" t="s">
        <v>2121</v>
      </c>
      <c r="U2533" s="347">
        <f ca="1">S2533/$S$2266*kWh2BTU</f>
        <v>318.07283233065601</v>
      </c>
      <c r="V2533" s="347">
        <v>16.630081411614597</v>
      </c>
      <c r="W2533" s="347">
        <v>318.07283233065601</v>
      </c>
      <c r="X2533" s="14" t="s">
        <v>51</v>
      </c>
      <c r="Y2533" s="346" t="s">
        <v>416</v>
      </c>
      <c r="Z2533" s="14" t="str">
        <f>IF(ISBLANK(LCI_Table[[#This Row],[Notes for user]])," ",LCI_Table[[#This Row],[Notes for user]])</f>
        <v>Farming data from GREET</v>
      </c>
      <c r="AA2533" s="14" t="s">
        <v>1373</v>
      </c>
      <c r="AB2533" s="14"/>
      <c r="AC2533" s="346">
        <f ca="1">LCI_Table[[#This Row],[Default Calculated Value]]-LCI_Table[[#This Row],[Calculated Value]]</f>
        <v>0</v>
      </c>
    </row>
    <row r="2534" spans="1:29" x14ac:dyDescent="0.3">
      <c r="A25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ATJICAOJRC(blank)_Corn_i_BuOH_ATJ_CornCorn</v>
      </c>
      <c r="B2534" s="381" t="s">
        <v>136</v>
      </c>
      <c r="C2534" s="381" t="s">
        <v>883</v>
      </c>
      <c r="D2534" s="383" t="s">
        <v>194</v>
      </c>
      <c r="E2534" s="379" t="s">
        <v>355</v>
      </c>
      <c r="F2534" s="375" t="s">
        <v>31</v>
      </c>
      <c r="G2534" s="14" t="b">
        <f>OR(LCI_Table[[#This Row],[Feedstock]]="All",LCI_Table[[#This Row],[Feedstock]]=SelectedFeedstock)</f>
        <v>0</v>
      </c>
      <c r="H2534" s="14" t="b">
        <f>OR(LCI_Table[[#This Row],[Conversion]]="All",LCI_Table[[#This Row],[Conversion]]=SelectedConversion)</f>
        <v>0</v>
      </c>
      <c r="I2534" s="14" t="b">
        <f>OR(LCI_Table[[#This Row],[Data Set]]="all",LCI_Table[[#This Row],[Data Set]]=SelectedDataSet)</f>
        <v>0</v>
      </c>
      <c r="J2534" s="14" t="b">
        <f>OR(LCI_Table[[#This Row],[Technology]]="All",LCI_Table[[#This Row],[Technology]]=SelectedTechnology)</f>
        <v>1</v>
      </c>
      <c r="K2534" s="14" t="b">
        <f>OR(LCI_Table[[#This Row],[Data Source]]="All",LCI_Table[[#This Row],[Data Source]]=SelectedDataSource)</f>
        <v>0</v>
      </c>
      <c r="L2534" s="14" t="b">
        <f>TRUE</f>
        <v>1</v>
      </c>
      <c r="M2534" s="14" t="b">
        <f>(LCI_Table[[#This Row],[Dev Notes]]="Do not display")</f>
        <v>0</v>
      </c>
      <c r="N2534" s="14" t="b">
        <f>AND(LCI_Table[[#This Row],[Show Feedstock]:[Conditional]],NOT(LCI_Table[[#This Row],[Hide Row]]))</f>
        <v>0</v>
      </c>
      <c r="O2534" s="14" t="b">
        <f>LCI_Table[[#This Row],[GREET1 Name Range]]=""</f>
        <v>0</v>
      </c>
      <c r="P2534" s="387" t="s">
        <v>1448</v>
      </c>
      <c r="Q2534" s="14" t="s">
        <v>1041</v>
      </c>
      <c r="R2534" s="14" t="s">
        <v>136</v>
      </c>
      <c r="S2534" s="37" cm="1">
        <f t="array" aca="1" ref="S25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351.11831394289015</v>
      </c>
      <c r="T2534" s="346" t="s">
        <v>2119</v>
      </c>
      <c r="U2534" s="347">
        <f ca="1">S2534/kg2lb*MJ2mmBTU</f>
        <v>0.1509537037037037</v>
      </c>
      <c r="V2534" s="347">
        <v>351.11831394289015</v>
      </c>
      <c r="W2534" s="347">
        <v>0.1509537037037037</v>
      </c>
      <c r="X2534" s="14" t="s">
        <v>12</v>
      </c>
      <c r="Y2534" s="346" t="s">
        <v>416</v>
      </c>
      <c r="Z2534" s="14" t="str">
        <f>IF(ISBLANK(LCI_Table[[#This Row],[Notes for user]])," ",LCI_Table[[#This Row],[Notes for user]])</f>
        <v>Dry mill w/ corn oil extraction</v>
      </c>
      <c r="AA2534" s="14" t="s">
        <v>1153</v>
      </c>
      <c r="AB2534" s="358" t="s">
        <v>921</v>
      </c>
      <c r="AC2534" s="346">
        <f ca="1">LCI_Table[[#This Row],[Default Calculated Value]]-LCI_Table[[#This Row],[Calculated Value]]</f>
        <v>0</v>
      </c>
    </row>
    <row r="2535" spans="1:29" x14ac:dyDescent="0.3">
      <c r="A25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ATJICAOJRC(blank)_Corn_i_BuOH_ATJ_Alpha_amylaseAlpha-amylase</v>
      </c>
      <c r="B2535" s="381" t="s">
        <v>136</v>
      </c>
      <c r="C2535" s="381" t="s">
        <v>883</v>
      </c>
      <c r="D2535" s="383" t="s">
        <v>194</v>
      </c>
      <c r="E2535" s="379" t="s">
        <v>355</v>
      </c>
      <c r="F2535" s="375" t="s">
        <v>31</v>
      </c>
      <c r="G2535" s="14" t="b">
        <f>OR(LCI_Table[[#This Row],[Feedstock]]="All",LCI_Table[[#This Row],[Feedstock]]=SelectedFeedstock)</f>
        <v>0</v>
      </c>
      <c r="H2535" s="14" t="b">
        <f>OR(LCI_Table[[#This Row],[Conversion]]="All",LCI_Table[[#This Row],[Conversion]]=SelectedConversion)</f>
        <v>0</v>
      </c>
      <c r="I2535" s="14" t="b">
        <f>OR(LCI_Table[[#This Row],[Data Set]]="all",LCI_Table[[#This Row],[Data Set]]=SelectedDataSet)</f>
        <v>0</v>
      </c>
      <c r="J2535" s="14" t="b">
        <f>OR(LCI_Table[[#This Row],[Technology]]="All",LCI_Table[[#This Row],[Technology]]=SelectedTechnology)</f>
        <v>1</v>
      </c>
      <c r="K2535" s="14" t="b">
        <f>OR(LCI_Table[[#This Row],[Data Source]]="All",LCI_Table[[#This Row],[Data Source]]=SelectedDataSource)</f>
        <v>0</v>
      </c>
      <c r="L2535" s="14" t="b">
        <f>TRUE</f>
        <v>1</v>
      </c>
      <c r="M2535" s="14" t="b">
        <f>(LCI_Table[[#This Row],[Dev Notes]]="Do not display")</f>
        <v>0</v>
      </c>
      <c r="N2535" s="14" t="b">
        <f>AND(LCI_Table[[#This Row],[Show Feedstock]:[Conditional]],NOT(LCI_Table[[#This Row],[Hide Row]]))</f>
        <v>0</v>
      </c>
      <c r="O2535" s="14" t="b">
        <f>LCI_Table[[#This Row],[GREET1 Name Range]]=""</f>
        <v>0</v>
      </c>
      <c r="P2535" s="387" t="s">
        <v>1448</v>
      </c>
      <c r="Q2535" s="14" t="s">
        <v>1042</v>
      </c>
      <c r="R2535" s="14" t="s">
        <v>353</v>
      </c>
      <c r="S2535" s="37" cm="1">
        <f t="array" aca="1" ref="S25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35" s="346" t="s">
        <v>2119</v>
      </c>
      <c r="U2535" s="347">
        <f t="shared" ref="U2535" ca="1" si="169">S2535/g2lb*MJ2mmBTU</f>
        <v>0</v>
      </c>
      <c r="V2535" s="347">
        <v>0</v>
      </c>
      <c r="W2535" s="347">
        <v>0</v>
      </c>
      <c r="X2535" s="14" t="s">
        <v>12</v>
      </c>
      <c r="Y2535" s="346" t="s">
        <v>416</v>
      </c>
      <c r="Z2535" s="14" t="str">
        <f>IF(ISBLANK(LCI_Table[[#This Row],[Notes for user]])," ",LCI_Table[[#This Row],[Notes for user]])</f>
        <v xml:space="preserve"> </v>
      </c>
      <c r="AA2535" s="14"/>
      <c r="AB2535" s="14"/>
      <c r="AC2535" s="346">
        <f ca="1">LCI_Table[[#This Row],[Default Calculated Value]]-LCI_Table[[#This Row],[Calculated Value]]</f>
        <v>0</v>
      </c>
    </row>
    <row r="2536" spans="1:29" x14ac:dyDescent="0.3">
      <c r="A25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ATJICAOJRC(blank)_Corn_i_BuOH_ATJ_Gluco_amylaseGluco-amylase</v>
      </c>
      <c r="B2536" s="381" t="s">
        <v>136</v>
      </c>
      <c r="C2536" s="381" t="s">
        <v>883</v>
      </c>
      <c r="D2536" s="383" t="s">
        <v>194</v>
      </c>
      <c r="E2536" s="379" t="s">
        <v>355</v>
      </c>
      <c r="F2536" s="375" t="s">
        <v>31</v>
      </c>
      <c r="G2536" s="14" t="b">
        <f>OR(LCI_Table[[#This Row],[Feedstock]]="All",LCI_Table[[#This Row],[Feedstock]]=SelectedFeedstock)</f>
        <v>0</v>
      </c>
      <c r="H2536" s="14" t="b">
        <f>OR(LCI_Table[[#This Row],[Conversion]]="All",LCI_Table[[#This Row],[Conversion]]=SelectedConversion)</f>
        <v>0</v>
      </c>
      <c r="I2536" s="14" t="b">
        <f>OR(LCI_Table[[#This Row],[Data Set]]="all",LCI_Table[[#This Row],[Data Set]]=SelectedDataSet)</f>
        <v>0</v>
      </c>
      <c r="J2536" s="14" t="b">
        <f>OR(LCI_Table[[#This Row],[Technology]]="All",LCI_Table[[#This Row],[Technology]]=SelectedTechnology)</f>
        <v>1</v>
      </c>
      <c r="K2536" s="14" t="b">
        <f>OR(LCI_Table[[#This Row],[Data Source]]="All",LCI_Table[[#This Row],[Data Source]]=SelectedDataSource)</f>
        <v>0</v>
      </c>
      <c r="L2536" s="14" t="b">
        <f>TRUE</f>
        <v>1</v>
      </c>
      <c r="M2536" s="14" t="b">
        <f>(LCI_Table[[#This Row],[Dev Notes]]="Do not display")</f>
        <v>0</v>
      </c>
      <c r="N2536" s="14" t="b">
        <f>AND(LCI_Table[[#This Row],[Show Feedstock]:[Conditional]],NOT(LCI_Table[[#This Row],[Hide Row]]))</f>
        <v>0</v>
      </c>
      <c r="O2536" s="14" t="b">
        <f>LCI_Table[[#This Row],[GREET1 Name Range]]=""</f>
        <v>0</v>
      </c>
      <c r="P2536" s="387" t="s">
        <v>1448</v>
      </c>
      <c r="Q2536" s="14" t="s">
        <v>1043</v>
      </c>
      <c r="R2536" s="14" t="s">
        <v>354</v>
      </c>
      <c r="S2536" s="37" cm="1">
        <f t="array" aca="1" ref="S25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36" s="346" t="s">
        <v>2119</v>
      </c>
      <c r="U2536" s="347">
        <f t="shared" ref="U2536" ca="1" si="170">S2536/g2lb*MJ2mmBTU</f>
        <v>0</v>
      </c>
      <c r="V2536" s="347">
        <v>0</v>
      </c>
      <c r="W2536" s="347">
        <v>0</v>
      </c>
      <c r="X2536" s="14" t="s">
        <v>12</v>
      </c>
      <c r="Y2536" s="346" t="s">
        <v>416</v>
      </c>
      <c r="Z2536" s="14" t="str">
        <f>IF(ISBLANK(LCI_Table[[#This Row],[Notes for user]])," ",LCI_Table[[#This Row],[Notes for user]])</f>
        <v xml:space="preserve"> </v>
      </c>
      <c r="AA2536" s="14"/>
      <c r="AB2536" s="14"/>
      <c r="AC2536" s="346">
        <f ca="1">LCI_Table[[#This Row],[Default Calculated Value]]-LCI_Table[[#This Row],[Calculated Value]]</f>
        <v>0</v>
      </c>
    </row>
    <row r="2537" spans="1:29" x14ac:dyDescent="0.3">
      <c r="A25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ATJICAOJRC(blank)_Corn_i_BuOH_ATJ_YeastYeast</v>
      </c>
      <c r="B2537" s="381" t="s">
        <v>136</v>
      </c>
      <c r="C2537" s="381" t="s">
        <v>883</v>
      </c>
      <c r="D2537" s="383" t="s">
        <v>194</v>
      </c>
      <c r="E2537" s="379" t="s">
        <v>355</v>
      </c>
      <c r="F2537" s="375" t="s">
        <v>31</v>
      </c>
      <c r="G2537" s="14" t="b">
        <f>OR(LCI_Table[[#This Row],[Feedstock]]="All",LCI_Table[[#This Row],[Feedstock]]=SelectedFeedstock)</f>
        <v>0</v>
      </c>
      <c r="H2537" s="14" t="b">
        <f>OR(LCI_Table[[#This Row],[Conversion]]="All",LCI_Table[[#This Row],[Conversion]]=SelectedConversion)</f>
        <v>0</v>
      </c>
      <c r="I2537" s="14" t="b">
        <f>OR(LCI_Table[[#This Row],[Data Set]]="all",LCI_Table[[#This Row],[Data Set]]=SelectedDataSet)</f>
        <v>0</v>
      </c>
      <c r="J2537" s="14" t="b">
        <f>OR(LCI_Table[[#This Row],[Technology]]="All",LCI_Table[[#This Row],[Technology]]=SelectedTechnology)</f>
        <v>1</v>
      </c>
      <c r="K2537" s="14" t="b">
        <f>OR(LCI_Table[[#This Row],[Data Source]]="All",LCI_Table[[#This Row],[Data Source]]=SelectedDataSource)</f>
        <v>0</v>
      </c>
      <c r="L2537" s="14" t="b">
        <f>TRUE</f>
        <v>1</v>
      </c>
      <c r="M2537" s="14" t="b">
        <f>(LCI_Table[[#This Row],[Dev Notes]]="Do not display")</f>
        <v>0</v>
      </c>
      <c r="N2537" s="14" t="b">
        <f>AND(LCI_Table[[#This Row],[Show Feedstock]:[Conditional]],NOT(LCI_Table[[#This Row],[Hide Row]]))</f>
        <v>0</v>
      </c>
      <c r="O2537" s="14" t="b">
        <f>LCI_Table[[#This Row],[GREET1 Name Range]]=""</f>
        <v>0</v>
      </c>
      <c r="P2537" s="387" t="s">
        <v>1448</v>
      </c>
      <c r="Q2537" s="14" t="s">
        <v>1044</v>
      </c>
      <c r="R2537" s="14" t="s">
        <v>145</v>
      </c>
      <c r="S2537" s="37" cm="1">
        <f t="array" aca="1" ref="S25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37" s="346" t="s">
        <v>2119</v>
      </c>
      <c r="U2537" s="347">
        <f t="shared" ref="U2537" ca="1" si="171">S2537/g2lb*MJ2mmBTU</f>
        <v>0</v>
      </c>
      <c r="V2537" s="347">
        <v>0</v>
      </c>
      <c r="W2537" s="347">
        <v>0</v>
      </c>
      <c r="X2537" s="14" t="s">
        <v>12</v>
      </c>
      <c r="Y2537" s="346" t="s">
        <v>416</v>
      </c>
      <c r="Z2537" s="14" t="str">
        <f>IF(ISBLANK(LCI_Table[[#This Row],[Notes for user]])," ",LCI_Table[[#This Row],[Notes for user]])</f>
        <v xml:space="preserve"> </v>
      </c>
      <c r="AA2537" s="14"/>
      <c r="AB2537" s="14"/>
      <c r="AC2537" s="346">
        <f ca="1">LCI_Table[[#This Row],[Default Calculated Value]]-LCI_Table[[#This Row],[Calculated Value]]</f>
        <v>0</v>
      </c>
    </row>
    <row r="2538" spans="1:29" x14ac:dyDescent="0.3">
      <c r="A25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ATJICAOJRC(blank)_Corn_i_BuOH_ATJ_Sulfuric_acidSulfuric acid</v>
      </c>
      <c r="B2538" s="381" t="s">
        <v>136</v>
      </c>
      <c r="C2538" s="381" t="s">
        <v>883</v>
      </c>
      <c r="D2538" s="383" t="s">
        <v>194</v>
      </c>
      <c r="E2538" s="379" t="s">
        <v>355</v>
      </c>
      <c r="F2538" s="375" t="s">
        <v>31</v>
      </c>
      <c r="G2538" s="14" t="b">
        <f>OR(LCI_Table[[#This Row],[Feedstock]]="All",LCI_Table[[#This Row],[Feedstock]]=SelectedFeedstock)</f>
        <v>0</v>
      </c>
      <c r="H2538" s="14" t="b">
        <f>OR(LCI_Table[[#This Row],[Conversion]]="All",LCI_Table[[#This Row],[Conversion]]=SelectedConversion)</f>
        <v>0</v>
      </c>
      <c r="I2538" s="14" t="b">
        <f>OR(LCI_Table[[#This Row],[Data Set]]="all",LCI_Table[[#This Row],[Data Set]]=SelectedDataSet)</f>
        <v>0</v>
      </c>
      <c r="J2538" s="14" t="b">
        <f>OR(LCI_Table[[#This Row],[Technology]]="All",LCI_Table[[#This Row],[Technology]]=SelectedTechnology)</f>
        <v>1</v>
      </c>
      <c r="K2538" s="14" t="b">
        <f>OR(LCI_Table[[#This Row],[Data Source]]="All",LCI_Table[[#This Row],[Data Source]]=SelectedDataSource)</f>
        <v>0</v>
      </c>
      <c r="L2538" s="14" t="b">
        <f>TRUE</f>
        <v>1</v>
      </c>
      <c r="M2538" s="14" t="b">
        <f>(LCI_Table[[#This Row],[Dev Notes]]="Do not display")</f>
        <v>0</v>
      </c>
      <c r="N2538" s="14" t="b">
        <f>AND(LCI_Table[[#This Row],[Show Feedstock]:[Conditional]],NOT(LCI_Table[[#This Row],[Hide Row]]))</f>
        <v>0</v>
      </c>
      <c r="O2538" s="14" t="b">
        <f>LCI_Table[[#This Row],[GREET1 Name Range]]=""</f>
        <v>0</v>
      </c>
      <c r="P2538" s="387" t="s">
        <v>1448</v>
      </c>
      <c r="Q2538" s="14" t="s">
        <v>1045</v>
      </c>
      <c r="R2538" s="14" t="s">
        <v>384</v>
      </c>
      <c r="S2538" s="37" cm="1">
        <f t="array" aca="1" ref="S25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38" s="346" t="s">
        <v>2119</v>
      </c>
      <c r="U2538" s="347">
        <f t="shared" ref="U2538" ca="1" si="172">S2538/g2lb*MJ2mmBTU</f>
        <v>0</v>
      </c>
      <c r="V2538" s="347">
        <v>0</v>
      </c>
      <c r="W2538" s="347">
        <v>0</v>
      </c>
      <c r="X2538" s="14" t="s">
        <v>12</v>
      </c>
      <c r="Y2538" s="346" t="s">
        <v>416</v>
      </c>
      <c r="Z2538" s="14" t="str">
        <f>IF(ISBLANK(LCI_Table[[#This Row],[Notes for user]])," ",LCI_Table[[#This Row],[Notes for user]])</f>
        <v xml:space="preserve"> </v>
      </c>
      <c r="AA2538" s="14"/>
      <c r="AB2538" s="14"/>
      <c r="AC2538" s="346">
        <f ca="1">LCI_Table[[#This Row],[Default Calculated Value]]-LCI_Table[[#This Row],[Calculated Value]]</f>
        <v>0</v>
      </c>
    </row>
    <row r="2539" spans="1:29" x14ac:dyDescent="0.3">
      <c r="A25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ATJICAOJRC(blank)_Corn_i_BuOH_ATJ_AmmoniaAmmonia</v>
      </c>
      <c r="B2539" s="381" t="s">
        <v>136</v>
      </c>
      <c r="C2539" s="381" t="s">
        <v>883</v>
      </c>
      <c r="D2539" s="383" t="s">
        <v>194</v>
      </c>
      <c r="E2539" s="379" t="s">
        <v>355</v>
      </c>
      <c r="F2539" s="375" t="s">
        <v>31</v>
      </c>
      <c r="G2539" s="14" t="b">
        <f>OR(LCI_Table[[#This Row],[Feedstock]]="All",LCI_Table[[#This Row],[Feedstock]]=SelectedFeedstock)</f>
        <v>0</v>
      </c>
      <c r="H2539" s="14" t="b">
        <f>OR(LCI_Table[[#This Row],[Conversion]]="All",LCI_Table[[#This Row],[Conversion]]=SelectedConversion)</f>
        <v>0</v>
      </c>
      <c r="I2539" s="14" t="b">
        <f>OR(LCI_Table[[#This Row],[Data Set]]="all",LCI_Table[[#This Row],[Data Set]]=SelectedDataSet)</f>
        <v>0</v>
      </c>
      <c r="J2539" s="14" t="b">
        <f>OR(LCI_Table[[#This Row],[Technology]]="All",LCI_Table[[#This Row],[Technology]]=SelectedTechnology)</f>
        <v>1</v>
      </c>
      <c r="K2539" s="14" t="b">
        <f>OR(LCI_Table[[#This Row],[Data Source]]="All",LCI_Table[[#This Row],[Data Source]]=SelectedDataSource)</f>
        <v>0</v>
      </c>
      <c r="L2539" s="14" t="b">
        <f>TRUE</f>
        <v>1</v>
      </c>
      <c r="M2539" s="14" t="b">
        <f>(LCI_Table[[#This Row],[Dev Notes]]="Do not display")</f>
        <v>0</v>
      </c>
      <c r="N2539" s="14" t="b">
        <f>AND(LCI_Table[[#This Row],[Show Feedstock]:[Conditional]],NOT(LCI_Table[[#This Row],[Hide Row]]))</f>
        <v>0</v>
      </c>
      <c r="O2539" s="14" t="b">
        <f>LCI_Table[[#This Row],[GREET1 Name Range]]=""</f>
        <v>0</v>
      </c>
      <c r="P2539" s="387" t="s">
        <v>1448</v>
      </c>
      <c r="Q2539" s="14" t="s">
        <v>1046</v>
      </c>
      <c r="R2539" s="14" t="s">
        <v>382</v>
      </c>
      <c r="S2539" s="37" cm="1">
        <f t="array" aca="1" ref="S25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39" s="346" t="s">
        <v>2119</v>
      </c>
      <c r="U2539" s="347">
        <f t="shared" ref="U2539" ca="1" si="173">S2539/g2lb*MJ2mmBTU</f>
        <v>0</v>
      </c>
      <c r="V2539" s="347">
        <v>0</v>
      </c>
      <c r="W2539" s="347">
        <v>0</v>
      </c>
      <c r="X2539" s="14" t="s">
        <v>12</v>
      </c>
      <c r="Y2539" s="346" t="s">
        <v>416</v>
      </c>
      <c r="Z2539" s="14" t="str">
        <f>IF(ISBLANK(LCI_Table[[#This Row],[Notes for user]])," ",LCI_Table[[#This Row],[Notes for user]])</f>
        <v xml:space="preserve"> </v>
      </c>
      <c r="AA2539" s="14"/>
      <c r="AB2539" s="14"/>
      <c r="AC2539" s="346">
        <f ca="1">LCI_Table[[#This Row],[Default Calculated Value]]-LCI_Table[[#This Row],[Calculated Value]]</f>
        <v>0</v>
      </c>
    </row>
    <row r="2540" spans="1:29" x14ac:dyDescent="0.3">
      <c r="A25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ATJICAOJRC(blank)_Corn_i_BuOH_ATJ_NaOHNaOH</v>
      </c>
      <c r="B2540" s="381" t="s">
        <v>136</v>
      </c>
      <c r="C2540" s="381" t="s">
        <v>883</v>
      </c>
      <c r="D2540" s="383" t="s">
        <v>194</v>
      </c>
      <c r="E2540" s="379" t="s">
        <v>355</v>
      </c>
      <c r="F2540" s="375" t="s">
        <v>31</v>
      </c>
      <c r="G2540" s="14" t="b">
        <f>OR(LCI_Table[[#This Row],[Feedstock]]="All",LCI_Table[[#This Row],[Feedstock]]=SelectedFeedstock)</f>
        <v>0</v>
      </c>
      <c r="H2540" s="14" t="b">
        <f>OR(LCI_Table[[#This Row],[Conversion]]="All",LCI_Table[[#This Row],[Conversion]]=SelectedConversion)</f>
        <v>0</v>
      </c>
      <c r="I2540" s="14" t="b">
        <f>OR(LCI_Table[[#This Row],[Data Set]]="all",LCI_Table[[#This Row],[Data Set]]=SelectedDataSet)</f>
        <v>0</v>
      </c>
      <c r="J2540" s="14" t="b">
        <f>OR(LCI_Table[[#This Row],[Technology]]="All",LCI_Table[[#This Row],[Technology]]=SelectedTechnology)</f>
        <v>1</v>
      </c>
      <c r="K2540" s="14" t="b">
        <f>OR(LCI_Table[[#This Row],[Data Source]]="All",LCI_Table[[#This Row],[Data Source]]=SelectedDataSource)</f>
        <v>0</v>
      </c>
      <c r="L2540" s="14" t="b">
        <f>TRUE</f>
        <v>1</v>
      </c>
      <c r="M2540" s="14" t="b">
        <f>(LCI_Table[[#This Row],[Dev Notes]]="Do not display")</f>
        <v>0</v>
      </c>
      <c r="N2540" s="14" t="b">
        <f>AND(LCI_Table[[#This Row],[Show Feedstock]:[Conditional]],NOT(LCI_Table[[#This Row],[Hide Row]]))</f>
        <v>0</v>
      </c>
      <c r="O2540" s="14" t="b">
        <f>LCI_Table[[#This Row],[GREET1 Name Range]]=""</f>
        <v>0</v>
      </c>
      <c r="P2540" s="387" t="s">
        <v>1448</v>
      </c>
      <c r="Q2540" s="14" t="s">
        <v>1047</v>
      </c>
      <c r="R2540" s="14" t="s">
        <v>403</v>
      </c>
      <c r="S2540" s="37" cm="1">
        <f t="array" aca="1" ref="S25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40" s="346" t="s">
        <v>2119</v>
      </c>
      <c r="U2540" s="347">
        <f t="shared" ref="U2540" ca="1" si="174">S2540/g2lb*MJ2mmBTU</f>
        <v>0</v>
      </c>
      <c r="V2540" s="347">
        <v>0</v>
      </c>
      <c r="W2540" s="347">
        <v>0</v>
      </c>
      <c r="X2540" s="14" t="s">
        <v>12</v>
      </c>
      <c r="Y2540" s="346" t="s">
        <v>416</v>
      </c>
      <c r="Z2540" s="14" t="str">
        <f>IF(ISBLANK(LCI_Table[[#This Row],[Notes for user]])," ",LCI_Table[[#This Row],[Notes for user]])</f>
        <v xml:space="preserve"> </v>
      </c>
      <c r="AA2540" s="14"/>
      <c r="AB2540" s="14"/>
      <c r="AC2540" s="346">
        <f ca="1">LCI_Table[[#This Row],[Default Calculated Value]]-LCI_Table[[#This Row],[Calculated Value]]</f>
        <v>0</v>
      </c>
    </row>
    <row r="2541" spans="1:29" x14ac:dyDescent="0.3">
      <c r="A25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ATJICAOJRC(blank)_Corn_i_BuOH_ATJ_Quicklime_CaOQuicklime (CaO)</v>
      </c>
      <c r="B2541" s="381" t="s">
        <v>136</v>
      </c>
      <c r="C2541" s="381" t="s">
        <v>883</v>
      </c>
      <c r="D2541" s="383" t="s">
        <v>194</v>
      </c>
      <c r="E2541" s="379" t="s">
        <v>355</v>
      </c>
      <c r="F2541" s="375" t="s">
        <v>31</v>
      </c>
      <c r="G2541" s="14" t="b">
        <f>OR(LCI_Table[[#This Row],[Feedstock]]="All",LCI_Table[[#This Row],[Feedstock]]=SelectedFeedstock)</f>
        <v>0</v>
      </c>
      <c r="H2541" s="14" t="b">
        <f>OR(LCI_Table[[#This Row],[Conversion]]="All",LCI_Table[[#This Row],[Conversion]]=SelectedConversion)</f>
        <v>0</v>
      </c>
      <c r="I2541" s="14" t="b">
        <f>OR(LCI_Table[[#This Row],[Data Set]]="all",LCI_Table[[#This Row],[Data Set]]=SelectedDataSet)</f>
        <v>0</v>
      </c>
      <c r="J2541" s="14" t="b">
        <f>OR(LCI_Table[[#This Row],[Technology]]="All",LCI_Table[[#This Row],[Technology]]=SelectedTechnology)</f>
        <v>1</v>
      </c>
      <c r="K2541" s="14" t="b">
        <f>OR(LCI_Table[[#This Row],[Data Source]]="All",LCI_Table[[#This Row],[Data Source]]=SelectedDataSource)</f>
        <v>0</v>
      </c>
      <c r="L2541" s="14" t="b">
        <f>TRUE</f>
        <v>1</v>
      </c>
      <c r="M2541" s="14" t="b">
        <f>(LCI_Table[[#This Row],[Dev Notes]]="Do not display")</f>
        <v>0</v>
      </c>
      <c r="N2541" s="14" t="b">
        <f>AND(LCI_Table[[#This Row],[Show Feedstock]:[Conditional]],NOT(LCI_Table[[#This Row],[Hide Row]]))</f>
        <v>0</v>
      </c>
      <c r="O2541" s="14" t="b">
        <f>LCI_Table[[#This Row],[GREET1 Name Range]]=""</f>
        <v>0</v>
      </c>
      <c r="P2541" s="387" t="s">
        <v>1448</v>
      </c>
      <c r="Q2541" s="14" t="s">
        <v>1048</v>
      </c>
      <c r="R2541" s="14" t="s">
        <v>404</v>
      </c>
      <c r="S2541" s="37" cm="1">
        <f t="array" aca="1" ref="S25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41" s="346" t="s">
        <v>2119</v>
      </c>
      <c r="U2541" s="347">
        <f t="shared" ref="U2541" ca="1" si="175">S2541/g2lb*MJ2mmBTU</f>
        <v>0</v>
      </c>
      <c r="V2541" s="347">
        <v>0</v>
      </c>
      <c r="W2541" s="347">
        <v>0</v>
      </c>
      <c r="X2541" s="14" t="s">
        <v>12</v>
      </c>
      <c r="Y2541" s="346" t="s">
        <v>416</v>
      </c>
      <c r="Z2541" s="14" t="str">
        <f>IF(ISBLANK(LCI_Table[[#This Row],[Notes for user]])," ",LCI_Table[[#This Row],[Notes for user]])</f>
        <v xml:space="preserve"> </v>
      </c>
      <c r="AA2541" s="14"/>
      <c r="AB2541" s="14"/>
      <c r="AC2541" s="346">
        <f ca="1">LCI_Table[[#This Row],[Default Calculated Value]]-LCI_Table[[#This Row],[Calculated Value]]</f>
        <v>0</v>
      </c>
    </row>
    <row r="2542" spans="1:29" x14ac:dyDescent="0.3">
      <c r="A25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ATJICAOJRC(blank)_Corn_i_BuOH_Fermentation_Natural_gasNatural gas (fermentation)</v>
      </c>
      <c r="B2542" s="381" t="s">
        <v>136</v>
      </c>
      <c r="C2542" s="381" t="s">
        <v>883</v>
      </c>
      <c r="D2542" s="383" t="s">
        <v>194</v>
      </c>
      <c r="E2542" s="379" t="s">
        <v>355</v>
      </c>
      <c r="F2542" s="375" t="s">
        <v>31</v>
      </c>
      <c r="G2542" s="14" t="b">
        <f>OR(LCI_Table[[#This Row],[Feedstock]]="All",LCI_Table[[#This Row],[Feedstock]]=SelectedFeedstock)</f>
        <v>0</v>
      </c>
      <c r="H2542" s="14" t="b">
        <f>OR(LCI_Table[[#This Row],[Conversion]]="All",LCI_Table[[#This Row],[Conversion]]=SelectedConversion)</f>
        <v>0</v>
      </c>
      <c r="I2542" s="14" t="b">
        <f>OR(LCI_Table[[#This Row],[Data Set]]="all",LCI_Table[[#This Row],[Data Set]]=SelectedDataSet)</f>
        <v>0</v>
      </c>
      <c r="J2542" s="14" t="b">
        <f>OR(LCI_Table[[#This Row],[Technology]]="All",LCI_Table[[#This Row],[Technology]]=SelectedTechnology)</f>
        <v>1</v>
      </c>
      <c r="K2542" s="14" t="b">
        <f>OR(LCI_Table[[#This Row],[Data Source]]="All",LCI_Table[[#This Row],[Data Source]]=SelectedDataSource)</f>
        <v>0</v>
      </c>
      <c r="L2542" s="14" t="b">
        <f>TRUE</f>
        <v>1</v>
      </c>
      <c r="M2542" s="14" t="b">
        <f>(LCI_Table[[#This Row],[Dev Notes]]="Do not display")</f>
        <v>0</v>
      </c>
      <c r="N2542" s="14" t="b">
        <f>AND(LCI_Table[[#This Row],[Show Feedstock]:[Conditional]],NOT(LCI_Table[[#This Row],[Hide Row]]))</f>
        <v>0</v>
      </c>
      <c r="O2542" s="14" t="b">
        <f>LCI_Table[[#This Row],[GREET1 Name Range]]=""</f>
        <v>0</v>
      </c>
      <c r="P2542" s="387" t="s">
        <v>1448</v>
      </c>
      <c r="Q2542" s="14" t="s">
        <v>1103</v>
      </c>
      <c r="R2542" s="14" t="s">
        <v>1132</v>
      </c>
      <c r="S2542" s="37" cm="1">
        <f t="array" aca="1" ref="S25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255.52594099694815</v>
      </c>
      <c r="T2542" s="346" t="s">
        <v>2120</v>
      </c>
      <c r="U2542" s="347">
        <f ca="1">S2542*Fuel_Specs!$B$79/mmBTU2MJ</f>
        <v>238.07460050574576</v>
      </c>
      <c r="V2542" s="347">
        <v>255.52594099694815</v>
      </c>
      <c r="W2542" s="347">
        <v>238.07460050574576</v>
      </c>
      <c r="X2542" s="14" t="s">
        <v>351</v>
      </c>
      <c r="Y2542" s="346" t="s">
        <v>416</v>
      </c>
      <c r="Z2542" s="14" t="str">
        <f>IF(ISBLANK(LCI_Table[[#This Row],[Notes for user]])," ",LCI_Table[[#This Row],[Notes for user]])</f>
        <v xml:space="preserve"> </v>
      </c>
      <c r="AA2542" s="14"/>
      <c r="AB2542" s="14"/>
      <c r="AC2542" s="346">
        <f ca="1">LCI_Table[[#This Row],[Default Calculated Value]]-LCI_Table[[#This Row],[Calculated Value]]</f>
        <v>0</v>
      </c>
    </row>
    <row r="2543" spans="1:29" x14ac:dyDescent="0.3">
      <c r="A25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ATJICAOJRC(blank)_Corn_i_BuOH_ATJ_ElectricityElectricity (fermentation)</v>
      </c>
      <c r="B2543" s="381" t="s">
        <v>136</v>
      </c>
      <c r="C2543" s="381" t="s">
        <v>883</v>
      </c>
      <c r="D2543" s="383" t="s">
        <v>194</v>
      </c>
      <c r="E2543" s="379" t="s">
        <v>355</v>
      </c>
      <c r="F2543" s="375" t="s">
        <v>31</v>
      </c>
      <c r="G2543" s="14" t="b">
        <f>OR(LCI_Table[[#This Row],[Feedstock]]="All",LCI_Table[[#This Row],[Feedstock]]=SelectedFeedstock)</f>
        <v>0</v>
      </c>
      <c r="H2543" s="14" t="b">
        <f>OR(LCI_Table[[#This Row],[Conversion]]="All",LCI_Table[[#This Row],[Conversion]]=SelectedConversion)</f>
        <v>0</v>
      </c>
      <c r="I2543" s="14" t="b">
        <f>OR(LCI_Table[[#This Row],[Data Set]]="all",LCI_Table[[#This Row],[Data Set]]=SelectedDataSet)</f>
        <v>0</v>
      </c>
      <c r="J2543" s="14" t="b">
        <f>OR(LCI_Table[[#This Row],[Technology]]="All",LCI_Table[[#This Row],[Technology]]=SelectedTechnology)</f>
        <v>1</v>
      </c>
      <c r="K2543" s="14" t="b">
        <f>OR(LCI_Table[[#This Row],[Data Source]]="All",LCI_Table[[#This Row],[Data Source]]=SelectedDataSource)</f>
        <v>0</v>
      </c>
      <c r="L2543" s="14" t="b">
        <f>TRUE</f>
        <v>1</v>
      </c>
      <c r="M2543" s="14" t="b">
        <f>(LCI_Table[[#This Row],[Dev Notes]]="Do not display")</f>
        <v>0</v>
      </c>
      <c r="N2543" s="14" t="b">
        <f>AND(LCI_Table[[#This Row],[Show Feedstock]:[Conditional]],NOT(LCI_Table[[#This Row],[Hide Row]]))</f>
        <v>0</v>
      </c>
      <c r="O2543" s="14" t="b">
        <f>LCI_Table[[#This Row],[GREET1 Name Range]]=""</f>
        <v>0</v>
      </c>
      <c r="P2543" s="387" t="s">
        <v>1448</v>
      </c>
      <c r="Q2543" s="14" t="s">
        <v>1050</v>
      </c>
      <c r="R2543" s="14" t="s">
        <v>1134</v>
      </c>
      <c r="S2543" s="37" cm="1">
        <f t="array" aca="1" ref="S25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18.630527884583337</v>
      </c>
      <c r="T2543" s="346" t="s">
        <v>2121</v>
      </c>
      <c r="U2543" s="347">
        <f ca="1">S2543/BTU2kWh/mmBTU2MJ</f>
        <v>60.25273448794205</v>
      </c>
      <c r="V2543" s="347">
        <v>18.630527884583337</v>
      </c>
      <c r="W2543" s="347">
        <v>60.25273448794205</v>
      </c>
      <c r="X2543" s="37" t="s">
        <v>51</v>
      </c>
      <c r="Y2543" s="346" t="s">
        <v>416</v>
      </c>
      <c r="Z2543" s="14" t="str">
        <f>IF(ISBLANK(LCI_Table[[#This Row],[Notes for user]])," ",LCI_Table[[#This Row],[Notes for user]])</f>
        <v xml:space="preserve"> </v>
      </c>
      <c r="AA2543" s="14"/>
      <c r="AB2543" s="14"/>
      <c r="AC2543" s="346">
        <f ca="1">LCI_Table[[#This Row],[Default Calculated Value]]-LCI_Table[[#This Row],[Calculated Value]]</f>
        <v>0</v>
      </c>
    </row>
    <row r="2544" spans="1:29" x14ac:dyDescent="0.3">
      <c r="A25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ATJICAOJRC(blank)_Corn_i_BuOH_ATJ_HydrogenHydrogen</v>
      </c>
      <c r="B2544" s="381" t="s">
        <v>136</v>
      </c>
      <c r="C2544" s="381" t="s">
        <v>883</v>
      </c>
      <c r="D2544" s="383" t="s">
        <v>194</v>
      </c>
      <c r="E2544" s="379" t="s">
        <v>355</v>
      </c>
      <c r="F2544" s="375" t="s">
        <v>31</v>
      </c>
      <c r="G2544" s="14" t="b">
        <f>OR(LCI_Table[[#This Row],[Feedstock]]="All",LCI_Table[[#This Row],[Feedstock]]=SelectedFeedstock)</f>
        <v>0</v>
      </c>
      <c r="H2544" s="14" t="b">
        <f>OR(LCI_Table[[#This Row],[Conversion]]="All",LCI_Table[[#This Row],[Conversion]]=SelectedConversion)</f>
        <v>0</v>
      </c>
      <c r="I2544" s="14" t="b">
        <f>OR(LCI_Table[[#This Row],[Data Set]]="all",LCI_Table[[#This Row],[Data Set]]=SelectedDataSet)</f>
        <v>0</v>
      </c>
      <c r="J2544" s="14" t="b">
        <f>OR(LCI_Table[[#This Row],[Technology]]="All",LCI_Table[[#This Row],[Technology]]=SelectedTechnology)</f>
        <v>1</v>
      </c>
      <c r="K2544" s="14" t="b">
        <f>OR(LCI_Table[[#This Row],[Data Source]]="All",LCI_Table[[#This Row],[Data Source]]=SelectedDataSource)</f>
        <v>0</v>
      </c>
      <c r="L2544" s="14" t="b">
        <f>TRUE</f>
        <v>1</v>
      </c>
      <c r="M2544" s="14" t="b">
        <f>(LCI_Table[[#This Row],[Dev Notes]]="Do not display")</f>
        <v>0</v>
      </c>
      <c r="N2544" s="14" t="b">
        <f>AND(LCI_Table[[#This Row],[Show Feedstock]:[Conditional]],NOT(LCI_Table[[#This Row],[Hide Row]]))</f>
        <v>0</v>
      </c>
      <c r="O2544" s="14" t="b">
        <f>LCI_Table[[#This Row],[GREET1 Name Range]]=""</f>
        <v>0</v>
      </c>
      <c r="P2544" s="387" t="s">
        <v>1448</v>
      </c>
      <c r="Q2544" s="14" t="s">
        <v>1051</v>
      </c>
      <c r="R2544" s="358" t="s">
        <v>73</v>
      </c>
      <c r="S2544" s="37" cm="1">
        <f t="array" aca="1" ref="S25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103.44827586206897</v>
      </c>
      <c r="T2544" s="346" t="s">
        <v>2120</v>
      </c>
      <c r="U2544" s="347">
        <f ca="1">S2544*Fuel_Specs!$B$81/mmBTU2MJ</f>
        <v>28.434513680010401</v>
      </c>
      <c r="V2544" s="347">
        <v>103.44827586206897</v>
      </c>
      <c r="W2544" s="347">
        <v>28.434513680010401</v>
      </c>
      <c r="X2544" s="360" t="s">
        <v>351</v>
      </c>
      <c r="Y2544" s="346" t="s">
        <v>416</v>
      </c>
      <c r="Z2544" s="14" t="str">
        <f>IF(ISBLANK(LCI_Table[[#This Row],[Notes for user]])," ",LCI_Table[[#This Row],[Notes for user]])</f>
        <v xml:space="preserve"> </v>
      </c>
      <c r="AA2544" s="14"/>
      <c r="AB2544" s="358"/>
      <c r="AC2544" s="346">
        <f ca="1">LCI_Table[[#This Row],[Default Calculated Value]]-LCI_Table[[#This Row],[Calculated Value]]</f>
        <v>0</v>
      </c>
    </row>
    <row r="2545" spans="1:29" x14ac:dyDescent="0.3">
      <c r="A25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ATJICAOJRC(blank)_Corn_i_BuOH_ATJ_Natural_gasNatural gas (ATJ conversion)</v>
      </c>
      <c r="B2545" s="381" t="s">
        <v>136</v>
      </c>
      <c r="C2545" s="381" t="s">
        <v>883</v>
      </c>
      <c r="D2545" s="383" t="s">
        <v>194</v>
      </c>
      <c r="E2545" s="379" t="s">
        <v>355</v>
      </c>
      <c r="F2545" s="375" t="s">
        <v>31</v>
      </c>
      <c r="G2545" s="14" t="b">
        <f>OR(LCI_Table[[#This Row],[Feedstock]]="All",LCI_Table[[#This Row],[Feedstock]]=SelectedFeedstock)</f>
        <v>0</v>
      </c>
      <c r="H2545" s="14" t="b">
        <f>OR(LCI_Table[[#This Row],[Conversion]]="All",LCI_Table[[#This Row],[Conversion]]=SelectedConversion)</f>
        <v>0</v>
      </c>
      <c r="I2545" s="14" t="b">
        <f>OR(LCI_Table[[#This Row],[Data Set]]="all",LCI_Table[[#This Row],[Data Set]]=SelectedDataSet)</f>
        <v>0</v>
      </c>
      <c r="J2545" s="14" t="b">
        <f>OR(LCI_Table[[#This Row],[Technology]]="All",LCI_Table[[#This Row],[Technology]]=SelectedTechnology)</f>
        <v>1</v>
      </c>
      <c r="K2545" s="14" t="b">
        <f>OR(LCI_Table[[#This Row],[Data Source]]="All",LCI_Table[[#This Row],[Data Source]]=SelectedDataSource)</f>
        <v>0</v>
      </c>
      <c r="L2545" s="14" t="b">
        <f>TRUE</f>
        <v>1</v>
      </c>
      <c r="M2545" s="14" t="b">
        <f>(LCI_Table[[#This Row],[Dev Notes]]="Do not display")</f>
        <v>0</v>
      </c>
      <c r="N2545" s="14" t="b">
        <f>AND(LCI_Table[[#This Row],[Show Feedstock]:[Conditional]],NOT(LCI_Table[[#This Row],[Hide Row]]))</f>
        <v>0</v>
      </c>
      <c r="O2545" s="14" t="b">
        <f>LCI_Table[[#This Row],[GREET1 Name Range]]=""</f>
        <v>0</v>
      </c>
      <c r="P2545" s="14" t="s">
        <v>1448</v>
      </c>
      <c r="Q2545" s="14" t="s">
        <v>1049</v>
      </c>
      <c r="R2545" s="14" t="s">
        <v>1133</v>
      </c>
      <c r="S2545" s="37" cm="1">
        <f t="array" aca="1" ref="S25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233.9776195320448</v>
      </c>
      <c r="T2545" s="346" t="s">
        <v>2120</v>
      </c>
      <c r="U2545" s="347">
        <f ca="1">S2545*Fuel_Specs!$B$79/mmBTU2MJ</f>
        <v>217.99793821341311</v>
      </c>
      <c r="V2545" s="347">
        <v>233.9776195320448</v>
      </c>
      <c r="W2545" s="347">
        <v>217.99793821341311</v>
      </c>
      <c r="X2545" s="14" t="s">
        <v>351</v>
      </c>
      <c r="Y2545" s="346" t="s">
        <v>416</v>
      </c>
      <c r="Z2545" s="14" t="str">
        <f>IF(ISBLANK(LCI_Table[[#This Row],[Notes for user]])," ",LCI_Table[[#This Row],[Notes for user]])</f>
        <v xml:space="preserve"> </v>
      </c>
      <c r="AA2545" s="14"/>
      <c r="AB2545" s="14"/>
      <c r="AC2545" s="346">
        <f ca="1">LCI_Table[[#This Row],[Default Calculated Value]]-LCI_Table[[#This Row],[Calculated Value]]</f>
        <v>0</v>
      </c>
    </row>
    <row r="2546" spans="1:29" x14ac:dyDescent="0.3">
      <c r="A25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ATJICAOJRC(blank)_Corn_i_BuOH_ATJ_ElectricityElectricity (ATJ conversion)</v>
      </c>
      <c r="B2546" s="381" t="s">
        <v>136</v>
      </c>
      <c r="C2546" s="381" t="s">
        <v>883</v>
      </c>
      <c r="D2546" s="383" t="s">
        <v>194</v>
      </c>
      <c r="E2546" s="379" t="s">
        <v>355</v>
      </c>
      <c r="F2546" s="375" t="s">
        <v>31</v>
      </c>
      <c r="G2546" s="14" t="b">
        <f>OR(LCI_Table[[#This Row],[Feedstock]]="All",LCI_Table[[#This Row],[Feedstock]]=SelectedFeedstock)</f>
        <v>0</v>
      </c>
      <c r="H2546" s="14" t="b">
        <f>OR(LCI_Table[[#This Row],[Conversion]]="All",LCI_Table[[#This Row],[Conversion]]=SelectedConversion)</f>
        <v>0</v>
      </c>
      <c r="I2546" s="14" t="b">
        <f>OR(LCI_Table[[#This Row],[Data Set]]="all",LCI_Table[[#This Row],[Data Set]]=SelectedDataSet)</f>
        <v>0</v>
      </c>
      <c r="J2546" s="14" t="b">
        <f>OR(LCI_Table[[#This Row],[Technology]]="All",LCI_Table[[#This Row],[Technology]]=SelectedTechnology)</f>
        <v>1</v>
      </c>
      <c r="K2546" s="14" t="b">
        <f>OR(LCI_Table[[#This Row],[Data Source]]="All",LCI_Table[[#This Row],[Data Source]]=SelectedDataSource)</f>
        <v>0</v>
      </c>
      <c r="L2546" s="14" t="b">
        <f>TRUE</f>
        <v>1</v>
      </c>
      <c r="M2546" s="14" t="b">
        <f>(LCI_Table[[#This Row],[Dev Notes]]="Do not display")</f>
        <v>0</v>
      </c>
      <c r="N2546" s="14" t="b">
        <f>AND(LCI_Table[[#This Row],[Show Feedstock]:[Conditional]],NOT(LCI_Table[[#This Row],[Hide Row]]))</f>
        <v>0</v>
      </c>
      <c r="O2546" s="14" t="b">
        <f>LCI_Table[[#This Row],[GREET1 Name Range]]=""</f>
        <v>0</v>
      </c>
      <c r="P2546" s="14" t="s">
        <v>1448</v>
      </c>
      <c r="Q2546" s="14" t="s">
        <v>1050</v>
      </c>
      <c r="R2546" s="14" t="s">
        <v>1135</v>
      </c>
      <c r="S2546" s="37" cm="1">
        <f t="array" aca="1" ref="S25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6.1544924583333342</v>
      </c>
      <c r="T2546" s="346" t="s">
        <v>2121</v>
      </c>
      <c r="U2546" s="347">
        <f ca="1">S2546/BTU2kWh/mmBTU2MJ</f>
        <v>19.904159576007284</v>
      </c>
      <c r="V2546" s="347">
        <v>6.1544924583333342</v>
      </c>
      <c r="W2546" s="347">
        <v>19.904159576007284</v>
      </c>
      <c r="X2546" s="37" t="s">
        <v>51</v>
      </c>
      <c r="Y2546" s="346" t="s">
        <v>416</v>
      </c>
      <c r="Z2546" s="14" t="str">
        <f>IF(ISBLANK(LCI_Table[[#This Row],[Notes for user]])," ",LCI_Table[[#This Row],[Notes for user]])</f>
        <v xml:space="preserve"> </v>
      </c>
      <c r="AA2546" s="14"/>
      <c r="AB2546" s="14"/>
      <c r="AC2546" s="346">
        <f ca="1">LCI_Table[[#This Row],[Default Calculated Value]]-LCI_Table[[#This Row],[Calculated Value]]</f>
        <v>0</v>
      </c>
    </row>
    <row r="2547" spans="1:29" x14ac:dyDescent="0.3">
      <c r="A25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Corni-BuOH ATJICAOJRC(blank)_Corn_i_BuOH_ATJ_Allocation_FactorAllocation factor</v>
      </c>
      <c r="B2547" s="382" t="s">
        <v>136</v>
      </c>
      <c r="C2547" s="382" t="s">
        <v>883</v>
      </c>
      <c r="D2547" s="385" t="s">
        <v>194</v>
      </c>
      <c r="E2547" s="379" t="s">
        <v>355</v>
      </c>
      <c r="F2547" s="181" t="s">
        <v>31</v>
      </c>
      <c r="G2547" s="14" t="b">
        <f>OR(LCI_Table[[#This Row],[Feedstock]]="All",LCI_Table[[#This Row],[Feedstock]]=SelectedFeedstock)</f>
        <v>0</v>
      </c>
      <c r="H2547" s="14" t="b">
        <f>OR(LCI_Table[[#This Row],[Conversion]]="All",LCI_Table[[#This Row],[Conversion]]=SelectedConversion)</f>
        <v>0</v>
      </c>
      <c r="I2547" s="14" t="b">
        <f>OR(LCI_Table[[#This Row],[Data Set]]="all",LCI_Table[[#This Row],[Data Set]]=SelectedDataSet)</f>
        <v>0</v>
      </c>
      <c r="J2547" s="14" t="b">
        <f>OR(LCI_Table[[#This Row],[Technology]]="All",LCI_Table[[#This Row],[Technology]]=SelectedTechnology)</f>
        <v>1</v>
      </c>
      <c r="K2547" s="14" t="b">
        <f>OR(LCI_Table[[#This Row],[Data Source]]="All",LCI_Table[[#This Row],[Data Source]]=SelectedDataSource)</f>
        <v>0</v>
      </c>
      <c r="L2547" s="14" t="b">
        <f>TRUE</f>
        <v>1</v>
      </c>
      <c r="M2547" s="14" t="b">
        <f>(LCI_Table[[#This Row],[Dev Notes]]="Do not display")</f>
        <v>0</v>
      </c>
      <c r="N2547" s="14" t="b">
        <f>AND(LCI_Table[[#This Row],[Show Feedstock]:[Conditional]],NOT(LCI_Table[[#This Row],[Hide Row]]))</f>
        <v>0</v>
      </c>
      <c r="O2547" s="14" t="b">
        <f>LCI_Table[[#This Row],[GREET1 Name Range]]=""</f>
        <v>0</v>
      </c>
      <c r="P2547" s="14" t="s">
        <v>1448</v>
      </c>
      <c r="Q2547" s="14" t="s">
        <v>1100</v>
      </c>
      <c r="R2547" s="14" t="s">
        <v>1344</v>
      </c>
      <c r="S2547" s="37" cm="1">
        <f t="array" aca="1" ref="S25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52.910052910052904</v>
      </c>
      <c r="T2547" s="346" t="s">
        <v>1345</v>
      </c>
      <c r="U2547" s="376">
        <f ca="1">LCI_Table[[#This Row],[Dashboard Value]]/100</f>
        <v>0.52910052910052907</v>
      </c>
      <c r="V2547" s="376">
        <v>52.910052910052904</v>
      </c>
      <c r="W2547" s="376">
        <v>0.52910052910052907</v>
      </c>
      <c r="X2547" s="37" t="s">
        <v>51</v>
      </c>
      <c r="Y2547" s="346" t="s">
        <v>416</v>
      </c>
      <c r="Z2547" s="14" t="str">
        <f>IF(ISBLANK(LCI_Table[[#This Row],[Notes for user]])," ",LCI_Table[[#This Row],[Notes for user]])</f>
        <v xml:space="preserve"> </v>
      </c>
      <c r="AA2547" s="14"/>
      <c r="AB2547" s="14"/>
      <c r="AC2547" s="346">
        <f ca="1">LCI_Table[[#This Row],[Default Calculated Value]]-LCI_Table[[#This Row],[Calculated Value]]</f>
        <v>0</v>
      </c>
    </row>
    <row r="2548" spans="1:29" x14ac:dyDescent="0.3">
      <c r="A25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dash_Molassesi-BuOH ATJICAOMIT (GREET)(blank)_Yield_Farming</v>
      </c>
      <c r="B2548" s="377" t="s">
        <v>877</v>
      </c>
      <c r="C2548" s="48" t="s">
        <v>883</v>
      </c>
      <c r="D2548" s="48" t="s">
        <v>194</v>
      </c>
      <c r="E2548" s="384" t="s">
        <v>1335</v>
      </c>
      <c r="F2548" s="48" t="s">
        <v>31</v>
      </c>
      <c r="G2548" s="14" t="b">
        <f>OR(LCI_Table[[#This Row],[Feedstock]]="All",LCI_Table[[#This Row],[Feedstock]]=SelectedFeedstock)</f>
        <v>0</v>
      </c>
      <c r="H2548" s="14" t="b">
        <f>OR(LCI_Table[[#This Row],[Conversion]]="All",LCI_Table[[#This Row],[Conversion]]=SelectedConversion)</f>
        <v>0</v>
      </c>
      <c r="I2548" s="14" t="b">
        <f>OR(LCI_Table[[#This Row],[Data Set]]="all",LCI_Table[[#This Row],[Data Set]]=SelectedDataSet)</f>
        <v>0</v>
      </c>
      <c r="J2548" s="14" t="b">
        <f>OR(LCI_Table[[#This Row],[Technology]]="All",LCI_Table[[#This Row],[Technology]]=SelectedTechnology)</f>
        <v>1</v>
      </c>
      <c r="K2548" s="14" t="b">
        <f>OR(LCI_Table[[#This Row],[Data Source]]="All",LCI_Table[[#This Row],[Data Source]]=SelectedDataSource)</f>
        <v>0</v>
      </c>
      <c r="L2548" s="14" t="b">
        <f>TRUE</f>
        <v>1</v>
      </c>
      <c r="M2548" s="14" t="b">
        <f>(LCI_Table[[#This Row],[Dev Notes]]="Do not display")</f>
        <v>0</v>
      </c>
      <c r="N2548" s="14" t="b">
        <f>AND(LCI_Table[[#This Row],[Show Feedstock]:[Conditional]],NOT(LCI_Table[[#This Row],[Hide Row]]))</f>
        <v>0</v>
      </c>
      <c r="O2548" s="14" t="b">
        <f>LCI_Table[[#This Row],[GREET1 Name Range]]=""</f>
        <v>1</v>
      </c>
      <c r="P2548" s="48" t="s">
        <v>14</v>
      </c>
      <c r="Q2548" s="14" t="s">
        <v>361</v>
      </c>
      <c r="R2548" s="48" t="s">
        <v>200</v>
      </c>
      <c r="S2548" s="37" cm="1">
        <f t="array" aca="1" ref="S25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38.676024628050598</v>
      </c>
      <c r="T2548" s="346" t="s">
        <v>2125</v>
      </c>
      <c r="U2548" s="344"/>
      <c r="V2548" s="344">
        <v>38.676024628050598</v>
      </c>
      <c r="W2548" s="344"/>
      <c r="X2548" s="48" t="s">
        <v>55</v>
      </c>
      <c r="Y2548" s="346" t="s">
        <v>416</v>
      </c>
      <c r="Z2548" s="14" t="str">
        <f>IF(ISBLANK(LCI_Table[[#This Row],[Notes for user]])," ",LCI_Table[[#This Row],[Notes for user]])</f>
        <v xml:space="preserve"> </v>
      </c>
      <c r="AA2548" s="48"/>
      <c r="AB2548" s="345" t="s">
        <v>923</v>
      </c>
      <c r="AC2548" s="346">
        <f>LCI_Table[[#This Row],[Default Calculated Value]]-LCI_Table[[#This Row],[Calculated Value]]</f>
        <v>0</v>
      </c>
    </row>
    <row r="2549" spans="1:29" x14ac:dyDescent="0.3">
      <c r="A25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(GREET)(blank)_Sugarcane_Nitrogen_fertilizerNitrogen fertilizer</v>
      </c>
      <c r="B2549" s="377" t="s">
        <v>877</v>
      </c>
      <c r="C2549" s="14" t="s">
        <v>883</v>
      </c>
      <c r="D2549" s="14" t="s">
        <v>194</v>
      </c>
      <c r="E2549" s="384" t="s">
        <v>1335</v>
      </c>
      <c r="F2549" s="48" t="s">
        <v>31</v>
      </c>
      <c r="G2549" s="14" t="b">
        <f>OR(LCI_Table[[#This Row],[Feedstock]]="All",LCI_Table[[#This Row],[Feedstock]]=SelectedFeedstock)</f>
        <v>0</v>
      </c>
      <c r="H2549" s="14" t="b">
        <f>OR(LCI_Table[[#This Row],[Conversion]]="All",LCI_Table[[#This Row],[Conversion]]=SelectedConversion)</f>
        <v>0</v>
      </c>
      <c r="I2549" s="14" t="b">
        <f>OR(LCI_Table[[#This Row],[Data Set]]="all",LCI_Table[[#This Row],[Data Set]]=SelectedDataSet)</f>
        <v>0</v>
      </c>
      <c r="J2549" s="14" t="b">
        <f>OR(LCI_Table[[#This Row],[Technology]]="All",LCI_Table[[#This Row],[Technology]]=SelectedTechnology)</f>
        <v>1</v>
      </c>
      <c r="K2549" s="14" t="b">
        <f>OR(LCI_Table[[#This Row],[Data Source]]="All",LCI_Table[[#This Row],[Data Source]]=SelectedDataSource)</f>
        <v>0</v>
      </c>
      <c r="L2549" s="14" t="b">
        <f>TRUE</f>
        <v>1</v>
      </c>
      <c r="M2549" s="14" t="b">
        <f>(LCI_Table[[#This Row],[Dev Notes]]="Do not display")</f>
        <v>0</v>
      </c>
      <c r="N2549" s="14" t="b">
        <f>AND(LCI_Table[[#This Row],[Show Feedstock]:[Conditional]],NOT(LCI_Table[[#This Row],[Hide Row]]))</f>
        <v>0</v>
      </c>
      <c r="O2549" s="14" t="b">
        <f>LCI_Table[[#This Row],[GREET1 Name Range]]=""</f>
        <v>0</v>
      </c>
      <c r="P2549" s="14" t="s">
        <v>14</v>
      </c>
      <c r="Q2549" s="14" t="s">
        <v>968</v>
      </c>
      <c r="R2549" s="14" t="s">
        <v>111</v>
      </c>
      <c r="S2549" s="37" cm="1">
        <f t="array" aca="1" ref="S25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71.93740580817412</v>
      </c>
      <c r="T2549" s="346" t="s">
        <v>2119</v>
      </c>
      <c r="U2549" s="347">
        <f t="shared" ref="U2549:U2554" ca="1" si="176">S2549/$S$2114*lb2g/ton2MT</f>
        <v>930</v>
      </c>
      <c r="V2549" s="347">
        <v>71.93740580817412</v>
      </c>
      <c r="W2549" s="347">
        <v>930</v>
      </c>
      <c r="X2549" s="14" t="s">
        <v>12</v>
      </c>
      <c r="Y2549" s="346" t="s">
        <v>416</v>
      </c>
      <c r="Z2549" s="14" t="str">
        <f>IF(ISBLANK(LCI_Table[[#This Row],[Notes for user]])," ",LCI_Table[[#This Row],[Notes for user]])</f>
        <v>Sugarcane farming</v>
      </c>
      <c r="AA2549" s="14" t="s">
        <v>1391</v>
      </c>
      <c r="AB2549" s="14"/>
      <c r="AC2549" s="346">
        <f ca="1">LCI_Table[[#This Row],[Default Calculated Value]]-LCI_Table[[#This Row],[Calculated Value]]</f>
        <v>0</v>
      </c>
    </row>
    <row r="2550" spans="1:29" x14ac:dyDescent="0.3">
      <c r="A25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(GREET)(blank)_Sugarcane_P2O5P2O5</v>
      </c>
      <c r="B2550" s="377" t="s">
        <v>877</v>
      </c>
      <c r="C2550" s="14" t="s">
        <v>883</v>
      </c>
      <c r="D2550" s="14" t="s">
        <v>194</v>
      </c>
      <c r="E2550" s="384" t="s">
        <v>1335</v>
      </c>
      <c r="F2550" s="48" t="s">
        <v>31</v>
      </c>
      <c r="G2550" s="14" t="b">
        <f>OR(LCI_Table[[#This Row],[Feedstock]]="All",LCI_Table[[#This Row],[Feedstock]]=SelectedFeedstock)</f>
        <v>0</v>
      </c>
      <c r="H2550" s="14" t="b">
        <f>OR(LCI_Table[[#This Row],[Conversion]]="All",LCI_Table[[#This Row],[Conversion]]=SelectedConversion)</f>
        <v>0</v>
      </c>
      <c r="I2550" s="14" t="b">
        <f>OR(LCI_Table[[#This Row],[Data Set]]="all",LCI_Table[[#This Row],[Data Set]]=SelectedDataSet)</f>
        <v>0</v>
      </c>
      <c r="J2550" s="14" t="b">
        <f>OR(LCI_Table[[#This Row],[Technology]]="All",LCI_Table[[#This Row],[Technology]]=SelectedTechnology)</f>
        <v>1</v>
      </c>
      <c r="K2550" s="14" t="b">
        <f>OR(LCI_Table[[#This Row],[Data Source]]="All",LCI_Table[[#This Row],[Data Source]]=SelectedDataSource)</f>
        <v>0</v>
      </c>
      <c r="L2550" s="14" t="b">
        <f>TRUE</f>
        <v>1</v>
      </c>
      <c r="M2550" s="14" t="b">
        <f>(LCI_Table[[#This Row],[Dev Notes]]="Do not display")</f>
        <v>0</v>
      </c>
      <c r="N2550" s="14" t="b">
        <f>AND(LCI_Table[[#This Row],[Show Feedstock]:[Conditional]],NOT(LCI_Table[[#This Row],[Hide Row]]))</f>
        <v>0</v>
      </c>
      <c r="O2550" s="14" t="b">
        <f>LCI_Table[[#This Row],[GREET1 Name Range]]=""</f>
        <v>0</v>
      </c>
      <c r="P2550" s="14" t="s">
        <v>14</v>
      </c>
      <c r="Q2550" s="14" t="s">
        <v>969</v>
      </c>
      <c r="R2550" s="14" t="s">
        <v>112</v>
      </c>
      <c r="S2550" s="37" cm="1">
        <f t="array" aca="1" ref="S25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24.752655761952383</v>
      </c>
      <c r="T2550" s="346" t="s">
        <v>2119</v>
      </c>
      <c r="U2550" s="347">
        <f t="shared" ca="1" si="176"/>
        <v>320</v>
      </c>
      <c r="V2550" s="347">
        <v>24.752655761952383</v>
      </c>
      <c r="W2550" s="347">
        <v>320</v>
      </c>
      <c r="X2550" s="14" t="s">
        <v>12</v>
      </c>
      <c r="Y2550" s="346" t="s">
        <v>416</v>
      </c>
      <c r="Z2550" s="14" t="str">
        <f>IF(ISBLANK(LCI_Table[[#This Row],[Notes for user]])," ",LCI_Table[[#This Row],[Notes for user]])</f>
        <v>Sugarcane farming</v>
      </c>
      <c r="AA2550" s="14" t="s">
        <v>1391</v>
      </c>
      <c r="AB2550" s="14"/>
      <c r="AC2550" s="346">
        <f ca="1">LCI_Table[[#This Row],[Default Calculated Value]]-LCI_Table[[#This Row],[Calculated Value]]</f>
        <v>0</v>
      </c>
    </row>
    <row r="2551" spans="1:29" x14ac:dyDescent="0.3">
      <c r="A25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(GREET)(blank)_Sugarcane_K2OK2O</v>
      </c>
      <c r="B2551" s="377" t="s">
        <v>877</v>
      </c>
      <c r="C2551" s="14" t="s">
        <v>883</v>
      </c>
      <c r="D2551" s="14" t="s">
        <v>194</v>
      </c>
      <c r="E2551" s="384" t="s">
        <v>1335</v>
      </c>
      <c r="F2551" s="48" t="s">
        <v>31</v>
      </c>
      <c r="G2551" s="14" t="b">
        <f>OR(LCI_Table[[#This Row],[Feedstock]]="All",LCI_Table[[#This Row],[Feedstock]]=SelectedFeedstock)</f>
        <v>0</v>
      </c>
      <c r="H2551" s="14" t="b">
        <f>OR(LCI_Table[[#This Row],[Conversion]]="All",LCI_Table[[#This Row],[Conversion]]=SelectedConversion)</f>
        <v>0</v>
      </c>
      <c r="I2551" s="14" t="b">
        <f>OR(LCI_Table[[#This Row],[Data Set]]="all",LCI_Table[[#This Row],[Data Set]]=SelectedDataSet)</f>
        <v>0</v>
      </c>
      <c r="J2551" s="14" t="b">
        <f>OR(LCI_Table[[#This Row],[Technology]]="All",LCI_Table[[#This Row],[Technology]]=SelectedTechnology)</f>
        <v>1</v>
      </c>
      <c r="K2551" s="14" t="b">
        <f>OR(LCI_Table[[#This Row],[Data Source]]="All",LCI_Table[[#This Row],[Data Source]]=SelectedDataSource)</f>
        <v>0</v>
      </c>
      <c r="L2551" s="14" t="b">
        <f>TRUE</f>
        <v>1</v>
      </c>
      <c r="M2551" s="14" t="b">
        <f>(LCI_Table[[#This Row],[Dev Notes]]="Do not display")</f>
        <v>0</v>
      </c>
      <c r="N2551" s="14" t="b">
        <f>AND(LCI_Table[[#This Row],[Show Feedstock]:[Conditional]],NOT(LCI_Table[[#This Row],[Hide Row]]))</f>
        <v>0</v>
      </c>
      <c r="O2551" s="14" t="b">
        <f>LCI_Table[[#This Row],[GREET1 Name Range]]=""</f>
        <v>0</v>
      </c>
      <c r="P2551" s="14" t="s">
        <v>14</v>
      </c>
      <c r="Q2551" s="14" t="s">
        <v>970</v>
      </c>
      <c r="R2551" s="14" t="s">
        <v>113</v>
      </c>
      <c r="S2551" s="37" cm="1">
        <f t="array" aca="1" ref="S25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116.80159437671281</v>
      </c>
      <c r="T2551" s="346" t="s">
        <v>2119</v>
      </c>
      <c r="U2551" s="347">
        <f t="shared" ca="1" si="176"/>
        <v>1510</v>
      </c>
      <c r="V2551" s="347">
        <v>116.80159437671281</v>
      </c>
      <c r="W2551" s="347">
        <v>1510</v>
      </c>
      <c r="X2551" s="14" t="s">
        <v>12</v>
      </c>
      <c r="Y2551" s="346" t="s">
        <v>416</v>
      </c>
      <c r="Z2551" s="14" t="str">
        <f>IF(ISBLANK(LCI_Table[[#This Row],[Notes for user]])," ",LCI_Table[[#This Row],[Notes for user]])</f>
        <v>Sugarcane farming</v>
      </c>
      <c r="AA2551" s="14" t="s">
        <v>1391</v>
      </c>
      <c r="AB2551" s="14"/>
      <c r="AC2551" s="346">
        <f ca="1">LCI_Table[[#This Row],[Default Calculated Value]]-LCI_Table[[#This Row],[Calculated Value]]</f>
        <v>0</v>
      </c>
    </row>
    <row r="2552" spans="1:29" x14ac:dyDescent="0.3">
      <c r="A25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(GREET)(blank)_Sugarcane_CaCO3CaCO3</v>
      </c>
      <c r="B2552" s="377" t="s">
        <v>877</v>
      </c>
      <c r="C2552" s="14" t="s">
        <v>883</v>
      </c>
      <c r="D2552" s="14" t="s">
        <v>194</v>
      </c>
      <c r="E2552" s="384" t="s">
        <v>1335</v>
      </c>
      <c r="F2552" s="48" t="s">
        <v>31</v>
      </c>
      <c r="G2552" s="14" t="b">
        <f>OR(LCI_Table[[#This Row],[Feedstock]]="All",LCI_Table[[#This Row],[Feedstock]]=SelectedFeedstock)</f>
        <v>0</v>
      </c>
      <c r="H2552" s="14" t="b">
        <f>OR(LCI_Table[[#This Row],[Conversion]]="All",LCI_Table[[#This Row],[Conversion]]=SelectedConversion)</f>
        <v>0</v>
      </c>
      <c r="I2552" s="14" t="b">
        <f>OR(LCI_Table[[#This Row],[Data Set]]="all",LCI_Table[[#This Row],[Data Set]]=SelectedDataSet)</f>
        <v>0</v>
      </c>
      <c r="J2552" s="14" t="b">
        <f>OR(LCI_Table[[#This Row],[Technology]]="All",LCI_Table[[#This Row],[Technology]]=SelectedTechnology)</f>
        <v>1</v>
      </c>
      <c r="K2552" s="14" t="b">
        <f>OR(LCI_Table[[#This Row],[Data Source]]="All",LCI_Table[[#This Row],[Data Source]]=SelectedDataSource)</f>
        <v>0</v>
      </c>
      <c r="L2552" s="14" t="b">
        <f>TRUE</f>
        <v>1</v>
      </c>
      <c r="M2552" s="14" t="b">
        <f>(LCI_Table[[#This Row],[Dev Notes]]="Do not display")</f>
        <v>0</v>
      </c>
      <c r="N2552" s="14" t="b">
        <f>AND(LCI_Table[[#This Row],[Show Feedstock]:[Conditional]],NOT(LCI_Table[[#This Row],[Hide Row]]))</f>
        <v>0</v>
      </c>
      <c r="O2552" s="14" t="b">
        <f>LCI_Table[[#This Row],[GREET1 Name Range]]=""</f>
        <v>0</v>
      </c>
      <c r="P2552" s="14" t="s">
        <v>14</v>
      </c>
      <c r="Q2552" s="14" t="s">
        <v>971</v>
      </c>
      <c r="R2552" s="14" t="s">
        <v>141</v>
      </c>
      <c r="S2552" s="37" cm="1">
        <f t="array" aca="1" ref="S25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402.23065613172622</v>
      </c>
      <c r="T2552" s="346" t="s">
        <v>2119</v>
      </c>
      <c r="U2552" s="347">
        <f t="shared" ca="1" si="176"/>
        <v>5200.0000000000009</v>
      </c>
      <c r="V2552" s="347">
        <v>402.23065613172622</v>
      </c>
      <c r="W2552" s="347">
        <v>5200.0000000000009</v>
      </c>
      <c r="X2552" s="14" t="s">
        <v>12</v>
      </c>
      <c r="Y2552" s="346" t="s">
        <v>416</v>
      </c>
      <c r="Z2552" s="14" t="str">
        <f>IF(ISBLANK(LCI_Table[[#This Row],[Notes for user]])," ",LCI_Table[[#This Row],[Notes for user]])</f>
        <v>Sugarcane farming</v>
      </c>
      <c r="AA2552" s="14" t="s">
        <v>1391</v>
      </c>
      <c r="AB2552" s="14" t="s">
        <v>924</v>
      </c>
      <c r="AC2552" s="346">
        <f ca="1">LCI_Table[[#This Row],[Default Calculated Value]]-LCI_Table[[#This Row],[Calculated Value]]</f>
        <v>0</v>
      </c>
    </row>
    <row r="2553" spans="1:29" x14ac:dyDescent="0.3">
      <c r="A25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(GREET)(blank)_Sugarcane_HerbicidesHerbicides</v>
      </c>
      <c r="B2553" s="377" t="s">
        <v>877</v>
      </c>
      <c r="C2553" s="14" t="s">
        <v>883</v>
      </c>
      <c r="D2553" s="14" t="s">
        <v>194</v>
      </c>
      <c r="E2553" s="384" t="s">
        <v>1335</v>
      </c>
      <c r="F2553" s="48" t="s">
        <v>31</v>
      </c>
      <c r="G2553" s="14" t="b">
        <f>OR(LCI_Table[[#This Row],[Feedstock]]="All",LCI_Table[[#This Row],[Feedstock]]=SelectedFeedstock)</f>
        <v>0</v>
      </c>
      <c r="H2553" s="14" t="b">
        <f>OR(LCI_Table[[#This Row],[Conversion]]="All",LCI_Table[[#This Row],[Conversion]]=SelectedConversion)</f>
        <v>0</v>
      </c>
      <c r="I2553" s="14" t="b">
        <f>OR(LCI_Table[[#This Row],[Data Set]]="all",LCI_Table[[#This Row],[Data Set]]=SelectedDataSet)</f>
        <v>0</v>
      </c>
      <c r="J2553" s="14" t="b">
        <f>OR(LCI_Table[[#This Row],[Technology]]="All",LCI_Table[[#This Row],[Technology]]=SelectedTechnology)</f>
        <v>1</v>
      </c>
      <c r="K2553" s="14" t="b">
        <f>OR(LCI_Table[[#This Row],[Data Source]]="All",LCI_Table[[#This Row],[Data Source]]=SelectedDataSource)</f>
        <v>0</v>
      </c>
      <c r="L2553" s="14" t="b">
        <f>TRUE</f>
        <v>1</v>
      </c>
      <c r="M2553" s="14" t="b">
        <f>(LCI_Table[[#This Row],[Dev Notes]]="Do not display")</f>
        <v>0</v>
      </c>
      <c r="N2553" s="14" t="b">
        <f>AND(LCI_Table[[#This Row],[Show Feedstock]:[Conditional]],NOT(LCI_Table[[#This Row],[Hide Row]]))</f>
        <v>0</v>
      </c>
      <c r="O2553" s="14" t="b">
        <f>LCI_Table[[#This Row],[GREET1 Name Range]]=""</f>
        <v>0</v>
      </c>
      <c r="P2553" s="14" t="s">
        <v>14</v>
      </c>
      <c r="Q2553" s="14" t="s">
        <v>972</v>
      </c>
      <c r="R2553" s="14" t="s">
        <v>356</v>
      </c>
      <c r="S2553" s="37" cm="1">
        <f t="array" aca="1" ref="S25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53" s="346" t="s">
        <v>2119</v>
      </c>
      <c r="U2553" s="347">
        <f t="shared" ca="1" si="176"/>
        <v>0</v>
      </c>
      <c r="V2553" s="347">
        <v>0</v>
      </c>
      <c r="W2553" s="347">
        <v>0</v>
      </c>
      <c r="X2553" s="14" t="s">
        <v>12</v>
      </c>
      <c r="Y2553" s="346" t="s">
        <v>416</v>
      </c>
      <c r="Z2553" s="14" t="str">
        <f>IF(ISBLANK(LCI_Table[[#This Row],[Notes for user]])," ",LCI_Table[[#This Row],[Notes for user]])</f>
        <v>Sugarcane farming</v>
      </c>
      <c r="AA2553" s="14" t="s">
        <v>1391</v>
      </c>
      <c r="AB2553" s="14"/>
      <c r="AC2553" s="346">
        <f ca="1">LCI_Table[[#This Row],[Default Calculated Value]]-LCI_Table[[#This Row],[Calculated Value]]</f>
        <v>0</v>
      </c>
    </row>
    <row r="2554" spans="1:29" x14ac:dyDescent="0.3">
      <c r="A25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(GREET)(blank)_Sugarcane_InsecticideInsecticide</v>
      </c>
      <c r="B2554" s="377" t="s">
        <v>877</v>
      </c>
      <c r="C2554" s="14" t="s">
        <v>883</v>
      </c>
      <c r="D2554" s="14" t="s">
        <v>194</v>
      </c>
      <c r="E2554" s="384" t="s">
        <v>1335</v>
      </c>
      <c r="F2554" s="48" t="s">
        <v>31</v>
      </c>
      <c r="G2554" s="14" t="b">
        <f>OR(LCI_Table[[#This Row],[Feedstock]]="All",LCI_Table[[#This Row],[Feedstock]]=SelectedFeedstock)</f>
        <v>0</v>
      </c>
      <c r="H2554" s="14" t="b">
        <f>OR(LCI_Table[[#This Row],[Conversion]]="All",LCI_Table[[#This Row],[Conversion]]=SelectedConversion)</f>
        <v>0</v>
      </c>
      <c r="I2554" s="14" t="b">
        <f>OR(LCI_Table[[#This Row],[Data Set]]="all",LCI_Table[[#This Row],[Data Set]]=SelectedDataSet)</f>
        <v>0</v>
      </c>
      <c r="J2554" s="14" t="b">
        <f>OR(LCI_Table[[#This Row],[Technology]]="All",LCI_Table[[#This Row],[Technology]]=SelectedTechnology)</f>
        <v>1</v>
      </c>
      <c r="K2554" s="14" t="b">
        <f>OR(LCI_Table[[#This Row],[Data Source]]="All",LCI_Table[[#This Row],[Data Source]]=SelectedDataSource)</f>
        <v>0</v>
      </c>
      <c r="L2554" s="14" t="b">
        <f>TRUE</f>
        <v>1</v>
      </c>
      <c r="M2554" s="14" t="b">
        <f>(LCI_Table[[#This Row],[Dev Notes]]="Do not display")</f>
        <v>0</v>
      </c>
      <c r="N2554" s="14" t="b">
        <f>AND(LCI_Table[[#This Row],[Show Feedstock]:[Conditional]],NOT(LCI_Table[[#This Row],[Hide Row]]))</f>
        <v>0</v>
      </c>
      <c r="O2554" s="14" t="b">
        <f>LCI_Table[[#This Row],[GREET1 Name Range]]=""</f>
        <v>0</v>
      </c>
      <c r="P2554" s="14" t="s">
        <v>14</v>
      </c>
      <c r="Q2554" s="14" t="s">
        <v>973</v>
      </c>
      <c r="R2554" s="14" t="s">
        <v>114</v>
      </c>
      <c r="S2554" s="37" cm="1">
        <f t="array" aca="1" ref="S25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3.7128983642928577</v>
      </c>
      <c r="T2554" s="346" t="s">
        <v>2119</v>
      </c>
      <c r="U2554" s="347">
        <f t="shared" ca="1" si="176"/>
        <v>48</v>
      </c>
      <c r="V2554" s="347">
        <v>3.7128983642928577</v>
      </c>
      <c r="W2554" s="347">
        <v>48</v>
      </c>
      <c r="X2554" s="14" t="s">
        <v>12</v>
      </c>
      <c r="Y2554" s="346" t="s">
        <v>416</v>
      </c>
      <c r="Z2554" s="14" t="str">
        <f>IF(ISBLANK(LCI_Table[[#This Row],[Notes for user]])," ",LCI_Table[[#This Row],[Notes for user]])</f>
        <v>Sugarcane farming</v>
      </c>
      <c r="AA2554" s="14" t="s">
        <v>1391</v>
      </c>
      <c r="AB2554" s="14"/>
      <c r="AC2554" s="346">
        <f ca="1">LCI_Table[[#This Row],[Default Calculated Value]]-LCI_Table[[#This Row],[Calculated Value]]</f>
        <v>0</v>
      </c>
    </row>
    <row r="2555" spans="1:29" x14ac:dyDescent="0.3">
      <c r="A25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(GREET)(blank)_Sugarcane_Residual_oilResidual oil</v>
      </c>
      <c r="B2555" s="377" t="s">
        <v>877</v>
      </c>
      <c r="C2555" s="14" t="s">
        <v>883</v>
      </c>
      <c r="D2555" s="14" t="s">
        <v>194</v>
      </c>
      <c r="E2555" s="384" t="s">
        <v>1335</v>
      </c>
      <c r="F2555" s="48" t="s">
        <v>31</v>
      </c>
      <c r="G2555" s="14" t="b">
        <f>OR(LCI_Table[[#This Row],[Feedstock]]="All",LCI_Table[[#This Row],[Feedstock]]=SelectedFeedstock)</f>
        <v>0</v>
      </c>
      <c r="H2555" s="14" t="b">
        <f>OR(LCI_Table[[#This Row],[Conversion]]="All",LCI_Table[[#This Row],[Conversion]]=SelectedConversion)</f>
        <v>0</v>
      </c>
      <c r="I2555" s="14" t="b">
        <f>OR(LCI_Table[[#This Row],[Data Set]]="all",LCI_Table[[#This Row],[Data Set]]=SelectedDataSet)</f>
        <v>0</v>
      </c>
      <c r="J2555" s="14" t="b">
        <f>OR(LCI_Table[[#This Row],[Technology]]="All",LCI_Table[[#This Row],[Technology]]=SelectedTechnology)</f>
        <v>1</v>
      </c>
      <c r="K2555" s="14" t="b">
        <f>OR(LCI_Table[[#This Row],[Data Source]]="All",LCI_Table[[#This Row],[Data Source]]=SelectedDataSource)</f>
        <v>0</v>
      </c>
      <c r="L2555" s="14" t="b">
        <f>TRUE</f>
        <v>1</v>
      </c>
      <c r="M2555" s="14" t="b">
        <f>(LCI_Table[[#This Row],[Dev Notes]]="Do not display")</f>
        <v>0</v>
      </c>
      <c r="N2555" s="14" t="b">
        <f>AND(LCI_Table[[#This Row],[Show Feedstock]:[Conditional]],NOT(LCI_Table[[#This Row],[Hide Row]]))</f>
        <v>0</v>
      </c>
      <c r="O2555" s="14" t="b">
        <f>LCI_Table[[#This Row],[GREET1 Name Range]]=""</f>
        <v>0</v>
      </c>
      <c r="P2555" s="14" t="s">
        <v>14</v>
      </c>
      <c r="Q2555" s="14" t="s">
        <v>974</v>
      </c>
      <c r="R2555" s="14" t="s">
        <v>115</v>
      </c>
      <c r="S2555" s="37" cm="1">
        <f t="array" aca="1" ref="S25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55" s="346" t="s">
        <v>2128</v>
      </c>
      <c r="U2555" s="347">
        <f ca="1">$S2555/$S$2114*Fuel_Specs!$B$28/ton2MT</f>
        <v>0</v>
      </c>
      <c r="V2555" s="347">
        <v>0</v>
      </c>
      <c r="W2555" s="347">
        <v>0</v>
      </c>
      <c r="X2555" s="14" t="s">
        <v>5</v>
      </c>
      <c r="Y2555" s="346" t="s">
        <v>416</v>
      </c>
      <c r="Z2555" s="14" t="str">
        <f>IF(ISBLANK(LCI_Table[[#This Row],[Notes for user]])," ",LCI_Table[[#This Row],[Notes for user]])</f>
        <v>Sugarcane farming</v>
      </c>
      <c r="AA2555" s="14" t="s">
        <v>1391</v>
      </c>
      <c r="AB2555" s="14"/>
      <c r="AC2555" s="346">
        <f ca="1">LCI_Table[[#This Row],[Default Calculated Value]]-LCI_Table[[#This Row],[Calculated Value]]</f>
        <v>0</v>
      </c>
    </row>
    <row r="2556" spans="1:29" x14ac:dyDescent="0.3">
      <c r="A25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(GREET)(blank)_Sugarcane_DieselDiesel</v>
      </c>
      <c r="B2556" s="377" t="s">
        <v>877</v>
      </c>
      <c r="C2556" s="14" t="s">
        <v>883</v>
      </c>
      <c r="D2556" s="14" t="s">
        <v>194</v>
      </c>
      <c r="E2556" s="384" t="s">
        <v>1335</v>
      </c>
      <c r="F2556" s="48" t="s">
        <v>31</v>
      </c>
      <c r="G2556" s="14" t="b">
        <f>OR(LCI_Table[[#This Row],[Feedstock]]="All",LCI_Table[[#This Row],[Feedstock]]=SelectedFeedstock)</f>
        <v>0</v>
      </c>
      <c r="H2556" s="14" t="b">
        <f>OR(LCI_Table[[#This Row],[Conversion]]="All",LCI_Table[[#This Row],[Conversion]]=SelectedConversion)</f>
        <v>0</v>
      </c>
      <c r="I2556" s="14" t="b">
        <f>OR(LCI_Table[[#This Row],[Data Set]]="all",LCI_Table[[#This Row],[Data Set]]=SelectedDataSet)</f>
        <v>0</v>
      </c>
      <c r="J2556" s="14" t="b">
        <f>OR(LCI_Table[[#This Row],[Technology]]="All",LCI_Table[[#This Row],[Technology]]=SelectedTechnology)</f>
        <v>1</v>
      </c>
      <c r="K2556" s="14" t="b">
        <f>OR(LCI_Table[[#This Row],[Data Source]]="All",LCI_Table[[#This Row],[Data Source]]=SelectedDataSource)</f>
        <v>0</v>
      </c>
      <c r="L2556" s="14" t="b">
        <f>TRUE</f>
        <v>1</v>
      </c>
      <c r="M2556" s="14" t="b">
        <f>(LCI_Table[[#This Row],[Dev Notes]]="Do not display")</f>
        <v>0</v>
      </c>
      <c r="N2556" s="14" t="b">
        <f>AND(LCI_Table[[#This Row],[Show Feedstock]:[Conditional]],NOT(LCI_Table[[#This Row],[Hide Row]]))</f>
        <v>0</v>
      </c>
      <c r="O2556" s="14" t="b">
        <f>LCI_Table[[#This Row],[GREET1 Name Range]]=""</f>
        <v>0</v>
      </c>
      <c r="P2556" s="14" t="s">
        <v>14</v>
      </c>
      <c r="Q2556" s="14" t="s">
        <v>975</v>
      </c>
      <c r="R2556" s="14" t="s">
        <v>106</v>
      </c>
      <c r="S2556" s="37" cm="1">
        <f t="array" aca="1" ref="S25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9.9416674129717642</v>
      </c>
      <c r="T2556" s="346" t="s">
        <v>2128</v>
      </c>
      <c r="U2556" s="347">
        <f ca="1">$S2556/$S$2114*Fuel_Specs!$B$19/ton2MT</f>
        <v>36396.177510413232</v>
      </c>
      <c r="V2556" s="347">
        <v>9.9416674129717642</v>
      </c>
      <c r="W2556" s="347">
        <v>36396.177510413232</v>
      </c>
      <c r="X2556" s="14" t="s">
        <v>5</v>
      </c>
      <c r="Y2556" s="346" t="s">
        <v>416</v>
      </c>
      <c r="Z2556" s="14" t="str">
        <f>IF(ISBLANK(LCI_Table[[#This Row],[Notes for user]])," ",LCI_Table[[#This Row],[Notes for user]])</f>
        <v>Sugarcane farming</v>
      </c>
      <c r="AA2556" s="14" t="s">
        <v>1391</v>
      </c>
      <c r="AB2556" s="14"/>
      <c r="AC2556" s="346">
        <f ca="1">LCI_Table[[#This Row],[Default Calculated Value]]-LCI_Table[[#This Row],[Calculated Value]]</f>
        <v>0</v>
      </c>
    </row>
    <row r="2557" spans="1:29" x14ac:dyDescent="0.3">
      <c r="A25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(GREET)(blank)_Sugarcane_GasolineGasoline</v>
      </c>
      <c r="B2557" s="377" t="s">
        <v>877</v>
      </c>
      <c r="C2557" s="14" t="s">
        <v>883</v>
      </c>
      <c r="D2557" s="14" t="s">
        <v>194</v>
      </c>
      <c r="E2557" s="384" t="s">
        <v>1335</v>
      </c>
      <c r="F2557" s="48" t="s">
        <v>31</v>
      </c>
      <c r="G2557" s="14" t="b">
        <f>OR(LCI_Table[[#This Row],[Feedstock]]="All",LCI_Table[[#This Row],[Feedstock]]=SelectedFeedstock)</f>
        <v>0</v>
      </c>
      <c r="H2557" s="14" t="b">
        <f>OR(LCI_Table[[#This Row],[Conversion]]="All",LCI_Table[[#This Row],[Conversion]]=SelectedConversion)</f>
        <v>0</v>
      </c>
      <c r="I2557" s="14" t="b">
        <f>OR(LCI_Table[[#This Row],[Data Set]]="all",LCI_Table[[#This Row],[Data Set]]=SelectedDataSet)</f>
        <v>0</v>
      </c>
      <c r="J2557" s="14" t="b">
        <f>OR(LCI_Table[[#This Row],[Technology]]="All",LCI_Table[[#This Row],[Technology]]=SelectedTechnology)</f>
        <v>1</v>
      </c>
      <c r="K2557" s="14" t="b">
        <f>OR(LCI_Table[[#This Row],[Data Source]]="All",LCI_Table[[#This Row],[Data Source]]=SelectedDataSource)</f>
        <v>0</v>
      </c>
      <c r="L2557" s="14" t="b">
        <f>TRUE</f>
        <v>1</v>
      </c>
      <c r="M2557" s="14" t="b">
        <f>(LCI_Table[[#This Row],[Dev Notes]]="Do not display")</f>
        <v>0</v>
      </c>
      <c r="N2557" s="14" t="b">
        <f>AND(LCI_Table[[#This Row],[Show Feedstock]:[Conditional]],NOT(LCI_Table[[#This Row],[Hide Row]]))</f>
        <v>0</v>
      </c>
      <c r="O2557" s="14" t="b">
        <f>LCI_Table[[#This Row],[GREET1 Name Range]]=""</f>
        <v>0</v>
      </c>
      <c r="P2557" s="14" t="s">
        <v>14</v>
      </c>
      <c r="Q2557" s="14" t="s">
        <v>976</v>
      </c>
      <c r="R2557" s="14" t="s">
        <v>107</v>
      </c>
      <c r="S2557" s="37" cm="1">
        <f t="array" aca="1" ref="S25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57" s="346" t="s">
        <v>2128</v>
      </c>
      <c r="U2557" s="347">
        <f ca="1">$S2557/$S$2114*Fuel_Specs!$B$15/ton2MT</f>
        <v>0</v>
      </c>
      <c r="V2557" s="347">
        <v>0</v>
      </c>
      <c r="W2557" s="347">
        <v>0</v>
      </c>
      <c r="X2557" s="14" t="s">
        <v>5</v>
      </c>
      <c r="Y2557" s="346" t="s">
        <v>416</v>
      </c>
      <c r="Z2557" s="14" t="str">
        <f>IF(ISBLANK(LCI_Table[[#This Row],[Notes for user]])," ",LCI_Table[[#This Row],[Notes for user]])</f>
        <v>Sugarcane farming</v>
      </c>
      <c r="AA2557" s="14" t="s">
        <v>1391</v>
      </c>
      <c r="AB2557" s="14"/>
      <c r="AC2557" s="346">
        <f ca="1">LCI_Table[[#This Row],[Default Calculated Value]]-LCI_Table[[#This Row],[Calculated Value]]</f>
        <v>0</v>
      </c>
    </row>
    <row r="2558" spans="1:29" x14ac:dyDescent="0.3">
      <c r="A25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(GREET)(blank)_Sugarcane_Natural_gasNatural gas</v>
      </c>
      <c r="B2558" s="377" t="s">
        <v>877</v>
      </c>
      <c r="C2558" s="14" t="s">
        <v>883</v>
      </c>
      <c r="D2558" s="14" t="s">
        <v>194</v>
      </c>
      <c r="E2558" s="384" t="s">
        <v>1335</v>
      </c>
      <c r="F2558" s="48" t="s">
        <v>31</v>
      </c>
      <c r="G2558" s="14" t="b">
        <f>OR(LCI_Table[[#This Row],[Feedstock]]="All",LCI_Table[[#This Row],[Feedstock]]=SelectedFeedstock)</f>
        <v>0</v>
      </c>
      <c r="H2558" s="14" t="b">
        <f>OR(LCI_Table[[#This Row],[Conversion]]="All",LCI_Table[[#This Row],[Conversion]]=SelectedConversion)</f>
        <v>0</v>
      </c>
      <c r="I2558" s="14" t="b">
        <f>OR(LCI_Table[[#This Row],[Data Set]]="all",LCI_Table[[#This Row],[Data Set]]=SelectedDataSet)</f>
        <v>0</v>
      </c>
      <c r="J2558" s="14" t="b">
        <f>OR(LCI_Table[[#This Row],[Technology]]="All",LCI_Table[[#This Row],[Technology]]=SelectedTechnology)</f>
        <v>1</v>
      </c>
      <c r="K2558" s="14" t="b">
        <f>OR(LCI_Table[[#This Row],[Data Source]]="All",LCI_Table[[#This Row],[Data Source]]=SelectedDataSource)</f>
        <v>0</v>
      </c>
      <c r="L2558" s="14" t="b">
        <f>TRUE</f>
        <v>1</v>
      </c>
      <c r="M2558" s="14" t="b">
        <f>(LCI_Table[[#This Row],[Dev Notes]]="Do not display")</f>
        <v>0</v>
      </c>
      <c r="N2558" s="14" t="b">
        <f>AND(LCI_Table[[#This Row],[Show Feedstock]:[Conditional]],NOT(LCI_Table[[#This Row],[Hide Row]]))</f>
        <v>0</v>
      </c>
      <c r="O2558" s="14" t="b">
        <f>LCI_Table[[#This Row],[GREET1 Name Range]]=""</f>
        <v>0</v>
      </c>
      <c r="P2558" s="14" t="s">
        <v>14</v>
      </c>
      <c r="Q2558" s="14" t="s">
        <v>977</v>
      </c>
      <c r="R2558" s="14" t="s">
        <v>108</v>
      </c>
      <c r="S2558" s="37" cm="1">
        <f t="array" aca="1" ref="S25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58" s="346" t="s">
        <v>2120</v>
      </c>
      <c r="U2558" s="347">
        <f ca="1">$S2558/$S$2114*Fuel_Specs!$B$79/ton2MT</f>
        <v>0</v>
      </c>
      <c r="V2558" s="347">
        <v>0</v>
      </c>
      <c r="W2558" s="347">
        <v>0</v>
      </c>
      <c r="X2558" s="14" t="s">
        <v>351</v>
      </c>
      <c r="Y2558" s="346" t="s">
        <v>416</v>
      </c>
      <c r="Z2558" s="14" t="str">
        <f>IF(ISBLANK(LCI_Table[[#This Row],[Notes for user]])," ",LCI_Table[[#This Row],[Notes for user]])</f>
        <v>Sugarcane farming</v>
      </c>
      <c r="AA2558" s="14" t="s">
        <v>1391</v>
      </c>
      <c r="AB2558" s="14"/>
      <c r="AC2558" s="346">
        <f ca="1">LCI_Table[[#This Row],[Default Calculated Value]]-LCI_Table[[#This Row],[Calculated Value]]</f>
        <v>0</v>
      </c>
    </row>
    <row r="2559" spans="1:29" x14ac:dyDescent="0.3">
      <c r="A25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(GREET)(blank)_Sugarcane_CoalCoal</v>
      </c>
      <c r="B2559" s="377" t="s">
        <v>877</v>
      </c>
      <c r="C2559" s="14" t="s">
        <v>883</v>
      </c>
      <c r="D2559" s="14" t="s">
        <v>194</v>
      </c>
      <c r="E2559" s="384" t="s">
        <v>1335</v>
      </c>
      <c r="F2559" s="48" t="s">
        <v>31</v>
      </c>
      <c r="G2559" s="14" t="b">
        <f>OR(LCI_Table[[#This Row],[Feedstock]]="All",LCI_Table[[#This Row],[Feedstock]]=SelectedFeedstock)</f>
        <v>0</v>
      </c>
      <c r="H2559" s="14" t="b">
        <f>OR(LCI_Table[[#This Row],[Conversion]]="All",LCI_Table[[#This Row],[Conversion]]=SelectedConversion)</f>
        <v>0</v>
      </c>
      <c r="I2559" s="14" t="b">
        <f>OR(LCI_Table[[#This Row],[Data Set]]="all",LCI_Table[[#This Row],[Data Set]]=SelectedDataSet)</f>
        <v>0</v>
      </c>
      <c r="J2559" s="14" t="b">
        <f>OR(LCI_Table[[#This Row],[Technology]]="All",LCI_Table[[#This Row],[Technology]]=SelectedTechnology)</f>
        <v>1</v>
      </c>
      <c r="K2559" s="14" t="b">
        <f>OR(LCI_Table[[#This Row],[Data Source]]="All",LCI_Table[[#This Row],[Data Source]]=SelectedDataSource)</f>
        <v>0</v>
      </c>
      <c r="L2559" s="14" t="b">
        <f>TRUE</f>
        <v>1</v>
      </c>
      <c r="M2559" s="14" t="b">
        <f>(LCI_Table[[#This Row],[Dev Notes]]="Do not display")</f>
        <v>0</v>
      </c>
      <c r="N2559" s="14" t="b">
        <f>AND(LCI_Table[[#This Row],[Show Feedstock]:[Conditional]],NOT(LCI_Table[[#This Row],[Hide Row]]))</f>
        <v>0</v>
      </c>
      <c r="O2559" s="14" t="b">
        <f>LCI_Table[[#This Row],[GREET1 Name Range]]=""</f>
        <v>0</v>
      </c>
      <c r="P2559" s="14" t="s">
        <v>14</v>
      </c>
      <c r="Q2559" s="14" t="s">
        <v>978</v>
      </c>
      <c r="R2559" s="14" t="s">
        <v>9</v>
      </c>
      <c r="S2559" s="37" cm="1">
        <f t="array" aca="1" ref="S25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59" s="346" t="s">
        <v>2147</v>
      </c>
      <c r="U2559" s="347">
        <f ca="1">S2559/$S$2114/ton2MT</f>
        <v>0</v>
      </c>
      <c r="V2559" s="347">
        <v>0</v>
      </c>
      <c r="W2559" s="347">
        <v>0</v>
      </c>
      <c r="X2559" s="14" t="s">
        <v>117</v>
      </c>
      <c r="Y2559" s="346" t="s">
        <v>416</v>
      </c>
      <c r="Z2559" s="14" t="str">
        <f>IF(ISBLANK(LCI_Table[[#This Row],[Notes for user]])," ",LCI_Table[[#This Row],[Notes for user]])</f>
        <v>Sugarcane farming</v>
      </c>
      <c r="AA2559" s="14" t="s">
        <v>1391</v>
      </c>
      <c r="AB2559" s="14"/>
      <c r="AC2559" s="346">
        <f ca="1">LCI_Table[[#This Row],[Default Calculated Value]]-LCI_Table[[#This Row],[Calculated Value]]</f>
        <v>0</v>
      </c>
    </row>
    <row r="2560" spans="1:29" x14ac:dyDescent="0.3">
      <c r="A25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(GREET)(blank)_Sugarcane_LPGLPG</v>
      </c>
      <c r="B2560" s="377" t="s">
        <v>877</v>
      </c>
      <c r="C2560" s="14" t="s">
        <v>883</v>
      </c>
      <c r="D2560" s="14" t="s">
        <v>194</v>
      </c>
      <c r="E2560" s="384" t="s">
        <v>1335</v>
      </c>
      <c r="F2560" s="48" t="s">
        <v>31</v>
      </c>
      <c r="G2560" s="14" t="b">
        <f>OR(LCI_Table[[#This Row],[Feedstock]]="All",LCI_Table[[#This Row],[Feedstock]]=SelectedFeedstock)</f>
        <v>0</v>
      </c>
      <c r="H2560" s="14" t="b">
        <f>OR(LCI_Table[[#This Row],[Conversion]]="All",LCI_Table[[#This Row],[Conversion]]=SelectedConversion)</f>
        <v>0</v>
      </c>
      <c r="I2560" s="14" t="b">
        <f>OR(LCI_Table[[#This Row],[Data Set]]="all",LCI_Table[[#This Row],[Data Set]]=SelectedDataSet)</f>
        <v>0</v>
      </c>
      <c r="J2560" s="14" t="b">
        <f>OR(LCI_Table[[#This Row],[Technology]]="All",LCI_Table[[#This Row],[Technology]]=SelectedTechnology)</f>
        <v>1</v>
      </c>
      <c r="K2560" s="14" t="b">
        <f>OR(LCI_Table[[#This Row],[Data Source]]="All",LCI_Table[[#This Row],[Data Source]]=SelectedDataSource)</f>
        <v>0</v>
      </c>
      <c r="L2560" s="14" t="b">
        <f>TRUE</f>
        <v>1</v>
      </c>
      <c r="M2560" s="14" t="b">
        <f>(LCI_Table[[#This Row],[Dev Notes]]="Do not display")</f>
        <v>0</v>
      </c>
      <c r="N2560" s="14" t="b">
        <f>AND(LCI_Table[[#This Row],[Show Feedstock]:[Conditional]],NOT(LCI_Table[[#This Row],[Hide Row]]))</f>
        <v>0</v>
      </c>
      <c r="O2560" s="14" t="b">
        <f>LCI_Table[[#This Row],[GREET1 Name Range]]=""</f>
        <v>0</v>
      </c>
      <c r="P2560" s="14" t="s">
        <v>14</v>
      </c>
      <c r="Q2560" s="14" t="s">
        <v>979</v>
      </c>
      <c r="R2560" s="14" t="s">
        <v>109</v>
      </c>
      <c r="S2560" s="37" cm="1">
        <f t="array" aca="1" ref="S25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60" s="346" t="s">
        <v>2128</v>
      </c>
      <c r="U2560" s="347">
        <f ca="1">$S2560/$S$2114*Fuel_Specs!$B$35/ton2MT</f>
        <v>0</v>
      </c>
      <c r="V2560" s="347">
        <v>0</v>
      </c>
      <c r="W2560" s="347">
        <v>0</v>
      </c>
      <c r="X2560" s="14" t="s">
        <v>5</v>
      </c>
      <c r="Y2560" s="346" t="s">
        <v>416</v>
      </c>
      <c r="Z2560" s="14" t="str">
        <f>IF(ISBLANK(LCI_Table[[#This Row],[Notes for user]])," ",LCI_Table[[#This Row],[Notes for user]])</f>
        <v>Sugarcane farming</v>
      </c>
      <c r="AA2560" s="14" t="s">
        <v>1391</v>
      </c>
      <c r="AB2560" s="14"/>
      <c r="AC2560" s="346">
        <f ca="1">LCI_Table[[#This Row],[Default Calculated Value]]-LCI_Table[[#This Row],[Calculated Value]]</f>
        <v>0</v>
      </c>
    </row>
    <row r="2561" spans="1:29" x14ac:dyDescent="0.3">
      <c r="A25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(GREET)(blank)_Sugarcane_ElectricityElectricity</v>
      </c>
      <c r="B2561" s="377" t="s">
        <v>877</v>
      </c>
      <c r="C2561" s="14" t="s">
        <v>883</v>
      </c>
      <c r="D2561" s="14" t="s">
        <v>194</v>
      </c>
      <c r="E2561" s="384" t="s">
        <v>1335</v>
      </c>
      <c r="F2561" s="48" t="s">
        <v>31</v>
      </c>
      <c r="G2561" s="14" t="b">
        <f>OR(LCI_Table[[#This Row],[Feedstock]]="All",LCI_Table[[#This Row],[Feedstock]]=SelectedFeedstock)</f>
        <v>0</v>
      </c>
      <c r="H2561" s="14" t="b">
        <f>OR(LCI_Table[[#This Row],[Conversion]]="All",LCI_Table[[#This Row],[Conversion]]=SelectedConversion)</f>
        <v>0</v>
      </c>
      <c r="I2561" s="14" t="b">
        <f>OR(LCI_Table[[#This Row],[Data Set]]="all",LCI_Table[[#This Row],[Data Set]]=SelectedDataSet)</f>
        <v>0</v>
      </c>
      <c r="J2561" s="14" t="b">
        <f>OR(LCI_Table[[#This Row],[Technology]]="All",LCI_Table[[#This Row],[Technology]]=SelectedTechnology)</f>
        <v>1</v>
      </c>
      <c r="K2561" s="14" t="b">
        <f>OR(LCI_Table[[#This Row],[Data Source]]="All",LCI_Table[[#This Row],[Data Source]]=SelectedDataSource)</f>
        <v>0</v>
      </c>
      <c r="L2561" s="14" t="b">
        <f>TRUE</f>
        <v>1</v>
      </c>
      <c r="M2561" s="14" t="b">
        <f>(LCI_Table[[#This Row],[Dev Notes]]="Do not display")</f>
        <v>0</v>
      </c>
      <c r="N2561" s="14" t="b">
        <f>AND(LCI_Table[[#This Row],[Show Feedstock]:[Conditional]],NOT(LCI_Table[[#This Row],[Hide Row]]))</f>
        <v>0</v>
      </c>
      <c r="O2561" s="14" t="b">
        <f>LCI_Table[[#This Row],[GREET1 Name Range]]=""</f>
        <v>0</v>
      </c>
      <c r="P2561" s="14" t="s">
        <v>14</v>
      </c>
      <c r="Q2561" s="14" t="s">
        <v>980</v>
      </c>
      <c r="R2561" s="348" t="s">
        <v>110</v>
      </c>
      <c r="S2561" s="37" cm="1">
        <f t="array" aca="1" ref="S25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61" s="346" t="s">
        <v>2121</v>
      </c>
      <c r="U2561" s="347">
        <f ca="1">S2561/BTU2kWh/$S$2114/ton2MT</f>
        <v>0</v>
      </c>
      <c r="V2561" s="347">
        <v>0</v>
      </c>
      <c r="W2561" s="347">
        <v>0</v>
      </c>
      <c r="X2561" s="14" t="s">
        <v>51</v>
      </c>
      <c r="Y2561" s="346" t="s">
        <v>416</v>
      </c>
      <c r="Z2561" s="14" t="str">
        <f>IF(ISBLANK(LCI_Table[[#This Row],[Notes for user]])," ",LCI_Table[[#This Row],[Notes for user]])</f>
        <v>Sugarcane farming</v>
      </c>
      <c r="AA2561" s="14" t="s">
        <v>1391</v>
      </c>
      <c r="AB2561" s="14"/>
      <c r="AC2561" s="346">
        <f ca="1">LCI_Table[[#This Row],[Default Calculated Value]]-LCI_Table[[#This Row],[Calculated Value]]</f>
        <v>0</v>
      </c>
    </row>
    <row r="2562" spans="1:29" x14ac:dyDescent="0.3">
      <c r="A25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(GREET)(blank)_Molasses_Allocation_FactorAllocation factor</v>
      </c>
      <c r="B2562" s="377" t="s">
        <v>877</v>
      </c>
      <c r="C2562" s="14" t="s">
        <v>883</v>
      </c>
      <c r="D2562" s="14" t="s">
        <v>194</v>
      </c>
      <c r="E2562" s="384" t="s">
        <v>1335</v>
      </c>
      <c r="F2562" s="48" t="s">
        <v>31</v>
      </c>
      <c r="G2562" s="14" t="b">
        <f>OR(LCI_Table[[#This Row],[Feedstock]]="All",LCI_Table[[#This Row],[Feedstock]]=SelectedFeedstock)</f>
        <v>0</v>
      </c>
      <c r="H2562" s="14" t="b">
        <f>OR(LCI_Table[[#This Row],[Conversion]]="All",LCI_Table[[#This Row],[Conversion]]=SelectedConversion)</f>
        <v>0</v>
      </c>
      <c r="I2562" s="14" t="b">
        <f>OR(LCI_Table[[#This Row],[Data Set]]="all",LCI_Table[[#This Row],[Data Set]]=SelectedDataSet)</f>
        <v>0</v>
      </c>
      <c r="J2562" s="14" t="b">
        <f>OR(LCI_Table[[#This Row],[Technology]]="All",LCI_Table[[#This Row],[Technology]]=SelectedTechnology)</f>
        <v>1</v>
      </c>
      <c r="K2562" s="14" t="b">
        <f>OR(LCI_Table[[#This Row],[Data Source]]="All",LCI_Table[[#This Row],[Data Source]]=SelectedDataSource)</f>
        <v>0</v>
      </c>
      <c r="L2562" s="14" t="b">
        <f>TRUE</f>
        <v>1</v>
      </c>
      <c r="M2562" s="14" t="b">
        <f>(LCI_Table[[#This Row],[Dev Notes]]="Do not display")</f>
        <v>0</v>
      </c>
      <c r="N2562" s="14" t="b">
        <f>AND(LCI_Table[[#This Row],[Show Feedstock]:[Conditional]],NOT(LCI_Table[[#This Row],[Hide Row]]))</f>
        <v>0</v>
      </c>
      <c r="O2562" s="14" t="b">
        <f>LCI_Table[[#This Row],[GREET1 Name Range]]=""</f>
        <v>0</v>
      </c>
      <c r="P2562" s="14" t="s">
        <v>14</v>
      </c>
      <c r="Q2562" s="14" t="s">
        <v>1374</v>
      </c>
      <c r="R2562" s="348" t="s">
        <v>1344</v>
      </c>
      <c r="S2562" s="37" cm="1">
        <f t="array" aca="1" ref="S25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20.9</v>
      </c>
      <c r="T2562" s="346" t="s">
        <v>1345</v>
      </c>
      <c r="U2562" s="347">
        <f ca="1">S2562/100</f>
        <v>0.20899999999999999</v>
      </c>
      <c r="V2562" s="347">
        <v>20.9</v>
      </c>
      <c r="W2562" s="347">
        <v>0.20899999999999999</v>
      </c>
      <c r="X2562" s="14"/>
      <c r="Y2562" s="346" t="s">
        <v>416</v>
      </c>
      <c r="Z2562" s="14" t="str">
        <f>IF(ISBLANK(LCI_Table[[#This Row],[Notes for user]])," ",LCI_Table[[#This Row],[Notes for user]])</f>
        <v>Allocation to molasses (from ICAO supporting document)</v>
      </c>
      <c r="AA2562" s="14" t="s">
        <v>1390</v>
      </c>
      <c r="AB2562" s="14"/>
      <c r="AC2562" s="346">
        <f ca="1">LCI_Table[[#This Row],[Default Calculated Value]]-LCI_Table[[#This Row],[Calculated Value]]</f>
        <v>0</v>
      </c>
    </row>
    <row r="2563" spans="1:29" x14ac:dyDescent="0.3">
      <c r="A25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(GREET)(blank)_Molasses_i_BuOH_ATJ_MolassesMolasses</v>
      </c>
      <c r="B2563" s="377" t="s">
        <v>877</v>
      </c>
      <c r="C2563" s="381" t="s">
        <v>883</v>
      </c>
      <c r="D2563" s="383" t="s">
        <v>194</v>
      </c>
      <c r="E2563" s="384" t="s">
        <v>1335</v>
      </c>
      <c r="F2563" s="375" t="s">
        <v>31</v>
      </c>
      <c r="G2563" s="14" t="b">
        <f>OR(LCI_Table[[#This Row],[Feedstock]]="All",LCI_Table[[#This Row],[Feedstock]]=SelectedFeedstock)</f>
        <v>0</v>
      </c>
      <c r="H2563" s="14" t="b">
        <f>OR(LCI_Table[[#This Row],[Conversion]]="All",LCI_Table[[#This Row],[Conversion]]=SelectedConversion)</f>
        <v>0</v>
      </c>
      <c r="I2563" s="14" t="b">
        <f>OR(LCI_Table[[#This Row],[Data Set]]="all",LCI_Table[[#This Row],[Data Set]]=SelectedDataSet)</f>
        <v>0</v>
      </c>
      <c r="J2563" s="14" t="b">
        <f>OR(LCI_Table[[#This Row],[Technology]]="All",LCI_Table[[#This Row],[Technology]]=SelectedTechnology)</f>
        <v>1</v>
      </c>
      <c r="K2563" s="14" t="b">
        <f>OR(LCI_Table[[#This Row],[Data Source]]="All",LCI_Table[[#This Row],[Data Source]]=SelectedDataSource)</f>
        <v>0</v>
      </c>
      <c r="L2563" s="14" t="b">
        <f>TRUE</f>
        <v>1</v>
      </c>
      <c r="M2563" s="14" t="b">
        <f>(LCI_Table[[#This Row],[Dev Notes]]="Do not display")</f>
        <v>0</v>
      </c>
      <c r="N2563" s="14" t="b">
        <f>AND(LCI_Table[[#This Row],[Show Feedstock]:[Conditional]],NOT(LCI_Table[[#This Row],[Hide Row]]))</f>
        <v>0</v>
      </c>
      <c r="O2563" s="14" t="b">
        <f>LCI_Table[[#This Row],[GREET1 Name Range]]=""</f>
        <v>0</v>
      </c>
      <c r="P2563" s="387" t="s">
        <v>1448</v>
      </c>
      <c r="Q2563" s="14" t="s">
        <v>1375</v>
      </c>
      <c r="R2563" s="14" t="s">
        <v>877</v>
      </c>
      <c r="S2563" s="37" cm="1">
        <f t="array" aca="1" ref="S25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7853.1393685884896</v>
      </c>
      <c r="T2563" s="346" t="s">
        <v>2119</v>
      </c>
      <c r="U2563" s="347">
        <f ca="1">S2563*lb2kg/mmBTU2MJ</f>
        <v>3.3762422132803271</v>
      </c>
      <c r="V2563" s="347">
        <v>7853.1393685884896</v>
      </c>
      <c r="W2563" s="347">
        <v>3.3762422132803271</v>
      </c>
      <c r="X2563" s="14" t="s">
        <v>12</v>
      </c>
      <c r="Y2563" s="346" t="s">
        <v>416</v>
      </c>
      <c r="Z2563" s="14" t="str">
        <f>IF(ISBLANK(LCI_Table[[#This Row],[Notes for user]])," ",LCI_Table[[#This Row],[Notes for user]])</f>
        <v xml:space="preserve"> </v>
      </c>
      <c r="AA2563" s="14"/>
      <c r="AB2563" s="358"/>
      <c r="AC2563" s="346">
        <f ca="1">LCI_Table[[#This Row],[Default Calculated Value]]-LCI_Table[[#This Row],[Calculated Value]]</f>
        <v>0</v>
      </c>
    </row>
    <row r="2564" spans="1:29" x14ac:dyDescent="0.3">
      <c r="A25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(GREET)(blank)_Molasses_i_BuOH_ATJ_Lime_CaOLime (CaO)</v>
      </c>
      <c r="B2564" s="377" t="s">
        <v>877</v>
      </c>
      <c r="C2564" s="381" t="s">
        <v>883</v>
      </c>
      <c r="D2564" s="383" t="s">
        <v>194</v>
      </c>
      <c r="E2564" s="384" t="s">
        <v>1335</v>
      </c>
      <c r="F2564" s="375" t="s">
        <v>31</v>
      </c>
      <c r="G2564" s="14" t="b">
        <f>OR(LCI_Table[[#This Row],[Feedstock]]="All",LCI_Table[[#This Row],[Feedstock]]=SelectedFeedstock)</f>
        <v>0</v>
      </c>
      <c r="H2564" s="14" t="b">
        <f>OR(LCI_Table[[#This Row],[Conversion]]="All",LCI_Table[[#This Row],[Conversion]]=SelectedConversion)</f>
        <v>0</v>
      </c>
      <c r="I2564" s="14" t="b">
        <f>OR(LCI_Table[[#This Row],[Data Set]]="all",LCI_Table[[#This Row],[Data Set]]=SelectedDataSet)</f>
        <v>0</v>
      </c>
      <c r="J2564" s="14" t="b">
        <f>OR(LCI_Table[[#This Row],[Technology]]="All",LCI_Table[[#This Row],[Technology]]=SelectedTechnology)</f>
        <v>1</v>
      </c>
      <c r="K2564" s="14" t="b">
        <f>OR(LCI_Table[[#This Row],[Data Source]]="All",LCI_Table[[#This Row],[Data Source]]=SelectedDataSource)</f>
        <v>0</v>
      </c>
      <c r="L2564" s="14" t="b">
        <f>TRUE</f>
        <v>1</v>
      </c>
      <c r="M2564" s="14" t="b">
        <f>(LCI_Table[[#This Row],[Dev Notes]]="Do not display")</f>
        <v>0</v>
      </c>
      <c r="N2564" s="14" t="b">
        <f>AND(LCI_Table[[#This Row],[Show Feedstock]:[Conditional]],NOT(LCI_Table[[#This Row],[Hide Row]]))</f>
        <v>0</v>
      </c>
      <c r="O2564" s="14" t="b">
        <f>LCI_Table[[#This Row],[GREET1 Name Range]]=""</f>
        <v>0</v>
      </c>
      <c r="P2564" s="387" t="s">
        <v>1448</v>
      </c>
      <c r="Q2564" s="14" t="s">
        <v>1376</v>
      </c>
      <c r="R2564" s="14" t="s">
        <v>900</v>
      </c>
      <c r="S2564" s="37" cm="1">
        <f t="array" aca="1" ref="S25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0.11185733972222704</v>
      </c>
      <c r="T2564" s="346" t="s">
        <v>2119</v>
      </c>
      <c r="U2564" s="347">
        <f t="shared" ref="U2564" ca="1" si="177">S2564*lb2g/mmBTU2MJ</f>
        <v>4.8090000000000105E-2</v>
      </c>
      <c r="V2564" s="347">
        <v>0.11185733972222704</v>
      </c>
      <c r="W2564" s="347">
        <v>4.8090000000000105E-2</v>
      </c>
      <c r="X2564" s="14" t="s">
        <v>12</v>
      </c>
      <c r="Y2564" s="346" t="s">
        <v>416</v>
      </c>
      <c r="Z2564" s="14" t="str">
        <f>IF(ISBLANK(LCI_Table[[#This Row],[Notes for user]])," ",LCI_Table[[#This Row],[Notes for user]])</f>
        <v xml:space="preserve"> </v>
      </c>
      <c r="AA2564" s="14"/>
      <c r="AB2564" s="14"/>
      <c r="AC2564" s="346">
        <f ca="1">LCI_Table[[#This Row],[Default Calculated Value]]-LCI_Table[[#This Row],[Calculated Value]]</f>
        <v>0</v>
      </c>
    </row>
    <row r="2565" spans="1:29" x14ac:dyDescent="0.3">
      <c r="A25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(GREET)(blank)_Molasses_i_BuOH_ATJ_Sulfuric_acidSulfuric acid</v>
      </c>
      <c r="B2565" s="377" t="s">
        <v>877</v>
      </c>
      <c r="C2565" s="381" t="s">
        <v>883</v>
      </c>
      <c r="D2565" s="383" t="s">
        <v>194</v>
      </c>
      <c r="E2565" s="384" t="s">
        <v>1335</v>
      </c>
      <c r="F2565" s="375" t="s">
        <v>31</v>
      </c>
      <c r="G2565" s="14" t="b">
        <f>OR(LCI_Table[[#This Row],[Feedstock]]="All",LCI_Table[[#This Row],[Feedstock]]=SelectedFeedstock)</f>
        <v>0</v>
      </c>
      <c r="H2565" s="14" t="b">
        <f>OR(LCI_Table[[#This Row],[Conversion]]="All",LCI_Table[[#This Row],[Conversion]]=SelectedConversion)</f>
        <v>0</v>
      </c>
      <c r="I2565" s="14" t="b">
        <f>OR(LCI_Table[[#This Row],[Data Set]]="all",LCI_Table[[#This Row],[Data Set]]=SelectedDataSet)</f>
        <v>0</v>
      </c>
      <c r="J2565" s="14" t="b">
        <f>OR(LCI_Table[[#This Row],[Technology]]="All",LCI_Table[[#This Row],[Technology]]=SelectedTechnology)</f>
        <v>1</v>
      </c>
      <c r="K2565" s="14" t="b">
        <f>OR(LCI_Table[[#This Row],[Data Source]]="All",LCI_Table[[#This Row],[Data Source]]=SelectedDataSource)</f>
        <v>0</v>
      </c>
      <c r="L2565" s="14" t="b">
        <f>TRUE</f>
        <v>1</v>
      </c>
      <c r="M2565" s="14" t="b">
        <f>(LCI_Table[[#This Row],[Dev Notes]]="Do not display")</f>
        <v>0</v>
      </c>
      <c r="N2565" s="14" t="b">
        <f>AND(LCI_Table[[#This Row],[Show Feedstock]:[Conditional]],NOT(LCI_Table[[#This Row],[Hide Row]]))</f>
        <v>0</v>
      </c>
      <c r="O2565" s="14" t="b">
        <f>LCI_Table[[#This Row],[GREET1 Name Range]]=""</f>
        <v>0</v>
      </c>
      <c r="P2565" s="387" t="s">
        <v>1448</v>
      </c>
      <c r="Q2565" s="14" t="s">
        <v>1377</v>
      </c>
      <c r="R2565" s="14" t="s">
        <v>384</v>
      </c>
      <c r="S2565" s="37" cm="1">
        <f t="array" aca="1" ref="S25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3.5180284712637539E-5</v>
      </c>
      <c r="T2565" s="346" t="s">
        <v>2119</v>
      </c>
      <c r="U2565" s="347">
        <f t="shared" ref="U2565" ca="1" si="178">S2565*lb2g/mmBTU2MJ</f>
        <v>1.5124800000000028E-5</v>
      </c>
      <c r="V2565" s="347">
        <v>3.5180284712637539E-5</v>
      </c>
      <c r="W2565" s="347">
        <v>1.5124800000000028E-5</v>
      </c>
      <c r="X2565" s="14" t="s">
        <v>12</v>
      </c>
      <c r="Y2565" s="346" t="s">
        <v>416</v>
      </c>
      <c r="Z2565" s="14" t="str">
        <f>IF(ISBLANK(LCI_Table[[#This Row],[Notes for user]])," ",LCI_Table[[#This Row],[Notes for user]])</f>
        <v xml:space="preserve"> </v>
      </c>
      <c r="AA2565" s="14"/>
      <c r="AB2565" s="14"/>
      <c r="AC2565" s="346">
        <f ca="1">LCI_Table[[#This Row],[Default Calculated Value]]-LCI_Table[[#This Row],[Calculated Value]]</f>
        <v>0</v>
      </c>
    </row>
    <row r="2566" spans="1:29" x14ac:dyDescent="0.3">
      <c r="A25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(GREET)(blank)_Molasses_i_BuOH_ATJ_UreaUrea</v>
      </c>
      <c r="B2566" s="377" t="s">
        <v>877</v>
      </c>
      <c r="C2566" s="381" t="s">
        <v>883</v>
      </c>
      <c r="D2566" s="383" t="s">
        <v>194</v>
      </c>
      <c r="E2566" s="384" t="s">
        <v>1335</v>
      </c>
      <c r="F2566" s="375" t="s">
        <v>31</v>
      </c>
      <c r="G2566" s="14" t="b">
        <f>OR(LCI_Table[[#This Row],[Feedstock]]="All",LCI_Table[[#This Row],[Feedstock]]=SelectedFeedstock)</f>
        <v>0</v>
      </c>
      <c r="H2566" s="14" t="b">
        <f>OR(LCI_Table[[#This Row],[Conversion]]="All",LCI_Table[[#This Row],[Conversion]]=SelectedConversion)</f>
        <v>0</v>
      </c>
      <c r="I2566" s="14" t="b">
        <f>OR(LCI_Table[[#This Row],[Data Set]]="all",LCI_Table[[#This Row],[Data Set]]=SelectedDataSet)</f>
        <v>0</v>
      </c>
      <c r="J2566" s="14" t="b">
        <f>OR(LCI_Table[[#This Row],[Technology]]="All",LCI_Table[[#This Row],[Technology]]=SelectedTechnology)</f>
        <v>1</v>
      </c>
      <c r="K2566" s="14" t="b">
        <f>OR(LCI_Table[[#This Row],[Data Source]]="All",LCI_Table[[#This Row],[Data Source]]=SelectedDataSource)</f>
        <v>0</v>
      </c>
      <c r="L2566" s="14" t="b">
        <f>TRUE</f>
        <v>1</v>
      </c>
      <c r="M2566" s="14" t="b">
        <f>(LCI_Table[[#This Row],[Dev Notes]]="Do not display")</f>
        <v>0</v>
      </c>
      <c r="N2566" s="14" t="b">
        <f>AND(LCI_Table[[#This Row],[Show Feedstock]:[Conditional]],NOT(LCI_Table[[#This Row],[Hide Row]]))</f>
        <v>0</v>
      </c>
      <c r="O2566" s="14" t="b">
        <f>LCI_Table[[#This Row],[GREET1 Name Range]]=""</f>
        <v>0</v>
      </c>
      <c r="P2566" s="387" t="s">
        <v>1448</v>
      </c>
      <c r="Q2566" s="14" t="s">
        <v>1378</v>
      </c>
      <c r="R2566" s="14" t="s">
        <v>144</v>
      </c>
      <c r="S2566" s="37" cm="1">
        <f t="array" aca="1" ref="S25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9.4900799764334864E-3</v>
      </c>
      <c r="T2566" s="346" t="s">
        <v>2119</v>
      </c>
      <c r="U2566" s="347">
        <f t="shared" ref="U2566" ca="1" si="179">S2566*lb2g/mmBTU2MJ</f>
        <v>4.080000000000009E-3</v>
      </c>
      <c r="V2566" s="347">
        <v>9.4900799764334864E-3</v>
      </c>
      <c r="W2566" s="347">
        <v>4.080000000000009E-3</v>
      </c>
      <c r="X2566" s="14" t="s">
        <v>12</v>
      </c>
      <c r="Y2566" s="346" t="s">
        <v>416</v>
      </c>
      <c r="Z2566" s="14" t="str">
        <f>IF(ISBLANK(LCI_Table[[#This Row],[Notes for user]])," ",LCI_Table[[#This Row],[Notes for user]])</f>
        <v xml:space="preserve"> </v>
      </c>
      <c r="AA2566" s="14"/>
      <c r="AB2566" s="14"/>
      <c r="AC2566" s="346">
        <f ca="1">LCI_Table[[#This Row],[Default Calculated Value]]-LCI_Table[[#This Row],[Calculated Value]]</f>
        <v>0</v>
      </c>
    </row>
    <row r="2567" spans="1:29" x14ac:dyDescent="0.3">
      <c r="A25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(GREET)(blank)_Molasses_i_BuOH_ATJ_YeastYeast</v>
      </c>
      <c r="B2567" s="377" t="s">
        <v>877</v>
      </c>
      <c r="C2567" s="381" t="s">
        <v>883</v>
      </c>
      <c r="D2567" s="383" t="s">
        <v>194</v>
      </c>
      <c r="E2567" s="384" t="s">
        <v>1335</v>
      </c>
      <c r="F2567" s="375" t="s">
        <v>31</v>
      </c>
      <c r="G2567" s="14" t="b">
        <f>OR(LCI_Table[[#This Row],[Feedstock]]="All",LCI_Table[[#This Row],[Feedstock]]=SelectedFeedstock)</f>
        <v>0</v>
      </c>
      <c r="H2567" s="14" t="b">
        <f>OR(LCI_Table[[#This Row],[Conversion]]="All",LCI_Table[[#This Row],[Conversion]]=SelectedConversion)</f>
        <v>0</v>
      </c>
      <c r="I2567" s="14" t="b">
        <f>OR(LCI_Table[[#This Row],[Data Set]]="all",LCI_Table[[#This Row],[Data Set]]=SelectedDataSet)</f>
        <v>0</v>
      </c>
      <c r="J2567" s="14" t="b">
        <f>OR(LCI_Table[[#This Row],[Technology]]="All",LCI_Table[[#This Row],[Technology]]=SelectedTechnology)</f>
        <v>1</v>
      </c>
      <c r="K2567" s="14" t="b">
        <f>OR(LCI_Table[[#This Row],[Data Source]]="All",LCI_Table[[#This Row],[Data Source]]=SelectedDataSource)</f>
        <v>0</v>
      </c>
      <c r="L2567" s="14" t="b">
        <f>TRUE</f>
        <v>1</v>
      </c>
      <c r="M2567" s="14" t="b">
        <f>(LCI_Table[[#This Row],[Dev Notes]]="Do not display")</f>
        <v>0</v>
      </c>
      <c r="N2567" s="14" t="b">
        <f>AND(LCI_Table[[#This Row],[Show Feedstock]:[Conditional]],NOT(LCI_Table[[#This Row],[Hide Row]]))</f>
        <v>0</v>
      </c>
      <c r="O2567" s="14" t="b">
        <f>LCI_Table[[#This Row],[GREET1 Name Range]]=""</f>
        <v>0</v>
      </c>
      <c r="P2567" s="387" t="s">
        <v>1448</v>
      </c>
      <c r="Q2567" s="14" t="s">
        <v>1379</v>
      </c>
      <c r="R2567" s="14" t="s">
        <v>145</v>
      </c>
      <c r="S2567" s="37" cm="1">
        <f t="array" aca="1" ref="S25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8.7224999783396002E-3</v>
      </c>
      <c r="T2567" s="346" t="s">
        <v>2119</v>
      </c>
      <c r="U2567" s="347">
        <f t="shared" ref="U2567" ca="1" si="180">S2567*lb2g/mmBTU2MJ</f>
        <v>3.7500000000000077E-3</v>
      </c>
      <c r="V2567" s="347">
        <v>8.7224999783396002E-3</v>
      </c>
      <c r="W2567" s="347">
        <v>3.7500000000000077E-3</v>
      </c>
      <c r="X2567" s="14" t="s">
        <v>12</v>
      </c>
      <c r="Y2567" s="346" t="s">
        <v>416</v>
      </c>
      <c r="Z2567" s="14" t="str">
        <f>IF(ISBLANK(LCI_Table[[#This Row],[Notes for user]])," ",LCI_Table[[#This Row],[Notes for user]])</f>
        <v xml:space="preserve"> </v>
      </c>
      <c r="AA2567" s="14"/>
      <c r="AB2567" s="14"/>
      <c r="AC2567" s="346">
        <f ca="1">LCI_Table[[#This Row],[Default Calculated Value]]-LCI_Table[[#This Row],[Calculated Value]]</f>
        <v>0</v>
      </c>
    </row>
    <row r="2568" spans="1:29" x14ac:dyDescent="0.3">
      <c r="A25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(GREET)(blank)_Molasses_i_BuOH_ATJ_NaOHNaOH</v>
      </c>
      <c r="B2568" s="377" t="s">
        <v>877</v>
      </c>
      <c r="C2568" s="381" t="s">
        <v>883</v>
      </c>
      <c r="D2568" s="383" t="s">
        <v>194</v>
      </c>
      <c r="E2568" s="384" t="s">
        <v>1335</v>
      </c>
      <c r="F2568" s="375" t="s">
        <v>31</v>
      </c>
      <c r="G2568" s="14" t="b">
        <f>OR(LCI_Table[[#This Row],[Feedstock]]="All",LCI_Table[[#This Row],[Feedstock]]=SelectedFeedstock)</f>
        <v>0</v>
      </c>
      <c r="H2568" s="14" t="b">
        <f>OR(LCI_Table[[#This Row],[Conversion]]="All",LCI_Table[[#This Row],[Conversion]]=SelectedConversion)</f>
        <v>0</v>
      </c>
      <c r="I2568" s="14" t="b">
        <f>OR(LCI_Table[[#This Row],[Data Set]]="all",LCI_Table[[#This Row],[Data Set]]=SelectedDataSet)</f>
        <v>0</v>
      </c>
      <c r="J2568" s="14" t="b">
        <f>OR(LCI_Table[[#This Row],[Technology]]="All",LCI_Table[[#This Row],[Technology]]=SelectedTechnology)</f>
        <v>1</v>
      </c>
      <c r="K2568" s="14" t="b">
        <f>OR(LCI_Table[[#This Row],[Data Source]]="All",LCI_Table[[#This Row],[Data Source]]=SelectedDataSource)</f>
        <v>0</v>
      </c>
      <c r="L2568" s="14" t="b">
        <f>TRUE</f>
        <v>1</v>
      </c>
      <c r="M2568" s="14" t="b">
        <f>(LCI_Table[[#This Row],[Dev Notes]]="Do not display")</f>
        <v>0</v>
      </c>
      <c r="N2568" s="14" t="b">
        <f>AND(LCI_Table[[#This Row],[Show Feedstock]:[Conditional]],NOT(LCI_Table[[#This Row],[Hide Row]]))</f>
        <v>0</v>
      </c>
      <c r="O2568" s="14" t="b">
        <f>LCI_Table[[#This Row],[GREET1 Name Range]]=""</f>
        <v>0</v>
      </c>
      <c r="P2568" s="387" t="s">
        <v>1448</v>
      </c>
      <c r="Q2568" s="14" t="s">
        <v>1380</v>
      </c>
      <c r="R2568" s="358" t="s">
        <v>403</v>
      </c>
      <c r="S2568" s="37" cm="1">
        <f t="array" aca="1" ref="S25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5.1637199871770435E-2</v>
      </c>
      <c r="T2568" s="346" t="s">
        <v>2119</v>
      </c>
      <c r="U2568" s="347">
        <f t="shared" ref="U2568" ca="1" si="181">S2568*lb2g/mmBTU2MJ</f>
        <v>2.2200000000000046E-2</v>
      </c>
      <c r="V2568" s="347">
        <v>5.1637199871770435E-2</v>
      </c>
      <c r="W2568" s="347">
        <v>2.2200000000000046E-2</v>
      </c>
      <c r="X2568" s="14" t="s">
        <v>12</v>
      </c>
      <c r="Y2568" s="346" t="s">
        <v>416</v>
      </c>
      <c r="Z2568" s="14" t="str">
        <f>IF(ISBLANK(LCI_Table[[#This Row],[Notes for user]])," ",LCI_Table[[#This Row],[Notes for user]])</f>
        <v xml:space="preserve"> </v>
      </c>
      <c r="AA2568" s="14"/>
      <c r="AB2568" s="358"/>
      <c r="AC2568" s="346">
        <f ca="1">LCI_Table[[#This Row],[Default Calculated Value]]-LCI_Table[[#This Row],[Calculated Value]]</f>
        <v>0</v>
      </c>
    </row>
    <row r="2569" spans="1:29" x14ac:dyDescent="0.3">
      <c r="A25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(GREET)(blank)_Molasses_i_BuOH_ATJ_Magnesium_sulfateMagnesium_sulfate</v>
      </c>
      <c r="B2569" s="377" t="s">
        <v>877</v>
      </c>
      <c r="C2569" s="381" t="s">
        <v>883</v>
      </c>
      <c r="D2569" s="383" t="s">
        <v>194</v>
      </c>
      <c r="E2569" s="384" t="s">
        <v>1335</v>
      </c>
      <c r="F2569" s="375" t="s">
        <v>31</v>
      </c>
      <c r="G2569" s="14" t="b">
        <f>OR(LCI_Table[[#This Row],[Feedstock]]="All",LCI_Table[[#This Row],[Feedstock]]=SelectedFeedstock)</f>
        <v>0</v>
      </c>
      <c r="H2569" s="14" t="b">
        <f>OR(LCI_Table[[#This Row],[Conversion]]="All",LCI_Table[[#This Row],[Conversion]]=SelectedConversion)</f>
        <v>0</v>
      </c>
      <c r="I2569" s="14" t="b">
        <f>OR(LCI_Table[[#This Row],[Data Set]]="all",LCI_Table[[#This Row],[Data Set]]=SelectedDataSet)</f>
        <v>0</v>
      </c>
      <c r="J2569" s="14" t="b">
        <f>OR(LCI_Table[[#This Row],[Technology]]="All",LCI_Table[[#This Row],[Technology]]=SelectedTechnology)</f>
        <v>1</v>
      </c>
      <c r="K2569" s="14" t="b">
        <f>OR(LCI_Table[[#This Row],[Data Source]]="All",LCI_Table[[#This Row],[Data Source]]=SelectedDataSource)</f>
        <v>0</v>
      </c>
      <c r="L2569" s="14" t="b">
        <f>TRUE</f>
        <v>1</v>
      </c>
      <c r="M2569" s="14" t="b">
        <f>(LCI_Table[[#This Row],[Dev Notes]]="Do not display")</f>
        <v>0</v>
      </c>
      <c r="N2569" s="14" t="b">
        <f>AND(LCI_Table[[#This Row],[Show Feedstock]:[Conditional]],NOT(LCI_Table[[#This Row],[Hide Row]]))</f>
        <v>0</v>
      </c>
      <c r="O2569" s="14" t="b">
        <f>LCI_Table[[#This Row],[GREET1 Name Range]]=""</f>
        <v>0</v>
      </c>
      <c r="P2569" s="14" t="s">
        <v>1448</v>
      </c>
      <c r="Q2569" s="14" t="s">
        <v>1381</v>
      </c>
      <c r="R2569" s="14" t="s">
        <v>1388</v>
      </c>
      <c r="S2569" s="37" cm="1">
        <f t="array" aca="1" ref="S25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3.2726819918730179E-2</v>
      </c>
      <c r="T2569" s="346" t="s">
        <v>2119</v>
      </c>
      <c r="U2569" s="347">
        <f t="shared" ref="U2569" ca="1" si="182">S2569*lb2g/mmBTU2MJ</f>
        <v>1.4070000000000029E-2</v>
      </c>
      <c r="V2569" s="347">
        <v>3.2726819918730179E-2</v>
      </c>
      <c r="W2569" s="347">
        <v>1.4070000000000029E-2</v>
      </c>
      <c r="X2569" s="14" t="s">
        <v>12</v>
      </c>
      <c r="Y2569" s="346" t="s">
        <v>416</v>
      </c>
      <c r="Z2569" s="14" t="str">
        <f>IF(ISBLANK(LCI_Table[[#This Row],[Notes for user]])," ",LCI_Table[[#This Row],[Notes for user]])</f>
        <v xml:space="preserve"> </v>
      </c>
      <c r="AA2569" s="14"/>
      <c r="AB2569" s="14"/>
      <c r="AC2569" s="346">
        <f ca="1">LCI_Table[[#This Row],[Default Calculated Value]]-LCI_Table[[#This Row],[Calculated Value]]</f>
        <v>0</v>
      </c>
    </row>
    <row r="2570" spans="1:29" x14ac:dyDescent="0.3">
      <c r="A25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(GREET)(blank)_Molasses_i_BuOH_ATJ_ChlorineChlorine</v>
      </c>
      <c r="B2570" s="377" t="s">
        <v>877</v>
      </c>
      <c r="C2570" s="382" t="s">
        <v>883</v>
      </c>
      <c r="D2570" s="385" t="s">
        <v>194</v>
      </c>
      <c r="E2570" s="386" t="s">
        <v>1335</v>
      </c>
      <c r="F2570" s="181" t="s">
        <v>31</v>
      </c>
      <c r="G2570" s="14" t="b">
        <f>OR(LCI_Table[[#This Row],[Feedstock]]="All",LCI_Table[[#This Row],[Feedstock]]=SelectedFeedstock)</f>
        <v>0</v>
      </c>
      <c r="H2570" s="14" t="b">
        <f>OR(LCI_Table[[#This Row],[Conversion]]="All",LCI_Table[[#This Row],[Conversion]]=SelectedConversion)</f>
        <v>0</v>
      </c>
      <c r="I2570" s="14" t="b">
        <f>OR(LCI_Table[[#This Row],[Data Set]]="all",LCI_Table[[#This Row],[Data Set]]=SelectedDataSet)</f>
        <v>0</v>
      </c>
      <c r="J2570" s="14" t="b">
        <f>OR(LCI_Table[[#This Row],[Technology]]="All",LCI_Table[[#This Row],[Technology]]=SelectedTechnology)</f>
        <v>1</v>
      </c>
      <c r="K2570" s="14" t="b">
        <f>OR(LCI_Table[[#This Row],[Data Source]]="All",LCI_Table[[#This Row],[Data Source]]=SelectedDataSource)</f>
        <v>0</v>
      </c>
      <c r="L2570" s="14" t="b">
        <f>TRUE</f>
        <v>1</v>
      </c>
      <c r="M2570" s="14" t="b">
        <f>(LCI_Table[[#This Row],[Dev Notes]]="Do not display")</f>
        <v>0</v>
      </c>
      <c r="N2570" s="14" t="b">
        <f>AND(LCI_Table[[#This Row],[Show Feedstock]:[Conditional]],NOT(LCI_Table[[#This Row],[Hide Row]]))</f>
        <v>0</v>
      </c>
      <c r="O2570" s="14" t="b">
        <f>LCI_Table[[#This Row],[GREET1 Name Range]]=""</f>
        <v>0</v>
      </c>
      <c r="P2570" s="14" t="s">
        <v>1448</v>
      </c>
      <c r="Q2570" s="14" t="s">
        <v>1382</v>
      </c>
      <c r="R2570" s="14" t="s">
        <v>1389</v>
      </c>
      <c r="S2570" s="37" cm="1">
        <f t="array" aca="1" ref="S25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3.2726819918730179E-2</v>
      </c>
      <c r="T2570" s="346" t="s">
        <v>2119</v>
      </c>
      <c r="U2570" s="347">
        <f t="shared" ref="U2570" ca="1" si="183">S2570*lb2g/mmBTU2MJ</f>
        <v>1.4070000000000029E-2</v>
      </c>
      <c r="V2570" s="376">
        <v>3.2726819918730179E-2</v>
      </c>
      <c r="W2570" s="376">
        <v>1.4070000000000029E-2</v>
      </c>
      <c r="X2570" s="14" t="s">
        <v>12</v>
      </c>
      <c r="Y2570" s="346" t="s">
        <v>416</v>
      </c>
      <c r="Z2570" s="14" t="str">
        <f>IF(ISBLANK(LCI_Table[[#This Row],[Notes for user]])," ",LCI_Table[[#This Row],[Notes for user]])</f>
        <v xml:space="preserve"> </v>
      </c>
      <c r="AA2570" s="14"/>
      <c r="AB2570" s="14"/>
      <c r="AC2570" s="346">
        <f ca="1">LCI_Table[[#This Row],[Default Calculated Value]]-LCI_Table[[#This Row],[Calculated Value]]</f>
        <v>0</v>
      </c>
    </row>
    <row r="2571" spans="1:29" x14ac:dyDescent="0.3">
      <c r="A25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(GREET)(blank)_Molasses_i_BuOH_ATJ_ZincZinc</v>
      </c>
      <c r="B2571" s="377" t="s">
        <v>877</v>
      </c>
      <c r="C2571" s="382" t="s">
        <v>883</v>
      </c>
      <c r="D2571" s="385" t="s">
        <v>194</v>
      </c>
      <c r="E2571" s="386" t="s">
        <v>1335</v>
      </c>
      <c r="F2571" s="181" t="s">
        <v>31</v>
      </c>
      <c r="G2571" s="14" t="b">
        <f>OR(LCI_Table[[#This Row],[Feedstock]]="All",LCI_Table[[#This Row],[Feedstock]]=SelectedFeedstock)</f>
        <v>0</v>
      </c>
      <c r="H2571" s="14" t="b">
        <f>OR(LCI_Table[[#This Row],[Conversion]]="All",LCI_Table[[#This Row],[Conversion]]=SelectedConversion)</f>
        <v>0</v>
      </c>
      <c r="I2571" s="14" t="b">
        <f>OR(LCI_Table[[#This Row],[Data Set]]="all",LCI_Table[[#This Row],[Data Set]]=SelectedDataSet)</f>
        <v>0</v>
      </c>
      <c r="J2571" s="14" t="b">
        <f>OR(LCI_Table[[#This Row],[Technology]]="All",LCI_Table[[#This Row],[Technology]]=SelectedTechnology)</f>
        <v>1</v>
      </c>
      <c r="K2571" s="14" t="b">
        <f>OR(LCI_Table[[#This Row],[Data Source]]="All",LCI_Table[[#This Row],[Data Source]]=SelectedDataSource)</f>
        <v>0</v>
      </c>
      <c r="L2571" s="14" t="b">
        <f>TRUE</f>
        <v>1</v>
      </c>
      <c r="M2571" s="14" t="b">
        <f>(LCI_Table[[#This Row],[Dev Notes]]="Do not display")</f>
        <v>0</v>
      </c>
      <c r="N2571" s="14" t="b">
        <f>AND(LCI_Table[[#This Row],[Show Feedstock]:[Conditional]],NOT(LCI_Table[[#This Row],[Hide Row]]))</f>
        <v>0</v>
      </c>
      <c r="O2571" s="14" t="b">
        <f>LCI_Table[[#This Row],[GREET1 Name Range]]=""</f>
        <v>0</v>
      </c>
      <c r="P2571" s="14" t="s">
        <v>1448</v>
      </c>
      <c r="Q2571" s="14" t="s">
        <v>1383</v>
      </c>
      <c r="R2571" s="14" t="s">
        <v>1386</v>
      </c>
      <c r="S2571" s="37" cm="1">
        <f t="array" aca="1" ref="S25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1.0327439974354088E-2</v>
      </c>
      <c r="T2571" s="346" t="s">
        <v>2119</v>
      </c>
      <c r="U2571" s="347">
        <f t="shared" ref="U2571" ca="1" si="184">S2571*lb2g/mmBTU2MJ</f>
        <v>4.4400000000000099E-3</v>
      </c>
      <c r="V2571" s="347">
        <v>1.0327439974354088E-2</v>
      </c>
      <c r="W2571" s="347">
        <v>4.4400000000000099E-3</v>
      </c>
      <c r="X2571" s="14" t="s">
        <v>12</v>
      </c>
      <c r="Y2571" s="346" t="s">
        <v>416</v>
      </c>
      <c r="Z2571" s="14" t="str">
        <f>IF(ISBLANK(LCI_Table[[#This Row],[Notes for user]])," ",LCI_Table[[#This Row],[Notes for user]])</f>
        <v xml:space="preserve"> </v>
      </c>
      <c r="AA2571" s="14"/>
      <c r="AB2571" s="14"/>
      <c r="AC2571" s="346">
        <f ca="1">LCI_Table[[#This Row],[Default Calculated Value]]-LCI_Table[[#This Row],[Calculated Value]]</f>
        <v>0</v>
      </c>
    </row>
    <row r="2572" spans="1:29" x14ac:dyDescent="0.3">
      <c r="A25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(GREET)(blank)_Molasses_i_BuOH_ATJ_HydrogenHydrogen</v>
      </c>
      <c r="B2572" s="377" t="s">
        <v>877</v>
      </c>
      <c r="C2572" s="382" t="s">
        <v>883</v>
      </c>
      <c r="D2572" s="385" t="s">
        <v>194</v>
      </c>
      <c r="E2572" s="386" t="s">
        <v>1335</v>
      </c>
      <c r="F2572" s="181" t="s">
        <v>31</v>
      </c>
      <c r="G2572" s="14" t="b">
        <f>OR(LCI_Table[[#This Row],[Feedstock]]="All",LCI_Table[[#This Row],[Feedstock]]=SelectedFeedstock)</f>
        <v>0</v>
      </c>
      <c r="H2572" s="14" t="b">
        <f>OR(LCI_Table[[#This Row],[Conversion]]="All",LCI_Table[[#This Row],[Conversion]]=SelectedConversion)</f>
        <v>0</v>
      </c>
      <c r="I2572" s="14" t="b">
        <f>OR(LCI_Table[[#This Row],[Data Set]]="all",LCI_Table[[#This Row],[Data Set]]=SelectedDataSet)</f>
        <v>0</v>
      </c>
      <c r="J2572" s="14" t="b">
        <f>OR(LCI_Table[[#This Row],[Technology]]="All",LCI_Table[[#This Row],[Technology]]=SelectedTechnology)</f>
        <v>1</v>
      </c>
      <c r="K2572" s="14" t="b">
        <f>OR(LCI_Table[[#This Row],[Data Source]]="All",LCI_Table[[#This Row],[Data Source]]=SelectedDataSource)</f>
        <v>0</v>
      </c>
      <c r="L2572" s="14" t="b">
        <f>TRUE</f>
        <v>1</v>
      </c>
      <c r="M2572" s="14" t="b">
        <f>(LCI_Table[[#This Row],[Dev Notes]]="Do not display")</f>
        <v>0</v>
      </c>
      <c r="N2572" s="14" t="b">
        <f>AND(LCI_Table[[#This Row],[Show Feedstock]:[Conditional]],NOT(LCI_Table[[#This Row],[Hide Row]]))</f>
        <v>0</v>
      </c>
      <c r="O2572" s="14" t="b">
        <f>LCI_Table[[#This Row],[GREET1 Name Range]]=""</f>
        <v>0</v>
      </c>
      <c r="P2572" s="14" t="s">
        <v>1448</v>
      </c>
      <c r="Q2572" s="14" t="s">
        <v>1384</v>
      </c>
      <c r="R2572" s="14" t="s">
        <v>73</v>
      </c>
      <c r="S2572" s="37" cm="1">
        <f t="array" aca="1" ref="S25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12.577920721568614</v>
      </c>
      <c r="T2572" s="346" t="s">
        <v>2120</v>
      </c>
      <c r="U2572" s="376">
        <f ca="1">S2572*Fuel_Specs!$B$81/mmBTU2MJ</f>
        <v>3.4572549019607806</v>
      </c>
      <c r="V2572" s="347">
        <v>12.577920721568614</v>
      </c>
      <c r="W2572" s="347">
        <v>3.4572549019607806</v>
      </c>
      <c r="X2572" s="37" t="s">
        <v>351</v>
      </c>
      <c r="Y2572" s="346" t="s">
        <v>416</v>
      </c>
      <c r="Z2572" s="14" t="str">
        <f>IF(ISBLANK(LCI_Table[[#This Row],[Notes for user]])," ",LCI_Table[[#This Row],[Notes for user]])</f>
        <v xml:space="preserve"> </v>
      </c>
      <c r="AA2572" s="14"/>
      <c r="AB2572" s="14"/>
      <c r="AC2572" s="346">
        <f ca="1">LCI_Table[[#This Row],[Default Calculated Value]]-LCI_Table[[#This Row],[Calculated Value]]</f>
        <v>0</v>
      </c>
    </row>
    <row r="2573" spans="1:29" x14ac:dyDescent="0.3">
      <c r="A25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Molassesi-BuOH ATJICAOMIT (GREET)(blank)_Molasses_i_BuOH_ATJ_Allocation_FactorAllocation Factor</v>
      </c>
      <c r="B2573" s="377" t="s">
        <v>877</v>
      </c>
      <c r="C2573" s="382" t="s">
        <v>883</v>
      </c>
      <c r="D2573" s="385" t="s">
        <v>194</v>
      </c>
      <c r="E2573" s="386" t="s">
        <v>1335</v>
      </c>
      <c r="F2573" s="181" t="s">
        <v>31</v>
      </c>
      <c r="G2573" s="14" t="b">
        <f>OR(LCI_Table[[#This Row],[Feedstock]]="All",LCI_Table[[#This Row],[Feedstock]]=SelectedFeedstock)</f>
        <v>0</v>
      </c>
      <c r="H2573" s="14" t="b">
        <f>OR(LCI_Table[[#This Row],[Conversion]]="All",LCI_Table[[#This Row],[Conversion]]=SelectedConversion)</f>
        <v>0</v>
      </c>
      <c r="I2573" s="14" t="b">
        <f>OR(LCI_Table[[#This Row],[Data Set]]="all",LCI_Table[[#This Row],[Data Set]]=SelectedDataSet)</f>
        <v>0</v>
      </c>
      <c r="J2573" s="14" t="b">
        <f>OR(LCI_Table[[#This Row],[Technology]]="All",LCI_Table[[#This Row],[Technology]]=SelectedTechnology)</f>
        <v>1</v>
      </c>
      <c r="K2573" s="14" t="b">
        <f>OR(LCI_Table[[#This Row],[Data Source]]="All",LCI_Table[[#This Row],[Data Source]]=SelectedDataSource)</f>
        <v>0</v>
      </c>
      <c r="L2573" s="14" t="b">
        <f>TRUE</f>
        <v>1</v>
      </c>
      <c r="M2573" s="14" t="b">
        <f>(LCI_Table[[#This Row],[Dev Notes]]="Do not display")</f>
        <v>0</v>
      </c>
      <c r="N2573" s="14" t="b">
        <f>AND(LCI_Table[[#This Row],[Show Feedstock]:[Conditional]],NOT(LCI_Table[[#This Row],[Hide Row]]))</f>
        <v>0</v>
      </c>
      <c r="O2573" s="14" t="b">
        <f>LCI_Table[[#This Row],[GREET1 Name Range]]=""</f>
        <v>0</v>
      </c>
      <c r="P2573" s="14" t="s">
        <v>1448</v>
      </c>
      <c r="Q2573" s="14" t="s">
        <v>1385</v>
      </c>
      <c r="R2573" s="14" t="s">
        <v>1387</v>
      </c>
      <c r="S2573" s="37" cm="1">
        <f t="array" aca="1" ref="S25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100</v>
      </c>
      <c r="T2573" s="346" t="s">
        <v>1345</v>
      </c>
      <c r="U2573" s="347">
        <f ca="1">S2573/100</f>
        <v>1</v>
      </c>
      <c r="V2573" s="376">
        <v>100</v>
      </c>
      <c r="W2573" s="376">
        <v>1</v>
      </c>
      <c r="X2573" s="14"/>
      <c r="Y2573" s="346" t="s">
        <v>416</v>
      </c>
      <c r="Z2573" s="14" t="str">
        <f>IF(ISBLANK(LCI_Table[[#This Row],[Notes for user]])," ",LCI_Table[[#This Row],[Notes for user]])</f>
        <v xml:space="preserve"> </v>
      </c>
      <c r="AA2573" s="14"/>
      <c r="AB2573" s="14"/>
      <c r="AC2573" s="346">
        <f ca="1">LCI_Table[[#This Row],[Default Calculated Value]]-LCI_Table[[#This Row],[Calculated Value]]</f>
        <v>0</v>
      </c>
    </row>
    <row r="2574" spans="1:29" x14ac:dyDescent="0.3">
      <c r="A25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dash_CornATJ-ethanolICAOJRC(blank)_Yield_Farming</v>
      </c>
      <c r="B2574" s="377" t="s">
        <v>136</v>
      </c>
      <c r="C2574" s="377" t="s">
        <v>1964</v>
      </c>
      <c r="D2574" s="378" t="s">
        <v>194</v>
      </c>
      <c r="E2574" s="379" t="s">
        <v>355</v>
      </c>
      <c r="F2574" s="375" t="s">
        <v>31</v>
      </c>
      <c r="G2574" s="14" t="b">
        <f>OR(LCI_Table[[#This Row],[Feedstock]]="All",LCI_Table[[#This Row],[Feedstock]]=SelectedFeedstock)</f>
        <v>0</v>
      </c>
      <c r="H2574" s="14" t="b">
        <f>OR(LCI_Table[[#This Row],[Conversion]]="All",LCI_Table[[#This Row],[Conversion]]=SelectedConversion)</f>
        <v>0</v>
      </c>
      <c r="I2574" s="14" t="b">
        <f>OR(LCI_Table[[#This Row],[Data Set]]="all",LCI_Table[[#This Row],[Data Set]]=SelectedDataSet)</f>
        <v>0</v>
      </c>
      <c r="J2574" s="14" t="b">
        <f>OR(LCI_Table[[#This Row],[Technology]]="All",LCI_Table[[#This Row],[Technology]]=SelectedTechnology)</f>
        <v>1</v>
      </c>
      <c r="K2574" s="14" t="b">
        <f>OR(LCI_Table[[#This Row],[Data Source]]="All",LCI_Table[[#This Row],[Data Source]]=SelectedDataSource)</f>
        <v>0</v>
      </c>
      <c r="L2574" s="14" t="b">
        <f>TRUE</f>
        <v>1</v>
      </c>
      <c r="M2574" s="14" t="b">
        <f>(LCI_Table[[#This Row],[Dev Notes]]="Do not display")</f>
        <v>0</v>
      </c>
      <c r="N2574" s="14" t="b">
        <f>AND(LCI_Table[[#This Row],[Show Feedstock]:[Conditional]],NOT(LCI_Table[[#This Row],[Hide Row]]))</f>
        <v>0</v>
      </c>
      <c r="O2574" s="14" t="b">
        <f>LCI_Table[[#This Row],[GREET1 Name Range]]=""</f>
        <v>1</v>
      </c>
      <c r="P2574" s="380" t="s">
        <v>14</v>
      </c>
      <c r="Q2574" s="14" t="s">
        <v>361</v>
      </c>
      <c r="R2574" s="48" t="s">
        <v>200</v>
      </c>
      <c r="S2574" s="37" cm="1">
        <f t="array" aca="1" ref="S25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178.4</v>
      </c>
      <c r="T2574" s="346" t="s">
        <v>2148</v>
      </c>
      <c r="U2574" s="343"/>
      <c r="V2574" s="343">
        <v>178.4</v>
      </c>
      <c r="W2574" s="343"/>
      <c r="X2574" s="48" t="s">
        <v>70</v>
      </c>
      <c r="Y2574" s="346" t="s">
        <v>416</v>
      </c>
      <c r="Z2574" s="14" t="str">
        <f>IF(ISBLANK(LCI_Table[[#This Row],[Notes for user]])," ",LCI_Table[[#This Row],[Notes for user]])</f>
        <v>Default value from GREET</v>
      </c>
      <c r="AA2574" s="48" t="s">
        <v>1152</v>
      </c>
      <c r="AB2574" s="345"/>
      <c r="AC2574" s="346">
        <f>LCI_Table[[#This Row],[Default Calculated Value]]-LCI_Table[[#This Row],[Calculated Value]]</f>
        <v>0</v>
      </c>
    </row>
    <row r="2575" spans="1:29" x14ac:dyDescent="0.3">
      <c r="A25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CornATJ-ethanolICAOJRC(blank)_Corn_Farming_Nitrogen_fertilizerNitrogen fertilizer</v>
      </c>
      <c r="B2575" s="381" t="s">
        <v>136</v>
      </c>
      <c r="C2575" s="381" t="s">
        <v>1964</v>
      </c>
      <c r="D2575" s="383" t="s">
        <v>194</v>
      </c>
      <c r="E2575" s="379" t="s">
        <v>355</v>
      </c>
      <c r="F2575" s="375" t="s">
        <v>31</v>
      </c>
      <c r="G2575" s="14" t="b">
        <f>OR(LCI_Table[[#This Row],[Feedstock]]="All",LCI_Table[[#This Row],[Feedstock]]=SelectedFeedstock)</f>
        <v>0</v>
      </c>
      <c r="H2575" s="14" t="b">
        <f>OR(LCI_Table[[#This Row],[Conversion]]="All",LCI_Table[[#This Row],[Conversion]]=SelectedConversion)</f>
        <v>0</v>
      </c>
      <c r="I2575" s="14" t="b">
        <f>OR(LCI_Table[[#This Row],[Data Set]]="all",LCI_Table[[#This Row],[Data Set]]=SelectedDataSet)</f>
        <v>0</v>
      </c>
      <c r="J2575" s="14" t="b">
        <f>OR(LCI_Table[[#This Row],[Technology]]="All",LCI_Table[[#This Row],[Technology]]=SelectedTechnology)</f>
        <v>1</v>
      </c>
      <c r="K2575" s="14" t="b">
        <f>OR(LCI_Table[[#This Row],[Data Source]]="All",LCI_Table[[#This Row],[Data Source]]=SelectedDataSource)</f>
        <v>0</v>
      </c>
      <c r="L2575" s="14" t="b">
        <f>TRUE</f>
        <v>1</v>
      </c>
      <c r="M2575" s="14" t="b">
        <f>(LCI_Table[[#This Row],[Dev Notes]]="Do not display")</f>
        <v>0</v>
      </c>
      <c r="N2575" s="14" t="b">
        <f>AND(LCI_Table[[#This Row],[Show Feedstock]:[Conditional]],NOT(LCI_Table[[#This Row],[Hide Row]]))</f>
        <v>0</v>
      </c>
      <c r="O2575" s="14" t="b">
        <f>LCI_Table[[#This Row],[GREET1 Name Range]]=""</f>
        <v>0</v>
      </c>
      <c r="P2575" s="14" t="s">
        <v>14</v>
      </c>
      <c r="Q2575" s="14" t="s">
        <v>589</v>
      </c>
      <c r="R2575" s="14" t="s">
        <v>111</v>
      </c>
      <c r="S2575" s="37" cm="1">
        <f t="array" aca="1" ref="S25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203.20473599999997</v>
      </c>
      <c r="T2575" s="346" t="s">
        <v>2119</v>
      </c>
      <c r="U2575" s="347">
        <f ca="1">S2575/$S$2574*lb2g</f>
        <v>516.65985312479995</v>
      </c>
      <c r="V2575" s="347">
        <v>203.20473599999997</v>
      </c>
      <c r="W2575" s="347">
        <v>516.65985312479995</v>
      </c>
      <c r="X2575" s="14" t="s">
        <v>12</v>
      </c>
      <c r="Y2575" s="346" t="s">
        <v>416</v>
      </c>
      <c r="Z2575" s="14" t="str">
        <f>IF(ISBLANK(LCI_Table[[#This Row],[Notes for user]])," ",LCI_Table[[#This Row],[Notes for user]])</f>
        <v xml:space="preserve"> </v>
      </c>
      <c r="AA2575" s="14"/>
      <c r="AB2575" s="14"/>
      <c r="AC2575" s="346">
        <f ca="1">LCI_Table[[#This Row],[Default Calculated Value]]-LCI_Table[[#This Row],[Calculated Value]]</f>
        <v>0</v>
      </c>
    </row>
    <row r="2576" spans="1:29" x14ac:dyDescent="0.3">
      <c r="A25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CornATJ-ethanolICAOJRC(blank)_Corn_Farming_P2O5P2O5</v>
      </c>
      <c r="B2576" s="381" t="s">
        <v>136</v>
      </c>
      <c r="C2576" s="381" t="s">
        <v>1964</v>
      </c>
      <c r="D2576" s="383" t="s">
        <v>194</v>
      </c>
      <c r="E2576" s="379" t="s">
        <v>355</v>
      </c>
      <c r="F2576" s="375" t="s">
        <v>31</v>
      </c>
      <c r="G2576" s="14" t="b">
        <f>OR(LCI_Table[[#This Row],[Feedstock]]="All",LCI_Table[[#This Row],[Feedstock]]=SelectedFeedstock)</f>
        <v>0</v>
      </c>
      <c r="H2576" s="14" t="b">
        <f>OR(LCI_Table[[#This Row],[Conversion]]="All",LCI_Table[[#This Row],[Conversion]]=SelectedConversion)</f>
        <v>0</v>
      </c>
      <c r="I2576" s="14" t="b">
        <f>OR(LCI_Table[[#This Row],[Data Set]]="all",LCI_Table[[#This Row],[Data Set]]=SelectedDataSet)</f>
        <v>0</v>
      </c>
      <c r="J2576" s="14" t="b">
        <f>OR(LCI_Table[[#This Row],[Technology]]="All",LCI_Table[[#This Row],[Technology]]=SelectedTechnology)</f>
        <v>1</v>
      </c>
      <c r="K2576" s="14" t="b">
        <f>OR(LCI_Table[[#This Row],[Data Source]]="All",LCI_Table[[#This Row],[Data Source]]=SelectedDataSource)</f>
        <v>0</v>
      </c>
      <c r="L2576" s="14" t="b">
        <f>TRUE</f>
        <v>1</v>
      </c>
      <c r="M2576" s="14" t="b">
        <f>(LCI_Table[[#This Row],[Dev Notes]]="Do not display")</f>
        <v>0</v>
      </c>
      <c r="N2576" s="14" t="b">
        <f>AND(LCI_Table[[#This Row],[Show Feedstock]:[Conditional]],NOT(LCI_Table[[#This Row],[Hide Row]]))</f>
        <v>0</v>
      </c>
      <c r="O2576" s="14" t="b">
        <f>LCI_Table[[#This Row],[GREET1 Name Range]]=""</f>
        <v>0</v>
      </c>
      <c r="P2576" s="14" t="s">
        <v>14</v>
      </c>
      <c r="Q2576" s="14" t="s">
        <v>590</v>
      </c>
      <c r="R2576" s="14" t="s">
        <v>112</v>
      </c>
      <c r="S2576" s="37" cm="1">
        <f t="array" aca="1" ref="S25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62.839615999999992</v>
      </c>
      <c r="T2576" s="346" t="s">
        <v>2119</v>
      </c>
      <c r="U2576" s="347">
        <f ca="1">S2576/S2574*lb2g</f>
        <v>159.77337640879998</v>
      </c>
      <c r="V2576" s="347">
        <v>62.839615999999992</v>
      </c>
      <c r="W2576" s="347">
        <v>159.77337640879998</v>
      </c>
      <c r="X2576" s="14" t="s">
        <v>12</v>
      </c>
      <c r="Y2576" s="346" t="s">
        <v>416</v>
      </c>
      <c r="Z2576" s="14" t="str">
        <f>IF(ISBLANK(LCI_Table[[#This Row],[Notes for user]])," ",LCI_Table[[#This Row],[Notes for user]])</f>
        <v xml:space="preserve"> </v>
      </c>
      <c r="AA2576" s="14"/>
      <c r="AB2576" s="14"/>
      <c r="AC2576" s="346">
        <f ca="1">LCI_Table[[#This Row],[Default Calculated Value]]-LCI_Table[[#This Row],[Calculated Value]]</f>
        <v>0</v>
      </c>
    </row>
    <row r="2577" spans="1:29" x14ac:dyDescent="0.3">
      <c r="A25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CornATJ-ethanolICAOJRC(blank)_Corn_Farming_K2OK2O</v>
      </c>
      <c r="B2577" s="381" t="s">
        <v>136</v>
      </c>
      <c r="C2577" s="381" t="s">
        <v>1964</v>
      </c>
      <c r="D2577" s="383" t="s">
        <v>194</v>
      </c>
      <c r="E2577" s="379" t="s">
        <v>355</v>
      </c>
      <c r="F2577" s="375" t="s">
        <v>31</v>
      </c>
      <c r="G2577" s="14" t="b">
        <f>OR(LCI_Table[[#This Row],[Feedstock]]="All",LCI_Table[[#This Row],[Feedstock]]=SelectedFeedstock)</f>
        <v>0</v>
      </c>
      <c r="H2577" s="14" t="b">
        <f>OR(LCI_Table[[#This Row],[Conversion]]="All",LCI_Table[[#This Row],[Conversion]]=SelectedConversion)</f>
        <v>0</v>
      </c>
      <c r="I2577" s="14" t="b">
        <f>OR(LCI_Table[[#This Row],[Data Set]]="all",LCI_Table[[#This Row],[Data Set]]=SelectedDataSet)</f>
        <v>0</v>
      </c>
      <c r="J2577" s="14" t="b">
        <f>OR(LCI_Table[[#This Row],[Technology]]="All",LCI_Table[[#This Row],[Technology]]=SelectedTechnology)</f>
        <v>1</v>
      </c>
      <c r="K2577" s="14" t="b">
        <f>OR(LCI_Table[[#This Row],[Data Source]]="All",LCI_Table[[#This Row],[Data Source]]=SelectedDataSource)</f>
        <v>0</v>
      </c>
      <c r="L2577" s="14" t="b">
        <f>TRUE</f>
        <v>1</v>
      </c>
      <c r="M2577" s="14" t="b">
        <f>(LCI_Table[[#This Row],[Dev Notes]]="Do not display")</f>
        <v>0</v>
      </c>
      <c r="N2577" s="14" t="b">
        <f>AND(LCI_Table[[#This Row],[Show Feedstock]:[Conditional]],NOT(LCI_Table[[#This Row],[Hide Row]]))</f>
        <v>0</v>
      </c>
      <c r="O2577" s="14" t="b">
        <f>LCI_Table[[#This Row],[GREET1 Name Range]]=""</f>
        <v>0</v>
      </c>
      <c r="P2577" s="14" t="s">
        <v>14</v>
      </c>
      <c r="Q2577" s="14" t="s">
        <v>588</v>
      </c>
      <c r="R2577" s="14" t="s">
        <v>113</v>
      </c>
      <c r="S2577" s="37" cm="1">
        <f t="array" aca="1" ref="S25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72.92992000000001</v>
      </c>
      <c r="T2577" s="346" t="s">
        <v>2119</v>
      </c>
      <c r="U2577" s="347">
        <f ca="1">S2577/S2574*lb2g</f>
        <v>185.42856085600002</v>
      </c>
      <c r="V2577" s="347">
        <v>72.92992000000001</v>
      </c>
      <c r="W2577" s="347">
        <v>185.42856085600002</v>
      </c>
      <c r="X2577" s="14" t="s">
        <v>12</v>
      </c>
      <c r="Y2577" s="346" t="s">
        <v>416</v>
      </c>
      <c r="Z2577" s="14" t="str">
        <f>IF(ISBLANK(LCI_Table[[#This Row],[Notes for user]])," ",LCI_Table[[#This Row],[Notes for user]])</f>
        <v xml:space="preserve"> </v>
      </c>
      <c r="AA2577" s="14"/>
      <c r="AB2577" s="14"/>
      <c r="AC2577" s="346">
        <f ca="1">LCI_Table[[#This Row],[Default Calculated Value]]-LCI_Table[[#This Row],[Calculated Value]]</f>
        <v>0</v>
      </c>
    </row>
    <row r="2578" spans="1:29" x14ac:dyDescent="0.3">
      <c r="A25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CornATJ-ethanolICAOJRC(blank)_Corn_Farming_CaCO3CaCO3</v>
      </c>
      <c r="B2578" s="381" t="s">
        <v>136</v>
      </c>
      <c r="C2578" s="381" t="s">
        <v>1964</v>
      </c>
      <c r="D2578" s="383" t="s">
        <v>194</v>
      </c>
      <c r="E2578" s="379" t="s">
        <v>355</v>
      </c>
      <c r="F2578" s="375" t="s">
        <v>31</v>
      </c>
      <c r="G2578" s="14" t="b">
        <f>OR(LCI_Table[[#This Row],[Feedstock]]="All",LCI_Table[[#This Row],[Feedstock]]=SelectedFeedstock)</f>
        <v>0</v>
      </c>
      <c r="H2578" s="14" t="b">
        <f>OR(LCI_Table[[#This Row],[Conversion]]="All",LCI_Table[[#This Row],[Conversion]]=SelectedConversion)</f>
        <v>0</v>
      </c>
      <c r="I2578" s="14" t="b">
        <f>OR(LCI_Table[[#This Row],[Data Set]]="all",LCI_Table[[#This Row],[Data Set]]=SelectedDataSet)</f>
        <v>0</v>
      </c>
      <c r="J2578" s="14" t="b">
        <f>OR(LCI_Table[[#This Row],[Technology]]="All",LCI_Table[[#This Row],[Technology]]=SelectedTechnology)</f>
        <v>1</v>
      </c>
      <c r="K2578" s="14" t="b">
        <f>OR(LCI_Table[[#This Row],[Data Source]]="All",LCI_Table[[#This Row],[Data Source]]=SelectedDataSource)</f>
        <v>0</v>
      </c>
      <c r="L2578" s="14" t="b">
        <f>TRUE</f>
        <v>1</v>
      </c>
      <c r="M2578" s="14" t="b">
        <f>(LCI_Table[[#This Row],[Dev Notes]]="Do not display")</f>
        <v>0</v>
      </c>
      <c r="N2578" s="14" t="b">
        <f>AND(LCI_Table[[#This Row],[Show Feedstock]:[Conditional]],NOT(LCI_Table[[#This Row],[Hide Row]]))</f>
        <v>0</v>
      </c>
      <c r="O2578" s="14" t="b">
        <f>LCI_Table[[#This Row],[GREET1 Name Range]]=""</f>
        <v>0</v>
      </c>
      <c r="P2578" s="14" t="s">
        <v>14</v>
      </c>
      <c r="Q2578" s="14" t="s">
        <v>584</v>
      </c>
      <c r="R2578" s="14" t="s">
        <v>141</v>
      </c>
      <c r="S2578" s="37" cm="1">
        <f t="array" aca="1" ref="S25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72.92992000000001</v>
      </c>
      <c r="T2578" s="346" t="s">
        <v>2119</v>
      </c>
      <c r="U2578" s="347">
        <f ca="1">S2578/S2574*lb2g</f>
        <v>185.42856085600002</v>
      </c>
      <c r="V2578" s="347">
        <v>72.92992000000001</v>
      </c>
      <c r="W2578" s="347">
        <v>185.42856085600002</v>
      </c>
      <c r="X2578" s="14" t="s">
        <v>12</v>
      </c>
      <c r="Y2578" s="346" t="s">
        <v>416</v>
      </c>
      <c r="Z2578" s="14" t="str">
        <f>IF(ISBLANK(LCI_Table[[#This Row],[Notes for user]])," ",LCI_Table[[#This Row],[Notes for user]])</f>
        <v xml:space="preserve"> </v>
      </c>
      <c r="AA2578" s="14"/>
      <c r="AB2578" s="14"/>
      <c r="AC2578" s="346">
        <f ca="1">LCI_Table[[#This Row],[Default Calculated Value]]-LCI_Table[[#This Row],[Calculated Value]]</f>
        <v>0</v>
      </c>
    </row>
    <row r="2579" spans="1:29" x14ac:dyDescent="0.3">
      <c r="A25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CornATJ-ethanolICAOJRC(blank)_Corn_Farming_HerbicidesHerbicides</v>
      </c>
      <c r="B2579" s="381" t="s">
        <v>136</v>
      </c>
      <c r="C2579" s="381" t="s">
        <v>1964</v>
      </c>
      <c r="D2579" s="383" t="s">
        <v>194</v>
      </c>
      <c r="E2579" s="379" t="s">
        <v>355</v>
      </c>
      <c r="F2579" s="375" t="s">
        <v>31</v>
      </c>
      <c r="G2579" s="14" t="b">
        <f>OR(LCI_Table[[#This Row],[Feedstock]]="All",LCI_Table[[#This Row],[Feedstock]]=SelectedFeedstock)</f>
        <v>0</v>
      </c>
      <c r="H2579" s="14" t="b">
        <f>OR(LCI_Table[[#This Row],[Conversion]]="All",LCI_Table[[#This Row],[Conversion]]=SelectedConversion)</f>
        <v>0</v>
      </c>
      <c r="I2579" s="14" t="b">
        <f>OR(LCI_Table[[#This Row],[Data Set]]="all",LCI_Table[[#This Row],[Data Set]]=SelectedDataSet)</f>
        <v>0</v>
      </c>
      <c r="J2579" s="14" t="b">
        <f>OR(LCI_Table[[#This Row],[Technology]]="All",LCI_Table[[#This Row],[Technology]]=SelectedTechnology)</f>
        <v>1</v>
      </c>
      <c r="K2579" s="14" t="b">
        <f>OR(LCI_Table[[#This Row],[Data Source]]="All",LCI_Table[[#This Row],[Data Source]]=SelectedDataSource)</f>
        <v>0</v>
      </c>
      <c r="L2579" s="14" t="b">
        <f>TRUE</f>
        <v>1</v>
      </c>
      <c r="M2579" s="14" t="b">
        <f>(LCI_Table[[#This Row],[Dev Notes]]="Do not display")</f>
        <v>0</v>
      </c>
      <c r="N2579" s="14" t="b">
        <f>AND(LCI_Table[[#This Row],[Show Feedstock]:[Conditional]],NOT(LCI_Table[[#This Row],[Hide Row]]))</f>
        <v>0</v>
      </c>
      <c r="O2579" s="14" t="b">
        <f>LCI_Table[[#This Row],[GREET1 Name Range]]=""</f>
        <v>0</v>
      </c>
      <c r="P2579" s="14" t="s">
        <v>14</v>
      </c>
      <c r="Q2579" s="14" t="s">
        <v>586</v>
      </c>
      <c r="R2579" s="14" t="s">
        <v>356</v>
      </c>
      <c r="S2579" s="37" cm="1">
        <f t="array" aca="1" ref="S25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79" s="346" t="s">
        <v>2119</v>
      </c>
      <c r="U2579" s="347">
        <f ca="1">S2579/S2574*lb2g</f>
        <v>0</v>
      </c>
      <c r="V2579" s="347">
        <v>0</v>
      </c>
      <c r="W2579" s="347">
        <v>0</v>
      </c>
      <c r="X2579" s="14" t="s">
        <v>12</v>
      </c>
      <c r="Y2579" s="346" t="s">
        <v>416</v>
      </c>
      <c r="Z2579" s="14" t="str">
        <f>IF(ISBLANK(LCI_Table[[#This Row],[Notes for user]])," ",LCI_Table[[#This Row],[Notes for user]])</f>
        <v xml:space="preserve"> </v>
      </c>
      <c r="AA2579" s="14"/>
      <c r="AB2579" s="14"/>
      <c r="AC2579" s="346">
        <f ca="1">LCI_Table[[#This Row],[Default Calculated Value]]-LCI_Table[[#This Row],[Calculated Value]]</f>
        <v>0</v>
      </c>
    </row>
    <row r="2580" spans="1:29" x14ac:dyDescent="0.3">
      <c r="A25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CornATJ-ethanolICAOJRC(blank)_Corn_Farming_InsecticideInsecticide</v>
      </c>
      <c r="B2580" s="381" t="s">
        <v>136</v>
      </c>
      <c r="C2580" s="381" t="s">
        <v>1964</v>
      </c>
      <c r="D2580" s="383" t="s">
        <v>194</v>
      </c>
      <c r="E2580" s="379" t="s">
        <v>355</v>
      </c>
      <c r="F2580" s="375" t="s">
        <v>31</v>
      </c>
      <c r="G2580" s="14" t="b">
        <f>OR(LCI_Table[[#This Row],[Feedstock]]="All",LCI_Table[[#This Row],[Feedstock]]=SelectedFeedstock)</f>
        <v>0</v>
      </c>
      <c r="H2580" s="14" t="b">
        <f>OR(LCI_Table[[#This Row],[Conversion]]="All",LCI_Table[[#This Row],[Conversion]]=SelectedConversion)</f>
        <v>0</v>
      </c>
      <c r="I2580" s="14" t="b">
        <f>OR(LCI_Table[[#This Row],[Data Set]]="all",LCI_Table[[#This Row],[Data Set]]=SelectedDataSet)</f>
        <v>0</v>
      </c>
      <c r="J2580" s="14" t="b">
        <f>OR(LCI_Table[[#This Row],[Technology]]="All",LCI_Table[[#This Row],[Technology]]=SelectedTechnology)</f>
        <v>1</v>
      </c>
      <c r="K2580" s="14" t="b">
        <f>OR(LCI_Table[[#This Row],[Data Source]]="All",LCI_Table[[#This Row],[Data Source]]=SelectedDataSource)</f>
        <v>0</v>
      </c>
      <c r="L2580" s="14" t="b">
        <f>TRUE</f>
        <v>1</v>
      </c>
      <c r="M2580" s="14" t="b">
        <f>(LCI_Table[[#This Row],[Dev Notes]]="Do not display")</f>
        <v>0</v>
      </c>
      <c r="N2580" s="14" t="b">
        <f>AND(LCI_Table[[#This Row],[Show Feedstock]:[Conditional]],NOT(LCI_Table[[#This Row],[Hide Row]]))</f>
        <v>0</v>
      </c>
      <c r="O2580" s="14" t="b">
        <f>LCI_Table[[#This Row],[GREET1 Name Range]]=""</f>
        <v>0</v>
      </c>
      <c r="P2580" s="14" t="s">
        <v>14</v>
      </c>
      <c r="Q2580" s="14" t="s">
        <v>587</v>
      </c>
      <c r="R2580" s="14" t="s">
        <v>114</v>
      </c>
      <c r="S2580" s="37" cm="1">
        <f t="array" aca="1" ref="S25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2.3976960000000004E-3</v>
      </c>
      <c r="T2580" s="346" t="s">
        <v>2119</v>
      </c>
      <c r="U2580" s="347">
        <f ca="1">S2580/S2574*lb2g</f>
        <v>6.0962814528000009E-3</v>
      </c>
      <c r="V2580" s="347">
        <v>2.3976960000000004E-3</v>
      </c>
      <c r="W2580" s="347">
        <v>6.0962814528000009E-3</v>
      </c>
      <c r="X2580" s="14" t="s">
        <v>12</v>
      </c>
      <c r="Y2580" s="346" t="s">
        <v>416</v>
      </c>
      <c r="Z2580" s="14" t="str">
        <f>IF(ISBLANK(LCI_Table[[#This Row],[Notes for user]])," ",LCI_Table[[#This Row],[Notes for user]])</f>
        <v xml:space="preserve"> </v>
      </c>
      <c r="AA2580" s="14"/>
      <c r="AB2580" s="14"/>
      <c r="AC2580" s="346">
        <f ca="1">LCI_Table[[#This Row],[Default Calculated Value]]-LCI_Table[[#This Row],[Calculated Value]]</f>
        <v>0</v>
      </c>
    </row>
    <row r="2581" spans="1:29" x14ac:dyDescent="0.3">
      <c r="A25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CornATJ-ethanolICAOJRC(blank)_Corn_Farming_Residual_oilResidual oil</v>
      </c>
      <c r="B2581" s="381" t="s">
        <v>136</v>
      </c>
      <c r="C2581" s="381" t="s">
        <v>1964</v>
      </c>
      <c r="D2581" s="383" t="s">
        <v>194</v>
      </c>
      <c r="E2581" s="379" t="s">
        <v>355</v>
      </c>
      <c r="F2581" s="375" t="s">
        <v>31</v>
      </c>
      <c r="G2581" s="14" t="b">
        <f>OR(LCI_Table[[#This Row],[Feedstock]]="All",LCI_Table[[#This Row],[Feedstock]]=SelectedFeedstock)</f>
        <v>0</v>
      </c>
      <c r="H2581" s="14" t="b">
        <f>OR(LCI_Table[[#This Row],[Conversion]]="All",LCI_Table[[#This Row],[Conversion]]=SelectedConversion)</f>
        <v>0</v>
      </c>
      <c r="I2581" s="14" t="b">
        <f>OR(LCI_Table[[#This Row],[Data Set]]="all",LCI_Table[[#This Row],[Data Set]]=SelectedDataSet)</f>
        <v>0</v>
      </c>
      <c r="J2581" s="14" t="b">
        <f>OR(LCI_Table[[#This Row],[Technology]]="All",LCI_Table[[#This Row],[Technology]]=SelectedTechnology)</f>
        <v>1</v>
      </c>
      <c r="K2581" s="14" t="b">
        <f>OR(LCI_Table[[#This Row],[Data Source]]="All",LCI_Table[[#This Row],[Data Source]]=SelectedDataSource)</f>
        <v>0</v>
      </c>
      <c r="L2581" s="14" t="b">
        <f>TRUE</f>
        <v>1</v>
      </c>
      <c r="M2581" s="14" t="b">
        <f>(LCI_Table[[#This Row],[Dev Notes]]="Do not display")</f>
        <v>0</v>
      </c>
      <c r="N2581" s="14" t="b">
        <f>AND(LCI_Table[[#This Row],[Show Feedstock]:[Conditional]],NOT(LCI_Table[[#This Row],[Hide Row]]))</f>
        <v>0</v>
      </c>
      <c r="O2581" s="14" t="b">
        <f>LCI_Table[[#This Row],[GREET1 Name Range]]=""</f>
        <v>0</v>
      </c>
      <c r="P2581" s="14" t="s">
        <v>14</v>
      </c>
      <c r="Q2581" s="14" t="s">
        <v>591</v>
      </c>
      <c r="R2581" s="14" t="s">
        <v>115</v>
      </c>
      <c r="S2581" s="37" cm="1">
        <f t="array" aca="1" ref="S25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81" s="346" t="s">
        <v>2128</v>
      </c>
      <c r="U2581" s="347">
        <f ca="1">S2581/$S$2574*Fuel_Specs!$B$28</f>
        <v>0</v>
      </c>
      <c r="V2581" s="347">
        <v>0</v>
      </c>
      <c r="W2581" s="347">
        <v>0</v>
      </c>
      <c r="X2581" s="14" t="s">
        <v>5</v>
      </c>
      <c r="Y2581" s="346" t="s">
        <v>416</v>
      </c>
      <c r="Z2581" s="14" t="str">
        <f>IF(ISBLANK(LCI_Table[[#This Row],[Notes for user]])," ",LCI_Table[[#This Row],[Notes for user]])</f>
        <v xml:space="preserve"> </v>
      </c>
      <c r="AA2581" s="14"/>
      <c r="AB2581" s="14"/>
      <c r="AC2581" s="346">
        <f ca="1">LCI_Table[[#This Row],[Default Calculated Value]]-LCI_Table[[#This Row],[Calculated Value]]</f>
        <v>0</v>
      </c>
    </row>
    <row r="2582" spans="1:29" x14ac:dyDescent="0.3">
      <c r="A25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CornATJ-ethanolICAOJRC(blank)_Diesel_CornFarmingDiesel</v>
      </c>
      <c r="B2582" s="381" t="s">
        <v>136</v>
      </c>
      <c r="C2582" s="381" t="s">
        <v>1964</v>
      </c>
      <c r="D2582" s="383" t="s">
        <v>194</v>
      </c>
      <c r="E2582" s="379" t="s">
        <v>355</v>
      </c>
      <c r="F2582" s="375" t="s">
        <v>31</v>
      </c>
      <c r="G2582" s="14" t="b">
        <f>OR(LCI_Table[[#This Row],[Feedstock]]="All",LCI_Table[[#This Row],[Feedstock]]=SelectedFeedstock)</f>
        <v>0</v>
      </c>
      <c r="H2582" s="14" t="b">
        <f>OR(LCI_Table[[#This Row],[Conversion]]="All",LCI_Table[[#This Row],[Conversion]]=SelectedConversion)</f>
        <v>0</v>
      </c>
      <c r="I2582" s="14" t="b">
        <f>OR(LCI_Table[[#This Row],[Data Set]]="all",LCI_Table[[#This Row],[Data Set]]=SelectedDataSet)</f>
        <v>0</v>
      </c>
      <c r="J2582" s="14" t="b">
        <f>OR(LCI_Table[[#This Row],[Technology]]="All",LCI_Table[[#This Row],[Technology]]=SelectedTechnology)</f>
        <v>1</v>
      </c>
      <c r="K2582" s="14" t="b">
        <f>OR(LCI_Table[[#This Row],[Data Source]]="All",LCI_Table[[#This Row],[Data Source]]=SelectedDataSource)</f>
        <v>0</v>
      </c>
      <c r="L2582" s="14" t="b">
        <f>TRUE</f>
        <v>1</v>
      </c>
      <c r="M2582" s="14" t="b">
        <f>(LCI_Table[[#This Row],[Dev Notes]]="Do not display")</f>
        <v>0</v>
      </c>
      <c r="N2582" s="14" t="b">
        <f>AND(LCI_Table[[#This Row],[Show Feedstock]:[Conditional]],NOT(LCI_Table[[#This Row],[Hide Row]]))</f>
        <v>0</v>
      </c>
      <c r="O2582" s="14" t="b">
        <f>LCI_Table[[#This Row],[GREET1 Name Range]]=""</f>
        <v>0</v>
      </c>
      <c r="P2582" s="14" t="s">
        <v>14</v>
      </c>
      <c r="Q2582" s="14" t="s">
        <v>75</v>
      </c>
      <c r="R2582" s="14" t="s">
        <v>106</v>
      </c>
      <c r="S2582" s="37" cm="1">
        <f t="array" aca="1" ref="S25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8.7741062630465994</v>
      </c>
      <c r="T2582" s="346" t="s">
        <v>2128</v>
      </c>
      <c r="U2582" s="347">
        <f ca="1">S2582/$S$2574*Fuel_Specs!$B$19</f>
        <v>6317.4548738135409</v>
      </c>
      <c r="V2582" s="347">
        <v>8.7741062630465994</v>
      </c>
      <c r="W2582" s="347">
        <v>6317.4548738135409</v>
      </c>
      <c r="X2582" s="14" t="s">
        <v>5</v>
      </c>
      <c r="Y2582" s="346" t="s">
        <v>416</v>
      </c>
      <c r="Z2582" s="14" t="str">
        <f>IF(ISBLANK(LCI_Table[[#This Row],[Notes for user]])," ",LCI_Table[[#This Row],[Notes for user]])</f>
        <v xml:space="preserve"> </v>
      </c>
      <c r="AA2582" s="14"/>
      <c r="AB2582" s="14"/>
      <c r="AC2582" s="346">
        <f ca="1">LCI_Table[[#This Row],[Default Calculated Value]]-LCI_Table[[#This Row],[Calculated Value]]</f>
        <v>0</v>
      </c>
    </row>
    <row r="2583" spans="1:29" x14ac:dyDescent="0.3">
      <c r="A25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CornATJ-ethanolICAOJRC(blank)_Gasoline_CornFarmingGasoline</v>
      </c>
      <c r="B2583" s="381" t="s">
        <v>136</v>
      </c>
      <c r="C2583" s="381" t="s">
        <v>1964</v>
      </c>
      <c r="D2583" s="383" t="s">
        <v>194</v>
      </c>
      <c r="E2583" s="379" t="s">
        <v>355</v>
      </c>
      <c r="F2583" s="375" t="s">
        <v>31</v>
      </c>
      <c r="G2583" s="14" t="b">
        <f>OR(LCI_Table[[#This Row],[Feedstock]]="All",LCI_Table[[#This Row],[Feedstock]]=SelectedFeedstock)</f>
        <v>0</v>
      </c>
      <c r="H2583" s="14" t="b">
        <f>OR(LCI_Table[[#This Row],[Conversion]]="All",LCI_Table[[#This Row],[Conversion]]=SelectedConversion)</f>
        <v>0</v>
      </c>
      <c r="I2583" s="14" t="b">
        <f>OR(LCI_Table[[#This Row],[Data Set]]="all",LCI_Table[[#This Row],[Data Set]]=SelectedDataSet)</f>
        <v>0</v>
      </c>
      <c r="J2583" s="14" t="b">
        <f>OR(LCI_Table[[#This Row],[Technology]]="All",LCI_Table[[#This Row],[Technology]]=SelectedTechnology)</f>
        <v>1</v>
      </c>
      <c r="K2583" s="14" t="b">
        <f>OR(LCI_Table[[#This Row],[Data Source]]="All",LCI_Table[[#This Row],[Data Source]]=SelectedDataSource)</f>
        <v>0</v>
      </c>
      <c r="L2583" s="14" t="b">
        <f>TRUE</f>
        <v>1</v>
      </c>
      <c r="M2583" s="14" t="b">
        <f>(LCI_Table[[#This Row],[Dev Notes]]="Do not display")</f>
        <v>0</v>
      </c>
      <c r="N2583" s="14" t="b">
        <f>AND(LCI_Table[[#This Row],[Show Feedstock]:[Conditional]],NOT(LCI_Table[[#This Row],[Hide Row]]))</f>
        <v>0</v>
      </c>
      <c r="O2583" s="14" t="b">
        <f>LCI_Table[[#This Row],[GREET1 Name Range]]=""</f>
        <v>0</v>
      </c>
      <c r="P2583" s="14" t="s">
        <v>14</v>
      </c>
      <c r="Q2583" s="14" t="s">
        <v>85</v>
      </c>
      <c r="R2583" s="14" t="s">
        <v>107</v>
      </c>
      <c r="S2583" s="37" cm="1">
        <f t="array" aca="1" ref="S25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83" s="346" t="s">
        <v>2128</v>
      </c>
      <c r="U2583" s="347">
        <f ca="1">S2583/$S$2574*Fuel_Specs!$B$15</f>
        <v>0</v>
      </c>
      <c r="V2583" s="347">
        <v>0</v>
      </c>
      <c r="W2583" s="347">
        <v>0</v>
      </c>
      <c r="X2583" s="14" t="s">
        <v>5</v>
      </c>
      <c r="Y2583" s="346" t="s">
        <v>416</v>
      </c>
      <c r="Z2583" s="14" t="str">
        <f>IF(ISBLANK(LCI_Table[[#This Row],[Notes for user]])," ",LCI_Table[[#This Row],[Notes for user]])</f>
        <v xml:space="preserve"> </v>
      </c>
      <c r="AA2583" s="14"/>
      <c r="AB2583" s="14"/>
      <c r="AC2583" s="346">
        <f ca="1">LCI_Table[[#This Row],[Default Calculated Value]]-LCI_Table[[#This Row],[Calculated Value]]</f>
        <v>0</v>
      </c>
    </row>
    <row r="2584" spans="1:29" x14ac:dyDescent="0.3">
      <c r="A25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CornATJ-ethanolICAOJRC(blank)_NG_CornFarmingNatural gas</v>
      </c>
      <c r="B2584" s="381" t="s">
        <v>136</v>
      </c>
      <c r="C2584" s="381" t="s">
        <v>1964</v>
      </c>
      <c r="D2584" s="383" t="s">
        <v>194</v>
      </c>
      <c r="E2584" s="379" t="s">
        <v>355</v>
      </c>
      <c r="F2584" s="375" t="s">
        <v>31</v>
      </c>
      <c r="G2584" s="14" t="b">
        <f>OR(LCI_Table[[#This Row],[Feedstock]]="All",LCI_Table[[#This Row],[Feedstock]]=SelectedFeedstock)</f>
        <v>0</v>
      </c>
      <c r="H2584" s="14" t="b">
        <f>OR(LCI_Table[[#This Row],[Conversion]]="All",LCI_Table[[#This Row],[Conversion]]=SelectedConversion)</f>
        <v>0</v>
      </c>
      <c r="I2584" s="14" t="b">
        <f>OR(LCI_Table[[#This Row],[Data Set]]="all",LCI_Table[[#This Row],[Data Set]]=SelectedDataSet)</f>
        <v>0</v>
      </c>
      <c r="J2584" s="14" t="b">
        <f>OR(LCI_Table[[#This Row],[Technology]]="All",LCI_Table[[#This Row],[Technology]]=SelectedTechnology)</f>
        <v>1</v>
      </c>
      <c r="K2584" s="14" t="b">
        <f>OR(LCI_Table[[#This Row],[Data Source]]="All",LCI_Table[[#This Row],[Data Source]]=SelectedDataSource)</f>
        <v>0</v>
      </c>
      <c r="L2584" s="14" t="b">
        <f>TRUE</f>
        <v>1</v>
      </c>
      <c r="M2584" s="14" t="b">
        <f>(LCI_Table[[#This Row],[Dev Notes]]="Do not display")</f>
        <v>0</v>
      </c>
      <c r="N2584" s="14" t="b">
        <f>AND(LCI_Table[[#This Row],[Show Feedstock]:[Conditional]],NOT(LCI_Table[[#This Row],[Hide Row]]))</f>
        <v>0</v>
      </c>
      <c r="O2584" s="14" t="b">
        <f>LCI_Table[[#This Row],[GREET1 Name Range]]=""</f>
        <v>0</v>
      </c>
      <c r="P2584" s="14" t="s">
        <v>14</v>
      </c>
      <c r="Q2584" s="14" t="s">
        <v>90</v>
      </c>
      <c r="R2584" s="14" t="s">
        <v>108</v>
      </c>
      <c r="S2584" s="37" cm="1">
        <f t="array" aca="1" ref="S25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84" s="346" t="s">
        <v>2120</v>
      </c>
      <c r="U2584" s="347">
        <f ca="1">S2584/$S$2574*Fuel_Specs!$B$79</f>
        <v>0</v>
      </c>
      <c r="V2584" s="347">
        <v>0</v>
      </c>
      <c r="W2584" s="347">
        <v>0</v>
      </c>
      <c r="X2584" s="14" t="s">
        <v>351</v>
      </c>
      <c r="Y2584" s="346" t="s">
        <v>416</v>
      </c>
      <c r="Z2584" s="14" t="str">
        <f>IF(ISBLANK(LCI_Table[[#This Row],[Notes for user]])," ",LCI_Table[[#This Row],[Notes for user]])</f>
        <v xml:space="preserve"> </v>
      </c>
      <c r="AA2584" s="14"/>
      <c r="AB2584" s="14"/>
      <c r="AC2584" s="346">
        <f ca="1">LCI_Table[[#This Row],[Default Calculated Value]]-LCI_Table[[#This Row],[Calculated Value]]</f>
        <v>0</v>
      </c>
    </row>
    <row r="2585" spans="1:29" x14ac:dyDescent="0.3">
      <c r="A25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CornATJ-ethanolICAOJRC(blank)_Corn_Farming_CoalCoal</v>
      </c>
      <c r="B2585" s="381" t="s">
        <v>136</v>
      </c>
      <c r="C2585" s="381" t="s">
        <v>1964</v>
      </c>
      <c r="D2585" s="383" t="s">
        <v>194</v>
      </c>
      <c r="E2585" s="379" t="s">
        <v>355</v>
      </c>
      <c r="F2585" s="375" t="s">
        <v>31</v>
      </c>
      <c r="G2585" s="14" t="b">
        <f>OR(LCI_Table[[#This Row],[Feedstock]]="All",LCI_Table[[#This Row],[Feedstock]]=SelectedFeedstock)</f>
        <v>0</v>
      </c>
      <c r="H2585" s="14" t="b">
        <f>OR(LCI_Table[[#This Row],[Conversion]]="All",LCI_Table[[#This Row],[Conversion]]=SelectedConversion)</f>
        <v>0</v>
      </c>
      <c r="I2585" s="14" t="b">
        <f>OR(LCI_Table[[#This Row],[Data Set]]="all",LCI_Table[[#This Row],[Data Set]]=SelectedDataSet)</f>
        <v>0</v>
      </c>
      <c r="J2585" s="14" t="b">
        <f>OR(LCI_Table[[#This Row],[Technology]]="All",LCI_Table[[#This Row],[Technology]]=SelectedTechnology)</f>
        <v>1</v>
      </c>
      <c r="K2585" s="14" t="b">
        <f>OR(LCI_Table[[#This Row],[Data Source]]="All",LCI_Table[[#This Row],[Data Source]]=SelectedDataSource)</f>
        <v>0</v>
      </c>
      <c r="L2585" s="14" t="b">
        <f>TRUE</f>
        <v>1</v>
      </c>
      <c r="M2585" s="14" t="b">
        <f>(LCI_Table[[#This Row],[Dev Notes]]="Do not display")</f>
        <v>0</v>
      </c>
      <c r="N2585" s="14" t="b">
        <f>AND(LCI_Table[[#This Row],[Show Feedstock]:[Conditional]],NOT(LCI_Table[[#This Row],[Hide Row]]))</f>
        <v>0</v>
      </c>
      <c r="O2585" s="14" t="b">
        <f>LCI_Table[[#This Row],[GREET1 Name Range]]=""</f>
        <v>0</v>
      </c>
      <c r="P2585" s="14" t="s">
        <v>14</v>
      </c>
      <c r="Q2585" s="14" t="s">
        <v>585</v>
      </c>
      <c r="R2585" s="14" t="s">
        <v>9</v>
      </c>
      <c r="S2585" s="37" cm="1">
        <f t="array" aca="1" ref="S25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85" s="346" t="s">
        <v>2147</v>
      </c>
      <c r="U2585" s="347">
        <f ca="1">S2585/$S$2574</f>
        <v>0</v>
      </c>
      <c r="V2585" s="347">
        <v>0</v>
      </c>
      <c r="W2585" s="347">
        <v>0</v>
      </c>
      <c r="X2585" s="14" t="s">
        <v>117</v>
      </c>
      <c r="Y2585" s="346" t="s">
        <v>416</v>
      </c>
      <c r="Z2585" s="14" t="str">
        <f>IF(ISBLANK(LCI_Table[[#This Row],[Notes for user]])," ",LCI_Table[[#This Row],[Notes for user]])</f>
        <v xml:space="preserve"> </v>
      </c>
      <c r="AA2585" s="14"/>
      <c r="AB2585" s="14"/>
      <c r="AC2585" s="346">
        <f ca="1">LCI_Table[[#This Row],[Default Calculated Value]]-LCI_Table[[#This Row],[Calculated Value]]</f>
        <v>0</v>
      </c>
    </row>
    <row r="2586" spans="1:29" x14ac:dyDescent="0.3">
      <c r="A25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CornATJ-ethanolICAOJRC(blank)_LPG_CornFarmingLPG</v>
      </c>
      <c r="B2586" s="381" t="s">
        <v>136</v>
      </c>
      <c r="C2586" s="381" t="s">
        <v>1964</v>
      </c>
      <c r="D2586" s="383" t="s">
        <v>194</v>
      </c>
      <c r="E2586" s="379" t="s">
        <v>355</v>
      </c>
      <c r="F2586" s="375" t="s">
        <v>31</v>
      </c>
      <c r="G2586" s="14" t="b">
        <f>OR(LCI_Table[[#This Row],[Feedstock]]="All",LCI_Table[[#This Row],[Feedstock]]=SelectedFeedstock)</f>
        <v>0</v>
      </c>
      <c r="H2586" s="14" t="b">
        <f>OR(LCI_Table[[#This Row],[Conversion]]="All",LCI_Table[[#This Row],[Conversion]]=SelectedConversion)</f>
        <v>0</v>
      </c>
      <c r="I2586" s="14" t="b">
        <f>OR(LCI_Table[[#This Row],[Data Set]]="all",LCI_Table[[#This Row],[Data Set]]=SelectedDataSet)</f>
        <v>0</v>
      </c>
      <c r="J2586" s="14" t="b">
        <f>OR(LCI_Table[[#This Row],[Technology]]="All",LCI_Table[[#This Row],[Technology]]=SelectedTechnology)</f>
        <v>1</v>
      </c>
      <c r="K2586" s="14" t="b">
        <f>OR(LCI_Table[[#This Row],[Data Source]]="All",LCI_Table[[#This Row],[Data Source]]=SelectedDataSource)</f>
        <v>0</v>
      </c>
      <c r="L2586" s="14" t="b">
        <f>TRUE</f>
        <v>1</v>
      </c>
      <c r="M2586" s="14" t="b">
        <f>(LCI_Table[[#This Row],[Dev Notes]]="Do not display")</f>
        <v>0</v>
      </c>
      <c r="N2586" s="14" t="b">
        <f>AND(LCI_Table[[#This Row],[Show Feedstock]:[Conditional]],NOT(LCI_Table[[#This Row],[Hide Row]]))</f>
        <v>0</v>
      </c>
      <c r="O2586" s="14" t="b">
        <f>LCI_Table[[#This Row],[GREET1 Name Range]]=""</f>
        <v>0</v>
      </c>
      <c r="P2586" s="14" t="s">
        <v>14</v>
      </c>
      <c r="Q2586" s="14" t="s">
        <v>89</v>
      </c>
      <c r="R2586" s="14" t="s">
        <v>109</v>
      </c>
      <c r="S2586" s="37" cm="1">
        <f t="array" aca="1" ref="S25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86" s="346" t="s">
        <v>2128</v>
      </c>
      <c r="U2586" s="347">
        <f ca="1">S2586/$S$2574*Fuel_Specs!$B$35</f>
        <v>0</v>
      </c>
      <c r="V2586" s="347">
        <v>0</v>
      </c>
      <c r="W2586" s="347">
        <v>0</v>
      </c>
      <c r="X2586" s="14" t="s">
        <v>5</v>
      </c>
      <c r="Y2586" s="346" t="s">
        <v>416</v>
      </c>
      <c r="Z2586" s="14" t="str">
        <f>IF(ISBLANK(LCI_Table[[#This Row],[Notes for user]])," ",LCI_Table[[#This Row],[Notes for user]])</f>
        <v xml:space="preserve"> </v>
      </c>
      <c r="AA2586" s="14"/>
      <c r="AB2586" s="14"/>
      <c r="AC2586" s="346">
        <f ca="1">LCI_Table[[#This Row],[Default Calculated Value]]-LCI_Table[[#This Row],[Calculated Value]]</f>
        <v>0</v>
      </c>
    </row>
    <row r="2587" spans="1:29" x14ac:dyDescent="0.3">
      <c r="A25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CornATJ-ethanolICAOJRC(blank)_Electricity_CornFarmingElectricity</v>
      </c>
      <c r="B2587" s="381" t="s">
        <v>136</v>
      </c>
      <c r="C2587" s="381" t="s">
        <v>1964</v>
      </c>
      <c r="D2587" s="383" t="s">
        <v>194</v>
      </c>
      <c r="E2587" s="379" t="s">
        <v>355</v>
      </c>
      <c r="F2587" s="375" t="s">
        <v>31</v>
      </c>
      <c r="G2587" s="14" t="b">
        <f>OR(LCI_Table[[#This Row],[Feedstock]]="All",LCI_Table[[#This Row],[Feedstock]]=SelectedFeedstock)</f>
        <v>0</v>
      </c>
      <c r="H2587" s="14" t="b">
        <f>OR(LCI_Table[[#This Row],[Conversion]]="All",LCI_Table[[#This Row],[Conversion]]=SelectedConversion)</f>
        <v>0</v>
      </c>
      <c r="I2587" s="14" t="b">
        <f>OR(LCI_Table[[#This Row],[Data Set]]="all",LCI_Table[[#This Row],[Data Set]]=SelectedDataSet)</f>
        <v>0</v>
      </c>
      <c r="J2587" s="14" t="b">
        <f>OR(LCI_Table[[#This Row],[Technology]]="All",LCI_Table[[#This Row],[Technology]]=SelectedTechnology)</f>
        <v>1</v>
      </c>
      <c r="K2587" s="14" t="b">
        <f>OR(LCI_Table[[#This Row],[Data Source]]="All",LCI_Table[[#This Row],[Data Source]]=SelectedDataSource)</f>
        <v>0</v>
      </c>
      <c r="L2587" s="14" t="b">
        <f>TRUE</f>
        <v>1</v>
      </c>
      <c r="M2587" s="14" t="b">
        <f>(LCI_Table[[#This Row],[Dev Notes]]="Do not display")</f>
        <v>0</v>
      </c>
      <c r="N2587" s="14" t="b">
        <f>AND(LCI_Table[[#This Row],[Show Feedstock]:[Conditional]],NOT(LCI_Table[[#This Row],[Hide Row]]))</f>
        <v>0</v>
      </c>
      <c r="O2587" s="14" t="b">
        <f>LCI_Table[[#This Row],[GREET1 Name Range]]=""</f>
        <v>0</v>
      </c>
      <c r="P2587" s="14" t="s">
        <v>14</v>
      </c>
      <c r="Q2587" s="14" t="s">
        <v>76</v>
      </c>
      <c r="R2587" s="348" t="s">
        <v>110</v>
      </c>
      <c r="S2587" s="37" cm="1">
        <f t="array" aca="1" ref="S25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87" s="346" t="s">
        <v>2121</v>
      </c>
      <c r="U2587" s="347">
        <f ca="1">S2587/$S$2574*kWh2BTU</f>
        <v>0</v>
      </c>
      <c r="V2587" s="347">
        <v>0</v>
      </c>
      <c r="W2587" s="347">
        <v>0</v>
      </c>
      <c r="X2587" s="14" t="s">
        <v>51</v>
      </c>
      <c r="Y2587" s="346" t="s">
        <v>416</v>
      </c>
      <c r="Z2587" s="14" t="str">
        <f>IF(ISBLANK(LCI_Table[[#This Row],[Notes for user]])," ",LCI_Table[[#This Row],[Notes for user]])</f>
        <v xml:space="preserve"> </v>
      </c>
      <c r="AA2587" s="14"/>
      <c r="AB2587" s="14"/>
      <c r="AC2587" s="346">
        <f ca="1">LCI_Table[[#This Row],[Default Calculated Value]]-LCI_Table[[#This Row],[Calculated Value]]</f>
        <v>0</v>
      </c>
    </row>
    <row r="2588" spans="1:29" x14ac:dyDescent="0.3">
      <c r="A25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CornATJ-ethanolICAOJRC(blank)_Corn_ETJ_CornCorn</v>
      </c>
      <c r="B2588" s="381" t="s">
        <v>136</v>
      </c>
      <c r="C2588" s="381" t="s">
        <v>1964</v>
      </c>
      <c r="D2588" s="383" t="s">
        <v>194</v>
      </c>
      <c r="E2588" s="379" t="s">
        <v>355</v>
      </c>
      <c r="F2588" s="375" t="s">
        <v>31</v>
      </c>
      <c r="G2588" s="14" t="b">
        <f>OR(LCI_Table[[#This Row],[Feedstock]]="All",LCI_Table[[#This Row],[Feedstock]]=SelectedFeedstock)</f>
        <v>0</v>
      </c>
      <c r="H2588" s="14" t="b">
        <f>OR(LCI_Table[[#This Row],[Conversion]]="All",LCI_Table[[#This Row],[Conversion]]=SelectedConversion)</f>
        <v>0</v>
      </c>
      <c r="I2588" s="14" t="b">
        <f>OR(LCI_Table[[#This Row],[Data Set]]="all",LCI_Table[[#This Row],[Data Set]]=SelectedDataSet)</f>
        <v>0</v>
      </c>
      <c r="J2588" s="14" t="b">
        <f>OR(LCI_Table[[#This Row],[Technology]]="All",LCI_Table[[#This Row],[Technology]]=SelectedTechnology)</f>
        <v>1</v>
      </c>
      <c r="K2588" s="14" t="b">
        <f>OR(LCI_Table[[#This Row],[Data Source]]="All",LCI_Table[[#This Row],[Data Source]]=SelectedDataSource)</f>
        <v>0</v>
      </c>
      <c r="L2588" s="14" t="b">
        <f>TRUE</f>
        <v>1</v>
      </c>
      <c r="M2588" s="14" t="b">
        <f>(LCI_Table[[#This Row],[Dev Notes]]="Do not display")</f>
        <v>0</v>
      </c>
      <c r="N2588" s="14" t="b">
        <f>AND(LCI_Table[[#This Row],[Show Feedstock]:[Conditional]],NOT(LCI_Table[[#This Row],[Hide Row]]))</f>
        <v>0</v>
      </c>
      <c r="O2588" s="14" t="b">
        <f>LCI_Table[[#This Row],[GREET1 Name Range]]=""</f>
        <v>0</v>
      </c>
      <c r="P2588" s="14" t="s">
        <v>1448</v>
      </c>
      <c r="Q2588" s="14" t="s">
        <v>573</v>
      </c>
      <c r="R2588" s="14" t="s">
        <v>136</v>
      </c>
      <c r="S2588" s="37" cm="1">
        <f t="array" aca="1" ref="S25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260.51199935307608</v>
      </c>
      <c r="T2588" s="346" t="s">
        <v>2119</v>
      </c>
      <c r="U2588" s="347">
        <f t="shared" ref="U2588" ca="1" si="185">S2588*lb2kg/mmBTU2MJ</f>
        <v>0.11200000000000024</v>
      </c>
      <c r="V2588" s="347">
        <v>260.51199935307608</v>
      </c>
      <c r="W2588" s="347">
        <v>0.11200000000000024</v>
      </c>
      <c r="X2588" s="14" t="s">
        <v>12</v>
      </c>
      <c r="Y2588" s="346" t="s">
        <v>416</v>
      </c>
      <c r="Z2588" s="14" t="str">
        <f>IF(ISBLANK(LCI_Table[[#This Row],[Notes for user]])," ",LCI_Table[[#This Row],[Notes for user]])</f>
        <v>Dry mill w/ corn oil extraction</v>
      </c>
      <c r="AA2588" s="14" t="s">
        <v>1153</v>
      </c>
      <c r="AB2588" s="358" t="s">
        <v>921</v>
      </c>
      <c r="AC2588" s="346">
        <f ca="1">LCI_Table[[#This Row],[Default Calculated Value]]-LCI_Table[[#This Row],[Calculated Value]]</f>
        <v>0</v>
      </c>
    </row>
    <row r="2589" spans="1:29" x14ac:dyDescent="0.3">
      <c r="A25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CornATJ-ethanolICAOJRC(blank)_Corn_ETJ_Alpha_amylaseAlpha-amylase</v>
      </c>
      <c r="B2589" s="381" t="s">
        <v>136</v>
      </c>
      <c r="C2589" s="381" t="s">
        <v>1964</v>
      </c>
      <c r="D2589" s="383" t="s">
        <v>194</v>
      </c>
      <c r="E2589" s="379" t="s">
        <v>355</v>
      </c>
      <c r="F2589" s="375" t="s">
        <v>31</v>
      </c>
      <c r="G2589" s="14" t="b">
        <f>OR(LCI_Table[[#This Row],[Feedstock]]="All",LCI_Table[[#This Row],[Feedstock]]=SelectedFeedstock)</f>
        <v>0</v>
      </c>
      <c r="H2589" s="14" t="b">
        <f>OR(LCI_Table[[#This Row],[Conversion]]="All",LCI_Table[[#This Row],[Conversion]]=SelectedConversion)</f>
        <v>0</v>
      </c>
      <c r="I2589" s="14" t="b">
        <f>OR(LCI_Table[[#This Row],[Data Set]]="all",LCI_Table[[#This Row],[Data Set]]=SelectedDataSet)</f>
        <v>0</v>
      </c>
      <c r="J2589" s="14" t="b">
        <f>OR(LCI_Table[[#This Row],[Technology]]="All",LCI_Table[[#This Row],[Technology]]=SelectedTechnology)</f>
        <v>1</v>
      </c>
      <c r="K2589" s="14" t="b">
        <f>OR(LCI_Table[[#This Row],[Data Source]]="All",LCI_Table[[#This Row],[Data Source]]=SelectedDataSource)</f>
        <v>0</v>
      </c>
      <c r="L2589" s="14" t="b">
        <f>TRUE</f>
        <v>1</v>
      </c>
      <c r="M2589" s="14" t="b">
        <f>(LCI_Table[[#This Row],[Dev Notes]]="Do not display")</f>
        <v>0</v>
      </c>
      <c r="N2589" s="14" t="b">
        <f>AND(LCI_Table[[#This Row],[Show Feedstock]:[Conditional]],NOT(LCI_Table[[#This Row],[Hide Row]]))</f>
        <v>0</v>
      </c>
      <c r="O2589" s="14" t="b">
        <f>LCI_Table[[#This Row],[GREET1 Name Range]]=""</f>
        <v>0</v>
      </c>
      <c r="P2589" s="14" t="s">
        <v>1448</v>
      </c>
      <c r="Q2589" s="14" t="s">
        <v>571</v>
      </c>
      <c r="R2589" s="14" t="s">
        <v>353</v>
      </c>
      <c r="S2589" s="37" cm="1">
        <f t="array" aca="1" ref="S25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8.336383979298434E-2</v>
      </c>
      <c r="T2589" s="346" t="s">
        <v>2119</v>
      </c>
      <c r="U2589" s="347">
        <f t="shared" ref="U2589" ca="1" si="186">S2589*lb2kg/mmBTU2MJ</f>
        <v>3.584000000000007E-5</v>
      </c>
      <c r="V2589" s="347">
        <v>8.336383979298434E-2</v>
      </c>
      <c r="W2589" s="347">
        <v>3.584000000000007E-5</v>
      </c>
      <c r="X2589" s="14" t="s">
        <v>12</v>
      </c>
      <c r="Y2589" s="346" t="s">
        <v>416</v>
      </c>
      <c r="Z2589" s="14" t="str">
        <f>IF(ISBLANK(LCI_Table[[#This Row],[Notes for user]])," ",LCI_Table[[#This Row],[Notes for user]])</f>
        <v xml:space="preserve"> </v>
      </c>
      <c r="AA2589" s="14"/>
      <c r="AB2589" s="14" t="s">
        <v>918</v>
      </c>
      <c r="AC2589" s="346">
        <f ca="1">LCI_Table[[#This Row],[Default Calculated Value]]-LCI_Table[[#This Row],[Calculated Value]]</f>
        <v>0</v>
      </c>
    </row>
    <row r="2590" spans="1:29" x14ac:dyDescent="0.3">
      <c r="A25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CornATJ-ethanolICAOJRC(blank)_Corn_ETJ_Gluco_amylaseGluco-amylase</v>
      </c>
      <c r="B2590" s="381" t="s">
        <v>136</v>
      </c>
      <c r="C2590" s="381" t="s">
        <v>1964</v>
      </c>
      <c r="D2590" s="383" t="s">
        <v>194</v>
      </c>
      <c r="E2590" s="379" t="s">
        <v>355</v>
      </c>
      <c r="F2590" s="375" t="s">
        <v>31</v>
      </c>
      <c r="G2590" s="14" t="b">
        <f>OR(LCI_Table[[#This Row],[Feedstock]]="All",LCI_Table[[#This Row],[Feedstock]]=SelectedFeedstock)</f>
        <v>0</v>
      </c>
      <c r="H2590" s="14" t="b">
        <f>OR(LCI_Table[[#This Row],[Conversion]]="All",LCI_Table[[#This Row],[Conversion]]=SelectedConversion)</f>
        <v>0</v>
      </c>
      <c r="I2590" s="14" t="b">
        <f>OR(LCI_Table[[#This Row],[Data Set]]="all",LCI_Table[[#This Row],[Data Set]]=SelectedDataSet)</f>
        <v>0</v>
      </c>
      <c r="J2590" s="14" t="b">
        <f>OR(LCI_Table[[#This Row],[Technology]]="All",LCI_Table[[#This Row],[Technology]]=SelectedTechnology)</f>
        <v>1</v>
      </c>
      <c r="K2590" s="14" t="b">
        <f>OR(LCI_Table[[#This Row],[Data Source]]="All",LCI_Table[[#This Row],[Data Source]]=SelectedDataSource)</f>
        <v>0</v>
      </c>
      <c r="L2590" s="14" t="b">
        <f>TRUE</f>
        <v>1</v>
      </c>
      <c r="M2590" s="14" t="b">
        <f>(LCI_Table[[#This Row],[Dev Notes]]="Do not display")</f>
        <v>0</v>
      </c>
      <c r="N2590" s="14" t="b">
        <f>AND(LCI_Table[[#This Row],[Show Feedstock]:[Conditional]],NOT(LCI_Table[[#This Row],[Hide Row]]))</f>
        <v>0</v>
      </c>
      <c r="O2590" s="14" t="b">
        <f>LCI_Table[[#This Row],[GREET1 Name Range]]=""</f>
        <v>0</v>
      </c>
      <c r="P2590" s="14" t="s">
        <v>1448</v>
      </c>
      <c r="Q2590" s="14" t="s">
        <v>576</v>
      </c>
      <c r="R2590" s="14" t="s">
        <v>354</v>
      </c>
      <c r="S2590" s="37" cm="1">
        <f t="array" aca="1" ref="S25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0.17714815956009178</v>
      </c>
      <c r="T2590" s="346" t="s">
        <v>2119</v>
      </c>
      <c r="U2590" s="347">
        <f t="shared" ref="U2590" ca="1" si="187">S2590*lb2kg/mmBTU2MJ</f>
        <v>7.6160000000000192E-5</v>
      </c>
      <c r="V2590" s="347">
        <v>0.17714815956009178</v>
      </c>
      <c r="W2590" s="347">
        <v>7.6160000000000192E-5</v>
      </c>
      <c r="X2590" s="14" t="s">
        <v>12</v>
      </c>
      <c r="Y2590" s="346" t="s">
        <v>416</v>
      </c>
      <c r="Z2590" s="14" t="str">
        <f>IF(ISBLANK(LCI_Table[[#This Row],[Notes for user]])," ",LCI_Table[[#This Row],[Notes for user]])</f>
        <v xml:space="preserve"> </v>
      </c>
      <c r="AA2590" s="14"/>
      <c r="AB2590" s="14"/>
      <c r="AC2590" s="346">
        <f ca="1">LCI_Table[[#This Row],[Default Calculated Value]]-LCI_Table[[#This Row],[Calculated Value]]</f>
        <v>0</v>
      </c>
    </row>
    <row r="2591" spans="1:29" x14ac:dyDescent="0.3">
      <c r="A25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CornATJ-ethanolICAOJRC(blank)_Corn_ETJ_YeastYeast</v>
      </c>
      <c r="B2591" s="381" t="s">
        <v>136</v>
      </c>
      <c r="C2591" s="381" t="s">
        <v>1964</v>
      </c>
      <c r="D2591" s="383" t="s">
        <v>194</v>
      </c>
      <c r="E2591" s="379" t="s">
        <v>355</v>
      </c>
      <c r="F2591" s="375" t="s">
        <v>31</v>
      </c>
      <c r="G2591" s="14" t="b">
        <f>OR(LCI_Table[[#This Row],[Feedstock]]="All",LCI_Table[[#This Row],[Feedstock]]=SelectedFeedstock)</f>
        <v>0</v>
      </c>
      <c r="H2591" s="14" t="b">
        <f>OR(LCI_Table[[#This Row],[Conversion]]="All",LCI_Table[[#This Row],[Conversion]]=SelectedConversion)</f>
        <v>0</v>
      </c>
      <c r="I2591" s="14" t="b">
        <f>OR(LCI_Table[[#This Row],[Data Set]]="all",LCI_Table[[#This Row],[Data Set]]=SelectedDataSet)</f>
        <v>0</v>
      </c>
      <c r="J2591" s="14" t="b">
        <f>OR(LCI_Table[[#This Row],[Technology]]="All",LCI_Table[[#This Row],[Technology]]=SelectedTechnology)</f>
        <v>1</v>
      </c>
      <c r="K2591" s="14" t="b">
        <f>OR(LCI_Table[[#This Row],[Data Source]]="All",LCI_Table[[#This Row],[Data Source]]=SelectedDataSource)</f>
        <v>0</v>
      </c>
      <c r="L2591" s="14" t="b">
        <f>TRUE</f>
        <v>1</v>
      </c>
      <c r="M2591" s="14" t="b">
        <f>(LCI_Table[[#This Row],[Dev Notes]]="Do not display")</f>
        <v>0</v>
      </c>
      <c r="N2591" s="14" t="b">
        <f>AND(LCI_Table[[#This Row],[Show Feedstock]:[Conditional]],NOT(LCI_Table[[#This Row],[Hide Row]]))</f>
        <v>0</v>
      </c>
      <c r="O2591" s="14" t="b">
        <f>LCI_Table[[#This Row],[GREET1 Name Range]]=""</f>
        <v>0</v>
      </c>
      <c r="P2591" s="14" t="s">
        <v>1448</v>
      </c>
      <c r="Q2591" s="14" t="s">
        <v>583</v>
      </c>
      <c r="R2591" s="14" t="s">
        <v>145</v>
      </c>
      <c r="S2591" s="37" cm="1">
        <f t="array" aca="1" ref="S25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9.1179199773576636E-2</v>
      </c>
      <c r="T2591" s="346" t="s">
        <v>2119</v>
      </c>
      <c r="U2591" s="347">
        <f t="shared" ref="U2591" ca="1" si="188">S2591*lb2kg/mmBTU2MJ</f>
        <v>3.9200000000000092E-5</v>
      </c>
      <c r="V2591" s="347">
        <v>9.1179199773576636E-2</v>
      </c>
      <c r="W2591" s="347">
        <v>3.9200000000000092E-5</v>
      </c>
      <c r="X2591" s="14" t="s">
        <v>12</v>
      </c>
      <c r="Y2591" s="346" t="s">
        <v>416</v>
      </c>
      <c r="Z2591" s="14" t="str">
        <f>IF(ISBLANK(LCI_Table[[#This Row],[Notes for user]])," ",LCI_Table[[#This Row],[Notes for user]])</f>
        <v xml:space="preserve"> </v>
      </c>
      <c r="AA2591" s="14"/>
      <c r="AB2591" s="14"/>
      <c r="AC2591" s="346">
        <f ca="1">LCI_Table[[#This Row],[Default Calculated Value]]-LCI_Table[[#This Row],[Calculated Value]]</f>
        <v>0</v>
      </c>
    </row>
    <row r="2592" spans="1:29" x14ac:dyDescent="0.3">
      <c r="A25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CornATJ-ethanolICAOJRC(blank)_Corn_ETJ_Sulfuric_acidSulfuric acid</v>
      </c>
      <c r="B2592" s="381" t="s">
        <v>136</v>
      </c>
      <c r="C2592" s="381" t="s">
        <v>1964</v>
      </c>
      <c r="D2592" s="383" t="s">
        <v>194</v>
      </c>
      <c r="E2592" s="379" t="s">
        <v>355</v>
      </c>
      <c r="F2592" s="375" t="s">
        <v>31</v>
      </c>
      <c r="G2592" s="14" t="b">
        <f>OR(LCI_Table[[#This Row],[Feedstock]]="All",LCI_Table[[#This Row],[Feedstock]]=SelectedFeedstock)</f>
        <v>0</v>
      </c>
      <c r="H2592" s="14" t="b">
        <f>OR(LCI_Table[[#This Row],[Conversion]]="All",LCI_Table[[#This Row],[Conversion]]=SelectedConversion)</f>
        <v>0</v>
      </c>
      <c r="I2592" s="14" t="b">
        <f>OR(LCI_Table[[#This Row],[Data Set]]="all",LCI_Table[[#This Row],[Data Set]]=SelectedDataSet)</f>
        <v>0</v>
      </c>
      <c r="J2592" s="14" t="b">
        <f>OR(LCI_Table[[#This Row],[Technology]]="All",LCI_Table[[#This Row],[Technology]]=SelectedTechnology)</f>
        <v>1</v>
      </c>
      <c r="K2592" s="14" t="b">
        <f>OR(LCI_Table[[#This Row],[Data Source]]="All",LCI_Table[[#This Row],[Data Source]]=SelectedDataSource)</f>
        <v>0</v>
      </c>
      <c r="L2592" s="14" t="b">
        <f>TRUE</f>
        <v>1</v>
      </c>
      <c r="M2592" s="14" t="b">
        <f>(LCI_Table[[#This Row],[Dev Notes]]="Do not display")</f>
        <v>0</v>
      </c>
      <c r="N2592" s="14" t="b">
        <f>AND(LCI_Table[[#This Row],[Show Feedstock]:[Conditional]],NOT(LCI_Table[[#This Row],[Hide Row]]))</f>
        <v>0</v>
      </c>
      <c r="O2592" s="14" t="b">
        <f>LCI_Table[[#This Row],[GREET1 Name Range]]=""</f>
        <v>0</v>
      </c>
      <c r="P2592" s="14" t="s">
        <v>1448</v>
      </c>
      <c r="Q2592" s="14" t="s">
        <v>580</v>
      </c>
      <c r="R2592" s="14" t="s">
        <v>384</v>
      </c>
      <c r="S2592" s="37" cm="1">
        <f t="array" aca="1" ref="S25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0.15370207961831489</v>
      </c>
      <c r="T2592" s="346" t="s">
        <v>2119</v>
      </c>
      <c r="U2592" s="347">
        <f t="shared" ref="U2592" ca="1" si="189">S2592*lb2kg/mmBTU2MJ</f>
        <v>6.608000000000014E-5</v>
      </c>
      <c r="V2592" s="347">
        <v>0.15370207961831489</v>
      </c>
      <c r="W2592" s="347">
        <v>6.608000000000014E-5</v>
      </c>
      <c r="X2592" s="14" t="s">
        <v>12</v>
      </c>
      <c r="Y2592" s="346" t="s">
        <v>416</v>
      </c>
      <c r="Z2592" s="14" t="str">
        <f>IF(ISBLANK(LCI_Table[[#This Row],[Notes for user]])," ",LCI_Table[[#This Row],[Notes for user]])</f>
        <v xml:space="preserve"> </v>
      </c>
      <c r="AA2592" s="14"/>
      <c r="AB2592" s="14"/>
      <c r="AC2592" s="346">
        <f ca="1">LCI_Table[[#This Row],[Default Calculated Value]]-LCI_Table[[#This Row],[Calculated Value]]</f>
        <v>0</v>
      </c>
    </row>
    <row r="2593" spans="1:29" x14ac:dyDescent="0.3">
      <c r="A25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CornATJ-ethanolICAOJRC(blank)_Corn_ETJ_AmmoniaAmmonia</v>
      </c>
      <c r="B2593" s="381" t="s">
        <v>136</v>
      </c>
      <c r="C2593" s="381" t="s">
        <v>1964</v>
      </c>
      <c r="D2593" s="383" t="s">
        <v>194</v>
      </c>
      <c r="E2593" s="379" t="s">
        <v>355</v>
      </c>
      <c r="F2593" s="375" t="s">
        <v>31</v>
      </c>
      <c r="G2593" s="14" t="b">
        <f>OR(LCI_Table[[#This Row],[Feedstock]]="All",LCI_Table[[#This Row],[Feedstock]]=SelectedFeedstock)</f>
        <v>0</v>
      </c>
      <c r="H2593" s="14" t="b">
        <f>OR(LCI_Table[[#This Row],[Conversion]]="All",LCI_Table[[#This Row],[Conversion]]=SelectedConversion)</f>
        <v>0</v>
      </c>
      <c r="I2593" s="14" t="b">
        <f>OR(LCI_Table[[#This Row],[Data Set]]="all",LCI_Table[[#This Row],[Data Set]]=SelectedDataSet)</f>
        <v>0</v>
      </c>
      <c r="J2593" s="14" t="b">
        <f>OR(LCI_Table[[#This Row],[Technology]]="All",LCI_Table[[#This Row],[Technology]]=SelectedTechnology)</f>
        <v>1</v>
      </c>
      <c r="K2593" s="14" t="b">
        <f>OR(LCI_Table[[#This Row],[Data Source]]="All",LCI_Table[[#This Row],[Data Source]]=SelectedDataSource)</f>
        <v>0</v>
      </c>
      <c r="L2593" s="14" t="b">
        <f>TRUE</f>
        <v>1</v>
      </c>
      <c r="M2593" s="14" t="b">
        <f>(LCI_Table[[#This Row],[Dev Notes]]="Do not display")</f>
        <v>0</v>
      </c>
      <c r="N2593" s="14" t="b">
        <f>AND(LCI_Table[[#This Row],[Show Feedstock]:[Conditional]],NOT(LCI_Table[[#This Row],[Hide Row]]))</f>
        <v>0</v>
      </c>
      <c r="O2593" s="14" t="b">
        <f>LCI_Table[[#This Row],[GREET1 Name Range]]=""</f>
        <v>0</v>
      </c>
      <c r="P2593" s="14" t="s">
        <v>1448</v>
      </c>
      <c r="Q2593" s="14" t="s">
        <v>1395</v>
      </c>
      <c r="R2593" s="14" t="s">
        <v>382</v>
      </c>
      <c r="S2593" s="37" cm="1">
        <f t="array" aca="1" ref="S25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0.58615199854442124</v>
      </c>
      <c r="T2593" s="346" t="s">
        <v>2119</v>
      </c>
      <c r="U2593" s="347">
        <f t="shared" ref="U2593" ca="1" si="190">S2593*lb2kg/mmBTU2MJ</f>
        <v>2.5200000000000054E-4</v>
      </c>
      <c r="V2593" s="347">
        <v>0.58615199854442124</v>
      </c>
      <c r="W2593" s="347">
        <v>2.5200000000000054E-4</v>
      </c>
      <c r="X2593" s="14" t="s">
        <v>12</v>
      </c>
      <c r="Y2593" s="346" t="s">
        <v>416</v>
      </c>
      <c r="Z2593" s="14" t="str">
        <f>IF(ISBLANK(LCI_Table[[#This Row],[Notes for user]])," ",LCI_Table[[#This Row],[Notes for user]])</f>
        <v xml:space="preserve"> </v>
      </c>
      <c r="AA2593" s="14"/>
      <c r="AB2593" s="14"/>
      <c r="AC2593" s="346">
        <f ca="1">LCI_Table[[#This Row],[Default Calculated Value]]-LCI_Table[[#This Row],[Calculated Value]]</f>
        <v>0</v>
      </c>
    </row>
    <row r="2594" spans="1:29" x14ac:dyDescent="0.3">
      <c r="A25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CornATJ-ethanolICAOJRC(blank)_Corn_ETJ_LimeQuicklime (CaO)</v>
      </c>
      <c r="B2594" s="381" t="s">
        <v>136</v>
      </c>
      <c r="C2594" s="381" t="s">
        <v>1964</v>
      </c>
      <c r="D2594" s="383" t="s">
        <v>194</v>
      </c>
      <c r="E2594" s="379" t="s">
        <v>355</v>
      </c>
      <c r="F2594" s="375" t="s">
        <v>31</v>
      </c>
      <c r="G2594" s="14" t="b">
        <f>OR(LCI_Table[[#This Row],[Feedstock]]="All",LCI_Table[[#This Row],[Feedstock]]=SelectedFeedstock)</f>
        <v>0</v>
      </c>
      <c r="H2594" s="14" t="b">
        <f>OR(LCI_Table[[#This Row],[Conversion]]="All",LCI_Table[[#This Row],[Conversion]]=SelectedConversion)</f>
        <v>0</v>
      </c>
      <c r="I2594" s="14" t="b">
        <f>OR(LCI_Table[[#This Row],[Data Set]]="all",LCI_Table[[#This Row],[Data Set]]=SelectedDataSet)</f>
        <v>0</v>
      </c>
      <c r="J2594" s="14" t="b">
        <f>OR(LCI_Table[[#This Row],[Technology]]="All",LCI_Table[[#This Row],[Technology]]=SelectedTechnology)</f>
        <v>1</v>
      </c>
      <c r="K2594" s="14" t="b">
        <f>OR(LCI_Table[[#This Row],[Data Source]]="All",LCI_Table[[#This Row],[Data Source]]=SelectedDataSource)</f>
        <v>0</v>
      </c>
      <c r="L2594" s="14" t="b">
        <f>TRUE</f>
        <v>1</v>
      </c>
      <c r="M2594" s="14" t="b">
        <f>(LCI_Table[[#This Row],[Dev Notes]]="Do not display")</f>
        <v>0</v>
      </c>
      <c r="N2594" s="14" t="b">
        <f>AND(LCI_Table[[#This Row],[Show Feedstock]:[Conditional]],NOT(LCI_Table[[#This Row],[Hide Row]]))</f>
        <v>0</v>
      </c>
      <c r="O2594" s="14" t="b">
        <f>LCI_Table[[#This Row],[GREET1 Name Range]]=""</f>
        <v>0</v>
      </c>
      <c r="P2594" s="14" t="s">
        <v>1448</v>
      </c>
      <c r="Q2594" s="14" t="s">
        <v>578</v>
      </c>
      <c r="R2594" s="14" t="s">
        <v>404</v>
      </c>
      <c r="S2594" s="37" cm="1">
        <f t="array" aca="1" ref="S25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0.34908607913312195</v>
      </c>
      <c r="T2594" s="346" t="s">
        <v>2119</v>
      </c>
      <c r="U2594" s="347">
        <f t="shared" ref="U2594" ca="1" si="191">S2594*lb2kg/mmBTU2MJ</f>
        <v>1.5008000000000032E-4</v>
      </c>
      <c r="V2594" s="347">
        <v>0.34908607913312195</v>
      </c>
      <c r="W2594" s="347">
        <v>1.5008000000000032E-4</v>
      </c>
      <c r="X2594" s="14" t="s">
        <v>12</v>
      </c>
      <c r="Y2594" s="346" t="s">
        <v>416</v>
      </c>
      <c r="Z2594" s="14" t="str">
        <f>IF(ISBLANK(LCI_Table[[#This Row],[Notes for user]])," ",LCI_Table[[#This Row],[Notes for user]])</f>
        <v xml:space="preserve"> </v>
      </c>
      <c r="AA2594" s="14"/>
      <c r="AB2594" s="14"/>
      <c r="AC2594" s="346">
        <f ca="1">LCI_Table[[#This Row],[Default Calculated Value]]-LCI_Table[[#This Row],[Calculated Value]]</f>
        <v>0</v>
      </c>
    </row>
    <row r="2595" spans="1:29" x14ac:dyDescent="0.3">
      <c r="A25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CornATJ-ethanolICAOJRC(blank)_Corn_ETJ_UreaUrea</v>
      </c>
      <c r="B2595" s="381" t="s">
        <v>136</v>
      </c>
      <c r="C2595" s="381" t="s">
        <v>1964</v>
      </c>
      <c r="D2595" s="383" t="s">
        <v>194</v>
      </c>
      <c r="E2595" s="379" t="s">
        <v>355</v>
      </c>
      <c r="F2595" s="375" t="s">
        <v>31</v>
      </c>
      <c r="G2595" s="14" t="b">
        <f>OR(LCI_Table[[#This Row],[Feedstock]]="All",LCI_Table[[#This Row],[Feedstock]]=SelectedFeedstock)</f>
        <v>0</v>
      </c>
      <c r="H2595" s="14" t="b">
        <f>OR(LCI_Table[[#This Row],[Conversion]]="All",LCI_Table[[#This Row],[Conversion]]=SelectedConversion)</f>
        <v>0</v>
      </c>
      <c r="I2595" s="14" t="b">
        <f>OR(LCI_Table[[#This Row],[Data Set]]="all",LCI_Table[[#This Row],[Data Set]]=SelectedDataSet)</f>
        <v>0</v>
      </c>
      <c r="J2595" s="14" t="b">
        <f>OR(LCI_Table[[#This Row],[Technology]]="All",LCI_Table[[#This Row],[Technology]]=SelectedTechnology)</f>
        <v>1</v>
      </c>
      <c r="K2595" s="14" t="b">
        <f>OR(LCI_Table[[#This Row],[Data Source]]="All",LCI_Table[[#This Row],[Data Source]]=SelectedDataSource)</f>
        <v>0</v>
      </c>
      <c r="L2595" s="14" t="b">
        <f>TRUE</f>
        <v>1</v>
      </c>
      <c r="M2595" s="14" t="b">
        <f>(LCI_Table[[#This Row],[Dev Notes]]="Do not display")</f>
        <v>0</v>
      </c>
      <c r="N2595" s="14" t="b">
        <f>AND(LCI_Table[[#This Row],[Show Feedstock]:[Conditional]],NOT(LCI_Table[[#This Row],[Hide Row]]))</f>
        <v>0</v>
      </c>
      <c r="O2595" s="14" t="b">
        <f>LCI_Table[[#This Row],[GREET1 Name Range]]=""</f>
        <v>0</v>
      </c>
      <c r="P2595" s="14" t="s">
        <v>1448</v>
      </c>
      <c r="Q2595" s="14" t="s">
        <v>581</v>
      </c>
      <c r="R2595" s="14" t="s">
        <v>144</v>
      </c>
      <c r="S2595" s="37" cm="1">
        <f t="array" aca="1" ref="S25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95" s="346" t="s">
        <v>2119</v>
      </c>
      <c r="U2595" s="347">
        <f t="shared" ref="U2595" ca="1" si="192">S2595*lb2kg/mmBTU2MJ</f>
        <v>0</v>
      </c>
      <c r="V2595" s="347">
        <v>0</v>
      </c>
      <c r="W2595" s="347">
        <v>0</v>
      </c>
      <c r="X2595" s="14" t="s">
        <v>12</v>
      </c>
      <c r="Y2595" s="346" t="s">
        <v>416</v>
      </c>
      <c r="Z2595" s="14" t="str">
        <f>IF(ISBLANK(LCI_Table[[#This Row],[Notes for user]])," ",LCI_Table[[#This Row],[Notes for user]])</f>
        <v xml:space="preserve"> </v>
      </c>
      <c r="AA2595" s="14"/>
      <c r="AB2595" s="14"/>
      <c r="AC2595" s="346">
        <f ca="1">LCI_Table[[#This Row],[Default Calculated Value]]-LCI_Table[[#This Row],[Calculated Value]]</f>
        <v>0</v>
      </c>
    </row>
    <row r="2596" spans="1:29" x14ac:dyDescent="0.3">
      <c r="A25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CornATJ-ethanolICAOJRC(blank)_Corn_ETJ_HydrogenHydrogen</v>
      </c>
      <c r="B2596" s="381" t="s">
        <v>136</v>
      </c>
      <c r="C2596" s="381" t="s">
        <v>1964</v>
      </c>
      <c r="D2596" s="383" t="s">
        <v>194</v>
      </c>
      <c r="E2596" s="379" t="s">
        <v>355</v>
      </c>
      <c r="F2596" s="375" t="s">
        <v>31</v>
      </c>
      <c r="G2596" s="14" t="b">
        <f>OR(LCI_Table[[#This Row],[Feedstock]]="All",LCI_Table[[#This Row],[Feedstock]]=SelectedFeedstock)</f>
        <v>0</v>
      </c>
      <c r="H2596" s="14" t="b">
        <f>OR(LCI_Table[[#This Row],[Conversion]]="All",LCI_Table[[#This Row],[Conversion]]=SelectedConversion)</f>
        <v>0</v>
      </c>
      <c r="I2596" s="14" t="b">
        <f>OR(LCI_Table[[#This Row],[Data Set]]="all",LCI_Table[[#This Row],[Data Set]]=SelectedDataSet)</f>
        <v>0</v>
      </c>
      <c r="J2596" s="14" t="b">
        <f>OR(LCI_Table[[#This Row],[Technology]]="All",LCI_Table[[#This Row],[Technology]]=SelectedTechnology)</f>
        <v>1</v>
      </c>
      <c r="K2596" s="14" t="b">
        <f>OR(LCI_Table[[#This Row],[Data Source]]="All",LCI_Table[[#This Row],[Data Source]]=SelectedDataSource)</f>
        <v>0</v>
      </c>
      <c r="L2596" s="14" t="b">
        <f>TRUE</f>
        <v>1</v>
      </c>
      <c r="M2596" s="14" t="b">
        <f>(LCI_Table[[#This Row],[Dev Notes]]="Do not display")</f>
        <v>0</v>
      </c>
      <c r="N2596" s="14" t="b">
        <f>AND(LCI_Table[[#This Row],[Show Feedstock]:[Conditional]],NOT(LCI_Table[[#This Row],[Hide Row]]))</f>
        <v>0</v>
      </c>
      <c r="O2596" s="14" t="b">
        <f>LCI_Table[[#This Row],[GREET1 Name Range]]=""</f>
        <v>0</v>
      </c>
      <c r="P2596" s="387" t="s">
        <v>1448</v>
      </c>
      <c r="Q2596" s="14" t="s">
        <v>577</v>
      </c>
      <c r="R2596" s="358" t="s">
        <v>73</v>
      </c>
      <c r="S2596" s="37" cm="1">
        <f t="array" aca="1" ref="S25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359.17241379310343</v>
      </c>
      <c r="T2596" s="346" t="s">
        <v>2120</v>
      </c>
      <c r="U2596" s="357">
        <f ca="1">S2596*Fuel_Specs!$E$81*g2kg/mmBTU2MJ</f>
        <v>8.6809589764600022E-4</v>
      </c>
      <c r="V2596" s="347">
        <v>359.17241379310343</v>
      </c>
      <c r="W2596" s="347">
        <v>8.6809589764600022E-4</v>
      </c>
      <c r="X2596" s="360" t="s">
        <v>351</v>
      </c>
      <c r="Y2596" s="346" t="s">
        <v>416</v>
      </c>
      <c r="Z2596" s="14" t="str">
        <f>IF(ISBLANK(LCI_Table[[#This Row],[Notes for user]])," ",LCI_Table[[#This Row],[Notes for user]])</f>
        <v xml:space="preserve"> </v>
      </c>
      <c r="AA2596" s="358"/>
      <c r="AB2596" s="358"/>
      <c r="AC2596" s="346">
        <f ca="1">LCI_Table[[#This Row],[Default Calculated Value]]-LCI_Table[[#This Row],[Calculated Value]]</f>
        <v>0</v>
      </c>
    </row>
    <row r="2597" spans="1:29" x14ac:dyDescent="0.3">
      <c r="A25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CornATJ-ethanolICAOJRC(blank)_Corn_ETJ_Natural_gasNatural gas</v>
      </c>
      <c r="B2597" s="381" t="s">
        <v>136</v>
      </c>
      <c r="C2597" s="381" t="s">
        <v>1964</v>
      </c>
      <c r="D2597" s="383" t="s">
        <v>194</v>
      </c>
      <c r="E2597" s="379" t="s">
        <v>355</v>
      </c>
      <c r="F2597" s="375" t="s">
        <v>31</v>
      </c>
      <c r="G2597" s="14" t="b">
        <f>OR(LCI_Table[[#This Row],[Feedstock]]="All",LCI_Table[[#This Row],[Feedstock]]=SelectedFeedstock)</f>
        <v>0</v>
      </c>
      <c r="H2597" s="14" t="b">
        <f>OR(LCI_Table[[#This Row],[Conversion]]="All",LCI_Table[[#This Row],[Conversion]]=SelectedConversion)</f>
        <v>0</v>
      </c>
      <c r="I2597" s="14" t="b">
        <f>OR(LCI_Table[[#This Row],[Data Set]]="all",LCI_Table[[#This Row],[Data Set]]=SelectedDataSet)</f>
        <v>0</v>
      </c>
      <c r="J2597" s="14" t="b">
        <f>OR(LCI_Table[[#This Row],[Technology]]="All",LCI_Table[[#This Row],[Technology]]=SelectedTechnology)</f>
        <v>1</v>
      </c>
      <c r="K2597" s="14" t="b">
        <f>OR(LCI_Table[[#This Row],[Data Source]]="All",LCI_Table[[#This Row],[Data Source]]=SelectedDataSource)</f>
        <v>0</v>
      </c>
      <c r="L2597" s="14" t="b">
        <f>TRUE</f>
        <v>1</v>
      </c>
      <c r="M2597" s="14" t="b">
        <f>(LCI_Table[[#This Row],[Dev Notes]]="Do not display")</f>
        <v>0</v>
      </c>
      <c r="N2597" s="14" t="b">
        <f>AND(LCI_Table[[#This Row],[Show Feedstock]:[Conditional]],NOT(LCI_Table[[#This Row],[Hide Row]]))</f>
        <v>0</v>
      </c>
      <c r="O2597" s="14" t="b">
        <f>LCI_Table[[#This Row],[GREET1 Name Range]]=""</f>
        <v>0</v>
      </c>
      <c r="P2597" s="14" t="s">
        <v>1448</v>
      </c>
      <c r="Q2597" s="14" t="s">
        <v>579</v>
      </c>
      <c r="R2597" s="14" t="s">
        <v>108</v>
      </c>
      <c r="S2597" s="37" cm="1">
        <f t="array" aca="1" ref="S25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381.68870803662264</v>
      </c>
      <c r="T2597" s="346" t="s">
        <v>2120</v>
      </c>
      <c r="U2597" s="347">
        <f ca="1">S2597*Fuel_Specs!$E$79*g2kg/mmBTU2MJ</f>
        <v>7.9589640461267507E-3</v>
      </c>
      <c r="V2597" s="347">
        <v>381.68870803662264</v>
      </c>
      <c r="W2597" s="347">
        <v>7.9589640461267507E-3</v>
      </c>
      <c r="X2597" s="14" t="s">
        <v>351</v>
      </c>
      <c r="Y2597" s="346" t="s">
        <v>416</v>
      </c>
      <c r="Z2597" s="14" t="str">
        <f>IF(ISBLANK(LCI_Table[[#This Row],[Notes for user]])," ",LCI_Table[[#This Row],[Notes for user]])</f>
        <v xml:space="preserve"> </v>
      </c>
      <c r="AA2597" s="14"/>
      <c r="AB2597" s="14" t="s">
        <v>1142</v>
      </c>
      <c r="AC2597" s="346">
        <f ca="1">LCI_Table[[#This Row],[Default Calculated Value]]-LCI_Table[[#This Row],[Calculated Value]]</f>
        <v>0</v>
      </c>
    </row>
    <row r="2598" spans="1:29" x14ac:dyDescent="0.3">
      <c r="A25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CornATJ-ethanolICAOJRC(blank)_Corn_ETJ_ElectricityGrid Electricity</v>
      </c>
      <c r="B2598" s="381" t="s">
        <v>136</v>
      </c>
      <c r="C2598" s="381" t="s">
        <v>1964</v>
      </c>
      <c r="D2598" s="383" t="s">
        <v>194</v>
      </c>
      <c r="E2598" s="379" t="s">
        <v>355</v>
      </c>
      <c r="F2598" s="375" t="s">
        <v>31</v>
      </c>
      <c r="G2598" s="14" t="b">
        <f>OR(LCI_Table[[#This Row],[Feedstock]]="All",LCI_Table[[#This Row],[Feedstock]]=SelectedFeedstock)</f>
        <v>0</v>
      </c>
      <c r="H2598" s="14" t="b">
        <f>OR(LCI_Table[[#This Row],[Conversion]]="All",LCI_Table[[#This Row],[Conversion]]=SelectedConversion)</f>
        <v>0</v>
      </c>
      <c r="I2598" s="14" t="b">
        <f>OR(LCI_Table[[#This Row],[Data Set]]="all",LCI_Table[[#This Row],[Data Set]]=SelectedDataSet)</f>
        <v>0</v>
      </c>
      <c r="J2598" s="14" t="b">
        <f>OR(LCI_Table[[#This Row],[Technology]]="All",LCI_Table[[#This Row],[Technology]]=SelectedTechnology)</f>
        <v>1</v>
      </c>
      <c r="K2598" s="14" t="b">
        <f>OR(LCI_Table[[#This Row],[Data Source]]="All",LCI_Table[[#This Row],[Data Source]]=SelectedDataSource)</f>
        <v>0</v>
      </c>
      <c r="L2598" s="14" t="b">
        <f>TRUE</f>
        <v>1</v>
      </c>
      <c r="M2598" s="14" t="b">
        <f>(LCI_Table[[#This Row],[Dev Notes]]="Do not display")</f>
        <v>0</v>
      </c>
      <c r="N2598" s="14" t="b">
        <f>AND(LCI_Table[[#This Row],[Show Feedstock]:[Conditional]],NOT(LCI_Table[[#This Row],[Hide Row]]))</f>
        <v>0</v>
      </c>
      <c r="O2598" s="14" t="b">
        <f>LCI_Table[[#This Row],[GREET1 Name Range]]=""</f>
        <v>0</v>
      </c>
      <c r="P2598" s="14" t="s">
        <v>1448</v>
      </c>
      <c r="Q2598" s="14" t="s">
        <v>575</v>
      </c>
      <c r="R2598" s="14" t="s">
        <v>1684</v>
      </c>
      <c r="S2598" s="37" cm="1">
        <f t="array" aca="1" ref="S25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20.268795162777781</v>
      </c>
      <c r="T2598" s="346" t="s">
        <v>2121</v>
      </c>
      <c r="U2598" s="347">
        <f ca="1">S2598/mmBTU2MJ</f>
        <v>1.9211111111111116E-2</v>
      </c>
      <c r="V2598" s="347">
        <v>20.268795162777781</v>
      </c>
      <c r="W2598" s="347">
        <v>1.9211111111111116E-2</v>
      </c>
      <c r="X2598" s="37" t="s">
        <v>51</v>
      </c>
      <c r="Y2598" s="346" t="s">
        <v>416</v>
      </c>
      <c r="Z2598" s="14" t="str">
        <f>IF(ISBLANK(LCI_Table[[#This Row],[Notes for user]])," ",LCI_Table[[#This Row],[Notes for user]])</f>
        <v xml:space="preserve"> </v>
      </c>
      <c r="AA2598" s="14"/>
      <c r="AB2598" s="14" t="s">
        <v>1142</v>
      </c>
      <c r="AC2598" s="346">
        <f ca="1">LCI_Table[[#This Row],[Default Calculated Value]]-LCI_Table[[#This Row],[Calculated Value]]</f>
        <v>0</v>
      </c>
    </row>
    <row r="2599" spans="1:29" x14ac:dyDescent="0.3">
      <c r="A25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CornATJ-ethanolICAOJRC(blank)_Corn_ETJ_CatalystsCatalysts</v>
      </c>
      <c r="B2599" s="381" t="s">
        <v>136</v>
      </c>
      <c r="C2599" s="381" t="s">
        <v>1964</v>
      </c>
      <c r="D2599" s="383" t="s">
        <v>194</v>
      </c>
      <c r="E2599" s="379" t="s">
        <v>355</v>
      </c>
      <c r="F2599" s="375" t="s">
        <v>31</v>
      </c>
      <c r="G2599" s="14" t="b">
        <f>OR(LCI_Table[[#This Row],[Feedstock]]="All",LCI_Table[[#This Row],[Feedstock]]=SelectedFeedstock)</f>
        <v>0</v>
      </c>
      <c r="H2599" s="14" t="b">
        <f>OR(LCI_Table[[#This Row],[Conversion]]="All",LCI_Table[[#This Row],[Conversion]]=SelectedConversion)</f>
        <v>0</v>
      </c>
      <c r="I2599" s="14" t="b">
        <f>OR(LCI_Table[[#This Row],[Data Set]]="all",LCI_Table[[#This Row],[Data Set]]=SelectedDataSet)</f>
        <v>0</v>
      </c>
      <c r="J2599" s="14" t="b">
        <f>OR(LCI_Table[[#This Row],[Technology]]="All",LCI_Table[[#This Row],[Technology]]=SelectedTechnology)</f>
        <v>1</v>
      </c>
      <c r="K2599" s="14" t="b">
        <f>OR(LCI_Table[[#This Row],[Data Source]]="All",LCI_Table[[#This Row],[Data Source]]=SelectedDataSource)</f>
        <v>0</v>
      </c>
      <c r="L2599" s="14" t="b">
        <f>TRUE</f>
        <v>1</v>
      </c>
      <c r="M2599" s="14" t="b">
        <f>(LCI_Table[[#This Row],[Dev Notes]]="Do not display")</f>
        <v>0</v>
      </c>
      <c r="N2599" s="14" t="b">
        <f>AND(LCI_Table[[#This Row],[Show Feedstock]:[Conditional]],NOT(LCI_Table[[#This Row],[Hide Row]]))</f>
        <v>0</v>
      </c>
      <c r="O2599" s="14" t="b">
        <f>LCI_Table[[#This Row],[GREET1 Name Range]]=""</f>
        <v>0</v>
      </c>
      <c r="P2599" s="14" t="s">
        <v>1448</v>
      </c>
      <c r="Q2599" s="14" t="s">
        <v>572</v>
      </c>
      <c r="R2599" s="14" t="s">
        <v>142</v>
      </c>
      <c r="S2599" s="37" cm="1">
        <f t="array" aca="1" ref="S25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599" s="346" t="s">
        <v>2119</v>
      </c>
      <c r="U2599" s="347">
        <f ca="1">S2599*lb2kg/mmBTU2MJ</f>
        <v>0</v>
      </c>
      <c r="V2599" s="347">
        <v>0</v>
      </c>
      <c r="W2599" s="347">
        <v>0</v>
      </c>
      <c r="X2599" s="37" t="s">
        <v>12</v>
      </c>
      <c r="Y2599" s="346" t="s">
        <v>416</v>
      </c>
      <c r="Z2599" s="14" t="str">
        <f>IF(ISBLANK(LCI_Table[[#This Row],[Notes for user]])," ",LCI_Table[[#This Row],[Notes for user]])</f>
        <v xml:space="preserve"> </v>
      </c>
      <c r="AA2599" s="14"/>
      <c r="AB2599" s="14"/>
      <c r="AC2599" s="346">
        <f ca="1">LCI_Table[[#This Row],[Default Calculated Value]]-LCI_Table[[#This Row],[Calculated Value]]</f>
        <v>0</v>
      </c>
    </row>
    <row r="2600" spans="1:29" x14ac:dyDescent="0.3">
      <c r="A26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CornATJ-ethanolICAOJRC(blank)_Corn_ETJ_WaterWater</v>
      </c>
      <c r="B2600" s="381" t="s">
        <v>136</v>
      </c>
      <c r="C2600" s="381" t="s">
        <v>1964</v>
      </c>
      <c r="D2600" s="383" t="s">
        <v>194</v>
      </c>
      <c r="E2600" s="379" t="s">
        <v>355</v>
      </c>
      <c r="F2600" s="375" t="s">
        <v>31</v>
      </c>
      <c r="G2600" s="14" t="b">
        <f>OR(LCI_Table[[#This Row],[Feedstock]]="All",LCI_Table[[#This Row],[Feedstock]]=SelectedFeedstock)</f>
        <v>0</v>
      </c>
      <c r="H2600" s="14" t="b">
        <f>OR(LCI_Table[[#This Row],[Conversion]]="All",LCI_Table[[#This Row],[Conversion]]=SelectedConversion)</f>
        <v>0</v>
      </c>
      <c r="I2600" s="14" t="b">
        <f>OR(LCI_Table[[#This Row],[Data Set]]="all",LCI_Table[[#This Row],[Data Set]]=SelectedDataSet)</f>
        <v>0</v>
      </c>
      <c r="J2600" s="14" t="b">
        <f>OR(LCI_Table[[#This Row],[Technology]]="All",LCI_Table[[#This Row],[Technology]]=SelectedTechnology)</f>
        <v>1</v>
      </c>
      <c r="K2600" s="14" t="b">
        <f>OR(LCI_Table[[#This Row],[Data Source]]="All",LCI_Table[[#This Row],[Data Source]]=SelectedDataSource)</f>
        <v>0</v>
      </c>
      <c r="L2600" s="14" t="b">
        <f>TRUE</f>
        <v>1</v>
      </c>
      <c r="M2600" s="14" t="b">
        <f>(LCI_Table[[#This Row],[Dev Notes]]="Do not display")</f>
        <v>0</v>
      </c>
      <c r="N2600" s="14" t="b">
        <f>AND(LCI_Table[[#This Row],[Show Feedstock]:[Conditional]],NOT(LCI_Table[[#This Row],[Hide Row]]))</f>
        <v>0</v>
      </c>
      <c r="O2600" s="14" t="b">
        <f>LCI_Table[[#This Row],[GREET1 Name Range]]=""</f>
        <v>0</v>
      </c>
      <c r="P2600" s="14" t="s">
        <v>1448</v>
      </c>
      <c r="Q2600" s="14" t="s">
        <v>582</v>
      </c>
      <c r="R2600" s="14" t="s">
        <v>146</v>
      </c>
      <c r="S2600" s="37" cm="1">
        <f t="array" aca="1" ref="S26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00" s="346" t="s">
        <v>2128</v>
      </c>
      <c r="U2600" s="347">
        <f ca="1">S2600*gal2L/mmBTU2MJ</f>
        <v>0</v>
      </c>
      <c r="V2600" s="347">
        <v>0</v>
      </c>
      <c r="W2600" s="347">
        <v>0</v>
      </c>
      <c r="X2600" s="37" t="s">
        <v>5</v>
      </c>
      <c r="Y2600" s="346" t="s">
        <v>416</v>
      </c>
      <c r="Z2600" s="14" t="str">
        <f>IF(ISBLANK(LCI_Table[[#This Row],[Notes for user]])," ",LCI_Table[[#This Row],[Notes for user]])</f>
        <v xml:space="preserve"> </v>
      </c>
      <c r="AA2600" s="14"/>
      <c r="AB2600" s="14"/>
      <c r="AC2600" s="346">
        <f ca="1">LCI_Table[[#This Row],[Default Calculated Value]]-LCI_Table[[#This Row],[Calculated Value]]</f>
        <v>0</v>
      </c>
    </row>
    <row r="2601" spans="1:29" x14ac:dyDescent="0.3">
      <c r="A26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CornATJ-ethanolICAOJRC(blank)_Corn_ETJ_Allocation_FactorAllocation factor</v>
      </c>
      <c r="B2601" s="382" t="s">
        <v>136</v>
      </c>
      <c r="C2601" s="382" t="s">
        <v>1964</v>
      </c>
      <c r="D2601" s="385" t="s">
        <v>194</v>
      </c>
      <c r="E2601" s="379" t="s">
        <v>355</v>
      </c>
      <c r="F2601" s="181" t="s">
        <v>31</v>
      </c>
      <c r="G2601" s="14" t="b">
        <f>OR(LCI_Table[[#This Row],[Feedstock]]="All",LCI_Table[[#This Row],[Feedstock]]=SelectedFeedstock)</f>
        <v>0</v>
      </c>
      <c r="H2601" s="14" t="b">
        <f>OR(LCI_Table[[#This Row],[Conversion]]="All",LCI_Table[[#This Row],[Conversion]]=SelectedConversion)</f>
        <v>0</v>
      </c>
      <c r="I2601" s="14" t="b">
        <f>OR(LCI_Table[[#This Row],[Data Set]]="all",LCI_Table[[#This Row],[Data Set]]=SelectedDataSet)</f>
        <v>0</v>
      </c>
      <c r="J2601" s="14" t="b">
        <f>OR(LCI_Table[[#This Row],[Technology]]="All",LCI_Table[[#This Row],[Technology]]=SelectedTechnology)</f>
        <v>1</v>
      </c>
      <c r="K2601" s="14" t="b">
        <f>OR(LCI_Table[[#This Row],[Data Source]]="All",LCI_Table[[#This Row],[Data Source]]=SelectedDataSource)</f>
        <v>0</v>
      </c>
      <c r="L2601" s="14" t="b">
        <f>TRUE</f>
        <v>1</v>
      </c>
      <c r="M2601" s="14" t="b">
        <f>(LCI_Table[[#This Row],[Dev Notes]]="Do not display")</f>
        <v>0</v>
      </c>
      <c r="N2601" s="14" t="b">
        <f>AND(LCI_Table[[#This Row],[Show Feedstock]:[Conditional]],NOT(LCI_Table[[#This Row],[Hide Row]]))</f>
        <v>0</v>
      </c>
      <c r="O2601" s="14" t="b">
        <f>LCI_Table[[#This Row],[GREET1 Name Range]]=""</f>
        <v>0</v>
      </c>
      <c r="P2601" s="14" t="s">
        <v>1448</v>
      </c>
      <c r="Q2601" s="14" t="s">
        <v>1121</v>
      </c>
      <c r="R2601" s="14" t="s">
        <v>1344</v>
      </c>
      <c r="S2601" s="37" cm="1">
        <f t="array" aca="1" ref="S26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54.814944746535687</v>
      </c>
      <c r="T2601" s="346" t="s">
        <v>1345</v>
      </c>
      <c r="U2601" s="376">
        <f ca="1">S2601/100</f>
        <v>0.54814944746535688</v>
      </c>
      <c r="V2601" s="376">
        <v>54.814944746535687</v>
      </c>
      <c r="W2601" s="376">
        <v>0.54814944746535688</v>
      </c>
      <c r="X2601" s="37"/>
      <c r="Y2601" s="346" t="s">
        <v>416</v>
      </c>
      <c r="Z2601" s="14" t="str">
        <f>IF(ISBLANK(LCI_Table[[#This Row],[Notes for user]])," ",LCI_Table[[#This Row],[Notes for user]])</f>
        <v xml:space="preserve"> </v>
      </c>
      <c r="AA2601" s="14"/>
      <c r="AB2601" s="14"/>
      <c r="AC2601" s="346">
        <f ca="1">LCI_Table[[#This Row],[Default Calculated Value]]-LCI_Table[[#This Row],[Calculated Value]]</f>
        <v>0</v>
      </c>
    </row>
    <row r="2602" spans="1:29" x14ac:dyDescent="0.3">
      <c r="A26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Waste gasesATJ-ethanolICAOConsensusIntegrated_WasteGases_Fermentation_Integrated_Natural_gasNatural gas</v>
      </c>
      <c r="B2602" s="14" t="s">
        <v>1413</v>
      </c>
      <c r="C2602" s="14" t="s">
        <v>1964</v>
      </c>
      <c r="D2602" s="82" t="s">
        <v>194</v>
      </c>
      <c r="E2602" s="183" t="s">
        <v>1399</v>
      </c>
      <c r="F2602" s="82" t="s">
        <v>1398</v>
      </c>
      <c r="G2602" s="14" t="b">
        <f>OR(LCI_Table[[#This Row],[Feedstock]]="All",LCI_Table[[#This Row],[Feedstock]]=SelectedFeedstock)</f>
        <v>0</v>
      </c>
      <c r="H2602" s="14" t="b">
        <f>OR(LCI_Table[[#This Row],[Conversion]]="All",LCI_Table[[#This Row],[Conversion]]=SelectedConversion)</f>
        <v>0</v>
      </c>
      <c r="I2602" s="14" t="b">
        <f>OR(LCI_Table[[#This Row],[Data Set]]="all",LCI_Table[[#This Row],[Data Set]]=SelectedDataSet)</f>
        <v>0</v>
      </c>
      <c r="J2602" s="14" t="b">
        <f>OR(LCI_Table[[#This Row],[Technology]]="All",LCI_Table[[#This Row],[Technology]]=SelectedTechnology)</f>
        <v>0</v>
      </c>
      <c r="K2602" s="14" t="b">
        <f>OR(LCI_Table[[#This Row],[Data Source]]="All",LCI_Table[[#This Row],[Data Source]]=SelectedDataSource)</f>
        <v>0</v>
      </c>
      <c r="L2602" s="14" t="b">
        <f>TRUE</f>
        <v>1</v>
      </c>
      <c r="M2602" s="14" t="b">
        <f>(LCI_Table[[#This Row],[Dev Notes]]="Do not display")</f>
        <v>0</v>
      </c>
      <c r="N2602" s="14" t="b">
        <f>AND(LCI_Table[[#This Row],[Show Feedstock]:[Conditional]],NOT(LCI_Table[[#This Row],[Hide Row]]))</f>
        <v>0</v>
      </c>
      <c r="O2602" s="14" t="b">
        <f>LCI_Table[[#This Row],[GREET1 Name Range]]=""</f>
        <v>0</v>
      </c>
      <c r="P2602" s="14" t="s">
        <v>1396</v>
      </c>
      <c r="Q2602" s="14" t="s">
        <v>1416</v>
      </c>
      <c r="R2602" s="14" t="s">
        <v>108</v>
      </c>
      <c r="S2602" s="37" cm="1">
        <f t="array" aca="1" ref="S26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62.371330559683393</v>
      </c>
      <c r="T2602" s="346" t="s">
        <v>2120</v>
      </c>
      <c r="U2602" s="357">
        <f ca="1">S2602*Fuel_Specs!$E$79*g2kg/mmBTU2MJ</f>
        <v>1.30056553149583E-3</v>
      </c>
      <c r="V2602" s="347">
        <v>62.371330559683393</v>
      </c>
      <c r="W2602" s="357">
        <v>1.30056553149583E-3</v>
      </c>
      <c r="X2602" s="37" t="s">
        <v>351</v>
      </c>
      <c r="Y2602" s="346" t="s">
        <v>416</v>
      </c>
      <c r="Z2602" s="14" t="str">
        <f>IF(ISBLANK(LCI_Table[[#This Row],[Notes for user]])," ",LCI_Table[[#This Row],[Notes for user]])</f>
        <v xml:space="preserve"> </v>
      </c>
      <c r="AA2602" s="14"/>
      <c r="AB2602" s="14"/>
      <c r="AC2602" s="346">
        <f ca="1">LCI_Table[[#This Row],[Default Calculated Value]]-LCI_Table[[#This Row],[Calculated Value]]</f>
        <v>0</v>
      </c>
    </row>
    <row r="2603" spans="1:29" x14ac:dyDescent="0.3">
      <c r="A26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Waste gasesATJ-ethanolICAOConsensusIntegrated_WasteGases_Fermentation_Integrated_ElectricityElectricity</v>
      </c>
      <c r="B2603" s="14" t="s">
        <v>1413</v>
      </c>
      <c r="C2603" s="14" t="s">
        <v>1964</v>
      </c>
      <c r="D2603" s="82" t="s">
        <v>194</v>
      </c>
      <c r="E2603" s="183" t="s">
        <v>1399</v>
      </c>
      <c r="F2603" s="82" t="s">
        <v>1398</v>
      </c>
      <c r="G2603" s="14" t="b">
        <f>OR(LCI_Table[[#This Row],[Feedstock]]="All",LCI_Table[[#This Row],[Feedstock]]=SelectedFeedstock)</f>
        <v>0</v>
      </c>
      <c r="H2603" s="14" t="b">
        <f>OR(LCI_Table[[#This Row],[Conversion]]="All",LCI_Table[[#This Row],[Conversion]]=SelectedConversion)</f>
        <v>0</v>
      </c>
      <c r="I2603" s="14" t="b">
        <f>OR(LCI_Table[[#This Row],[Data Set]]="all",LCI_Table[[#This Row],[Data Set]]=SelectedDataSet)</f>
        <v>0</v>
      </c>
      <c r="J2603" s="14" t="b">
        <f>OR(LCI_Table[[#This Row],[Technology]]="All",LCI_Table[[#This Row],[Technology]]=SelectedTechnology)</f>
        <v>0</v>
      </c>
      <c r="K2603" s="14" t="b">
        <f>OR(LCI_Table[[#This Row],[Data Source]]="All",LCI_Table[[#This Row],[Data Source]]=SelectedDataSource)</f>
        <v>0</v>
      </c>
      <c r="L2603" s="14" t="b">
        <f>TRUE</f>
        <v>1</v>
      </c>
      <c r="M2603" s="14" t="b">
        <f>(LCI_Table[[#This Row],[Dev Notes]]="Do not display")</f>
        <v>0</v>
      </c>
      <c r="N2603" s="14" t="b">
        <f>AND(LCI_Table[[#This Row],[Show Feedstock]:[Conditional]],NOT(LCI_Table[[#This Row],[Hide Row]]))</f>
        <v>0</v>
      </c>
      <c r="O2603" s="14" t="b">
        <f>LCI_Table[[#This Row],[GREET1 Name Range]]=""</f>
        <v>0</v>
      </c>
      <c r="P2603" s="14" t="s">
        <v>1396</v>
      </c>
      <c r="Q2603" s="14" t="s">
        <v>1417</v>
      </c>
      <c r="R2603" s="14" t="s">
        <v>110</v>
      </c>
      <c r="S2603" s="37" cm="1">
        <f t="array" aca="1" ref="S26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42.455211119292386</v>
      </c>
      <c r="T2603" s="346" t="s">
        <v>2121</v>
      </c>
      <c r="U2603" s="357">
        <f ca="1">S2603/mmBTU2MJ</f>
        <v>4.0239776045308304E-2</v>
      </c>
      <c r="V2603" s="347">
        <v>42.455211119292386</v>
      </c>
      <c r="W2603" s="357">
        <v>4.0239776045308304E-2</v>
      </c>
      <c r="X2603" s="37" t="s">
        <v>51</v>
      </c>
      <c r="Y2603" s="346" t="s">
        <v>416</v>
      </c>
      <c r="Z2603" s="14" t="str">
        <f>IF(ISBLANK(LCI_Table[[#This Row],[Notes for user]])," ",LCI_Table[[#This Row],[Notes for user]])</f>
        <v xml:space="preserve"> </v>
      </c>
      <c r="AA2603" s="14"/>
      <c r="AB2603" s="14"/>
      <c r="AC2603" s="346">
        <f ca="1">LCI_Table[[#This Row],[Default Calculated Value]]-LCI_Table[[#This Row],[Calculated Value]]</f>
        <v>0</v>
      </c>
    </row>
    <row r="2604" spans="1:29" x14ac:dyDescent="0.3">
      <c r="A26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Waste gasesATJ-ethanolICAOConsensusIntegrated_WasteGases_Fermentation_Integrated_NutrientsNutrients</v>
      </c>
      <c r="B2604" s="14" t="s">
        <v>1413</v>
      </c>
      <c r="C2604" s="14" t="s">
        <v>1964</v>
      </c>
      <c r="D2604" s="82" t="s">
        <v>194</v>
      </c>
      <c r="E2604" s="183" t="s">
        <v>1399</v>
      </c>
      <c r="F2604" s="82" t="s">
        <v>1398</v>
      </c>
      <c r="G2604" s="14" t="b">
        <f>OR(LCI_Table[[#This Row],[Feedstock]]="All",LCI_Table[[#This Row],[Feedstock]]=SelectedFeedstock)</f>
        <v>0</v>
      </c>
      <c r="H2604" s="14" t="b">
        <f>OR(LCI_Table[[#This Row],[Conversion]]="All",LCI_Table[[#This Row],[Conversion]]=SelectedConversion)</f>
        <v>0</v>
      </c>
      <c r="I2604" s="14" t="b">
        <f>OR(LCI_Table[[#This Row],[Data Set]]="all",LCI_Table[[#This Row],[Data Set]]=SelectedDataSet)</f>
        <v>0</v>
      </c>
      <c r="J2604" s="14" t="b">
        <f>OR(LCI_Table[[#This Row],[Technology]]="All",LCI_Table[[#This Row],[Technology]]=SelectedTechnology)</f>
        <v>0</v>
      </c>
      <c r="K2604" s="14" t="b">
        <f>OR(LCI_Table[[#This Row],[Data Source]]="All",LCI_Table[[#This Row],[Data Source]]=SelectedDataSource)</f>
        <v>0</v>
      </c>
      <c r="L2604" s="14" t="b">
        <f>TRUE</f>
        <v>1</v>
      </c>
      <c r="M2604" s="14" t="b">
        <f>(LCI_Table[[#This Row],[Dev Notes]]="Do not display")</f>
        <v>0</v>
      </c>
      <c r="N2604" s="14" t="b">
        <f>AND(LCI_Table[[#This Row],[Show Feedstock]:[Conditional]],NOT(LCI_Table[[#This Row],[Hide Row]]))</f>
        <v>0</v>
      </c>
      <c r="O2604" s="14" t="b">
        <f>LCI_Table[[#This Row],[GREET1 Name Range]]=""</f>
        <v>0</v>
      </c>
      <c r="P2604" s="14" t="s">
        <v>1396</v>
      </c>
      <c r="Q2604" s="14" t="s">
        <v>1418</v>
      </c>
      <c r="R2604" s="14" t="s">
        <v>1414</v>
      </c>
      <c r="S2604" s="37" cm="1">
        <f t="array" aca="1" ref="S26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1.6748053392634035</v>
      </c>
      <c r="T2604" s="346" t="s">
        <v>2149</v>
      </c>
      <c r="U2604" s="357">
        <f ca="1">S2604/mmBTU2MJ</f>
        <v>1.5874091776879901E-3</v>
      </c>
      <c r="V2604" s="347">
        <v>1.6748053392634035</v>
      </c>
      <c r="W2604" s="357">
        <v>1.5874091776879901E-3</v>
      </c>
      <c r="X2604" s="37" t="s">
        <v>61</v>
      </c>
      <c r="Y2604" s="346" t="s">
        <v>416</v>
      </c>
      <c r="Z2604" s="14" t="str">
        <f>IF(ISBLANK(LCI_Table[[#This Row],[Notes for user]])," ",LCI_Table[[#This Row],[Notes for user]])</f>
        <v>Used surrogate due to proprietary information</v>
      </c>
      <c r="AA2604" s="14" t="s">
        <v>1433</v>
      </c>
      <c r="AB2604" s="14"/>
      <c r="AC2604" s="346">
        <f ca="1">LCI_Table[[#This Row],[Default Calculated Value]]-LCI_Table[[#This Row],[Calculated Value]]</f>
        <v>0</v>
      </c>
    </row>
    <row r="2605" spans="1:29" x14ac:dyDescent="0.3">
      <c r="A26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Waste gasesATJ-ethanolICAOConsensusIntegrated_WasteGases_Fermentation_Integrated_Allocation_FactorAllocation factor</v>
      </c>
      <c r="B2605" s="179" t="s">
        <v>1413</v>
      </c>
      <c r="C2605" s="179" t="s">
        <v>1964</v>
      </c>
      <c r="D2605" s="180" t="s">
        <v>194</v>
      </c>
      <c r="E2605" s="182" t="s">
        <v>1399</v>
      </c>
      <c r="F2605" s="181" t="s">
        <v>1398</v>
      </c>
      <c r="G2605" s="14" t="b">
        <f>OR(LCI_Table[[#This Row],[Feedstock]]="All",LCI_Table[[#This Row],[Feedstock]]=SelectedFeedstock)</f>
        <v>0</v>
      </c>
      <c r="H2605" s="14" t="b">
        <f>OR(LCI_Table[[#This Row],[Conversion]]="All",LCI_Table[[#This Row],[Conversion]]=SelectedConversion)</f>
        <v>0</v>
      </c>
      <c r="I2605" s="14" t="b">
        <f>OR(LCI_Table[[#This Row],[Data Set]]="all",LCI_Table[[#This Row],[Data Set]]=SelectedDataSet)</f>
        <v>0</v>
      </c>
      <c r="J2605" s="14" t="b">
        <f>OR(LCI_Table[[#This Row],[Technology]]="All",LCI_Table[[#This Row],[Technology]]=SelectedTechnology)</f>
        <v>0</v>
      </c>
      <c r="K2605" s="14" t="b">
        <f>OR(LCI_Table[[#This Row],[Data Source]]="All",LCI_Table[[#This Row],[Data Source]]=SelectedDataSource)</f>
        <v>0</v>
      </c>
      <c r="L2605" s="14" t="b">
        <f>TRUE</f>
        <v>1</v>
      </c>
      <c r="M2605" s="14" t="b">
        <f>(LCI_Table[[#This Row],[Dev Notes]]="Do not display")</f>
        <v>0</v>
      </c>
      <c r="N2605" s="14" t="b">
        <f>AND(LCI_Table[[#This Row],[Show Feedstock]:[Conditional]],NOT(LCI_Table[[#This Row],[Hide Row]]))</f>
        <v>0</v>
      </c>
      <c r="O2605" s="14" t="b">
        <f>LCI_Table[[#This Row],[GREET1 Name Range]]=""</f>
        <v>0</v>
      </c>
      <c r="P2605" s="14" t="s">
        <v>1396</v>
      </c>
      <c r="Q2605" s="14" t="s">
        <v>1415</v>
      </c>
      <c r="R2605" s="14" t="s">
        <v>1344</v>
      </c>
      <c r="S2605" s="37" cm="1">
        <f t="array" aca="1" ref="S26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86.816941321647406</v>
      </c>
      <c r="T2605" s="346" t="s">
        <v>1345</v>
      </c>
      <c r="U2605" s="347">
        <f ca="1">S2605/100</f>
        <v>0.86816941321647401</v>
      </c>
      <c r="V2605" s="347">
        <v>86.816941321647406</v>
      </c>
      <c r="W2605" s="357">
        <v>0.86816941321647401</v>
      </c>
      <c r="X2605" s="37"/>
      <c r="Y2605" s="346" t="s">
        <v>416</v>
      </c>
      <c r="Z2605" s="14" t="str">
        <f>IF(ISBLANK(LCI_Table[[#This Row],[Notes for user]])," ",LCI_Table[[#This Row],[Notes for user]])</f>
        <v xml:space="preserve"> </v>
      </c>
      <c r="AA2605" s="14"/>
      <c r="AB2605" s="14"/>
      <c r="AC2605" s="346">
        <f ca="1">LCI_Table[[#This Row],[Default Calculated Value]]-LCI_Table[[#This Row],[Calculated Value]]</f>
        <v>0</v>
      </c>
    </row>
    <row r="2606" spans="1:29" x14ac:dyDescent="0.3">
      <c r="A26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Waste gasesATJ-ethanolICAOConsensusIntegrated_WasteGases_ETJ_Integrated_EthanolEthanol</v>
      </c>
      <c r="B2606" s="14" t="s">
        <v>1413</v>
      </c>
      <c r="C2606" s="14" t="s">
        <v>1964</v>
      </c>
      <c r="D2606" s="82" t="s">
        <v>194</v>
      </c>
      <c r="E2606" s="183" t="s">
        <v>1399</v>
      </c>
      <c r="F2606" s="82" t="s">
        <v>1398</v>
      </c>
      <c r="G2606" s="14" t="b">
        <f>OR(LCI_Table[[#This Row],[Feedstock]]="All",LCI_Table[[#This Row],[Feedstock]]=SelectedFeedstock)</f>
        <v>0</v>
      </c>
      <c r="H2606" s="14" t="b">
        <f>OR(LCI_Table[[#This Row],[Conversion]]="All",LCI_Table[[#This Row],[Conversion]]=SelectedConversion)</f>
        <v>0</v>
      </c>
      <c r="I2606" s="14" t="b">
        <f>OR(LCI_Table[[#This Row],[Data Set]]="all",LCI_Table[[#This Row],[Data Set]]=SelectedDataSet)</f>
        <v>0</v>
      </c>
      <c r="J2606" s="14" t="b">
        <f>OR(LCI_Table[[#This Row],[Technology]]="All",LCI_Table[[#This Row],[Technology]]=SelectedTechnology)</f>
        <v>0</v>
      </c>
      <c r="K2606" s="14" t="b">
        <f>OR(LCI_Table[[#This Row],[Data Source]]="All",LCI_Table[[#This Row],[Data Source]]=SelectedDataSource)</f>
        <v>0</v>
      </c>
      <c r="L2606" s="14" t="b">
        <f>TRUE</f>
        <v>1</v>
      </c>
      <c r="M2606" s="14" t="b">
        <f>(LCI_Table[[#This Row],[Dev Notes]]="Do not display")</f>
        <v>0</v>
      </c>
      <c r="N2606" s="14" t="b">
        <f>AND(LCI_Table[[#This Row],[Show Feedstock]:[Conditional]],NOT(LCI_Table[[#This Row],[Hide Row]]))</f>
        <v>0</v>
      </c>
      <c r="O2606" s="14" t="b">
        <f>LCI_Table[[#This Row],[GREET1 Name Range]]=""</f>
        <v>0</v>
      </c>
      <c r="P2606" s="14" t="s">
        <v>1448</v>
      </c>
      <c r="Q2606" s="14" t="s">
        <v>1420</v>
      </c>
      <c r="R2606" s="14" t="s">
        <v>138</v>
      </c>
      <c r="S2606" s="37" cm="1">
        <f t="array" aca="1" ref="S26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13.817633957814742</v>
      </c>
      <c r="T2606" s="346" t="s">
        <v>2128</v>
      </c>
      <c r="U2606" s="357">
        <f ca="1">S2606*Fuel_Specs!$E$31*g2kg/mmBTU2MJ</f>
        <v>3.9132611099166416E-2</v>
      </c>
      <c r="V2606" s="347">
        <v>13.817633957814742</v>
      </c>
      <c r="W2606" s="357">
        <v>3.9132611099166416E-2</v>
      </c>
      <c r="X2606" s="37" t="s">
        <v>5</v>
      </c>
      <c r="Y2606" s="346" t="s">
        <v>416</v>
      </c>
      <c r="Z2606" s="14" t="str">
        <f>IF(ISBLANK(LCI_Table[[#This Row],[Notes for user]])," ",LCI_Table[[#This Row],[Notes for user]])</f>
        <v xml:space="preserve"> </v>
      </c>
      <c r="AA2606" s="14"/>
      <c r="AB2606" s="14"/>
      <c r="AC2606" s="346">
        <f ca="1">LCI_Table[[#This Row],[Default Calculated Value]]-LCI_Table[[#This Row],[Calculated Value]]</f>
        <v>0</v>
      </c>
    </row>
    <row r="2607" spans="1:29" x14ac:dyDescent="0.3">
      <c r="A26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Waste gasesATJ-ethanolICAOConsensusIntegrated_WasteGases_ETJ_Integrated_Natural_gasNatural gas</v>
      </c>
      <c r="B2607" s="14" t="s">
        <v>1413</v>
      </c>
      <c r="C2607" s="14" t="s">
        <v>1964</v>
      </c>
      <c r="D2607" s="82" t="s">
        <v>194</v>
      </c>
      <c r="E2607" s="183" t="s">
        <v>1399</v>
      </c>
      <c r="F2607" s="82" t="s">
        <v>1398</v>
      </c>
      <c r="G2607" s="14" t="b">
        <f>OR(LCI_Table[[#This Row],[Feedstock]]="All",LCI_Table[[#This Row],[Feedstock]]=SelectedFeedstock)</f>
        <v>0</v>
      </c>
      <c r="H2607" s="14" t="b">
        <f>OR(LCI_Table[[#This Row],[Conversion]]="All",LCI_Table[[#This Row],[Conversion]]=SelectedConversion)</f>
        <v>0</v>
      </c>
      <c r="I2607" s="14" t="b">
        <f>OR(LCI_Table[[#This Row],[Data Set]]="all",LCI_Table[[#This Row],[Data Set]]=SelectedDataSet)</f>
        <v>0</v>
      </c>
      <c r="J2607" s="14" t="b">
        <f>OR(LCI_Table[[#This Row],[Technology]]="All",LCI_Table[[#This Row],[Technology]]=SelectedTechnology)</f>
        <v>0</v>
      </c>
      <c r="K2607" s="14" t="b">
        <f>OR(LCI_Table[[#This Row],[Data Source]]="All",LCI_Table[[#This Row],[Data Source]]=SelectedDataSource)</f>
        <v>0</v>
      </c>
      <c r="L2607" s="14" t="b">
        <f>TRUE</f>
        <v>1</v>
      </c>
      <c r="M2607" s="14" t="b">
        <f>(LCI_Table[[#This Row],[Dev Notes]]="Do not display")</f>
        <v>0</v>
      </c>
      <c r="N2607" s="14" t="b">
        <f>AND(LCI_Table[[#This Row],[Show Feedstock]:[Conditional]],NOT(LCI_Table[[#This Row],[Hide Row]]))</f>
        <v>0</v>
      </c>
      <c r="O2607" s="14" t="b">
        <f>LCI_Table[[#This Row],[GREET1 Name Range]]=""</f>
        <v>0</v>
      </c>
      <c r="P2607" s="14" t="s">
        <v>1448</v>
      </c>
      <c r="Q2607" s="14" t="s">
        <v>1421</v>
      </c>
      <c r="R2607" s="14" t="s">
        <v>108</v>
      </c>
      <c r="S2607" s="37" cm="1">
        <f t="array" aca="1" ref="S26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07" s="346" t="s">
        <v>2120</v>
      </c>
      <c r="U2607" s="347">
        <f ca="1">S2607*Fuel_Specs!$E$79*g2kg/mmBTU2MJ</f>
        <v>0</v>
      </c>
      <c r="V2607" s="347">
        <v>0</v>
      </c>
      <c r="W2607" s="357">
        <v>0</v>
      </c>
      <c r="X2607" s="37" t="s">
        <v>351</v>
      </c>
      <c r="Y2607" s="346" t="s">
        <v>416</v>
      </c>
      <c r="Z2607" s="14" t="str">
        <f>IF(ISBLANK(LCI_Table[[#This Row],[Notes for user]])," ",LCI_Table[[#This Row],[Notes for user]])</f>
        <v xml:space="preserve"> </v>
      </c>
      <c r="AA2607" s="14"/>
      <c r="AB2607" s="14"/>
      <c r="AC2607" s="346">
        <f ca="1">LCI_Table[[#This Row],[Default Calculated Value]]-LCI_Table[[#This Row],[Calculated Value]]</f>
        <v>0</v>
      </c>
    </row>
    <row r="2608" spans="1:29" x14ac:dyDescent="0.3">
      <c r="A26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Waste gasesATJ-ethanolICAOConsensusIntegrated_WasteGases_ETJ_Integrated_ElectricityGrid Electricity</v>
      </c>
      <c r="B2608" s="14" t="s">
        <v>1413</v>
      </c>
      <c r="C2608" s="14" t="s">
        <v>1964</v>
      </c>
      <c r="D2608" s="82" t="s">
        <v>194</v>
      </c>
      <c r="E2608" s="183" t="s">
        <v>1399</v>
      </c>
      <c r="F2608" s="82" t="s">
        <v>1398</v>
      </c>
      <c r="G2608" s="14" t="b">
        <f>OR(LCI_Table[[#This Row],[Feedstock]]="All",LCI_Table[[#This Row],[Feedstock]]=SelectedFeedstock)</f>
        <v>0</v>
      </c>
      <c r="H2608" s="14" t="b">
        <f>OR(LCI_Table[[#This Row],[Conversion]]="All",LCI_Table[[#This Row],[Conversion]]=SelectedConversion)</f>
        <v>0</v>
      </c>
      <c r="I2608" s="14" t="b">
        <f>OR(LCI_Table[[#This Row],[Data Set]]="all",LCI_Table[[#This Row],[Data Set]]=SelectedDataSet)</f>
        <v>0</v>
      </c>
      <c r="J2608" s="14" t="b">
        <f>OR(LCI_Table[[#This Row],[Technology]]="All",LCI_Table[[#This Row],[Technology]]=SelectedTechnology)</f>
        <v>0</v>
      </c>
      <c r="K2608" s="14" t="b">
        <f>OR(LCI_Table[[#This Row],[Data Source]]="All",LCI_Table[[#This Row],[Data Source]]=SelectedDataSource)</f>
        <v>0</v>
      </c>
      <c r="L2608" s="14" t="b">
        <f>TRUE</f>
        <v>1</v>
      </c>
      <c r="M2608" s="14" t="b">
        <f>(LCI_Table[[#This Row],[Dev Notes]]="Do not display")</f>
        <v>0</v>
      </c>
      <c r="N2608" s="14" t="b">
        <f>AND(LCI_Table[[#This Row],[Show Feedstock]:[Conditional]],NOT(LCI_Table[[#This Row],[Hide Row]]))</f>
        <v>0</v>
      </c>
      <c r="O2608" s="14" t="b">
        <f>LCI_Table[[#This Row],[GREET1 Name Range]]=""</f>
        <v>0</v>
      </c>
      <c r="P2608" s="14" t="s">
        <v>1448</v>
      </c>
      <c r="Q2608" s="14" t="s">
        <v>1422</v>
      </c>
      <c r="R2608" s="14" t="s">
        <v>1684</v>
      </c>
      <c r="S2608" s="37" cm="1">
        <f t="array" aca="1" ref="S26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5.5815897223724123E-6</v>
      </c>
      <c r="T2608" s="346" t="s">
        <v>2121</v>
      </c>
      <c r="U2608" s="357">
        <f ca="1">S2608/MJ2mmBTU</f>
        <v>5.8888888888888897E-3</v>
      </c>
      <c r="V2608" s="347">
        <v>5.5815897223724123E-6</v>
      </c>
      <c r="W2608" s="357">
        <v>5.8888888888888897E-3</v>
      </c>
      <c r="X2608" s="37" t="s">
        <v>51</v>
      </c>
      <c r="Y2608" s="346" t="s">
        <v>416</v>
      </c>
      <c r="Z2608" s="14" t="str">
        <f>IF(ISBLANK(LCI_Table[[#This Row],[Notes for user]])," ",LCI_Table[[#This Row],[Notes for user]])</f>
        <v xml:space="preserve"> </v>
      </c>
      <c r="AA2608" s="14"/>
      <c r="AB2608" s="14"/>
      <c r="AC2608" s="346">
        <f ca="1">LCI_Table[[#This Row],[Default Calculated Value]]-LCI_Table[[#This Row],[Calculated Value]]</f>
        <v>0</v>
      </c>
    </row>
    <row r="2609" spans="1:29" x14ac:dyDescent="0.3">
      <c r="A26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Waste gasesATJ-ethanolICAOConsensusIntegrated_WasteGases_ETJ_Integrated_HydrogenHydrogen</v>
      </c>
      <c r="B2609" s="179" t="s">
        <v>1413</v>
      </c>
      <c r="C2609" s="179" t="s">
        <v>1964</v>
      </c>
      <c r="D2609" s="180" t="s">
        <v>194</v>
      </c>
      <c r="E2609" s="182" t="s">
        <v>1399</v>
      </c>
      <c r="F2609" s="181" t="s">
        <v>1398</v>
      </c>
      <c r="G2609" s="14" t="b">
        <f>OR(LCI_Table[[#This Row],[Feedstock]]="All",LCI_Table[[#This Row],[Feedstock]]=SelectedFeedstock)</f>
        <v>0</v>
      </c>
      <c r="H2609" s="14" t="b">
        <f>OR(LCI_Table[[#This Row],[Conversion]]="All",LCI_Table[[#This Row],[Conversion]]=SelectedConversion)</f>
        <v>0</v>
      </c>
      <c r="I2609" s="14" t="b">
        <f>OR(LCI_Table[[#This Row],[Data Set]]="all",LCI_Table[[#This Row],[Data Set]]=SelectedDataSet)</f>
        <v>0</v>
      </c>
      <c r="J2609" s="14" t="b">
        <f>OR(LCI_Table[[#This Row],[Technology]]="All",LCI_Table[[#This Row],[Technology]]=SelectedTechnology)</f>
        <v>0</v>
      </c>
      <c r="K2609" s="14" t="b">
        <f>OR(LCI_Table[[#This Row],[Data Source]]="All",LCI_Table[[#This Row],[Data Source]]=SelectedDataSource)</f>
        <v>0</v>
      </c>
      <c r="L2609" s="14" t="b">
        <f>TRUE</f>
        <v>1</v>
      </c>
      <c r="M2609" s="14" t="b">
        <f>(LCI_Table[[#This Row],[Dev Notes]]="Do not display")</f>
        <v>0</v>
      </c>
      <c r="N2609" s="14" t="b">
        <f>AND(LCI_Table[[#This Row],[Show Feedstock]:[Conditional]],NOT(LCI_Table[[#This Row],[Hide Row]]))</f>
        <v>0</v>
      </c>
      <c r="O2609" s="14" t="b">
        <f>LCI_Table[[#This Row],[GREET1 Name Range]]=""</f>
        <v>0</v>
      </c>
      <c r="P2609" s="14" t="s">
        <v>1448</v>
      </c>
      <c r="Q2609" s="14" t="s">
        <v>1423</v>
      </c>
      <c r="R2609" s="14" t="s">
        <v>73</v>
      </c>
      <c r="S2609" s="37" cm="1">
        <f t="array" aca="1" ref="S26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215.17241379310352</v>
      </c>
      <c r="T2609" s="346" t="s">
        <v>2120</v>
      </c>
      <c r="U2609" s="357">
        <f ca="1">S2609*Fuel_Specs!$E$81*g2kg/mmBTU2MJ</f>
        <v>5.2005745020267319E-4</v>
      </c>
      <c r="V2609" s="347">
        <v>215.17241379310352</v>
      </c>
      <c r="W2609" s="357">
        <v>5.2005745020267319E-4</v>
      </c>
      <c r="X2609" s="37" t="s">
        <v>351</v>
      </c>
      <c r="Y2609" s="346" t="s">
        <v>416</v>
      </c>
      <c r="Z2609" s="14" t="str">
        <f>IF(ISBLANK(LCI_Table[[#This Row],[Notes for user]])," ",LCI_Table[[#This Row],[Notes for user]])</f>
        <v xml:space="preserve"> </v>
      </c>
      <c r="AA2609" s="14"/>
      <c r="AB2609" s="14"/>
      <c r="AC2609" s="346">
        <f ca="1">LCI_Table[[#This Row],[Default Calculated Value]]-LCI_Table[[#This Row],[Calculated Value]]</f>
        <v>0</v>
      </c>
    </row>
    <row r="2610" spans="1:29" x14ac:dyDescent="0.3">
      <c r="A26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Waste gasesATJ-ethanolICAOConsensusIntegrated_WasteGases_ETJ_Integrated_Allocation_FactorAllocation factor</v>
      </c>
      <c r="B2610" s="179" t="s">
        <v>1413</v>
      </c>
      <c r="C2610" s="179" t="s">
        <v>1964</v>
      </c>
      <c r="D2610" s="180" t="s">
        <v>194</v>
      </c>
      <c r="E2610" s="182" t="s">
        <v>1399</v>
      </c>
      <c r="F2610" s="181" t="s">
        <v>1398</v>
      </c>
      <c r="G2610" s="14" t="b">
        <f>OR(LCI_Table[[#This Row],[Feedstock]]="All",LCI_Table[[#This Row],[Feedstock]]=SelectedFeedstock)</f>
        <v>0</v>
      </c>
      <c r="H2610" s="14" t="b">
        <f>OR(LCI_Table[[#This Row],[Conversion]]="All",LCI_Table[[#This Row],[Conversion]]=SelectedConversion)</f>
        <v>0</v>
      </c>
      <c r="I2610" s="14" t="b">
        <f>OR(LCI_Table[[#This Row],[Data Set]]="all",LCI_Table[[#This Row],[Data Set]]=SelectedDataSet)</f>
        <v>0</v>
      </c>
      <c r="J2610" s="14" t="b">
        <f>OR(LCI_Table[[#This Row],[Technology]]="All",LCI_Table[[#This Row],[Technology]]=SelectedTechnology)</f>
        <v>0</v>
      </c>
      <c r="K2610" s="14" t="b">
        <f>OR(LCI_Table[[#This Row],[Data Source]]="All",LCI_Table[[#This Row],[Data Source]]=SelectedDataSource)</f>
        <v>0</v>
      </c>
      <c r="L2610" s="14" t="b">
        <f>TRUE</f>
        <v>1</v>
      </c>
      <c r="M2610" s="14" t="b">
        <f>(LCI_Table[[#This Row],[Dev Notes]]="Do not display")</f>
        <v>0</v>
      </c>
      <c r="N2610" s="14" t="b">
        <f>AND(LCI_Table[[#This Row],[Show Feedstock]:[Conditional]],NOT(LCI_Table[[#This Row],[Hide Row]]))</f>
        <v>0</v>
      </c>
      <c r="O2610" s="14" t="b">
        <f>LCI_Table[[#This Row],[GREET1 Name Range]]=""</f>
        <v>0</v>
      </c>
      <c r="P2610" s="14" t="s">
        <v>1448</v>
      </c>
      <c r="Q2610" s="14" t="s">
        <v>1419</v>
      </c>
      <c r="R2610" s="14" t="s">
        <v>1344</v>
      </c>
      <c r="S2610" s="37" cm="1">
        <f t="array" aca="1" ref="S26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100</v>
      </c>
      <c r="T2610" s="346" t="s">
        <v>1345</v>
      </c>
      <c r="U2610" s="347">
        <f ca="1">S2610/100</f>
        <v>1</v>
      </c>
      <c r="V2610" s="347">
        <v>100</v>
      </c>
      <c r="W2610" s="347">
        <v>1</v>
      </c>
      <c r="X2610" s="37"/>
      <c r="Y2610" s="346" t="s">
        <v>416</v>
      </c>
      <c r="Z2610" s="14" t="str">
        <f>IF(ISBLANK(LCI_Table[[#This Row],[Notes for user]])," ",LCI_Table[[#This Row],[Notes for user]])</f>
        <v xml:space="preserve"> </v>
      </c>
      <c r="AA2610" s="14"/>
      <c r="AB2610" s="14"/>
      <c r="AC2610" s="346">
        <f ca="1">LCI_Table[[#This Row],[Default Calculated Value]]-LCI_Table[[#This Row],[Calculated Value]]</f>
        <v>0</v>
      </c>
    </row>
    <row r="2611" spans="1:29" x14ac:dyDescent="0.3">
      <c r="A26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Waste gasesATJ-ethanolICAOConsensusStandalone_WasteGases_Fermentation_Standalone_Natural_gasNatural gas</v>
      </c>
      <c r="B2611" s="179" t="s">
        <v>1413</v>
      </c>
      <c r="C2611" s="179" t="s">
        <v>1964</v>
      </c>
      <c r="D2611" s="180" t="s">
        <v>194</v>
      </c>
      <c r="E2611" s="182" t="s">
        <v>1399</v>
      </c>
      <c r="F2611" s="181" t="s">
        <v>137</v>
      </c>
      <c r="G2611" s="14" t="b">
        <f>OR(LCI_Table[[#This Row],[Feedstock]]="All",LCI_Table[[#This Row],[Feedstock]]=SelectedFeedstock)</f>
        <v>0</v>
      </c>
      <c r="H2611" s="14" t="b">
        <f>OR(LCI_Table[[#This Row],[Conversion]]="All",LCI_Table[[#This Row],[Conversion]]=SelectedConversion)</f>
        <v>0</v>
      </c>
      <c r="I2611" s="14" t="b">
        <f>OR(LCI_Table[[#This Row],[Data Set]]="all",LCI_Table[[#This Row],[Data Set]]=SelectedDataSet)</f>
        <v>0</v>
      </c>
      <c r="J2611" s="14" t="b">
        <f>OR(LCI_Table[[#This Row],[Technology]]="All",LCI_Table[[#This Row],[Technology]]=SelectedTechnology)</f>
        <v>0</v>
      </c>
      <c r="K2611" s="14" t="b">
        <f>OR(LCI_Table[[#This Row],[Data Source]]="All",LCI_Table[[#This Row],[Data Source]]=SelectedDataSource)</f>
        <v>0</v>
      </c>
      <c r="L2611" s="14" t="b">
        <f>TRUE</f>
        <v>1</v>
      </c>
      <c r="M2611" s="14" t="b">
        <f>(LCI_Table[[#This Row],[Dev Notes]]="Do not display")</f>
        <v>0</v>
      </c>
      <c r="N2611" s="14" t="b">
        <f>AND(LCI_Table[[#This Row],[Show Feedstock]:[Conditional]],NOT(LCI_Table[[#This Row],[Hide Row]]))</f>
        <v>0</v>
      </c>
      <c r="O2611" s="14" t="b">
        <f>LCI_Table[[#This Row],[GREET1 Name Range]]=""</f>
        <v>0</v>
      </c>
      <c r="P2611" s="14" t="s">
        <v>1396</v>
      </c>
      <c r="Q2611" s="14" t="s">
        <v>1425</v>
      </c>
      <c r="R2611" s="14" t="s">
        <v>108</v>
      </c>
      <c r="S2611" s="37" cm="1">
        <f t="array" aca="1" ref="S26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62.371330559683393</v>
      </c>
      <c r="T2611" s="346" t="s">
        <v>2120</v>
      </c>
      <c r="U2611" s="357">
        <f ca="1">S2611*Fuel_Specs!$E$79*g2kg/mmBTU2MJ</f>
        <v>1.30056553149583E-3</v>
      </c>
      <c r="V2611" s="347">
        <v>62.371330559683393</v>
      </c>
      <c r="W2611" s="347">
        <v>1.30056553149583E-3</v>
      </c>
      <c r="X2611" s="37" t="s">
        <v>351</v>
      </c>
      <c r="Y2611" s="346" t="s">
        <v>416</v>
      </c>
      <c r="Z2611" s="14" t="str">
        <f>IF(ISBLANK(LCI_Table[[#This Row],[Notes for user]])," ",LCI_Table[[#This Row],[Notes for user]])</f>
        <v xml:space="preserve"> </v>
      </c>
      <c r="AA2611" s="14"/>
      <c r="AB2611" s="14"/>
      <c r="AC2611" s="346">
        <f ca="1">LCI_Table[[#This Row],[Default Calculated Value]]-LCI_Table[[#This Row],[Calculated Value]]</f>
        <v>0</v>
      </c>
    </row>
    <row r="2612" spans="1:29" x14ac:dyDescent="0.3">
      <c r="A26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Waste gasesATJ-ethanolICAOConsensusStandalone_WasteGases_Fermentation_Standalone_ElectricityElectricity</v>
      </c>
      <c r="B2612" s="179" t="s">
        <v>1413</v>
      </c>
      <c r="C2612" s="179" t="s">
        <v>1964</v>
      </c>
      <c r="D2612" s="180" t="s">
        <v>194</v>
      </c>
      <c r="E2612" s="182" t="s">
        <v>1399</v>
      </c>
      <c r="F2612" s="181" t="s">
        <v>137</v>
      </c>
      <c r="G2612" s="14" t="b">
        <f>OR(LCI_Table[[#This Row],[Feedstock]]="All",LCI_Table[[#This Row],[Feedstock]]=SelectedFeedstock)</f>
        <v>0</v>
      </c>
      <c r="H2612" s="14" t="b">
        <f>OR(LCI_Table[[#This Row],[Conversion]]="All",LCI_Table[[#This Row],[Conversion]]=SelectedConversion)</f>
        <v>0</v>
      </c>
      <c r="I2612" s="14" t="b">
        <f>OR(LCI_Table[[#This Row],[Data Set]]="all",LCI_Table[[#This Row],[Data Set]]=SelectedDataSet)</f>
        <v>0</v>
      </c>
      <c r="J2612" s="14" t="b">
        <f>OR(LCI_Table[[#This Row],[Technology]]="All",LCI_Table[[#This Row],[Technology]]=SelectedTechnology)</f>
        <v>0</v>
      </c>
      <c r="K2612" s="14" t="b">
        <f>OR(LCI_Table[[#This Row],[Data Source]]="All",LCI_Table[[#This Row],[Data Source]]=SelectedDataSource)</f>
        <v>0</v>
      </c>
      <c r="L2612" s="14" t="b">
        <f>TRUE</f>
        <v>1</v>
      </c>
      <c r="M2612" s="14" t="b">
        <f>(LCI_Table[[#This Row],[Dev Notes]]="Do not display")</f>
        <v>0</v>
      </c>
      <c r="N2612" s="14" t="b">
        <f>AND(LCI_Table[[#This Row],[Show Feedstock]:[Conditional]],NOT(LCI_Table[[#This Row],[Hide Row]]))</f>
        <v>0</v>
      </c>
      <c r="O2612" s="14" t="b">
        <f>LCI_Table[[#This Row],[GREET1 Name Range]]=""</f>
        <v>0</v>
      </c>
      <c r="P2612" s="14" t="s">
        <v>1396</v>
      </c>
      <c r="Q2612" s="14" t="s">
        <v>1426</v>
      </c>
      <c r="R2612" s="14" t="s">
        <v>110</v>
      </c>
      <c r="S2612" s="37" cm="1">
        <f t="array" aca="1" ref="S26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42.455211119292386</v>
      </c>
      <c r="T2612" s="346" t="s">
        <v>2121</v>
      </c>
      <c r="U2612" s="357">
        <f ca="1">S2612/mmBTU2MJ</f>
        <v>4.0239776045308304E-2</v>
      </c>
      <c r="V2612" s="347">
        <v>42.455211119292386</v>
      </c>
      <c r="W2612" s="347">
        <v>4.0239776045308304E-2</v>
      </c>
      <c r="X2612" s="37" t="s">
        <v>51</v>
      </c>
      <c r="Y2612" s="346" t="s">
        <v>416</v>
      </c>
      <c r="Z2612" s="14" t="str">
        <f>IF(ISBLANK(LCI_Table[[#This Row],[Notes for user]])," ",LCI_Table[[#This Row],[Notes for user]])</f>
        <v xml:space="preserve"> </v>
      </c>
      <c r="AA2612" s="14"/>
      <c r="AB2612" s="14"/>
      <c r="AC2612" s="346">
        <f ca="1">LCI_Table[[#This Row],[Default Calculated Value]]-LCI_Table[[#This Row],[Calculated Value]]</f>
        <v>0</v>
      </c>
    </row>
    <row r="2613" spans="1:29" x14ac:dyDescent="0.3">
      <c r="A26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Waste gasesATJ-ethanolICAOConsensusStandalone_WasteGases_Fermentation_Standalone_NutrientsNutrients</v>
      </c>
      <c r="B2613" s="179" t="s">
        <v>1413</v>
      </c>
      <c r="C2613" s="179" t="s">
        <v>1964</v>
      </c>
      <c r="D2613" s="180" t="s">
        <v>194</v>
      </c>
      <c r="E2613" s="182" t="s">
        <v>1399</v>
      </c>
      <c r="F2613" s="181" t="s">
        <v>137</v>
      </c>
      <c r="G2613" s="14" t="b">
        <f>OR(LCI_Table[[#This Row],[Feedstock]]="All",LCI_Table[[#This Row],[Feedstock]]=SelectedFeedstock)</f>
        <v>0</v>
      </c>
      <c r="H2613" s="14" t="b">
        <f>OR(LCI_Table[[#This Row],[Conversion]]="All",LCI_Table[[#This Row],[Conversion]]=SelectedConversion)</f>
        <v>0</v>
      </c>
      <c r="I2613" s="14" t="b">
        <f>OR(LCI_Table[[#This Row],[Data Set]]="all",LCI_Table[[#This Row],[Data Set]]=SelectedDataSet)</f>
        <v>0</v>
      </c>
      <c r="J2613" s="14" t="b">
        <f>OR(LCI_Table[[#This Row],[Technology]]="All",LCI_Table[[#This Row],[Technology]]=SelectedTechnology)</f>
        <v>0</v>
      </c>
      <c r="K2613" s="14" t="b">
        <f>OR(LCI_Table[[#This Row],[Data Source]]="All",LCI_Table[[#This Row],[Data Source]]=SelectedDataSource)</f>
        <v>0</v>
      </c>
      <c r="L2613" s="14" t="b">
        <f>TRUE</f>
        <v>1</v>
      </c>
      <c r="M2613" s="14" t="b">
        <f>(LCI_Table[[#This Row],[Dev Notes]]="Do not display")</f>
        <v>0</v>
      </c>
      <c r="N2613" s="14" t="b">
        <f>AND(LCI_Table[[#This Row],[Show Feedstock]:[Conditional]],NOT(LCI_Table[[#This Row],[Hide Row]]))</f>
        <v>0</v>
      </c>
      <c r="O2613" s="14" t="b">
        <f>LCI_Table[[#This Row],[GREET1 Name Range]]=""</f>
        <v>0</v>
      </c>
      <c r="P2613" s="14" t="s">
        <v>1396</v>
      </c>
      <c r="Q2613" s="14" t="s">
        <v>1427</v>
      </c>
      <c r="R2613" s="14" t="s">
        <v>1414</v>
      </c>
      <c r="S2613" s="37" cm="1">
        <f t="array" aca="1" ref="S26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1.6748053392634035</v>
      </c>
      <c r="T2613" s="346" t="s">
        <v>2149</v>
      </c>
      <c r="U2613" s="357">
        <f ca="1">S2613/mmBTU2MJ</f>
        <v>1.5874091776879901E-3</v>
      </c>
      <c r="V2613" s="347">
        <v>1.6748053392634035</v>
      </c>
      <c r="W2613" s="347">
        <v>1.5874091776879901E-3</v>
      </c>
      <c r="X2613" s="37" t="s">
        <v>61</v>
      </c>
      <c r="Y2613" s="346" t="s">
        <v>416</v>
      </c>
      <c r="Z2613" s="14" t="str">
        <f>IF(ISBLANK(LCI_Table[[#This Row],[Notes for user]])," ",LCI_Table[[#This Row],[Notes for user]])</f>
        <v>Used surrogate due to proprietary information</v>
      </c>
      <c r="AA2613" s="14" t="s">
        <v>1433</v>
      </c>
      <c r="AB2613" s="14"/>
      <c r="AC2613" s="346">
        <f ca="1">LCI_Table[[#This Row],[Default Calculated Value]]-LCI_Table[[#This Row],[Calculated Value]]</f>
        <v>0</v>
      </c>
    </row>
    <row r="2614" spans="1:29" x14ac:dyDescent="0.3">
      <c r="A26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Waste gasesATJ-ethanolICAOConsensusStandalone_WasteGases_Fermentation_Standalone_Allocation_FactorAllocation factor</v>
      </c>
      <c r="B2614" s="179" t="s">
        <v>1413</v>
      </c>
      <c r="C2614" s="179" t="s">
        <v>1964</v>
      </c>
      <c r="D2614" s="180" t="s">
        <v>194</v>
      </c>
      <c r="E2614" s="182" t="s">
        <v>1399</v>
      </c>
      <c r="F2614" s="181" t="s">
        <v>137</v>
      </c>
      <c r="G2614" s="14" t="b">
        <f>OR(LCI_Table[[#This Row],[Feedstock]]="All",LCI_Table[[#This Row],[Feedstock]]=SelectedFeedstock)</f>
        <v>0</v>
      </c>
      <c r="H2614" s="14" t="b">
        <f>OR(LCI_Table[[#This Row],[Conversion]]="All",LCI_Table[[#This Row],[Conversion]]=SelectedConversion)</f>
        <v>0</v>
      </c>
      <c r="I2614" s="14" t="b">
        <f>OR(LCI_Table[[#This Row],[Data Set]]="all",LCI_Table[[#This Row],[Data Set]]=SelectedDataSet)</f>
        <v>0</v>
      </c>
      <c r="J2614" s="14" t="b">
        <f>OR(LCI_Table[[#This Row],[Technology]]="All",LCI_Table[[#This Row],[Technology]]=SelectedTechnology)</f>
        <v>0</v>
      </c>
      <c r="K2614" s="14" t="b">
        <f>OR(LCI_Table[[#This Row],[Data Source]]="All",LCI_Table[[#This Row],[Data Source]]=SelectedDataSource)</f>
        <v>0</v>
      </c>
      <c r="L2614" s="14" t="b">
        <f>TRUE</f>
        <v>1</v>
      </c>
      <c r="M2614" s="14" t="b">
        <f>(LCI_Table[[#This Row],[Dev Notes]]="Do not display")</f>
        <v>0</v>
      </c>
      <c r="N2614" s="14" t="b">
        <f>AND(LCI_Table[[#This Row],[Show Feedstock]:[Conditional]],NOT(LCI_Table[[#This Row],[Hide Row]]))</f>
        <v>0</v>
      </c>
      <c r="O2614" s="14" t="b">
        <f>LCI_Table[[#This Row],[GREET1 Name Range]]=""</f>
        <v>0</v>
      </c>
      <c r="P2614" s="14" t="s">
        <v>1396</v>
      </c>
      <c r="Q2614" s="14" t="s">
        <v>1424</v>
      </c>
      <c r="R2614" s="14" t="s">
        <v>1344</v>
      </c>
      <c r="S2614" s="37" cm="1">
        <f t="array" aca="1" ref="S26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86.816941321647406</v>
      </c>
      <c r="T2614" s="346" t="s">
        <v>1345</v>
      </c>
      <c r="U2614" s="347">
        <f ca="1">S2614/100</f>
        <v>0.86816941321647401</v>
      </c>
      <c r="V2614" s="347">
        <v>86.816941321647406</v>
      </c>
      <c r="W2614" s="347">
        <v>0.86816941321647401</v>
      </c>
      <c r="X2614" s="37"/>
      <c r="Y2614" s="346" t="s">
        <v>416</v>
      </c>
      <c r="Z2614" s="14" t="str">
        <f>IF(ISBLANK(LCI_Table[[#This Row],[Notes for user]])," ",LCI_Table[[#This Row],[Notes for user]])</f>
        <v xml:space="preserve"> </v>
      </c>
      <c r="AA2614" s="14"/>
      <c r="AB2614" s="14"/>
      <c r="AC2614" s="346">
        <f ca="1">LCI_Table[[#This Row],[Default Calculated Value]]-LCI_Table[[#This Row],[Calculated Value]]</f>
        <v>0</v>
      </c>
    </row>
    <row r="2615" spans="1:29" x14ac:dyDescent="0.3">
      <c r="A26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Waste gasesATJ-ethanolICAOConsensusStandalone_WasteGases_ETJ_Standalone_EthanolEthanol</v>
      </c>
      <c r="B2615" s="179" t="s">
        <v>1413</v>
      </c>
      <c r="C2615" s="179" t="s">
        <v>1964</v>
      </c>
      <c r="D2615" s="180" t="s">
        <v>194</v>
      </c>
      <c r="E2615" s="182" t="s">
        <v>1399</v>
      </c>
      <c r="F2615" s="181" t="s">
        <v>137</v>
      </c>
      <c r="G2615" s="14" t="b">
        <f>OR(LCI_Table[[#This Row],[Feedstock]]="All",LCI_Table[[#This Row],[Feedstock]]=SelectedFeedstock)</f>
        <v>0</v>
      </c>
      <c r="H2615" s="14" t="b">
        <f>OR(LCI_Table[[#This Row],[Conversion]]="All",LCI_Table[[#This Row],[Conversion]]=SelectedConversion)</f>
        <v>0</v>
      </c>
      <c r="I2615" s="14" t="b">
        <f>OR(LCI_Table[[#This Row],[Data Set]]="all",LCI_Table[[#This Row],[Data Set]]=SelectedDataSet)</f>
        <v>0</v>
      </c>
      <c r="J2615" s="14" t="b">
        <f>OR(LCI_Table[[#This Row],[Technology]]="All",LCI_Table[[#This Row],[Technology]]=SelectedTechnology)</f>
        <v>0</v>
      </c>
      <c r="K2615" s="14" t="b">
        <f>OR(LCI_Table[[#This Row],[Data Source]]="All",LCI_Table[[#This Row],[Data Source]]=SelectedDataSource)</f>
        <v>0</v>
      </c>
      <c r="L2615" s="14" t="b">
        <f>TRUE</f>
        <v>1</v>
      </c>
      <c r="M2615" s="14" t="b">
        <f>(LCI_Table[[#This Row],[Dev Notes]]="Do not display")</f>
        <v>0</v>
      </c>
      <c r="N2615" s="14" t="b">
        <f>AND(LCI_Table[[#This Row],[Show Feedstock]:[Conditional]],NOT(LCI_Table[[#This Row],[Hide Row]]))</f>
        <v>0</v>
      </c>
      <c r="O2615" s="14" t="b">
        <f>LCI_Table[[#This Row],[GREET1 Name Range]]=""</f>
        <v>0</v>
      </c>
      <c r="P2615" s="14" t="s">
        <v>1448</v>
      </c>
      <c r="Q2615" s="14" t="s">
        <v>1429</v>
      </c>
      <c r="R2615" s="14" t="s">
        <v>138</v>
      </c>
      <c r="S2615" s="37" cm="1">
        <f t="array" aca="1" ref="S26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13.817633957814742</v>
      </c>
      <c r="T2615" s="346" t="s">
        <v>2128</v>
      </c>
      <c r="U2615" s="357">
        <f ca="1">S2615*Fuel_Specs!$E$31*g2kg/mmBTU2MJ</f>
        <v>3.9132611099166416E-2</v>
      </c>
      <c r="V2615" s="347">
        <v>13.817633957814742</v>
      </c>
      <c r="W2615" s="347">
        <v>3.9132611099166416E-2</v>
      </c>
      <c r="X2615" s="37" t="s">
        <v>5</v>
      </c>
      <c r="Y2615" s="346" t="s">
        <v>416</v>
      </c>
      <c r="Z2615" s="14" t="str">
        <f>IF(ISBLANK(LCI_Table[[#This Row],[Notes for user]])," ",LCI_Table[[#This Row],[Notes for user]])</f>
        <v xml:space="preserve"> </v>
      </c>
      <c r="AA2615" s="14"/>
      <c r="AB2615" s="14"/>
      <c r="AC2615" s="346">
        <f ca="1">LCI_Table[[#This Row],[Default Calculated Value]]-LCI_Table[[#This Row],[Calculated Value]]</f>
        <v>0</v>
      </c>
    </row>
    <row r="2616" spans="1:29" x14ac:dyDescent="0.3">
      <c r="A26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Waste gasesATJ-ethanolICAOConsensusStandalone_WasteGases_ETJ_Standalone_Natural_gasNatural gas</v>
      </c>
      <c r="B2616" s="179" t="s">
        <v>1413</v>
      </c>
      <c r="C2616" s="179" t="s">
        <v>1964</v>
      </c>
      <c r="D2616" s="180" t="s">
        <v>194</v>
      </c>
      <c r="E2616" s="182" t="s">
        <v>1399</v>
      </c>
      <c r="F2616" s="181" t="s">
        <v>137</v>
      </c>
      <c r="G2616" s="14" t="b">
        <f>OR(LCI_Table[[#This Row],[Feedstock]]="All",LCI_Table[[#This Row],[Feedstock]]=SelectedFeedstock)</f>
        <v>0</v>
      </c>
      <c r="H2616" s="14" t="b">
        <f>OR(LCI_Table[[#This Row],[Conversion]]="All",LCI_Table[[#This Row],[Conversion]]=SelectedConversion)</f>
        <v>0</v>
      </c>
      <c r="I2616" s="14" t="b">
        <f>OR(LCI_Table[[#This Row],[Data Set]]="all",LCI_Table[[#This Row],[Data Set]]=SelectedDataSet)</f>
        <v>0</v>
      </c>
      <c r="J2616" s="14" t="b">
        <f>OR(LCI_Table[[#This Row],[Technology]]="All",LCI_Table[[#This Row],[Technology]]=SelectedTechnology)</f>
        <v>0</v>
      </c>
      <c r="K2616" s="14" t="b">
        <f>OR(LCI_Table[[#This Row],[Data Source]]="All",LCI_Table[[#This Row],[Data Source]]=SelectedDataSource)</f>
        <v>0</v>
      </c>
      <c r="L2616" s="14" t="b">
        <f>TRUE</f>
        <v>1</v>
      </c>
      <c r="M2616" s="14" t="b">
        <f>(LCI_Table[[#This Row],[Dev Notes]]="Do not display")</f>
        <v>0</v>
      </c>
      <c r="N2616" s="14" t="b">
        <f>AND(LCI_Table[[#This Row],[Show Feedstock]:[Conditional]],NOT(LCI_Table[[#This Row],[Hide Row]]))</f>
        <v>0</v>
      </c>
      <c r="O2616" s="14" t="b">
        <f>LCI_Table[[#This Row],[GREET1 Name Range]]=""</f>
        <v>0</v>
      </c>
      <c r="P2616" s="14" t="s">
        <v>1448</v>
      </c>
      <c r="Q2616" s="14" t="s">
        <v>1430</v>
      </c>
      <c r="R2616" s="14" t="s">
        <v>108</v>
      </c>
      <c r="S2616" s="37" cm="1">
        <f t="array" aca="1" ref="S26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158.58596134282794</v>
      </c>
      <c r="T2616" s="346" t="s">
        <v>2120</v>
      </c>
      <c r="U2616" s="357">
        <f ca="1">S2616*Fuel_Specs!$E$79*g2kg/mmBTU2MJ</f>
        <v>3.3068307706575106E-3</v>
      </c>
      <c r="V2616" s="347">
        <v>158.58596134282794</v>
      </c>
      <c r="W2616" s="357">
        <v>3.3068307706575106E-3</v>
      </c>
      <c r="X2616" s="37" t="s">
        <v>351</v>
      </c>
      <c r="Y2616" s="346" t="s">
        <v>416</v>
      </c>
      <c r="Z2616" s="14" t="str">
        <f>IF(ISBLANK(LCI_Table[[#This Row],[Notes for user]])," ",LCI_Table[[#This Row],[Notes for user]])</f>
        <v xml:space="preserve"> </v>
      </c>
      <c r="AA2616" s="14"/>
      <c r="AB2616" s="14"/>
      <c r="AC2616" s="346">
        <f ca="1">LCI_Table[[#This Row],[Default Calculated Value]]-LCI_Table[[#This Row],[Calculated Value]]</f>
        <v>0</v>
      </c>
    </row>
    <row r="2617" spans="1:29" x14ac:dyDescent="0.3">
      <c r="A26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Waste gasesATJ-ethanolICAOConsensusStandalone_WasteGases_ETJ_Standalone_ElectricityGrid Electricity</v>
      </c>
      <c r="B2617" s="179" t="s">
        <v>1413</v>
      </c>
      <c r="C2617" s="179" t="s">
        <v>1964</v>
      </c>
      <c r="D2617" s="180" t="s">
        <v>194</v>
      </c>
      <c r="E2617" s="182" t="s">
        <v>1399</v>
      </c>
      <c r="F2617" s="181" t="s">
        <v>137</v>
      </c>
      <c r="G2617" s="14" t="b">
        <f>OR(LCI_Table[[#This Row],[Feedstock]]="All",LCI_Table[[#This Row],[Feedstock]]=SelectedFeedstock)</f>
        <v>0</v>
      </c>
      <c r="H2617" s="14" t="b">
        <f>OR(LCI_Table[[#This Row],[Conversion]]="All",LCI_Table[[#This Row],[Conversion]]=SelectedConversion)</f>
        <v>0</v>
      </c>
      <c r="I2617" s="14" t="b">
        <f>OR(LCI_Table[[#This Row],[Data Set]]="all",LCI_Table[[#This Row],[Data Set]]=SelectedDataSet)</f>
        <v>0</v>
      </c>
      <c r="J2617" s="14" t="b">
        <f>OR(LCI_Table[[#This Row],[Technology]]="All",LCI_Table[[#This Row],[Technology]]=SelectedTechnology)</f>
        <v>0</v>
      </c>
      <c r="K2617" s="14" t="b">
        <f>OR(LCI_Table[[#This Row],[Data Source]]="All",LCI_Table[[#This Row],[Data Source]]=SelectedDataSource)</f>
        <v>0</v>
      </c>
      <c r="L2617" s="14" t="b">
        <f>TRUE</f>
        <v>1</v>
      </c>
      <c r="M2617" s="14" t="b">
        <f>(LCI_Table[[#This Row],[Dev Notes]]="Do not display")</f>
        <v>0</v>
      </c>
      <c r="N2617" s="14" t="b">
        <f>AND(LCI_Table[[#This Row],[Show Feedstock]:[Conditional]],NOT(LCI_Table[[#This Row],[Hide Row]]))</f>
        <v>0</v>
      </c>
      <c r="O2617" s="14" t="b">
        <f>LCI_Table[[#This Row],[GREET1 Name Range]]=""</f>
        <v>0</v>
      </c>
      <c r="P2617" s="14" t="s">
        <v>1448</v>
      </c>
      <c r="Q2617" s="14" t="s">
        <v>1431</v>
      </c>
      <c r="R2617" s="14" t="s">
        <v>1684</v>
      </c>
      <c r="S2617" s="37" cm="1">
        <f t="array" aca="1" ref="S26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5.5815897223724123E-6</v>
      </c>
      <c r="T2617" s="346" t="s">
        <v>2121</v>
      </c>
      <c r="U2617" s="357">
        <f ca="1">S2617/MJ2mmBTU</f>
        <v>5.8888888888888897E-3</v>
      </c>
      <c r="V2617" s="347">
        <v>5.5815897223724123E-6</v>
      </c>
      <c r="W2617" s="347">
        <v>5.8888888888888897E-3</v>
      </c>
      <c r="X2617" s="37" t="s">
        <v>51</v>
      </c>
      <c r="Y2617" s="346" t="s">
        <v>416</v>
      </c>
      <c r="Z2617" s="14" t="str">
        <f>IF(ISBLANK(LCI_Table[[#This Row],[Notes for user]])," ",LCI_Table[[#This Row],[Notes for user]])</f>
        <v xml:space="preserve"> </v>
      </c>
      <c r="AA2617" s="14"/>
      <c r="AB2617" s="14"/>
      <c r="AC2617" s="346">
        <f ca="1">LCI_Table[[#This Row],[Default Calculated Value]]-LCI_Table[[#This Row],[Calculated Value]]</f>
        <v>0</v>
      </c>
    </row>
    <row r="2618" spans="1:29" x14ac:dyDescent="0.3">
      <c r="A26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Waste gasesATJ-ethanolICAOConsensusStandalone_WasteGases_ETJ_Standalone_HydrogenHydrogen</v>
      </c>
      <c r="B2618" s="179" t="s">
        <v>1413</v>
      </c>
      <c r="C2618" s="179" t="s">
        <v>1964</v>
      </c>
      <c r="D2618" s="180" t="s">
        <v>194</v>
      </c>
      <c r="E2618" s="182" t="s">
        <v>1399</v>
      </c>
      <c r="F2618" s="181" t="s">
        <v>137</v>
      </c>
      <c r="G2618" s="14" t="b">
        <f>OR(LCI_Table[[#This Row],[Feedstock]]="All",LCI_Table[[#This Row],[Feedstock]]=SelectedFeedstock)</f>
        <v>0</v>
      </c>
      <c r="H2618" s="14" t="b">
        <f>OR(LCI_Table[[#This Row],[Conversion]]="All",LCI_Table[[#This Row],[Conversion]]=SelectedConversion)</f>
        <v>0</v>
      </c>
      <c r="I2618" s="14" t="b">
        <f>OR(LCI_Table[[#This Row],[Data Set]]="all",LCI_Table[[#This Row],[Data Set]]=SelectedDataSet)</f>
        <v>0</v>
      </c>
      <c r="J2618" s="14" t="b">
        <f>OR(LCI_Table[[#This Row],[Technology]]="All",LCI_Table[[#This Row],[Technology]]=SelectedTechnology)</f>
        <v>0</v>
      </c>
      <c r="K2618" s="14" t="b">
        <f>OR(LCI_Table[[#This Row],[Data Source]]="All",LCI_Table[[#This Row],[Data Source]]=SelectedDataSource)</f>
        <v>0</v>
      </c>
      <c r="L2618" s="14" t="b">
        <f>TRUE</f>
        <v>1</v>
      </c>
      <c r="M2618" s="14" t="b">
        <f>(LCI_Table[[#This Row],[Dev Notes]]="Do not display")</f>
        <v>0</v>
      </c>
      <c r="N2618" s="14" t="b">
        <f>AND(LCI_Table[[#This Row],[Show Feedstock]:[Conditional]],NOT(LCI_Table[[#This Row],[Hide Row]]))</f>
        <v>0</v>
      </c>
      <c r="O2618" s="14" t="b">
        <f>LCI_Table[[#This Row],[GREET1 Name Range]]=""</f>
        <v>0</v>
      </c>
      <c r="P2618" s="14" t="s">
        <v>1448</v>
      </c>
      <c r="Q2618" s="14" t="s">
        <v>1432</v>
      </c>
      <c r="R2618" s="14" t="s">
        <v>73</v>
      </c>
      <c r="S2618" s="37" cm="1">
        <f t="array" aca="1" ref="S26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215.17241379310352</v>
      </c>
      <c r="T2618" s="346" t="s">
        <v>2120</v>
      </c>
      <c r="U2618" s="357">
        <f ca="1">S2618*Fuel_Specs!$E$81*g2kg/mmBTU2MJ</f>
        <v>5.2005745020267319E-4</v>
      </c>
      <c r="V2618" s="347">
        <v>215.17241379310352</v>
      </c>
      <c r="W2618" s="347">
        <v>5.2005745020267319E-4</v>
      </c>
      <c r="X2618" s="37" t="s">
        <v>351</v>
      </c>
      <c r="Y2618" s="346" t="s">
        <v>416</v>
      </c>
      <c r="Z2618" s="14" t="str">
        <f>IF(ISBLANK(LCI_Table[[#This Row],[Notes for user]])," ",LCI_Table[[#This Row],[Notes for user]])</f>
        <v xml:space="preserve"> </v>
      </c>
      <c r="AA2618" s="14"/>
      <c r="AB2618" s="14"/>
      <c r="AC2618" s="346">
        <f ca="1">LCI_Table[[#This Row],[Default Calculated Value]]-LCI_Table[[#This Row],[Calculated Value]]</f>
        <v>0</v>
      </c>
    </row>
    <row r="2619" spans="1:29" x14ac:dyDescent="0.3">
      <c r="A26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Waste gasesATJ-ethanolICAOConsensusStandalone_WasteGases_ETJ_Standalone_Allocation_FactorAllocation factor</v>
      </c>
      <c r="B2619" s="179" t="s">
        <v>1413</v>
      </c>
      <c r="C2619" s="179" t="s">
        <v>1964</v>
      </c>
      <c r="D2619" s="180" t="s">
        <v>194</v>
      </c>
      <c r="E2619" s="182" t="s">
        <v>1399</v>
      </c>
      <c r="F2619" s="181" t="s">
        <v>137</v>
      </c>
      <c r="G2619" s="14" t="b">
        <f>OR(LCI_Table[[#This Row],[Feedstock]]="All",LCI_Table[[#This Row],[Feedstock]]=SelectedFeedstock)</f>
        <v>0</v>
      </c>
      <c r="H2619" s="14" t="b">
        <f>OR(LCI_Table[[#This Row],[Conversion]]="All",LCI_Table[[#This Row],[Conversion]]=SelectedConversion)</f>
        <v>0</v>
      </c>
      <c r="I2619" s="14" t="b">
        <f>OR(LCI_Table[[#This Row],[Data Set]]="all",LCI_Table[[#This Row],[Data Set]]=SelectedDataSet)</f>
        <v>0</v>
      </c>
      <c r="J2619" s="14" t="b">
        <f>OR(LCI_Table[[#This Row],[Technology]]="All",LCI_Table[[#This Row],[Technology]]=SelectedTechnology)</f>
        <v>0</v>
      </c>
      <c r="K2619" s="14" t="b">
        <f>OR(LCI_Table[[#This Row],[Data Source]]="All",LCI_Table[[#This Row],[Data Source]]=SelectedDataSource)</f>
        <v>0</v>
      </c>
      <c r="L2619" s="14" t="b">
        <f>TRUE</f>
        <v>1</v>
      </c>
      <c r="M2619" s="14" t="b">
        <f>(LCI_Table[[#This Row],[Dev Notes]]="Do not display")</f>
        <v>0</v>
      </c>
      <c r="N2619" s="14" t="b">
        <f>AND(LCI_Table[[#This Row],[Show Feedstock]:[Conditional]],NOT(LCI_Table[[#This Row],[Hide Row]]))</f>
        <v>0</v>
      </c>
      <c r="O2619" s="14" t="b">
        <f>LCI_Table[[#This Row],[GREET1 Name Range]]=""</f>
        <v>0</v>
      </c>
      <c r="P2619" s="14" t="s">
        <v>1448</v>
      </c>
      <c r="Q2619" s="14" t="s">
        <v>1428</v>
      </c>
      <c r="R2619" s="14" t="s">
        <v>1344</v>
      </c>
      <c r="S2619" s="37" cm="1">
        <f t="array" aca="1" ref="S26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100</v>
      </c>
      <c r="T2619" s="346" t="s">
        <v>1345</v>
      </c>
      <c r="U2619" s="347">
        <f ca="1">S2619/100</f>
        <v>1</v>
      </c>
      <c r="V2619" s="347">
        <v>100</v>
      </c>
      <c r="W2619" s="347">
        <v>1</v>
      </c>
      <c r="X2619" s="37"/>
      <c r="Y2619" s="346" t="s">
        <v>416</v>
      </c>
      <c r="Z2619" s="14" t="str">
        <f>IF(ISBLANK(LCI_Table[[#This Row],[Notes for user]])," ",LCI_Table[[#This Row],[Notes for user]])</f>
        <v xml:space="preserve"> </v>
      </c>
      <c r="AA2619" s="14"/>
      <c r="AB2619" s="14"/>
      <c r="AC2619" s="346">
        <f ca="1">LCI_Table[[#This Row],[Default Calculated Value]]-LCI_Table[[#This Row],[Calculated Value]]</f>
        <v>0</v>
      </c>
    </row>
    <row r="2620" spans="1:29" x14ac:dyDescent="0.3">
      <c r="A26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dash_SugarcaneATJ-ethanolGREETGREET(blank)_Yield_Farming</v>
      </c>
      <c r="B2620" s="179" t="s">
        <v>447</v>
      </c>
      <c r="C2620" s="179" t="s">
        <v>1964</v>
      </c>
      <c r="D2620" s="180" t="s">
        <v>29</v>
      </c>
      <c r="E2620" s="182" t="s">
        <v>29</v>
      </c>
      <c r="F2620" s="82" t="s">
        <v>31</v>
      </c>
      <c r="G2620" s="14" t="b">
        <f>OR(LCI_Table[[#This Row],[Feedstock]]="All",LCI_Table[[#This Row],[Feedstock]]=SelectedFeedstock)</f>
        <v>0</v>
      </c>
      <c r="H2620" s="14" t="b">
        <f>OR(LCI_Table[[#This Row],[Conversion]]="All",LCI_Table[[#This Row],[Conversion]]=SelectedConversion)</f>
        <v>0</v>
      </c>
      <c r="I2620" s="14" t="b">
        <f>OR(LCI_Table[[#This Row],[Data Set]]="all",LCI_Table[[#This Row],[Data Set]]=SelectedDataSet)</f>
        <v>1</v>
      </c>
      <c r="J2620" s="14" t="b">
        <f>OR(LCI_Table[[#This Row],[Technology]]="All",LCI_Table[[#This Row],[Technology]]=SelectedTechnology)</f>
        <v>1</v>
      </c>
      <c r="K2620" s="14" t="b">
        <f>OR(LCI_Table[[#This Row],[Data Source]]="All",LCI_Table[[#This Row],[Data Source]]=SelectedDataSource)</f>
        <v>1</v>
      </c>
      <c r="L2620" s="14" t="b">
        <v>0</v>
      </c>
      <c r="M2620" s="14" t="b">
        <f>(LCI_Table[[#This Row],[Dev Notes]]="Do not display")</f>
        <v>0</v>
      </c>
      <c r="N2620" s="14" t="b">
        <f>AND(LCI_Table[[#This Row],[Show Feedstock]:[Conditional]],NOT(LCI_Table[[#This Row],[Hide Row]]))</f>
        <v>0</v>
      </c>
      <c r="O2620" s="14" t="b">
        <f>LCI_Table[[#This Row],[GREET1 Name Range]]=""</f>
        <v>1</v>
      </c>
      <c r="P2620" s="48" t="s">
        <v>14</v>
      </c>
      <c r="Q2620" s="14" t="s">
        <v>361</v>
      </c>
      <c r="R2620" s="48" t="s">
        <v>200</v>
      </c>
      <c r="S2620" s="37" cm="1">
        <f t="array" aca="1" ref="S26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27.002242169209307</v>
      </c>
      <c r="T2620" s="346" t="s">
        <v>2116</v>
      </c>
      <c r="U2620" s="344"/>
      <c r="V2620" s="344">
        <v>27.002242169209307</v>
      </c>
      <c r="W2620" s="344"/>
      <c r="X2620" s="48" t="s">
        <v>55</v>
      </c>
      <c r="Y2620" s="346" t="s">
        <v>413</v>
      </c>
      <c r="Z2620" s="14" t="str">
        <f>IF(ISBLANK(LCI_Table[[#This Row],[Notes for user]])," ",LCI_Table[[#This Row],[Notes for user]])</f>
        <v xml:space="preserve"> </v>
      </c>
      <c r="AA2620" s="48"/>
      <c r="AB2620" s="345" t="s">
        <v>923</v>
      </c>
      <c r="AC2620" s="346">
        <f>LCI_Table[[#This Row],[Default Calculated Value]]-LCI_Table[[#This Row],[Calculated Value]]</f>
        <v>0</v>
      </c>
    </row>
    <row r="2621" spans="1:29" x14ac:dyDescent="0.3">
      <c r="A26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SugarcaneATJ-ethanolGREETGREET(blank)_Sugarcane_Nitrogen_fertilizerNitrogen fertilizer</v>
      </c>
      <c r="B2621" s="179" t="s">
        <v>447</v>
      </c>
      <c r="C2621" s="179" t="s">
        <v>1964</v>
      </c>
      <c r="D2621" s="180" t="s">
        <v>29</v>
      </c>
      <c r="E2621" s="182" t="s">
        <v>29</v>
      </c>
      <c r="F2621" s="82" t="s">
        <v>31</v>
      </c>
      <c r="G2621" s="14" t="b">
        <f>OR(LCI_Table[[#This Row],[Feedstock]]="All",LCI_Table[[#This Row],[Feedstock]]=SelectedFeedstock)</f>
        <v>0</v>
      </c>
      <c r="H2621" s="14" t="b">
        <f>OR(LCI_Table[[#This Row],[Conversion]]="All",LCI_Table[[#This Row],[Conversion]]=SelectedConversion)</f>
        <v>0</v>
      </c>
      <c r="I2621" s="14" t="b">
        <f>OR(LCI_Table[[#This Row],[Data Set]]="all",LCI_Table[[#This Row],[Data Set]]=SelectedDataSet)</f>
        <v>1</v>
      </c>
      <c r="J2621" s="14" t="b">
        <f>OR(LCI_Table[[#This Row],[Technology]]="All",LCI_Table[[#This Row],[Technology]]=SelectedTechnology)</f>
        <v>1</v>
      </c>
      <c r="K2621" s="14" t="b">
        <f>OR(LCI_Table[[#This Row],[Data Source]]="All",LCI_Table[[#This Row],[Data Source]]=SelectedDataSource)</f>
        <v>1</v>
      </c>
      <c r="L2621" s="14" t="b">
        <v>0</v>
      </c>
      <c r="M2621" s="14" t="b">
        <f>(LCI_Table[[#This Row],[Dev Notes]]="Do not display")</f>
        <v>0</v>
      </c>
      <c r="N2621" s="14" t="b">
        <f>AND(LCI_Table[[#This Row],[Show Feedstock]:[Conditional]],NOT(LCI_Table[[#This Row],[Hide Row]]))</f>
        <v>0</v>
      </c>
      <c r="O2621" s="14" t="b">
        <f>LCI_Table[[#This Row],[GREET1 Name Range]]=""</f>
        <v>0</v>
      </c>
      <c r="P2621" s="14" t="s">
        <v>14</v>
      </c>
      <c r="Q2621" s="14" t="s">
        <v>968</v>
      </c>
      <c r="R2621" s="14" t="s">
        <v>111</v>
      </c>
      <c r="S2621" s="37" cm="1">
        <f t="array" aca="1" ref="S26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63.087910014331996</v>
      </c>
      <c r="T2621" s="346" t="s">
        <v>1485</v>
      </c>
      <c r="U2621" s="347">
        <f t="shared" ref="U2621:U2627" ca="1" si="193">S2621*lb2g/$S$2620/ton2MT</f>
        <v>1168.1976189049817</v>
      </c>
      <c r="V2621" s="347">
        <v>63.087910014331996</v>
      </c>
      <c r="W2621" s="347">
        <v>1168.1976189049817</v>
      </c>
      <c r="X2621" s="14" t="s">
        <v>12</v>
      </c>
      <c r="Y2621" s="346" t="s">
        <v>413</v>
      </c>
      <c r="Z2621" s="14" t="str">
        <f>IF(ISBLANK(LCI_Table[[#This Row],[Notes for user]])," ",LCI_Table[[#This Row],[Notes for user]])</f>
        <v xml:space="preserve"> </v>
      </c>
      <c r="AA2621" s="14"/>
      <c r="AB2621" s="14"/>
      <c r="AC2621" s="346">
        <f ca="1">LCI_Table[[#This Row],[Default Calculated Value]]-LCI_Table[[#This Row],[Calculated Value]]</f>
        <v>0</v>
      </c>
    </row>
    <row r="2622" spans="1:29" x14ac:dyDescent="0.3">
      <c r="A26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SugarcaneATJ-ethanolGREETGREET(blank)_Sugarcane_P2O5P2O5</v>
      </c>
      <c r="B2622" s="179" t="s">
        <v>447</v>
      </c>
      <c r="C2622" s="179" t="s">
        <v>1964</v>
      </c>
      <c r="D2622" s="180" t="s">
        <v>29</v>
      </c>
      <c r="E2622" s="182" t="s">
        <v>29</v>
      </c>
      <c r="F2622" s="82" t="s">
        <v>31</v>
      </c>
      <c r="G2622" s="14" t="b">
        <f>OR(LCI_Table[[#This Row],[Feedstock]]="All",LCI_Table[[#This Row],[Feedstock]]=SelectedFeedstock)</f>
        <v>0</v>
      </c>
      <c r="H2622" s="14" t="b">
        <f>OR(LCI_Table[[#This Row],[Conversion]]="All",LCI_Table[[#This Row],[Conversion]]=SelectedConversion)</f>
        <v>0</v>
      </c>
      <c r="I2622" s="14" t="b">
        <f>OR(LCI_Table[[#This Row],[Data Set]]="all",LCI_Table[[#This Row],[Data Set]]=SelectedDataSet)</f>
        <v>1</v>
      </c>
      <c r="J2622" s="14" t="b">
        <f>OR(LCI_Table[[#This Row],[Technology]]="All",LCI_Table[[#This Row],[Technology]]=SelectedTechnology)</f>
        <v>1</v>
      </c>
      <c r="K2622" s="14" t="b">
        <f>OR(LCI_Table[[#This Row],[Data Source]]="All",LCI_Table[[#This Row],[Data Source]]=SelectedDataSource)</f>
        <v>1</v>
      </c>
      <c r="L2622" s="14" t="b">
        <v>0</v>
      </c>
      <c r="M2622" s="14" t="b">
        <f>(LCI_Table[[#This Row],[Dev Notes]]="Do not display")</f>
        <v>0</v>
      </c>
      <c r="N2622" s="14" t="b">
        <f>AND(LCI_Table[[#This Row],[Show Feedstock]:[Conditional]],NOT(LCI_Table[[#This Row],[Hide Row]]))</f>
        <v>0</v>
      </c>
      <c r="O2622" s="14" t="b">
        <f>LCI_Table[[#This Row],[GREET1 Name Range]]=""</f>
        <v>0</v>
      </c>
      <c r="P2622" s="14" t="s">
        <v>14</v>
      </c>
      <c r="Q2622" s="14" t="s">
        <v>969</v>
      </c>
      <c r="R2622" s="14" t="s">
        <v>112</v>
      </c>
      <c r="S2622" s="37" cm="1">
        <f t="array" aca="1" ref="S26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27.584657681424492</v>
      </c>
      <c r="T2622" s="346" t="s">
        <v>1485</v>
      </c>
      <c r="U2622" s="347">
        <f t="shared" ca="1" si="193"/>
        <v>510.78457686153399</v>
      </c>
      <c r="V2622" s="347">
        <v>27.584657681424492</v>
      </c>
      <c r="W2622" s="347">
        <v>510.78457686153399</v>
      </c>
      <c r="X2622" s="14" t="s">
        <v>12</v>
      </c>
      <c r="Y2622" s="346" t="s">
        <v>413</v>
      </c>
      <c r="Z2622" s="14" t="str">
        <f>IF(ISBLANK(LCI_Table[[#This Row],[Notes for user]])," ",LCI_Table[[#This Row],[Notes for user]])</f>
        <v xml:space="preserve"> </v>
      </c>
      <c r="AA2622" s="14"/>
      <c r="AB2622" s="14"/>
      <c r="AC2622" s="346">
        <f ca="1">LCI_Table[[#This Row],[Default Calculated Value]]-LCI_Table[[#This Row],[Calculated Value]]</f>
        <v>0</v>
      </c>
    </row>
    <row r="2623" spans="1:29" x14ac:dyDescent="0.3">
      <c r="A26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SugarcaneATJ-ethanolGREETGREET(blank)_Sugarcane_K2OK2O</v>
      </c>
      <c r="B2623" s="179" t="s">
        <v>447</v>
      </c>
      <c r="C2623" s="179" t="s">
        <v>1964</v>
      </c>
      <c r="D2623" s="180" t="s">
        <v>29</v>
      </c>
      <c r="E2623" s="182" t="s">
        <v>29</v>
      </c>
      <c r="F2623" s="82" t="s">
        <v>31</v>
      </c>
      <c r="G2623" s="14" t="b">
        <f>OR(LCI_Table[[#This Row],[Feedstock]]="All",LCI_Table[[#This Row],[Feedstock]]=SelectedFeedstock)</f>
        <v>0</v>
      </c>
      <c r="H2623" s="14" t="b">
        <f>OR(LCI_Table[[#This Row],[Conversion]]="All",LCI_Table[[#This Row],[Conversion]]=SelectedConversion)</f>
        <v>0</v>
      </c>
      <c r="I2623" s="14" t="b">
        <f>OR(LCI_Table[[#This Row],[Data Set]]="all",LCI_Table[[#This Row],[Data Set]]=SelectedDataSet)</f>
        <v>1</v>
      </c>
      <c r="J2623" s="14" t="b">
        <f>OR(LCI_Table[[#This Row],[Technology]]="All",LCI_Table[[#This Row],[Technology]]=SelectedTechnology)</f>
        <v>1</v>
      </c>
      <c r="K2623" s="14" t="b">
        <f>OR(LCI_Table[[#This Row],[Data Source]]="All",LCI_Table[[#This Row],[Data Source]]=SelectedDataSource)</f>
        <v>1</v>
      </c>
      <c r="L2623" s="14" t="b">
        <v>0</v>
      </c>
      <c r="M2623" s="14" t="b">
        <f>(LCI_Table[[#This Row],[Dev Notes]]="Do not display")</f>
        <v>0</v>
      </c>
      <c r="N2623" s="14" t="b">
        <f>AND(LCI_Table[[#This Row],[Show Feedstock]:[Conditional]],NOT(LCI_Table[[#This Row],[Hide Row]]))</f>
        <v>0</v>
      </c>
      <c r="O2623" s="14" t="b">
        <f>LCI_Table[[#This Row],[GREET1 Name Range]]=""</f>
        <v>0</v>
      </c>
      <c r="P2623" s="14" t="s">
        <v>14</v>
      </c>
      <c r="Q2623" s="14" t="s">
        <v>970</v>
      </c>
      <c r="R2623" s="14" t="s">
        <v>113</v>
      </c>
      <c r="S2623" s="37" cm="1">
        <f t="array" aca="1" ref="S26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54.287135753653139</v>
      </c>
      <c r="T2623" s="346" t="s">
        <v>1485</v>
      </c>
      <c r="U2623" s="347">
        <f t="shared" ca="1" si="193"/>
        <v>1005.2338508310401</v>
      </c>
      <c r="V2623" s="347">
        <v>54.287135753653139</v>
      </c>
      <c r="W2623" s="347">
        <v>1005.2338508310401</v>
      </c>
      <c r="X2623" s="14" t="s">
        <v>12</v>
      </c>
      <c r="Y2623" s="346" t="s">
        <v>413</v>
      </c>
      <c r="Z2623" s="14" t="str">
        <f>IF(ISBLANK(LCI_Table[[#This Row],[Notes for user]])," ",LCI_Table[[#This Row],[Notes for user]])</f>
        <v xml:space="preserve"> </v>
      </c>
      <c r="AA2623" s="14"/>
      <c r="AB2623" s="14"/>
      <c r="AC2623" s="346">
        <f ca="1">LCI_Table[[#This Row],[Default Calculated Value]]-LCI_Table[[#This Row],[Calculated Value]]</f>
        <v>0</v>
      </c>
    </row>
    <row r="2624" spans="1:29" x14ac:dyDescent="0.3">
      <c r="A26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SugarcaneATJ-ethanolGREETGREET(blank)_Sugarcane_CaCO3CaCO3</v>
      </c>
      <c r="B2624" s="179" t="s">
        <v>447</v>
      </c>
      <c r="C2624" s="179" t="s">
        <v>1964</v>
      </c>
      <c r="D2624" s="180" t="s">
        <v>29</v>
      </c>
      <c r="E2624" s="182" t="s">
        <v>29</v>
      </c>
      <c r="F2624" s="82" t="s">
        <v>31</v>
      </c>
      <c r="G2624" s="14" t="b">
        <f>OR(LCI_Table[[#This Row],[Feedstock]]="All",LCI_Table[[#This Row],[Feedstock]]=SelectedFeedstock)</f>
        <v>0</v>
      </c>
      <c r="H2624" s="14" t="b">
        <f>OR(LCI_Table[[#This Row],[Conversion]]="All",LCI_Table[[#This Row],[Conversion]]=SelectedConversion)</f>
        <v>0</v>
      </c>
      <c r="I2624" s="14" t="b">
        <f>OR(LCI_Table[[#This Row],[Data Set]]="all",LCI_Table[[#This Row],[Data Set]]=SelectedDataSet)</f>
        <v>1</v>
      </c>
      <c r="J2624" s="14" t="b">
        <f>OR(LCI_Table[[#This Row],[Technology]]="All",LCI_Table[[#This Row],[Technology]]=SelectedTechnology)</f>
        <v>1</v>
      </c>
      <c r="K2624" s="14" t="b">
        <f>OR(LCI_Table[[#This Row],[Data Source]]="All",LCI_Table[[#This Row],[Data Source]]=SelectedDataSource)</f>
        <v>1</v>
      </c>
      <c r="L2624" s="14" t="b">
        <v>0</v>
      </c>
      <c r="M2624" s="14" t="b">
        <f>(LCI_Table[[#This Row],[Dev Notes]]="Do not display")</f>
        <v>0</v>
      </c>
      <c r="N2624" s="14" t="b">
        <f>AND(LCI_Table[[#This Row],[Show Feedstock]:[Conditional]],NOT(LCI_Table[[#This Row],[Hide Row]]))</f>
        <v>0</v>
      </c>
      <c r="O2624" s="14" t="b">
        <f>LCI_Table[[#This Row],[GREET1 Name Range]]=""</f>
        <v>0</v>
      </c>
      <c r="P2624" s="14" t="s">
        <v>14</v>
      </c>
      <c r="Q2624" s="14" t="s">
        <v>971</v>
      </c>
      <c r="R2624" s="14" t="s">
        <v>141</v>
      </c>
      <c r="S2624" s="37" cm="1">
        <f t="array" aca="1" ref="S26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564.38773063913663</v>
      </c>
      <c r="T2624" s="346" t="s">
        <v>1485</v>
      </c>
      <c r="U2624" s="347">
        <f t="shared" ca="1" si="193"/>
        <v>10450.756776093001</v>
      </c>
      <c r="V2624" s="347">
        <v>564.38773063913663</v>
      </c>
      <c r="W2624" s="347">
        <v>10450.756776093001</v>
      </c>
      <c r="X2624" s="14" t="s">
        <v>12</v>
      </c>
      <c r="Y2624" s="346" t="s">
        <v>413</v>
      </c>
      <c r="Z2624" s="14" t="str">
        <f>IF(ISBLANK(LCI_Table[[#This Row],[Notes for user]])," ",LCI_Table[[#This Row],[Notes for user]])</f>
        <v xml:space="preserve"> </v>
      </c>
      <c r="AA2624" s="14"/>
      <c r="AB2624" s="14"/>
      <c r="AC2624" s="346">
        <f ca="1">LCI_Table[[#This Row],[Default Calculated Value]]-LCI_Table[[#This Row],[Calculated Value]]</f>
        <v>0</v>
      </c>
    </row>
    <row r="2625" spans="1:29" x14ac:dyDescent="0.3">
      <c r="A26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SugarcaneATJ-ethanolGREETGREET(blank)_Sugarcane_GypsumGypsum</v>
      </c>
      <c r="B2625" s="179" t="s">
        <v>447</v>
      </c>
      <c r="C2625" s="179" t="s">
        <v>1964</v>
      </c>
      <c r="D2625" s="180" t="s">
        <v>29</v>
      </c>
      <c r="E2625" s="182" t="s">
        <v>29</v>
      </c>
      <c r="F2625" s="82" t="s">
        <v>31</v>
      </c>
      <c r="G2625" s="14" t="b">
        <f>OR(LCI_Table[[#This Row],[Feedstock]]="All",LCI_Table[[#This Row],[Feedstock]]=SelectedFeedstock)</f>
        <v>0</v>
      </c>
      <c r="H2625" s="14" t="b">
        <f>OR(LCI_Table[[#This Row],[Conversion]]="All",LCI_Table[[#This Row],[Conversion]]=SelectedConversion)</f>
        <v>0</v>
      </c>
      <c r="I2625" s="14" t="b">
        <f>OR(LCI_Table[[#This Row],[Data Set]]="all",LCI_Table[[#This Row],[Data Set]]=SelectedDataSet)</f>
        <v>1</v>
      </c>
      <c r="J2625" s="14" t="b">
        <f>OR(LCI_Table[[#This Row],[Technology]]="All",LCI_Table[[#This Row],[Technology]]=SelectedTechnology)</f>
        <v>1</v>
      </c>
      <c r="K2625" s="14" t="b">
        <f>OR(LCI_Table[[#This Row],[Data Source]]="All",LCI_Table[[#This Row],[Data Source]]=SelectedDataSource)</f>
        <v>1</v>
      </c>
      <c r="L2625" s="14" t="b">
        <v>0</v>
      </c>
      <c r="M2625" s="14" t="b">
        <f>(LCI_Table[[#This Row],[Dev Notes]]="Do not display")</f>
        <v>0</v>
      </c>
      <c r="N2625" s="14" t="b">
        <f>AND(LCI_Table[[#This Row],[Show Feedstock]:[Conditional]],NOT(LCI_Table[[#This Row],[Hide Row]]))</f>
        <v>0</v>
      </c>
      <c r="O2625" s="14" t="b">
        <f>LCI_Table[[#This Row],[GREET1 Name Range]]=""</f>
        <v>0</v>
      </c>
      <c r="P2625" s="14" t="s">
        <v>14</v>
      </c>
      <c r="Q2625" s="14" t="s">
        <v>1479</v>
      </c>
      <c r="R2625" s="14" t="s">
        <v>1480</v>
      </c>
      <c r="S2625" s="37" cm="1">
        <f t="array" aca="1" ref="S26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230.3008819639706</v>
      </c>
      <c r="T2625" s="346" t="s">
        <v>1485</v>
      </c>
      <c r="U2625" s="347">
        <f t="shared" ca="1" si="193"/>
        <v>4264.4770112198867</v>
      </c>
      <c r="V2625" s="14">
        <v>230.3008819639706</v>
      </c>
      <c r="W2625" s="347">
        <v>4264.4770112198867</v>
      </c>
      <c r="X2625" s="14" t="s">
        <v>12</v>
      </c>
      <c r="Y2625" s="346" t="s">
        <v>413</v>
      </c>
      <c r="Z2625" s="14" t="str">
        <f>IF(ISBLANK(LCI_Table[[#This Row],[Notes for user]])," ",LCI_Table[[#This Row],[Notes for user]])</f>
        <v xml:space="preserve"> </v>
      </c>
      <c r="AA2625" s="14"/>
      <c r="AB2625" s="14"/>
      <c r="AC2625" s="346">
        <f ca="1">LCI_Table[[#This Row],[Default Calculated Value]]-LCI_Table[[#This Row],[Calculated Value]]</f>
        <v>0</v>
      </c>
    </row>
    <row r="2626" spans="1:29" x14ac:dyDescent="0.3">
      <c r="A26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SugarcaneATJ-ethanolGREETGREET(blank)_Sugarcane_HerbicidesHerbicides</v>
      </c>
      <c r="B2626" s="179" t="s">
        <v>447</v>
      </c>
      <c r="C2626" s="179" t="s">
        <v>1964</v>
      </c>
      <c r="D2626" s="180" t="s">
        <v>29</v>
      </c>
      <c r="E2626" s="182" t="s">
        <v>29</v>
      </c>
      <c r="F2626" s="82" t="s">
        <v>31</v>
      </c>
      <c r="G2626" s="14" t="b">
        <f>OR(LCI_Table[[#This Row],[Feedstock]]="All",LCI_Table[[#This Row],[Feedstock]]=SelectedFeedstock)</f>
        <v>0</v>
      </c>
      <c r="H2626" s="14" t="b">
        <f>OR(LCI_Table[[#This Row],[Conversion]]="All",LCI_Table[[#This Row],[Conversion]]=SelectedConversion)</f>
        <v>0</v>
      </c>
      <c r="I2626" s="14" t="b">
        <f>OR(LCI_Table[[#This Row],[Data Set]]="all",LCI_Table[[#This Row],[Data Set]]=SelectedDataSet)</f>
        <v>1</v>
      </c>
      <c r="J2626" s="14" t="b">
        <f>OR(LCI_Table[[#This Row],[Technology]]="All",LCI_Table[[#This Row],[Technology]]=SelectedTechnology)</f>
        <v>1</v>
      </c>
      <c r="K2626" s="14" t="b">
        <f>OR(LCI_Table[[#This Row],[Data Source]]="All",LCI_Table[[#This Row],[Data Source]]=SelectedDataSource)</f>
        <v>1</v>
      </c>
      <c r="L2626" s="14" t="b">
        <v>0</v>
      </c>
      <c r="M2626" s="14" t="b">
        <f>(LCI_Table[[#This Row],[Dev Notes]]="Do not display")</f>
        <v>0</v>
      </c>
      <c r="N2626" s="14" t="b">
        <f>AND(LCI_Table[[#This Row],[Show Feedstock]:[Conditional]],NOT(LCI_Table[[#This Row],[Hide Row]]))</f>
        <v>0</v>
      </c>
      <c r="O2626" s="14" t="b">
        <f>LCI_Table[[#This Row],[GREET1 Name Range]]=""</f>
        <v>0</v>
      </c>
      <c r="P2626" s="14" t="s">
        <v>14</v>
      </c>
      <c r="Q2626" s="14" t="s">
        <v>972</v>
      </c>
      <c r="R2626" s="14" t="s">
        <v>356</v>
      </c>
      <c r="S2626" s="37" cm="1">
        <f t="array" aca="1" ref="S26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2.4302017952288377</v>
      </c>
      <c r="T2626" s="346" t="s">
        <v>1485</v>
      </c>
      <c r="U2626" s="347">
        <f t="shared" ca="1" si="193"/>
        <v>45.000000000000007</v>
      </c>
      <c r="V2626" s="14">
        <v>2.4302017952288377</v>
      </c>
      <c r="W2626" s="347">
        <v>45.000000000000007</v>
      </c>
      <c r="X2626" s="14" t="s">
        <v>12</v>
      </c>
      <c r="Y2626" s="346" t="s">
        <v>413</v>
      </c>
      <c r="Z2626" s="14" t="str">
        <f>IF(ISBLANK(LCI_Table[[#This Row],[Notes for user]])," ",LCI_Table[[#This Row],[Notes for user]])</f>
        <v xml:space="preserve"> </v>
      </c>
      <c r="AA2626" s="14"/>
      <c r="AB2626" s="14"/>
      <c r="AC2626" s="346">
        <f ca="1">LCI_Table[[#This Row],[Default Calculated Value]]-LCI_Table[[#This Row],[Calculated Value]]</f>
        <v>0</v>
      </c>
    </row>
    <row r="2627" spans="1:29" x14ac:dyDescent="0.3">
      <c r="A26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SugarcaneATJ-ethanolGREETGREET(blank)_Sugarcane_InsecticideInsecticide</v>
      </c>
      <c r="B2627" s="179" t="s">
        <v>447</v>
      </c>
      <c r="C2627" s="179" t="s">
        <v>1964</v>
      </c>
      <c r="D2627" s="180" t="s">
        <v>29</v>
      </c>
      <c r="E2627" s="182" t="s">
        <v>29</v>
      </c>
      <c r="F2627" s="82" t="s">
        <v>31</v>
      </c>
      <c r="G2627" s="14" t="b">
        <f>OR(LCI_Table[[#This Row],[Feedstock]]="All",LCI_Table[[#This Row],[Feedstock]]=SelectedFeedstock)</f>
        <v>0</v>
      </c>
      <c r="H2627" s="14" t="b">
        <f>OR(LCI_Table[[#This Row],[Conversion]]="All",LCI_Table[[#This Row],[Conversion]]=SelectedConversion)</f>
        <v>0</v>
      </c>
      <c r="I2627" s="14" t="b">
        <f>OR(LCI_Table[[#This Row],[Data Set]]="all",LCI_Table[[#This Row],[Data Set]]=SelectedDataSet)</f>
        <v>1</v>
      </c>
      <c r="J2627" s="14" t="b">
        <f>OR(LCI_Table[[#This Row],[Technology]]="All",LCI_Table[[#This Row],[Technology]]=SelectedTechnology)</f>
        <v>1</v>
      </c>
      <c r="K2627" s="14" t="b">
        <f>OR(LCI_Table[[#This Row],[Data Source]]="All",LCI_Table[[#This Row],[Data Source]]=SelectedDataSource)</f>
        <v>1</v>
      </c>
      <c r="L2627" s="14" t="b">
        <v>0</v>
      </c>
      <c r="M2627" s="14" t="b">
        <f>(LCI_Table[[#This Row],[Dev Notes]]="Do not display")</f>
        <v>0</v>
      </c>
      <c r="N2627" s="14" t="b">
        <f>AND(LCI_Table[[#This Row],[Show Feedstock]:[Conditional]],NOT(LCI_Table[[#This Row],[Hide Row]]))</f>
        <v>0</v>
      </c>
      <c r="O2627" s="14" t="b">
        <f>LCI_Table[[#This Row],[GREET1 Name Range]]=""</f>
        <v>0</v>
      </c>
      <c r="P2627" s="14" t="s">
        <v>14</v>
      </c>
      <c r="Q2627" s="14" t="s">
        <v>973</v>
      </c>
      <c r="R2627" s="14" t="s">
        <v>114</v>
      </c>
      <c r="S2627" s="37" cm="1">
        <f t="array" aca="1" ref="S26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0.13501121084604653</v>
      </c>
      <c r="T2627" s="346" t="s">
        <v>1485</v>
      </c>
      <c r="U2627" s="347">
        <f t="shared" ca="1" si="193"/>
        <v>2.5</v>
      </c>
      <c r="V2627" s="14">
        <v>0.13501121084604653</v>
      </c>
      <c r="W2627" s="347">
        <v>2.5</v>
      </c>
      <c r="X2627" s="14" t="s">
        <v>12</v>
      </c>
      <c r="Y2627" s="346" t="s">
        <v>413</v>
      </c>
      <c r="Z2627" s="14" t="str">
        <f>IF(ISBLANK(LCI_Table[[#This Row],[Notes for user]])," ",LCI_Table[[#This Row],[Notes for user]])</f>
        <v xml:space="preserve"> </v>
      </c>
      <c r="AA2627" s="14"/>
      <c r="AB2627" s="14"/>
      <c r="AC2627" s="346">
        <f ca="1">LCI_Table[[#This Row],[Default Calculated Value]]-LCI_Table[[#This Row],[Calculated Value]]</f>
        <v>0</v>
      </c>
    </row>
    <row r="2628" spans="1:29" x14ac:dyDescent="0.3">
      <c r="A26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SugarcaneATJ-ethanolGREETGREET(blank)_Sugarcane_Residual_oilResidual oil</v>
      </c>
      <c r="B2628" s="179" t="s">
        <v>447</v>
      </c>
      <c r="C2628" s="179" t="s">
        <v>1964</v>
      </c>
      <c r="D2628" s="180" t="s">
        <v>29</v>
      </c>
      <c r="E2628" s="182" t="s">
        <v>29</v>
      </c>
      <c r="F2628" s="82" t="s">
        <v>31</v>
      </c>
      <c r="G2628" s="14" t="b">
        <f>OR(LCI_Table[[#This Row],[Feedstock]]="All",LCI_Table[[#This Row],[Feedstock]]=SelectedFeedstock)</f>
        <v>0</v>
      </c>
      <c r="H2628" s="14" t="b">
        <f>OR(LCI_Table[[#This Row],[Conversion]]="All",LCI_Table[[#This Row],[Conversion]]=SelectedConversion)</f>
        <v>0</v>
      </c>
      <c r="I2628" s="14" t="b">
        <f>OR(LCI_Table[[#This Row],[Data Set]]="all",LCI_Table[[#This Row],[Data Set]]=SelectedDataSet)</f>
        <v>1</v>
      </c>
      <c r="J2628" s="14" t="b">
        <f>OR(LCI_Table[[#This Row],[Technology]]="All",LCI_Table[[#This Row],[Technology]]=SelectedTechnology)</f>
        <v>1</v>
      </c>
      <c r="K2628" s="14" t="b">
        <f>OR(LCI_Table[[#This Row],[Data Source]]="All",LCI_Table[[#This Row],[Data Source]]=SelectedDataSource)</f>
        <v>1</v>
      </c>
      <c r="L2628" s="14" t="b">
        <v>0</v>
      </c>
      <c r="M2628" s="14" t="b">
        <f>(LCI_Table[[#This Row],[Dev Notes]]="Do not display")</f>
        <v>0</v>
      </c>
      <c r="N2628" s="14" t="b">
        <f>AND(LCI_Table[[#This Row],[Show Feedstock]:[Conditional]],NOT(LCI_Table[[#This Row],[Hide Row]]))</f>
        <v>0</v>
      </c>
      <c r="O2628" s="14" t="b">
        <f>LCI_Table[[#This Row],[GREET1 Name Range]]=""</f>
        <v>0</v>
      </c>
      <c r="P2628" s="14" t="s">
        <v>14</v>
      </c>
      <c r="Q2628" s="14" t="s">
        <v>974</v>
      </c>
      <c r="R2628" s="14" t="s">
        <v>115</v>
      </c>
      <c r="S2628" s="37" cm="1">
        <f t="array" aca="1" ref="S26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28" s="346" t="s">
        <v>1484</v>
      </c>
      <c r="U2628" s="347">
        <f ca="1">$S2628/$S$2620*Fuel_Specs!$B$28/ton2MT</f>
        <v>0</v>
      </c>
      <c r="V2628" s="347">
        <v>0</v>
      </c>
      <c r="W2628" s="347">
        <v>0</v>
      </c>
      <c r="X2628" s="14" t="s">
        <v>5</v>
      </c>
      <c r="Y2628" s="346" t="s">
        <v>413</v>
      </c>
      <c r="Z2628" s="14" t="str">
        <f>IF(ISBLANK(LCI_Table[[#This Row],[Notes for user]])," ",LCI_Table[[#This Row],[Notes for user]])</f>
        <v xml:space="preserve"> </v>
      </c>
      <c r="AA2628" s="14"/>
      <c r="AB2628" s="14"/>
      <c r="AC2628" s="346">
        <f ca="1">LCI_Table[[#This Row],[Default Calculated Value]]-LCI_Table[[#This Row],[Calculated Value]]</f>
        <v>0</v>
      </c>
    </row>
    <row r="2629" spans="1:29" x14ac:dyDescent="0.3">
      <c r="A26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SugarcaneATJ-ethanolGREETGREET(blank)_Sugarcane_DieselDiesel</v>
      </c>
      <c r="B2629" s="179" t="s">
        <v>447</v>
      </c>
      <c r="C2629" s="179" t="s">
        <v>1964</v>
      </c>
      <c r="D2629" s="180" t="s">
        <v>29</v>
      </c>
      <c r="E2629" s="182" t="s">
        <v>29</v>
      </c>
      <c r="F2629" s="82" t="s">
        <v>31</v>
      </c>
      <c r="G2629" s="14" t="b">
        <f>OR(LCI_Table[[#This Row],[Feedstock]]="All",LCI_Table[[#This Row],[Feedstock]]=SelectedFeedstock)</f>
        <v>0</v>
      </c>
      <c r="H2629" s="14" t="b">
        <f>OR(LCI_Table[[#This Row],[Conversion]]="All",LCI_Table[[#This Row],[Conversion]]=SelectedConversion)</f>
        <v>0</v>
      </c>
      <c r="I2629" s="14" t="b">
        <f>OR(LCI_Table[[#This Row],[Data Set]]="all",LCI_Table[[#This Row],[Data Set]]=SelectedDataSet)</f>
        <v>1</v>
      </c>
      <c r="J2629" s="14" t="b">
        <f>OR(LCI_Table[[#This Row],[Technology]]="All",LCI_Table[[#This Row],[Technology]]=SelectedTechnology)</f>
        <v>1</v>
      </c>
      <c r="K2629" s="14" t="b">
        <f>OR(LCI_Table[[#This Row],[Data Source]]="All",LCI_Table[[#This Row],[Data Source]]=SelectedDataSource)</f>
        <v>1</v>
      </c>
      <c r="L2629" s="14" t="b">
        <v>0</v>
      </c>
      <c r="M2629" s="14" t="b">
        <f>(LCI_Table[[#This Row],[Dev Notes]]="Do not display")</f>
        <v>0</v>
      </c>
      <c r="N2629" s="14" t="b">
        <f>AND(LCI_Table[[#This Row],[Show Feedstock]:[Conditional]],NOT(LCI_Table[[#This Row],[Hide Row]]))</f>
        <v>0</v>
      </c>
      <c r="O2629" s="14" t="b">
        <f>LCI_Table[[#This Row],[GREET1 Name Range]]=""</f>
        <v>0</v>
      </c>
      <c r="P2629" s="14" t="s">
        <v>14</v>
      </c>
      <c r="Q2629" s="14" t="s">
        <v>975</v>
      </c>
      <c r="R2629" s="178" t="s">
        <v>106</v>
      </c>
      <c r="S2629" s="37" cm="1">
        <f t="array" aca="1" ref="S26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32.396622854005926</v>
      </c>
      <c r="T2629" s="346" t="s">
        <v>1484</v>
      </c>
      <c r="U2629" s="347">
        <f ca="1">IF(Selections!R64=1,LCI_Table[[#This Row],[Dashboard Value]]*('GREET Connection'!S172*Fuel_Specs!B21+'GREET Connection'!S173*Fuel_Specs!B39+'GREET Connection'!S174*Fuel_Specs!B42)/S2620*MT2ton,0)</f>
        <v>169878.44795839209</v>
      </c>
      <c r="V2629" s="347">
        <v>32.396622854005926</v>
      </c>
      <c r="W2629" s="14">
        <v>169878.44795839209</v>
      </c>
      <c r="X2629" s="14" t="s">
        <v>5</v>
      </c>
      <c r="Y2629" s="346" t="s">
        <v>413</v>
      </c>
      <c r="Z2629" s="14" t="str">
        <f>IF(ISBLANK(LCI_Table[[#This Row],[Notes for user]])," ",LCI_Table[[#This Row],[Notes for user]])</f>
        <v xml:space="preserve"> </v>
      </c>
      <c r="AA2629" s="14"/>
      <c r="AB2629" s="14"/>
      <c r="AC2629" s="346">
        <f ca="1">LCI_Table[[#This Row],[Default Calculated Value]]-LCI_Table[[#This Row],[Calculated Value]]</f>
        <v>0</v>
      </c>
    </row>
    <row r="2630" spans="1:29" x14ac:dyDescent="0.3">
      <c r="A26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dash_SugarcaneATJ-ethanolGREETGREET(blank)_Ag tractor electriciy use_Farming</v>
      </c>
      <c r="B2630" s="179" t="s">
        <v>447</v>
      </c>
      <c r="C2630" s="179" t="s">
        <v>1964</v>
      </c>
      <c r="D2630" s="180" t="s">
        <v>29</v>
      </c>
      <c r="E2630" s="182" t="s">
        <v>29</v>
      </c>
      <c r="F2630" s="82" t="s">
        <v>31</v>
      </c>
      <c r="G2630" s="14" t="b">
        <f>OR(LCI_Table[[#This Row],[Feedstock]]="All",LCI_Table[[#This Row],[Feedstock]]=SelectedFeedstock)</f>
        <v>0</v>
      </c>
      <c r="H2630" s="14" t="b">
        <f>OR(LCI_Table[[#This Row],[Conversion]]="All",LCI_Table[[#This Row],[Conversion]]=SelectedConversion)</f>
        <v>0</v>
      </c>
      <c r="I2630" s="14" t="b">
        <f>OR(LCI_Table[[#This Row],[Data Set]]="all",LCI_Table[[#This Row],[Data Set]]=SelectedDataSet)</f>
        <v>1</v>
      </c>
      <c r="J2630" s="14" t="b">
        <f>OR(LCI_Table[[#This Row],[Technology]]="All",LCI_Table[[#This Row],[Technology]]=SelectedTechnology)</f>
        <v>1</v>
      </c>
      <c r="K2630" s="14" t="b">
        <f>OR(LCI_Table[[#This Row],[Data Source]]="All",LCI_Table[[#This Row],[Data Source]]=SelectedDataSource)</f>
        <v>1</v>
      </c>
      <c r="L2630" s="14" t="b">
        <v>0</v>
      </c>
      <c r="M2630" s="14" t="b">
        <f>(LCI_Table[[#This Row],[Dev Notes]]="Do not display")</f>
        <v>0</v>
      </c>
      <c r="N2630" s="14" t="b">
        <f>AND(LCI_Table[[#This Row],[Show Feedstock]:[Conditional]],NOT(LCI_Table[[#This Row],[Hide Row]]))</f>
        <v>0</v>
      </c>
      <c r="O2630" s="14" t="b">
        <f>LCI_Table[[#This Row],[GREET1 Name Range]]=""</f>
        <v>1</v>
      </c>
      <c r="P2630" s="14" t="s">
        <v>14</v>
      </c>
      <c r="Q2630" s="14"/>
      <c r="R2630" s="14" t="s">
        <v>1481</v>
      </c>
      <c r="S2630" s="37" cm="1">
        <f t="array" aca="1" ref="S26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580.74677065143396</v>
      </c>
      <c r="T2630" s="346" t="s">
        <v>1561</v>
      </c>
      <c r="U2630" s="347">
        <f ca="1">LCI_Table[[#This Row],[Dashboard Value]]</f>
        <v>580.74677065143396</v>
      </c>
      <c r="V2630" s="14">
        <v>580.74677065143396</v>
      </c>
      <c r="W2630" s="14">
        <v>580.74677065143396</v>
      </c>
      <c r="X2630" s="14" t="s">
        <v>51</v>
      </c>
      <c r="Y2630" s="346" t="s">
        <v>413</v>
      </c>
      <c r="Z2630" s="14" t="str">
        <f>IF(ISBLANK(LCI_Table[[#This Row],[Notes for user]])," ",LCI_Table[[#This Row],[Notes for user]])</f>
        <v xml:space="preserve"> </v>
      </c>
      <c r="AA2630" s="14"/>
      <c r="AB2630" s="14"/>
      <c r="AC2630" s="346">
        <f ca="1">LCI_Table[[#This Row],[Default Calculated Value]]-LCI_Table[[#This Row],[Calculated Value]]</f>
        <v>0</v>
      </c>
    </row>
    <row r="2631" spans="1:29" x14ac:dyDescent="0.3">
      <c r="A26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SugarcaneATJ-ethanolGREETGREET(blank)_Sugarcane_GasolineGasoline</v>
      </c>
      <c r="B2631" s="179" t="s">
        <v>447</v>
      </c>
      <c r="C2631" s="179" t="s">
        <v>1964</v>
      </c>
      <c r="D2631" s="180" t="s">
        <v>29</v>
      </c>
      <c r="E2631" s="182" t="s">
        <v>29</v>
      </c>
      <c r="F2631" s="82" t="s">
        <v>31</v>
      </c>
      <c r="G2631" s="14" t="b">
        <f>OR(LCI_Table[[#This Row],[Feedstock]]="All",LCI_Table[[#This Row],[Feedstock]]=SelectedFeedstock)</f>
        <v>0</v>
      </c>
      <c r="H2631" s="14" t="b">
        <f>OR(LCI_Table[[#This Row],[Conversion]]="All",LCI_Table[[#This Row],[Conversion]]=SelectedConversion)</f>
        <v>0</v>
      </c>
      <c r="I2631" s="14" t="b">
        <f>OR(LCI_Table[[#This Row],[Data Set]]="all",LCI_Table[[#This Row],[Data Set]]=SelectedDataSet)</f>
        <v>1</v>
      </c>
      <c r="J2631" s="14" t="b">
        <f>OR(LCI_Table[[#This Row],[Technology]]="All",LCI_Table[[#This Row],[Technology]]=SelectedTechnology)</f>
        <v>1</v>
      </c>
      <c r="K2631" s="14" t="b">
        <f>OR(LCI_Table[[#This Row],[Data Source]]="All",LCI_Table[[#This Row],[Data Source]]=SelectedDataSource)</f>
        <v>1</v>
      </c>
      <c r="L2631" s="14" t="b">
        <v>0</v>
      </c>
      <c r="M2631" s="14" t="b">
        <f>(LCI_Table[[#This Row],[Dev Notes]]="Do not display")</f>
        <v>0</v>
      </c>
      <c r="N2631" s="14" t="b">
        <f>AND(LCI_Table[[#This Row],[Show Feedstock]:[Conditional]],NOT(LCI_Table[[#This Row],[Hide Row]]))</f>
        <v>0</v>
      </c>
      <c r="O2631" s="14" t="b">
        <f>LCI_Table[[#This Row],[GREET1 Name Range]]=""</f>
        <v>0</v>
      </c>
      <c r="P2631" s="14" t="s">
        <v>14</v>
      </c>
      <c r="Q2631" s="14" t="s">
        <v>976</v>
      </c>
      <c r="R2631" s="14" t="s">
        <v>107</v>
      </c>
      <c r="S2631" s="37" cm="1">
        <f t="array" aca="1" ref="S26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1.7595972747676315E-2</v>
      </c>
      <c r="T2631" s="346" t="s">
        <v>1484</v>
      </c>
      <c r="U2631" s="347">
        <f ca="1">$S2631/$S$2620*Fuel_Specs!$B$15/ton2MT</f>
        <v>80.590804377378163</v>
      </c>
      <c r="V2631" s="347">
        <v>1.7595972747676315E-2</v>
      </c>
      <c r="W2631" s="347">
        <v>80.590804377378163</v>
      </c>
      <c r="X2631" s="14" t="s">
        <v>5</v>
      </c>
      <c r="Y2631" s="346" t="s">
        <v>413</v>
      </c>
      <c r="Z2631" s="14" t="str">
        <f>IF(ISBLANK(LCI_Table[[#This Row],[Notes for user]])," ",LCI_Table[[#This Row],[Notes for user]])</f>
        <v xml:space="preserve"> </v>
      </c>
      <c r="AA2631" s="14"/>
      <c r="AB2631" s="14"/>
      <c r="AC2631" s="346">
        <f ca="1">LCI_Table[[#This Row],[Default Calculated Value]]-LCI_Table[[#This Row],[Calculated Value]]</f>
        <v>0</v>
      </c>
    </row>
    <row r="2632" spans="1:29" x14ac:dyDescent="0.3">
      <c r="A26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SugarcaneATJ-ethanolGREETGREET(blank)_Sugarcane_Natural_gasNatural gas</v>
      </c>
      <c r="B2632" s="179" t="s">
        <v>447</v>
      </c>
      <c r="C2632" s="179" t="s">
        <v>1964</v>
      </c>
      <c r="D2632" s="180" t="s">
        <v>29</v>
      </c>
      <c r="E2632" s="182" t="s">
        <v>29</v>
      </c>
      <c r="F2632" s="82" t="s">
        <v>31</v>
      </c>
      <c r="G2632" s="14" t="b">
        <f>OR(LCI_Table[[#This Row],[Feedstock]]="All",LCI_Table[[#This Row],[Feedstock]]=SelectedFeedstock)</f>
        <v>0</v>
      </c>
      <c r="H2632" s="14" t="b">
        <f>OR(LCI_Table[[#This Row],[Conversion]]="All",LCI_Table[[#This Row],[Conversion]]=SelectedConversion)</f>
        <v>0</v>
      </c>
      <c r="I2632" s="14" t="b">
        <f>OR(LCI_Table[[#This Row],[Data Set]]="all",LCI_Table[[#This Row],[Data Set]]=SelectedDataSet)</f>
        <v>1</v>
      </c>
      <c r="J2632" s="14" t="b">
        <f>OR(LCI_Table[[#This Row],[Technology]]="All",LCI_Table[[#This Row],[Technology]]=SelectedTechnology)</f>
        <v>1</v>
      </c>
      <c r="K2632" s="14" t="b">
        <f>OR(LCI_Table[[#This Row],[Data Source]]="All",LCI_Table[[#This Row],[Data Source]]=SelectedDataSource)</f>
        <v>1</v>
      </c>
      <c r="L2632" s="14" t="b">
        <v>0</v>
      </c>
      <c r="M2632" s="14" t="b">
        <f>(LCI_Table[[#This Row],[Dev Notes]]="Do not display")</f>
        <v>0</v>
      </c>
      <c r="N2632" s="14" t="b">
        <f>AND(LCI_Table[[#This Row],[Show Feedstock]:[Conditional]],NOT(LCI_Table[[#This Row],[Hide Row]]))</f>
        <v>0</v>
      </c>
      <c r="O2632" s="14" t="b">
        <f>LCI_Table[[#This Row],[GREET1 Name Range]]=""</f>
        <v>0</v>
      </c>
      <c r="P2632" s="14" t="s">
        <v>14</v>
      </c>
      <c r="Q2632" s="14" t="s">
        <v>977</v>
      </c>
      <c r="R2632" s="14" t="s">
        <v>108</v>
      </c>
      <c r="S2632" s="37" cm="1">
        <f t="array" aca="1" ref="S26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32" s="346" t="s">
        <v>2109</v>
      </c>
      <c r="U2632" s="347">
        <f ca="1">$S2632/$S$2620*Fuel_Specs!$B$79/ton2MT</f>
        <v>0</v>
      </c>
      <c r="V2632" s="347">
        <v>0</v>
      </c>
      <c r="W2632" s="347">
        <v>0</v>
      </c>
      <c r="X2632" s="14" t="s">
        <v>351</v>
      </c>
      <c r="Y2632" s="346" t="s">
        <v>413</v>
      </c>
      <c r="Z2632" s="14" t="str">
        <f>IF(ISBLANK(LCI_Table[[#This Row],[Notes for user]])," ",LCI_Table[[#This Row],[Notes for user]])</f>
        <v xml:space="preserve"> </v>
      </c>
      <c r="AA2632" s="14"/>
      <c r="AB2632" s="14"/>
      <c r="AC2632" s="346">
        <f ca="1">LCI_Table[[#This Row],[Default Calculated Value]]-LCI_Table[[#This Row],[Calculated Value]]</f>
        <v>0</v>
      </c>
    </row>
    <row r="2633" spans="1:29" x14ac:dyDescent="0.3">
      <c r="A26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SugarcaneATJ-ethanolGREETGREET(blank)_Sugarcane_CoalCoal</v>
      </c>
      <c r="B2633" s="179" t="s">
        <v>447</v>
      </c>
      <c r="C2633" s="179" t="s">
        <v>1964</v>
      </c>
      <c r="D2633" s="180" t="s">
        <v>29</v>
      </c>
      <c r="E2633" s="182" t="s">
        <v>29</v>
      </c>
      <c r="F2633" s="82" t="s">
        <v>31</v>
      </c>
      <c r="G2633" s="14" t="b">
        <f>OR(LCI_Table[[#This Row],[Feedstock]]="All",LCI_Table[[#This Row],[Feedstock]]=SelectedFeedstock)</f>
        <v>0</v>
      </c>
      <c r="H2633" s="14" t="b">
        <f>OR(LCI_Table[[#This Row],[Conversion]]="All",LCI_Table[[#This Row],[Conversion]]=SelectedConversion)</f>
        <v>0</v>
      </c>
      <c r="I2633" s="14" t="b">
        <f>OR(LCI_Table[[#This Row],[Data Set]]="all",LCI_Table[[#This Row],[Data Set]]=SelectedDataSet)</f>
        <v>1</v>
      </c>
      <c r="J2633" s="14" t="b">
        <f>OR(LCI_Table[[#This Row],[Technology]]="All",LCI_Table[[#This Row],[Technology]]=SelectedTechnology)</f>
        <v>1</v>
      </c>
      <c r="K2633" s="14" t="b">
        <f>OR(LCI_Table[[#This Row],[Data Source]]="All",LCI_Table[[#This Row],[Data Source]]=SelectedDataSource)</f>
        <v>1</v>
      </c>
      <c r="L2633" s="14" t="b">
        <v>0</v>
      </c>
      <c r="M2633" s="14" t="b">
        <f>(LCI_Table[[#This Row],[Dev Notes]]="Do not display")</f>
        <v>0</v>
      </c>
      <c r="N2633" s="14" t="b">
        <f>AND(LCI_Table[[#This Row],[Show Feedstock]:[Conditional]],NOT(LCI_Table[[#This Row],[Hide Row]]))</f>
        <v>0</v>
      </c>
      <c r="O2633" s="14" t="b">
        <f>LCI_Table[[#This Row],[GREET1 Name Range]]=""</f>
        <v>0</v>
      </c>
      <c r="P2633" s="14" t="s">
        <v>14</v>
      </c>
      <c r="Q2633" s="14" t="s">
        <v>978</v>
      </c>
      <c r="R2633" s="14" t="s">
        <v>9</v>
      </c>
      <c r="S2633" s="37" cm="1">
        <f t="array" aca="1" ref="S26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33" s="346" t="s">
        <v>2110</v>
      </c>
      <c r="U2633" s="347">
        <f ca="1">S2633/$S$2620/ton2MT</f>
        <v>0</v>
      </c>
      <c r="V2633" s="347">
        <v>0</v>
      </c>
      <c r="W2633" s="347">
        <v>0</v>
      </c>
      <c r="X2633" s="14" t="s">
        <v>117</v>
      </c>
      <c r="Y2633" s="346" t="s">
        <v>413</v>
      </c>
      <c r="Z2633" s="14" t="str">
        <f>IF(ISBLANK(LCI_Table[[#This Row],[Notes for user]])," ",LCI_Table[[#This Row],[Notes for user]])</f>
        <v xml:space="preserve"> </v>
      </c>
      <c r="AA2633" s="14"/>
      <c r="AB2633" s="14"/>
      <c r="AC2633" s="346">
        <f ca="1">LCI_Table[[#This Row],[Default Calculated Value]]-LCI_Table[[#This Row],[Calculated Value]]</f>
        <v>0</v>
      </c>
    </row>
    <row r="2634" spans="1:29" x14ac:dyDescent="0.3">
      <c r="A26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SugarcaneATJ-ethanolGREETGREET(blank)_Sugarcane_LPGLPG</v>
      </c>
      <c r="B2634" s="179" t="s">
        <v>447</v>
      </c>
      <c r="C2634" s="179" t="s">
        <v>1964</v>
      </c>
      <c r="D2634" s="180" t="s">
        <v>29</v>
      </c>
      <c r="E2634" s="182" t="s">
        <v>29</v>
      </c>
      <c r="F2634" s="82" t="s">
        <v>31</v>
      </c>
      <c r="G2634" s="14" t="b">
        <f>OR(LCI_Table[[#This Row],[Feedstock]]="All",LCI_Table[[#This Row],[Feedstock]]=SelectedFeedstock)</f>
        <v>0</v>
      </c>
      <c r="H2634" s="14" t="b">
        <f>OR(LCI_Table[[#This Row],[Conversion]]="All",LCI_Table[[#This Row],[Conversion]]=SelectedConversion)</f>
        <v>0</v>
      </c>
      <c r="I2634" s="14" t="b">
        <f>OR(LCI_Table[[#This Row],[Data Set]]="all",LCI_Table[[#This Row],[Data Set]]=SelectedDataSet)</f>
        <v>1</v>
      </c>
      <c r="J2634" s="14" t="b">
        <f>OR(LCI_Table[[#This Row],[Technology]]="All",LCI_Table[[#This Row],[Technology]]=SelectedTechnology)</f>
        <v>1</v>
      </c>
      <c r="K2634" s="14" t="b">
        <f>OR(LCI_Table[[#This Row],[Data Source]]="All",LCI_Table[[#This Row],[Data Source]]=SelectedDataSource)</f>
        <v>1</v>
      </c>
      <c r="L2634" s="14" t="b">
        <v>0</v>
      </c>
      <c r="M2634" s="14" t="b">
        <f>(LCI_Table[[#This Row],[Dev Notes]]="Do not display")</f>
        <v>0</v>
      </c>
      <c r="N2634" s="14" t="b">
        <f>AND(LCI_Table[[#This Row],[Show Feedstock]:[Conditional]],NOT(LCI_Table[[#This Row],[Hide Row]]))</f>
        <v>0</v>
      </c>
      <c r="O2634" s="14" t="b">
        <f>LCI_Table[[#This Row],[GREET1 Name Range]]=""</f>
        <v>0</v>
      </c>
      <c r="P2634" s="14" t="s">
        <v>14</v>
      </c>
      <c r="Q2634" s="14" t="s">
        <v>979</v>
      </c>
      <c r="R2634" s="14" t="s">
        <v>109</v>
      </c>
      <c r="S2634" s="37" cm="1">
        <f t="array" aca="1" ref="S26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34" s="346" t="s">
        <v>1484</v>
      </c>
      <c r="U2634" s="347">
        <f ca="1">$S2634/$S$2620*Fuel_Specs!$B$35/ton2MT</f>
        <v>0</v>
      </c>
      <c r="V2634" s="347">
        <v>0</v>
      </c>
      <c r="W2634" s="347">
        <v>0</v>
      </c>
      <c r="X2634" s="14" t="s">
        <v>5</v>
      </c>
      <c r="Y2634" s="346" t="s">
        <v>413</v>
      </c>
      <c r="Z2634" s="14" t="str">
        <f>IF(ISBLANK(LCI_Table[[#This Row],[Notes for user]])," ",LCI_Table[[#This Row],[Notes for user]])</f>
        <v xml:space="preserve"> </v>
      </c>
      <c r="AA2634" s="14"/>
      <c r="AB2634" s="14"/>
      <c r="AC2634" s="346">
        <f ca="1">LCI_Table[[#This Row],[Default Calculated Value]]-LCI_Table[[#This Row],[Calculated Value]]</f>
        <v>0</v>
      </c>
    </row>
    <row r="2635" spans="1:29" x14ac:dyDescent="0.3">
      <c r="A26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SugarcaneATJ-ethanolGREETGREET(blank)_Sugarcane_ElectricityElectricity</v>
      </c>
      <c r="B2635" s="179" t="s">
        <v>447</v>
      </c>
      <c r="C2635" s="179" t="s">
        <v>1964</v>
      </c>
      <c r="D2635" s="180" t="s">
        <v>29</v>
      </c>
      <c r="E2635" s="182" t="s">
        <v>29</v>
      </c>
      <c r="F2635" s="82" t="s">
        <v>31</v>
      </c>
      <c r="G2635" s="14" t="b">
        <f>OR(LCI_Table[[#This Row],[Feedstock]]="All",LCI_Table[[#This Row],[Feedstock]]=SelectedFeedstock)</f>
        <v>0</v>
      </c>
      <c r="H2635" s="14" t="b">
        <f>OR(LCI_Table[[#This Row],[Conversion]]="All",LCI_Table[[#This Row],[Conversion]]=SelectedConversion)</f>
        <v>0</v>
      </c>
      <c r="I2635" s="14" t="b">
        <f>OR(LCI_Table[[#This Row],[Data Set]]="all",LCI_Table[[#This Row],[Data Set]]=SelectedDataSet)</f>
        <v>1</v>
      </c>
      <c r="J2635" s="14" t="b">
        <f>OR(LCI_Table[[#This Row],[Technology]]="All",LCI_Table[[#This Row],[Technology]]=SelectedTechnology)</f>
        <v>1</v>
      </c>
      <c r="K2635" s="14" t="b">
        <f>OR(LCI_Table[[#This Row],[Data Source]]="All",LCI_Table[[#This Row],[Data Source]]=SelectedDataSource)</f>
        <v>1</v>
      </c>
      <c r="L2635" s="14" t="b">
        <v>0</v>
      </c>
      <c r="M2635" s="14" t="b">
        <f>(LCI_Table[[#This Row],[Dev Notes]]="Do not display")</f>
        <v>0</v>
      </c>
      <c r="N2635" s="14" t="b">
        <f>AND(LCI_Table[[#This Row],[Show Feedstock]:[Conditional]],NOT(LCI_Table[[#This Row],[Hide Row]]))</f>
        <v>0</v>
      </c>
      <c r="O2635" s="14" t="b">
        <f>LCI_Table[[#This Row],[GREET1 Name Range]]=""</f>
        <v>0</v>
      </c>
      <c r="P2635" s="14" t="s">
        <v>14</v>
      </c>
      <c r="Q2635" s="14" t="s">
        <v>980</v>
      </c>
      <c r="R2635" s="348" t="s">
        <v>110</v>
      </c>
      <c r="S2635" s="37" cm="1">
        <f t="array" aca="1" ref="S26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16.848558483557856</v>
      </c>
      <c r="T2635" s="346" t="s">
        <v>1561</v>
      </c>
      <c r="U2635" s="347">
        <f ca="1">S2635/BTU2kWh/$S2620/ton2MT+IF(Selections!R64=1,0, S2630/BTU2kWh/$S2620/ton2MT)</f>
        <v>2346.8981169618796</v>
      </c>
      <c r="V2635" s="347">
        <v>16.848558483557856</v>
      </c>
      <c r="W2635" s="347">
        <v>2346.8981169618796</v>
      </c>
      <c r="X2635" s="14" t="s">
        <v>51</v>
      </c>
      <c r="Y2635" s="346" t="s">
        <v>413</v>
      </c>
      <c r="Z2635" s="14" t="str">
        <f>IF(ISBLANK(LCI_Table[[#This Row],[Notes for user]])," ",LCI_Table[[#This Row],[Notes for user]])</f>
        <v xml:space="preserve"> </v>
      </c>
      <c r="AA2635" s="14"/>
      <c r="AB2635" s="14"/>
      <c r="AC2635" s="346">
        <f ca="1">LCI_Table[[#This Row],[Default Calculated Value]]-LCI_Table[[#This Row],[Calculated Value]]</f>
        <v>0</v>
      </c>
    </row>
    <row r="2636" spans="1:29" x14ac:dyDescent="0.3">
      <c r="A26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SugarcaneATJ-ethanolGREETGREET(blank)_Sugarcane_BiodieselBiodiesel</v>
      </c>
      <c r="B2636" s="179" t="s">
        <v>447</v>
      </c>
      <c r="C2636" s="179" t="s">
        <v>1964</v>
      </c>
      <c r="D2636" s="180" t="s">
        <v>29</v>
      </c>
      <c r="E2636" s="182" t="s">
        <v>29</v>
      </c>
      <c r="F2636" s="82" t="s">
        <v>31</v>
      </c>
      <c r="G2636" s="14" t="b">
        <f>OR(LCI_Table[[#This Row],[Feedstock]]="All",LCI_Table[[#This Row],[Feedstock]]=SelectedFeedstock)</f>
        <v>0</v>
      </c>
      <c r="H2636" s="14" t="b">
        <f>OR(LCI_Table[[#This Row],[Conversion]]="All",LCI_Table[[#This Row],[Conversion]]=SelectedConversion)</f>
        <v>0</v>
      </c>
      <c r="I2636" s="14" t="b">
        <f>OR(LCI_Table[[#This Row],[Data Set]]="all",LCI_Table[[#This Row],[Data Set]]=SelectedDataSet)</f>
        <v>1</v>
      </c>
      <c r="J2636" s="14" t="b">
        <f>OR(LCI_Table[[#This Row],[Technology]]="All",LCI_Table[[#This Row],[Technology]]=SelectedTechnology)</f>
        <v>1</v>
      </c>
      <c r="K2636" s="14" t="b">
        <f>OR(LCI_Table[[#This Row],[Data Source]]="All",LCI_Table[[#This Row],[Data Source]]=SelectedDataSource)</f>
        <v>1</v>
      </c>
      <c r="L2636" s="14" t="b">
        <v>0</v>
      </c>
      <c r="M2636" s="14" t="b">
        <f>(LCI_Table[[#This Row],[Dev Notes]]="Do not display")</f>
        <v>0</v>
      </c>
      <c r="N2636" s="14" t="b">
        <f>AND(LCI_Table[[#This Row],[Show Feedstock]:[Conditional]],NOT(LCI_Table[[#This Row],[Hide Row]]))</f>
        <v>0</v>
      </c>
      <c r="O2636" s="14" t="b">
        <f>LCI_Table[[#This Row],[GREET1 Name Range]]=""</f>
        <v>0</v>
      </c>
      <c r="P2636" s="14" t="s">
        <v>14</v>
      </c>
      <c r="Q2636" s="14" t="s">
        <v>1393</v>
      </c>
      <c r="R2636" s="348" t="s">
        <v>1394</v>
      </c>
      <c r="S2636" s="37" cm="1">
        <f t="array" aca="1" ref="S26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36" s="346" t="s">
        <v>1484</v>
      </c>
      <c r="U2636" s="347">
        <f ca="1">S2636*Fuel_Specs!$B$39/$S$2620/ton2MT</f>
        <v>0</v>
      </c>
      <c r="V2636" s="347">
        <v>0</v>
      </c>
      <c r="W2636" s="347">
        <v>0</v>
      </c>
      <c r="X2636" s="14" t="s">
        <v>5</v>
      </c>
      <c r="Y2636" s="346" t="s">
        <v>413</v>
      </c>
      <c r="Z2636" s="14" t="str">
        <f>IF(ISBLANK(LCI_Table[[#This Row],[Notes for user]])," ",LCI_Table[[#This Row],[Notes for user]])</f>
        <v xml:space="preserve"> </v>
      </c>
      <c r="AA2636" s="14"/>
      <c r="AB2636" s="14"/>
      <c r="AC2636" s="346">
        <f ca="1">LCI_Table[[#This Row],[Default Calculated Value]]-LCI_Table[[#This Row],[Calculated Value]]</f>
        <v>0</v>
      </c>
    </row>
    <row r="2637" spans="1:29" x14ac:dyDescent="0.3">
      <c r="A26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facilities_Yield_Farming</v>
      </c>
      <c r="B2637" s="48" t="s">
        <v>136</v>
      </c>
      <c r="C2637" s="48" t="s">
        <v>1964</v>
      </c>
      <c r="D2637" s="48" t="s">
        <v>29</v>
      </c>
      <c r="E2637" s="48" t="s">
        <v>29</v>
      </c>
      <c r="F2637" s="375" t="s">
        <v>1606</v>
      </c>
      <c r="G2637" s="14" t="b">
        <f>OR(LCI_Table[[#This Row],[Feedstock]]="All",LCI_Table[[#This Row],[Feedstock]]=SelectedFeedstock)</f>
        <v>0</v>
      </c>
      <c r="H2637" s="14" t="b">
        <f>OR(LCI_Table[[#This Row],[Conversion]]="All",LCI_Table[[#This Row],[Conversion]]=SelectedConversion)</f>
        <v>0</v>
      </c>
      <c r="I2637" s="14" t="b">
        <f>OR(LCI_Table[[#This Row],[Data Set]]="all",LCI_Table[[#This Row],[Data Set]]=SelectedDataSet)</f>
        <v>1</v>
      </c>
      <c r="J2637" s="14" t="b">
        <f>OR(LCI_Table[[#This Row],[Technology]]="All",LCI_Table[[#This Row],[Technology]]=SelectedTechnology)</f>
        <v>0</v>
      </c>
      <c r="K2637" s="14" t="b">
        <f>OR(LCI_Table[[#This Row],[Data Source]]="All",LCI_Table[[#This Row],[Data Source]]=SelectedDataSource)</f>
        <v>1</v>
      </c>
      <c r="L2637" s="14" t="b">
        <v>0</v>
      </c>
      <c r="M2637" s="14" t="b">
        <f>(LCI_Table[[#This Row],[Dev Notes]]="Do not display")</f>
        <v>0</v>
      </c>
      <c r="N2637" s="14" t="b">
        <f>AND(LCI_Table[[#This Row],[Show Feedstock]:[Conditional]],NOT(LCI_Table[[#This Row],[Hide Row]]))</f>
        <v>0</v>
      </c>
      <c r="O2637" s="14" t="b">
        <f>LCI_Table[[#This Row],[GREET1 Name Range]]=""</f>
        <v>1</v>
      </c>
      <c r="P2637" s="48" t="s">
        <v>14</v>
      </c>
      <c r="Q2637" s="14" t="s">
        <v>361</v>
      </c>
      <c r="R2637" s="48" t="s">
        <v>200</v>
      </c>
      <c r="S2637" s="37" cm="1">
        <f t="array" aca="1" ref="S26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176.7</v>
      </c>
      <c r="T2637" s="346" t="s">
        <v>2126</v>
      </c>
      <c r="U2637" s="344"/>
      <c r="V2637" s="355">
        <v>176.7</v>
      </c>
      <c r="W2637" s="344"/>
      <c r="X2637" s="48" t="s">
        <v>70</v>
      </c>
      <c r="Y2637" s="346" t="s">
        <v>413</v>
      </c>
      <c r="Z2637" s="14" t="str">
        <f>IF(ISBLANK(LCI_Table[[#This Row],[Notes for user]])," ",LCI_Table[[#This Row],[Notes for user]])</f>
        <v xml:space="preserve"> </v>
      </c>
      <c r="AA2637" s="48"/>
      <c r="AB2637" s="345"/>
      <c r="AC2637" s="346">
        <f>LCI_Table[[#This Row],[Default Calculated Value]]-LCI_Table[[#This Row],[Calculated Value]]</f>
        <v>0</v>
      </c>
    </row>
    <row r="2638" spans="1:29" x14ac:dyDescent="0.3">
      <c r="A26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facilities_Corn_Farming_Nitrogen_fertilizerNitrogen fertilizer</v>
      </c>
      <c r="B2638" s="377" t="s">
        <v>136</v>
      </c>
      <c r="C2638" s="377" t="s">
        <v>1964</v>
      </c>
      <c r="D2638" s="378" t="s">
        <v>29</v>
      </c>
      <c r="E2638" s="379" t="s">
        <v>29</v>
      </c>
      <c r="F2638" s="375" t="s">
        <v>1606</v>
      </c>
      <c r="G2638" s="14" t="b">
        <f>OR(LCI_Table[[#This Row],[Feedstock]]="All",LCI_Table[[#This Row],[Feedstock]]=SelectedFeedstock)</f>
        <v>0</v>
      </c>
      <c r="H2638" s="14" t="b">
        <f>OR(LCI_Table[[#This Row],[Conversion]]="All",LCI_Table[[#This Row],[Conversion]]=SelectedConversion)</f>
        <v>0</v>
      </c>
      <c r="I2638" s="14" t="b">
        <f>OR(LCI_Table[[#This Row],[Data Set]]="all",LCI_Table[[#This Row],[Data Set]]=SelectedDataSet)</f>
        <v>1</v>
      </c>
      <c r="J2638" s="14" t="b">
        <f>OR(LCI_Table[[#This Row],[Technology]]="All",LCI_Table[[#This Row],[Technology]]=SelectedTechnology)</f>
        <v>0</v>
      </c>
      <c r="K2638" s="14" t="b">
        <f>OR(LCI_Table[[#This Row],[Data Source]]="All",LCI_Table[[#This Row],[Data Source]]=SelectedDataSource)</f>
        <v>1</v>
      </c>
      <c r="L2638" s="14" t="b">
        <f>+FALSE</f>
        <v>0</v>
      </c>
      <c r="M2638" s="14" t="b">
        <f>(LCI_Table[[#This Row],[Dev Notes]]="Do not display")</f>
        <v>0</v>
      </c>
      <c r="N2638" s="14" t="b">
        <f>AND(LCI_Table[[#This Row],[Show Feedstock]:[Conditional]],NOT(LCI_Table[[#This Row],[Hide Row]]))</f>
        <v>0</v>
      </c>
      <c r="O2638" s="14" t="b">
        <f>LCI_Table[[#This Row],[GREET1 Name Range]]=""</f>
        <v>0</v>
      </c>
      <c r="P2638" s="14" t="s">
        <v>14</v>
      </c>
      <c r="Q2638" s="14" t="s">
        <v>589</v>
      </c>
      <c r="R2638" s="14" t="s">
        <v>111</v>
      </c>
      <c r="S2638" s="37" cm="1">
        <f t="array" aca="1" ref="S26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154.2906371129481</v>
      </c>
      <c r="T2638" s="346" t="s">
        <v>1485</v>
      </c>
      <c r="U2638" s="347">
        <f ca="1">IF(Selections!R$93=2, V2638/V2637*lb2g*(1-Selections!R$95), S2638/S2637*lb2g)</f>
        <v>396.06709539825749</v>
      </c>
      <c r="V2638" s="347">
        <v>154.2906371129481</v>
      </c>
      <c r="W2638" s="347">
        <v>396.06709539825749</v>
      </c>
      <c r="X2638" s="37" t="s">
        <v>12</v>
      </c>
      <c r="Y2638" s="346" t="s">
        <v>413</v>
      </c>
      <c r="Z2638" s="14" t="str">
        <f>IF(ISBLANK(LCI_Table[[#This Row],[Notes for user]])," ",LCI_Table[[#This Row],[Notes for user]])</f>
        <v xml:space="preserve"> </v>
      </c>
      <c r="AA2638" s="14"/>
      <c r="AB2638" s="14"/>
      <c r="AC2638" s="346">
        <f ca="1">LCI_Table[[#This Row],[Default Calculated Value]]-LCI_Table[[#This Row],[Calculated Value]]</f>
        <v>0</v>
      </c>
    </row>
    <row r="2639" spans="1:29" x14ac:dyDescent="0.3">
      <c r="A26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facilities_Corn_Farming_P2O5P2O5</v>
      </c>
      <c r="B2639" s="381" t="s">
        <v>136</v>
      </c>
      <c r="C2639" s="381" t="s">
        <v>1964</v>
      </c>
      <c r="D2639" s="383" t="s">
        <v>29</v>
      </c>
      <c r="E2639" s="384" t="s">
        <v>29</v>
      </c>
      <c r="F2639" s="375" t="s">
        <v>1606</v>
      </c>
      <c r="G2639" s="14" t="b">
        <f>OR(LCI_Table[[#This Row],[Feedstock]]="All",LCI_Table[[#This Row],[Feedstock]]=SelectedFeedstock)</f>
        <v>0</v>
      </c>
      <c r="H2639" s="14" t="b">
        <f>OR(LCI_Table[[#This Row],[Conversion]]="All",LCI_Table[[#This Row],[Conversion]]=SelectedConversion)</f>
        <v>0</v>
      </c>
      <c r="I2639" s="14" t="b">
        <f>OR(LCI_Table[[#This Row],[Data Set]]="all",LCI_Table[[#This Row],[Data Set]]=SelectedDataSet)</f>
        <v>1</v>
      </c>
      <c r="J2639" s="14" t="b">
        <f>OR(LCI_Table[[#This Row],[Technology]]="All",LCI_Table[[#This Row],[Technology]]=SelectedTechnology)</f>
        <v>0</v>
      </c>
      <c r="K2639" s="14" t="b">
        <f>OR(LCI_Table[[#This Row],[Data Source]]="All",LCI_Table[[#This Row],[Data Source]]=SelectedDataSource)</f>
        <v>1</v>
      </c>
      <c r="L2639" s="14" t="b">
        <f>+FALSE</f>
        <v>0</v>
      </c>
      <c r="M2639" s="14" t="b">
        <f>(LCI_Table[[#This Row],[Dev Notes]]="Do not display")</f>
        <v>0</v>
      </c>
      <c r="N2639" s="14" t="b">
        <f>AND(LCI_Table[[#This Row],[Show Feedstock]:[Conditional]],NOT(LCI_Table[[#This Row],[Hide Row]]))</f>
        <v>0</v>
      </c>
      <c r="O2639" s="14" t="b">
        <f>LCI_Table[[#This Row],[GREET1 Name Range]]=""</f>
        <v>0</v>
      </c>
      <c r="P2639" s="14" t="s">
        <v>14</v>
      </c>
      <c r="Q2639" s="14" t="s">
        <v>590</v>
      </c>
      <c r="R2639" s="14" t="s">
        <v>112</v>
      </c>
      <c r="S2639" s="37" cm="1">
        <f t="array" aca="1" ref="S26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51.841684177643685</v>
      </c>
      <c r="T2639" s="346" t="s">
        <v>1485</v>
      </c>
      <c r="U2639" s="347">
        <f ca="1">S2639/S2637*lb2g</f>
        <v>133.078621340854</v>
      </c>
      <c r="V2639" s="347">
        <v>51.841684177643685</v>
      </c>
      <c r="W2639" s="347">
        <v>133.078621340854</v>
      </c>
      <c r="X2639" s="37" t="s">
        <v>12</v>
      </c>
      <c r="Y2639" s="346" t="s">
        <v>413</v>
      </c>
      <c r="Z2639" s="14" t="str">
        <f>IF(ISBLANK(LCI_Table[[#This Row],[Notes for user]])," ",LCI_Table[[#This Row],[Notes for user]])</f>
        <v xml:space="preserve"> </v>
      </c>
      <c r="AA2639" s="14"/>
      <c r="AB2639" s="14"/>
      <c r="AC2639" s="346">
        <f ca="1">LCI_Table[[#This Row],[Default Calculated Value]]-LCI_Table[[#This Row],[Calculated Value]]</f>
        <v>0</v>
      </c>
    </row>
    <row r="2640" spans="1:29" x14ac:dyDescent="0.3">
      <c r="A26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facilities_Corn_Farming_K2OK2O</v>
      </c>
      <c r="B2640" s="381" t="s">
        <v>136</v>
      </c>
      <c r="C2640" s="381" t="s">
        <v>1964</v>
      </c>
      <c r="D2640" s="383" t="s">
        <v>29</v>
      </c>
      <c r="E2640" s="384" t="s">
        <v>29</v>
      </c>
      <c r="F2640" s="375" t="s">
        <v>1606</v>
      </c>
      <c r="G2640" s="14" t="b">
        <f>OR(LCI_Table[[#This Row],[Feedstock]]="All",LCI_Table[[#This Row],[Feedstock]]=SelectedFeedstock)</f>
        <v>0</v>
      </c>
      <c r="H2640" s="14" t="b">
        <f>OR(LCI_Table[[#This Row],[Conversion]]="All",LCI_Table[[#This Row],[Conversion]]=SelectedConversion)</f>
        <v>0</v>
      </c>
      <c r="I2640" s="14" t="b">
        <f>OR(LCI_Table[[#This Row],[Data Set]]="all",LCI_Table[[#This Row],[Data Set]]=SelectedDataSet)</f>
        <v>1</v>
      </c>
      <c r="J2640" s="14" t="b">
        <f>OR(LCI_Table[[#This Row],[Technology]]="All",LCI_Table[[#This Row],[Technology]]=SelectedTechnology)</f>
        <v>0</v>
      </c>
      <c r="K2640" s="14" t="b">
        <f>OR(LCI_Table[[#This Row],[Data Source]]="All",LCI_Table[[#This Row],[Data Source]]=SelectedDataSource)</f>
        <v>1</v>
      </c>
      <c r="L2640" s="14" t="b">
        <f>+FALSE</f>
        <v>0</v>
      </c>
      <c r="M2640" s="14" t="b">
        <f>(LCI_Table[[#This Row],[Dev Notes]]="Do not display")</f>
        <v>0</v>
      </c>
      <c r="N2640" s="14" t="b">
        <f>AND(LCI_Table[[#This Row],[Show Feedstock]:[Conditional]],NOT(LCI_Table[[#This Row],[Hide Row]]))</f>
        <v>0</v>
      </c>
      <c r="O2640" s="14" t="b">
        <f>LCI_Table[[#This Row],[GREET1 Name Range]]=""</f>
        <v>0</v>
      </c>
      <c r="P2640" s="14" t="s">
        <v>14</v>
      </c>
      <c r="Q2640" s="14" t="s">
        <v>588</v>
      </c>
      <c r="R2640" s="14" t="s">
        <v>113</v>
      </c>
      <c r="S2640" s="37" cm="1">
        <f t="array" aca="1" ref="S26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53.830046414100181</v>
      </c>
      <c r="T2640" s="346" t="s">
        <v>1485</v>
      </c>
      <c r="U2640" s="347">
        <f ca="1">S2640/S2637*lb2g</f>
        <v>138.18278624890607</v>
      </c>
      <c r="V2640" s="347">
        <v>53.830046414100181</v>
      </c>
      <c r="W2640" s="347">
        <v>138.18278624890607</v>
      </c>
      <c r="X2640" s="37" t="s">
        <v>12</v>
      </c>
      <c r="Y2640" s="346" t="s">
        <v>413</v>
      </c>
      <c r="Z2640" s="14" t="str">
        <f>IF(ISBLANK(LCI_Table[[#This Row],[Notes for user]])," ",LCI_Table[[#This Row],[Notes for user]])</f>
        <v xml:space="preserve"> </v>
      </c>
      <c r="AA2640" s="14"/>
      <c r="AB2640" s="14"/>
      <c r="AC2640" s="346">
        <f ca="1">LCI_Table[[#This Row],[Default Calculated Value]]-LCI_Table[[#This Row],[Calculated Value]]</f>
        <v>0</v>
      </c>
    </row>
    <row r="2641" spans="1:29" x14ac:dyDescent="0.3">
      <c r="A26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facilities_Corn_Farming_CaCO3CaCO3</v>
      </c>
      <c r="B2641" s="381" t="s">
        <v>136</v>
      </c>
      <c r="C2641" s="381" t="s">
        <v>1964</v>
      </c>
      <c r="D2641" s="383" t="s">
        <v>29</v>
      </c>
      <c r="E2641" s="384" t="s">
        <v>29</v>
      </c>
      <c r="F2641" s="375" t="s">
        <v>1606</v>
      </c>
      <c r="G2641" s="14" t="b">
        <f>OR(LCI_Table[[#This Row],[Feedstock]]="All",LCI_Table[[#This Row],[Feedstock]]=SelectedFeedstock)</f>
        <v>0</v>
      </c>
      <c r="H2641" s="14" t="b">
        <f>OR(LCI_Table[[#This Row],[Conversion]]="All",LCI_Table[[#This Row],[Conversion]]=SelectedConversion)</f>
        <v>0</v>
      </c>
      <c r="I2641" s="14" t="b">
        <f>OR(LCI_Table[[#This Row],[Data Set]]="all",LCI_Table[[#This Row],[Data Set]]=SelectedDataSet)</f>
        <v>1</v>
      </c>
      <c r="J2641" s="14" t="b">
        <f>OR(LCI_Table[[#This Row],[Technology]]="All",LCI_Table[[#This Row],[Technology]]=SelectedTechnology)</f>
        <v>0</v>
      </c>
      <c r="K2641" s="14" t="b">
        <f>OR(LCI_Table[[#This Row],[Data Source]]="All",LCI_Table[[#This Row],[Data Source]]=SelectedDataSource)</f>
        <v>1</v>
      </c>
      <c r="L2641" s="14" t="b">
        <f>+FALSE</f>
        <v>0</v>
      </c>
      <c r="M2641" s="14" t="b">
        <f>(LCI_Table[[#This Row],[Dev Notes]]="Do not display")</f>
        <v>0</v>
      </c>
      <c r="N2641" s="14" t="b">
        <f>AND(LCI_Table[[#This Row],[Show Feedstock]:[Conditional]],NOT(LCI_Table[[#This Row],[Hide Row]]))</f>
        <v>0</v>
      </c>
      <c r="O2641" s="14" t="b">
        <f>LCI_Table[[#This Row],[GREET1 Name Range]]=""</f>
        <v>0</v>
      </c>
      <c r="P2641" s="14" t="s">
        <v>14</v>
      </c>
      <c r="Q2641" s="14" t="s">
        <v>584</v>
      </c>
      <c r="R2641" s="14" t="s">
        <v>141</v>
      </c>
      <c r="S2641" s="37" cm="1">
        <f t="array" aca="1" ref="S26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573.03062038387066</v>
      </c>
      <c r="T2641" s="346" t="s">
        <v>1485</v>
      </c>
      <c r="U2641" s="347">
        <f ca="1">S2641/S2637*lb2g</f>
        <v>1470.9808555885129</v>
      </c>
      <c r="V2641" s="347">
        <v>573.03062038387066</v>
      </c>
      <c r="W2641" s="347">
        <v>1470.9808555885129</v>
      </c>
      <c r="X2641" s="37" t="s">
        <v>12</v>
      </c>
      <c r="Y2641" s="346" t="s">
        <v>413</v>
      </c>
      <c r="Z2641" s="14" t="str">
        <f>IF(ISBLANK(LCI_Table[[#This Row],[Notes for user]])," ",LCI_Table[[#This Row],[Notes for user]])</f>
        <v xml:space="preserve"> </v>
      </c>
      <c r="AA2641" s="14"/>
      <c r="AB2641" s="14"/>
      <c r="AC2641" s="346">
        <f ca="1">LCI_Table[[#This Row],[Default Calculated Value]]-LCI_Table[[#This Row],[Calculated Value]]</f>
        <v>0</v>
      </c>
    </row>
    <row r="2642" spans="1:29" x14ac:dyDescent="0.3">
      <c r="A26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facilities_Corn_Farming_HerbicidesHerbicides</v>
      </c>
      <c r="B2642" s="381" t="s">
        <v>136</v>
      </c>
      <c r="C2642" s="381" t="s">
        <v>1964</v>
      </c>
      <c r="D2642" s="383" t="s">
        <v>29</v>
      </c>
      <c r="E2642" s="384" t="s">
        <v>29</v>
      </c>
      <c r="F2642" s="375" t="s">
        <v>1606</v>
      </c>
      <c r="G2642" s="14" t="b">
        <f>OR(LCI_Table[[#This Row],[Feedstock]]="All",LCI_Table[[#This Row],[Feedstock]]=SelectedFeedstock)</f>
        <v>0</v>
      </c>
      <c r="H2642" s="14" t="b">
        <f>OR(LCI_Table[[#This Row],[Conversion]]="All",LCI_Table[[#This Row],[Conversion]]=SelectedConversion)</f>
        <v>0</v>
      </c>
      <c r="I2642" s="14" t="b">
        <f>OR(LCI_Table[[#This Row],[Data Set]]="all",LCI_Table[[#This Row],[Data Set]]=SelectedDataSet)</f>
        <v>1</v>
      </c>
      <c r="J2642" s="14" t="b">
        <f>OR(LCI_Table[[#This Row],[Technology]]="All",LCI_Table[[#This Row],[Technology]]=SelectedTechnology)</f>
        <v>0</v>
      </c>
      <c r="K2642" s="14" t="b">
        <f>OR(LCI_Table[[#This Row],[Data Source]]="All",LCI_Table[[#This Row],[Data Source]]=SelectedDataSource)</f>
        <v>1</v>
      </c>
      <c r="L2642" s="14" t="b">
        <f>+FALSE</f>
        <v>0</v>
      </c>
      <c r="M2642" s="14" t="b">
        <f>(LCI_Table[[#This Row],[Dev Notes]]="Do not display")</f>
        <v>0</v>
      </c>
      <c r="N2642" s="14" t="b">
        <f>AND(LCI_Table[[#This Row],[Show Feedstock]:[Conditional]],NOT(LCI_Table[[#This Row],[Hide Row]]))</f>
        <v>0</v>
      </c>
      <c r="O2642" s="14" t="b">
        <f>LCI_Table[[#This Row],[GREET1 Name Range]]=""</f>
        <v>0</v>
      </c>
      <c r="P2642" s="14" t="s">
        <v>14</v>
      </c>
      <c r="Q2642" s="14" t="s">
        <v>586</v>
      </c>
      <c r="R2642" s="14" t="s">
        <v>356</v>
      </c>
      <c r="S2642" s="37" cm="1">
        <f t="array" aca="1" ref="S26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2.9833838611191146</v>
      </c>
      <c r="T2642" s="346" t="s">
        <v>1485</v>
      </c>
      <c r="U2642" s="347">
        <f ca="1">(S2642+IF(Selections!R$97=1, 0, Selections!R$100)*0.680045342833666)/S2637*lb2g</f>
        <v>7.6584049586008502</v>
      </c>
      <c r="V2642" s="347">
        <v>2.9833838611191146</v>
      </c>
      <c r="W2642" s="347">
        <v>7.6584049586008502</v>
      </c>
      <c r="X2642" s="37" t="s">
        <v>12</v>
      </c>
      <c r="Y2642" s="346" t="s">
        <v>413</v>
      </c>
      <c r="Z2642" s="14" t="str">
        <f>IF(ISBLANK(LCI_Table[[#This Row],[Notes for user]])," ",LCI_Table[[#This Row],[Notes for user]])</f>
        <v xml:space="preserve"> </v>
      </c>
      <c r="AA2642" s="14"/>
      <c r="AB2642" s="14"/>
      <c r="AC2642" s="346">
        <f ca="1">LCI_Table[[#This Row],[Default Calculated Value]]-LCI_Table[[#This Row],[Calculated Value]]</f>
        <v>0</v>
      </c>
    </row>
    <row r="2643" spans="1:29" x14ac:dyDescent="0.3">
      <c r="A26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facilities_Corn_Farming_InsecticideInsecticide</v>
      </c>
      <c r="B2643" s="381" t="s">
        <v>136</v>
      </c>
      <c r="C2643" s="381" t="s">
        <v>1964</v>
      </c>
      <c r="D2643" s="383" t="s">
        <v>29</v>
      </c>
      <c r="E2643" s="384" t="s">
        <v>29</v>
      </c>
      <c r="F2643" s="375" t="s">
        <v>1606</v>
      </c>
      <c r="G2643" s="14" t="b">
        <f>OR(LCI_Table[[#This Row],[Feedstock]]="All",LCI_Table[[#This Row],[Feedstock]]=SelectedFeedstock)</f>
        <v>0</v>
      </c>
      <c r="H2643" s="14" t="b">
        <f>OR(LCI_Table[[#This Row],[Conversion]]="All",LCI_Table[[#This Row],[Conversion]]=SelectedConversion)</f>
        <v>0</v>
      </c>
      <c r="I2643" s="14" t="b">
        <f>OR(LCI_Table[[#This Row],[Data Set]]="all",LCI_Table[[#This Row],[Data Set]]=SelectedDataSet)</f>
        <v>1</v>
      </c>
      <c r="J2643" s="14" t="b">
        <f>OR(LCI_Table[[#This Row],[Technology]]="All",LCI_Table[[#This Row],[Technology]]=SelectedTechnology)</f>
        <v>0</v>
      </c>
      <c r="K2643" s="14" t="b">
        <f>OR(LCI_Table[[#This Row],[Data Source]]="All",LCI_Table[[#This Row],[Data Source]]=SelectedDataSource)</f>
        <v>1</v>
      </c>
      <c r="L2643" s="14" t="b">
        <f>+FALSE</f>
        <v>0</v>
      </c>
      <c r="M2643" s="14" t="b">
        <f>(LCI_Table[[#This Row],[Dev Notes]]="Do not display")</f>
        <v>0</v>
      </c>
      <c r="N2643" s="14" t="b">
        <f>AND(LCI_Table[[#This Row],[Show Feedstock]:[Conditional]],NOT(LCI_Table[[#This Row],[Hide Row]]))</f>
        <v>0</v>
      </c>
      <c r="O2643" s="14" t="b">
        <f>LCI_Table[[#This Row],[GREET1 Name Range]]=""</f>
        <v>0</v>
      </c>
      <c r="P2643" s="14" t="s">
        <v>14</v>
      </c>
      <c r="Q2643" s="14" t="s">
        <v>587</v>
      </c>
      <c r="R2643" s="14" t="s">
        <v>114</v>
      </c>
      <c r="S2643" s="37" cm="1">
        <f t="array" aca="1" ref="S26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1.4312668156423685E-2</v>
      </c>
      <c r="T2643" s="346" t="s">
        <v>1485</v>
      </c>
      <c r="U2643" s="347">
        <f ca="1">S2643/S2637*lb2g</f>
        <v>3.6740900226914265E-2</v>
      </c>
      <c r="V2643" s="347">
        <v>1.4312668156423685E-2</v>
      </c>
      <c r="W2643" s="347">
        <v>3.6740900226914265E-2</v>
      </c>
      <c r="X2643" s="37" t="s">
        <v>12</v>
      </c>
      <c r="Y2643" s="346" t="s">
        <v>413</v>
      </c>
      <c r="Z2643" s="14" t="str">
        <f>IF(ISBLANK(LCI_Table[[#This Row],[Notes for user]])," ",LCI_Table[[#This Row],[Notes for user]])</f>
        <v xml:space="preserve"> </v>
      </c>
      <c r="AA2643" s="14"/>
      <c r="AB2643" s="14"/>
      <c r="AC2643" s="346">
        <f ca="1">LCI_Table[[#This Row],[Default Calculated Value]]-LCI_Table[[#This Row],[Calculated Value]]</f>
        <v>0</v>
      </c>
    </row>
    <row r="2644" spans="1:29" x14ac:dyDescent="0.3">
      <c r="A26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facilities_Corn_Farming_Residual_oilResidual oil</v>
      </c>
      <c r="B2644" s="381" t="s">
        <v>136</v>
      </c>
      <c r="C2644" s="381" t="s">
        <v>1964</v>
      </c>
      <c r="D2644" s="383" t="s">
        <v>29</v>
      </c>
      <c r="E2644" s="384" t="s">
        <v>29</v>
      </c>
      <c r="F2644" s="375" t="s">
        <v>1606</v>
      </c>
      <c r="G2644" s="14" t="b">
        <f>OR(LCI_Table[[#This Row],[Feedstock]]="All",LCI_Table[[#This Row],[Feedstock]]=SelectedFeedstock)</f>
        <v>0</v>
      </c>
      <c r="H2644" s="14" t="b">
        <f>OR(LCI_Table[[#This Row],[Conversion]]="All",LCI_Table[[#This Row],[Conversion]]=SelectedConversion)</f>
        <v>0</v>
      </c>
      <c r="I2644" s="14" t="b">
        <f>OR(LCI_Table[[#This Row],[Data Set]]="all",LCI_Table[[#This Row],[Data Set]]=SelectedDataSet)</f>
        <v>1</v>
      </c>
      <c r="J2644" s="14" t="b">
        <f>OR(LCI_Table[[#This Row],[Technology]]="All",LCI_Table[[#This Row],[Technology]]=SelectedTechnology)</f>
        <v>0</v>
      </c>
      <c r="K2644" s="14" t="b">
        <f>OR(LCI_Table[[#This Row],[Data Source]]="All",LCI_Table[[#This Row],[Data Source]]=SelectedDataSource)</f>
        <v>1</v>
      </c>
      <c r="L2644" s="14" t="b">
        <f>+FALSE</f>
        <v>0</v>
      </c>
      <c r="M2644" s="14" t="b">
        <f>(LCI_Table[[#This Row],[Dev Notes]]="Do not display")</f>
        <v>0</v>
      </c>
      <c r="N2644" s="14" t="b">
        <f>AND(LCI_Table[[#This Row],[Show Feedstock]:[Conditional]],NOT(LCI_Table[[#This Row],[Hide Row]]))</f>
        <v>0</v>
      </c>
      <c r="O2644" s="14" t="b">
        <f>LCI_Table[[#This Row],[GREET1 Name Range]]=""</f>
        <v>0</v>
      </c>
      <c r="P2644" s="14" t="s">
        <v>14</v>
      </c>
      <c r="Q2644" s="14" t="s">
        <v>591</v>
      </c>
      <c r="R2644" s="14" t="s">
        <v>115</v>
      </c>
      <c r="S2644" s="37" cm="1">
        <f t="array" aca="1" ref="S26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44" s="346" t="s">
        <v>1484</v>
      </c>
      <c r="U2644" s="347">
        <f ca="1">S2644*Fuel_Specs!$B$28/S2637</f>
        <v>0</v>
      </c>
      <c r="V2644" s="347">
        <v>0</v>
      </c>
      <c r="W2644" s="347">
        <v>0</v>
      </c>
      <c r="X2644" s="37" t="s">
        <v>5</v>
      </c>
      <c r="Y2644" s="346" t="s">
        <v>413</v>
      </c>
      <c r="Z2644" s="14" t="str">
        <f>IF(ISBLANK(LCI_Table[[#This Row],[Notes for user]])," ",LCI_Table[[#This Row],[Notes for user]])</f>
        <v xml:space="preserve"> </v>
      </c>
      <c r="AA2644" s="14"/>
      <c r="AB2644" s="14"/>
      <c r="AC2644" s="346">
        <f ca="1">LCI_Table[[#This Row],[Default Calculated Value]]-LCI_Table[[#This Row],[Calculated Value]]</f>
        <v>0</v>
      </c>
    </row>
    <row r="2645" spans="1:29" x14ac:dyDescent="0.3">
      <c r="A26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facilities_Diesel_CornFarmingDiesel - Conventional Tillage</v>
      </c>
      <c r="B2645" s="381" t="s">
        <v>136</v>
      </c>
      <c r="C2645" s="381" t="s">
        <v>1964</v>
      </c>
      <c r="D2645" s="383" t="s">
        <v>29</v>
      </c>
      <c r="E2645" s="384" t="s">
        <v>29</v>
      </c>
      <c r="F2645" s="375" t="s">
        <v>1606</v>
      </c>
      <c r="G2645" s="14" t="b">
        <f>OR(LCI_Table[[#This Row],[Feedstock]]="All",LCI_Table[[#This Row],[Feedstock]]=SelectedFeedstock)</f>
        <v>0</v>
      </c>
      <c r="H2645" s="14" t="b">
        <f>OR(LCI_Table[[#This Row],[Conversion]]="All",LCI_Table[[#This Row],[Conversion]]=SelectedConversion)</f>
        <v>0</v>
      </c>
      <c r="I2645" s="14" t="b">
        <f>OR(LCI_Table[[#This Row],[Data Set]]="all",LCI_Table[[#This Row],[Data Set]]=SelectedDataSet)</f>
        <v>1</v>
      </c>
      <c r="J2645" s="14" t="b">
        <f>OR(LCI_Table[[#This Row],[Technology]]="All",LCI_Table[[#This Row],[Technology]]=SelectedTechnology)</f>
        <v>0</v>
      </c>
      <c r="K2645" s="14" t="b">
        <f>OR(LCI_Table[[#This Row],[Data Source]]="All",LCI_Table[[#This Row],[Data Source]]=SelectedDataSource)</f>
        <v>1</v>
      </c>
      <c r="L2645" s="14" t="b">
        <f ca="1">AND(Selections!$R$64=1,VALUE(Selections!R$96)=1)</f>
        <v>0</v>
      </c>
      <c r="M2645" s="14" t="b">
        <f>(LCI_Table[[#This Row],[Dev Notes]]="Do not display")</f>
        <v>0</v>
      </c>
      <c r="N2645" s="14" t="b">
        <f ca="1">AND(LCI_Table[[#This Row],[Show Feedstock]:[Conditional]],NOT(LCI_Table[[#This Row],[Hide Row]]))</f>
        <v>0</v>
      </c>
      <c r="O2645" s="14" t="b">
        <f>LCI_Table[[#This Row],[GREET1 Name Range]]=""</f>
        <v>0</v>
      </c>
      <c r="P2645" s="14" t="s">
        <v>14</v>
      </c>
      <c r="Q2645" s="14" t="s">
        <v>75</v>
      </c>
      <c r="R2645" s="14" t="s">
        <v>1558</v>
      </c>
      <c r="S2645" s="37" cm="1">
        <f t="array" aca="1" ref="S26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11.983544837111177</v>
      </c>
      <c r="T2645" s="346" t="s">
        <v>1484</v>
      </c>
      <c r="U2645" s="347">
        <f ca="1">IF(Selections!R$64=1,(S2645+IF(Selections!R$97=1,0,Selections!R$99)*0.680045342833666+IF(Selections!R$102=1,0,Selections!R$107*Selections!R$110*Selections!R$111+Selections!R$108)*0.680045342833666)*('GREET Connection'!S$172*Fuel_Specs!B$21+'GREET Connection'!S$173*Fuel_Specs!B$39+'GREET Connection'!S$174*Fuel_Specs!B$42)/S2637,0)</f>
        <v>8711.2978739498049</v>
      </c>
      <c r="V2645" s="347">
        <v>11.983544837111177</v>
      </c>
      <c r="W2645" s="347">
        <v>8711.2978739498049</v>
      </c>
      <c r="X2645" s="37" t="s">
        <v>5</v>
      </c>
      <c r="Y2645" s="346" t="s">
        <v>413</v>
      </c>
      <c r="Z2645" s="14" t="str">
        <f>IF(ISBLANK(LCI_Table[[#This Row],[Notes for user]])," ",LCI_Table[[#This Row],[Notes for user]])</f>
        <v xml:space="preserve"> </v>
      </c>
      <c r="AA2645" s="346"/>
      <c r="AB2645" s="14"/>
      <c r="AC2645" s="346">
        <f ca="1">LCI_Table[[#This Row],[Default Calculated Value]]-LCI_Table[[#This Row],[Calculated Value]]</f>
        <v>0</v>
      </c>
    </row>
    <row r="2646" spans="1:29" x14ac:dyDescent="0.3">
      <c r="A26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facilities_Diesel_CornFarmingDiesel - Reduced Tillage</v>
      </c>
      <c r="B2646" s="381" t="s">
        <v>136</v>
      </c>
      <c r="C2646" s="381" t="s">
        <v>1964</v>
      </c>
      <c r="D2646" s="383" t="s">
        <v>29</v>
      </c>
      <c r="E2646" s="384" t="s">
        <v>29</v>
      </c>
      <c r="F2646" s="375" t="s">
        <v>1606</v>
      </c>
      <c r="G2646" s="14" t="b">
        <f>OR(LCI_Table[[#This Row],[Feedstock]]="All",LCI_Table[[#This Row],[Feedstock]]=SelectedFeedstock)</f>
        <v>0</v>
      </c>
      <c r="H2646" s="14" t="b">
        <f>OR(LCI_Table[[#This Row],[Conversion]]="All",LCI_Table[[#This Row],[Conversion]]=SelectedConversion)</f>
        <v>0</v>
      </c>
      <c r="I2646" s="14" t="b">
        <f>OR(LCI_Table[[#This Row],[Data Set]]="all",LCI_Table[[#This Row],[Data Set]]=SelectedDataSet)</f>
        <v>1</v>
      </c>
      <c r="J2646" s="14" t="b">
        <f>OR(LCI_Table[[#This Row],[Technology]]="All",LCI_Table[[#This Row],[Technology]]=SelectedTechnology)</f>
        <v>0</v>
      </c>
      <c r="K2646" s="14" t="b">
        <f>OR(LCI_Table[[#This Row],[Data Source]]="All",LCI_Table[[#This Row],[Data Source]]=SelectedDataSource)</f>
        <v>1</v>
      </c>
      <c r="L2646" s="14" t="b">
        <f ca="1">AND(Selections!$R$64=1,VALUE(Selections!R$96)=2)</f>
        <v>0</v>
      </c>
      <c r="M2646" s="14" t="b">
        <f>(LCI_Table[[#This Row],[Dev Notes]]="Do not display")</f>
        <v>0</v>
      </c>
      <c r="N2646" s="14" t="b">
        <f ca="1">AND(LCI_Table[[#This Row],[Show Feedstock]:[Conditional]],NOT(LCI_Table[[#This Row],[Hide Row]]))</f>
        <v>0</v>
      </c>
      <c r="O2646" s="14" t="b">
        <f>LCI_Table[[#This Row],[GREET1 Name Range]]=""</f>
        <v>0</v>
      </c>
      <c r="P2646" s="14" t="s">
        <v>14</v>
      </c>
      <c r="Q2646" s="14" t="s">
        <v>75</v>
      </c>
      <c r="R2646" s="14" t="s">
        <v>1559</v>
      </c>
      <c r="S2646" s="37" cm="1">
        <f t="array" aca="1" ref="S26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6.6121326942141225</v>
      </c>
      <c r="T2646" s="346" t="s">
        <v>1484</v>
      </c>
      <c r="U2646" s="347">
        <f ca="1">IF(Selections!R$64=1,(S2646+IF(Selections!R$97=1,0,Selections!R$99)*0.680045342833666+IF(Selections!R$102=1,0,Selections!R$107*Selections!R$110*Selections!R$111+Selections!R$108)*0.680045342833666)*('GREET Connection'!S$172*Fuel_Specs!B$21+'GREET Connection'!S$173*Fuel_Specs!B$39+'GREET Connection'!S$174*Fuel_Specs!B$42)/S2637,0)</f>
        <v>4806.6125895404875</v>
      </c>
      <c r="V2646" s="347">
        <v>6.6121326942141225</v>
      </c>
      <c r="W2646" s="347">
        <v>4806.6125895404875</v>
      </c>
      <c r="X2646" s="37" t="s">
        <v>5</v>
      </c>
      <c r="Y2646" s="346" t="s">
        <v>413</v>
      </c>
      <c r="Z2646" s="14" t="str">
        <f>IF(ISBLANK(LCI_Table[[#This Row],[Notes for user]])," ",LCI_Table[[#This Row],[Notes for user]])</f>
        <v xml:space="preserve"> </v>
      </c>
      <c r="AA2646" s="14"/>
      <c r="AB2646" s="14"/>
      <c r="AC2646" s="346">
        <f ca="1">LCI_Table[[#This Row],[Default Calculated Value]]-LCI_Table[[#This Row],[Calculated Value]]</f>
        <v>0</v>
      </c>
    </row>
    <row r="2647" spans="1:29" x14ac:dyDescent="0.3">
      <c r="A26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facilities_Diesel_CornFarmingDiesel - No Tillage</v>
      </c>
      <c r="B2647" s="381" t="s">
        <v>136</v>
      </c>
      <c r="C2647" s="381" t="s">
        <v>1964</v>
      </c>
      <c r="D2647" s="383" t="s">
        <v>29</v>
      </c>
      <c r="E2647" s="384" t="s">
        <v>29</v>
      </c>
      <c r="F2647" s="375" t="s">
        <v>1606</v>
      </c>
      <c r="G2647" s="14" t="b">
        <f>OR(LCI_Table[[#This Row],[Feedstock]]="All",LCI_Table[[#This Row],[Feedstock]]=SelectedFeedstock)</f>
        <v>0</v>
      </c>
      <c r="H2647" s="14" t="b">
        <f>OR(LCI_Table[[#This Row],[Conversion]]="All",LCI_Table[[#This Row],[Conversion]]=SelectedConversion)</f>
        <v>0</v>
      </c>
      <c r="I2647" s="14" t="b">
        <f>OR(LCI_Table[[#This Row],[Data Set]]="all",LCI_Table[[#This Row],[Data Set]]=SelectedDataSet)</f>
        <v>1</v>
      </c>
      <c r="J2647" s="14" t="b">
        <f>OR(LCI_Table[[#This Row],[Technology]]="All",LCI_Table[[#This Row],[Technology]]=SelectedTechnology)</f>
        <v>0</v>
      </c>
      <c r="K2647" s="14" t="b">
        <f>OR(LCI_Table[[#This Row],[Data Source]]="All",LCI_Table[[#This Row],[Data Source]]=SelectedDataSource)</f>
        <v>1</v>
      </c>
      <c r="L2647" s="14" t="b">
        <f ca="1">AND(Selections!$R$64=1,VALUE(Selections!R$96)=3)</f>
        <v>0</v>
      </c>
      <c r="M2647" s="14" t="b">
        <f>(LCI_Table[[#This Row],[Dev Notes]]="Do not display")</f>
        <v>0</v>
      </c>
      <c r="N2647" s="14" t="b">
        <f ca="1">AND(LCI_Table[[#This Row],[Show Feedstock]:[Conditional]],NOT(LCI_Table[[#This Row],[Hide Row]]))</f>
        <v>0</v>
      </c>
      <c r="O2647" s="14" t="b">
        <f>LCI_Table[[#This Row],[GREET1 Name Range]]=""</f>
        <v>0</v>
      </c>
      <c r="P2647" s="14" t="s">
        <v>14</v>
      </c>
      <c r="Q2647" s="14" t="s">
        <v>75</v>
      </c>
      <c r="R2647" s="14" t="s">
        <v>1560</v>
      </c>
      <c r="S2647" s="37" cm="1">
        <f t="array" aca="1" ref="S26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3.5178966851368036</v>
      </c>
      <c r="T2647" s="346" t="s">
        <v>1484</v>
      </c>
      <c r="U2647" s="347">
        <f ca="1">IF(Selections!R$64=1,(S2647+IF(Selections!R$97=1,0,Selections!R$99)*0.680045342833666+IF(Selections!R$102=1,0,Selections!R$107*Selections!R$110*Selections!R$111+Selections!R$108)*0.680045342833666)*('GREET Connection'!S$172*Fuel_Specs!B$21+'GREET Connection'!S$173*Fuel_Specs!B$39+'GREET Connection'!S$174*Fuel_Specs!B$42)/S2637,0)</f>
        <v>2557.2938834511742</v>
      </c>
      <c r="V2647" s="347">
        <v>3.5178966851368036</v>
      </c>
      <c r="W2647" s="347">
        <v>2557.2938834511742</v>
      </c>
      <c r="X2647" s="37" t="s">
        <v>5</v>
      </c>
      <c r="Y2647" s="346" t="s">
        <v>413</v>
      </c>
      <c r="Z2647" s="14" t="str">
        <f>IF(ISBLANK(LCI_Table[[#This Row],[Notes for user]])," ",LCI_Table[[#This Row],[Notes for user]])</f>
        <v xml:space="preserve"> </v>
      </c>
      <c r="AA2647" s="14"/>
      <c r="AB2647" s="14"/>
      <c r="AC2647" s="346">
        <f ca="1">LCI_Table[[#This Row],[Default Calculated Value]]-LCI_Table[[#This Row],[Calculated Value]]</f>
        <v>0</v>
      </c>
    </row>
    <row r="2648" spans="1:29" x14ac:dyDescent="0.3">
      <c r="A26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facilities_Diesel_CornFarmingDiesel - Average Tillage</v>
      </c>
      <c r="B2648" s="381" t="s">
        <v>136</v>
      </c>
      <c r="C2648" s="381" t="s">
        <v>1964</v>
      </c>
      <c r="D2648" s="383" t="s">
        <v>29</v>
      </c>
      <c r="E2648" s="384" t="s">
        <v>29</v>
      </c>
      <c r="F2648" s="375" t="s">
        <v>1606</v>
      </c>
      <c r="G2648" s="14" t="b">
        <f>OR(LCI_Table[[#This Row],[Feedstock]]="All",LCI_Table[[#This Row],[Feedstock]]=SelectedFeedstock)</f>
        <v>0</v>
      </c>
      <c r="H2648" s="14" t="b">
        <f>OR(LCI_Table[[#This Row],[Conversion]]="All",LCI_Table[[#This Row],[Conversion]]=SelectedConversion)</f>
        <v>0</v>
      </c>
      <c r="I2648" s="14" t="b">
        <f>OR(LCI_Table[[#This Row],[Data Set]]="all",LCI_Table[[#This Row],[Data Set]]=SelectedDataSet)</f>
        <v>1</v>
      </c>
      <c r="J2648" s="14" t="b">
        <f>OR(LCI_Table[[#This Row],[Technology]]="All",LCI_Table[[#This Row],[Technology]]=SelectedTechnology)</f>
        <v>0</v>
      </c>
      <c r="K2648" s="14" t="b">
        <f>OR(LCI_Table[[#This Row],[Data Source]]="All",LCI_Table[[#This Row],[Data Source]]=SelectedDataSource)</f>
        <v>1</v>
      </c>
      <c r="L2648" s="14" t="b">
        <f>FALSE</f>
        <v>0</v>
      </c>
      <c r="M2648" s="14" t="b">
        <f>(LCI_Table[[#This Row],[Dev Notes]]="Do not display")</f>
        <v>0</v>
      </c>
      <c r="N2648" s="14" t="b">
        <f>AND(LCI_Table[[#This Row],[Show Feedstock]:[Conditional]],NOT(LCI_Table[[#This Row],[Hide Row]]))</f>
        <v>0</v>
      </c>
      <c r="O2648" s="14" t="b">
        <f>LCI_Table[[#This Row],[GREET1 Name Range]]=""</f>
        <v>0</v>
      </c>
      <c r="P2648" s="14" t="s">
        <v>14</v>
      </c>
      <c r="Q2648" s="14" t="s">
        <v>75</v>
      </c>
      <c r="R2648" s="14" t="s">
        <v>1579</v>
      </c>
      <c r="S2648" s="37" cm="1">
        <f t="array" aca="1" ref="S26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7.2216825542862999</v>
      </c>
      <c r="T2648" s="346" t="s">
        <v>1484</v>
      </c>
      <c r="U2648" s="347">
        <f ca="1">IF(Selections!R$64=1,(S2648+IF(Selections!R$97=1,0,Selections!R$99)*0.680045342833666+IF(Selections!R$102=1,0,Selections!R$107*Selections!R$110*Selections!R$111+Selections!R$108)*0.680045342833666)*('GREET Connection'!S$172*Fuel_Specs!B$21+'GREET Connection'!S$173*Fuel_Specs!B$39+'GREET Connection'!S$174*Fuel_Specs!B$42)/S2637,0)</f>
        <v>5249.7177368312123</v>
      </c>
      <c r="V2648" s="347">
        <v>7.2216825542862999</v>
      </c>
      <c r="W2648" s="347">
        <v>5249.7177368312123</v>
      </c>
      <c r="X2648" s="37" t="s">
        <v>5</v>
      </c>
      <c r="Y2648" s="346" t="s">
        <v>413</v>
      </c>
      <c r="Z2648" s="14" t="str">
        <f>IF(ISBLANK(LCI_Table[[#This Row],[Notes for user]])," ",LCI_Table[[#This Row],[Notes for user]])</f>
        <v xml:space="preserve"> </v>
      </c>
      <c r="AA2648" s="14"/>
      <c r="AB2648" s="14"/>
      <c r="AC2648" s="346">
        <f ca="1">LCI_Table[[#This Row],[Default Calculated Value]]-LCI_Table[[#This Row],[Calculated Value]]</f>
        <v>0</v>
      </c>
    </row>
    <row r="2649" spans="1:29" x14ac:dyDescent="0.3">
      <c r="A26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facilities_Ag tractor electriciy use - Conventional Tillage_Farming</v>
      </c>
      <c r="B2649" s="381" t="s">
        <v>136</v>
      </c>
      <c r="C2649" s="381" t="s">
        <v>1964</v>
      </c>
      <c r="D2649" s="383" t="s">
        <v>29</v>
      </c>
      <c r="E2649" s="384" t="s">
        <v>29</v>
      </c>
      <c r="F2649" s="375" t="s">
        <v>1606</v>
      </c>
      <c r="G2649" s="14" t="b">
        <f>OR(LCI_Table[[#This Row],[Feedstock]]="All",LCI_Table[[#This Row],[Feedstock]]=SelectedFeedstock)</f>
        <v>0</v>
      </c>
      <c r="H2649" s="14" t="b">
        <f>OR(LCI_Table[[#This Row],[Conversion]]="All",LCI_Table[[#This Row],[Conversion]]=SelectedConversion)</f>
        <v>0</v>
      </c>
      <c r="I2649" s="14" t="b">
        <f>OR(LCI_Table[[#This Row],[Data Set]]="all",LCI_Table[[#This Row],[Data Set]]=SelectedDataSet)</f>
        <v>1</v>
      </c>
      <c r="J2649" s="14" t="b">
        <f>OR(LCI_Table[[#This Row],[Technology]]="All",LCI_Table[[#This Row],[Technology]]=SelectedTechnology)</f>
        <v>0</v>
      </c>
      <c r="K2649" s="14" t="b">
        <f>OR(LCI_Table[[#This Row],[Data Source]]="All",LCI_Table[[#This Row],[Data Source]]=SelectedDataSource)</f>
        <v>1</v>
      </c>
      <c r="L2649" s="14" t="b">
        <f>+FALSE</f>
        <v>0</v>
      </c>
      <c r="M2649" s="14" t="b">
        <f>(LCI_Table[[#This Row],[Dev Notes]]="Do not display")</f>
        <v>0</v>
      </c>
      <c r="N2649" s="14" t="b">
        <f>AND(LCI_Table[[#This Row],[Show Feedstock]:[Conditional]],NOT(LCI_Table[[#This Row],[Hide Row]]))</f>
        <v>0</v>
      </c>
      <c r="O2649" s="14" t="b">
        <f>LCI_Table[[#This Row],[GREET1 Name Range]]=""</f>
        <v>1</v>
      </c>
      <c r="P2649" s="14" t="s">
        <v>14</v>
      </c>
      <c r="Q2649" s="14"/>
      <c r="R2649" s="14" t="s">
        <v>1562</v>
      </c>
      <c r="S2649" s="37" cm="1">
        <f t="array" aca="1" ref="S26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216.29967399608705</v>
      </c>
      <c r="T2649" s="346" t="s">
        <v>1561</v>
      </c>
      <c r="U2649" s="347">
        <f ca="1">LCI_Table[[#This Row],[Dashboard Value]]</f>
        <v>216.29967399608705</v>
      </c>
      <c r="V2649" s="347">
        <v>216.29967399608705</v>
      </c>
      <c r="W2649" s="347">
        <v>216.29967399608705</v>
      </c>
      <c r="X2649" s="37" t="s">
        <v>51</v>
      </c>
      <c r="Y2649" s="346" t="s">
        <v>413</v>
      </c>
      <c r="Z2649" s="14" t="str">
        <f>IF(ISBLANK(LCI_Table[[#This Row],[Notes for user]])," ",LCI_Table[[#This Row],[Notes for user]])</f>
        <v xml:space="preserve"> </v>
      </c>
      <c r="AA2649" s="14"/>
      <c r="AB2649" s="14"/>
      <c r="AC2649" s="346">
        <f ca="1">LCI_Table[[#This Row],[Default Calculated Value]]-LCI_Table[[#This Row],[Calculated Value]]</f>
        <v>0</v>
      </c>
    </row>
    <row r="2650" spans="1:29" x14ac:dyDescent="0.3">
      <c r="A26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facilities_Ag tractor electriciy use - Reduced Tillage_Farming</v>
      </c>
      <c r="B2650" s="381" t="s">
        <v>136</v>
      </c>
      <c r="C2650" s="381" t="s">
        <v>1964</v>
      </c>
      <c r="D2650" s="383" t="s">
        <v>29</v>
      </c>
      <c r="E2650" s="384" t="s">
        <v>29</v>
      </c>
      <c r="F2650" s="375" t="s">
        <v>1606</v>
      </c>
      <c r="G2650" s="14" t="b">
        <f>OR(LCI_Table[[#This Row],[Feedstock]]="All",LCI_Table[[#This Row],[Feedstock]]=SelectedFeedstock)</f>
        <v>0</v>
      </c>
      <c r="H2650" s="14" t="b">
        <f>OR(LCI_Table[[#This Row],[Conversion]]="All",LCI_Table[[#This Row],[Conversion]]=SelectedConversion)</f>
        <v>0</v>
      </c>
      <c r="I2650" s="14" t="b">
        <f>OR(LCI_Table[[#This Row],[Data Set]]="all",LCI_Table[[#This Row],[Data Set]]=SelectedDataSet)</f>
        <v>1</v>
      </c>
      <c r="J2650" s="14" t="b">
        <f>OR(LCI_Table[[#This Row],[Technology]]="All",LCI_Table[[#This Row],[Technology]]=SelectedTechnology)</f>
        <v>0</v>
      </c>
      <c r="K2650" s="14" t="b">
        <f>OR(LCI_Table[[#This Row],[Data Source]]="All",LCI_Table[[#This Row],[Data Source]]=SelectedDataSource)</f>
        <v>1</v>
      </c>
      <c r="L2650" s="14" t="b">
        <f>+FALSE</f>
        <v>0</v>
      </c>
      <c r="M2650" s="14" t="b">
        <f>(LCI_Table[[#This Row],[Dev Notes]]="Do not display")</f>
        <v>0</v>
      </c>
      <c r="N2650" s="14" t="b">
        <f>AND(LCI_Table[[#This Row],[Show Feedstock]:[Conditional]],NOT(LCI_Table[[#This Row],[Hide Row]]))</f>
        <v>0</v>
      </c>
      <c r="O2650" s="14" t="b">
        <f>LCI_Table[[#This Row],[GREET1 Name Range]]=""</f>
        <v>1</v>
      </c>
      <c r="P2650" s="14" t="s">
        <v>14</v>
      </c>
      <c r="Q2650" s="14"/>
      <c r="R2650" s="14" t="s">
        <v>1563</v>
      </c>
      <c r="S2650" s="37" cm="1">
        <f t="array" aca="1" ref="S26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119.34716860642683</v>
      </c>
      <c r="T2650" s="346" t="s">
        <v>1561</v>
      </c>
      <c r="U2650" s="347">
        <f ca="1">LCI_Table[[#This Row],[Dashboard Value]]</f>
        <v>119.34716860642683</v>
      </c>
      <c r="V2650" s="347">
        <v>119.34716860642683</v>
      </c>
      <c r="W2650" s="347">
        <v>119.34716860642683</v>
      </c>
      <c r="X2650" s="37" t="s">
        <v>51</v>
      </c>
      <c r="Y2650" s="346" t="s">
        <v>413</v>
      </c>
      <c r="Z2650" s="14" t="str">
        <f>IF(ISBLANK(LCI_Table[[#This Row],[Notes for user]])," ",LCI_Table[[#This Row],[Notes for user]])</f>
        <v xml:space="preserve"> </v>
      </c>
      <c r="AA2650" s="14"/>
      <c r="AB2650" s="14"/>
      <c r="AC2650" s="346">
        <f ca="1">LCI_Table[[#This Row],[Default Calculated Value]]-LCI_Table[[#This Row],[Calculated Value]]</f>
        <v>0</v>
      </c>
    </row>
    <row r="2651" spans="1:29" x14ac:dyDescent="0.3">
      <c r="A26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facilities_Ag tractor electriciy use - No Tillage_Farming</v>
      </c>
      <c r="B2651" s="381" t="s">
        <v>136</v>
      </c>
      <c r="C2651" s="381" t="s">
        <v>1964</v>
      </c>
      <c r="D2651" s="383" t="s">
        <v>29</v>
      </c>
      <c r="E2651" s="384" t="s">
        <v>29</v>
      </c>
      <c r="F2651" s="375" t="s">
        <v>1606</v>
      </c>
      <c r="G2651" s="14" t="b">
        <f>OR(LCI_Table[[#This Row],[Feedstock]]="All",LCI_Table[[#This Row],[Feedstock]]=SelectedFeedstock)</f>
        <v>0</v>
      </c>
      <c r="H2651" s="14" t="b">
        <f>OR(LCI_Table[[#This Row],[Conversion]]="All",LCI_Table[[#This Row],[Conversion]]=SelectedConversion)</f>
        <v>0</v>
      </c>
      <c r="I2651" s="14" t="b">
        <f>OR(LCI_Table[[#This Row],[Data Set]]="all",LCI_Table[[#This Row],[Data Set]]=SelectedDataSet)</f>
        <v>1</v>
      </c>
      <c r="J2651" s="14" t="b">
        <f>OR(LCI_Table[[#This Row],[Technology]]="All",LCI_Table[[#This Row],[Technology]]=SelectedTechnology)</f>
        <v>0</v>
      </c>
      <c r="K2651" s="14" t="b">
        <f>OR(LCI_Table[[#This Row],[Data Source]]="All",LCI_Table[[#This Row],[Data Source]]=SelectedDataSource)</f>
        <v>1</v>
      </c>
      <c r="L2651" s="14" t="b">
        <f>+FALSE</f>
        <v>0</v>
      </c>
      <c r="M2651" s="14" t="b">
        <f>(LCI_Table[[#This Row],[Dev Notes]]="Do not display")</f>
        <v>0</v>
      </c>
      <c r="N2651" s="14" t="b">
        <f>AND(LCI_Table[[#This Row],[Show Feedstock]:[Conditional]],NOT(LCI_Table[[#This Row],[Hide Row]]))</f>
        <v>0</v>
      </c>
      <c r="O2651" s="14" t="b">
        <f>LCI_Table[[#This Row],[GREET1 Name Range]]=""</f>
        <v>1</v>
      </c>
      <c r="P2651" s="14" t="s">
        <v>14</v>
      </c>
      <c r="Q2651" s="14"/>
      <c r="R2651" s="14" t="s">
        <v>1564</v>
      </c>
      <c r="S2651" s="37" cm="1">
        <f t="array" aca="1" ref="S26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63.497063389002825</v>
      </c>
      <c r="T2651" s="346" t="s">
        <v>1561</v>
      </c>
      <c r="U2651" s="347">
        <f ca="1">LCI_Table[[#This Row],[Dashboard Value]]</f>
        <v>63.497063389002825</v>
      </c>
      <c r="V2651" s="347">
        <v>63.497063389002825</v>
      </c>
      <c r="W2651" s="347">
        <v>63.497063389002825</v>
      </c>
      <c r="X2651" s="37" t="s">
        <v>51</v>
      </c>
      <c r="Y2651" s="346" t="s">
        <v>413</v>
      </c>
      <c r="Z2651" s="14" t="str">
        <f>IF(ISBLANK(LCI_Table[[#This Row],[Notes for user]])," ",LCI_Table[[#This Row],[Notes for user]])</f>
        <v xml:space="preserve"> </v>
      </c>
      <c r="AA2651" s="14"/>
      <c r="AB2651" s="14"/>
      <c r="AC2651" s="346">
        <f ca="1">LCI_Table[[#This Row],[Default Calculated Value]]-LCI_Table[[#This Row],[Calculated Value]]</f>
        <v>0</v>
      </c>
    </row>
    <row r="2652" spans="1:29" x14ac:dyDescent="0.3">
      <c r="A26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facilities_Ag tractor electriciy use - Average Tillage_Farming</v>
      </c>
      <c r="B2652" s="381" t="s">
        <v>136</v>
      </c>
      <c r="C2652" s="381" t="s">
        <v>1964</v>
      </c>
      <c r="D2652" s="383" t="s">
        <v>29</v>
      </c>
      <c r="E2652" s="384" t="s">
        <v>29</v>
      </c>
      <c r="F2652" s="375" t="s">
        <v>1606</v>
      </c>
      <c r="G2652" s="14" t="b">
        <f>OR(LCI_Table[[#This Row],[Feedstock]]="All",LCI_Table[[#This Row],[Feedstock]]=SelectedFeedstock)</f>
        <v>0</v>
      </c>
      <c r="H2652" s="14" t="b">
        <f>OR(LCI_Table[[#This Row],[Conversion]]="All",LCI_Table[[#This Row],[Conversion]]=SelectedConversion)</f>
        <v>0</v>
      </c>
      <c r="I2652" s="14" t="b">
        <f>OR(LCI_Table[[#This Row],[Data Set]]="all",LCI_Table[[#This Row],[Data Set]]=SelectedDataSet)</f>
        <v>1</v>
      </c>
      <c r="J2652" s="14" t="b">
        <f>OR(LCI_Table[[#This Row],[Technology]]="All",LCI_Table[[#This Row],[Technology]]=SelectedTechnology)</f>
        <v>0</v>
      </c>
      <c r="K2652" s="14" t="b">
        <f>OR(LCI_Table[[#This Row],[Data Source]]="All",LCI_Table[[#This Row],[Data Source]]=SelectedDataSource)</f>
        <v>1</v>
      </c>
      <c r="L2652" s="14" t="b">
        <f>+FALSE</f>
        <v>0</v>
      </c>
      <c r="M2652" s="14" t="b">
        <f>(LCI_Table[[#This Row],[Dev Notes]]="Do not display")</f>
        <v>0</v>
      </c>
      <c r="N2652" s="14" t="b">
        <f>AND(LCI_Table[[#This Row],[Show Feedstock]:[Conditional]],NOT(LCI_Table[[#This Row],[Hide Row]]))</f>
        <v>0</v>
      </c>
      <c r="O2652" s="14" t="b">
        <f>LCI_Table[[#This Row],[GREET1 Name Range]]=""</f>
        <v>1</v>
      </c>
      <c r="P2652" s="14" t="s">
        <v>14</v>
      </c>
      <c r="Q2652" s="14"/>
      <c r="R2652" s="14" t="s">
        <v>1578</v>
      </c>
      <c r="S2652" s="37" cm="1">
        <f t="array" aca="1" ref="S26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130.34937519972698</v>
      </c>
      <c r="T2652" s="346" t="s">
        <v>1561</v>
      </c>
      <c r="U2652" s="347">
        <f ca="1">LCI_Table[[#This Row],[Dashboard Value]]</f>
        <v>130.34937519972698</v>
      </c>
      <c r="V2652" s="347">
        <v>130.34937519972698</v>
      </c>
      <c r="W2652" s="347">
        <v>130.34937519972698</v>
      </c>
      <c r="X2652" s="37" t="s">
        <v>51</v>
      </c>
      <c r="Y2652" s="346" t="s">
        <v>413</v>
      </c>
      <c r="Z2652" s="14" t="str">
        <f>IF(ISBLANK(LCI_Table[[#This Row],[Notes for user]])," ",LCI_Table[[#This Row],[Notes for user]])</f>
        <v xml:space="preserve"> </v>
      </c>
      <c r="AA2652" s="14"/>
      <c r="AB2652" s="14"/>
      <c r="AC2652" s="346">
        <f ca="1">LCI_Table[[#This Row],[Default Calculated Value]]-LCI_Table[[#This Row],[Calculated Value]]</f>
        <v>0</v>
      </c>
    </row>
    <row r="2653" spans="1:29" x14ac:dyDescent="0.3">
      <c r="A26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facilities_Gasoline_CornFarmingGasoline</v>
      </c>
      <c r="B2653" s="381" t="s">
        <v>136</v>
      </c>
      <c r="C2653" s="381" t="s">
        <v>1964</v>
      </c>
      <c r="D2653" s="383" t="s">
        <v>29</v>
      </c>
      <c r="E2653" s="384" t="s">
        <v>29</v>
      </c>
      <c r="F2653" s="375" t="s">
        <v>1606</v>
      </c>
      <c r="G2653" s="14" t="b">
        <f>OR(LCI_Table[[#This Row],[Feedstock]]="All",LCI_Table[[#This Row],[Feedstock]]=SelectedFeedstock)</f>
        <v>0</v>
      </c>
      <c r="H2653" s="14" t="b">
        <f>OR(LCI_Table[[#This Row],[Conversion]]="All",LCI_Table[[#This Row],[Conversion]]=SelectedConversion)</f>
        <v>0</v>
      </c>
      <c r="I2653" s="14" t="b">
        <f>OR(LCI_Table[[#This Row],[Data Set]]="all",LCI_Table[[#This Row],[Data Set]]=SelectedDataSet)</f>
        <v>1</v>
      </c>
      <c r="J2653" s="14" t="b">
        <f>OR(LCI_Table[[#This Row],[Technology]]="All",LCI_Table[[#This Row],[Technology]]=SelectedTechnology)</f>
        <v>0</v>
      </c>
      <c r="K2653" s="14" t="b">
        <f>OR(LCI_Table[[#This Row],[Data Source]]="All",LCI_Table[[#This Row],[Data Source]]=SelectedDataSource)</f>
        <v>1</v>
      </c>
      <c r="L2653" s="14" t="b">
        <f>+FALSE</f>
        <v>0</v>
      </c>
      <c r="M2653" s="14" t="b">
        <f>(LCI_Table[[#This Row],[Dev Notes]]="Do not display")</f>
        <v>0</v>
      </c>
      <c r="N2653" s="14" t="b">
        <f>AND(LCI_Table[[#This Row],[Show Feedstock]:[Conditional]],NOT(LCI_Table[[#This Row],[Hide Row]]))</f>
        <v>0</v>
      </c>
      <c r="O2653" s="14" t="b">
        <f>LCI_Table[[#This Row],[GREET1 Name Range]]=""</f>
        <v>0</v>
      </c>
      <c r="P2653" s="14" t="s">
        <v>14</v>
      </c>
      <c r="Q2653" s="14" t="s">
        <v>85</v>
      </c>
      <c r="R2653" s="14" t="s">
        <v>107</v>
      </c>
      <c r="S2653" s="37" cm="1">
        <f t="array" aca="1" ref="S26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1.2759649055653903</v>
      </c>
      <c r="T2653" s="346" t="s">
        <v>1484</v>
      </c>
      <c r="U2653" s="347">
        <f ca="1">S2653*Fuel_Specs!$B$15/S2637</f>
        <v>810.15842757130031</v>
      </c>
      <c r="V2653" s="347">
        <v>1.2759649055653903</v>
      </c>
      <c r="W2653" s="347">
        <v>810.15842757130031</v>
      </c>
      <c r="X2653" s="37" t="s">
        <v>5</v>
      </c>
      <c r="Y2653" s="346" t="s">
        <v>413</v>
      </c>
      <c r="Z2653" s="14" t="str">
        <f>IF(ISBLANK(LCI_Table[[#This Row],[Notes for user]])," ",LCI_Table[[#This Row],[Notes for user]])</f>
        <v xml:space="preserve"> </v>
      </c>
      <c r="AA2653" s="14"/>
      <c r="AB2653" s="14"/>
      <c r="AC2653" s="346">
        <f ca="1">LCI_Table[[#This Row],[Default Calculated Value]]-LCI_Table[[#This Row],[Calculated Value]]</f>
        <v>0</v>
      </c>
    </row>
    <row r="2654" spans="1:29" x14ac:dyDescent="0.3">
      <c r="A26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facilities_NG_CornFarmingNatural gas</v>
      </c>
      <c r="B2654" s="381" t="s">
        <v>136</v>
      </c>
      <c r="C2654" s="381" t="s">
        <v>1964</v>
      </c>
      <c r="D2654" s="383" t="s">
        <v>29</v>
      </c>
      <c r="E2654" s="384" t="s">
        <v>29</v>
      </c>
      <c r="F2654" s="375" t="s">
        <v>1606</v>
      </c>
      <c r="G2654" s="14" t="b">
        <f>OR(LCI_Table[[#This Row],[Feedstock]]="All",LCI_Table[[#This Row],[Feedstock]]=SelectedFeedstock)</f>
        <v>0</v>
      </c>
      <c r="H2654" s="14" t="b">
        <f>OR(LCI_Table[[#This Row],[Conversion]]="All",LCI_Table[[#This Row],[Conversion]]=SelectedConversion)</f>
        <v>0</v>
      </c>
      <c r="I2654" s="14" t="b">
        <f>OR(LCI_Table[[#This Row],[Data Set]]="all",LCI_Table[[#This Row],[Data Set]]=SelectedDataSet)</f>
        <v>1</v>
      </c>
      <c r="J2654" s="14" t="b">
        <f>OR(LCI_Table[[#This Row],[Technology]]="All",LCI_Table[[#This Row],[Technology]]=SelectedTechnology)</f>
        <v>0</v>
      </c>
      <c r="K2654" s="14" t="b">
        <f>OR(LCI_Table[[#This Row],[Data Source]]="All",LCI_Table[[#This Row],[Data Source]]=SelectedDataSource)</f>
        <v>1</v>
      </c>
      <c r="L2654" s="14" t="b">
        <f>+FALSE</f>
        <v>0</v>
      </c>
      <c r="M2654" s="14" t="b">
        <f>(LCI_Table[[#This Row],[Dev Notes]]="Do not display")</f>
        <v>0</v>
      </c>
      <c r="N2654" s="14" t="b">
        <f>AND(LCI_Table[[#This Row],[Show Feedstock]:[Conditional]],NOT(LCI_Table[[#This Row],[Hide Row]]))</f>
        <v>0</v>
      </c>
      <c r="O2654" s="14" t="b">
        <f>LCI_Table[[#This Row],[GREET1 Name Range]]=""</f>
        <v>0</v>
      </c>
      <c r="P2654" s="14" t="s">
        <v>14</v>
      </c>
      <c r="Q2654" s="14" t="s">
        <v>90</v>
      </c>
      <c r="R2654" s="14" t="s">
        <v>108</v>
      </c>
      <c r="S2654" s="37" cm="1">
        <f t="array" aca="1" ref="S26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86.154045985586208</v>
      </c>
      <c r="T2654" s="346" t="s">
        <v>2109</v>
      </c>
      <c r="U2654" s="347">
        <f ca="1">S2654*Fuel_Specs!$B$79/S2637</f>
        <v>479.28368536407049</v>
      </c>
      <c r="V2654" s="347">
        <v>86.154045985586208</v>
      </c>
      <c r="W2654" s="347">
        <v>479.28368536407049</v>
      </c>
      <c r="X2654" s="37" t="s">
        <v>351</v>
      </c>
      <c r="Y2654" s="346" t="s">
        <v>413</v>
      </c>
      <c r="Z2654" s="14" t="str">
        <f>IF(ISBLANK(LCI_Table[[#This Row],[Notes for user]])," ",LCI_Table[[#This Row],[Notes for user]])</f>
        <v xml:space="preserve"> </v>
      </c>
      <c r="AA2654" s="14"/>
      <c r="AB2654" s="14"/>
      <c r="AC2654" s="346">
        <f ca="1">LCI_Table[[#This Row],[Default Calculated Value]]-LCI_Table[[#This Row],[Calculated Value]]</f>
        <v>0</v>
      </c>
    </row>
    <row r="2655" spans="1:29" x14ac:dyDescent="0.3">
      <c r="A26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facilities_Corn_Farming_CoalCoal</v>
      </c>
      <c r="B2655" s="381" t="s">
        <v>136</v>
      </c>
      <c r="C2655" s="381" t="s">
        <v>1964</v>
      </c>
      <c r="D2655" s="383" t="s">
        <v>29</v>
      </c>
      <c r="E2655" s="384" t="s">
        <v>29</v>
      </c>
      <c r="F2655" s="375" t="s">
        <v>1606</v>
      </c>
      <c r="G2655" s="14" t="b">
        <f>OR(LCI_Table[[#This Row],[Feedstock]]="All",LCI_Table[[#This Row],[Feedstock]]=SelectedFeedstock)</f>
        <v>0</v>
      </c>
      <c r="H2655" s="14" t="b">
        <f>OR(LCI_Table[[#This Row],[Conversion]]="All",LCI_Table[[#This Row],[Conversion]]=SelectedConversion)</f>
        <v>0</v>
      </c>
      <c r="I2655" s="14" t="b">
        <f>OR(LCI_Table[[#This Row],[Data Set]]="all",LCI_Table[[#This Row],[Data Set]]=SelectedDataSet)</f>
        <v>1</v>
      </c>
      <c r="J2655" s="14" t="b">
        <f>OR(LCI_Table[[#This Row],[Technology]]="All",LCI_Table[[#This Row],[Technology]]=SelectedTechnology)</f>
        <v>0</v>
      </c>
      <c r="K2655" s="14" t="b">
        <f>OR(LCI_Table[[#This Row],[Data Source]]="All",LCI_Table[[#This Row],[Data Source]]=SelectedDataSource)</f>
        <v>1</v>
      </c>
      <c r="L2655" s="14" t="b">
        <f>+FALSE</f>
        <v>0</v>
      </c>
      <c r="M2655" s="14" t="b">
        <f>(LCI_Table[[#This Row],[Dev Notes]]="Do not display")</f>
        <v>0</v>
      </c>
      <c r="N2655" s="14" t="b">
        <f>AND(LCI_Table[[#This Row],[Show Feedstock]:[Conditional]],NOT(LCI_Table[[#This Row],[Hide Row]]))</f>
        <v>0</v>
      </c>
      <c r="O2655" s="14" t="b">
        <f>LCI_Table[[#This Row],[GREET1 Name Range]]=""</f>
        <v>0</v>
      </c>
      <c r="P2655" s="14" t="s">
        <v>14</v>
      </c>
      <c r="Q2655" s="14" t="s">
        <v>585</v>
      </c>
      <c r="R2655" s="14" t="s">
        <v>9</v>
      </c>
      <c r="S2655" s="37" cm="1">
        <f t="array" aca="1" ref="S26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55" s="346" t="s">
        <v>2110</v>
      </c>
      <c r="U2655" s="347">
        <f ca="1">S2655/S2637</f>
        <v>0</v>
      </c>
      <c r="V2655" s="347">
        <v>0</v>
      </c>
      <c r="W2655" s="347">
        <v>0</v>
      </c>
      <c r="X2655" s="37" t="s">
        <v>117</v>
      </c>
      <c r="Y2655" s="346" t="s">
        <v>413</v>
      </c>
      <c r="Z2655" s="14" t="str">
        <f>IF(ISBLANK(LCI_Table[[#This Row],[Notes for user]])," ",LCI_Table[[#This Row],[Notes for user]])</f>
        <v xml:space="preserve"> </v>
      </c>
      <c r="AA2655" s="14"/>
      <c r="AB2655" s="14"/>
      <c r="AC2655" s="346">
        <f ca="1">LCI_Table[[#This Row],[Default Calculated Value]]-LCI_Table[[#This Row],[Calculated Value]]</f>
        <v>0</v>
      </c>
    </row>
    <row r="2656" spans="1:29" x14ac:dyDescent="0.3">
      <c r="A26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facilities_LPG_CornFarmingLPG</v>
      </c>
      <c r="B2656" s="381" t="s">
        <v>136</v>
      </c>
      <c r="C2656" s="381" t="s">
        <v>1964</v>
      </c>
      <c r="D2656" s="383" t="s">
        <v>29</v>
      </c>
      <c r="E2656" s="384" t="s">
        <v>29</v>
      </c>
      <c r="F2656" s="375" t="s">
        <v>1606</v>
      </c>
      <c r="G2656" s="14" t="b">
        <f>OR(LCI_Table[[#This Row],[Feedstock]]="All",LCI_Table[[#This Row],[Feedstock]]=SelectedFeedstock)</f>
        <v>0</v>
      </c>
      <c r="H2656" s="14" t="b">
        <f>OR(LCI_Table[[#This Row],[Conversion]]="All",LCI_Table[[#This Row],[Conversion]]=SelectedConversion)</f>
        <v>0</v>
      </c>
      <c r="I2656" s="14" t="b">
        <f>OR(LCI_Table[[#This Row],[Data Set]]="all",LCI_Table[[#This Row],[Data Set]]=SelectedDataSet)</f>
        <v>1</v>
      </c>
      <c r="J2656" s="14" t="b">
        <f>OR(LCI_Table[[#This Row],[Technology]]="All",LCI_Table[[#This Row],[Technology]]=SelectedTechnology)</f>
        <v>0</v>
      </c>
      <c r="K2656" s="14" t="b">
        <f>OR(LCI_Table[[#This Row],[Data Source]]="All",LCI_Table[[#This Row],[Data Source]]=SelectedDataSource)</f>
        <v>1</v>
      </c>
      <c r="L2656" s="14" t="b">
        <f>+FALSE</f>
        <v>0</v>
      </c>
      <c r="M2656" s="14" t="b">
        <f>(LCI_Table[[#This Row],[Dev Notes]]="Do not display")</f>
        <v>0</v>
      </c>
      <c r="N2656" s="14" t="b">
        <f>AND(LCI_Table[[#This Row],[Show Feedstock]:[Conditional]],NOT(LCI_Table[[#This Row],[Hide Row]]))</f>
        <v>0</v>
      </c>
      <c r="O2656" s="14" t="b">
        <f>LCI_Table[[#This Row],[GREET1 Name Range]]=""</f>
        <v>0</v>
      </c>
      <c r="P2656" s="14" t="s">
        <v>14</v>
      </c>
      <c r="Q2656" s="14" t="s">
        <v>89</v>
      </c>
      <c r="R2656" s="14" t="s">
        <v>109</v>
      </c>
      <c r="S2656" s="37" cm="1">
        <f t="array" aca="1" ref="S26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2.1337216632787808</v>
      </c>
      <c r="T2656" s="346" t="s">
        <v>1484</v>
      </c>
      <c r="U2656" s="347">
        <f ca="1">S2656*Fuel_Specs!$B$35/S2637</f>
        <v>1025.8045008236131</v>
      </c>
      <c r="V2656" s="347">
        <v>2.1337216632787808</v>
      </c>
      <c r="W2656" s="347">
        <v>1025.8045008236131</v>
      </c>
      <c r="X2656" s="37" t="s">
        <v>5</v>
      </c>
      <c r="Y2656" s="346" t="s">
        <v>413</v>
      </c>
      <c r="Z2656" s="14" t="str">
        <f>IF(ISBLANK(LCI_Table[[#This Row],[Notes for user]])," ",LCI_Table[[#This Row],[Notes for user]])</f>
        <v xml:space="preserve"> </v>
      </c>
      <c r="AA2656" s="14"/>
      <c r="AB2656" s="14"/>
      <c r="AC2656" s="346">
        <f ca="1">LCI_Table[[#This Row],[Default Calculated Value]]-LCI_Table[[#This Row],[Calculated Value]]</f>
        <v>0</v>
      </c>
    </row>
    <row r="2657" spans="1:29" x14ac:dyDescent="0.3">
      <c r="A26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facilities_Electricity_CornFarmingElectricity</v>
      </c>
      <c r="B2657" s="382" t="s">
        <v>136</v>
      </c>
      <c r="C2657" s="382" t="s">
        <v>1964</v>
      </c>
      <c r="D2657" s="385" t="s">
        <v>29</v>
      </c>
      <c r="E2657" s="386" t="s">
        <v>29</v>
      </c>
      <c r="F2657" s="375" t="s">
        <v>1606</v>
      </c>
      <c r="G2657" s="14" t="b">
        <f>OR(LCI_Table[[#This Row],[Feedstock]]="All",LCI_Table[[#This Row],[Feedstock]]=SelectedFeedstock)</f>
        <v>0</v>
      </c>
      <c r="H2657" s="14" t="b">
        <f>OR(LCI_Table[[#This Row],[Conversion]]="All",LCI_Table[[#This Row],[Conversion]]=SelectedConversion)</f>
        <v>0</v>
      </c>
      <c r="I2657" s="14" t="b">
        <f>OR(LCI_Table[[#This Row],[Data Set]]="all",LCI_Table[[#This Row],[Data Set]]=SelectedDataSet)</f>
        <v>1</v>
      </c>
      <c r="J2657" s="14" t="b">
        <f>OR(LCI_Table[[#This Row],[Technology]]="All",LCI_Table[[#This Row],[Technology]]=SelectedTechnology)</f>
        <v>0</v>
      </c>
      <c r="K2657" s="14" t="b">
        <f>OR(LCI_Table[[#This Row],[Data Source]]="All",LCI_Table[[#This Row],[Data Source]]=SelectedDataSource)</f>
        <v>1</v>
      </c>
      <c r="L2657" s="14" t="b">
        <f>+FALSE</f>
        <v>0</v>
      </c>
      <c r="M2657" s="14" t="b">
        <f>(LCI_Table[[#This Row],[Dev Notes]]="Do not display")</f>
        <v>0</v>
      </c>
      <c r="N2657" s="14" t="b">
        <f>AND(LCI_Table[[#This Row],[Show Feedstock]:[Conditional]],NOT(LCI_Table[[#This Row],[Hide Row]]))</f>
        <v>0</v>
      </c>
      <c r="O2657" s="14" t="b">
        <f>LCI_Table[[#This Row],[GREET1 Name Range]]=""</f>
        <v>0</v>
      </c>
      <c r="P2657" s="14" t="s">
        <v>14</v>
      </c>
      <c r="Q2657" s="14" t="s">
        <v>76</v>
      </c>
      <c r="R2657" s="14" t="s">
        <v>110</v>
      </c>
      <c r="S2657" s="37" cm="1">
        <f t="array" aca="1" ref="S26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68.664627154059303</v>
      </c>
      <c r="T2657" s="346" t="s">
        <v>1561</v>
      </c>
      <c r="U2657" s="347">
        <f ca="1">S2657/BTU2kWh/S2637 + IF(Selections!R$64 = 1, 0, (IF(Selections!R$96=1, S2649, IF(Selections!R$96=2, S2650, IF(Selections!R$96=3, S2651, S2652))) +IF(Selections!R$97=1,0,Selections!R$98)*0.680045342833666+IF(Selections!R$102=1,0,Selections!R$107*Selections!R$110*Selections!R$112+Selections!R$109)*0.680045342833666)/BTU2kWh/S2637)</f>
        <v>1325.9390697079205</v>
      </c>
      <c r="V2657" s="376">
        <v>68.664627154059303</v>
      </c>
      <c r="W2657" s="376">
        <v>1325.9390697079205</v>
      </c>
      <c r="X2657" s="37" t="s">
        <v>51</v>
      </c>
      <c r="Y2657" s="346" t="s">
        <v>413</v>
      </c>
      <c r="Z2657" s="14" t="str">
        <f>IF(ISBLANK(LCI_Table[[#This Row],[Notes for user]])," ",LCI_Table[[#This Row],[Notes for user]])</f>
        <v xml:space="preserve"> </v>
      </c>
      <c r="AA2657" s="14"/>
      <c r="AB2657" s="14"/>
      <c r="AC2657" s="346">
        <f ca="1">LCI_Table[[#This Row],[Default Calculated Value]]-LCI_Table[[#This Row],[Calculated Value]]</f>
        <v>0</v>
      </c>
    </row>
    <row r="2658" spans="1:29" x14ac:dyDescent="0.3">
      <c r="A26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oilHEFAGREETGREET(blank)_Algae_Corn_Oil_HEFA_Energy_AllocationAllocation factor</v>
      </c>
      <c r="B2658" s="382" t="s">
        <v>374</v>
      </c>
      <c r="C2658" s="382" t="s">
        <v>30</v>
      </c>
      <c r="D2658" s="385" t="s">
        <v>29</v>
      </c>
      <c r="E2658" s="386" t="s">
        <v>29</v>
      </c>
      <c r="F2658" s="181" t="s">
        <v>31</v>
      </c>
      <c r="G2658" s="14" t="b">
        <f>OR(LCI_Table[[#This Row],[Feedstock]]="All",LCI_Table[[#This Row],[Feedstock]]=SelectedFeedstock)</f>
        <v>0</v>
      </c>
      <c r="H2658" s="14" t="b">
        <f>OR(LCI_Table[[#This Row],[Conversion]]="All",LCI_Table[[#This Row],[Conversion]]=SelectedConversion)</f>
        <v>1</v>
      </c>
      <c r="I2658" s="14" t="b">
        <f>OR(LCI_Table[[#This Row],[Data Set]]="all",LCI_Table[[#This Row],[Data Set]]=SelectedDataSet)</f>
        <v>1</v>
      </c>
      <c r="J2658" s="14" t="b">
        <f>OR(LCI_Table[[#This Row],[Technology]]="All",LCI_Table[[#This Row],[Technology]]=SelectedTechnology)</f>
        <v>1</v>
      </c>
      <c r="K2658" s="14" t="b">
        <f>OR(LCI_Table[[#This Row],[Data Source]]="All",LCI_Table[[#This Row],[Data Source]]=SelectedDataSource)</f>
        <v>1</v>
      </c>
      <c r="L2658" s="14" t="b">
        <v>0</v>
      </c>
      <c r="M2658" s="14" t="b">
        <f>(LCI_Table[[#This Row],[Dev Notes]]="Do not display")</f>
        <v>0</v>
      </c>
      <c r="N2658" s="14" t="b">
        <f>AND(LCI_Table[[#This Row],[Show Feedstock]:[Conditional]],NOT(LCI_Table[[#This Row],[Hide Row]]))</f>
        <v>0</v>
      </c>
      <c r="O2658" s="14" t="b">
        <f>LCI_Table[[#This Row],[GREET1 Name Range]]=""</f>
        <v>0</v>
      </c>
      <c r="P2658" s="14" t="s">
        <v>1448</v>
      </c>
      <c r="Q2658" s="14" t="s">
        <v>1642</v>
      </c>
      <c r="R2658" s="14" t="s">
        <v>1344</v>
      </c>
      <c r="S2658" s="388" cm="1">
        <f t="array" aca="1" ref="S26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91.171197532976606</v>
      </c>
      <c r="T2658" s="350" t="s">
        <v>1345</v>
      </c>
      <c r="U2658" s="351">
        <f ca="1">LCI_Table[[#This Row],[Dashboard Value]]/100</f>
        <v>0.91171197532976611</v>
      </c>
      <c r="V2658" s="351">
        <v>91.171197532976606</v>
      </c>
      <c r="W2658" s="351">
        <v>0.91171197532976611</v>
      </c>
      <c r="X2658" s="349" t="s">
        <v>1345</v>
      </c>
      <c r="Y2658" s="346" t="s">
        <v>416</v>
      </c>
      <c r="Z2658" s="14" t="str">
        <f>IF(ISBLANK(LCI_Table[[#This Row],[Notes for user]])," ",LCI_Table[[#This Row],[Notes for user]])</f>
        <v>Allocation to main distillate fuels (energy allocation)</v>
      </c>
      <c r="AA2658" s="14" t="s">
        <v>1353</v>
      </c>
      <c r="AB2658" s="14"/>
      <c r="AC2658" s="346">
        <f ca="1">LCI_Table[[#This Row],[Default Calculated Value]]-LCI_Table[[#This Row],[Calculated Value]]</f>
        <v>0</v>
      </c>
    </row>
    <row r="2659" spans="1:29" x14ac:dyDescent="0.3">
      <c r="A26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TallowHEFAGREETGREET(blank)_Tallow_HEFA_Energy_AllocationAllocation factor</v>
      </c>
      <c r="B2659" s="382" t="s">
        <v>874</v>
      </c>
      <c r="C2659" s="382" t="s">
        <v>30</v>
      </c>
      <c r="D2659" s="385" t="s">
        <v>29</v>
      </c>
      <c r="E2659" s="386" t="s">
        <v>29</v>
      </c>
      <c r="F2659" s="181" t="s">
        <v>31</v>
      </c>
      <c r="G2659" s="14" t="b">
        <f>OR(LCI_Table[[#This Row],[Feedstock]]="All",LCI_Table[[#This Row],[Feedstock]]=SelectedFeedstock)</f>
        <v>0</v>
      </c>
      <c r="H2659" s="14" t="b">
        <f>OR(LCI_Table[[#This Row],[Conversion]]="All",LCI_Table[[#This Row],[Conversion]]=SelectedConversion)</f>
        <v>1</v>
      </c>
      <c r="I2659" s="14" t="b">
        <f>OR(LCI_Table[[#This Row],[Data Set]]="all",LCI_Table[[#This Row],[Data Set]]=SelectedDataSet)</f>
        <v>1</v>
      </c>
      <c r="J2659" s="14" t="b">
        <f>OR(LCI_Table[[#This Row],[Technology]]="All",LCI_Table[[#This Row],[Technology]]=SelectedTechnology)</f>
        <v>1</v>
      </c>
      <c r="K2659" s="14" t="b">
        <f>OR(LCI_Table[[#This Row],[Data Source]]="All",LCI_Table[[#This Row],[Data Source]]=SelectedDataSource)</f>
        <v>1</v>
      </c>
      <c r="L2659" s="14" t="b">
        <v>0</v>
      </c>
      <c r="M2659" s="14" t="b">
        <f>(LCI_Table[[#This Row],[Dev Notes]]="Do not display")</f>
        <v>0</v>
      </c>
      <c r="N2659" s="14" t="b">
        <f>AND(LCI_Table[[#This Row],[Show Feedstock]:[Conditional]],NOT(LCI_Table[[#This Row],[Hide Row]]))</f>
        <v>0</v>
      </c>
      <c r="O2659" s="14" t="b">
        <f>LCI_Table[[#This Row],[GREET1 Name Range]]=""</f>
        <v>0</v>
      </c>
      <c r="P2659" s="14" t="s">
        <v>1448</v>
      </c>
      <c r="Q2659" s="14" t="s">
        <v>1643</v>
      </c>
      <c r="R2659" s="14" t="s">
        <v>1344</v>
      </c>
      <c r="S2659" s="37" cm="1">
        <f t="array" aca="1" ref="S26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91.171197532976606</v>
      </c>
      <c r="T2659" s="350" t="s">
        <v>1345</v>
      </c>
      <c r="U2659" s="351">
        <f ca="1">LCI_Table[[#This Row],[Dashboard Value]]/100</f>
        <v>0.91171197532976611</v>
      </c>
      <c r="V2659" s="351">
        <v>91.171197532976606</v>
      </c>
      <c r="W2659" s="351">
        <v>0.91171197532976611</v>
      </c>
      <c r="X2659" s="349" t="s">
        <v>1345</v>
      </c>
      <c r="Y2659" s="346" t="s">
        <v>416</v>
      </c>
      <c r="Z2659" s="14" t="str">
        <f>IF(ISBLANK(LCI_Table[[#This Row],[Notes for user]])," ",LCI_Table[[#This Row],[Notes for user]])</f>
        <v>Allocation to main distillate fuels (energy allocation)</v>
      </c>
      <c r="AA2659" s="14" t="s">
        <v>1353</v>
      </c>
      <c r="AB2659" s="346">
        <v>0</v>
      </c>
      <c r="AC2659" s="346">
        <f ca="1">LCI_Table[[#This Row],[Default Calculated Value]]-LCI_Table[[#This Row],[Calculated Value]]</f>
        <v>0</v>
      </c>
    </row>
    <row r="2660" spans="1:29" x14ac:dyDescent="0.3">
      <c r="A26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UCOHEFAGREETGREET(blank)_UCO_HEFA_Energy_AllocationAllocation factor</v>
      </c>
      <c r="B2660" s="382" t="s">
        <v>875</v>
      </c>
      <c r="C2660" s="382" t="s">
        <v>30</v>
      </c>
      <c r="D2660" s="385" t="s">
        <v>29</v>
      </c>
      <c r="E2660" s="386" t="s">
        <v>29</v>
      </c>
      <c r="F2660" s="181" t="s">
        <v>31</v>
      </c>
      <c r="G2660" s="14" t="b">
        <f>OR(LCI_Table[[#This Row],[Feedstock]]="All",LCI_Table[[#This Row],[Feedstock]]=SelectedFeedstock)</f>
        <v>0</v>
      </c>
      <c r="H2660" s="14" t="b">
        <f>OR(LCI_Table[[#This Row],[Conversion]]="All",LCI_Table[[#This Row],[Conversion]]=SelectedConversion)</f>
        <v>1</v>
      </c>
      <c r="I2660" s="14" t="b">
        <f>OR(LCI_Table[[#This Row],[Data Set]]="all",LCI_Table[[#This Row],[Data Set]]=SelectedDataSet)</f>
        <v>1</v>
      </c>
      <c r="J2660" s="14" t="b">
        <f>OR(LCI_Table[[#This Row],[Technology]]="All",LCI_Table[[#This Row],[Technology]]=SelectedTechnology)</f>
        <v>1</v>
      </c>
      <c r="K2660" s="14" t="b">
        <f>OR(LCI_Table[[#This Row],[Data Source]]="All",LCI_Table[[#This Row],[Data Source]]=SelectedDataSource)</f>
        <v>1</v>
      </c>
      <c r="L2660" s="14" t="b">
        <v>0</v>
      </c>
      <c r="M2660" s="14" t="b">
        <f>(LCI_Table[[#This Row],[Dev Notes]]="Do not display")</f>
        <v>0</v>
      </c>
      <c r="N2660" s="14" t="b">
        <f>AND(LCI_Table[[#This Row],[Show Feedstock]:[Conditional]],NOT(LCI_Table[[#This Row],[Hide Row]]))</f>
        <v>0</v>
      </c>
      <c r="O2660" s="14" t="b">
        <f>LCI_Table[[#This Row],[GREET1 Name Range]]=""</f>
        <v>0</v>
      </c>
      <c r="P2660" s="14" t="s">
        <v>1448</v>
      </c>
      <c r="Q2660" s="14" t="s">
        <v>1644</v>
      </c>
      <c r="R2660" s="14" t="s">
        <v>1344</v>
      </c>
      <c r="S2660" s="37" cm="1">
        <f t="array" aca="1" ref="S26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91.171197532976606</v>
      </c>
      <c r="T2660" s="350" t="s">
        <v>1345</v>
      </c>
      <c r="U2660" s="351">
        <f ca="1">LCI_Table[[#This Row],[Dashboard Value]]/100</f>
        <v>0.91171197532976611</v>
      </c>
      <c r="V2660" s="351">
        <v>91.171197532976606</v>
      </c>
      <c r="W2660" s="351">
        <v>0.91171197532976611</v>
      </c>
      <c r="X2660" s="349" t="s">
        <v>1345</v>
      </c>
      <c r="Y2660" s="346" t="s">
        <v>416</v>
      </c>
      <c r="Z2660" s="14" t="str">
        <f>IF(ISBLANK(LCI_Table[[#This Row],[Notes for user]])," ",LCI_Table[[#This Row],[Notes for user]])</f>
        <v>Allocation to main distillate fuels (energy allocation)</v>
      </c>
      <c r="AA2660" s="14" t="s">
        <v>1353</v>
      </c>
      <c r="AB2660" s="14"/>
      <c r="AC2660" s="346">
        <f ca="1">LCI_Table[[#This Row],[Default Calculated Value]]-LCI_Table[[#This Row],[Calculated Value]]</f>
        <v>0</v>
      </c>
    </row>
    <row r="2661" spans="1:29" x14ac:dyDescent="0.3">
      <c r="A26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facilities_Corn_Fermentation_CornEthanol yield</v>
      </c>
      <c r="B2661" s="382" t="s">
        <v>136</v>
      </c>
      <c r="C2661" s="382" t="s">
        <v>1964</v>
      </c>
      <c r="D2661" s="385" t="s">
        <v>29</v>
      </c>
      <c r="E2661" s="386" t="s">
        <v>29</v>
      </c>
      <c r="F2661" s="181" t="s">
        <v>1606</v>
      </c>
      <c r="G2661" s="14" t="b">
        <f>OR(LCI_Table[[#This Row],[Feedstock]]="All",LCI_Table[[#This Row],[Feedstock]]=SelectedFeedstock)</f>
        <v>0</v>
      </c>
      <c r="H2661" s="14" t="b">
        <f>OR(LCI_Table[[#This Row],[Conversion]]="All",LCI_Table[[#This Row],[Conversion]]=SelectedConversion)</f>
        <v>0</v>
      </c>
      <c r="I2661" s="14" t="b">
        <f>OR(LCI_Table[[#This Row],[Data Set]]="all",LCI_Table[[#This Row],[Data Set]]=SelectedDataSet)</f>
        <v>1</v>
      </c>
      <c r="J2661" s="14" t="b">
        <f>OR(LCI_Table[[#This Row],[Technology]]="All",LCI_Table[[#This Row],[Technology]]=SelectedTechnology)</f>
        <v>0</v>
      </c>
      <c r="K2661" s="14" t="b">
        <f>OR(LCI_Table[[#This Row],[Data Source]]="All",LCI_Table[[#This Row],[Data Source]]=SelectedDataSource)</f>
        <v>1</v>
      </c>
      <c r="L2661" s="14" t="b">
        <v>0</v>
      </c>
      <c r="M2661" s="14" t="b">
        <f>(LCI_Table[[#This Row],[Dev Notes]]="Do not display")</f>
        <v>1</v>
      </c>
      <c r="N2661" s="14" t="b">
        <f>AND(LCI_Table[[#This Row],[Show Feedstock]:[Conditional]],NOT(LCI_Table[[#This Row],[Hide Row]]))</f>
        <v>0</v>
      </c>
      <c r="O2661" s="14" t="b">
        <f>LCI_Table[[#This Row],[GREET1 Name Range]]=""</f>
        <v>0</v>
      </c>
      <c r="P2661" s="14" t="s">
        <v>1396</v>
      </c>
      <c r="Q2661" s="14" t="s">
        <v>1652</v>
      </c>
      <c r="R2661" s="14" t="s">
        <v>1653</v>
      </c>
      <c r="S2661" s="37" cm="1">
        <f t="array" aca="1" ref="S26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2.86368843069874</v>
      </c>
      <c r="T2661" s="346" t="s">
        <v>1654</v>
      </c>
      <c r="U2661" s="351">
        <f ca="1">S2676/S2677</f>
        <v>2.86368843069874</v>
      </c>
      <c r="V2661" s="389">
        <f ca="1">S2676/S2677</f>
        <v>2.86368843069874</v>
      </c>
      <c r="W2661" s="389">
        <v>2.86368843069874</v>
      </c>
      <c r="X2661" s="37"/>
      <c r="Y2661" s="346"/>
      <c r="Z2661" s="14" t="str">
        <f>IF(ISBLANK(LCI_Table[[#This Row],[Notes for user]])," ",LCI_Table[[#This Row],[Notes for user]])</f>
        <v xml:space="preserve"> </v>
      </c>
      <c r="AA2661" s="14"/>
      <c r="AB2661" s="14" t="s">
        <v>1138</v>
      </c>
      <c r="AC2661" s="346">
        <f ca="1">LCI_Table[[#This Row],[Default Calculated Value]]-LCI_Table[[#This Row],[Calculated Value]]</f>
        <v>0</v>
      </c>
    </row>
    <row r="2662" spans="1:29" x14ac:dyDescent="0.3">
      <c r="A26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facilities_Corn_Fermentation_Natural_gasNatural gas</v>
      </c>
      <c r="B2662" s="381" t="s">
        <v>136</v>
      </c>
      <c r="C2662" s="381" t="s">
        <v>1964</v>
      </c>
      <c r="D2662" s="383" t="s">
        <v>29</v>
      </c>
      <c r="E2662" s="384" t="s">
        <v>29</v>
      </c>
      <c r="F2662" s="375" t="s">
        <v>1606</v>
      </c>
      <c r="G2662" s="14" t="b">
        <f>OR(LCI_Table[[#This Row],[Feedstock]]="All",LCI_Table[[#This Row],[Feedstock]]=SelectedFeedstock)</f>
        <v>0</v>
      </c>
      <c r="H2662" s="14" t="b">
        <f>OR(LCI_Table[[#This Row],[Conversion]]="All",LCI_Table[[#This Row],[Conversion]]=SelectedConversion)</f>
        <v>0</v>
      </c>
      <c r="I2662" s="14" t="b">
        <f>OR(LCI_Table[[#This Row],[Data Set]]="all",LCI_Table[[#This Row],[Data Set]]=SelectedDataSet)</f>
        <v>1</v>
      </c>
      <c r="J2662" s="14" t="b">
        <f>OR(LCI_Table[[#This Row],[Technology]]="All",LCI_Table[[#This Row],[Technology]]=SelectedTechnology)</f>
        <v>0</v>
      </c>
      <c r="K2662" s="14" t="b">
        <f>OR(LCI_Table[[#This Row],[Data Source]]="All",LCI_Table[[#This Row],[Data Source]]=SelectedDataSource)</f>
        <v>1</v>
      </c>
      <c r="L2662" s="14" t="b">
        <v>0</v>
      </c>
      <c r="M2662" s="14" t="b">
        <f>(LCI_Table[[#This Row],[Dev Notes]]="Do not display")</f>
        <v>0</v>
      </c>
      <c r="N2662" s="14" t="b">
        <f>AND(LCI_Table[[#This Row],[Show Feedstock]:[Conditional]],NOT(LCI_Table[[#This Row],[Hide Row]]))</f>
        <v>0</v>
      </c>
      <c r="O2662" s="14" t="b">
        <f>LCI_Table[[#This Row],[GREET1 Name Range]]=""</f>
        <v>0</v>
      </c>
      <c r="P2662" s="14" t="s">
        <v>1396</v>
      </c>
      <c r="Q2662" s="14" t="s">
        <v>1655</v>
      </c>
      <c r="R2662" s="14" t="s">
        <v>108</v>
      </c>
      <c r="S2662" s="37" cm="1">
        <f t="array" aca="1" ref="S26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22.77318640955005</v>
      </c>
      <c r="T2662" s="346" t="s">
        <v>2150</v>
      </c>
      <c r="U2662" s="351">
        <f ca="1">LCI_Table[[#This Row],[Dashboard Value]]*Fuel_Specs!$B$79</f>
        <v>22386.0422405877</v>
      </c>
      <c r="V2662" s="389">
        <f>22386.0422405877/Fuel_Specs!$B$79</f>
        <v>22.77318640955005</v>
      </c>
      <c r="W2662" s="389">
        <v>22386.0422405877</v>
      </c>
      <c r="X2662" s="37" t="s">
        <v>351</v>
      </c>
      <c r="Y2662" s="346"/>
      <c r="Z2662" s="14" t="str">
        <f>IF(ISBLANK(LCI_Table[[#This Row],[Notes for user]])," ",LCI_Table[[#This Row],[Notes for user]])</f>
        <v xml:space="preserve"> </v>
      </c>
      <c r="AA2662" s="14"/>
      <c r="AB2662" s="14"/>
      <c r="AC2662" s="346">
        <f ca="1">LCI_Table[[#This Row],[Default Calculated Value]]-LCI_Table[[#This Row],[Calculated Value]]</f>
        <v>0</v>
      </c>
    </row>
    <row r="2663" spans="1:29" x14ac:dyDescent="0.3">
      <c r="A26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facilities_Corn_Fermentation_CoalCoal</v>
      </c>
      <c r="B2663" s="381" t="s">
        <v>136</v>
      </c>
      <c r="C2663" s="381" t="s">
        <v>1964</v>
      </c>
      <c r="D2663" s="383" t="s">
        <v>29</v>
      </c>
      <c r="E2663" s="384" t="s">
        <v>29</v>
      </c>
      <c r="F2663" s="375" t="s">
        <v>1606</v>
      </c>
      <c r="G2663" s="14" t="b">
        <f>OR(LCI_Table[[#This Row],[Feedstock]]="All",LCI_Table[[#This Row],[Feedstock]]=SelectedFeedstock)</f>
        <v>0</v>
      </c>
      <c r="H2663" s="14" t="b">
        <f>OR(LCI_Table[[#This Row],[Conversion]]="All",LCI_Table[[#This Row],[Conversion]]=SelectedConversion)</f>
        <v>0</v>
      </c>
      <c r="I2663" s="14" t="b">
        <f>OR(LCI_Table[[#This Row],[Data Set]]="all",LCI_Table[[#This Row],[Data Set]]=SelectedDataSet)</f>
        <v>1</v>
      </c>
      <c r="J2663" s="14" t="b">
        <f>OR(LCI_Table[[#This Row],[Technology]]="All",LCI_Table[[#This Row],[Technology]]=SelectedTechnology)</f>
        <v>0</v>
      </c>
      <c r="K2663" s="14" t="b">
        <f>OR(LCI_Table[[#This Row],[Data Source]]="All",LCI_Table[[#This Row],[Data Source]]=SelectedDataSource)</f>
        <v>1</v>
      </c>
      <c r="L2663" s="14" t="b">
        <v>0</v>
      </c>
      <c r="M2663" s="14" t="b">
        <f>(LCI_Table[[#This Row],[Dev Notes]]="Do not display")</f>
        <v>0</v>
      </c>
      <c r="N2663" s="14" t="b">
        <f>AND(LCI_Table[[#This Row],[Show Feedstock]:[Conditional]],NOT(LCI_Table[[#This Row],[Hide Row]]))</f>
        <v>0</v>
      </c>
      <c r="O2663" s="14" t="b">
        <f>LCI_Table[[#This Row],[GREET1 Name Range]]=""</f>
        <v>0</v>
      </c>
      <c r="P2663" s="14" t="s">
        <v>1396</v>
      </c>
      <c r="Q2663" s="14" t="s">
        <v>1656</v>
      </c>
      <c r="R2663" s="14" t="s">
        <v>9</v>
      </c>
      <c r="S2663" s="37" cm="1">
        <f t="array" aca="1" ref="S26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94.19820297452425</v>
      </c>
      <c r="T2663" s="346" t="s">
        <v>2151</v>
      </c>
      <c r="U2663" s="351">
        <f ca="1">LCI_Table[[#This Row],[Dashboard Value]]</f>
        <v>94.19820297452425</v>
      </c>
      <c r="V2663" s="389">
        <v>94.19820297452425</v>
      </c>
      <c r="W2663" s="389">
        <v>94.19820297452425</v>
      </c>
      <c r="X2663" s="37" t="s">
        <v>117</v>
      </c>
      <c r="Y2663" s="346"/>
      <c r="Z2663" s="14" t="str">
        <f>IF(ISBLANK(LCI_Table[[#This Row],[Notes for user]])," ",LCI_Table[[#This Row],[Notes for user]])</f>
        <v xml:space="preserve"> </v>
      </c>
      <c r="AA2663" s="14"/>
      <c r="AB2663" s="14"/>
      <c r="AC2663" s="346">
        <f ca="1">LCI_Table[[#This Row],[Default Calculated Value]]-LCI_Table[[#This Row],[Calculated Value]]</f>
        <v>0</v>
      </c>
    </row>
    <row r="2664" spans="1:29" x14ac:dyDescent="0.3">
      <c r="A26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facilities_Corn_Fermentation_LPGLiquefied petroleum gas</v>
      </c>
      <c r="B2664" s="381" t="s">
        <v>136</v>
      </c>
      <c r="C2664" s="381" t="s">
        <v>1964</v>
      </c>
      <c r="D2664" s="383" t="s">
        <v>29</v>
      </c>
      <c r="E2664" s="384" t="s">
        <v>29</v>
      </c>
      <c r="F2664" s="375" t="s">
        <v>1606</v>
      </c>
      <c r="G2664" s="14" t="b">
        <f>OR(LCI_Table[[#This Row],[Feedstock]]="All",LCI_Table[[#This Row],[Feedstock]]=SelectedFeedstock)</f>
        <v>0</v>
      </c>
      <c r="H2664" s="14" t="b">
        <f>OR(LCI_Table[[#This Row],[Conversion]]="All",LCI_Table[[#This Row],[Conversion]]=SelectedConversion)</f>
        <v>0</v>
      </c>
      <c r="I2664" s="14" t="b">
        <f>OR(LCI_Table[[#This Row],[Data Set]]="all",LCI_Table[[#This Row],[Data Set]]=SelectedDataSet)</f>
        <v>1</v>
      </c>
      <c r="J2664" s="14" t="b">
        <f>OR(LCI_Table[[#This Row],[Technology]]="All",LCI_Table[[#This Row],[Technology]]=SelectedTechnology)</f>
        <v>0</v>
      </c>
      <c r="K2664" s="14" t="b">
        <f>OR(LCI_Table[[#This Row],[Data Source]]="All",LCI_Table[[#This Row],[Data Source]]=SelectedDataSource)</f>
        <v>1</v>
      </c>
      <c r="L2664" s="14" t="b">
        <v>0</v>
      </c>
      <c r="M2664" s="14" t="b">
        <f>(LCI_Table[[#This Row],[Dev Notes]]="Do not display")</f>
        <v>0</v>
      </c>
      <c r="N2664" s="14" t="b">
        <f>AND(LCI_Table[[#This Row],[Show Feedstock]:[Conditional]],NOT(LCI_Table[[#This Row],[Hide Row]]))</f>
        <v>0</v>
      </c>
      <c r="O2664" s="14" t="b">
        <f>LCI_Table[[#This Row],[GREET1 Name Range]]=""</f>
        <v>0</v>
      </c>
      <c r="P2664" s="14" t="s">
        <v>1396</v>
      </c>
      <c r="Q2664" s="14" t="s">
        <v>1657</v>
      </c>
      <c r="R2664" s="14" t="s">
        <v>1658</v>
      </c>
      <c r="S2664" s="37" cm="1">
        <f t="array" aca="1" ref="S26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64" s="346" t="s">
        <v>2152</v>
      </c>
      <c r="U2664" s="351">
        <f ca="1">LCI_Table[[#This Row],[Dashboard Value]]*Fuel_Specs!$B$35</f>
        <v>0</v>
      </c>
      <c r="V2664" s="389">
        <v>0</v>
      </c>
      <c r="W2664" s="389">
        <v>0</v>
      </c>
      <c r="X2664" s="37" t="s">
        <v>5</v>
      </c>
      <c r="Y2664" s="346"/>
      <c r="Z2664" s="14" t="str">
        <f>IF(ISBLANK(LCI_Table[[#This Row],[Notes for user]])," ",LCI_Table[[#This Row],[Notes for user]])</f>
        <v xml:space="preserve"> </v>
      </c>
      <c r="AA2664" s="14"/>
      <c r="AB2664" s="14"/>
      <c r="AC2664" s="346">
        <f ca="1">LCI_Table[[#This Row],[Default Calculated Value]]-LCI_Table[[#This Row],[Calculated Value]]</f>
        <v>0</v>
      </c>
    </row>
    <row r="2665" spans="1:29" x14ac:dyDescent="0.3">
      <c r="A26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facilities_Corn_Fermentation_ElectricityElectricity</v>
      </c>
      <c r="B2665" s="381" t="s">
        <v>136</v>
      </c>
      <c r="C2665" s="381" t="s">
        <v>1964</v>
      </c>
      <c r="D2665" s="383" t="s">
        <v>29</v>
      </c>
      <c r="E2665" s="384" t="s">
        <v>29</v>
      </c>
      <c r="F2665" s="375" t="s">
        <v>1606</v>
      </c>
      <c r="G2665" s="14" t="b">
        <f>OR(LCI_Table[[#This Row],[Feedstock]]="All",LCI_Table[[#This Row],[Feedstock]]=SelectedFeedstock)</f>
        <v>0</v>
      </c>
      <c r="H2665" s="14" t="b">
        <f>OR(LCI_Table[[#This Row],[Conversion]]="All",LCI_Table[[#This Row],[Conversion]]=SelectedConversion)</f>
        <v>0</v>
      </c>
      <c r="I2665" s="14" t="b">
        <f>OR(LCI_Table[[#This Row],[Data Set]]="all",LCI_Table[[#This Row],[Data Set]]=SelectedDataSet)</f>
        <v>1</v>
      </c>
      <c r="J2665" s="14" t="b">
        <f>OR(LCI_Table[[#This Row],[Technology]]="All",LCI_Table[[#This Row],[Technology]]=SelectedTechnology)</f>
        <v>0</v>
      </c>
      <c r="K2665" s="14" t="b">
        <f>OR(LCI_Table[[#This Row],[Data Source]]="All",LCI_Table[[#This Row],[Data Source]]=SelectedDataSource)</f>
        <v>1</v>
      </c>
      <c r="L2665" s="14" t="b">
        <v>0</v>
      </c>
      <c r="M2665" s="14" t="b">
        <f>(LCI_Table[[#This Row],[Dev Notes]]="Do not display")</f>
        <v>0</v>
      </c>
      <c r="N2665" s="14" t="b">
        <f>AND(LCI_Table[[#This Row],[Show Feedstock]:[Conditional]],NOT(LCI_Table[[#This Row],[Hide Row]]))</f>
        <v>0</v>
      </c>
      <c r="O2665" s="14" t="b">
        <f>LCI_Table[[#This Row],[GREET1 Name Range]]=""</f>
        <v>0</v>
      </c>
      <c r="P2665" s="14" t="s">
        <v>1396</v>
      </c>
      <c r="Q2665" s="14" t="s">
        <v>1659</v>
      </c>
      <c r="R2665" s="14" t="s">
        <v>110</v>
      </c>
      <c r="S2665" s="37" cm="1">
        <f t="array" aca="1" ref="S26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0.61484644652777909</v>
      </c>
      <c r="T2665" s="346" t="s">
        <v>2153</v>
      </c>
      <c r="U2665" s="351">
        <f ca="1">LCI_Table[[#This Row],[Dashboard Value]]/BTU2kWh</f>
        <v>2097.9431633879899</v>
      </c>
      <c r="V2665" s="389">
        <f>2097.94316338799*BTU2kWh</f>
        <v>0.61484644652777909</v>
      </c>
      <c r="W2665" s="389">
        <v>2097.9431633879899</v>
      </c>
      <c r="X2665" s="37" t="s">
        <v>51</v>
      </c>
      <c r="Y2665" s="346"/>
      <c r="Z2665" s="14" t="str">
        <f>IF(ISBLANK(LCI_Table[[#This Row],[Notes for user]])," ",LCI_Table[[#This Row],[Notes for user]])</f>
        <v xml:space="preserve"> </v>
      </c>
      <c r="AA2665" s="14"/>
      <c r="AB2665" s="14"/>
      <c r="AC2665" s="346">
        <f ca="1">LCI_Table[[#This Row],[Default Calculated Value]]-LCI_Table[[#This Row],[Calculated Value]]</f>
        <v>0</v>
      </c>
    </row>
    <row r="2666" spans="1:29" x14ac:dyDescent="0.3">
      <c r="A26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 xml:space="preserve">CornATJ-ethanolGREETGREETStandalone facilities_Corn_Fermentation_Alpha_amylaseAlpha Amylase </v>
      </c>
      <c r="B2666" s="381" t="s">
        <v>136</v>
      </c>
      <c r="C2666" s="381" t="s">
        <v>1964</v>
      </c>
      <c r="D2666" s="383" t="s">
        <v>29</v>
      </c>
      <c r="E2666" s="384" t="s">
        <v>29</v>
      </c>
      <c r="F2666" s="375" t="s">
        <v>1606</v>
      </c>
      <c r="G2666" s="14" t="b">
        <f>OR(LCI_Table[[#This Row],[Feedstock]]="All",LCI_Table[[#This Row],[Feedstock]]=SelectedFeedstock)</f>
        <v>0</v>
      </c>
      <c r="H2666" s="14" t="b">
        <f>OR(LCI_Table[[#This Row],[Conversion]]="All",LCI_Table[[#This Row],[Conversion]]=SelectedConversion)</f>
        <v>0</v>
      </c>
      <c r="I2666" s="14" t="b">
        <f>OR(LCI_Table[[#This Row],[Data Set]]="all",LCI_Table[[#This Row],[Data Set]]=SelectedDataSet)</f>
        <v>1</v>
      </c>
      <c r="J2666" s="14" t="b">
        <f>OR(LCI_Table[[#This Row],[Technology]]="All",LCI_Table[[#This Row],[Technology]]=SelectedTechnology)</f>
        <v>0</v>
      </c>
      <c r="K2666" s="14" t="b">
        <f>OR(LCI_Table[[#This Row],[Data Source]]="All",LCI_Table[[#This Row],[Data Source]]=SelectedDataSource)</f>
        <v>1</v>
      </c>
      <c r="L2666" s="14" t="b">
        <v>0</v>
      </c>
      <c r="M2666" s="14" t="b">
        <f>(LCI_Table[[#This Row],[Dev Notes]]="Do not display")</f>
        <v>0</v>
      </c>
      <c r="N2666" s="14" t="b">
        <f>AND(LCI_Table[[#This Row],[Show Feedstock]:[Conditional]],NOT(LCI_Table[[#This Row],[Hide Row]]))</f>
        <v>0</v>
      </c>
      <c r="O2666" s="14" t="b">
        <f>LCI_Table[[#This Row],[GREET1 Name Range]]=""</f>
        <v>0</v>
      </c>
      <c r="P2666" s="14" t="s">
        <v>1396</v>
      </c>
      <c r="Q2666" s="14" t="s">
        <v>1660</v>
      </c>
      <c r="R2666" s="14" t="s">
        <v>1661</v>
      </c>
      <c r="S2666" s="37" cm="1">
        <f t="array" aca="1" ref="S26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2.5089681767673597</v>
      </c>
      <c r="T2666" s="346" t="s">
        <v>2154</v>
      </c>
      <c r="U2666" s="351">
        <f ca="1">LCI_Table[[#This Row],[Dashboard Value]]</f>
        <v>2.5089681767673597</v>
      </c>
      <c r="V2666" s="389">
        <v>2.5089681767673597</v>
      </c>
      <c r="W2666" s="389">
        <v>2.5089681767673597</v>
      </c>
      <c r="X2666" s="37" t="s">
        <v>6</v>
      </c>
      <c r="Y2666" s="346"/>
      <c r="Z2666" s="14" t="str">
        <f>IF(ISBLANK(LCI_Table[[#This Row],[Notes for user]])," ",LCI_Table[[#This Row],[Notes for user]])</f>
        <v xml:space="preserve"> </v>
      </c>
      <c r="AA2666" s="14"/>
      <c r="AB2666" s="14"/>
      <c r="AC2666" s="346">
        <f ca="1">LCI_Table[[#This Row],[Default Calculated Value]]-LCI_Table[[#This Row],[Calculated Value]]</f>
        <v>0</v>
      </c>
    </row>
    <row r="2667" spans="1:29" x14ac:dyDescent="0.3">
      <c r="A26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 xml:space="preserve">CornATJ-ethanolGREETGREETStandalone facilities_Corn_Fermentation_Gluco_amylaseGluco Amylase </v>
      </c>
      <c r="B2667" s="381" t="s">
        <v>136</v>
      </c>
      <c r="C2667" s="381" t="s">
        <v>1964</v>
      </c>
      <c r="D2667" s="383" t="s">
        <v>29</v>
      </c>
      <c r="E2667" s="384" t="s">
        <v>29</v>
      </c>
      <c r="F2667" s="375" t="s">
        <v>1606</v>
      </c>
      <c r="G2667" s="14" t="b">
        <f>OR(LCI_Table[[#This Row],[Feedstock]]="All",LCI_Table[[#This Row],[Feedstock]]=SelectedFeedstock)</f>
        <v>0</v>
      </c>
      <c r="H2667" s="14" t="b">
        <f>OR(LCI_Table[[#This Row],[Conversion]]="All",LCI_Table[[#This Row],[Conversion]]=SelectedConversion)</f>
        <v>0</v>
      </c>
      <c r="I2667" s="14" t="b">
        <f>OR(LCI_Table[[#This Row],[Data Set]]="all",LCI_Table[[#This Row],[Data Set]]=SelectedDataSet)</f>
        <v>1</v>
      </c>
      <c r="J2667" s="14" t="b">
        <f>OR(LCI_Table[[#This Row],[Technology]]="All",LCI_Table[[#This Row],[Technology]]=SelectedTechnology)</f>
        <v>0</v>
      </c>
      <c r="K2667" s="14" t="b">
        <f>OR(LCI_Table[[#This Row],[Data Source]]="All",LCI_Table[[#This Row],[Data Source]]=SelectedDataSource)</f>
        <v>1</v>
      </c>
      <c r="L2667" s="14" t="b">
        <v>0</v>
      </c>
      <c r="M2667" s="14" t="b">
        <f>(LCI_Table[[#This Row],[Dev Notes]]="Do not display")</f>
        <v>0</v>
      </c>
      <c r="N2667" s="14" t="b">
        <f>AND(LCI_Table[[#This Row],[Show Feedstock]:[Conditional]],NOT(LCI_Table[[#This Row],[Hide Row]]))</f>
        <v>0</v>
      </c>
      <c r="O2667" s="14" t="b">
        <f>LCI_Table[[#This Row],[GREET1 Name Range]]=""</f>
        <v>0</v>
      </c>
      <c r="P2667" s="14" t="s">
        <v>1396</v>
      </c>
      <c r="Q2667" s="14" t="s">
        <v>1662</v>
      </c>
      <c r="R2667" s="14" t="s">
        <v>1663</v>
      </c>
      <c r="S2667" s="37" cm="1">
        <f t="array" aca="1" ref="S26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5.3980830469843202</v>
      </c>
      <c r="T2667" s="346" t="s">
        <v>2154</v>
      </c>
      <c r="U2667" s="351">
        <f ca="1">LCI_Table[[#This Row],[Dashboard Value]]</f>
        <v>5.3980830469843202</v>
      </c>
      <c r="V2667" s="389">
        <v>5.3980830469843202</v>
      </c>
      <c r="W2667" s="389">
        <v>5.3980830469843202</v>
      </c>
      <c r="X2667" s="37" t="s">
        <v>6</v>
      </c>
      <c r="Y2667" s="346"/>
      <c r="Z2667" s="14" t="str">
        <f>IF(ISBLANK(LCI_Table[[#This Row],[Notes for user]])," ",LCI_Table[[#This Row],[Notes for user]])</f>
        <v xml:space="preserve"> </v>
      </c>
      <c r="AA2667" s="14"/>
      <c r="AB2667" s="14"/>
      <c r="AC2667" s="346">
        <f ca="1">LCI_Table[[#This Row],[Default Calculated Value]]-LCI_Table[[#This Row],[Calculated Value]]</f>
        <v>0</v>
      </c>
    </row>
    <row r="2668" spans="1:29" x14ac:dyDescent="0.3">
      <c r="A26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 xml:space="preserve">CornATJ-ethanolGREETGREETStandalone facilities_Corn_Fermentation_CellulaseCellulase </v>
      </c>
      <c r="B2668" s="381" t="s">
        <v>136</v>
      </c>
      <c r="C2668" s="381" t="s">
        <v>1964</v>
      </c>
      <c r="D2668" s="383" t="s">
        <v>29</v>
      </c>
      <c r="E2668" s="384" t="s">
        <v>29</v>
      </c>
      <c r="F2668" s="375" t="s">
        <v>1606</v>
      </c>
      <c r="G2668" s="14" t="b">
        <f>OR(LCI_Table[[#This Row],[Feedstock]]="All",LCI_Table[[#This Row],[Feedstock]]=SelectedFeedstock)</f>
        <v>0</v>
      </c>
      <c r="H2668" s="14" t="b">
        <f>OR(LCI_Table[[#This Row],[Conversion]]="All",LCI_Table[[#This Row],[Conversion]]=SelectedConversion)</f>
        <v>0</v>
      </c>
      <c r="I2668" s="14" t="b">
        <f>OR(LCI_Table[[#This Row],[Data Set]]="all",LCI_Table[[#This Row],[Data Set]]=SelectedDataSet)</f>
        <v>1</v>
      </c>
      <c r="J2668" s="14" t="b">
        <f>OR(LCI_Table[[#This Row],[Technology]]="All",LCI_Table[[#This Row],[Technology]]=SelectedTechnology)</f>
        <v>0</v>
      </c>
      <c r="K2668" s="14" t="b">
        <f>OR(LCI_Table[[#This Row],[Data Source]]="All",LCI_Table[[#This Row],[Data Source]]=SelectedDataSource)</f>
        <v>1</v>
      </c>
      <c r="L2668" s="14" t="b">
        <v>0</v>
      </c>
      <c r="M2668" s="14" t="b">
        <f>(LCI_Table[[#This Row],[Dev Notes]]="Do not display")</f>
        <v>0</v>
      </c>
      <c r="N2668" s="14" t="b">
        <f>AND(LCI_Table[[#This Row],[Show Feedstock]:[Conditional]],NOT(LCI_Table[[#This Row],[Hide Row]]))</f>
        <v>0</v>
      </c>
      <c r="O2668" s="14" t="b">
        <f>LCI_Table[[#This Row],[GREET1 Name Range]]=""</f>
        <v>0</v>
      </c>
      <c r="P2668" s="14" t="s">
        <v>1396</v>
      </c>
      <c r="Q2668" s="14" t="s">
        <v>1664</v>
      </c>
      <c r="R2668" s="14" t="s">
        <v>1665</v>
      </c>
      <c r="S2668" s="37" cm="1">
        <f t="array" aca="1" ref="S26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68" s="346" t="s">
        <v>2154</v>
      </c>
      <c r="U2668" s="351">
        <f ca="1">LCI_Table[[#This Row],[Dashboard Value]]</f>
        <v>0</v>
      </c>
      <c r="V2668" s="389">
        <v>0</v>
      </c>
      <c r="W2668" s="389">
        <v>0</v>
      </c>
      <c r="X2668" s="37" t="s">
        <v>6</v>
      </c>
      <c r="Y2668" s="346"/>
      <c r="Z2668" s="14" t="str">
        <f>IF(ISBLANK(LCI_Table[[#This Row],[Notes for user]])," ",LCI_Table[[#This Row],[Notes for user]])</f>
        <v xml:space="preserve"> </v>
      </c>
      <c r="AA2668" s="14"/>
      <c r="AB2668" s="14"/>
      <c r="AC2668" s="346">
        <f ca="1">LCI_Table[[#This Row],[Default Calculated Value]]-LCI_Table[[#This Row],[Calculated Value]]</f>
        <v>0</v>
      </c>
    </row>
    <row r="2669" spans="1:29" x14ac:dyDescent="0.3">
      <c r="A26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 xml:space="preserve">CornATJ-ethanolGREETGREETStandalone facilities_Corn_Fermentation_YeastYeast </v>
      </c>
      <c r="B2669" s="381" t="s">
        <v>136</v>
      </c>
      <c r="C2669" s="381" t="s">
        <v>1964</v>
      </c>
      <c r="D2669" s="383" t="s">
        <v>29</v>
      </c>
      <c r="E2669" s="384" t="s">
        <v>29</v>
      </c>
      <c r="F2669" s="375" t="s">
        <v>1606</v>
      </c>
      <c r="G2669" s="14" t="b">
        <f>OR(LCI_Table[[#This Row],[Feedstock]]="All",LCI_Table[[#This Row],[Feedstock]]=SelectedFeedstock)</f>
        <v>0</v>
      </c>
      <c r="H2669" s="14" t="b">
        <f>OR(LCI_Table[[#This Row],[Conversion]]="All",LCI_Table[[#This Row],[Conversion]]=SelectedConversion)</f>
        <v>0</v>
      </c>
      <c r="I2669" s="14" t="b">
        <f>OR(LCI_Table[[#This Row],[Data Set]]="all",LCI_Table[[#This Row],[Data Set]]=SelectedDataSet)</f>
        <v>1</v>
      </c>
      <c r="J2669" s="14" t="b">
        <f>OR(LCI_Table[[#This Row],[Technology]]="All",LCI_Table[[#This Row],[Technology]]=SelectedTechnology)</f>
        <v>0</v>
      </c>
      <c r="K2669" s="14" t="b">
        <f>OR(LCI_Table[[#This Row],[Data Source]]="All",LCI_Table[[#This Row],[Data Source]]=SelectedDataSource)</f>
        <v>1</v>
      </c>
      <c r="L2669" s="14" t="b">
        <v>0</v>
      </c>
      <c r="M2669" s="14" t="b">
        <f>(LCI_Table[[#This Row],[Dev Notes]]="Do not display")</f>
        <v>0</v>
      </c>
      <c r="N2669" s="14" t="b">
        <f>AND(LCI_Table[[#This Row],[Show Feedstock]:[Conditional]],NOT(LCI_Table[[#This Row],[Hide Row]]))</f>
        <v>0</v>
      </c>
      <c r="O2669" s="14" t="b">
        <f>LCI_Table[[#This Row],[GREET1 Name Range]]=""</f>
        <v>0</v>
      </c>
      <c r="P2669" s="14" t="s">
        <v>1396</v>
      </c>
      <c r="Q2669" s="14" t="s">
        <v>1666</v>
      </c>
      <c r="R2669" s="14" t="s">
        <v>1667</v>
      </c>
      <c r="S2669" s="37" cm="1">
        <f t="array" aca="1" ref="S26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2.7370561928371195</v>
      </c>
      <c r="T2669" s="346" t="s">
        <v>2154</v>
      </c>
      <c r="U2669" s="351">
        <f ca="1">LCI_Table[[#This Row],[Dashboard Value]]</f>
        <v>2.7370561928371195</v>
      </c>
      <c r="V2669" s="389">
        <v>2.7370561928371195</v>
      </c>
      <c r="W2669" s="389">
        <v>2.7370561928371195</v>
      </c>
      <c r="X2669" s="37" t="s">
        <v>6</v>
      </c>
      <c r="Y2669" s="346"/>
      <c r="Z2669" s="14" t="str">
        <f>IF(ISBLANK(LCI_Table[[#This Row],[Notes for user]])," ",LCI_Table[[#This Row],[Notes for user]])</f>
        <v xml:space="preserve"> </v>
      </c>
      <c r="AA2669" s="14"/>
      <c r="AB2669" s="14"/>
      <c r="AC2669" s="346">
        <f ca="1">LCI_Table[[#This Row],[Default Calculated Value]]-LCI_Table[[#This Row],[Calculated Value]]</f>
        <v>0</v>
      </c>
    </row>
    <row r="2670" spans="1:29" x14ac:dyDescent="0.3">
      <c r="A26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facilities_Corn_Fermentation_Sulfuric_acidSulfuric acid (H2SO4)</v>
      </c>
      <c r="B2670" s="381" t="s">
        <v>136</v>
      </c>
      <c r="C2670" s="381" t="s">
        <v>1964</v>
      </c>
      <c r="D2670" s="383" t="s">
        <v>29</v>
      </c>
      <c r="E2670" s="384" t="s">
        <v>29</v>
      </c>
      <c r="F2670" s="375" t="s">
        <v>1606</v>
      </c>
      <c r="G2670" s="14" t="b">
        <f>OR(LCI_Table[[#This Row],[Feedstock]]="All",LCI_Table[[#This Row],[Feedstock]]=SelectedFeedstock)</f>
        <v>0</v>
      </c>
      <c r="H2670" s="14" t="b">
        <f>OR(LCI_Table[[#This Row],[Conversion]]="All",LCI_Table[[#This Row],[Conversion]]=SelectedConversion)</f>
        <v>0</v>
      </c>
      <c r="I2670" s="14" t="b">
        <f>OR(LCI_Table[[#This Row],[Data Set]]="all",LCI_Table[[#This Row],[Data Set]]=SelectedDataSet)</f>
        <v>1</v>
      </c>
      <c r="J2670" s="14" t="b">
        <f>OR(LCI_Table[[#This Row],[Technology]]="All",LCI_Table[[#This Row],[Technology]]=SelectedTechnology)</f>
        <v>0</v>
      </c>
      <c r="K2670" s="14" t="b">
        <f>OR(LCI_Table[[#This Row],[Data Source]]="All",LCI_Table[[#This Row],[Data Source]]=SelectedDataSource)</f>
        <v>1</v>
      </c>
      <c r="L2670" s="14" t="b">
        <v>0</v>
      </c>
      <c r="M2670" s="14" t="b">
        <f>(LCI_Table[[#This Row],[Dev Notes]]="Do not display")</f>
        <v>0</v>
      </c>
      <c r="N2670" s="14" t="b">
        <f>AND(LCI_Table[[#This Row],[Show Feedstock]:[Conditional]],NOT(LCI_Table[[#This Row],[Hide Row]]))</f>
        <v>0</v>
      </c>
      <c r="O2670" s="14" t="b">
        <f>LCI_Table[[#This Row],[GREET1 Name Range]]=""</f>
        <v>0</v>
      </c>
      <c r="P2670" s="14" t="s">
        <v>1396</v>
      </c>
      <c r="Q2670" s="14" t="s">
        <v>1668</v>
      </c>
      <c r="R2670" s="14" t="s">
        <v>1669</v>
      </c>
      <c r="S2670" s="37" cm="1">
        <f t="array" aca="1" ref="S26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4.6434158311481744</v>
      </c>
      <c r="T2670" s="346" t="s">
        <v>2154</v>
      </c>
      <c r="U2670" s="351">
        <f ca="1">LCI_Table[[#This Row],[Dashboard Value]]</f>
        <v>4.6434158311481744</v>
      </c>
      <c r="V2670" s="389">
        <v>4.6434158311481744</v>
      </c>
      <c r="W2670" s="389">
        <v>4.6434158311481744</v>
      </c>
      <c r="X2670" s="37" t="s">
        <v>6</v>
      </c>
      <c r="Y2670" s="346"/>
      <c r="Z2670" s="14" t="str">
        <f>IF(ISBLANK(LCI_Table[[#This Row],[Notes for user]])," ",LCI_Table[[#This Row],[Notes for user]])</f>
        <v xml:space="preserve"> </v>
      </c>
      <c r="AA2670" s="14"/>
      <c r="AB2670" s="14"/>
      <c r="AC2670" s="346">
        <f ca="1">LCI_Table[[#This Row],[Default Calculated Value]]-LCI_Table[[#This Row],[Calculated Value]]</f>
        <v>0</v>
      </c>
    </row>
    <row r="2671" spans="1:29" x14ac:dyDescent="0.3">
      <c r="A26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facilities_Corn_Fermentation_AmmoniaAmmonia (NH3)</v>
      </c>
      <c r="B2671" s="381" t="s">
        <v>136</v>
      </c>
      <c r="C2671" s="381" t="s">
        <v>1964</v>
      </c>
      <c r="D2671" s="383" t="s">
        <v>29</v>
      </c>
      <c r="E2671" s="384" t="s">
        <v>29</v>
      </c>
      <c r="F2671" s="375" t="s">
        <v>1606</v>
      </c>
      <c r="G2671" s="14" t="b">
        <f>OR(LCI_Table[[#This Row],[Feedstock]]="All",LCI_Table[[#This Row],[Feedstock]]=SelectedFeedstock)</f>
        <v>0</v>
      </c>
      <c r="H2671" s="14" t="b">
        <f>OR(LCI_Table[[#This Row],[Conversion]]="All",LCI_Table[[#This Row],[Conversion]]=SelectedConversion)</f>
        <v>0</v>
      </c>
      <c r="I2671" s="14" t="b">
        <f>OR(LCI_Table[[#This Row],[Data Set]]="all",LCI_Table[[#This Row],[Data Set]]=SelectedDataSet)</f>
        <v>1</v>
      </c>
      <c r="J2671" s="14" t="b">
        <f>OR(LCI_Table[[#This Row],[Technology]]="All",LCI_Table[[#This Row],[Technology]]=SelectedTechnology)</f>
        <v>0</v>
      </c>
      <c r="K2671" s="14" t="b">
        <f>OR(LCI_Table[[#This Row],[Data Source]]="All",LCI_Table[[#This Row],[Data Source]]=SelectedDataSource)</f>
        <v>1</v>
      </c>
      <c r="L2671" s="14" t="b">
        <v>0</v>
      </c>
      <c r="M2671" s="14" t="b">
        <f>(LCI_Table[[#This Row],[Dev Notes]]="Do not display")</f>
        <v>0</v>
      </c>
      <c r="N2671" s="14" t="b">
        <f>AND(LCI_Table[[#This Row],[Show Feedstock]:[Conditional]],NOT(LCI_Table[[#This Row],[Hide Row]]))</f>
        <v>0</v>
      </c>
      <c r="O2671" s="14" t="b">
        <f>LCI_Table[[#This Row],[GREET1 Name Range]]=""</f>
        <v>0</v>
      </c>
      <c r="P2671" s="14" t="s">
        <v>1396</v>
      </c>
      <c r="Q2671" s="14" t="s">
        <v>1670</v>
      </c>
      <c r="R2671" s="14" t="s">
        <v>1671</v>
      </c>
      <c r="S2671" s="37" cm="1">
        <f t="array" aca="1" ref="S26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17.790865253441282</v>
      </c>
      <c r="T2671" s="346" t="s">
        <v>2154</v>
      </c>
      <c r="U2671" s="351">
        <f ca="1">LCI_Table[[#This Row],[Dashboard Value]]</f>
        <v>17.790865253441282</v>
      </c>
      <c r="V2671" s="389">
        <v>17.790865253441282</v>
      </c>
      <c r="W2671" s="389">
        <v>17.790865253441282</v>
      </c>
      <c r="X2671" s="37" t="s">
        <v>6</v>
      </c>
      <c r="Y2671" s="346"/>
      <c r="Z2671" s="14" t="str">
        <f>IF(ISBLANK(LCI_Table[[#This Row],[Notes for user]])," ",LCI_Table[[#This Row],[Notes for user]])</f>
        <v xml:space="preserve"> </v>
      </c>
      <c r="AA2671" s="14"/>
      <c r="AB2671" s="14"/>
      <c r="AC2671" s="346">
        <f ca="1">LCI_Table[[#This Row],[Default Calculated Value]]-LCI_Table[[#This Row],[Calculated Value]]</f>
        <v>0</v>
      </c>
    </row>
    <row r="2672" spans="1:29" x14ac:dyDescent="0.3">
      <c r="A26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 xml:space="preserve">CornATJ-ethanolGREETGREETStandalone facilities_Corn_Fermentation_Corn_steep_liquorCorn steep liquor </v>
      </c>
      <c r="B2672" s="381" t="s">
        <v>136</v>
      </c>
      <c r="C2672" s="381" t="s">
        <v>1964</v>
      </c>
      <c r="D2672" s="383" t="s">
        <v>29</v>
      </c>
      <c r="E2672" s="384" t="s">
        <v>29</v>
      </c>
      <c r="F2672" s="375" t="s">
        <v>1606</v>
      </c>
      <c r="G2672" s="14" t="b">
        <f>OR(LCI_Table[[#This Row],[Feedstock]]="All",LCI_Table[[#This Row],[Feedstock]]=SelectedFeedstock)</f>
        <v>0</v>
      </c>
      <c r="H2672" s="14" t="b">
        <f>OR(LCI_Table[[#This Row],[Conversion]]="All",LCI_Table[[#This Row],[Conversion]]=SelectedConversion)</f>
        <v>0</v>
      </c>
      <c r="I2672" s="14" t="b">
        <f>OR(LCI_Table[[#This Row],[Data Set]]="all",LCI_Table[[#This Row],[Data Set]]=SelectedDataSet)</f>
        <v>1</v>
      </c>
      <c r="J2672" s="14" t="b">
        <f>OR(LCI_Table[[#This Row],[Technology]]="All",LCI_Table[[#This Row],[Technology]]=SelectedTechnology)</f>
        <v>0</v>
      </c>
      <c r="K2672" s="14" t="b">
        <f>OR(LCI_Table[[#This Row],[Data Source]]="All",LCI_Table[[#This Row],[Data Source]]=SelectedDataSource)</f>
        <v>1</v>
      </c>
      <c r="L2672" s="14" t="b">
        <v>0</v>
      </c>
      <c r="M2672" s="14" t="b">
        <f>(LCI_Table[[#This Row],[Dev Notes]]="Do not display")</f>
        <v>0</v>
      </c>
      <c r="N2672" s="14" t="b">
        <f>AND(LCI_Table[[#This Row],[Show Feedstock]:[Conditional]],NOT(LCI_Table[[#This Row],[Hide Row]]))</f>
        <v>0</v>
      </c>
      <c r="O2672" s="14" t="b">
        <f>LCI_Table[[#This Row],[GREET1 Name Range]]=""</f>
        <v>0</v>
      </c>
      <c r="P2672" s="14" t="s">
        <v>1396</v>
      </c>
      <c r="Q2672" s="14" t="s">
        <v>1672</v>
      </c>
      <c r="R2672" s="14" t="s">
        <v>1673</v>
      </c>
      <c r="S2672" s="37" cm="1">
        <f t="array" aca="1" ref="S26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72" s="346" t="s">
        <v>2154</v>
      </c>
      <c r="U2672" s="351">
        <f ca="1">LCI_Table[[#This Row],[Dashboard Value]]</f>
        <v>0</v>
      </c>
      <c r="V2672" s="389">
        <v>0</v>
      </c>
      <c r="W2672" s="389">
        <v>0</v>
      </c>
      <c r="X2672" s="37" t="s">
        <v>6</v>
      </c>
      <c r="Y2672" s="346"/>
      <c r="Z2672" s="14" t="str">
        <f>IF(ISBLANK(LCI_Table[[#This Row],[Notes for user]])," ",LCI_Table[[#This Row],[Notes for user]])</f>
        <v xml:space="preserve"> </v>
      </c>
      <c r="AA2672" s="14"/>
      <c r="AB2672" s="14"/>
      <c r="AC2672" s="346">
        <f ca="1">LCI_Table[[#This Row],[Default Calculated Value]]-LCI_Table[[#This Row],[Calculated Value]]</f>
        <v>0</v>
      </c>
    </row>
    <row r="2673" spans="1:29" x14ac:dyDescent="0.3">
      <c r="A26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 xml:space="preserve">CornATJ-ethanolGREETGREETStandalone facilities_Corn_Fermentation_DAPDAP </v>
      </c>
      <c r="B2673" s="381" t="s">
        <v>136</v>
      </c>
      <c r="C2673" s="381" t="s">
        <v>1964</v>
      </c>
      <c r="D2673" s="383" t="s">
        <v>29</v>
      </c>
      <c r="E2673" s="384" t="s">
        <v>29</v>
      </c>
      <c r="F2673" s="375" t="s">
        <v>1606</v>
      </c>
      <c r="G2673" s="14" t="b">
        <f>OR(LCI_Table[[#This Row],[Feedstock]]="All",LCI_Table[[#This Row],[Feedstock]]=SelectedFeedstock)</f>
        <v>0</v>
      </c>
      <c r="H2673" s="14" t="b">
        <f>OR(LCI_Table[[#This Row],[Conversion]]="All",LCI_Table[[#This Row],[Conversion]]=SelectedConversion)</f>
        <v>0</v>
      </c>
      <c r="I2673" s="14" t="b">
        <f>OR(LCI_Table[[#This Row],[Data Set]]="all",LCI_Table[[#This Row],[Data Set]]=SelectedDataSet)</f>
        <v>1</v>
      </c>
      <c r="J2673" s="14" t="b">
        <f>OR(LCI_Table[[#This Row],[Technology]]="All",LCI_Table[[#This Row],[Technology]]=SelectedTechnology)</f>
        <v>0</v>
      </c>
      <c r="K2673" s="14" t="b">
        <f>OR(LCI_Table[[#This Row],[Data Source]]="All",LCI_Table[[#This Row],[Data Source]]=SelectedDataSource)</f>
        <v>1</v>
      </c>
      <c r="L2673" s="14" t="b">
        <v>0</v>
      </c>
      <c r="M2673" s="14" t="b">
        <f>(LCI_Table[[#This Row],[Dev Notes]]="Do not display")</f>
        <v>0</v>
      </c>
      <c r="N2673" s="14" t="b">
        <f>AND(LCI_Table[[#This Row],[Show Feedstock]:[Conditional]],NOT(LCI_Table[[#This Row],[Hide Row]]))</f>
        <v>0</v>
      </c>
      <c r="O2673" s="14" t="b">
        <f>LCI_Table[[#This Row],[GREET1 Name Range]]=""</f>
        <v>0</v>
      </c>
      <c r="P2673" s="14" t="s">
        <v>1396</v>
      </c>
      <c r="Q2673" s="14" t="s">
        <v>1674</v>
      </c>
      <c r="R2673" s="14" t="s">
        <v>1675</v>
      </c>
      <c r="S2673" s="37" cm="1">
        <f t="array" aca="1" ref="S26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73" s="346" t="s">
        <v>2154</v>
      </c>
      <c r="U2673" s="351">
        <f ca="1">LCI_Table[[#This Row],[Dashboard Value]]</f>
        <v>0</v>
      </c>
      <c r="V2673" s="389">
        <v>0</v>
      </c>
      <c r="W2673" s="389">
        <v>0</v>
      </c>
      <c r="X2673" s="37" t="s">
        <v>6</v>
      </c>
      <c r="Y2673" s="346"/>
      <c r="Z2673" s="14" t="str">
        <f>IF(ISBLANK(LCI_Table[[#This Row],[Notes for user]])," ",LCI_Table[[#This Row],[Notes for user]])</f>
        <v xml:space="preserve"> </v>
      </c>
      <c r="AA2673" s="14"/>
      <c r="AB2673" s="14"/>
      <c r="AC2673" s="346">
        <f ca="1">LCI_Table[[#This Row],[Default Calculated Value]]-LCI_Table[[#This Row],[Calculated Value]]</f>
        <v>0</v>
      </c>
    </row>
    <row r="2674" spans="1:29" x14ac:dyDescent="0.3">
      <c r="A26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 xml:space="preserve">CornATJ-ethanolGREETGREETStandalone facilities_Corn_Fermentation_NaOHNaOH </v>
      </c>
      <c r="B2674" s="381" t="s">
        <v>136</v>
      </c>
      <c r="C2674" s="381" t="s">
        <v>1964</v>
      </c>
      <c r="D2674" s="383" t="s">
        <v>29</v>
      </c>
      <c r="E2674" s="384" t="s">
        <v>29</v>
      </c>
      <c r="F2674" s="375" t="s">
        <v>1606</v>
      </c>
      <c r="G2674" s="14" t="b">
        <f>OR(LCI_Table[[#This Row],[Feedstock]]="All",LCI_Table[[#This Row],[Feedstock]]=SelectedFeedstock)</f>
        <v>0</v>
      </c>
      <c r="H2674" s="14" t="b">
        <f>OR(LCI_Table[[#This Row],[Conversion]]="All",LCI_Table[[#This Row],[Conversion]]=SelectedConversion)</f>
        <v>0</v>
      </c>
      <c r="I2674" s="14" t="b">
        <f>OR(LCI_Table[[#This Row],[Data Set]]="all",LCI_Table[[#This Row],[Data Set]]=SelectedDataSet)</f>
        <v>1</v>
      </c>
      <c r="J2674" s="14" t="b">
        <f>OR(LCI_Table[[#This Row],[Technology]]="All",LCI_Table[[#This Row],[Technology]]=SelectedTechnology)</f>
        <v>0</v>
      </c>
      <c r="K2674" s="14" t="b">
        <f>OR(LCI_Table[[#This Row],[Data Source]]="All",LCI_Table[[#This Row],[Data Source]]=SelectedDataSource)</f>
        <v>1</v>
      </c>
      <c r="L2674" s="14" t="b">
        <v>0</v>
      </c>
      <c r="M2674" s="14" t="b">
        <f>(LCI_Table[[#This Row],[Dev Notes]]="Do not display")</f>
        <v>0</v>
      </c>
      <c r="N2674" s="14" t="b">
        <f>AND(LCI_Table[[#This Row],[Show Feedstock]:[Conditional]],NOT(LCI_Table[[#This Row],[Hide Row]]))</f>
        <v>0</v>
      </c>
      <c r="O2674" s="14" t="b">
        <f>LCI_Table[[#This Row],[GREET1 Name Range]]=""</f>
        <v>0</v>
      </c>
      <c r="P2674" s="14" t="s">
        <v>1396</v>
      </c>
      <c r="Q2674" s="14" t="s">
        <v>1676</v>
      </c>
      <c r="R2674" s="14" t="s">
        <v>1677</v>
      </c>
      <c r="S2674" s="37" cm="1">
        <f t="array" aca="1" ref="S26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22.31461090549152</v>
      </c>
      <c r="T2674" s="346" t="s">
        <v>2154</v>
      </c>
      <c r="U2674" s="351">
        <f ca="1">LCI_Table[[#This Row],[Dashboard Value]]</f>
        <v>22.31461090549152</v>
      </c>
      <c r="V2674" s="389">
        <v>22.31461090549152</v>
      </c>
      <c r="W2674" s="389">
        <v>22.31461090549152</v>
      </c>
      <c r="X2674" s="37" t="s">
        <v>6</v>
      </c>
      <c r="Y2674" s="346"/>
      <c r="Z2674" s="14" t="str">
        <f>IF(ISBLANK(LCI_Table[[#This Row],[Notes for user]])," ",LCI_Table[[#This Row],[Notes for user]])</f>
        <v xml:space="preserve"> </v>
      </c>
      <c r="AA2674" s="14"/>
      <c r="AB2674" s="14"/>
      <c r="AC2674" s="346">
        <f ca="1">LCI_Table[[#This Row],[Default Calculated Value]]-LCI_Table[[#This Row],[Calculated Value]]</f>
        <v>0</v>
      </c>
    </row>
    <row r="2675" spans="1:29" x14ac:dyDescent="0.3">
      <c r="A26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 xml:space="preserve">CornATJ-ethanolGREETGREETStandalone facilities_Corn_Fermentation_CaOCaO </v>
      </c>
      <c r="B2675" s="382" t="s">
        <v>136</v>
      </c>
      <c r="C2675" s="382" t="s">
        <v>1964</v>
      </c>
      <c r="D2675" s="385" t="s">
        <v>29</v>
      </c>
      <c r="E2675" s="386" t="s">
        <v>29</v>
      </c>
      <c r="F2675" s="181" t="s">
        <v>1606</v>
      </c>
      <c r="G2675" s="14" t="b">
        <f>OR(LCI_Table[[#This Row],[Feedstock]]="All",LCI_Table[[#This Row],[Feedstock]]=SelectedFeedstock)</f>
        <v>0</v>
      </c>
      <c r="H2675" s="14" t="b">
        <f>OR(LCI_Table[[#This Row],[Conversion]]="All",LCI_Table[[#This Row],[Conversion]]=SelectedConversion)</f>
        <v>0</v>
      </c>
      <c r="I2675" s="14" t="b">
        <f>OR(LCI_Table[[#This Row],[Data Set]]="all",LCI_Table[[#This Row],[Data Set]]=SelectedDataSet)</f>
        <v>1</v>
      </c>
      <c r="J2675" s="14" t="b">
        <f>OR(LCI_Table[[#This Row],[Technology]]="All",LCI_Table[[#This Row],[Technology]]=SelectedTechnology)</f>
        <v>0</v>
      </c>
      <c r="K2675" s="14" t="b">
        <f>OR(LCI_Table[[#This Row],[Data Source]]="All",LCI_Table[[#This Row],[Data Source]]=SelectedDataSource)</f>
        <v>1</v>
      </c>
      <c r="L2675" s="14" t="b">
        <v>0</v>
      </c>
      <c r="M2675" s="14" t="b">
        <f>(LCI_Table[[#This Row],[Dev Notes]]="Do not display")</f>
        <v>0</v>
      </c>
      <c r="N2675" s="14" t="b">
        <f>AND(LCI_Table[[#This Row],[Show Feedstock]:[Conditional]],NOT(LCI_Table[[#This Row],[Hide Row]]))</f>
        <v>0</v>
      </c>
      <c r="O2675" s="14" t="b">
        <f>LCI_Table[[#This Row],[GREET1 Name Range]]=""</f>
        <v>0</v>
      </c>
      <c r="P2675" s="14" t="s">
        <v>1396</v>
      </c>
      <c r="Q2675" s="14" t="s">
        <v>1678</v>
      </c>
      <c r="R2675" s="14" t="s">
        <v>1679</v>
      </c>
      <c r="S2675" s="37" cm="1">
        <f t="array" aca="1" ref="S26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10.644107416588801</v>
      </c>
      <c r="T2675" s="346" t="s">
        <v>2154</v>
      </c>
      <c r="U2675" s="351">
        <f ca="1">LCI_Table[[#This Row],[Dashboard Value]]</f>
        <v>10.644107416588801</v>
      </c>
      <c r="V2675" s="389">
        <v>10.644107416588801</v>
      </c>
      <c r="W2675" s="389">
        <v>10.644107416588801</v>
      </c>
      <c r="X2675" s="37" t="s">
        <v>6</v>
      </c>
      <c r="Y2675" s="346"/>
      <c r="Z2675" s="14" t="str">
        <f>IF(ISBLANK(LCI_Table[[#This Row],[Notes for user]])," ",LCI_Table[[#This Row],[Notes for user]])</f>
        <v xml:space="preserve"> </v>
      </c>
      <c r="AA2675" s="14"/>
      <c r="AB2675" s="14"/>
      <c r="AC2675" s="346">
        <f ca="1">LCI_Table[[#This Row],[Default Calculated Value]]-LCI_Table[[#This Row],[Calculated Value]]</f>
        <v>0</v>
      </c>
    </row>
    <row r="2676" spans="1:29" x14ac:dyDescent="0.3">
      <c r="A26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facilities_Ethanol production_Ethanol production</v>
      </c>
      <c r="B2676" s="382" t="s">
        <v>136</v>
      </c>
      <c r="C2676" s="382" t="s">
        <v>1964</v>
      </c>
      <c r="D2676" s="385" t="s">
        <v>29</v>
      </c>
      <c r="E2676" s="386" t="s">
        <v>29</v>
      </c>
      <c r="F2676" s="181" t="s">
        <v>1606</v>
      </c>
      <c r="G2676" s="14" t="b">
        <f>OR(LCI_Table[[#This Row],[Feedstock]]="All",LCI_Table[[#This Row],[Feedstock]]=SelectedFeedstock)</f>
        <v>0</v>
      </c>
      <c r="H2676" s="14" t="b">
        <f>OR(LCI_Table[[#This Row],[Conversion]]="All",LCI_Table[[#This Row],[Conversion]]=SelectedConversion)</f>
        <v>0</v>
      </c>
      <c r="I2676" s="14" t="b">
        <f>OR(LCI_Table[[#This Row],[Data Set]]="all",LCI_Table[[#This Row],[Data Set]]=SelectedDataSet)</f>
        <v>1</v>
      </c>
      <c r="J2676" s="14" t="b">
        <f>OR(LCI_Table[[#This Row],[Technology]]="All",LCI_Table[[#This Row],[Technology]]=SelectedTechnology)</f>
        <v>0</v>
      </c>
      <c r="K2676" s="14" t="b">
        <f>OR(LCI_Table[[#This Row],[Data Source]]="All",LCI_Table[[#This Row],[Data Source]]=SelectedDataSource)</f>
        <v>1</v>
      </c>
      <c r="L2676" s="14" t="b">
        <f>TRUE</f>
        <v>1</v>
      </c>
      <c r="M2676" s="14" t="b">
        <f>(LCI_Table[[#This Row],[Dev Notes]]="Do not display")</f>
        <v>0</v>
      </c>
      <c r="N2676" s="14" t="b">
        <f>AND(LCI_Table[[#This Row],[Show Feedstock]:[Conditional]],NOT(LCI_Table[[#This Row],[Hide Row]]))</f>
        <v>0</v>
      </c>
      <c r="O2676" s="14" t="b">
        <f>LCI_Table[[#This Row],[GREET1 Name Range]]=""</f>
        <v>1</v>
      </c>
      <c r="P2676" s="14" t="s">
        <v>1396</v>
      </c>
      <c r="Q2676" s="14"/>
      <c r="R2676" s="14" t="s">
        <v>1396</v>
      </c>
      <c r="S2676" s="37" cm="1">
        <f t="array" aca="1" ref="S26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100</v>
      </c>
      <c r="T2676" s="346" t="s">
        <v>1859</v>
      </c>
      <c r="U2676" s="389">
        <f ca="1">LCI_Table[[#This Row],[Dashboard Value]]</f>
        <v>100</v>
      </c>
      <c r="V2676" s="389">
        <v>100</v>
      </c>
      <c r="W2676" s="389">
        <v>100</v>
      </c>
      <c r="X2676" s="37"/>
      <c r="Y2676" s="346"/>
      <c r="Z2676" s="14" t="str">
        <f>IF(ISBLANK(LCI_Table[[#This Row],[Notes for user]])," ",LCI_Table[[#This Row],[Notes for user]])</f>
        <v xml:space="preserve"> </v>
      </c>
      <c r="AA2676" s="14"/>
      <c r="AB2676" s="14"/>
      <c r="AC2676" s="346">
        <f ca="1">LCI_Table[[#This Row],[Default Calculated Value]]-LCI_Table[[#This Row],[Calculated Value]]</f>
        <v>0</v>
      </c>
    </row>
    <row r="2677" spans="1:29" x14ac:dyDescent="0.3">
      <c r="A26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facilities_Corn consumption_Ethanol production</v>
      </c>
      <c r="B2677" s="381" t="s">
        <v>136</v>
      </c>
      <c r="C2677" s="381" t="s">
        <v>1964</v>
      </c>
      <c r="D2677" s="383" t="s">
        <v>29</v>
      </c>
      <c r="E2677" s="384" t="s">
        <v>29</v>
      </c>
      <c r="F2677" s="181" t="s">
        <v>1606</v>
      </c>
      <c r="G2677" s="14" t="b">
        <f>OR(LCI_Table[[#This Row],[Feedstock]]="All",LCI_Table[[#This Row],[Feedstock]]=SelectedFeedstock)</f>
        <v>0</v>
      </c>
      <c r="H2677" s="14" t="b">
        <f>OR(LCI_Table[[#This Row],[Conversion]]="All",LCI_Table[[#This Row],[Conversion]]=SelectedConversion)</f>
        <v>0</v>
      </c>
      <c r="I2677" s="14" t="b">
        <f>OR(LCI_Table[[#This Row],[Data Set]]="all",LCI_Table[[#This Row],[Data Set]]=SelectedDataSet)</f>
        <v>1</v>
      </c>
      <c r="J2677" s="14" t="b">
        <f>OR(LCI_Table[[#This Row],[Technology]]="All",LCI_Table[[#This Row],[Technology]]=SelectedTechnology)</f>
        <v>0</v>
      </c>
      <c r="K2677" s="14" t="b">
        <f>OR(LCI_Table[[#This Row],[Data Source]]="All",LCI_Table[[#This Row],[Data Source]]=SelectedDataSource)</f>
        <v>1</v>
      </c>
      <c r="L2677" s="14" t="b">
        <f>TRUE</f>
        <v>1</v>
      </c>
      <c r="M2677" s="14" t="b">
        <f>(LCI_Table[[#This Row],[Dev Notes]]="Do not display")</f>
        <v>0</v>
      </c>
      <c r="N2677" s="14" t="b">
        <f>AND(LCI_Table[[#This Row],[Show Feedstock]:[Conditional]],NOT(LCI_Table[[#This Row],[Hide Row]]))</f>
        <v>0</v>
      </c>
      <c r="O2677" s="14" t="b">
        <f>LCI_Table[[#This Row],[GREET1 Name Range]]=""</f>
        <v>1</v>
      </c>
      <c r="P2677" s="14" t="s">
        <v>1396</v>
      </c>
      <c r="Q2677" s="14"/>
      <c r="R2677" s="14" t="s">
        <v>1707</v>
      </c>
      <c r="S2677" s="37" cm="1">
        <f t="array" aca="1" ref="S26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34.92</v>
      </c>
      <c r="T2677" s="346" t="s">
        <v>2155</v>
      </c>
      <c r="U2677" s="389">
        <f ca="1">LCI_Table[[#This Row],[Dashboard Value]]</f>
        <v>34.92</v>
      </c>
      <c r="V2677" s="389">
        <f>100/2.86368843069874</f>
        <v>34.92</v>
      </c>
      <c r="W2677" s="389">
        <v>34.92</v>
      </c>
      <c r="X2677" s="37"/>
      <c r="Y2677" s="346"/>
      <c r="Z2677" s="14" t="str">
        <f>IF(ISBLANK(LCI_Table[[#This Row],[Notes for user]])," ",LCI_Table[[#This Row],[Notes for user]])</f>
        <v xml:space="preserve"> </v>
      </c>
      <c r="AA2677" s="14"/>
      <c r="AB2677" s="14"/>
      <c r="AC2677" s="346">
        <f ca="1">LCI_Table[[#This Row],[Default Calculated Value]]-LCI_Table[[#This Row],[Calculated Value]]</f>
        <v>0</v>
      </c>
    </row>
    <row r="2678" spans="1:29" x14ac:dyDescent="0.3">
      <c r="A26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facilities_Corn_Fermentation_Natural_gasTotal NG/RNG consumption</v>
      </c>
      <c r="B2678" s="381" t="s">
        <v>136</v>
      </c>
      <c r="C2678" s="381" t="s">
        <v>1964</v>
      </c>
      <c r="D2678" s="383" t="s">
        <v>29</v>
      </c>
      <c r="E2678" s="384" t="s">
        <v>29</v>
      </c>
      <c r="F2678" s="181" t="s">
        <v>1606</v>
      </c>
      <c r="G2678" s="14" t="b">
        <f>OR(LCI_Table[[#This Row],[Feedstock]]="All",LCI_Table[[#This Row],[Feedstock]]=SelectedFeedstock)</f>
        <v>0</v>
      </c>
      <c r="H2678" s="14" t="b">
        <f>OR(LCI_Table[[#This Row],[Conversion]]="All",LCI_Table[[#This Row],[Conversion]]=SelectedConversion)</f>
        <v>0</v>
      </c>
      <c r="I2678" s="14" t="b">
        <f>OR(LCI_Table[[#This Row],[Data Set]]="all",LCI_Table[[#This Row],[Data Set]]=SelectedDataSet)</f>
        <v>1</v>
      </c>
      <c r="J2678" s="14" t="b">
        <f>OR(LCI_Table[[#This Row],[Technology]]="All",LCI_Table[[#This Row],[Technology]]=SelectedTechnology)</f>
        <v>0</v>
      </c>
      <c r="K2678" s="14" t="b">
        <f>OR(LCI_Table[[#This Row],[Data Source]]="All",LCI_Table[[#This Row],[Data Source]]=SelectedDataSource)</f>
        <v>1</v>
      </c>
      <c r="L2678" s="14" t="b">
        <v>0</v>
      </c>
      <c r="M2678" s="14" t="b">
        <f>(LCI_Table[[#This Row],[Dev Notes]]="Do not display")</f>
        <v>0</v>
      </c>
      <c r="N2678" s="14" t="b">
        <f>AND(LCI_Table[[#This Row],[Show Feedstock]:[Conditional]],NOT(LCI_Table[[#This Row],[Hide Row]]))</f>
        <v>0</v>
      </c>
      <c r="O2678" s="14" t="b">
        <f>LCI_Table[[#This Row],[GREET1 Name Range]]=""</f>
        <v>0</v>
      </c>
      <c r="P2678" s="14" t="s">
        <v>1396</v>
      </c>
      <c r="Q2678" s="14" t="s">
        <v>1655</v>
      </c>
      <c r="R2678" s="14" t="s">
        <v>1861</v>
      </c>
      <c r="S2678" s="37" cm="1">
        <f t="array" aca="1" ref="S26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2238.6042240587699</v>
      </c>
      <c r="T2678" s="346" t="s">
        <v>2156</v>
      </c>
      <c r="U2678" s="389">
        <f ca="1">LCI_Table[[#This Row],[Dashboard Value]]/$S$2676*1000</f>
        <v>22386.0422405877</v>
      </c>
      <c r="V2678" s="389">
        <v>2238.6042240587699</v>
      </c>
      <c r="W2678" s="389">
        <v>22386.0422405877</v>
      </c>
      <c r="X2678" s="37"/>
      <c r="Y2678" s="346"/>
      <c r="Z2678" s="14" t="str">
        <f>IF(ISBLANK(LCI_Table[[#This Row],[Notes for user]])," ",LCI_Table[[#This Row],[Notes for user]])</f>
        <v>Specify the source in the selection table below.</v>
      </c>
      <c r="AA2678" s="14" t="s">
        <v>1836</v>
      </c>
      <c r="AB2678" s="14"/>
      <c r="AC2678" s="346">
        <f ca="1">LCI_Table[[#This Row],[Default Calculated Value]]-LCI_Table[[#This Row],[Calculated Value]]</f>
        <v>0</v>
      </c>
    </row>
    <row r="2679" spans="1:29" x14ac:dyDescent="0.3">
      <c r="A26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facilities_Corn_Fermentation_ElectricityGrid electricity (selected eGRID region)</v>
      </c>
      <c r="B2679" s="381" t="s">
        <v>136</v>
      </c>
      <c r="C2679" s="381" t="s">
        <v>1964</v>
      </c>
      <c r="D2679" s="383" t="s">
        <v>29</v>
      </c>
      <c r="E2679" s="384" t="s">
        <v>29</v>
      </c>
      <c r="F2679" s="181" t="s">
        <v>1606</v>
      </c>
      <c r="G2679" s="14" t="b">
        <f>OR(LCI_Table[[#This Row],[Feedstock]]="All",LCI_Table[[#This Row],[Feedstock]]=SelectedFeedstock)</f>
        <v>0</v>
      </c>
      <c r="H2679" s="14" t="b">
        <f>OR(LCI_Table[[#This Row],[Conversion]]="All",LCI_Table[[#This Row],[Conversion]]=SelectedConversion)</f>
        <v>0</v>
      </c>
      <c r="I2679" s="14" t="b">
        <f>OR(LCI_Table[[#This Row],[Data Set]]="all",LCI_Table[[#This Row],[Data Set]]=SelectedDataSet)</f>
        <v>1</v>
      </c>
      <c r="J2679" s="14" t="b">
        <f>OR(LCI_Table[[#This Row],[Technology]]="All",LCI_Table[[#This Row],[Technology]]=SelectedTechnology)</f>
        <v>0</v>
      </c>
      <c r="K2679" s="14" t="b">
        <f>OR(LCI_Table[[#This Row],[Data Source]]="All",LCI_Table[[#This Row],[Data Source]]=SelectedDataSource)</f>
        <v>1</v>
      </c>
      <c r="L2679" s="14" t="b">
        <f>TRUE</f>
        <v>1</v>
      </c>
      <c r="M2679" s="14" t="b">
        <f>(LCI_Table[[#This Row],[Dev Notes]]="Do not display")</f>
        <v>0</v>
      </c>
      <c r="N2679" s="14" t="b">
        <f>AND(LCI_Table[[#This Row],[Show Feedstock]:[Conditional]],NOT(LCI_Table[[#This Row],[Hide Row]]))</f>
        <v>0</v>
      </c>
      <c r="O2679" s="14" t="b">
        <f>LCI_Table[[#This Row],[GREET1 Name Range]]=""</f>
        <v>0</v>
      </c>
      <c r="P2679" s="14" t="s">
        <v>1396</v>
      </c>
      <c r="Q2679" s="14" t="s">
        <v>1659</v>
      </c>
      <c r="R2679" s="14" t="s">
        <v>1708</v>
      </c>
      <c r="S2679" s="37" cm="1">
        <f t="array" aca="1" ref="S26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61.484644652777909</v>
      </c>
      <c r="T2679" s="346" t="s">
        <v>1959</v>
      </c>
      <c r="U2679" s="389">
        <f ca="1">LCI_Table[[#This Row],[Dashboard Value]]/BTU2kWh/$S$2676</f>
        <v>2097.9431633879904</v>
      </c>
      <c r="V2679" s="389">
        <v>61.484644652777909</v>
      </c>
      <c r="W2679" s="389">
        <v>2097.9431633879904</v>
      </c>
      <c r="X2679" s="37"/>
      <c r="Y2679" s="346"/>
      <c r="Z2679" s="14" t="str">
        <f>IF(ISBLANK(LCI_Table[[#This Row],[Notes for user]])," ",LCI_Table[[#This Row],[Notes for user]])</f>
        <v>Specify the source in the selection table below.</v>
      </c>
      <c r="AA2679" s="14" t="s">
        <v>1836</v>
      </c>
      <c r="AB2679" s="14"/>
      <c r="AC2679" s="346">
        <f ca="1">LCI_Table[[#This Row],[Default Calculated Value]]-LCI_Table[[#This Row],[Calculated Value]]</f>
        <v>0</v>
      </c>
    </row>
    <row r="2680" spans="1:29" x14ac:dyDescent="0.3">
      <c r="A26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facilities_Renewable Electricity Credit (REC)_Ethanol production</v>
      </c>
      <c r="B2680" s="381" t="s">
        <v>136</v>
      </c>
      <c r="C2680" s="381" t="s">
        <v>1964</v>
      </c>
      <c r="D2680" s="383" t="s">
        <v>29</v>
      </c>
      <c r="E2680" s="384" t="s">
        <v>29</v>
      </c>
      <c r="F2680" s="181" t="s">
        <v>1606</v>
      </c>
      <c r="G2680" s="14" t="b">
        <f>OR(LCI_Table[[#This Row],[Feedstock]]="All",LCI_Table[[#This Row],[Feedstock]]=SelectedFeedstock)</f>
        <v>0</v>
      </c>
      <c r="H2680" s="14" t="b">
        <f>OR(LCI_Table[[#This Row],[Conversion]]="All",LCI_Table[[#This Row],[Conversion]]=SelectedConversion)</f>
        <v>0</v>
      </c>
      <c r="I2680" s="14" t="b">
        <f>OR(LCI_Table[[#This Row],[Data Set]]="all",LCI_Table[[#This Row],[Data Set]]=SelectedDataSet)</f>
        <v>1</v>
      </c>
      <c r="J2680" s="14" t="b">
        <f>OR(LCI_Table[[#This Row],[Technology]]="All",LCI_Table[[#This Row],[Technology]]=SelectedTechnology)</f>
        <v>0</v>
      </c>
      <c r="K2680" s="14" t="b">
        <f>OR(LCI_Table[[#This Row],[Data Source]]="All",LCI_Table[[#This Row],[Data Source]]=SelectedDataSource)</f>
        <v>1</v>
      </c>
      <c r="L2680" s="14" t="b">
        <f>TRUE</f>
        <v>1</v>
      </c>
      <c r="M2680" s="14" t="b">
        <f>(LCI_Table[[#This Row],[Dev Notes]]="Do not display")</f>
        <v>0</v>
      </c>
      <c r="N2680" s="14" t="b">
        <f>AND(LCI_Table[[#This Row],[Show Feedstock]:[Conditional]],NOT(LCI_Table[[#This Row],[Hide Row]]))</f>
        <v>0</v>
      </c>
      <c r="O2680" s="14" t="b">
        <f>LCI_Table[[#This Row],[GREET1 Name Range]]=""</f>
        <v>1</v>
      </c>
      <c r="P2680" s="14" t="s">
        <v>1396</v>
      </c>
      <c r="Q2680" s="14"/>
      <c r="R2680" s="14" t="s">
        <v>1709</v>
      </c>
      <c r="S2680" s="37" cm="1">
        <f t="array" aca="1" ref="S26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80" s="346" t="s">
        <v>1959</v>
      </c>
      <c r="U2680" s="389">
        <f ca="1">LCI_Table[[#This Row],[Dashboard Value]]</f>
        <v>0</v>
      </c>
      <c r="V2680" s="389">
        <v>0</v>
      </c>
      <c r="W2680" s="389">
        <v>0</v>
      </c>
      <c r="X2680" s="37"/>
      <c r="Y2680" s="346"/>
      <c r="Z2680" s="14" t="str">
        <f>IF(ISBLANK(LCI_Table[[#This Row],[Notes for user]])," ",LCI_Table[[#This Row],[Notes for user]])</f>
        <v xml:space="preserve"> </v>
      </c>
      <c r="AA2680" s="14"/>
      <c r="AB2680" s="14"/>
      <c r="AC2680" s="346">
        <f ca="1">LCI_Table[[#This Row],[Default Calculated Value]]-LCI_Table[[#This Row],[Calculated Value]]</f>
        <v>0</v>
      </c>
    </row>
    <row r="2681" spans="1:29" x14ac:dyDescent="0.3">
      <c r="A26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facilities_Onsite behind-the-meter electricity_Ethanol production</v>
      </c>
      <c r="B2681" s="382" t="s">
        <v>136</v>
      </c>
      <c r="C2681" s="382" t="s">
        <v>1964</v>
      </c>
      <c r="D2681" s="385" t="s">
        <v>29</v>
      </c>
      <c r="E2681" s="386" t="s">
        <v>29</v>
      </c>
      <c r="F2681" s="181" t="s">
        <v>1606</v>
      </c>
      <c r="G2681" s="14" t="b">
        <f>OR(LCI_Table[[#This Row],[Feedstock]]="All",LCI_Table[[#This Row],[Feedstock]]=SelectedFeedstock)</f>
        <v>0</v>
      </c>
      <c r="H2681" s="14" t="b">
        <f>OR(LCI_Table[[#This Row],[Conversion]]="All",LCI_Table[[#This Row],[Conversion]]=SelectedConversion)</f>
        <v>0</v>
      </c>
      <c r="I2681" s="14" t="b">
        <f>OR(LCI_Table[[#This Row],[Data Set]]="all",LCI_Table[[#This Row],[Data Set]]=SelectedDataSet)</f>
        <v>1</v>
      </c>
      <c r="J2681" s="14" t="b">
        <f>OR(LCI_Table[[#This Row],[Technology]]="All",LCI_Table[[#This Row],[Technology]]=SelectedTechnology)</f>
        <v>0</v>
      </c>
      <c r="K2681" s="14" t="b">
        <f>OR(LCI_Table[[#This Row],[Data Source]]="All",LCI_Table[[#This Row],[Data Source]]=SelectedDataSource)</f>
        <v>1</v>
      </c>
      <c r="L2681" s="14" t="b">
        <f>TRUE</f>
        <v>1</v>
      </c>
      <c r="M2681" s="14" t="b">
        <f>(LCI_Table[[#This Row],[Dev Notes]]="Do not display")</f>
        <v>0</v>
      </c>
      <c r="N2681" s="14" t="b">
        <f>AND(LCI_Table[[#This Row],[Show Feedstock]:[Conditional]],NOT(LCI_Table[[#This Row],[Hide Row]]))</f>
        <v>0</v>
      </c>
      <c r="O2681" s="14" t="b">
        <f>LCI_Table[[#This Row],[GREET1 Name Range]]=""</f>
        <v>1</v>
      </c>
      <c r="P2681" s="14" t="s">
        <v>1396</v>
      </c>
      <c r="Q2681" s="14"/>
      <c r="R2681" s="14" t="s">
        <v>1710</v>
      </c>
      <c r="S2681" s="37" cm="1">
        <f t="array" aca="1" ref="S26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81" s="346" t="s">
        <v>1959</v>
      </c>
      <c r="U2681" s="389">
        <f ca="1">LCI_Table[[#This Row],[Dashboard Value]]</f>
        <v>0</v>
      </c>
      <c r="V2681" s="389">
        <v>0</v>
      </c>
      <c r="W2681" s="389">
        <v>0</v>
      </c>
      <c r="X2681" s="37"/>
      <c r="Y2681" s="346"/>
      <c r="Z2681" s="14" t="str">
        <f>IF(ISBLANK(LCI_Table[[#This Row],[Notes for user]])," ",LCI_Table[[#This Row],[Notes for user]])</f>
        <v xml:space="preserve"> </v>
      </c>
      <c r="AA2681" s="14"/>
      <c r="AB2681" s="14"/>
      <c r="AC2681" s="346">
        <f ca="1">LCI_Table[[#This Row],[Default Calculated Value]]-LCI_Table[[#This Row],[Calculated Value]]</f>
        <v>0</v>
      </c>
    </row>
    <row r="2682" spans="1:29" x14ac:dyDescent="0.3">
      <c r="A26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facilities_Corn_Ethanol_CCS_Fermentation_CO2Amount of CO2 captured and stored</v>
      </c>
      <c r="B2682" s="382" t="s">
        <v>136</v>
      </c>
      <c r="C2682" s="382" t="s">
        <v>1964</v>
      </c>
      <c r="D2682" s="385" t="s">
        <v>29</v>
      </c>
      <c r="E2682" s="386" t="s">
        <v>29</v>
      </c>
      <c r="F2682" s="181" t="s">
        <v>1606</v>
      </c>
      <c r="G2682" s="14" t="b">
        <f>OR(LCI_Table[[#This Row],[Feedstock]]="All",LCI_Table[[#This Row],[Feedstock]]=SelectedFeedstock)</f>
        <v>0</v>
      </c>
      <c r="H2682" s="14" t="b">
        <f>OR(LCI_Table[[#This Row],[Conversion]]="All",LCI_Table[[#This Row],[Conversion]]=SelectedConversion)</f>
        <v>0</v>
      </c>
      <c r="I2682" s="14" t="b">
        <f>OR(LCI_Table[[#This Row],[Data Set]]="all",LCI_Table[[#This Row],[Data Set]]=SelectedDataSet)</f>
        <v>1</v>
      </c>
      <c r="J2682" s="14" t="b">
        <f>OR(LCI_Table[[#This Row],[Technology]]="All",LCI_Table[[#This Row],[Technology]]=SelectedTechnology)</f>
        <v>0</v>
      </c>
      <c r="K2682" s="14" t="b">
        <f>OR(LCI_Table[[#This Row],[Data Source]]="All",LCI_Table[[#This Row],[Data Source]]=SelectedDataSource)</f>
        <v>1</v>
      </c>
      <c r="L2682" s="14" t="b">
        <f>TRUE</f>
        <v>1</v>
      </c>
      <c r="M2682" s="14" t="b">
        <f>(LCI_Table[[#This Row],[Dev Notes]]="Do not display")</f>
        <v>0</v>
      </c>
      <c r="N2682" s="14" t="b">
        <f>AND(LCI_Table[[#This Row],[Show Feedstock]:[Conditional]],NOT(LCI_Table[[#This Row],[Hide Row]]))</f>
        <v>0</v>
      </c>
      <c r="O2682" s="14" t="b">
        <f>LCI_Table[[#This Row],[GREET1 Name Range]]=""</f>
        <v>0</v>
      </c>
      <c r="P2682" s="14" t="s">
        <v>1396</v>
      </c>
      <c r="Q2682" s="14" t="s">
        <v>1495</v>
      </c>
      <c r="R2682" s="14" t="s">
        <v>1711</v>
      </c>
      <c r="S2682" s="37" cm="1">
        <f t="array" aca="1" ref="S26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82" s="346" t="s">
        <v>2157</v>
      </c>
      <c r="U2682" s="389">
        <f ca="1">LCI_Table[[#This Row],[Dashboard Value]]*MT2kg/$S$2676/10^6</f>
        <v>0</v>
      </c>
      <c r="V2682" s="389">
        <v>0</v>
      </c>
      <c r="W2682" s="389">
        <v>0</v>
      </c>
      <c r="X2682" s="37"/>
      <c r="Y2682" s="346"/>
      <c r="Z2682" s="14" t="str">
        <f>IF(ISBLANK(LCI_Table[[#This Row],[Notes for user]])," ",LCI_Table[[#This Row],[Notes for user]])</f>
        <v xml:space="preserve"> </v>
      </c>
      <c r="AA2682" s="14"/>
      <c r="AB2682" s="14"/>
      <c r="AC2682" s="346">
        <f ca="1">LCI_Table[[#This Row],[Default Calculated Value]]-LCI_Table[[#This Row],[Calculated Value]]</f>
        <v>0</v>
      </c>
    </row>
    <row r="2683" spans="1:29" x14ac:dyDescent="0.3">
      <c r="A26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Facilities_SAF production_SAF Production</v>
      </c>
      <c r="B2683" s="382" t="s">
        <v>136</v>
      </c>
      <c r="C2683" s="382" t="s">
        <v>1964</v>
      </c>
      <c r="D2683" s="385" t="s">
        <v>29</v>
      </c>
      <c r="E2683" s="386" t="s">
        <v>29</v>
      </c>
      <c r="F2683" s="181" t="s">
        <v>1592</v>
      </c>
      <c r="G2683" s="14" t="b">
        <f>OR(LCI_Table[[#This Row],[Feedstock]]="All",LCI_Table[[#This Row],[Feedstock]]=SelectedFeedstock)</f>
        <v>0</v>
      </c>
      <c r="H2683" s="14" t="b">
        <f>OR(LCI_Table[[#This Row],[Conversion]]="All",LCI_Table[[#This Row],[Conversion]]=SelectedConversion)</f>
        <v>0</v>
      </c>
      <c r="I2683" s="14" t="b">
        <f>OR(LCI_Table[[#This Row],[Data Set]]="all",LCI_Table[[#This Row],[Data Set]]=SelectedDataSet)</f>
        <v>1</v>
      </c>
      <c r="J2683" s="14" t="b">
        <f>OR(LCI_Table[[#This Row],[Technology]]="All",LCI_Table[[#This Row],[Technology]]=SelectedTechnology)</f>
        <v>0</v>
      </c>
      <c r="K2683" s="14" t="b">
        <f>OR(LCI_Table[[#This Row],[Data Source]]="All",LCI_Table[[#This Row],[Data Source]]=SelectedDataSource)</f>
        <v>1</v>
      </c>
      <c r="L2683" s="14" t="b">
        <f>TRUE</f>
        <v>1</v>
      </c>
      <c r="M2683" s="14" t="b">
        <f>(LCI_Table[[#This Row],[Dev Notes]]="Do not display")</f>
        <v>0</v>
      </c>
      <c r="N2683" s="14" t="b">
        <f>AND(LCI_Table[[#This Row],[Show Feedstock]:[Conditional]],NOT(LCI_Table[[#This Row],[Hide Row]]))</f>
        <v>0</v>
      </c>
      <c r="O2683" s="14" t="b">
        <f>LCI_Table[[#This Row],[GREET1 Name Range]]=""</f>
        <v>1</v>
      </c>
      <c r="P2683" s="387" t="s">
        <v>1448</v>
      </c>
      <c r="Q2683" s="14"/>
      <c r="R2683" s="14" t="s">
        <v>1714</v>
      </c>
      <c r="S2683" s="37" cm="1">
        <f t="array" aca="1" ref="S26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59.941200259958407</v>
      </c>
      <c r="T2683" s="346" t="s">
        <v>1859</v>
      </c>
      <c r="U2683" s="389">
        <f t="shared" ref="U2683:U2691" ca="1" si="194">$S2683</f>
        <v>59.941200259958407</v>
      </c>
      <c r="V2683" s="430">
        <v>59.941200259958407</v>
      </c>
      <c r="W2683" s="389">
        <v>57.113785153356467</v>
      </c>
      <c r="X2683" s="37"/>
      <c r="Y2683" s="346"/>
      <c r="Z2683" s="14" t="str">
        <f>IF(ISBLANK(LCI_Table[[#This Row],[Notes for user]])," ",LCI_Table[[#This Row],[Notes for user]])</f>
        <v xml:space="preserve"> </v>
      </c>
      <c r="AA2683" s="14"/>
      <c r="AB2683" s="14"/>
      <c r="AC2683" s="346">
        <f ca="1">LCI_Table[[#This Row],[Default Calculated Value]]-LCI_Table[[#This Row],[Calculated Value]]</f>
        <v>-2.82741510660194</v>
      </c>
    </row>
    <row r="2684" spans="1:29" x14ac:dyDescent="0.3">
      <c r="A26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   Lower heating value of SAF_SAF Production</v>
      </c>
      <c r="B2684" s="382" t="s">
        <v>136</v>
      </c>
      <c r="C2684" s="382" t="s">
        <v>1964</v>
      </c>
      <c r="D2684" s="385" t="s">
        <v>29</v>
      </c>
      <c r="E2684" s="386" t="s">
        <v>29</v>
      </c>
      <c r="F2684" s="181" t="s">
        <v>1592</v>
      </c>
      <c r="G2684" s="14" t="b">
        <f>OR(LCI_Table[[#This Row],[Feedstock]]="All",LCI_Table[[#This Row],[Feedstock]]=SelectedFeedstock)</f>
        <v>0</v>
      </c>
      <c r="H2684" s="14" t="b">
        <f>OR(LCI_Table[[#This Row],[Conversion]]="All",LCI_Table[[#This Row],[Conversion]]=SelectedConversion)</f>
        <v>0</v>
      </c>
      <c r="I2684" s="14" t="b">
        <f>OR(LCI_Table[[#This Row],[Data Set]]="all",LCI_Table[[#This Row],[Data Set]]=SelectedDataSet)</f>
        <v>1</v>
      </c>
      <c r="J2684" s="14" t="b">
        <f>OR(LCI_Table[[#This Row],[Technology]]="All",LCI_Table[[#This Row],[Technology]]=SelectedTechnology)</f>
        <v>0</v>
      </c>
      <c r="K2684" s="14" t="b">
        <f>OR(LCI_Table[[#This Row],[Data Source]]="All",LCI_Table[[#This Row],[Data Source]]=SelectedDataSource)</f>
        <v>1</v>
      </c>
      <c r="L2684" s="14" t="b">
        <v>0</v>
      </c>
      <c r="M2684" s="14" t="b">
        <f>(LCI_Table[[#This Row],[Dev Notes]]="Do not display")</f>
        <v>0</v>
      </c>
      <c r="N2684" s="14" t="b">
        <f>AND(LCI_Table[[#This Row],[Show Feedstock]:[Conditional]],NOT(LCI_Table[[#This Row],[Hide Row]]))</f>
        <v>0</v>
      </c>
      <c r="O2684" s="14" t="b">
        <f>LCI_Table[[#This Row],[GREET1 Name Range]]=""</f>
        <v>1</v>
      </c>
      <c r="P2684" s="387" t="s">
        <v>1448</v>
      </c>
      <c r="Q2684" s="14"/>
      <c r="R2684" s="14" t="s">
        <v>1862</v>
      </c>
      <c r="S2684" s="37" cm="1">
        <f t="array" aca="1" ref="S26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119776.62149420771</v>
      </c>
      <c r="T2684" s="346" t="s">
        <v>227</v>
      </c>
      <c r="U2684" s="389">
        <f t="shared" ca="1" si="194"/>
        <v>119776.62149420771</v>
      </c>
      <c r="V2684" s="389">
        <f>Fuel_Specs!$L$34</f>
        <v>119776.62149420771</v>
      </c>
      <c r="W2684" s="389">
        <v>119776.62149420771</v>
      </c>
      <c r="X2684" s="37"/>
      <c r="Y2684" s="346"/>
      <c r="Z2684" s="14" t="str">
        <f>IF(ISBLANK(LCI_Table[[#This Row],[Notes for user]])," ",LCI_Table[[#This Row],[Notes for user]])</f>
        <v xml:space="preserve"> </v>
      </c>
      <c r="AA2684" s="14"/>
      <c r="AB2684" s="14"/>
      <c r="AC2684" s="346">
        <f ca="1">LCI_Table[[#This Row],[Default Calculated Value]]-LCI_Table[[#This Row],[Calculated Value]]</f>
        <v>0</v>
      </c>
    </row>
    <row r="2685" spans="1:29" x14ac:dyDescent="0.3">
      <c r="A26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Facilities_Renewable diesel production_SAF Production</v>
      </c>
      <c r="B2685" s="382" t="s">
        <v>136</v>
      </c>
      <c r="C2685" s="382" t="s">
        <v>1964</v>
      </c>
      <c r="D2685" s="385" t="s">
        <v>29</v>
      </c>
      <c r="E2685" s="386" t="s">
        <v>29</v>
      </c>
      <c r="F2685" s="181" t="s">
        <v>1592</v>
      </c>
      <c r="G2685" s="14" t="b">
        <f>OR(LCI_Table[[#This Row],[Feedstock]]="All",LCI_Table[[#This Row],[Feedstock]]=SelectedFeedstock)</f>
        <v>0</v>
      </c>
      <c r="H2685" s="14" t="b">
        <f>OR(LCI_Table[[#This Row],[Conversion]]="All",LCI_Table[[#This Row],[Conversion]]=SelectedConversion)</f>
        <v>0</v>
      </c>
      <c r="I2685" s="14" t="b">
        <f>OR(LCI_Table[[#This Row],[Data Set]]="all",LCI_Table[[#This Row],[Data Set]]=SelectedDataSet)</f>
        <v>1</v>
      </c>
      <c r="J2685" s="14" t="b">
        <f>OR(LCI_Table[[#This Row],[Technology]]="All",LCI_Table[[#This Row],[Technology]]=SelectedTechnology)</f>
        <v>0</v>
      </c>
      <c r="K2685" s="14" t="b">
        <f>OR(LCI_Table[[#This Row],[Data Source]]="All",LCI_Table[[#This Row],[Data Source]]=SelectedDataSource)</f>
        <v>1</v>
      </c>
      <c r="L2685" s="14" t="b">
        <f>TRUE</f>
        <v>1</v>
      </c>
      <c r="M2685" s="14" t="b">
        <f>(LCI_Table[[#This Row],[Dev Notes]]="Do not display")</f>
        <v>0</v>
      </c>
      <c r="N2685" s="14" t="b">
        <f>AND(LCI_Table[[#This Row],[Show Feedstock]:[Conditional]],NOT(LCI_Table[[#This Row],[Hide Row]]))</f>
        <v>0</v>
      </c>
      <c r="O2685" s="14" t="b">
        <f>LCI_Table[[#This Row],[GREET1 Name Range]]=""</f>
        <v>1</v>
      </c>
      <c r="P2685" s="387" t="s">
        <v>1448</v>
      </c>
      <c r="Q2685" s="14"/>
      <c r="R2685" s="14" t="s">
        <v>1716</v>
      </c>
      <c r="S2685" s="37" cm="1">
        <f t="array" aca="1" ref="S26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3.07494923896517</v>
      </c>
      <c r="T2685" s="346" t="s">
        <v>1859</v>
      </c>
      <c r="U2685" s="389">
        <f t="shared" ca="1" si="194"/>
        <v>3.07494923896517</v>
      </c>
      <c r="V2685" s="430">
        <v>3.07494923896517</v>
      </c>
      <c r="W2685" s="389">
        <v>2.9299044635422904</v>
      </c>
      <c r="X2685" s="37"/>
      <c r="Y2685" s="346"/>
      <c r="Z2685" s="14" t="str">
        <f>IF(ISBLANK(LCI_Table[[#This Row],[Notes for user]])," ",LCI_Table[[#This Row],[Notes for user]])</f>
        <v xml:space="preserve"> </v>
      </c>
      <c r="AA2685" s="14"/>
      <c r="AB2685" s="14"/>
      <c r="AC2685" s="346">
        <f ca="1">LCI_Table[[#This Row],[Default Calculated Value]]-LCI_Table[[#This Row],[Calculated Value]]</f>
        <v>-0.14504477542287963</v>
      </c>
    </row>
    <row r="2686" spans="1:29" x14ac:dyDescent="0.3">
      <c r="A26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   Lower heating value of renewable diesel_SAF Production</v>
      </c>
      <c r="B2686" s="382" t="s">
        <v>136</v>
      </c>
      <c r="C2686" s="382" t="s">
        <v>1964</v>
      </c>
      <c r="D2686" s="385" t="s">
        <v>29</v>
      </c>
      <c r="E2686" s="386" t="s">
        <v>29</v>
      </c>
      <c r="F2686" s="181" t="s">
        <v>1592</v>
      </c>
      <c r="G2686" s="14" t="b">
        <f>OR(LCI_Table[[#This Row],[Feedstock]]="All",LCI_Table[[#This Row],[Feedstock]]=SelectedFeedstock)</f>
        <v>0</v>
      </c>
      <c r="H2686" s="14" t="b">
        <f>OR(LCI_Table[[#This Row],[Conversion]]="All",LCI_Table[[#This Row],[Conversion]]=SelectedConversion)</f>
        <v>0</v>
      </c>
      <c r="I2686" s="14" t="b">
        <f>OR(LCI_Table[[#This Row],[Data Set]]="all",LCI_Table[[#This Row],[Data Set]]=SelectedDataSet)</f>
        <v>1</v>
      </c>
      <c r="J2686" s="14" t="b">
        <f>OR(LCI_Table[[#This Row],[Technology]]="All",LCI_Table[[#This Row],[Technology]]=SelectedTechnology)</f>
        <v>0</v>
      </c>
      <c r="K2686" s="14" t="b">
        <f>OR(LCI_Table[[#This Row],[Data Source]]="All",LCI_Table[[#This Row],[Data Source]]=SelectedDataSource)</f>
        <v>1</v>
      </c>
      <c r="L2686" s="14" t="b">
        <v>0</v>
      </c>
      <c r="M2686" s="14" t="b">
        <f>(LCI_Table[[#This Row],[Dev Notes]]="Do not display")</f>
        <v>0</v>
      </c>
      <c r="N2686" s="14" t="b">
        <f>AND(LCI_Table[[#This Row],[Show Feedstock]:[Conditional]],NOT(LCI_Table[[#This Row],[Hide Row]]))</f>
        <v>0</v>
      </c>
      <c r="O2686" s="14" t="b">
        <f>LCI_Table[[#This Row],[GREET1 Name Range]]=""</f>
        <v>1</v>
      </c>
      <c r="P2686" s="387" t="s">
        <v>1448</v>
      </c>
      <c r="Q2686" s="14"/>
      <c r="R2686" s="14" t="s">
        <v>1863</v>
      </c>
      <c r="S2686" s="37" cm="1">
        <f t="array" aca="1" ref="S26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122887</v>
      </c>
      <c r="T2686" s="346" t="s">
        <v>227</v>
      </c>
      <c r="U2686" s="389">
        <f t="shared" ca="1" si="194"/>
        <v>122887</v>
      </c>
      <c r="V2686" s="389">
        <f>Fuel_Specs!$L$35</f>
        <v>122887</v>
      </c>
      <c r="W2686" s="389">
        <v>122887</v>
      </c>
      <c r="X2686" s="37"/>
      <c r="Y2686" s="346"/>
      <c r="Z2686" s="14" t="str">
        <f>IF(ISBLANK(LCI_Table[[#This Row],[Notes for user]])," ",LCI_Table[[#This Row],[Notes for user]])</f>
        <v xml:space="preserve"> </v>
      </c>
      <c r="AA2686" s="14"/>
      <c r="AB2686" s="14"/>
      <c r="AC2686" s="346">
        <f ca="1">LCI_Table[[#This Row],[Default Calculated Value]]-LCI_Table[[#This Row],[Calculated Value]]</f>
        <v>0</v>
      </c>
    </row>
    <row r="2687" spans="1:29" x14ac:dyDescent="0.3">
      <c r="A26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Facilities_Renewable gasoline production_SAF Production</v>
      </c>
      <c r="B2687" s="382" t="s">
        <v>136</v>
      </c>
      <c r="C2687" s="382" t="s">
        <v>1964</v>
      </c>
      <c r="D2687" s="385" t="s">
        <v>29</v>
      </c>
      <c r="E2687" s="386" t="s">
        <v>29</v>
      </c>
      <c r="F2687" s="181" t="s">
        <v>1592</v>
      </c>
      <c r="G2687" s="14" t="b">
        <f>OR(LCI_Table[[#This Row],[Feedstock]]="All",LCI_Table[[#This Row],[Feedstock]]=SelectedFeedstock)</f>
        <v>0</v>
      </c>
      <c r="H2687" s="14" t="b">
        <f>OR(LCI_Table[[#This Row],[Conversion]]="All",LCI_Table[[#This Row],[Conversion]]=SelectedConversion)</f>
        <v>0</v>
      </c>
      <c r="I2687" s="14" t="b">
        <f>OR(LCI_Table[[#This Row],[Data Set]]="all",LCI_Table[[#This Row],[Data Set]]=SelectedDataSet)</f>
        <v>1</v>
      </c>
      <c r="J2687" s="14" t="b">
        <f>OR(LCI_Table[[#This Row],[Technology]]="All",LCI_Table[[#This Row],[Technology]]=SelectedTechnology)</f>
        <v>0</v>
      </c>
      <c r="K2687" s="14" t="b">
        <f>OR(LCI_Table[[#This Row],[Data Source]]="All",LCI_Table[[#This Row],[Data Source]]=SelectedDataSource)</f>
        <v>1</v>
      </c>
      <c r="L2687" s="14" t="b">
        <f>TRUE</f>
        <v>1</v>
      </c>
      <c r="M2687" s="14" t="b">
        <f>(LCI_Table[[#This Row],[Dev Notes]]="Do not display")</f>
        <v>0</v>
      </c>
      <c r="N2687" s="14" t="b">
        <f>AND(LCI_Table[[#This Row],[Show Feedstock]:[Conditional]],NOT(LCI_Table[[#This Row],[Hide Row]]))</f>
        <v>0</v>
      </c>
      <c r="O2687" s="14" t="b">
        <f>LCI_Table[[#This Row],[GREET1 Name Range]]=""</f>
        <v>1</v>
      </c>
      <c r="P2687" s="387" t="s">
        <v>1448</v>
      </c>
      <c r="Q2687" s="14"/>
      <c r="R2687" s="14" t="s">
        <v>1864</v>
      </c>
      <c r="S2687" s="37" cm="1">
        <f t="array" aca="1" ref="S26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87" s="346" t="s">
        <v>1859</v>
      </c>
      <c r="U2687" s="389">
        <f t="shared" ca="1" si="194"/>
        <v>0</v>
      </c>
      <c r="V2687" s="389">
        <v>0</v>
      </c>
      <c r="W2687" s="389">
        <v>0</v>
      </c>
      <c r="X2687" s="37"/>
      <c r="Y2687" s="346"/>
      <c r="Z2687" s="14" t="str">
        <f>IF(ISBLANK(LCI_Table[[#This Row],[Notes for user]])," ",LCI_Table[[#This Row],[Notes for user]])</f>
        <v xml:space="preserve"> </v>
      </c>
      <c r="AA2687" s="14"/>
      <c r="AB2687" s="14"/>
      <c r="AC2687" s="346">
        <f ca="1">LCI_Table[[#This Row],[Default Calculated Value]]-LCI_Table[[#This Row],[Calculated Value]]</f>
        <v>0</v>
      </c>
    </row>
    <row r="2688" spans="1:29" x14ac:dyDescent="0.3">
      <c r="A26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   Lower heating value of renewable gasoline_SAF Production</v>
      </c>
      <c r="B2688" s="382" t="s">
        <v>136</v>
      </c>
      <c r="C2688" s="382" t="s">
        <v>1964</v>
      </c>
      <c r="D2688" s="385" t="s">
        <v>29</v>
      </c>
      <c r="E2688" s="386" t="s">
        <v>29</v>
      </c>
      <c r="F2688" s="181" t="s">
        <v>1592</v>
      </c>
      <c r="G2688" s="14" t="b">
        <f>OR(LCI_Table[[#This Row],[Feedstock]]="All",LCI_Table[[#This Row],[Feedstock]]=SelectedFeedstock)</f>
        <v>0</v>
      </c>
      <c r="H2688" s="14" t="b">
        <f>OR(LCI_Table[[#This Row],[Conversion]]="All",LCI_Table[[#This Row],[Conversion]]=SelectedConversion)</f>
        <v>0</v>
      </c>
      <c r="I2688" s="14" t="b">
        <f>OR(LCI_Table[[#This Row],[Data Set]]="all",LCI_Table[[#This Row],[Data Set]]=SelectedDataSet)</f>
        <v>1</v>
      </c>
      <c r="J2688" s="14" t="b">
        <f>OR(LCI_Table[[#This Row],[Technology]]="All",LCI_Table[[#This Row],[Technology]]=SelectedTechnology)</f>
        <v>0</v>
      </c>
      <c r="K2688" s="14" t="b">
        <f>OR(LCI_Table[[#This Row],[Data Source]]="All",LCI_Table[[#This Row],[Data Source]]=SelectedDataSource)</f>
        <v>1</v>
      </c>
      <c r="L2688" s="14" t="b">
        <v>0</v>
      </c>
      <c r="M2688" s="14" t="b">
        <f>(LCI_Table[[#This Row],[Dev Notes]]="Do not display")</f>
        <v>0</v>
      </c>
      <c r="N2688" s="14" t="b">
        <f>AND(LCI_Table[[#This Row],[Show Feedstock]:[Conditional]],NOT(LCI_Table[[#This Row],[Hide Row]]))</f>
        <v>0</v>
      </c>
      <c r="O2688" s="14" t="b">
        <f>LCI_Table[[#This Row],[GREET1 Name Range]]=""</f>
        <v>1</v>
      </c>
      <c r="P2688" s="387" t="s">
        <v>1448</v>
      </c>
      <c r="Q2688" s="14"/>
      <c r="R2688" s="14" t="s">
        <v>1865</v>
      </c>
      <c r="S2688" s="37" cm="1">
        <f t="array" aca="1" ref="S26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113309</v>
      </c>
      <c r="T2688" s="346" t="s">
        <v>227</v>
      </c>
      <c r="U2688" s="389">
        <f t="shared" ca="1" si="194"/>
        <v>113309</v>
      </c>
      <c r="V2688" s="389">
        <f>Fuel_Specs!$L$36</f>
        <v>113309</v>
      </c>
      <c r="W2688" s="389">
        <v>113309</v>
      </c>
      <c r="X2688" s="37"/>
      <c r="Y2688" s="346"/>
      <c r="Z2688" s="14" t="str">
        <f>IF(ISBLANK(LCI_Table[[#This Row],[Notes for user]])," ",LCI_Table[[#This Row],[Notes for user]])</f>
        <v xml:space="preserve"> </v>
      </c>
      <c r="AA2688" s="14"/>
      <c r="AB2688" s="14"/>
      <c r="AC2688" s="346">
        <f ca="1">LCI_Table[[#This Row],[Default Calculated Value]]-LCI_Table[[#This Row],[Calculated Value]]</f>
        <v>0</v>
      </c>
    </row>
    <row r="2689" spans="1:29" x14ac:dyDescent="0.3">
      <c r="A26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Facilities_Renewable naphtha production_SAF Production</v>
      </c>
      <c r="B2689" s="382" t="s">
        <v>136</v>
      </c>
      <c r="C2689" s="382" t="s">
        <v>1964</v>
      </c>
      <c r="D2689" s="385" t="s">
        <v>29</v>
      </c>
      <c r="E2689" s="386" t="s">
        <v>29</v>
      </c>
      <c r="F2689" s="181" t="s">
        <v>1592</v>
      </c>
      <c r="G2689" s="14" t="b">
        <f>OR(LCI_Table[[#This Row],[Feedstock]]="All",LCI_Table[[#This Row],[Feedstock]]=SelectedFeedstock)</f>
        <v>0</v>
      </c>
      <c r="H2689" s="14" t="b">
        <f>OR(LCI_Table[[#This Row],[Conversion]]="All",LCI_Table[[#This Row],[Conversion]]=SelectedConversion)</f>
        <v>0</v>
      </c>
      <c r="I2689" s="14" t="b">
        <f>OR(LCI_Table[[#This Row],[Data Set]]="all",LCI_Table[[#This Row],[Data Set]]=SelectedDataSet)</f>
        <v>1</v>
      </c>
      <c r="J2689" s="14" t="b">
        <f>OR(LCI_Table[[#This Row],[Technology]]="All",LCI_Table[[#This Row],[Technology]]=SelectedTechnology)</f>
        <v>0</v>
      </c>
      <c r="K2689" s="14" t="b">
        <f>OR(LCI_Table[[#This Row],[Data Source]]="All",LCI_Table[[#This Row],[Data Source]]=SelectedDataSource)</f>
        <v>1</v>
      </c>
      <c r="L2689" s="14" t="b">
        <f>TRUE</f>
        <v>1</v>
      </c>
      <c r="M2689" s="14" t="b">
        <f>(LCI_Table[[#This Row],[Dev Notes]]="Do not display")</f>
        <v>0</v>
      </c>
      <c r="N2689" s="14" t="b">
        <f>AND(LCI_Table[[#This Row],[Show Feedstock]:[Conditional]],NOT(LCI_Table[[#This Row],[Hide Row]]))</f>
        <v>0</v>
      </c>
      <c r="O2689" s="14" t="b">
        <f>LCI_Table[[#This Row],[GREET1 Name Range]]=""</f>
        <v>1</v>
      </c>
      <c r="P2689" s="387" t="s">
        <v>1448</v>
      </c>
      <c r="Q2689" s="14"/>
      <c r="R2689" s="14" t="s">
        <v>1866</v>
      </c>
      <c r="S2689" s="37" cm="1">
        <f t="array" aca="1" ref="S26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89" s="346" t="s">
        <v>1859</v>
      </c>
      <c r="U2689" s="389">
        <f t="shared" ca="1" si="194"/>
        <v>0</v>
      </c>
      <c r="V2689" s="389">
        <v>0</v>
      </c>
      <c r="W2689" s="389">
        <v>0</v>
      </c>
      <c r="X2689" s="37"/>
      <c r="Y2689" s="346"/>
      <c r="Z2689" s="14" t="str">
        <f>IF(ISBLANK(LCI_Table[[#This Row],[Notes for user]])," ",LCI_Table[[#This Row],[Notes for user]])</f>
        <v xml:space="preserve"> </v>
      </c>
      <c r="AA2689" s="14"/>
      <c r="AB2689" s="14"/>
      <c r="AC2689" s="346">
        <f ca="1">LCI_Table[[#This Row],[Default Calculated Value]]-LCI_Table[[#This Row],[Calculated Value]]</f>
        <v>0</v>
      </c>
    </row>
    <row r="2690" spans="1:29" x14ac:dyDescent="0.3">
      <c r="A26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   Lower heating value of renewable naphtha_SAF Production</v>
      </c>
      <c r="B2690" s="382" t="s">
        <v>136</v>
      </c>
      <c r="C2690" s="382" t="s">
        <v>1964</v>
      </c>
      <c r="D2690" s="385" t="s">
        <v>29</v>
      </c>
      <c r="E2690" s="386" t="s">
        <v>29</v>
      </c>
      <c r="F2690" s="181" t="s">
        <v>1592</v>
      </c>
      <c r="G2690" s="14" t="b">
        <f>OR(LCI_Table[[#This Row],[Feedstock]]="All",LCI_Table[[#This Row],[Feedstock]]=SelectedFeedstock)</f>
        <v>0</v>
      </c>
      <c r="H2690" s="14" t="b">
        <f>OR(LCI_Table[[#This Row],[Conversion]]="All",LCI_Table[[#This Row],[Conversion]]=SelectedConversion)</f>
        <v>0</v>
      </c>
      <c r="I2690" s="14" t="b">
        <f>OR(LCI_Table[[#This Row],[Data Set]]="all",LCI_Table[[#This Row],[Data Set]]=SelectedDataSet)</f>
        <v>1</v>
      </c>
      <c r="J2690" s="14" t="b">
        <f>OR(LCI_Table[[#This Row],[Technology]]="All",LCI_Table[[#This Row],[Technology]]=SelectedTechnology)</f>
        <v>0</v>
      </c>
      <c r="K2690" s="14" t="b">
        <f>OR(LCI_Table[[#This Row],[Data Source]]="All",LCI_Table[[#This Row],[Data Source]]=SelectedDataSource)</f>
        <v>1</v>
      </c>
      <c r="L2690" s="14" t="b">
        <v>0</v>
      </c>
      <c r="M2690" s="14" t="b">
        <f>(LCI_Table[[#This Row],[Dev Notes]]="Do not display")</f>
        <v>0</v>
      </c>
      <c r="N2690" s="14" t="b">
        <f>AND(LCI_Table[[#This Row],[Show Feedstock]:[Conditional]],NOT(LCI_Table[[#This Row],[Hide Row]]))</f>
        <v>0</v>
      </c>
      <c r="O2690" s="14" t="b">
        <f>LCI_Table[[#This Row],[GREET1 Name Range]]=""</f>
        <v>1</v>
      </c>
      <c r="P2690" s="387" t="s">
        <v>1448</v>
      </c>
      <c r="Q2690" s="14"/>
      <c r="R2690" s="14" t="s">
        <v>1867</v>
      </c>
      <c r="S2690" s="37" cm="1">
        <f t="array" aca="1" ref="S26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113309</v>
      </c>
      <c r="T2690" s="346" t="s">
        <v>227</v>
      </c>
      <c r="U2690" s="389">
        <f t="shared" ca="1" si="194"/>
        <v>113309</v>
      </c>
      <c r="V2690" s="389">
        <f>Fuel_Specs!$L$37</f>
        <v>113309</v>
      </c>
      <c r="W2690" s="389">
        <v>113309</v>
      </c>
      <c r="X2690" s="37"/>
      <c r="Y2690" s="346"/>
      <c r="Z2690" s="14" t="str">
        <f>IF(ISBLANK(LCI_Table[[#This Row],[Notes for user]])," ",LCI_Table[[#This Row],[Notes for user]])</f>
        <v xml:space="preserve"> </v>
      </c>
      <c r="AA2690" s="14"/>
      <c r="AB2690" s="14"/>
      <c r="AC2690" s="346">
        <f ca="1">LCI_Table[[#This Row],[Default Calculated Value]]-LCI_Table[[#This Row],[Calculated Value]]</f>
        <v>0</v>
      </c>
    </row>
    <row r="2691" spans="1:29" x14ac:dyDescent="0.3">
      <c r="A26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Facilities_Total fuel production _SAF Production</v>
      </c>
      <c r="B2691" s="382" t="s">
        <v>136</v>
      </c>
      <c r="C2691" s="382" t="s">
        <v>1964</v>
      </c>
      <c r="D2691" s="385" t="s">
        <v>29</v>
      </c>
      <c r="E2691" s="386" t="s">
        <v>29</v>
      </c>
      <c r="F2691" s="181" t="s">
        <v>1592</v>
      </c>
      <c r="G2691" s="14" t="b">
        <f>OR(LCI_Table[[#This Row],[Feedstock]]="All",LCI_Table[[#This Row],[Feedstock]]=SelectedFeedstock)</f>
        <v>0</v>
      </c>
      <c r="H2691" s="14" t="b">
        <f>OR(LCI_Table[[#This Row],[Conversion]]="All",LCI_Table[[#This Row],[Conversion]]=SelectedConversion)</f>
        <v>0</v>
      </c>
      <c r="I2691" s="14" t="b">
        <f>OR(LCI_Table[[#This Row],[Data Set]]="all",LCI_Table[[#This Row],[Data Set]]=SelectedDataSet)</f>
        <v>1</v>
      </c>
      <c r="J2691" s="14" t="b">
        <f>OR(LCI_Table[[#This Row],[Technology]]="All",LCI_Table[[#This Row],[Technology]]=SelectedTechnology)</f>
        <v>0</v>
      </c>
      <c r="K2691" s="14" t="b">
        <f>OR(LCI_Table[[#This Row],[Data Source]]="All",LCI_Table[[#This Row],[Data Source]]=SelectedDataSource)</f>
        <v>1</v>
      </c>
      <c r="L2691" s="14" t="b">
        <v>0</v>
      </c>
      <c r="M2691" s="14" t="b">
        <f>(LCI_Table[[#This Row],[Dev Notes]]="Do not display")</f>
        <v>0</v>
      </c>
      <c r="N2691" s="14" t="b">
        <f>AND(LCI_Table[[#This Row],[Show Feedstock]:[Conditional]],NOT(LCI_Table[[#This Row],[Hide Row]]))</f>
        <v>0</v>
      </c>
      <c r="O2691" s="14" t="b">
        <f>LCI_Table[[#This Row],[GREET1 Name Range]]=""</f>
        <v>1</v>
      </c>
      <c r="P2691" s="387" t="s">
        <v>1448</v>
      </c>
      <c r="Q2691" s="14"/>
      <c r="R2691" s="14" t="s">
        <v>1868</v>
      </c>
      <c r="S2691" s="37" cm="1">
        <f t="array" aca="1" ref="S26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7557425.7425742559</v>
      </c>
      <c r="T2691" s="346" t="s">
        <v>1860</v>
      </c>
      <c r="U2691" s="389">
        <f t="shared" ca="1" si="194"/>
        <v>7557425.7425742559</v>
      </c>
      <c r="V2691" s="389">
        <f ca="1">S2683*S2684+S2685*S2686+S2687*S2688+S2689*S2690</f>
        <v>7557425.7425742559</v>
      </c>
      <c r="W2691" s="389">
        <v>7200943.3962263986</v>
      </c>
      <c r="X2691" s="37"/>
      <c r="Y2691" s="346"/>
      <c r="Z2691" s="14" t="str">
        <f>IF(ISBLANK(LCI_Table[[#This Row],[Notes for user]])," ",LCI_Table[[#This Row],[Notes for user]])</f>
        <v xml:space="preserve"> </v>
      </c>
      <c r="AA2691" s="14"/>
      <c r="AB2691" s="14"/>
      <c r="AC2691" s="346">
        <f ca="1">LCI_Table[[#This Row],[Default Calculated Value]]-LCI_Table[[#This Row],[Calculated Value]]</f>
        <v>-356482.34634785727</v>
      </c>
    </row>
    <row r="2692" spans="1:29" x14ac:dyDescent="0.3">
      <c r="A26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Facilities_ETJ_Standalone_EthanolFeedstock: Ethanol consumption</v>
      </c>
      <c r="B2692" s="381" t="s">
        <v>136</v>
      </c>
      <c r="C2692" s="381" t="s">
        <v>1964</v>
      </c>
      <c r="D2692" s="383" t="s">
        <v>29</v>
      </c>
      <c r="E2692" s="384" t="s">
        <v>29</v>
      </c>
      <c r="F2692" s="181" t="s">
        <v>1592</v>
      </c>
      <c r="G2692" s="14" t="b">
        <f>OR(LCI_Table[[#This Row],[Feedstock]]="All",LCI_Table[[#This Row],[Feedstock]]=SelectedFeedstock)</f>
        <v>0</v>
      </c>
      <c r="H2692" s="14" t="b">
        <f>OR(LCI_Table[[#This Row],[Conversion]]="All",LCI_Table[[#This Row],[Conversion]]=SelectedConversion)</f>
        <v>0</v>
      </c>
      <c r="I2692" s="14" t="b">
        <f>OR(LCI_Table[[#This Row],[Data Set]]="all",LCI_Table[[#This Row],[Data Set]]=SelectedDataSet)</f>
        <v>1</v>
      </c>
      <c r="J2692" s="14" t="b">
        <f>OR(LCI_Table[[#This Row],[Technology]]="All",LCI_Table[[#This Row],[Technology]]=SelectedTechnology)</f>
        <v>0</v>
      </c>
      <c r="K2692" s="14" t="b">
        <f>OR(LCI_Table[[#This Row],[Data Source]]="All",LCI_Table[[#This Row],[Data Source]]=SelectedDataSource)</f>
        <v>1</v>
      </c>
      <c r="L2692" s="14" t="b">
        <f>TRUE</f>
        <v>1</v>
      </c>
      <c r="M2692" s="14" t="b">
        <f>(LCI_Table[[#This Row],[Dev Notes]]="Do not display")</f>
        <v>0</v>
      </c>
      <c r="N2692" s="14" t="b">
        <f>AND(LCI_Table[[#This Row],[Show Feedstock]:[Conditional]],NOT(LCI_Table[[#This Row],[Hide Row]]))</f>
        <v>0</v>
      </c>
      <c r="O2692" s="14" t="b">
        <f>LCI_Table[[#This Row],[GREET1 Name Range]]=""</f>
        <v>0</v>
      </c>
      <c r="P2692" s="387" t="s">
        <v>1448</v>
      </c>
      <c r="Q2692" s="14" t="s">
        <v>1635</v>
      </c>
      <c r="R2692" s="14" t="s">
        <v>1720</v>
      </c>
      <c r="S2692" s="37" cm="1">
        <f t="array" aca="1" ref="S26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100</v>
      </c>
      <c r="T2692" s="346" t="s">
        <v>1859</v>
      </c>
      <c r="U2692" s="351">
        <f ca="1">LCI_Table[[#This Row],[Dashboard Value]]*Fuel_Specs!$B$31/$U$2691</f>
        <v>1.0100000000000002</v>
      </c>
      <c r="V2692" s="351">
        <v>100</v>
      </c>
      <c r="W2692" s="351">
        <v>1.0600000000000025</v>
      </c>
      <c r="X2692" s="37"/>
      <c r="Y2692" s="346"/>
      <c r="Z2692" s="14" t="str">
        <f>IF(ISBLANK(LCI_Table[[#This Row],[Notes for user]])," ",LCI_Table[[#This Row],[Notes for user]])</f>
        <v>Denatured ethanol</v>
      </c>
      <c r="AA2692" s="14" t="s">
        <v>1717</v>
      </c>
      <c r="AB2692" s="14"/>
      <c r="AC2692" s="346">
        <f ca="1">LCI_Table[[#This Row],[Default Calculated Value]]-LCI_Table[[#This Row],[Calculated Value]]</f>
        <v>5.0000000000002265E-2</v>
      </c>
    </row>
    <row r="2693" spans="1:29" x14ac:dyDescent="0.3">
      <c r="A26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Facilities_ETJ_Standalone_NGTotal NG/RNG consumption</v>
      </c>
      <c r="B2693" s="381" t="s">
        <v>136</v>
      </c>
      <c r="C2693" s="381" t="s">
        <v>1964</v>
      </c>
      <c r="D2693" s="383" t="s">
        <v>29</v>
      </c>
      <c r="E2693" s="384" t="s">
        <v>29</v>
      </c>
      <c r="F2693" s="181" t="s">
        <v>1592</v>
      </c>
      <c r="G2693" s="14" t="b">
        <f>OR(LCI_Table[[#This Row],[Feedstock]]="All",LCI_Table[[#This Row],[Feedstock]]=SelectedFeedstock)</f>
        <v>0</v>
      </c>
      <c r="H2693" s="14" t="b">
        <f>OR(LCI_Table[[#This Row],[Conversion]]="All",LCI_Table[[#This Row],[Conversion]]=SelectedConversion)</f>
        <v>0</v>
      </c>
      <c r="I2693" s="14" t="b">
        <f>OR(LCI_Table[[#This Row],[Data Set]]="all",LCI_Table[[#This Row],[Data Set]]=SelectedDataSet)</f>
        <v>1</v>
      </c>
      <c r="J2693" s="14" t="b">
        <f>OR(LCI_Table[[#This Row],[Technology]]="All",LCI_Table[[#This Row],[Technology]]=SelectedTechnology)</f>
        <v>0</v>
      </c>
      <c r="K2693" s="14" t="b">
        <f>OR(LCI_Table[[#This Row],[Data Source]]="All",LCI_Table[[#This Row],[Data Source]]=SelectedDataSource)</f>
        <v>1</v>
      </c>
      <c r="L2693" s="14" t="b">
        <v>0</v>
      </c>
      <c r="M2693" s="14" t="b">
        <f>(LCI_Table[[#This Row],[Dev Notes]]="Do not display")</f>
        <v>0</v>
      </c>
      <c r="N2693" s="14" t="b">
        <f>AND(LCI_Table[[#This Row],[Show Feedstock]:[Conditional]],NOT(LCI_Table[[#This Row],[Hide Row]]))</f>
        <v>0</v>
      </c>
      <c r="O2693" s="14" t="b">
        <f>LCI_Table[[#This Row],[GREET1 Name Range]]=""</f>
        <v>0</v>
      </c>
      <c r="P2693" s="387" t="s">
        <v>1448</v>
      </c>
      <c r="Q2693" s="14" t="s">
        <v>1636</v>
      </c>
      <c r="R2693" s="14" t="s">
        <v>1861</v>
      </c>
      <c r="S2693" s="37" cm="1">
        <f t="array" aca="1" ref="S26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1296.1698113207553</v>
      </c>
      <c r="T2693" s="346" t="s">
        <v>2156</v>
      </c>
      <c r="U2693" s="351">
        <f ca="1">$S2693/$U$2691*1000</f>
        <v>0.17150943396226426</v>
      </c>
      <c r="V2693" s="390">
        <v>1296.1698113207553</v>
      </c>
      <c r="W2693" s="351">
        <v>0.18000000000000049</v>
      </c>
      <c r="X2693" s="360"/>
      <c r="Y2693" s="346"/>
      <c r="Z2693" s="14" t="str">
        <f>IF(ISBLANK(LCI_Table[[#This Row],[Notes for user]])," ",LCI_Table[[#This Row],[Notes for user]])</f>
        <v>Specify the source in the selection table below.</v>
      </c>
      <c r="AA2693" s="14" t="s">
        <v>1836</v>
      </c>
      <c r="AB2693" s="358"/>
      <c r="AC2693" s="346">
        <f ca="1">LCI_Table[[#This Row],[Default Calculated Value]]-LCI_Table[[#This Row],[Calculated Value]]</f>
        <v>8.4905660377362357E-3</v>
      </c>
    </row>
    <row r="2694" spans="1:29" x14ac:dyDescent="0.3">
      <c r="A26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Facilities_ETJ_Standalone_ElectricityGrid electricity (selected eGRID region)</v>
      </c>
      <c r="B2694" s="381" t="s">
        <v>136</v>
      </c>
      <c r="C2694" s="381" t="s">
        <v>1964</v>
      </c>
      <c r="D2694" s="383" t="s">
        <v>29</v>
      </c>
      <c r="E2694" s="384" t="s">
        <v>29</v>
      </c>
      <c r="F2694" s="181" t="s">
        <v>1592</v>
      </c>
      <c r="G2694" s="14" t="b">
        <f>OR(LCI_Table[[#This Row],[Feedstock]]="All",LCI_Table[[#This Row],[Feedstock]]=SelectedFeedstock)</f>
        <v>0</v>
      </c>
      <c r="H2694" s="14" t="b">
        <f>OR(LCI_Table[[#This Row],[Conversion]]="All",LCI_Table[[#This Row],[Conversion]]=SelectedConversion)</f>
        <v>0</v>
      </c>
      <c r="I2694" s="14" t="b">
        <f>OR(LCI_Table[[#This Row],[Data Set]]="all",LCI_Table[[#This Row],[Data Set]]=SelectedDataSet)</f>
        <v>1</v>
      </c>
      <c r="J2694" s="14" t="b">
        <f>OR(LCI_Table[[#This Row],[Technology]]="All",LCI_Table[[#This Row],[Technology]]=SelectedTechnology)</f>
        <v>0</v>
      </c>
      <c r="K2694" s="14" t="b">
        <f>OR(LCI_Table[[#This Row],[Data Source]]="All",LCI_Table[[#This Row],[Data Source]]=SelectedDataSource)</f>
        <v>1</v>
      </c>
      <c r="L2694" s="14" t="b">
        <f>TRUE</f>
        <v>1</v>
      </c>
      <c r="M2694" s="14" t="b">
        <f>(LCI_Table[[#This Row],[Dev Notes]]="Do not display")</f>
        <v>0</v>
      </c>
      <c r="N2694" s="14" t="b">
        <f>AND(LCI_Table[[#This Row],[Show Feedstock]:[Conditional]],NOT(LCI_Table[[#This Row],[Hide Row]]))</f>
        <v>0</v>
      </c>
      <c r="O2694" s="14" t="b">
        <f>LCI_Table[[#This Row],[GREET1 Name Range]]=""</f>
        <v>0</v>
      </c>
      <c r="P2694" s="387" t="s">
        <v>1448</v>
      </c>
      <c r="Q2694" s="14" t="s">
        <v>1637</v>
      </c>
      <c r="R2694" s="14" t="s">
        <v>1708</v>
      </c>
      <c r="S2694" s="37" cm="1">
        <f t="array" aca="1" ref="S26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110.74314223116059</v>
      </c>
      <c r="T2694" s="346" t="s">
        <v>1959</v>
      </c>
      <c r="U2694" s="351">
        <f ca="1">$S2694/$U$2691*kWh2BTU</f>
        <v>4.9999999999999996E-2</v>
      </c>
      <c r="V2694" s="432">
        <v>110.74314223116059</v>
      </c>
      <c r="W2694" s="351">
        <v>2.0000000000000059E-2</v>
      </c>
      <c r="X2694" s="37"/>
      <c r="Y2694" s="346"/>
      <c r="Z2694" s="14" t="str">
        <f>IF(ISBLANK(LCI_Table[[#This Row],[Notes for user]])," ",LCI_Table[[#This Row],[Notes for user]])</f>
        <v>Specify the source in the selection table below.</v>
      </c>
      <c r="AA2694" s="14" t="s">
        <v>1836</v>
      </c>
      <c r="AB2694" s="14"/>
      <c r="AC2694" s="346">
        <f ca="1">LCI_Table[[#This Row],[Default Calculated Value]]-LCI_Table[[#This Row],[Calculated Value]]</f>
        <v>-2.9999999999999936E-2</v>
      </c>
    </row>
    <row r="2695" spans="1:29" x14ac:dyDescent="0.3">
      <c r="A26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Facilities_Renewable Electricity Credit (REC)_SAF Production</v>
      </c>
      <c r="B2695" s="381" t="s">
        <v>136</v>
      </c>
      <c r="C2695" s="381" t="s">
        <v>1964</v>
      </c>
      <c r="D2695" s="383" t="s">
        <v>29</v>
      </c>
      <c r="E2695" s="384" t="s">
        <v>29</v>
      </c>
      <c r="F2695" s="181" t="s">
        <v>1592</v>
      </c>
      <c r="G2695" s="14" t="b">
        <f>OR(LCI_Table[[#This Row],[Feedstock]]="All",LCI_Table[[#This Row],[Feedstock]]=SelectedFeedstock)</f>
        <v>0</v>
      </c>
      <c r="H2695" s="14" t="b">
        <f>OR(LCI_Table[[#This Row],[Conversion]]="All",LCI_Table[[#This Row],[Conversion]]=SelectedConversion)</f>
        <v>0</v>
      </c>
      <c r="I2695" s="14" t="b">
        <f>OR(LCI_Table[[#This Row],[Data Set]]="all",LCI_Table[[#This Row],[Data Set]]=SelectedDataSet)</f>
        <v>1</v>
      </c>
      <c r="J2695" s="14" t="b">
        <f>OR(LCI_Table[[#This Row],[Technology]]="All",LCI_Table[[#This Row],[Technology]]=SelectedTechnology)</f>
        <v>0</v>
      </c>
      <c r="K2695" s="14" t="b">
        <f>OR(LCI_Table[[#This Row],[Data Source]]="All",LCI_Table[[#This Row],[Data Source]]=SelectedDataSource)</f>
        <v>1</v>
      </c>
      <c r="L2695" s="14" t="b">
        <f>TRUE</f>
        <v>1</v>
      </c>
      <c r="M2695" s="14" t="b">
        <f>(LCI_Table[[#This Row],[Dev Notes]]="Do not display")</f>
        <v>0</v>
      </c>
      <c r="N2695" s="14" t="b">
        <f>AND(LCI_Table[[#This Row],[Show Feedstock]:[Conditional]],NOT(LCI_Table[[#This Row],[Hide Row]]))</f>
        <v>0</v>
      </c>
      <c r="O2695" s="14" t="b">
        <f>LCI_Table[[#This Row],[GREET1 Name Range]]=""</f>
        <v>1</v>
      </c>
      <c r="P2695" s="387" t="s">
        <v>1448</v>
      </c>
      <c r="Q2695" s="14"/>
      <c r="R2695" s="14" t="s">
        <v>1709</v>
      </c>
      <c r="S2695" s="37" cm="1">
        <f t="array" aca="1" ref="S26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95" s="346" t="s">
        <v>1959</v>
      </c>
      <c r="U2695" s="351">
        <f ca="1">LCI_Table[[#This Row],[Dashboard Value]]</f>
        <v>0</v>
      </c>
      <c r="V2695" s="351">
        <v>0</v>
      </c>
      <c r="W2695" s="351">
        <v>0</v>
      </c>
      <c r="X2695" s="37"/>
      <c r="Y2695" s="346"/>
      <c r="Z2695" s="14" t="str">
        <f>IF(ISBLANK(LCI_Table[[#This Row],[Notes for user]])," ",LCI_Table[[#This Row],[Notes for user]])</f>
        <v xml:space="preserve"> </v>
      </c>
      <c r="AA2695" s="14"/>
      <c r="AB2695" s="14"/>
      <c r="AC2695" s="346">
        <f ca="1">LCI_Table[[#This Row],[Default Calculated Value]]-LCI_Table[[#This Row],[Calculated Value]]</f>
        <v>0</v>
      </c>
    </row>
    <row r="2696" spans="1:29" x14ac:dyDescent="0.3">
      <c r="A26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Facilities_Onsite behind-the-meter electricity_SAF Production</v>
      </c>
      <c r="B2696" s="381" t="s">
        <v>136</v>
      </c>
      <c r="C2696" s="381" t="s">
        <v>1964</v>
      </c>
      <c r="D2696" s="383" t="s">
        <v>29</v>
      </c>
      <c r="E2696" s="384" t="s">
        <v>29</v>
      </c>
      <c r="F2696" s="181" t="s">
        <v>1592</v>
      </c>
      <c r="G2696" s="14" t="b">
        <f>OR(LCI_Table[[#This Row],[Feedstock]]="All",LCI_Table[[#This Row],[Feedstock]]=SelectedFeedstock)</f>
        <v>0</v>
      </c>
      <c r="H2696" s="14" t="b">
        <f>OR(LCI_Table[[#This Row],[Conversion]]="All",LCI_Table[[#This Row],[Conversion]]=SelectedConversion)</f>
        <v>0</v>
      </c>
      <c r="I2696" s="14" t="b">
        <f>OR(LCI_Table[[#This Row],[Data Set]]="all",LCI_Table[[#This Row],[Data Set]]=SelectedDataSet)</f>
        <v>1</v>
      </c>
      <c r="J2696" s="14" t="b">
        <f>OR(LCI_Table[[#This Row],[Technology]]="All",LCI_Table[[#This Row],[Technology]]=SelectedTechnology)</f>
        <v>0</v>
      </c>
      <c r="K2696" s="14" t="b">
        <f>OR(LCI_Table[[#This Row],[Data Source]]="All",LCI_Table[[#This Row],[Data Source]]=SelectedDataSource)</f>
        <v>1</v>
      </c>
      <c r="L2696" s="14" t="b">
        <f>TRUE</f>
        <v>1</v>
      </c>
      <c r="M2696" s="14" t="b">
        <f>(LCI_Table[[#This Row],[Dev Notes]]="Do not display")</f>
        <v>0</v>
      </c>
      <c r="N2696" s="14" t="b">
        <f>AND(LCI_Table[[#This Row],[Show Feedstock]:[Conditional]],NOT(LCI_Table[[#This Row],[Hide Row]]))</f>
        <v>0</v>
      </c>
      <c r="O2696" s="14" t="b">
        <f>LCI_Table[[#This Row],[GREET1 Name Range]]=""</f>
        <v>1</v>
      </c>
      <c r="P2696" s="387" t="s">
        <v>1448</v>
      </c>
      <c r="Q2696" s="14"/>
      <c r="R2696" s="14" t="s">
        <v>1710</v>
      </c>
      <c r="S2696" s="37" cm="1">
        <f t="array" aca="1" ref="S26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696" s="346" t="s">
        <v>1959</v>
      </c>
      <c r="U2696" s="351">
        <f ca="1">LCI_Table[[#This Row],[Dashboard Value]]</f>
        <v>0</v>
      </c>
      <c r="V2696" s="351">
        <v>0</v>
      </c>
      <c r="W2696" s="351">
        <v>0</v>
      </c>
      <c r="X2696" s="37"/>
      <c r="Y2696" s="346"/>
      <c r="Z2696" s="14" t="str">
        <f>IF(ISBLANK(LCI_Table[[#This Row],[Notes for user]])," ",LCI_Table[[#This Row],[Notes for user]])</f>
        <v xml:space="preserve"> </v>
      </c>
      <c r="AA2696" s="14"/>
      <c r="AB2696" s="14"/>
      <c r="AC2696" s="346">
        <f ca="1">LCI_Table[[#This Row],[Default Calculated Value]]-LCI_Table[[#This Row],[Calculated Value]]</f>
        <v>0</v>
      </c>
    </row>
    <row r="2697" spans="1:29" x14ac:dyDescent="0.3">
      <c r="A26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Facilities_ETJ_Standalone_HydrogenTotal hydrogen consumption</v>
      </c>
      <c r="B2697" s="382" t="s">
        <v>136</v>
      </c>
      <c r="C2697" s="382" t="s">
        <v>1964</v>
      </c>
      <c r="D2697" s="385" t="s">
        <v>29</v>
      </c>
      <c r="E2697" s="386" t="s">
        <v>29</v>
      </c>
      <c r="F2697" s="181" t="s">
        <v>1592</v>
      </c>
      <c r="G2697" s="14" t="b">
        <f>OR(LCI_Table[[#This Row],[Feedstock]]="All",LCI_Table[[#This Row],[Feedstock]]=SelectedFeedstock)</f>
        <v>0</v>
      </c>
      <c r="H2697" s="14" t="b">
        <f>OR(LCI_Table[[#This Row],[Conversion]]="All",LCI_Table[[#This Row],[Conversion]]=SelectedConversion)</f>
        <v>0</v>
      </c>
      <c r="I2697" s="14" t="b">
        <f>OR(LCI_Table[[#This Row],[Data Set]]="all",LCI_Table[[#This Row],[Data Set]]=SelectedDataSet)</f>
        <v>1</v>
      </c>
      <c r="J2697" s="14" t="b">
        <f>OR(LCI_Table[[#This Row],[Technology]]="All",LCI_Table[[#This Row],[Technology]]=SelectedTechnology)</f>
        <v>0</v>
      </c>
      <c r="K2697" s="14" t="b">
        <f>OR(LCI_Table[[#This Row],[Data Source]]="All",LCI_Table[[#This Row],[Data Source]]=SelectedDataSource)</f>
        <v>1</v>
      </c>
      <c r="L2697" s="14" t="b">
        <v>0</v>
      </c>
      <c r="M2697" s="14" t="b">
        <f>(LCI_Table[[#This Row],[Dev Notes]]="Do not display")</f>
        <v>0</v>
      </c>
      <c r="N2697" s="14" t="b">
        <f>AND(LCI_Table[[#This Row],[Show Feedstock]:[Conditional]],NOT(LCI_Table[[#This Row],[Hide Row]]))</f>
        <v>0</v>
      </c>
      <c r="O2697" s="14" t="b">
        <f>LCI_Table[[#This Row],[GREET1 Name Range]]=""</f>
        <v>0</v>
      </c>
      <c r="P2697" s="387" t="s">
        <v>1448</v>
      </c>
      <c r="Q2697" s="14" t="s">
        <v>1638</v>
      </c>
      <c r="R2697" s="14" t="s">
        <v>1869</v>
      </c>
      <c r="S2697" s="37" cm="1">
        <f t="array" aca="1" ref="S26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3799.1184124918691</v>
      </c>
      <c r="T2697" s="346" t="s">
        <v>2157</v>
      </c>
      <c r="U2697" s="351">
        <f ca="1">LCI_Table[[#This Row],[Dashboard Value]]*MT2g/Fuel_Specs!$E$81*Fuel_Specs!$B$81*BTU2mmBTU/$U$2691</f>
        <v>5.716981132075475E-2</v>
      </c>
      <c r="V2697" s="389">
        <v>3799.1184124918691</v>
      </c>
      <c r="W2697" s="389">
        <v>6.0000000000000157E-2</v>
      </c>
      <c r="X2697" s="37"/>
      <c r="Y2697" s="346"/>
      <c r="Z2697" s="14" t="str">
        <f>IF(ISBLANK(LCI_Table[[#This Row],[Notes for user]])," ",LCI_Table[[#This Row],[Notes for user]])</f>
        <v>Specify the source in the selection table below.</v>
      </c>
      <c r="AA2697" s="14" t="s">
        <v>1836</v>
      </c>
      <c r="AB2697" s="14"/>
      <c r="AC2697" s="346">
        <f ca="1">LCI_Table[[#This Row],[Default Calculated Value]]-LCI_Table[[#This Row],[Calculated Value]]</f>
        <v>2.8301886792454073E-3</v>
      </c>
    </row>
    <row r="2698" spans="1:29" x14ac:dyDescent="0.3">
      <c r="A26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dash_SoybeanHEFAGREETGREET(blank)_SAF production_SAF Production</v>
      </c>
      <c r="B2698" s="48" t="s">
        <v>10</v>
      </c>
      <c r="C2698" s="48" t="s">
        <v>30</v>
      </c>
      <c r="D2698" s="48" t="s">
        <v>29</v>
      </c>
      <c r="E2698" s="48" t="s">
        <v>29</v>
      </c>
      <c r="F2698" s="48" t="s">
        <v>31</v>
      </c>
      <c r="G2698" s="14" t="b">
        <f>OR(LCI_Table[[#This Row],[Feedstock]]="All",LCI_Table[[#This Row],[Feedstock]]=SelectedFeedstock)</f>
        <v>0</v>
      </c>
      <c r="H2698" s="14" t="b">
        <f>OR(LCI_Table[[#This Row],[Conversion]]="All",LCI_Table[[#This Row],[Conversion]]=SelectedConversion)</f>
        <v>1</v>
      </c>
      <c r="I2698" s="14" t="b">
        <f>OR(LCI_Table[[#This Row],[Data Set]]="all",LCI_Table[[#This Row],[Data Set]]=SelectedDataSet)</f>
        <v>1</v>
      </c>
      <c r="J2698" s="14" t="b">
        <f>OR(LCI_Table[[#This Row],[Technology]]="All",LCI_Table[[#This Row],[Technology]]=SelectedTechnology)</f>
        <v>1</v>
      </c>
      <c r="K2698" s="14" t="b">
        <f>OR(LCI_Table[[#This Row],[Data Source]]="All",LCI_Table[[#This Row],[Data Source]]=SelectedDataSource)</f>
        <v>1</v>
      </c>
      <c r="L2698" s="14" t="b">
        <f>TRUE</f>
        <v>1</v>
      </c>
      <c r="M2698" s="14" t="b">
        <f>(LCI_Table[[#This Row],[Dev Notes]]="Do not display")</f>
        <v>0</v>
      </c>
      <c r="N2698" s="14" t="b">
        <f>AND(LCI_Table[[#This Row],[Show Feedstock]:[Conditional]],NOT(LCI_Table[[#This Row],[Hide Row]]))</f>
        <v>0</v>
      </c>
      <c r="O2698" s="14" t="b">
        <f>LCI_Table[[#This Row],[GREET1 Name Range]]=""</f>
        <v>1</v>
      </c>
      <c r="P2698" s="387" t="s">
        <v>1448</v>
      </c>
      <c r="Q2698" s="14"/>
      <c r="R2698" s="14" t="s">
        <v>1714</v>
      </c>
      <c r="S2698" s="37" cm="1">
        <f t="array" aca="1" ref="S26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30</v>
      </c>
      <c r="T2698" s="346" t="s">
        <v>1859</v>
      </c>
      <c r="U2698" s="389">
        <f t="shared" ref="U2698:U2706" ca="1" si="195">$S2698</f>
        <v>30</v>
      </c>
      <c r="V2698" s="389">
        <v>30</v>
      </c>
      <c r="W2698" s="389">
        <v>30</v>
      </c>
      <c r="X2698" s="37"/>
      <c r="Y2698" s="346"/>
      <c r="Z2698" s="14" t="str">
        <f>IF(ISBLANK(LCI_Table[[#This Row],[Notes for user]])," ",LCI_Table[[#This Row],[Notes for user]])</f>
        <v xml:space="preserve"> </v>
      </c>
      <c r="AA2698" s="14"/>
      <c r="AB2698" s="14"/>
      <c r="AC2698" s="346">
        <f ca="1">LCI_Table[[#This Row],[Default Calculated Value]]-LCI_Table[[#This Row],[Calculated Value]]</f>
        <v>0</v>
      </c>
    </row>
    <row r="2699" spans="1:29" x14ac:dyDescent="0.3">
      <c r="A26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dash_SoybeanHEFAGREETGREET(blank)_   Lower heating value of SAF_SAF Production</v>
      </c>
      <c r="B2699" s="48" t="s">
        <v>10</v>
      </c>
      <c r="C2699" s="48" t="s">
        <v>30</v>
      </c>
      <c r="D2699" s="48" t="s">
        <v>29</v>
      </c>
      <c r="E2699" s="48" t="s">
        <v>29</v>
      </c>
      <c r="F2699" s="48" t="s">
        <v>31</v>
      </c>
      <c r="G2699" s="14" t="b">
        <f>OR(LCI_Table[[#This Row],[Feedstock]]="All",LCI_Table[[#This Row],[Feedstock]]=SelectedFeedstock)</f>
        <v>0</v>
      </c>
      <c r="H2699" s="14" t="b">
        <f>OR(LCI_Table[[#This Row],[Conversion]]="All",LCI_Table[[#This Row],[Conversion]]=SelectedConversion)</f>
        <v>1</v>
      </c>
      <c r="I2699" s="14" t="b">
        <f>OR(LCI_Table[[#This Row],[Data Set]]="all",LCI_Table[[#This Row],[Data Set]]=SelectedDataSet)</f>
        <v>1</v>
      </c>
      <c r="J2699" s="14" t="b">
        <f>OR(LCI_Table[[#This Row],[Technology]]="All",LCI_Table[[#This Row],[Technology]]=SelectedTechnology)</f>
        <v>1</v>
      </c>
      <c r="K2699" s="14" t="b">
        <f>OR(LCI_Table[[#This Row],[Data Source]]="All",LCI_Table[[#This Row],[Data Source]]=SelectedDataSource)</f>
        <v>1</v>
      </c>
      <c r="L2699" s="14" t="b">
        <v>0</v>
      </c>
      <c r="M2699" s="14" t="b">
        <f>(LCI_Table[[#This Row],[Dev Notes]]="Do not display")</f>
        <v>0</v>
      </c>
      <c r="N2699" s="14" t="b">
        <f>AND(LCI_Table[[#This Row],[Show Feedstock]:[Conditional]],NOT(LCI_Table[[#This Row],[Hide Row]]))</f>
        <v>0</v>
      </c>
      <c r="O2699" s="14" t="b">
        <f>LCI_Table[[#This Row],[GREET1 Name Range]]=""</f>
        <v>1</v>
      </c>
      <c r="P2699" s="387" t="s">
        <v>1448</v>
      </c>
      <c r="Q2699" s="14"/>
      <c r="R2699" s="14" t="s">
        <v>1862</v>
      </c>
      <c r="S2699" s="37" cm="1">
        <f t="array" aca="1" ref="S26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119776.62149420771</v>
      </c>
      <c r="T2699" s="346" t="s">
        <v>227</v>
      </c>
      <c r="U2699" s="389">
        <f t="shared" ca="1" si="195"/>
        <v>119776.62149420771</v>
      </c>
      <c r="V2699" s="389">
        <f>Fuel_Specs!$L$34</f>
        <v>119776.62149420771</v>
      </c>
      <c r="W2699" s="389">
        <v>119776.62149420771</v>
      </c>
      <c r="X2699" s="37"/>
      <c r="Y2699" s="346"/>
      <c r="Z2699" s="14" t="str">
        <f>IF(ISBLANK(LCI_Table[[#This Row],[Notes for user]])," ",LCI_Table[[#This Row],[Notes for user]])</f>
        <v xml:space="preserve"> </v>
      </c>
      <c r="AA2699" s="14"/>
      <c r="AB2699" s="14"/>
      <c r="AC2699" s="346">
        <f ca="1">LCI_Table[[#This Row],[Default Calculated Value]]-LCI_Table[[#This Row],[Calculated Value]]</f>
        <v>0</v>
      </c>
    </row>
    <row r="2700" spans="1:29" x14ac:dyDescent="0.3">
      <c r="A27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dash_SoybeanHEFAGREETGREET(blank)_Renewable diesel production_SAF Production</v>
      </c>
      <c r="B2700" s="48" t="s">
        <v>10</v>
      </c>
      <c r="C2700" s="48" t="s">
        <v>30</v>
      </c>
      <c r="D2700" s="48" t="s">
        <v>29</v>
      </c>
      <c r="E2700" s="48" t="s">
        <v>29</v>
      </c>
      <c r="F2700" s="48" t="s">
        <v>31</v>
      </c>
      <c r="G2700" s="14" t="b">
        <f>OR(LCI_Table[[#This Row],[Feedstock]]="All",LCI_Table[[#This Row],[Feedstock]]=SelectedFeedstock)</f>
        <v>0</v>
      </c>
      <c r="H2700" s="14" t="b">
        <f>OR(LCI_Table[[#This Row],[Conversion]]="All",LCI_Table[[#This Row],[Conversion]]=SelectedConversion)</f>
        <v>1</v>
      </c>
      <c r="I2700" s="14" t="b">
        <f>OR(LCI_Table[[#This Row],[Data Set]]="all",LCI_Table[[#This Row],[Data Set]]=SelectedDataSet)</f>
        <v>1</v>
      </c>
      <c r="J2700" s="14" t="b">
        <f>OR(LCI_Table[[#This Row],[Technology]]="All",LCI_Table[[#This Row],[Technology]]=SelectedTechnology)</f>
        <v>1</v>
      </c>
      <c r="K2700" s="14" t="b">
        <f>OR(LCI_Table[[#This Row],[Data Source]]="All",LCI_Table[[#This Row],[Data Source]]=SelectedDataSource)</f>
        <v>1</v>
      </c>
      <c r="L2700" s="14" t="b">
        <f>TRUE</f>
        <v>1</v>
      </c>
      <c r="M2700" s="14" t="b">
        <f>(LCI_Table[[#This Row],[Dev Notes]]="Do not display")</f>
        <v>0</v>
      </c>
      <c r="N2700" s="14" t="b">
        <f>AND(LCI_Table[[#This Row],[Show Feedstock]:[Conditional]],NOT(LCI_Table[[#This Row],[Hide Row]]))</f>
        <v>0</v>
      </c>
      <c r="O2700" s="14" t="b">
        <f>LCI_Table[[#This Row],[GREET1 Name Range]]=""</f>
        <v>1</v>
      </c>
      <c r="P2700" s="387" t="s">
        <v>1448</v>
      </c>
      <c r="Q2700" s="14"/>
      <c r="R2700" s="14" t="s">
        <v>1716</v>
      </c>
      <c r="S2700" s="37" cm="1">
        <f t="array" aca="1" ref="S27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30</v>
      </c>
      <c r="T2700" s="346" t="s">
        <v>1859</v>
      </c>
      <c r="U2700" s="389">
        <f t="shared" ca="1" si="195"/>
        <v>30</v>
      </c>
      <c r="V2700" s="389">
        <v>30</v>
      </c>
      <c r="W2700" s="389">
        <v>30</v>
      </c>
      <c r="X2700" s="37"/>
      <c r="Y2700" s="346"/>
      <c r="Z2700" s="14" t="str">
        <f>IF(ISBLANK(LCI_Table[[#This Row],[Notes for user]])," ",LCI_Table[[#This Row],[Notes for user]])</f>
        <v xml:space="preserve"> </v>
      </c>
      <c r="AA2700" s="14"/>
      <c r="AB2700" s="14"/>
      <c r="AC2700" s="346">
        <f ca="1">LCI_Table[[#This Row],[Default Calculated Value]]-LCI_Table[[#This Row],[Calculated Value]]</f>
        <v>0</v>
      </c>
    </row>
    <row r="2701" spans="1:29" x14ac:dyDescent="0.3">
      <c r="A27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dash_SoybeanHEFAGREETGREET(blank)_   Lower heating value of renewable diesel_SAF Production</v>
      </c>
      <c r="B2701" s="48" t="s">
        <v>10</v>
      </c>
      <c r="C2701" s="48" t="s">
        <v>30</v>
      </c>
      <c r="D2701" s="48" t="s">
        <v>29</v>
      </c>
      <c r="E2701" s="48" t="s">
        <v>29</v>
      </c>
      <c r="F2701" s="48" t="s">
        <v>31</v>
      </c>
      <c r="G2701" s="14" t="b">
        <f>OR(LCI_Table[[#This Row],[Feedstock]]="All",LCI_Table[[#This Row],[Feedstock]]=SelectedFeedstock)</f>
        <v>0</v>
      </c>
      <c r="H2701" s="14" t="b">
        <f>OR(LCI_Table[[#This Row],[Conversion]]="All",LCI_Table[[#This Row],[Conversion]]=SelectedConversion)</f>
        <v>1</v>
      </c>
      <c r="I2701" s="14" t="b">
        <f>OR(LCI_Table[[#This Row],[Data Set]]="all",LCI_Table[[#This Row],[Data Set]]=SelectedDataSet)</f>
        <v>1</v>
      </c>
      <c r="J2701" s="14" t="b">
        <f>OR(LCI_Table[[#This Row],[Technology]]="All",LCI_Table[[#This Row],[Technology]]=SelectedTechnology)</f>
        <v>1</v>
      </c>
      <c r="K2701" s="14" t="b">
        <f>OR(LCI_Table[[#This Row],[Data Source]]="All",LCI_Table[[#This Row],[Data Source]]=SelectedDataSource)</f>
        <v>1</v>
      </c>
      <c r="L2701" s="14" t="b">
        <v>0</v>
      </c>
      <c r="M2701" s="14" t="b">
        <f>(LCI_Table[[#This Row],[Dev Notes]]="Do not display")</f>
        <v>0</v>
      </c>
      <c r="N2701" s="14" t="b">
        <f>AND(LCI_Table[[#This Row],[Show Feedstock]:[Conditional]],NOT(LCI_Table[[#This Row],[Hide Row]]))</f>
        <v>0</v>
      </c>
      <c r="O2701" s="14" t="b">
        <f>LCI_Table[[#This Row],[GREET1 Name Range]]=""</f>
        <v>1</v>
      </c>
      <c r="P2701" s="387" t="s">
        <v>1448</v>
      </c>
      <c r="Q2701" s="14"/>
      <c r="R2701" s="14" t="s">
        <v>1863</v>
      </c>
      <c r="S2701" s="37" cm="1">
        <f t="array" aca="1" ref="S27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122887</v>
      </c>
      <c r="T2701" s="346" t="s">
        <v>227</v>
      </c>
      <c r="U2701" s="389">
        <f t="shared" ca="1" si="195"/>
        <v>122887</v>
      </c>
      <c r="V2701" s="389">
        <f>Fuel_Specs!$L$35</f>
        <v>122887</v>
      </c>
      <c r="W2701" s="389">
        <v>122887</v>
      </c>
      <c r="X2701" s="37"/>
      <c r="Y2701" s="346"/>
      <c r="Z2701" s="14" t="str">
        <f>IF(ISBLANK(LCI_Table[[#This Row],[Notes for user]])," ",LCI_Table[[#This Row],[Notes for user]])</f>
        <v xml:space="preserve"> </v>
      </c>
      <c r="AA2701" s="14"/>
      <c r="AB2701" s="14"/>
      <c r="AC2701" s="346">
        <f ca="1">LCI_Table[[#This Row],[Default Calculated Value]]-LCI_Table[[#This Row],[Calculated Value]]</f>
        <v>0</v>
      </c>
    </row>
    <row r="2702" spans="1:29" x14ac:dyDescent="0.3">
      <c r="A27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dash_SoybeanHEFAGREETGREET(blank)_Renewable gasoline production_SAF Production</v>
      </c>
      <c r="B2702" s="48" t="s">
        <v>10</v>
      </c>
      <c r="C2702" s="48" t="s">
        <v>30</v>
      </c>
      <c r="D2702" s="48" t="s">
        <v>29</v>
      </c>
      <c r="E2702" s="48" t="s">
        <v>29</v>
      </c>
      <c r="F2702" s="48" t="s">
        <v>31</v>
      </c>
      <c r="G2702" s="14" t="b">
        <f>OR(LCI_Table[[#This Row],[Feedstock]]="All",LCI_Table[[#This Row],[Feedstock]]=SelectedFeedstock)</f>
        <v>0</v>
      </c>
      <c r="H2702" s="14" t="b">
        <f>OR(LCI_Table[[#This Row],[Conversion]]="All",LCI_Table[[#This Row],[Conversion]]=SelectedConversion)</f>
        <v>1</v>
      </c>
      <c r="I2702" s="14" t="b">
        <f>OR(LCI_Table[[#This Row],[Data Set]]="all",LCI_Table[[#This Row],[Data Set]]=SelectedDataSet)</f>
        <v>1</v>
      </c>
      <c r="J2702" s="14" t="b">
        <f>OR(LCI_Table[[#This Row],[Technology]]="All",LCI_Table[[#This Row],[Technology]]=SelectedTechnology)</f>
        <v>1</v>
      </c>
      <c r="K2702" s="14" t="b">
        <f>OR(LCI_Table[[#This Row],[Data Source]]="All",LCI_Table[[#This Row],[Data Source]]=SelectedDataSource)</f>
        <v>1</v>
      </c>
      <c r="L2702" s="14" t="b">
        <f>TRUE</f>
        <v>1</v>
      </c>
      <c r="M2702" s="14" t="b">
        <f>(LCI_Table[[#This Row],[Dev Notes]]="Do not display")</f>
        <v>0</v>
      </c>
      <c r="N2702" s="14" t="b">
        <f>AND(LCI_Table[[#This Row],[Show Feedstock]:[Conditional]],NOT(LCI_Table[[#This Row],[Hide Row]]))</f>
        <v>0</v>
      </c>
      <c r="O2702" s="14" t="b">
        <f>LCI_Table[[#This Row],[GREET1 Name Range]]=""</f>
        <v>1</v>
      </c>
      <c r="P2702" s="391" t="s">
        <v>1448</v>
      </c>
      <c r="Q2702" s="14"/>
      <c r="R2702" s="14" t="s">
        <v>1864</v>
      </c>
      <c r="S2702" s="37" cm="1">
        <f t="array" aca="1" ref="S27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02" s="346" t="s">
        <v>1859</v>
      </c>
      <c r="U2702" s="389">
        <f t="shared" ca="1" si="195"/>
        <v>0</v>
      </c>
      <c r="V2702" s="389">
        <v>0</v>
      </c>
      <c r="W2702" s="389">
        <v>0</v>
      </c>
      <c r="X2702" s="37"/>
      <c r="Y2702" s="346"/>
      <c r="Z2702" s="14" t="str">
        <f>IF(ISBLANK(LCI_Table[[#This Row],[Notes for user]])," ",LCI_Table[[#This Row],[Notes for user]])</f>
        <v xml:space="preserve"> </v>
      </c>
      <c r="AA2702" s="14"/>
      <c r="AB2702" s="14"/>
      <c r="AC2702" s="346">
        <f ca="1">LCI_Table[[#This Row],[Default Calculated Value]]-LCI_Table[[#This Row],[Calculated Value]]</f>
        <v>0</v>
      </c>
    </row>
    <row r="2703" spans="1:29" x14ac:dyDescent="0.3">
      <c r="A27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dash_SoybeanHEFAGREETGREET(blank)_   Lower heating value of renewable gasoline_SAF Production</v>
      </c>
      <c r="B2703" s="48" t="s">
        <v>10</v>
      </c>
      <c r="C2703" s="48" t="s">
        <v>30</v>
      </c>
      <c r="D2703" s="48" t="s">
        <v>29</v>
      </c>
      <c r="E2703" s="48" t="s">
        <v>29</v>
      </c>
      <c r="F2703" s="48" t="s">
        <v>31</v>
      </c>
      <c r="G2703" s="14" t="b">
        <f>OR(LCI_Table[[#This Row],[Feedstock]]="All",LCI_Table[[#This Row],[Feedstock]]=SelectedFeedstock)</f>
        <v>0</v>
      </c>
      <c r="H2703" s="14" t="b">
        <f>OR(LCI_Table[[#This Row],[Conversion]]="All",LCI_Table[[#This Row],[Conversion]]=SelectedConversion)</f>
        <v>1</v>
      </c>
      <c r="I2703" s="14" t="b">
        <f>OR(LCI_Table[[#This Row],[Data Set]]="all",LCI_Table[[#This Row],[Data Set]]=SelectedDataSet)</f>
        <v>1</v>
      </c>
      <c r="J2703" s="14" t="b">
        <f>OR(LCI_Table[[#This Row],[Technology]]="All",LCI_Table[[#This Row],[Technology]]=SelectedTechnology)</f>
        <v>1</v>
      </c>
      <c r="K2703" s="14" t="b">
        <f>OR(LCI_Table[[#This Row],[Data Source]]="All",LCI_Table[[#This Row],[Data Source]]=SelectedDataSource)</f>
        <v>1</v>
      </c>
      <c r="L2703" s="14" t="b">
        <v>0</v>
      </c>
      <c r="M2703" s="14" t="b">
        <f>(LCI_Table[[#This Row],[Dev Notes]]="Do not display")</f>
        <v>0</v>
      </c>
      <c r="N2703" s="14" t="b">
        <f>AND(LCI_Table[[#This Row],[Show Feedstock]:[Conditional]],NOT(LCI_Table[[#This Row],[Hide Row]]))</f>
        <v>0</v>
      </c>
      <c r="O2703" s="14" t="b">
        <f>LCI_Table[[#This Row],[GREET1 Name Range]]=""</f>
        <v>1</v>
      </c>
      <c r="P2703" s="387" t="s">
        <v>1448</v>
      </c>
      <c r="Q2703" s="14"/>
      <c r="R2703" s="14" t="s">
        <v>1865</v>
      </c>
      <c r="S2703" s="37" cm="1">
        <f t="array" aca="1" ref="S27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113309</v>
      </c>
      <c r="T2703" s="346" t="s">
        <v>227</v>
      </c>
      <c r="U2703" s="389">
        <f t="shared" ca="1" si="195"/>
        <v>113309</v>
      </c>
      <c r="V2703" s="389">
        <f>Fuel_Specs!$L$36</f>
        <v>113309</v>
      </c>
      <c r="W2703" s="389">
        <v>113309</v>
      </c>
      <c r="X2703" s="37"/>
      <c r="Y2703" s="346"/>
      <c r="Z2703" s="14" t="str">
        <f>IF(ISBLANK(LCI_Table[[#This Row],[Notes for user]])," ",LCI_Table[[#This Row],[Notes for user]])</f>
        <v xml:space="preserve"> </v>
      </c>
      <c r="AA2703" s="14"/>
      <c r="AB2703" s="14"/>
      <c r="AC2703" s="346">
        <f ca="1">LCI_Table[[#This Row],[Default Calculated Value]]-LCI_Table[[#This Row],[Calculated Value]]</f>
        <v>0</v>
      </c>
    </row>
    <row r="2704" spans="1:29" x14ac:dyDescent="0.3">
      <c r="A27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dash_SoybeanHEFAGREETGREET(blank)_Renewable naphtha production_SAF Production</v>
      </c>
      <c r="B2704" s="48" t="s">
        <v>10</v>
      </c>
      <c r="C2704" s="48" t="s">
        <v>30</v>
      </c>
      <c r="D2704" s="48" t="s">
        <v>29</v>
      </c>
      <c r="E2704" s="48" t="s">
        <v>29</v>
      </c>
      <c r="F2704" s="48" t="s">
        <v>31</v>
      </c>
      <c r="G2704" s="14" t="b">
        <f>OR(LCI_Table[[#This Row],[Feedstock]]="All",LCI_Table[[#This Row],[Feedstock]]=SelectedFeedstock)</f>
        <v>0</v>
      </c>
      <c r="H2704" s="14" t="b">
        <f>OR(LCI_Table[[#This Row],[Conversion]]="All",LCI_Table[[#This Row],[Conversion]]=SelectedConversion)</f>
        <v>1</v>
      </c>
      <c r="I2704" s="14" t="b">
        <f>OR(LCI_Table[[#This Row],[Data Set]]="all",LCI_Table[[#This Row],[Data Set]]=SelectedDataSet)</f>
        <v>1</v>
      </c>
      <c r="J2704" s="14" t="b">
        <f>OR(LCI_Table[[#This Row],[Technology]]="All",LCI_Table[[#This Row],[Technology]]=SelectedTechnology)</f>
        <v>1</v>
      </c>
      <c r="K2704" s="14" t="b">
        <f>OR(LCI_Table[[#This Row],[Data Source]]="All",LCI_Table[[#This Row],[Data Source]]=SelectedDataSource)</f>
        <v>1</v>
      </c>
      <c r="L2704" s="14" t="b">
        <f>TRUE</f>
        <v>1</v>
      </c>
      <c r="M2704" s="14" t="b">
        <f>(LCI_Table[[#This Row],[Dev Notes]]="Do not display")</f>
        <v>0</v>
      </c>
      <c r="N2704" s="14" t="b">
        <f>AND(LCI_Table[[#This Row],[Show Feedstock]:[Conditional]],NOT(LCI_Table[[#This Row],[Hide Row]]))</f>
        <v>0</v>
      </c>
      <c r="O2704" s="14" t="b">
        <f>LCI_Table[[#This Row],[GREET1 Name Range]]=""</f>
        <v>1</v>
      </c>
      <c r="P2704" s="387" t="s">
        <v>1448</v>
      </c>
      <c r="Q2704" s="14"/>
      <c r="R2704" s="14" t="s">
        <v>1866</v>
      </c>
      <c r="S2704" s="37" cm="1">
        <f t="array" aca="1" ref="S27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04" s="346" t="s">
        <v>1859</v>
      </c>
      <c r="U2704" s="389">
        <f t="shared" ca="1" si="195"/>
        <v>0</v>
      </c>
      <c r="V2704" s="389">
        <v>0</v>
      </c>
      <c r="W2704" s="389">
        <v>0</v>
      </c>
      <c r="X2704" s="37"/>
      <c r="Y2704" s="346"/>
      <c r="Z2704" s="14" t="str">
        <f>IF(ISBLANK(LCI_Table[[#This Row],[Notes for user]])," ",LCI_Table[[#This Row],[Notes for user]])</f>
        <v xml:space="preserve"> </v>
      </c>
      <c r="AA2704" s="14"/>
      <c r="AB2704" s="14"/>
      <c r="AC2704" s="346">
        <f ca="1">LCI_Table[[#This Row],[Default Calculated Value]]-LCI_Table[[#This Row],[Calculated Value]]</f>
        <v>0</v>
      </c>
    </row>
    <row r="2705" spans="1:29" x14ac:dyDescent="0.3">
      <c r="A27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dash_SoybeanHEFAGREETGREET(blank)_   Lower heating value of renewable naphtha_SAF Production</v>
      </c>
      <c r="B2705" s="48" t="s">
        <v>10</v>
      </c>
      <c r="C2705" s="48" t="s">
        <v>30</v>
      </c>
      <c r="D2705" s="48" t="s">
        <v>29</v>
      </c>
      <c r="E2705" s="48" t="s">
        <v>29</v>
      </c>
      <c r="F2705" s="48" t="s">
        <v>31</v>
      </c>
      <c r="G2705" s="14" t="b">
        <f>OR(LCI_Table[[#This Row],[Feedstock]]="All",LCI_Table[[#This Row],[Feedstock]]=SelectedFeedstock)</f>
        <v>0</v>
      </c>
      <c r="H2705" s="14" t="b">
        <f>OR(LCI_Table[[#This Row],[Conversion]]="All",LCI_Table[[#This Row],[Conversion]]=SelectedConversion)</f>
        <v>1</v>
      </c>
      <c r="I2705" s="14" t="b">
        <f>OR(LCI_Table[[#This Row],[Data Set]]="all",LCI_Table[[#This Row],[Data Set]]=SelectedDataSet)</f>
        <v>1</v>
      </c>
      <c r="J2705" s="14" t="b">
        <f>OR(LCI_Table[[#This Row],[Technology]]="All",LCI_Table[[#This Row],[Technology]]=SelectedTechnology)</f>
        <v>1</v>
      </c>
      <c r="K2705" s="14" t="b">
        <f>OR(LCI_Table[[#This Row],[Data Source]]="All",LCI_Table[[#This Row],[Data Source]]=SelectedDataSource)</f>
        <v>1</v>
      </c>
      <c r="L2705" s="14" t="b">
        <v>0</v>
      </c>
      <c r="M2705" s="14" t="b">
        <f>(LCI_Table[[#This Row],[Dev Notes]]="Do not display")</f>
        <v>0</v>
      </c>
      <c r="N2705" s="14" t="b">
        <f>AND(LCI_Table[[#This Row],[Show Feedstock]:[Conditional]],NOT(LCI_Table[[#This Row],[Hide Row]]))</f>
        <v>0</v>
      </c>
      <c r="O2705" s="14" t="b">
        <f>LCI_Table[[#This Row],[GREET1 Name Range]]=""</f>
        <v>1</v>
      </c>
      <c r="P2705" s="387" t="s">
        <v>1448</v>
      </c>
      <c r="Q2705" s="14"/>
      <c r="R2705" s="14" t="s">
        <v>1867</v>
      </c>
      <c r="S2705" s="37" cm="1">
        <f t="array" aca="1" ref="S27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113309</v>
      </c>
      <c r="T2705" s="346" t="s">
        <v>227</v>
      </c>
      <c r="U2705" s="389">
        <f t="shared" ca="1" si="195"/>
        <v>113309</v>
      </c>
      <c r="V2705" s="389">
        <f>Fuel_Specs!$L$37</f>
        <v>113309</v>
      </c>
      <c r="W2705" s="389">
        <v>113309</v>
      </c>
      <c r="X2705" s="37"/>
      <c r="Y2705" s="346"/>
      <c r="Z2705" s="14" t="str">
        <f>IF(ISBLANK(LCI_Table[[#This Row],[Notes for user]])," ",LCI_Table[[#This Row],[Notes for user]])</f>
        <v xml:space="preserve"> </v>
      </c>
      <c r="AA2705" s="14"/>
      <c r="AB2705" s="14"/>
      <c r="AC2705" s="346">
        <f ca="1">LCI_Table[[#This Row],[Default Calculated Value]]-LCI_Table[[#This Row],[Calculated Value]]</f>
        <v>0</v>
      </c>
    </row>
    <row r="2706" spans="1:29" x14ac:dyDescent="0.3">
      <c r="A27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dash_SoybeanHEFAGREETGREET(blank)_Total fuel production _SAF Production</v>
      </c>
      <c r="B2706" s="48" t="s">
        <v>10</v>
      </c>
      <c r="C2706" s="48" t="s">
        <v>30</v>
      </c>
      <c r="D2706" s="48" t="s">
        <v>29</v>
      </c>
      <c r="E2706" s="48" t="s">
        <v>29</v>
      </c>
      <c r="F2706" s="48" t="s">
        <v>31</v>
      </c>
      <c r="G2706" s="14" t="b">
        <f>OR(LCI_Table[[#This Row],[Feedstock]]="All",LCI_Table[[#This Row],[Feedstock]]=SelectedFeedstock)</f>
        <v>0</v>
      </c>
      <c r="H2706" s="14" t="b">
        <f>OR(LCI_Table[[#This Row],[Conversion]]="All",LCI_Table[[#This Row],[Conversion]]=SelectedConversion)</f>
        <v>1</v>
      </c>
      <c r="I2706" s="14" t="b">
        <f>OR(LCI_Table[[#This Row],[Data Set]]="all",LCI_Table[[#This Row],[Data Set]]=SelectedDataSet)</f>
        <v>1</v>
      </c>
      <c r="J2706" s="14" t="b">
        <f>OR(LCI_Table[[#This Row],[Technology]]="All",LCI_Table[[#This Row],[Technology]]=SelectedTechnology)</f>
        <v>1</v>
      </c>
      <c r="K2706" s="14" t="b">
        <f>OR(LCI_Table[[#This Row],[Data Source]]="All",LCI_Table[[#This Row],[Data Source]]=SelectedDataSource)</f>
        <v>1</v>
      </c>
      <c r="L2706" s="14" t="b">
        <v>0</v>
      </c>
      <c r="M2706" s="14" t="b">
        <f>(LCI_Table[[#This Row],[Dev Notes]]="Do not display")</f>
        <v>0</v>
      </c>
      <c r="N2706" s="14" t="b">
        <f>AND(LCI_Table[[#This Row],[Show Feedstock]:[Conditional]],NOT(LCI_Table[[#This Row],[Hide Row]]))</f>
        <v>0</v>
      </c>
      <c r="O2706" s="14" t="b">
        <f>LCI_Table[[#This Row],[GREET1 Name Range]]=""</f>
        <v>1</v>
      </c>
      <c r="P2706" s="387" t="s">
        <v>1448</v>
      </c>
      <c r="Q2706" s="14"/>
      <c r="R2706" s="14" t="s">
        <v>1868</v>
      </c>
      <c r="S2706" s="37" cm="1">
        <f t="array" aca="1" ref="S27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7279908.6448262315</v>
      </c>
      <c r="T2706" s="346" t="s">
        <v>1860</v>
      </c>
      <c r="U2706" s="389">
        <f t="shared" ca="1" si="195"/>
        <v>7279908.6448262315</v>
      </c>
      <c r="V2706" s="389">
        <f ca="1">S2698*S2699+S2700*S2701+S2702*S2703+S2704*S2705</f>
        <v>7279908.6448262315</v>
      </c>
      <c r="W2706" s="389">
        <v>7279908.6448262315</v>
      </c>
      <c r="X2706" s="37"/>
      <c r="Y2706" s="346"/>
      <c r="Z2706" s="14" t="str">
        <f>IF(ISBLANK(LCI_Table[[#This Row],[Notes for user]])," ",LCI_Table[[#This Row],[Notes for user]])</f>
        <v xml:space="preserve"> </v>
      </c>
      <c r="AA2706" s="14"/>
      <c r="AB2706" s="14"/>
      <c r="AC2706" s="346">
        <f ca="1">LCI_Table[[#This Row],[Default Calculated Value]]-LCI_Table[[#This Row],[Calculated Value]]</f>
        <v>0</v>
      </c>
    </row>
    <row r="2707" spans="1:29" x14ac:dyDescent="0.3">
      <c r="A27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SoybeanHEFAGREETGREET(blank)_HEFA_feed_usageFeedstock: Soybean Oil consumption</v>
      </c>
      <c r="B2707" s="381" t="s">
        <v>10</v>
      </c>
      <c r="C2707" s="381" t="s">
        <v>30</v>
      </c>
      <c r="D2707" s="383" t="s">
        <v>29</v>
      </c>
      <c r="E2707" s="384" t="s">
        <v>29</v>
      </c>
      <c r="F2707" s="181" t="s">
        <v>31</v>
      </c>
      <c r="G2707" s="14" t="b">
        <f>OR(LCI_Table[[#This Row],[Feedstock]]="All",LCI_Table[[#This Row],[Feedstock]]=SelectedFeedstock)</f>
        <v>0</v>
      </c>
      <c r="H2707" s="14" t="b">
        <f>OR(LCI_Table[[#This Row],[Conversion]]="All",LCI_Table[[#This Row],[Conversion]]=SelectedConversion)</f>
        <v>1</v>
      </c>
      <c r="I2707" s="14" t="b">
        <f>OR(LCI_Table[[#This Row],[Data Set]]="all",LCI_Table[[#This Row],[Data Set]]=SelectedDataSet)</f>
        <v>1</v>
      </c>
      <c r="J2707" s="14" t="b">
        <f>OR(LCI_Table[[#This Row],[Technology]]="All",LCI_Table[[#This Row],[Technology]]=SelectedTechnology)</f>
        <v>1</v>
      </c>
      <c r="K2707" s="14" t="b">
        <f>OR(LCI_Table[[#This Row],[Data Source]]="All",LCI_Table[[#This Row],[Data Source]]=SelectedDataSource)</f>
        <v>1</v>
      </c>
      <c r="L2707" s="14" t="b">
        <f>TRUE</f>
        <v>1</v>
      </c>
      <c r="M2707" s="14" t="b">
        <f>(LCI_Table[[#This Row],[Dev Notes]]="Do not display")</f>
        <v>0</v>
      </c>
      <c r="N2707" s="14" t="b">
        <f>AND(LCI_Table[[#This Row],[Show Feedstock]:[Conditional]],NOT(LCI_Table[[#This Row],[Hide Row]]))</f>
        <v>0</v>
      </c>
      <c r="O2707" s="14" t="b">
        <f>LCI_Table[[#This Row],[GREET1 Name Range]]=""</f>
        <v>0</v>
      </c>
      <c r="P2707" s="14" t="s">
        <v>1448</v>
      </c>
      <c r="Q2707" s="14" t="s">
        <v>933</v>
      </c>
      <c r="R2707" s="14" t="s">
        <v>1910</v>
      </c>
      <c r="S2707" s="37" cm="1">
        <f t="array" aca="1" ref="S27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443.75048093802241</v>
      </c>
      <c r="T2707" s="346" t="s">
        <v>1878</v>
      </c>
      <c r="U2707" s="351">
        <f ca="1">S2707/($U$2706/10^6)*lb2g/Fuel_Specs!$E$48*Fuel_Specs!$B$48*BTU2mmBTU/0.911711975329766</f>
        <v>1.2676055388997574</v>
      </c>
      <c r="V2707" s="351">
        <v>443.75048093802241</v>
      </c>
      <c r="W2707" s="351">
        <v>1.2676055388997574</v>
      </c>
      <c r="X2707" s="37"/>
      <c r="Y2707" s="346"/>
      <c r="Z2707" s="14" t="str">
        <f>IF(ISBLANK(LCI_Table[[#This Row],[Notes for user]])," ",LCI_Table[[#This Row],[Notes for user]])</f>
        <v xml:space="preserve"> </v>
      </c>
      <c r="AA2707" s="14"/>
      <c r="AB2707" s="14"/>
      <c r="AC2707" s="346">
        <f ca="1">LCI_Table[[#This Row],[Default Calculated Value]]-LCI_Table[[#This Row],[Calculated Value]]</f>
        <v>0</v>
      </c>
    </row>
    <row r="2708" spans="1:29" x14ac:dyDescent="0.3">
      <c r="A27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SoybeanHEFAGREETGREET(blank)_Soybean_HEFA_Natural_gasTotal NG/RNG consumption</v>
      </c>
      <c r="B2708" s="381" t="s">
        <v>10</v>
      </c>
      <c r="C2708" s="381" t="s">
        <v>30</v>
      </c>
      <c r="D2708" s="383" t="s">
        <v>29</v>
      </c>
      <c r="E2708" s="384" t="s">
        <v>29</v>
      </c>
      <c r="F2708" s="181" t="s">
        <v>31</v>
      </c>
      <c r="G2708" s="14" t="b">
        <f>OR(LCI_Table[[#This Row],[Feedstock]]="All",LCI_Table[[#This Row],[Feedstock]]=SelectedFeedstock)</f>
        <v>0</v>
      </c>
      <c r="H2708" s="14" t="b">
        <f>OR(LCI_Table[[#This Row],[Conversion]]="All",LCI_Table[[#This Row],[Conversion]]=SelectedConversion)</f>
        <v>1</v>
      </c>
      <c r="I2708" s="14" t="b">
        <f>OR(LCI_Table[[#This Row],[Data Set]]="all",LCI_Table[[#This Row],[Data Set]]=SelectedDataSet)</f>
        <v>1</v>
      </c>
      <c r="J2708" s="14" t="b">
        <f>OR(LCI_Table[[#This Row],[Technology]]="All",LCI_Table[[#This Row],[Technology]]=SelectedTechnology)</f>
        <v>1</v>
      </c>
      <c r="K2708" s="14" t="b">
        <f>OR(LCI_Table[[#This Row],[Data Source]]="All",LCI_Table[[#This Row],[Data Source]]=SelectedDataSource)</f>
        <v>1</v>
      </c>
      <c r="L2708" s="14" t="b">
        <v>0</v>
      </c>
      <c r="M2708" s="14" t="b">
        <f>(LCI_Table[[#This Row],[Dev Notes]]="Do not display")</f>
        <v>0</v>
      </c>
      <c r="N2708" s="14" t="b">
        <f>AND(LCI_Table[[#This Row],[Show Feedstock]:[Conditional]],NOT(LCI_Table[[#This Row],[Hide Row]]))</f>
        <v>0</v>
      </c>
      <c r="O2708" s="14" t="b">
        <f>LCI_Table[[#This Row],[GREET1 Name Range]]=""</f>
        <v>0</v>
      </c>
      <c r="P2708" s="14" t="s">
        <v>1448</v>
      </c>
      <c r="Q2708" s="14" t="s">
        <v>805</v>
      </c>
      <c r="R2708" s="14" t="s">
        <v>1861</v>
      </c>
      <c r="S2708" s="37" cm="1">
        <f t="array" aca="1" ref="S27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123.58926254472973</v>
      </c>
      <c r="T2708" s="346" t="s">
        <v>2156</v>
      </c>
      <c r="U2708" s="390">
        <f ca="1">LCI_Table[[#This Row],[Dashboard Value]]/$U$2706/mmBTU2BTU*Fuel_Specs!$B$48/Fuel_Specs!$E$48/g2lb/0.911711975329766*10^6*1000</f>
        <v>353.04172159785469</v>
      </c>
      <c r="V2708" s="351">
        <v>123.58926254472973</v>
      </c>
      <c r="W2708" s="351">
        <v>353.04172159785469</v>
      </c>
      <c r="X2708" s="37"/>
      <c r="Y2708" s="346"/>
      <c r="Z2708" s="14" t="str">
        <f>IF(ISBLANK(LCI_Table[[#This Row],[Notes for user]])," ",LCI_Table[[#This Row],[Notes for user]])</f>
        <v xml:space="preserve"> </v>
      </c>
      <c r="AA2708" s="14"/>
      <c r="AB2708" s="14"/>
      <c r="AC2708" s="346">
        <f ca="1">LCI_Table[[#This Row],[Default Calculated Value]]-LCI_Table[[#This Row],[Calculated Value]]</f>
        <v>0</v>
      </c>
    </row>
    <row r="2709" spans="1:29" x14ac:dyDescent="0.3">
      <c r="A27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SoybeanHEFAGREETGREET(blank)_Soybean_HEFA_ElectricityGrid electricity (selected eGRID region)</v>
      </c>
      <c r="B2709" s="381" t="s">
        <v>10</v>
      </c>
      <c r="C2709" s="381" t="s">
        <v>30</v>
      </c>
      <c r="D2709" s="383" t="s">
        <v>29</v>
      </c>
      <c r="E2709" s="384" t="s">
        <v>29</v>
      </c>
      <c r="F2709" s="181" t="s">
        <v>31</v>
      </c>
      <c r="G2709" s="14" t="b">
        <f>OR(LCI_Table[[#This Row],[Feedstock]]="All",LCI_Table[[#This Row],[Feedstock]]=SelectedFeedstock)</f>
        <v>0</v>
      </c>
      <c r="H2709" s="14" t="b">
        <f>OR(LCI_Table[[#This Row],[Conversion]]="All",LCI_Table[[#This Row],[Conversion]]=SelectedConversion)</f>
        <v>1</v>
      </c>
      <c r="I2709" s="14" t="b">
        <f>OR(LCI_Table[[#This Row],[Data Set]]="all",LCI_Table[[#This Row],[Data Set]]=SelectedDataSet)</f>
        <v>1</v>
      </c>
      <c r="J2709" s="14" t="b">
        <f>OR(LCI_Table[[#This Row],[Technology]]="All",LCI_Table[[#This Row],[Technology]]=SelectedTechnology)</f>
        <v>1</v>
      </c>
      <c r="K2709" s="14" t="b">
        <f>OR(LCI_Table[[#This Row],[Data Source]]="All",LCI_Table[[#This Row],[Data Source]]=SelectedDataSource)</f>
        <v>1</v>
      </c>
      <c r="L2709" s="14" t="b">
        <f>TRUE</f>
        <v>1</v>
      </c>
      <c r="M2709" s="14" t="b">
        <f>(LCI_Table[[#This Row],[Dev Notes]]="Do not display")</f>
        <v>0</v>
      </c>
      <c r="N2709" s="14" t="b">
        <f>AND(LCI_Table[[#This Row],[Show Feedstock]:[Conditional]],NOT(LCI_Table[[#This Row],[Hide Row]]))</f>
        <v>0</v>
      </c>
      <c r="O2709" s="14" t="b">
        <f>LCI_Table[[#This Row],[GREET1 Name Range]]=""</f>
        <v>0</v>
      </c>
      <c r="P2709" s="14" t="s">
        <v>1448</v>
      </c>
      <c r="Q2709" s="14" t="s">
        <v>803</v>
      </c>
      <c r="R2709" s="14" t="s">
        <v>1708</v>
      </c>
      <c r="S2709" s="37" cm="1">
        <f t="array" aca="1" ref="S27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19.049267048549822</v>
      </c>
      <c r="T2709" s="346" t="s">
        <v>1959</v>
      </c>
      <c r="U2709" s="351">
        <f ca="1">LCI_Table[[#This Row],[Dashboard Value]]/$U$2706/mmBTU2BTU*Fuel_Specs!$B$48/Fuel_Specs!$E$48/g2lb/0.911711975329766*10^6*kWh2BTU</f>
        <v>185.67379432183469</v>
      </c>
      <c r="V2709" s="351">
        <v>19.049267048549822</v>
      </c>
      <c r="W2709" s="351">
        <v>185.67379432183469</v>
      </c>
      <c r="X2709" s="37"/>
      <c r="Y2709" s="346"/>
      <c r="Z2709" s="14" t="str">
        <f>IF(ISBLANK(LCI_Table[[#This Row],[Notes for user]])," ",LCI_Table[[#This Row],[Notes for user]])</f>
        <v xml:space="preserve"> </v>
      </c>
      <c r="AA2709" s="14"/>
      <c r="AB2709" s="14"/>
      <c r="AC2709" s="346">
        <f ca="1">LCI_Table[[#This Row],[Default Calculated Value]]-LCI_Table[[#This Row],[Calculated Value]]</f>
        <v>0</v>
      </c>
    </row>
    <row r="2710" spans="1:29" x14ac:dyDescent="0.3">
      <c r="A27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dash_SoybeanHEFAGREETGREET(blank)_Renewable Electricity Credit (REC)_SAF Production</v>
      </c>
      <c r="B2710" s="381" t="s">
        <v>10</v>
      </c>
      <c r="C2710" s="381" t="s">
        <v>30</v>
      </c>
      <c r="D2710" s="383" t="s">
        <v>29</v>
      </c>
      <c r="E2710" s="384" t="s">
        <v>29</v>
      </c>
      <c r="F2710" s="181" t="s">
        <v>31</v>
      </c>
      <c r="G2710" s="14" t="b">
        <f>OR(LCI_Table[[#This Row],[Feedstock]]="All",LCI_Table[[#This Row],[Feedstock]]=SelectedFeedstock)</f>
        <v>0</v>
      </c>
      <c r="H2710" s="14" t="b">
        <f>OR(LCI_Table[[#This Row],[Conversion]]="All",LCI_Table[[#This Row],[Conversion]]=SelectedConversion)</f>
        <v>1</v>
      </c>
      <c r="I2710" s="14" t="b">
        <f>OR(LCI_Table[[#This Row],[Data Set]]="all",LCI_Table[[#This Row],[Data Set]]=SelectedDataSet)</f>
        <v>1</v>
      </c>
      <c r="J2710" s="14" t="b">
        <f>OR(LCI_Table[[#This Row],[Technology]]="All",LCI_Table[[#This Row],[Technology]]=SelectedTechnology)</f>
        <v>1</v>
      </c>
      <c r="K2710" s="14" t="b">
        <f>OR(LCI_Table[[#This Row],[Data Source]]="All",LCI_Table[[#This Row],[Data Source]]=SelectedDataSource)</f>
        <v>1</v>
      </c>
      <c r="L2710" s="14" t="b">
        <f>TRUE</f>
        <v>1</v>
      </c>
      <c r="M2710" s="14" t="b">
        <f>(LCI_Table[[#This Row],[Dev Notes]]="Do not display")</f>
        <v>0</v>
      </c>
      <c r="N2710" s="14" t="b">
        <f>AND(LCI_Table[[#This Row],[Show Feedstock]:[Conditional]],NOT(LCI_Table[[#This Row],[Hide Row]]))</f>
        <v>0</v>
      </c>
      <c r="O2710" s="14" t="b">
        <f>LCI_Table[[#This Row],[GREET1 Name Range]]=""</f>
        <v>1</v>
      </c>
      <c r="P2710" s="14" t="s">
        <v>1448</v>
      </c>
      <c r="Q2710" s="14"/>
      <c r="R2710" s="14" t="s">
        <v>1709</v>
      </c>
      <c r="S2710" s="37" cm="1">
        <f t="array" aca="1" ref="S27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10" s="346" t="s">
        <v>1959</v>
      </c>
      <c r="U2710" s="351">
        <f ca="1">LCI_Table[[#This Row],[Dashboard Value]]</f>
        <v>0</v>
      </c>
      <c r="V2710" s="351">
        <v>0</v>
      </c>
      <c r="W2710" s="351">
        <v>0</v>
      </c>
      <c r="X2710" s="37"/>
      <c r="Y2710" s="346"/>
      <c r="Z2710" s="14" t="str">
        <f>IF(ISBLANK(LCI_Table[[#This Row],[Notes for user]])," ",LCI_Table[[#This Row],[Notes for user]])</f>
        <v xml:space="preserve"> </v>
      </c>
      <c r="AA2710" s="14"/>
      <c r="AB2710" s="14"/>
      <c r="AC2710" s="346">
        <f ca="1">LCI_Table[[#This Row],[Default Calculated Value]]-LCI_Table[[#This Row],[Calculated Value]]</f>
        <v>0</v>
      </c>
    </row>
    <row r="2711" spans="1:29" x14ac:dyDescent="0.3">
      <c r="A27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dash_SoybeanHEFAGREETGREET(blank)_Onsite behind-the-meter electricity_SAF Production</v>
      </c>
      <c r="B2711" s="381" t="s">
        <v>10</v>
      </c>
      <c r="C2711" s="381" t="s">
        <v>30</v>
      </c>
      <c r="D2711" s="383" t="s">
        <v>29</v>
      </c>
      <c r="E2711" s="384" t="s">
        <v>29</v>
      </c>
      <c r="F2711" s="181" t="s">
        <v>31</v>
      </c>
      <c r="G2711" s="14" t="b">
        <f>OR(LCI_Table[[#This Row],[Feedstock]]="All",LCI_Table[[#This Row],[Feedstock]]=SelectedFeedstock)</f>
        <v>0</v>
      </c>
      <c r="H2711" s="14" t="b">
        <f>OR(LCI_Table[[#This Row],[Conversion]]="All",LCI_Table[[#This Row],[Conversion]]=SelectedConversion)</f>
        <v>1</v>
      </c>
      <c r="I2711" s="14" t="b">
        <f>OR(LCI_Table[[#This Row],[Data Set]]="all",LCI_Table[[#This Row],[Data Set]]=SelectedDataSet)</f>
        <v>1</v>
      </c>
      <c r="J2711" s="14" t="b">
        <f>OR(LCI_Table[[#This Row],[Technology]]="All",LCI_Table[[#This Row],[Technology]]=SelectedTechnology)</f>
        <v>1</v>
      </c>
      <c r="K2711" s="14" t="b">
        <f>OR(LCI_Table[[#This Row],[Data Source]]="All",LCI_Table[[#This Row],[Data Source]]=SelectedDataSource)</f>
        <v>1</v>
      </c>
      <c r="L2711" s="14" t="b">
        <f>TRUE</f>
        <v>1</v>
      </c>
      <c r="M2711" s="14" t="b">
        <f>(LCI_Table[[#This Row],[Dev Notes]]="Do not display")</f>
        <v>0</v>
      </c>
      <c r="N2711" s="14" t="b">
        <f>AND(LCI_Table[[#This Row],[Show Feedstock]:[Conditional]],NOT(LCI_Table[[#This Row],[Hide Row]]))</f>
        <v>0</v>
      </c>
      <c r="O2711" s="14" t="b">
        <f>LCI_Table[[#This Row],[GREET1 Name Range]]=""</f>
        <v>1</v>
      </c>
      <c r="P2711" s="14" t="s">
        <v>1448</v>
      </c>
      <c r="Q2711" s="14"/>
      <c r="R2711" s="14" t="s">
        <v>1710</v>
      </c>
      <c r="S2711" s="37" cm="1">
        <f t="array" aca="1" ref="S27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11" s="346" t="s">
        <v>1959</v>
      </c>
      <c r="U2711" s="351">
        <f ca="1">LCI_Table[[#This Row],[Dashboard Value]]</f>
        <v>0</v>
      </c>
      <c r="V2711" s="351">
        <v>0</v>
      </c>
      <c r="W2711" s="351">
        <v>0</v>
      </c>
      <c r="X2711" s="37"/>
      <c r="Y2711" s="346"/>
      <c r="Z2711" s="14" t="str">
        <f>IF(ISBLANK(LCI_Table[[#This Row],[Notes for user]])," ",LCI_Table[[#This Row],[Notes for user]])</f>
        <v xml:space="preserve"> </v>
      </c>
      <c r="AA2711" s="14"/>
      <c r="AB2711" s="14"/>
      <c r="AC2711" s="346">
        <f ca="1">LCI_Table[[#This Row],[Default Calculated Value]]-LCI_Table[[#This Row],[Calculated Value]]</f>
        <v>0</v>
      </c>
    </row>
    <row r="2712" spans="1:29" x14ac:dyDescent="0.3">
      <c r="A27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SoybeanHEFAGREETGREET(blank)_Soybean_HEFA_H2Total hydrogen consumption</v>
      </c>
      <c r="B2712" s="382" t="s">
        <v>10</v>
      </c>
      <c r="C2712" s="382" t="s">
        <v>30</v>
      </c>
      <c r="D2712" s="385" t="s">
        <v>29</v>
      </c>
      <c r="E2712" s="386" t="s">
        <v>29</v>
      </c>
      <c r="F2712" s="181" t="s">
        <v>31</v>
      </c>
      <c r="G2712" s="14" t="b">
        <f>OR(LCI_Table[[#This Row],[Feedstock]]="All",LCI_Table[[#This Row],[Feedstock]]=SelectedFeedstock)</f>
        <v>0</v>
      </c>
      <c r="H2712" s="14" t="b">
        <f>OR(LCI_Table[[#This Row],[Conversion]]="All",LCI_Table[[#This Row],[Conversion]]=SelectedConversion)</f>
        <v>1</v>
      </c>
      <c r="I2712" s="14" t="b">
        <f>OR(LCI_Table[[#This Row],[Data Set]]="all",LCI_Table[[#This Row],[Data Set]]=SelectedDataSet)</f>
        <v>1</v>
      </c>
      <c r="J2712" s="14" t="b">
        <f>OR(LCI_Table[[#This Row],[Technology]]="All",LCI_Table[[#This Row],[Technology]]=SelectedTechnology)</f>
        <v>1</v>
      </c>
      <c r="K2712" s="14" t="b">
        <f>OR(LCI_Table[[#This Row],[Data Source]]="All",LCI_Table[[#This Row],[Data Source]]=SelectedDataSource)</f>
        <v>1</v>
      </c>
      <c r="L2712" s="14" t="b">
        <v>0</v>
      </c>
      <c r="M2712" s="14" t="b">
        <f>(LCI_Table[[#This Row],[Dev Notes]]="Do not display")</f>
        <v>0</v>
      </c>
      <c r="N2712" s="14" t="b">
        <f>AND(LCI_Table[[#This Row],[Show Feedstock]:[Conditional]],NOT(LCI_Table[[#This Row],[Hide Row]]))</f>
        <v>0</v>
      </c>
      <c r="O2712" s="14" t="b">
        <f>LCI_Table[[#This Row],[GREET1 Name Range]]=""</f>
        <v>0</v>
      </c>
      <c r="P2712" s="14" t="s">
        <v>1448</v>
      </c>
      <c r="Q2712" s="14" t="s">
        <v>804</v>
      </c>
      <c r="R2712" s="14" t="s">
        <v>1869</v>
      </c>
      <c r="S2712" s="37" cm="1">
        <f t="array" aca="1" ref="S27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6391.6010185010036</v>
      </c>
      <c r="T2712" s="346" t="s">
        <v>2157</v>
      </c>
      <c r="U2712" s="351">
        <f ca="1">LCI_Table[[#This Row],[Dashboard Value]]/$U$2706/mmBTU2BTU*Fuel_Specs!$B$48/Fuel_Specs!$E$48/g2lb/0.911711975329766*MT2g/Fuel_Specs!$E$81*Fuel_Specs!$B$81</f>
        <v>2076.4083477681229</v>
      </c>
      <c r="V2712" s="389">
        <v>6391.6010185010036</v>
      </c>
      <c r="W2712" s="389">
        <v>2076.4083477681229</v>
      </c>
      <c r="X2712" s="37"/>
      <c r="Y2712" s="346"/>
      <c r="Z2712" s="14" t="str">
        <f>IF(ISBLANK(LCI_Table[[#This Row],[Notes for user]])," ",LCI_Table[[#This Row],[Notes for user]])</f>
        <v xml:space="preserve"> </v>
      </c>
      <c r="AA2712" s="14"/>
      <c r="AB2712" s="14"/>
      <c r="AC2712" s="346">
        <f ca="1">LCI_Table[[#This Row],[Default Calculated Value]]-LCI_Table[[#This Row],[Calculated Value]]</f>
        <v>0</v>
      </c>
    </row>
    <row r="2713" spans="1:29" x14ac:dyDescent="0.3">
      <c r="A27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dash_SugarcaneATJ-ethanolGREETGREET(blank)_SAF production_SAF Production</v>
      </c>
      <c r="B2713" s="179" t="s">
        <v>447</v>
      </c>
      <c r="C2713" s="179" t="s">
        <v>1964</v>
      </c>
      <c r="D2713" s="180" t="s">
        <v>29</v>
      </c>
      <c r="E2713" s="182" t="s">
        <v>29</v>
      </c>
      <c r="F2713" s="82" t="s">
        <v>31</v>
      </c>
      <c r="G2713" s="14" t="b">
        <f>OR(LCI_Table[[#This Row],[Feedstock]]="All",LCI_Table[[#This Row],[Feedstock]]=SelectedFeedstock)</f>
        <v>0</v>
      </c>
      <c r="H2713" s="14" t="b">
        <f>OR(LCI_Table[[#This Row],[Conversion]]="All",LCI_Table[[#This Row],[Conversion]]=SelectedConversion)</f>
        <v>0</v>
      </c>
      <c r="I2713" s="14" t="b">
        <f>OR(LCI_Table[[#This Row],[Data Set]]="all",LCI_Table[[#This Row],[Data Set]]=SelectedDataSet)</f>
        <v>1</v>
      </c>
      <c r="J2713" s="14" t="b">
        <f>OR(LCI_Table[[#This Row],[Technology]]="All",LCI_Table[[#This Row],[Technology]]=SelectedTechnology)</f>
        <v>1</v>
      </c>
      <c r="K2713" s="14" t="b">
        <f>OR(LCI_Table[[#This Row],[Data Source]]="All",LCI_Table[[#This Row],[Data Source]]=SelectedDataSource)</f>
        <v>1</v>
      </c>
      <c r="L2713" s="14" t="b">
        <f>TRUE</f>
        <v>1</v>
      </c>
      <c r="M2713" s="14" t="b">
        <f>(LCI_Table[[#This Row],[Dev Notes]]="Do not display")</f>
        <v>0</v>
      </c>
      <c r="N2713" s="14" t="b">
        <f>AND(LCI_Table[[#This Row],[Show Feedstock]:[Conditional]],NOT(LCI_Table[[#This Row],[Hide Row]]))</f>
        <v>0</v>
      </c>
      <c r="O2713" s="14" t="b">
        <f>LCI_Table[[#This Row],[GREET1 Name Range]]=""</f>
        <v>1</v>
      </c>
      <c r="P2713" s="387" t="s">
        <v>1448</v>
      </c>
      <c r="Q2713" s="14"/>
      <c r="R2713" s="14" t="s">
        <v>1714</v>
      </c>
      <c r="S2713" s="37" cm="1">
        <f t="array" aca="1" ref="S27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59.941200259958407</v>
      </c>
      <c r="T2713" s="346" t="s">
        <v>1859</v>
      </c>
      <c r="U2713" s="389">
        <f t="shared" ref="U2713:U2721" ca="1" si="196">$S2713</f>
        <v>59.941200259958407</v>
      </c>
      <c r="V2713" s="430">
        <v>59.941200259958407</v>
      </c>
      <c r="W2713" s="389">
        <v>57.113785153356467</v>
      </c>
      <c r="X2713" s="37"/>
      <c r="Y2713" s="346"/>
      <c r="Z2713" s="14" t="str">
        <f>IF(ISBLANK(LCI_Table[[#This Row],[Notes for user]])," ",LCI_Table[[#This Row],[Notes for user]])</f>
        <v xml:space="preserve"> </v>
      </c>
      <c r="AA2713" s="14"/>
      <c r="AB2713" s="14"/>
      <c r="AC2713" s="346">
        <f ca="1">LCI_Table[[#This Row],[Default Calculated Value]]-LCI_Table[[#This Row],[Calculated Value]]</f>
        <v>-2.82741510660194</v>
      </c>
    </row>
    <row r="2714" spans="1:29" x14ac:dyDescent="0.3">
      <c r="A27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dash_SugarcaneATJ-ethanolGREETGREET(blank)_   Lower heating value of SAF_SAF Production</v>
      </c>
      <c r="B2714" s="179" t="s">
        <v>447</v>
      </c>
      <c r="C2714" s="179" t="s">
        <v>1964</v>
      </c>
      <c r="D2714" s="180" t="s">
        <v>29</v>
      </c>
      <c r="E2714" s="182" t="s">
        <v>29</v>
      </c>
      <c r="F2714" s="82" t="s">
        <v>31</v>
      </c>
      <c r="G2714" s="14" t="b">
        <f>OR(LCI_Table[[#This Row],[Feedstock]]="All",LCI_Table[[#This Row],[Feedstock]]=SelectedFeedstock)</f>
        <v>0</v>
      </c>
      <c r="H2714" s="14" t="b">
        <f>OR(LCI_Table[[#This Row],[Conversion]]="All",LCI_Table[[#This Row],[Conversion]]=SelectedConversion)</f>
        <v>0</v>
      </c>
      <c r="I2714" s="14" t="b">
        <f>OR(LCI_Table[[#This Row],[Data Set]]="all",LCI_Table[[#This Row],[Data Set]]=SelectedDataSet)</f>
        <v>1</v>
      </c>
      <c r="J2714" s="14" t="b">
        <f>OR(LCI_Table[[#This Row],[Technology]]="All",LCI_Table[[#This Row],[Technology]]=SelectedTechnology)</f>
        <v>1</v>
      </c>
      <c r="K2714" s="14" t="b">
        <f>OR(LCI_Table[[#This Row],[Data Source]]="All",LCI_Table[[#This Row],[Data Source]]=SelectedDataSource)</f>
        <v>1</v>
      </c>
      <c r="L2714" s="14" t="b">
        <v>0</v>
      </c>
      <c r="M2714" s="14" t="b">
        <f>(LCI_Table[[#This Row],[Dev Notes]]="Do not display")</f>
        <v>0</v>
      </c>
      <c r="N2714" s="14" t="b">
        <f>AND(LCI_Table[[#This Row],[Show Feedstock]:[Conditional]],NOT(LCI_Table[[#This Row],[Hide Row]]))</f>
        <v>0</v>
      </c>
      <c r="O2714" s="14" t="b">
        <f>LCI_Table[[#This Row],[GREET1 Name Range]]=""</f>
        <v>1</v>
      </c>
      <c r="P2714" s="387" t="s">
        <v>1448</v>
      </c>
      <c r="Q2714" s="14"/>
      <c r="R2714" s="14" t="s">
        <v>1862</v>
      </c>
      <c r="S2714" s="37" cm="1">
        <f t="array" aca="1" ref="S27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119776.62149420771</v>
      </c>
      <c r="T2714" s="346" t="s">
        <v>227</v>
      </c>
      <c r="U2714" s="389">
        <f t="shared" ca="1" si="196"/>
        <v>119776.62149420771</v>
      </c>
      <c r="V2714" s="389">
        <f>Fuel_Specs!$L$34</f>
        <v>119776.62149420771</v>
      </c>
      <c r="W2714" s="389">
        <v>119776.62149420771</v>
      </c>
      <c r="X2714" s="37"/>
      <c r="Y2714" s="346"/>
      <c r="Z2714" s="14" t="str">
        <f>IF(ISBLANK(LCI_Table[[#This Row],[Notes for user]])," ",LCI_Table[[#This Row],[Notes for user]])</f>
        <v xml:space="preserve"> </v>
      </c>
      <c r="AA2714" s="14"/>
      <c r="AB2714" s="14"/>
      <c r="AC2714" s="346">
        <f ca="1">LCI_Table[[#This Row],[Default Calculated Value]]-LCI_Table[[#This Row],[Calculated Value]]</f>
        <v>0</v>
      </c>
    </row>
    <row r="2715" spans="1:29" x14ac:dyDescent="0.3">
      <c r="A27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dash_SugarcaneATJ-ethanolGREETGREET(blank)_Renewable diesel production_SAF Production</v>
      </c>
      <c r="B2715" s="179" t="s">
        <v>447</v>
      </c>
      <c r="C2715" s="179" t="s">
        <v>1964</v>
      </c>
      <c r="D2715" s="180" t="s">
        <v>29</v>
      </c>
      <c r="E2715" s="182" t="s">
        <v>29</v>
      </c>
      <c r="F2715" s="82" t="s">
        <v>31</v>
      </c>
      <c r="G2715" s="14" t="b">
        <f>OR(LCI_Table[[#This Row],[Feedstock]]="All",LCI_Table[[#This Row],[Feedstock]]=SelectedFeedstock)</f>
        <v>0</v>
      </c>
      <c r="H2715" s="14" t="b">
        <f>OR(LCI_Table[[#This Row],[Conversion]]="All",LCI_Table[[#This Row],[Conversion]]=SelectedConversion)</f>
        <v>0</v>
      </c>
      <c r="I2715" s="14" t="b">
        <f>OR(LCI_Table[[#This Row],[Data Set]]="all",LCI_Table[[#This Row],[Data Set]]=SelectedDataSet)</f>
        <v>1</v>
      </c>
      <c r="J2715" s="14" t="b">
        <f>OR(LCI_Table[[#This Row],[Technology]]="All",LCI_Table[[#This Row],[Technology]]=SelectedTechnology)</f>
        <v>1</v>
      </c>
      <c r="K2715" s="14" t="b">
        <f>OR(LCI_Table[[#This Row],[Data Source]]="All",LCI_Table[[#This Row],[Data Source]]=SelectedDataSource)</f>
        <v>1</v>
      </c>
      <c r="L2715" s="14" t="b">
        <f>TRUE</f>
        <v>1</v>
      </c>
      <c r="M2715" s="14" t="b">
        <f>(LCI_Table[[#This Row],[Dev Notes]]="Do not display")</f>
        <v>0</v>
      </c>
      <c r="N2715" s="14" t="b">
        <f>AND(LCI_Table[[#This Row],[Show Feedstock]:[Conditional]],NOT(LCI_Table[[#This Row],[Hide Row]]))</f>
        <v>0</v>
      </c>
      <c r="O2715" s="14" t="b">
        <f>LCI_Table[[#This Row],[GREET1 Name Range]]=""</f>
        <v>1</v>
      </c>
      <c r="P2715" s="387" t="s">
        <v>1448</v>
      </c>
      <c r="Q2715" s="14"/>
      <c r="R2715" s="14" t="s">
        <v>1716</v>
      </c>
      <c r="S2715" s="37" cm="1">
        <f t="array" aca="1" ref="S27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3.07494923896517</v>
      </c>
      <c r="T2715" s="346" t="s">
        <v>1859</v>
      </c>
      <c r="U2715" s="389">
        <f t="shared" ca="1" si="196"/>
        <v>3.07494923896517</v>
      </c>
      <c r="V2715" s="430">
        <v>3.07494923896517</v>
      </c>
      <c r="W2715" s="389">
        <v>2.9299044635422904</v>
      </c>
      <c r="X2715" s="37"/>
      <c r="Y2715" s="346"/>
      <c r="Z2715" s="14" t="str">
        <f>IF(ISBLANK(LCI_Table[[#This Row],[Notes for user]])," ",LCI_Table[[#This Row],[Notes for user]])</f>
        <v xml:space="preserve"> </v>
      </c>
      <c r="AA2715" s="14"/>
      <c r="AB2715" s="14"/>
      <c r="AC2715" s="346">
        <f ca="1">LCI_Table[[#This Row],[Default Calculated Value]]-LCI_Table[[#This Row],[Calculated Value]]</f>
        <v>-0.14504477542287963</v>
      </c>
    </row>
    <row r="2716" spans="1:29" x14ac:dyDescent="0.3">
      <c r="A27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dash_SugarcaneATJ-ethanolGREETGREET(blank)_   Lower heating value of renewable diesel_SAF Production</v>
      </c>
      <c r="B2716" s="179" t="s">
        <v>447</v>
      </c>
      <c r="C2716" s="179" t="s">
        <v>1964</v>
      </c>
      <c r="D2716" s="180" t="s">
        <v>29</v>
      </c>
      <c r="E2716" s="182" t="s">
        <v>29</v>
      </c>
      <c r="F2716" s="82" t="s">
        <v>31</v>
      </c>
      <c r="G2716" s="14" t="b">
        <f>OR(LCI_Table[[#This Row],[Feedstock]]="All",LCI_Table[[#This Row],[Feedstock]]=SelectedFeedstock)</f>
        <v>0</v>
      </c>
      <c r="H2716" s="14" t="b">
        <f>OR(LCI_Table[[#This Row],[Conversion]]="All",LCI_Table[[#This Row],[Conversion]]=SelectedConversion)</f>
        <v>0</v>
      </c>
      <c r="I2716" s="14" t="b">
        <f>OR(LCI_Table[[#This Row],[Data Set]]="all",LCI_Table[[#This Row],[Data Set]]=SelectedDataSet)</f>
        <v>1</v>
      </c>
      <c r="J2716" s="14" t="b">
        <f>OR(LCI_Table[[#This Row],[Technology]]="All",LCI_Table[[#This Row],[Technology]]=SelectedTechnology)</f>
        <v>1</v>
      </c>
      <c r="K2716" s="14" t="b">
        <f>OR(LCI_Table[[#This Row],[Data Source]]="All",LCI_Table[[#This Row],[Data Source]]=SelectedDataSource)</f>
        <v>1</v>
      </c>
      <c r="L2716" s="14" t="b">
        <v>0</v>
      </c>
      <c r="M2716" s="14" t="b">
        <f>(LCI_Table[[#This Row],[Dev Notes]]="Do not display")</f>
        <v>0</v>
      </c>
      <c r="N2716" s="14" t="b">
        <f>AND(LCI_Table[[#This Row],[Show Feedstock]:[Conditional]],NOT(LCI_Table[[#This Row],[Hide Row]]))</f>
        <v>0</v>
      </c>
      <c r="O2716" s="14" t="b">
        <f>LCI_Table[[#This Row],[GREET1 Name Range]]=""</f>
        <v>1</v>
      </c>
      <c r="P2716" s="387" t="s">
        <v>1448</v>
      </c>
      <c r="Q2716" s="14"/>
      <c r="R2716" s="14" t="s">
        <v>1863</v>
      </c>
      <c r="S2716" s="37" cm="1">
        <f t="array" aca="1" ref="S27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122887</v>
      </c>
      <c r="T2716" s="346" t="s">
        <v>227</v>
      </c>
      <c r="U2716" s="389">
        <f t="shared" ca="1" si="196"/>
        <v>122887</v>
      </c>
      <c r="V2716" s="389">
        <f>Fuel_Specs!$L$35</f>
        <v>122887</v>
      </c>
      <c r="W2716" s="389">
        <v>122887</v>
      </c>
      <c r="X2716" s="37"/>
      <c r="Y2716" s="346"/>
      <c r="Z2716" s="14" t="str">
        <f>IF(ISBLANK(LCI_Table[[#This Row],[Notes for user]])," ",LCI_Table[[#This Row],[Notes for user]])</f>
        <v xml:space="preserve"> </v>
      </c>
      <c r="AA2716" s="14"/>
      <c r="AB2716" s="14"/>
      <c r="AC2716" s="346">
        <f ca="1">LCI_Table[[#This Row],[Default Calculated Value]]-LCI_Table[[#This Row],[Calculated Value]]</f>
        <v>0</v>
      </c>
    </row>
    <row r="2717" spans="1:29" x14ac:dyDescent="0.3">
      <c r="A27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dash_SugarcaneATJ-ethanolGREETGREET(blank)_Renewable gasoline production_SAF Production</v>
      </c>
      <c r="B2717" s="179" t="s">
        <v>447</v>
      </c>
      <c r="C2717" s="179" t="s">
        <v>1964</v>
      </c>
      <c r="D2717" s="180" t="s">
        <v>29</v>
      </c>
      <c r="E2717" s="182" t="s">
        <v>29</v>
      </c>
      <c r="F2717" s="82" t="s">
        <v>31</v>
      </c>
      <c r="G2717" s="14" t="b">
        <f>OR(LCI_Table[[#This Row],[Feedstock]]="All",LCI_Table[[#This Row],[Feedstock]]=SelectedFeedstock)</f>
        <v>0</v>
      </c>
      <c r="H2717" s="14" t="b">
        <f>OR(LCI_Table[[#This Row],[Conversion]]="All",LCI_Table[[#This Row],[Conversion]]=SelectedConversion)</f>
        <v>0</v>
      </c>
      <c r="I2717" s="14" t="b">
        <f>OR(LCI_Table[[#This Row],[Data Set]]="all",LCI_Table[[#This Row],[Data Set]]=SelectedDataSet)</f>
        <v>1</v>
      </c>
      <c r="J2717" s="14" t="b">
        <f>OR(LCI_Table[[#This Row],[Technology]]="All",LCI_Table[[#This Row],[Technology]]=SelectedTechnology)</f>
        <v>1</v>
      </c>
      <c r="K2717" s="14" t="b">
        <f>OR(LCI_Table[[#This Row],[Data Source]]="All",LCI_Table[[#This Row],[Data Source]]=SelectedDataSource)</f>
        <v>1</v>
      </c>
      <c r="L2717" s="14" t="b">
        <f>TRUE</f>
        <v>1</v>
      </c>
      <c r="M2717" s="14" t="b">
        <f>(LCI_Table[[#This Row],[Dev Notes]]="Do not display")</f>
        <v>0</v>
      </c>
      <c r="N2717" s="14" t="b">
        <f>AND(LCI_Table[[#This Row],[Show Feedstock]:[Conditional]],NOT(LCI_Table[[#This Row],[Hide Row]]))</f>
        <v>0</v>
      </c>
      <c r="O2717" s="14" t="b">
        <f>LCI_Table[[#This Row],[GREET1 Name Range]]=""</f>
        <v>1</v>
      </c>
      <c r="P2717" s="387" t="s">
        <v>1448</v>
      </c>
      <c r="Q2717" s="14"/>
      <c r="R2717" s="14" t="s">
        <v>1864</v>
      </c>
      <c r="S2717" s="37" cm="1">
        <f t="array" aca="1" ref="S27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17" s="346" t="s">
        <v>1859</v>
      </c>
      <c r="U2717" s="389">
        <f t="shared" ca="1" si="196"/>
        <v>0</v>
      </c>
      <c r="V2717" s="389">
        <v>0</v>
      </c>
      <c r="W2717" s="389">
        <v>0</v>
      </c>
      <c r="X2717" s="37"/>
      <c r="Y2717" s="346"/>
      <c r="Z2717" s="14" t="str">
        <f>IF(ISBLANK(LCI_Table[[#This Row],[Notes for user]])," ",LCI_Table[[#This Row],[Notes for user]])</f>
        <v xml:space="preserve"> </v>
      </c>
      <c r="AA2717" s="14"/>
      <c r="AB2717" s="14"/>
      <c r="AC2717" s="346">
        <f ca="1">LCI_Table[[#This Row],[Default Calculated Value]]-LCI_Table[[#This Row],[Calculated Value]]</f>
        <v>0</v>
      </c>
    </row>
    <row r="2718" spans="1:29" x14ac:dyDescent="0.3">
      <c r="A27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dash_SugarcaneATJ-ethanolGREETGREET(blank)_   Lower heating value of renewable gasoline_SAF Production</v>
      </c>
      <c r="B2718" s="179" t="s">
        <v>447</v>
      </c>
      <c r="C2718" s="179" t="s">
        <v>1964</v>
      </c>
      <c r="D2718" s="180" t="s">
        <v>29</v>
      </c>
      <c r="E2718" s="182" t="s">
        <v>29</v>
      </c>
      <c r="F2718" s="82" t="s">
        <v>31</v>
      </c>
      <c r="G2718" s="14" t="b">
        <f>OR(LCI_Table[[#This Row],[Feedstock]]="All",LCI_Table[[#This Row],[Feedstock]]=SelectedFeedstock)</f>
        <v>0</v>
      </c>
      <c r="H2718" s="14" t="b">
        <f>OR(LCI_Table[[#This Row],[Conversion]]="All",LCI_Table[[#This Row],[Conversion]]=SelectedConversion)</f>
        <v>0</v>
      </c>
      <c r="I2718" s="14" t="b">
        <f>OR(LCI_Table[[#This Row],[Data Set]]="all",LCI_Table[[#This Row],[Data Set]]=SelectedDataSet)</f>
        <v>1</v>
      </c>
      <c r="J2718" s="14" t="b">
        <f>OR(LCI_Table[[#This Row],[Technology]]="All",LCI_Table[[#This Row],[Technology]]=SelectedTechnology)</f>
        <v>1</v>
      </c>
      <c r="K2718" s="14" t="b">
        <f>OR(LCI_Table[[#This Row],[Data Source]]="All",LCI_Table[[#This Row],[Data Source]]=SelectedDataSource)</f>
        <v>1</v>
      </c>
      <c r="L2718" s="14" t="b">
        <v>0</v>
      </c>
      <c r="M2718" s="14" t="b">
        <f>(LCI_Table[[#This Row],[Dev Notes]]="Do not display")</f>
        <v>0</v>
      </c>
      <c r="N2718" s="14" t="b">
        <f>AND(LCI_Table[[#This Row],[Show Feedstock]:[Conditional]],NOT(LCI_Table[[#This Row],[Hide Row]]))</f>
        <v>0</v>
      </c>
      <c r="O2718" s="14" t="b">
        <f>LCI_Table[[#This Row],[GREET1 Name Range]]=""</f>
        <v>1</v>
      </c>
      <c r="P2718" s="387" t="s">
        <v>1448</v>
      </c>
      <c r="Q2718" s="14"/>
      <c r="R2718" s="14" t="s">
        <v>1865</v>
      </c>
      <c r="S2718" s="37" cm="1">
        <f t="array" aca="1" ref="S27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113309</v>
      </c>
      <c r="T2718" s="346" t="s">
        <v>227</v>
      </c>
      <c r="U2718" s="389">
        <f t="shared" ca="1" si="196"/>
        <v>113309</v>
      </c>
      <c r="V2718" s="389">
        <f>Fuel_Specs!$L$36</f>
        <v>113309</v>
      </c>
      <c r="W2718" s="389">
        <v>113309</v>
      </c>
      <c r="X2718" s="37"/>
      <c r="Y2718" s="346"/>
      <c r="Z2718" s="14" t="str">
        <f>IF(ISBLANK(LCI_Table[[#This Row],[Notes for user]])," ",LCI_Table[[#This Row],[Notes for user]])</f>
        <v xml:space="preserve"> </v>
      </c>
      <c r="AA2718" s="14"/>
      <c r="AB2718" s="14"/>
      <c r="AC2718" s="346">
        <f ca="1">LCI_Table[[#This Row],[Default Calculated Value]]-LCI_Table[[#This Row],[Calculated Value]]</f>
        <v>0</v>
      </c>
    </row>
    <row r="2719" spans="1:29" x14ac:dyDescent="0.3">
      <c r="A27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dash_SugarcaneATJ-ethanolGREETGREET(blank)_Renewable naphtha production_SAF Production</v>
      </c>
      <c r="B2719" s="179" t="s">
        <v>447</v>
      </c>
      <c r="C2719" s="179" t="s">
        <v>1964</v>
      </c>
      <c r="D2719" s="180" t="s">
        <v>29</v>
      </c>
      <c r="E2719" s="182" t="s">
        <v>29</v>
      </c>
      <c r="F2719" s="82" t="s">
        <v>31</v>
      </c>
      <c r="G2719" s="14" t="b">
        <f>OR(LCI_Table[[#This Row],[Feedstock]]="All",LCI_Table[[#This Row],[Feedstock]]=SelectedFeedstock)</f>
        <v>0</v>
      </c>
      <c r="H2719" s="14" t="b">
        <f>OR(LCI_Table[[#This Row],[Conversion]]="All",LCI_Table[[#This Row],[Conversion]]=SelectedConversion)</f>
        <v>0</v>
      </c>
      <c r="I2719" s="14" t="b">
        <f>OR(LCI_Table[[#This Row],[Data Set]]="all",LCI_Table[[#This Row],[Data Set]]=SelectedDataSet)</f>
        <v>1</v>
      </c>
      <c r="J2719" s="14" t="b">
        <f>OR(LCI_Table[[#This Row],[Technology]]="All",LCI_Table[[#This Row],[Technology]]=SelectedTechnology)</f>
        <v>1</v>
      </c>
      <c r="K2719" s="14" t="b">
        <f>OR(LCI_Table[[#This Row],[Data Source]]="All",LCI_Table[[#This Row],[Data Source]]=SelectedDataSource)</f>
        <v>1</v>
      </c>
      <c r="L2719" s="14" t="b">
        <f>TRUE</f>
        <v>1</v>
      </c>
      <c r="M2719" s="14" t="b">
        <f>(LCI_Table[[#This Row],[Dev Notes]]="Do not display")</f>
        <v>0</v>
      </c>
      <c r="N2719" s="14" t="b">
        <f>AND(LCI_Table[[#This Row],[Show Feedstock]:[Conditional]],NOT(LCI_Table[[#This Row],[Hide Row]]))</f>
        <v>0</v>
      </c>
      <c r="O2719" s="14" t="b">
        <f>LCI_Table[[#This Row],[GREET1 Name Range]]=""</f>
        <v>1</v>
      </c>
      <c r="P2719" s="387" t="s">
        <v>1448</v>
      </c>
      <c r="Q2719" s="14"/>
      <c r="R2719" s="14" t="s">
        <v>1866</v>
      </c>
      <c r="S2719" s="37" cm="1">
        <f t="array" aca="1" ref="S27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19" s="346" t="s">
        <v>1859</v>
      </c>
      <c r="U2719" s="389">
        <f t="shared" ca="1" si="196"/>
        <v>0</v>
      </c>
      <c r="V2719" s="389">
        <v>0</v>
      </c>
      <c r="W2719" s="389">
        <v>0</v>
      </c>
      <c r="X2719" s="37"/>
      <c r="Y2719" s="346"/>
      <c r="Z2719" s="14" t="str">
        <f>IF(ISBLANK(LCI_Table[[#This Row],[Notes for user]])," ",LCI_Table[[#This Row],[Notes for user]])</f>
        <v xml:space="preserve"> </v>
      </c>
      <c r="AA2719" s="14"/>
      <c r="AB2719" s="14"/>
      <c r="AC2719" s="346">
        <f ca="1">LCI_Table[[#This Row],[Default Calculated Value]]-LCI_Table[[#This Row],[Calculated Value]]</f>
        <v>0</v>
      </c>
    </row>
    <row r="2720" spans="1:29" x14ac:dyDescent="0.3">
      <c r="A27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dash_SugarcaneATJ-ethanolGREETGREET(blank)_   Lower heating value of renewable naphtha_SAF Production</v>
      </c>
      <c r="B2720" s="179" t="s">
        <v>447</v>
      </c>
      <c r="C2720" s="179" t="s">
        <v>1964</v>
      </c>
      <c r="D2720" s="180" t="s">
        <v>29</v>
      </c>
      <c r="E2720" s="182" t="s">
        <v>29</v>
      </c>
      <c r="F2720" s="82" t="s">
        <v>31</v>
      </c>
      <c r="G2720" s="14" t="b">
        <f>OR(LCI_Table[[#This Row],[Feedstock]]="All",LCI_Table[[#This Row],[Feedstock]]=SelectedFeedstock)</f>
        <v>0</v>
      </c>
      <c r="H2720" s="14" t="b">
        <f>OR(LCI_Table[[#This Row],[Conversion]]="All",LCI_Table[[#This Row],[Conversion]]=SelectedConversion)</f>
        <v>0</v>
      </c>
      <c r="I2720" s="14" t="b">
        <f>OR(LCI_Table[[#This Row],[Data Set]]="all",LCI_Table[[#This Row],[Data Set]]=SelectedDataSet)</f>
        <v>1</v>
      </c>
      <c r="J2720" s="14" t="b">
        <f>OR(LCI_Table[[#This Row],[Technology]]="All",LCI_Table[[#This Row],[Technology]]=SelectedTechnology)</f>
        <v>1</v>
      </c>
      <c r="K2720" s="14" t="b">
        <f>OR(LCI_Table[[#This Row],[Data Source]]="All",LCI_Table[[#This Row],[Data Source]]=SelectedDataSource)</f>
        <v>1</v>
      </c>
      <c r="L2720" s="14" t="b">
        <v>0</v>
      </c>
      <c r="M2720" s="14" t="b">
        <f>(LCI_Table[[#This Row],[Dev Notes]]="Do not display")</f>
        <v>0</v>
      </c>
      <c r="N2720" s="14" t="b">
        <f>AND(LCI_Table[[#This Row],[Show Feedstock]:[Conditional]],NOT(LCI_Table[[#This Row],[Hide Row]]))</f>
        <v>0</v>
      </c>
      <c r="O2720" s="14" t="b">
        <f>LCI_Table[[#This Row],[GREET1 Name Range]]=""</f>
        <v>1</v>
      </c>
      <c r="P2720" s="387" t="s">
        <v>1448</v>
      </c>
      <c r="Q2720" s="14"/>
      <c r="R2720" s="14" t="s">
        <v>1867</v>
      </c>
      <c r="S2720" s="37" cm="1">
        <f t="array" aca="1" ref="S27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113309</v>
      </c>
      <c r="T2720" s="346" t="s">
        <v>227</v>
      </c>
      <c r="U2720" s="389">
        <f t="shared" ca="1" si="196"/>
        <v>113309</v>
      </c>
      <c r="V2720" s="389">
        <f>Fuel_Specs!$L$37</f>
        <v>113309</v>
      </c>
      <c r="W2720" s="389">
        <v>113309</v>
      </c>
      <c r="X2720" s="37"/>
      <c r="Y2720" s="346"/>
      <c r="Z2720" s="14" t="str">
        <f>IF(ISBLANK(LCI_Table[[#This Row],[Notes for user]])," ",LCI_Table[[#This Row],[Notes for user]])</f>
        <v xml:space="preserve"> </v>
      </c>
      <c r="AA2720" s="14"/>
      <c r="AB2720" s="14"/>
      <c r="AC2720" s="346">
        <f ca="1">LCI_Table[[#This Row],[Default Calculated Value]]-LCI_Table[[#This Row],[Calculated Value]]</f>
        <v>0</v>
      </c>
    </row>
    <row r="2721" spans="1:29" x14ac:dyDescent="0.3">
      <c r="A27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dash_SugarcaneATJ-ethanolGREETGREET(blank)_Total fuel production _SAF Production</v>
      </c>
      <c r="B2721" s="179" t="s">
        <v>447</v>
      </c>
      <c r="C2721" s="179" t="s">
        <v>1964</v>
      </c>
      <c r="D2721" s="180" t="s">
        <v>29</v>
      </c>
      <c r="E2721" s="182" t="s">
        <v>29</v>
      </c>
      <c r="F2721" s="82" t="s">
        <v>31</v>
      </c>
      <c r="G2721" s="14" t="b">
        <f>OR(LCI_Table[[#This Row],[Feedstock]]="All",LCI_Table[[#This Row],[Feedstock]]=SelectedFeedstock)</f>
        <v>0</v>
      </c>
      <c r="H2721" s="14" t="b">
        <f>OR(LCI_Table[[#This Row],[Conversion]]="All",LCI_Table[[#This Row],[Conversion]]=SelectedConversion)</f>
        <v>0</v>
      </c>
      <c r="I2721" s="14" t="b">
        <f>OR(LCI_Table[[#This Row],[Data Set]]="all",LCI_Table[[#This Row],[Data Set]]=SelectedDataSet)</f>
        <v>1</v>
      </c>
      <c r="J2721" s="14" t="b">
        <f>OR(LCI_Table[[#This Row],[Technology]]="All",LCI_Table[[#This Row],[Technology]]=SelectedTechnology)</f>
        <v>1</v>
      </c>
      <c r="K2721" s="14" t="b">
        <f>OR(LCI_Table[[#This Row],[Data Source]]="All",LCI_Table[[#This Row],[Data Source]]=SelectedDataSource)</f>
        <v>1</v>
      </c>
      <c r="L2721" s="14" t="b">
        <v>0</v>
      </c>
      <c r="M2721" s="14" t="b">
        <f>(LCI_Table[[#This Row],[Dev Notes]]="Do not display")</f>
        <v>0</v>
      </c>
      <c r="N2721" s="14" t="b">
        <f>AND(LCI_Table[[#This Row],[Show Feedstock]:[Conditional]],NOT(LCI_Table[[#This Row],[Hide Row]]))</f>
        <v>0</v>
      </c>
      <c r="O2721" s="14" t="b">
        <f>LCI_Table[[#This Row],[GREET1 Name Range]]=""</f>
        <v>1</v>
      </c>
      <c r="P2721" s="387" t="s">
        <v>1448</v>
      </c>
      <c r="Q2721" s="14"/>
      <c r="R2721" s="14" t="s">
        <v>1868</v>
      </c>
      <c r="S2721" s="37" cm="1">
        <f t="array" aca="1" ref="S27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7557425.7425742559</v>
      </c>
      <c r="T2721" s="346" t="s">
        <v>1860</v>
      </c>
      <c r="U2721" s="389">
        <f t="shared" ca="1" si="196"/>
        <v>7557425.7425742559</v>
      </c>
      <c r="V2721" s="389">
        <f ca="1">S2713*S2714+S2715*S2716+S2717*S2718+S2719*S2720</f>
        <v>7557425.7425742559</v>
      </c>
      <c r="W2721" s="389">
        <v>7200943.3962263986</v>
      </c>
      <c r="X2721" s="37"/>
      <c r="Y2721" s="346"/>
      <c r="Z2721" s="14" t="str">
        <f>IF(ISBLANK(LCI_Table[[#This Row],[Notes for user]])," ",LCI_Table[[#This Row],[Notes for user]])</f>
        <v xml:space="preserve"> </v>
      </c>
      <c r="AA2721" s="14"/>
      <c r="AB2721" s="14"/>
      <c r="AC2721" s="346">
        <f ca="1">LCI_Table[[#This Row],[Default Calculated Value]]-LCI_Table[[#This Row],[Calculated Value]]</f>
        <v>-356482.34634785727</v>
      </c>
    </row>
    <row r="2722" spans="1:29" x14ac:dyDescent="0.3">
      <c r="A27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SugarcaneATJ-ethanolGREETGREET(blank)_ETJ_Standalone_EthanolFeedstock: Ethanol consumption</v>
      </c>
      <c r="B2722" s="179" t="s">
        <v>447</v>
      </c>
      <c r="C2722" s="179" t="s">
        <v>1964</v>
      </c>
      <c r="D2722" s="180" t="s">
        <v>29</v>
      </c>
      <c r="E2722" s="182" t="s">
        <v>29</v>
      </c>
      <c r="F2722" s="82" t="s">
        <v>31</v>
      </c>
      <c r="G2722" s="14" t="b">
        <f>OR(LCI_Table[[#This Row],[Feedstock]]="All",LCI_Table[[#This Row],[Feedstock]]=SelectedFeedstock)</f>
        <v>0</v>
      </c>
      <c r="H2722" s="14" t="b">
        <f>OR(LCI_Table[[#This Row],[Conversion]]="All",LCI_Table[[#This Row],[Conversion]]=SelectedConversion)</f>
        <v>0</v>
      </c>
      <c r="I2722" s="14" t="b">
        <f>OR(LCI_Table[[#This Row],[Data Set]]="all",LCI_Table[[#This Row],[Data Set]]=SelectedDataSet)</f>
        <v>1</v>
      </c>
      <c r="J2722" s="14" t="b">
        <f>OR(LCI_Table[[#This Row],[Technology]]="All",LCI_Table[[#This Row],[Technology]]=SelectedTechnology)</f>
        <v>1</v>
      </c>
      <c r="K2722" s="14" t="b">
        <f>OR(LCI_Table[[#This Row],[Data Source]]="All",LCI_Table[[#This Row],[Data Source]]=SelectedDataSource)</f>
        <v>1</v>
      </c>
      <c r="L2722" s="14" t="b">
        <f>TRUE</f>
        <v>1</v>
      </c>
      <c r="M2722" s="14" t="b">
        <f>(LCI_Table[[#This Row],[Dev Notes]]="Do not display")</f>
        <v>0</v>
      </c>
      <c r="N2722" s="14" t="b">
        <f>AND(LCI_Table[[#This Row],[Show Feedstock]:[Conditional]],NOT(LCI_Table[[#This Row],[Hide Row]]))</f>
        <v>0</v>
      </c>
      <c r="O2722" s="14" t="b">
        <f>LCI_Table[[#This Row],[GREET1 Name Range]]=""</f>
        <v>0</v>
      </c>
      <c r="P2722" s="387" t="s">
        <v>1448</v>
      </c>
      <c r="Q2722" s="14" t="s">
        <v>1635</v>
      </c>
      <c r="R2722" s="14" t="s">
        <v>1720</v>
      </c>
      <c r="S2722" s="37" cm="1">
        <f t="array" aca="1" ref="S27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100</v>
      </c>
      <c r="T2722" s="346" t="s">
        <v>1859</v>
      </c>
      <c r="U2722" s="351">
        <f ca="1">LCI_Table[[#This Row],[Dashboard Value]]*Fuel_Specs!$B$31/$U$2721</f>
        <v>1.0100000000000002</v>
      </c>
      <c r="V2722" s="351">
        <v>100</v>
      </c>
      <c r="W2722" s="351">
        <v>1.0600000000000025</v>
      </c>
      <c r="X2722" s="37"/>
      <c r="Y2722" s="346"/>
      <c r="Z2722" s="14" t="str">
        <f>IF(ISBLANK(LCI_Table[[#This Row],[Notes for user]])," ",LCI_Table[[#This Row],[Notes for user]])</f>
        <v>Denatured ethanol</v>
      </c>
      <c r="AA2722" s="14" t="s">
        <v>1717</v>
      </c>
      <c r="AB2722" s="14"/>
      <c r="AC2722" s="346">
        <f ca="1">LCI_Table[[#This Row],[Default Calculated Value]]-LCI_Table[[#This Row],[Calculated Value]]</f>
        <v>5.0000000000002265E-2</v>
      </c>
    </row>
    <row r="2723" spans="1:29" x14ac:dyDescent="0.3">
      <c r="A27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SugarcaneATJ-ethanolGREETGREET(blank)_ETJ_Standalone_NGTotal NG/RNG consumption</v>
      </c>
      <c r="B2723" s="179" t="s">
        <v>447</v>
      </c>
      <c r="C2723" s="179" t="s">
        <v>1964</v>
      </c>
      <c r="D2723" s="180" t="s">
        <v>29</v>
      </c>
      <c r="E2723" s="182" t="s">
        <v>29</v>
      </c>
      <c r="F2723" s="82" t="s">
        <v>31</v>
      </c>
      <c r="G2723" s="14" t="b">
        <f>OR(LCI_Table[[#This Row],[Feedstock]]="All",LCI_Table[[#This Row],[Feedstock]]=SelectedFeedstock)</f>
        <v>0</v>
      </c>
      <c r="H2723" s="14" t="b">
        <f>OR(LCI_Table[[#This Row],[Conversion]]="All",LCI_Table[[#This Row],[Conversion]]=SelectedConversion)</f>
        <v>0</v>
      </c>
      <c r="I2723" s="14" t="b">
        <f>OR(LCI_Table[[#This Row],[Data Set]]="all",LCI_Table[[#This Row],[Data Set]]=SelectedDataSet)</f>
        <v>1</v>
      </c>
      <c r="J2723" s="14" t="b">
        <f>OR(LCI_Table[[#This Row],[Technology]]="All",LCI_Table[[#This Row],[Technology]]=SelectedTechnology)</f>
        <v>1</v>
      </c>
      <c r="K2723" s="14" t="b">
        <f>OR(LCI_Table[[#This Row],[Data Source]]="All",LCI_Table[[#This Row],[Data Source]]=SelectedDataSource)</f>
        <v>1</v>
      </c>
      <c r="L2723" s="14" t="b">
        <v>0</v>
      </c>
      <c r="M2723" s="14" t="b">
        <f>(LCI_Table[[#This Row],[Dev Notes]]="Do not display")</f>
        <v>0</v>
      </c>
      <c r="N2723" s="14" t="b">
        <f>AND(LCI_Table[[#This Row],[Show Feedstock]:[Conditional]],NOT(LCI_Table[[#This Row],[Hide Row]]))</f>
        <v>0</v>
      </c>
      <c r="O2723" s="14" t="b">
        <f>LCI_Table[[#This Row],[GREET1 Name Range]]=""</f>
        <v>0</v>
      </c>
      <c r="P2723" s="387" t="s">
        <v>1448</v>
      </c>
      <c r="Q2723" s="14" t="s">
        <v>1636</v>
      </c>
      <c r="R2723" s="14" t="s">
        <v>1861</v>
      </c>
      <c r="S2723" s="37" cm="1">
        <f t="array" aca="1" ref="S27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1296.1698113207553</v>
      </c>
      <c r="T2723" s="346" t="s">
        <v>2156</v>
      </c>
      <c r="U2723" s="351">
        <f ca="1">$S2723/$U$2721*1000</f>
        <v>0.17150943396226426</v>
      </c>
      <c r="V2723" s="390">
        <v>1296.1698113207553</v>
      </c>
      <c r="W2723" s="351">
        <v>0.18000000000000049</v>
      </c>
      <c r="X2723" s="360"/>
      <c r="Y2723" s="346"/>
      <c r="Z2723" s="14" t="str">
        <f>IF(ISBLANK(LCI_Table[[#This Row],[Notes for user]])," ",LCI_Table[[#This Row],[Notes for user]])</f>
        <v>Specify the source in the selection table below.</v>
      </c>
      <c r="AA2723" s="14" t="s">
        <v>1836</v>
      </c>
      <c r="AB2723" s="358"/>
      <c r="AC2723" s="346">
        <f ca="1">LCI_Table[[#This Row],[Default Calculated Value]]-LCI_Table[[#This Row],[Calculated Value]]</f>
        <v>8.4905660377362357E-3</v>
      </c>
    </row>
    <row r="2724" spans="1:29" x14ac:dyDescent="0.3">
      <c r="A272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SugarcaneATJ-ethanolGREETGREET(blank)_ETJ_Standalone_ElectricityGrid electricity (selected eGRID region)</v>
      </c>
      <c r="B2724" s="179" t="s">
        <v>447</v>
      </c>
      <c r="C2724" s="179" t="s">
        <v>1964</v>
      </c>
      <c r="D2724" s="180" t="s">
        <v>29</v>
      </c>
      <c r="E2724" s="182" t="s">
        <v>29</v>
      </c>
      <c r="F2724" s="82" t="s">
        <v>31</v>
      </c>
      <c r="G2724" s="14" t="b">
        <f>OR(LCI_Table[[#This Row],[Feedstock]]="All",LCI_Table[[#This Row],[Feedstock]]=SelectedFeedstock)</f>
        <v>0</v>
      </c>
      <c r="H2724" s="14" t="b">
        <f>OR(LCI_Table[[#This Row],[Conversion]]="All",LCI_Table[[#This Row],[Conversion]]=SelectedConversion)</f>
        <v>0</v>
      </c>
      <c r="I2724" s="14" t="b">
        <f>OR(LCI_Table[[#This Row],[Data Set]]="all",LCI_Table[[#This Row],[Data Set]]=SelectedDataSet)</f>
        <v>1</v>
      </c>
      <c r="J2724" s="14" t="b">
        <f>OR(LCI_Table[[#This Row],[Technology]]="All",LCI_Table[[#This Row],[Technology]]=SelectedTechnology)</f>
        <v>1</v>
      </c>
      <c r="K2724" s="14" t="b">
        <f>OR(LCI_Table[[#This Row],[Data Source]]="All",LCI_Table[[#This Row],[Data Source]]=SelectedDataSource)</f>
        <v>1</v>
      </c>
      <c r="L2724" s="14" t="b">
        <f>TRUE</f>
        <v>1</v>
      </c>
      <c r="M2724" s="14" t="b">
        <f>(LCI_Table[[#This Row],[Dev Notes]]="Do not display")</f>
        <v>0</v>
      </c>
      <c r="N2724" s="14" t="b">
        <f>AND(LCI_Table[[#This Row],[Show Feedstock]:[Conditional]],NOT(LCI_Table[[#This Row],[Hide Row]]))</f>
        <v>0</v>
      </c>
      <c r="O2724" s="14" t="b">
        <f>LCI_Table[[#This Row],[GREET1 Name Range]]=""</f>
        <v>0</v>
      </c>
      <c r="P2724" s="387" t="s">
        <v>1448</v>
      </c>
      <c r="Q2724" s="14" t="s">
        <v>1637</v>
      </c>
      <c r="R2724" s="14" t="s">
        <v>1708</v>
      </c>
      <c r="S2724" s="37" cm="1">
        <f t="array" aca="1" ref="S27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110.74314223116059</v>
      </c>
      <c r="T2724" s="346" t="s">
        <v>1959</v>
      </c>
      <c r="U2724" s="351">
        <f ca="1">$S2724/$U$2721*kWh2BTU</f>
        <v>4.9999999999999996E-2</v>
      </c>
      <c r="V2724" s="432">
        <v>110.74314223116059</v>
      </c>
      <c r="W2724" s="351">
        <v>2.0000000000000059E-2</v>
      </c>
      <c r="X2724" s="37"/>
      <c r="Y2724" s="346"/>
      <c r="Z2724" s="14" t="str">
        <f>IF(ISBLANK(LCI_Table[[#This Row],[Notes for user]])," ",LCI_Table[[#This Row],[Notes for user]])</f>
        <v>Specify the source in the selection table below.</v>
      </c>
      <c r="AA2724" s="14" t="s">
        <v>1836</v>
      </c>
      <c r="AB2724" s="14"/>
      <c r="AC2724" s="346">
        <f ca="1">LCI_Table[[#This Row],[Default Calculated Value]]-LCI_Table[[#This Row],[Calculated Value]]</f>
        <v>-2.9999999999999936E-2</v>
      </c>
    </row>
    <row r="2725" spans="1:29" x14ac:dyDescent="0.3">
      <c r="A272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dash_SugarcaneATJ-ethanolGREETGREET(blank)_Renewable Electricity Credit (REC)_SAF Production</v>
      </c>
      <c r="B2725" s="179" t="s">
        <v>447</v>
      </c>
      <c r="C2725" s="179" t="s">
        <v>1964</v>
      </c>
      <c r="D2725" s="180" t="s">
        <v>29</v>
      </c>
      <c r="E2725" s="182" t="s">
        <v>29</v>
      </c>
      <c r="F2725" s="82" t="s">
        <v>31</v>
      </c>
      <c r="G2725" s="14" t="b">
        <f>OR(LCI_Table[[#This Row],[Feedstock]]="All",LCI_Table[[#This Row],[Feedstock]]=SelectedFeedstock)</f>
        <v>0</v>
      </c>
      <c r="H2725" s="14" t="b">
        <f>OR(LCI_Table[[#This Row],[Conversion]]="All",LCI_Table[[#This Row],[Conversion]]=SelectedConversion)</f>
        <v>0</v>
      </c>
      <c r="I2725" s="14" t="b">
        <f>OR(LCI_Table[[#This Row],[Data Set]]="all",LCI_Table[[#This Row],[Data Set]]=SelectedDataSet)</f>
        <v>1</v>
      </c>
      <c r="J2725" s="14" t="b">
        <f>OR(LCI_Table[[#This Row],[Technology]]="All",LCI_Table[[#This Row],[Technology]]=SelectedTechnology)</f>
        <v>1</v>
      </c>
      <c r="K2725" s="14" t="b">
        <f>OR(LCI_Table[[#This Row],[Data Source]]="All",LCI_Table[[#This Row],[Data Source]]=SelectedDataSource)</f>
        <v>1</v>
      </c>
      <c r="L2725" s="14" t="b">
        <f>TRUE</f>
        <v>1</v>
      </c>
      <c r="M2725" s="14" t="b">
        <f>(LCI_Table[[#This Row],[Dev Notes]]="Do not display")</f>
        <v>0</v>
      </c>
      <c r="N2725" s="14" t="b">
        <f>AND(LCI_Table[[#This Row],[Show Feedstock]:[Conditional]],NOT(LCI_Table[[#This Row],[Hide Row]]))</f>
        <v>0</v>
      </c>
      <c r="O2725" s="14" t="b">
        <f>LCI_Table[[#This Row],[GREET1 Name Range]]=""</f>
        <v>1</v>
      </c>
      <c r="P2725" s="387" t="s">
        <v>1448</v>
      </c>
      <c r="Q2725" s="14"/>
      <c r="R2725" s="14" t="s">
        <v>1709</v>
      </c>
      <c r="S2725" s="37" cm="1">
        <f t="array" aca="1" ref="S27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25" s="346" t="s">
        <v>1959</v>
      </c>
      <c r="U2725" s="351">
        <f ca="1">LCI_Table[[#This Row],[Dashboard Value]]</f>
        <v>0</v>
      </c>
      <c r="V2725" s="351">
        <v>0</v>
      </c>
      <c r="W2725" s="351">
        <v>0</v>
      </c>
      <c r="X2725" s="37"/>
      <c r="Y2725" s="346"/>
      <c r="Z2725" s="14" t="str">
        <f>IF(ISBLANK(LCI_Table[[#This Row],[Notes for user]])," ",LCI_Table[[#This Row],[Notes for user]])</f>
        <v xml:space="preserve"> </v>
      </c>
      <c r="AA2725" s="14"/>
      <c r="AB2725" s="14"/>
      <c r="AC2725" s="346">
        <f ca="1">LCI_Table[[#This Row],[Default Calculated Value]]-LCI_Table[[#This Row],[Calculated Value]]</f>
        <v>0</v>
      </c>
    </row>
    <row r="2726" spans="1:29" x14ac:dyDescent="0.3">
      <c r="A272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dash_SugarcaneATJ-ethanolGREETGREET(blank)_Onsite behind-the-meter electricity_SAF Production</v>
      </c>
      <c r="B2726" s="179" t="s">
        <v>447</v>
      </c>
      <c r="C2726" s="179" t="s">
        <v>1964</v>
      </c>
      <c r="D2726" s="180" t="s">
        <v>29</v>
      </c>
      <c r="E2726" s="182" t="s">
        <v>29</v>
      </c>
      <c r="F2726" s="82" t="s">
        <v>31</v>
      </c>
      <c r="G2726" s="14" t="b">
        <f>OR(LCI_Table[[#This Row],[Feedstock]]="All",LCI_Table[[#This Row],[Feedstock]]=SelectedFeedstock)</f>
        <v>0</v>
      </c>
      <c r="H2726" s="14" t="b">
        <f>OR(LCI_Table[[#This Row],[Conversion]]="All",LCI_Table[[#This Row],[Conversion]]=SelectedConversion)</f>
        <v>0</v>
      </c>
      <c r="I2726" s="14" t="b">
        <f>OR(LCI_Table[[#This Row],[Data Set]]="all",LCI_Table[[#This Row],[Data Set]]=SelectedDataSet)</f>
        <v>1</v>
      </c>
      <c r="J2726" s="14" t="b">
        <f>OR(LCI_Table[[#This Row],[Technology]]="All",LCI_Table[[#This Row],[Technology]]=SelectedTechnology)</f>
        <v>1</v>
      </c>
      <c r="K2726" s="14" t="b">
        <f>OR(LCI_Table[[#This Row],[Data Source]]="All",LCI_Table[[#This Row],[Data Source]]=SelectedDataSource)</f>
        <v>1</v>
      </c>
      <c r="L2726" s="14" t="b">
        <f>TRUE</f>
        <v>1</v>
      </c>
      <c r="M2726" s="14" t="b">
        <f>(LCI_Table[[#This Row],[Dev Notes]]="Do not display")</f>
        <v>0</v>
      </c>
      <c r="N2726" s="14" t="b">
        <f>AND(LCI_Table[[#This Row],[Show Feedstock]:[Conditional]],NOT(LCI_Table[[#This Row],[Hide Row]]))</f>
        <v>0</v>
      </c>
      <c r="O2726" s="14" t="b">
        <f>LCI_Table[[#This Row],[GREET1 Name Range]]=""</f>
        <v>1</v>
      </c>
      <c r="P2726" s="387" t="s">
        <v>1448</v>
      </c>
      <c r="Q2726" s="14"/>
      <c r="R2726" s="14" t="s">
        <v>1710</v>
      </c>
      <c r="S2726" s="37" cm="1">
        <f t="array" aca="1" ref="S27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26" s="346" t="s">
        <v>1959</v>
      </c>
      <c r="U2726" s="351">
        <f ca="1">LCI_Table[[#This Row],[Dashboard Value]]</f>
        <v>0</v>
      </c>
      <c r="V2726" s="351">
        <v>0</v>
      </c>
      <c r="W2726" s="351">
        <v>0</v>
      </c>
      <c r="X2726" s="37"/>
      <c r="Y2726" s="346"/>
      <c r="Z2726" s="14" t="str">
        <f>IF(ISBLANK(LCI_Table[[#This Row],[Notes for user]])," ",LCI_Table[[#This Row],[Notes for user]])</f>
        <v xml:space="preserve"> </v>
      </c>
      <c r="AA2726" s="14"/>
      <c r="AB2726" s="14"/>
      <c r="AC2726" s="346">
        <f ca="1">LCI_Table[[#This Row],[Default Calculated Value]]-LCI_Table[[#This Row],[Calculated Value]]</f>
        <v>0</v>
      </c>
    </row>
    <row r="2727" spans="1:29" x14ac:dyDescent="0.3">
      <c r="A272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SugarcaneATJ-ethanolGREETGREET(blank)_ETJ_Standalone_HydrogenTotal hydrogen consumption</v>
      </c>
      <c r="B2727" s="179" t="s">
        <v>447</v>
      </c>
      <c r="C2727" s="179" t="s">
        <v>1964</v>
      </c>
      <c r="D2727" s="180" t="s">
        <v>29</v>
      </c>
      <c r="E2727" s="182" t="s">
        <v>29</v>
      </c>
      <c r="F2727" s="82" t="s">
        <v>31</v>
      </c>
      <c r="G2727" s="14" t="b">
        <f>OR(LCI_Table[[#This Row],[Feedstock]]="All",LCI_Table[[#This Row],[Feedstock]]=SelectedFeedstock)</f>
        <v>0</v>
      </c>
      <c r="H2727" s="14" t="b">
        <f>OR(LCI_Table[[#This Row],[Conversion]]="All",LCI_Table[[#This Row],[Conversion]]=SelectedConversion)</f>
        <v>0</v>
      </c>
      <c r="I2727" s="14" t="b">
        <f>OR(LCI_Table[[#This Row],[Data Set]]="all",LCI_Table[[#This Row],[Data Set]]=SelectedDataSet)</f>
        <v>1</v>
      </c>
      <c r="J2727" s="14" t="b">
        <f>OR(LCI_Table[[#This Row],[Technology]]="All",LCI_Table[[#This Row],[Technology]]=SelectedTechnology)</f>
        <v>1</v>
      </c>
      <c r="K2727" s="14" t="b">
        <f>OR(LCI_Table[[#This Row],[Data Source]]="All",LCI_Table[[#This Row],[Data Source]]=SelectedDataSource)</f>
        <v>1</v>
      </c>
      <c r="L2727" s="14" t="b">
        <v>0</v>
      </c>
      <c r="M2727" s="14" t="b">
        <f>(LCI_Table[[#This Row],[Dev Notes]]="Do not display")</f>
        <v>0</v>
      </c>
      <c r="N2727" s="14" t="b">
        <f>AND(LCI_Table[[#This Row],[Show Feedstock]:[Conditional]],NOT(LCI_Table[[#This Row],[Hide Row]]))</f>
        <v>0</v>
      </c>
      <c r="O2727" s="14" t="b">
        <f>LCI_Table[[#This Row],[GREET1 Name Range]]=""</f>
        <v>0</v>
      </c>
      <c r="P2727" s="391" t="s">
        <v>1448</v>
      </c>
      <c r="Q2727" s="14" t="s">
        <v>1638</v>
      </c>
      <c r="R2727" s="14" t="s">
        <v>1869</v>
      </c>
      <c r="S2727" s="37" cm="1">
        <f t="array" aca="1" ref="S27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3799.1184124918691</v>
      </c>
      <c r="T2727" s="346" t="s">
        <v>2157</v>
      </c>
      <c r="U2727" s="351">
        <f ca="1">LCI_Table[[#This Row],[Dashboard Value]]*MT2g/Fuel_Specs!$E$81*Fuel_Specs!$B$81*BTU2mmBTU/$U$2721</f>
        <v>5.716981132075475E-2</v>
      </c>
      <c r="V2727" s="389">
        <v>3799.1184124918691</v>
      </c>
      <c r="W2727" s="389">
        <v>6.0000000000000157E-2</v>
      </c>
      <c r="X2727" s="37"/>
      <c r="Y2727" s="346"/>
      <c r="Z2727" s="14" t="str">
        <f>IF(ISBLANK(LCI_Table[[#This Row],[Notes for user]])," ",LCI_Table[[#This Row],[Notes for user]])</f>
        <v>Specify the source in the selection table below.</v>
      </c>
      <c r="AA2727" s="14" t="s">
        <v>1836</v>
      </c>
      <c r="AB2727" s="14"/>
      <c r="AC2727" s="346">
        <f ca="1">LCI_Table[[#This Row],[Default Calculated Value]]-LCI_Table[[#This Row],[Calculated Value]]</f>
        <v>2.8301886792454073E-3</v>
      </c>
    </row>
    <row r="2728" spans="1:29" x14ac:dyDescent="0.3">
      <c r="A272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dash_Canola/RapeseedHEFAGREETGREET(blank)_SAF production_SAF Production</v>
      </c>
      <c r="B2728" s="381" t="s">
        <v>1347</v>
      </c>
      <c r="C2728" s="381" t="s">
        <v>30</v>
      </c>
      <c r="D2728" s="383" t="s">
        <v>29</v>
      </c>
      <c r="E2728" s="384" t="s">
        <v>29</v>
      </c>
      <c r="F2728" s="181" t="s">
        <v>31</v>
      </c>
      <c r="G2728" s="14" t="b">
        <f>OR(LCI_Table[[#This Row],[Feedstock]]="All",LCI_Table[[#This Row],[Feedstock]]=SelectedFeedstock)</f>
        <v>1</v>
      </c>
      <c r="H2728" s="14" t="b">
        <f>OR(LCI_Table[[#This Row],[Conversion]]="All",LCI_Table[[#This Row],[Conversion]]=SelectedConversion)</f>
        <v>1</v>
      </c>
      <c r="I2728" s="14" t="b">
        <f>OR(LCI_Table[[#This Row],[Data Set]]="all",LCI_Table[[#This Row],[Data Set]]=SelectedDataSet)</f>
        <v>1</v>
      </c>
      <c r="J2728" s="14" t="b">
        <f>OR(LCI_Table[[#This Row],[Technology]]="All",LCI_Table[[#This Row],[Technology]]=SelectedTechnology)</f>
        <v>1</v>
      </c>
      <c r="K2728" s="14" t="b">
        <f>OR(LCI_Table[[#This Row],[Data Source]]="All",LCI_Table[[#This Row],[Data Source]]=SelectedDataSource)</f>
        <v>1</v>
      </c>
      <c r="L2728" s="14" t="b">
        <f>TRUE</f>
        <v>1</v>
      </c>
      <c r="M2728" s="14" t="b">
        <f>(LCI_Table[[#This Row],[Dev Notes]]="Do not display")</f>
        <v>0</v>
      </c>
      <c r="N2728" s="14" t="b">
        <f>AND(LCI_Table[[#This Row],[Show Feedstock]:[Conditional]],NOT(LCI_Table[[#This Row],[Hide Row]]))</f>
        <v>1</v>
      </c>
      <c r="O2728" s="14" t="b">
        <f>LCI_Table[[#This Row],[GREET1 Name Range]]=""</f>
        <v>1</v>
      </c>
      <c r="P2728" s="387" t="s">
        <v>1448</v>
      </c>
      <c r="Q2728" s="14"/>
      <c r="R2728" s="14" t="s">
        <v>1714</v>
      </c>
      <c r="S2728" s="37" cm="1">
        <f t="array" aca="1" ref="S27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28" s="346" t="s">
        <v>1859</v>
      </c>
      <c r="U2728" s="389">
        <f t="shared" ref="U2728:U2736" ca="1" si="197">$S2728</f>
        <v>0</v>
      </c>
      <c r="V2728" s="389">
        <v>30</v>
      </c>
      <c r="W2728" s="389" t="s">
        <v>1887</v>
      </c>
      <c r="X2728" s="37"/>
      <c r="Y2728" s="346"/>
      <c r="Z2728" s="14" t="str">
        <f>IF(ISBLANK(LCI_Table[[#This Row],[Notes for user]])," ",LCI_Table[[#This Row],[Notes for user]])</f>
        <v xml:space="preserve"> </v>
      </c>
      <c r="AA2728" s="14"/>
      <c r="AB2728" s="14"/>
      <c r="AC2728" s="346">
        <f ca="1">LCI_Table[[#This Row],[Default Calculated Value]]-LCI_Table[[#This Row],[Calculated Value]]</f>
        <v>30</v>
      </c>
    </row>
    <row r="2729" spans="1:29" x14ac:dyDescent="0.3">
      <c r="A272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dash_Canola/RapeseedHEFAGREETGREET(blank)_   Lower heating value of SAF_SAF Production</v>
      </c>
      <c r="B2729" s="381" t="s">
        <v>1347</v>
      </c>
      <c r="C2729" s="381" t="s">
        <v>30</v>
      </c>
      <c r="D2729" s="383" t="s">
        <v>29</v>
      </c>
      <c r="E2729" s="384" t="s">
        <v>29</v>
      </c>
      <c r="F2729" s="181" t="s">
        <v>31</v>
      </c>
      <c r="G2729" s="14" t="b">
        <f>OR(LCI_Table[[#This Row],[Feedstock]]="All",LCI_Table[[#This Row],[Feedstock]]=SelectedFeedstock)</f>
        <v>1</v>
      </c>
      <c r="H2729" s="14" t="b">
        <f>OR(LCI_Table[[#This Row],[Conversion]]="All",LCI_Table[[#This Row],[Conversion]]=SelectedConversion)</f>
        <v>1</v>
      </c>
      <c r="I2729" s="14" t="b">
        <f>OR(LCI_Table[[#This Row],[Data Set]]="all",LCI_Table[[#This Row],[Data Set]]=SelectedDataSet)</f>
        <v>1</v>
      </c>
      <c r="J2729" s="14" t="b">
        <f>OR(LCI_Table[[#This Row],[Technology]]="All",LCI_Table[[#This Row],[Technology]]=SelectedTechnology)</f>
        <v>1</v>
      </c>
      <c r="K2729" s="14" t="b">
        <f>OR(LCI_Table[[#This Row],[Data Source]]="All",LCI_Table[[#This Row],[Data Source]]=SelectedDataSource)</f>
        <v>1</v>
      </c>
      <c r="L2729" s="14" t="b">
        <v>0</v>
      </c>
      <c r="M2729" s="14" t="b">
        <f>(LCI_Table[[#This Row],[Dev Notes]]="Do not display")</f>
        <v>0</v>
      </c>
      <c r="N2729" s="14" t="b">
        <f>AND(LCI_Table[[#This Row],[Show Feedstock]:[Conditional]],NOT(LCI_Table[[#This Row],[Hide Row]]))</f>
        <v>0</v>
      </c>
      <c r="O2729" s="14" t="b">
        <f>LCI_Table[[#This Row],[GREET1 Name Range]]=""</f>
        <v>1</v>
      </c>
      <c r="P2729" s="387" t="s">
        <v>1448</v>
      </c>
      <c r="Q2729" s="14"/>
      <c r="R2729" s="14" t="s">
        <v>1862</v>
      </c>
      <c r="S2729" s="37" cm="1">
        <f t="array" aca="1" ref="S27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119776.62149420771</v>
      </c>
      <c r="T2729" s="346" t="s">
        <v>227</v>
      </c>
      <c r="U2729" s="389">
        <f t="shared" ca="1" si="197"/>
        <v>119776.62149420771</v>
      </c>
      <c r="V2729" s="389">
        <f>Fuel_Specs!$L$34</f>
        <v>119776.62149420771</v>
      </c>
      <c r="W2729" s="389" t="s">
        <v>1888</v>
      </c>
      <c r="X2729" s="37"/>
      <c r="Y2729" s="346"/>
      <c r="Z2729" s="14" t="str">
        <f>IF(ISBLANK(LCI_Table[[#This Row],[Notes for user]])," ",LCI_Table[[#This Row],[Notes for user]])</f>
        <v xml:space="preserve"> </v>
      </c>
      <c r="AA2729" s="14"/>
      <c r="AB2729" s="14"/>
      <c r="AC2729" s="346">
        <f ca="1">LCI_Table[[#This Row],[Default Calculated Value]]-LCI_Table[[#This Row],[Calculated Value]]</f>
        <v>2.9103830456733704E-10</v>
      </c>
    </row>
    <row r="2730" spans="1:29" x14ac:dyDescent="0.3">
      <c r="A273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dash_Canola/RapeseedHEFAGREETGREET(blank)_Renewable diesel production_SAF Production</v>
      </c>
      <c r="B2730" s="381" t="s">
        <v>1347</v>
      </c>
      <c r="C2730" s="381" t="s">
        <v>30</v>
      </c>
      <c r="D2730" s="383" t="s">
        <v>29</v>
      </c>
      <c r="E2730" s="384" t="s">
        <v>29</v>
      </c>
      <c r="F2730" s="181" t="s">
        <v>31</v>
      </c>
      <c r="G2730" s="14" t="b">
        <f>OR(LCI_Table[[#This Row],[Feedstock]]="All",LCI_Table[[#This Row],[Feedstock]]=SelectedFeedstock)</f>
        <v>1</v>
      </c>
      <c r="H2730" s="14" t="b">
        <f>OR(LCI_Table[[#This Row],[Conversion]]="All",LCI_Table[[#This Row],[Conversion]]=SelectedConversion)</f>
        <v>1</v>
      </c>
      <c r="I2730" s="14" t="b">
        <f>OR(LCI_Table[[#This Row],[Data Set]]="all",LCI_Table[[#This Row],[Data Set]]=SelectedDataSet)</f>
        <v>1</v>
      </c>
      <c r="J2730" s="14" t="b">
        <f>OR(LCI_Table[[#This Row],[Technology]]="All",LCI_Table[[#This Row],[Technology]]=SelectedTechnology)</f>
        <v>1</v>
      </c>
      <c r="K2730" s="14" t="b">
        <f>OR(LCI_Table[[#This Row],[Data Source]]="All",LCI_Table[[#This Row],[Data Source]]=SelectedDataSource)</f>
        <v>1</v>
      </c>
      <c r="L2730" s="14" t="b">
        <f>TRUE</f>
        <v>1</v>
      </c>
      <c r="M2730" s="14" t="b">
        <f>(LCI_Table[[#This Row],[Dev Notes]]="Do not display")</f>
        <v>0</v>
      </c>
      <c r="N2730" s="14" t="b">
        <f>AND(LCI_Table[[#This Row],[Show Feedstock]:[Conditional]],NOT(LCI_Table[[#This Row],[Hide Row]]))</f>
        <v>1</v>
      </c>
      <c r="O2730" s="14" t="b">
        <f>LCI_Table[[#This Row],[GREET1 Name Range]]=""</f>
        <v>1</v>
      </c>
      <c r="P2730" s="387" t="s">
        <v>1448</v>
      </c>
      <c r="Q2730" s="14"/>
      <c r="R2730" s="14" t="s">
        <v>1716</v>
      </c>
      <c r="S2730" s="37" cm="1">
        <f t="array" aca="1" ref="S27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30" s="346" t="s">
        <v>1859</v>
      </c>
      <c r="U2730" s="389">
        <f t="shared" ca="1" si="197"/>
        <v>0</v>
      </c>
      <c r="V2730" s="389">
        <v>30</v>
      </c>
      <c r="W2730" s="389" t="s">
        <v>1887</v>
      </c>
      <c r="X2730" s="37"/>
      <c r="Y2730" s="346"/>
      <c r="Z2730" s="14" t="str">
        <f>IF(ISBLANK(LCI_Table[[#This Row],[Notes for user]])," ",LCI_Table[[#This Row],[Notes for user]])</f>
        <v xml:space="preserve"> </v>
      </c>
      <c r="AA2730" s="14"/>
      <c r="AB2730" s="14"/>
      <c r="AC2730" s="346">
        <f ca="1">LCI_Table[[#This Row],[Default Calculated Value]]-LCI_Table[[#This Row],[Calculated Value]]</f>
        <v>30</v>
      </c>
    </row>
    <row r="2731" spans="1:29" x14ac:dyDescent="0.3">
      <c r="A273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dash_Canola/RapeseedHEFAGREETGREET(blank)_   Lower heating value of renewable diesel_SAF Production</v>
      </c>
      <c r="B2731" s="381" t="s">
        <v>1347</v>
      </c>
      <c r="C2731" s="381" t="s">
        <v>30</v>
      </c>
      <c r="D2731" s="383" t="s">
        <v>29</v>
      </c>
      <c r="E2731" s="384" t="s">
        <v>29</v>
      </c>
      <c r="F2731" s="181" t="s">
        <v>31</v>
      </c>
      <c r="G2731" s="14" t="b">
        <f>OR(LCI_Table[[#This Row],[Feedstock]]="All",LCI_Table[[#This Row],[Feedstock]]=SelectedFeedstock)</f>
        <v>1</v>
      </c>
      <c r="H2731" s="14" t="b">
        <f>OR(LCI_Table[[#This Row],[Conversion]]="All",LCI_Table[[#This Row],[Conversion]]=SelectedConversion)</f>
        <v>1</v>
      </c>
      <c r="I2731" s="14" t="b">
        <f>OR(LCI_Table[[#This Row],[Data Set]]="all",LCI_Table[[#This Row],[Data Set]]=SelectedDataSet)</f>
        <v>1</v>
      </c>
      <c r="J2731" s="14" t="b">
        <f>OR(LCI_Table[[#This Row],[Technology]]="All",LCI_Table[[#This Row],[Technology]]=SelectedTechnology)</f>
        <v>1</v>
      </c>
      <c r="K2731" s="14" t="b">
        <f>OR(LCI_Table[[#This Row],[Data Source]]="All",LCI_Table[[#This Row],[Data Source]]=SelectedDataSource)</f>
        <v>1</v>
      </c>
      <c r="L2731" s="14" t="b">
        <v>0</v>
      </c>
      <c r="M2731" s="14" t="b">
        <f>(LCI_Table[[#This Row],[Dev Notes]]="Do not display")</f>
        <v>0</v>
      </c>
      <c r="N2731" s="14" t="b">
        <f>AND(LCI_Table[[#This Row],[Show Feedstock]:[Conditional]],NOT(LCI_Table[[#This Row],[Hide Row]]))</f>
        <v>0</v>
      </c>
      <c r="O2731" s="14" t="b">
        <f>LCI_Table[[#This Row],[GREET1 Name Range]]=""</f>
        <v>1</v>
      </c>
      <c r="P2731" s="387" t="s">
        <v>1448</v>
      </c>
      <c r="Q2731" s="14"/>
      <c r="R2731" s="14" t="s">
        <v>1863</v>
      </c>
      <c r="S2731" s="37" cm="1">
        <f t="array" aca="1" ref="S27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122887</v>
      </c>
      <c r="T2731" s="346" t="s">
        <v>227</v>
      </c>
      <c r="U2731" s="389">
        <f t="shared" ca="1" si="197"/>
        <v>122887</v>
      </c>
      <c r="V2731" s="389">
        <f>Fuel_Specs!$L$35</f>
        <v>122887</v>
      </c>
      <c r="W2731" s="389" t="s">
        <v>1889</v>
      </c>
      <c r="X2731" s="37"/>
      <c r="Y2731" s="346"/>
      <c r="Z2731" s="14" t="str">
        <f>IF(ISBLANK(LCI_Table[[#This Row],[Notes for user]])," ",LCI_Table[[#This Row],[Notes for user]])</f>
        <v xml:space="preserve"> </v>
      </c>
      <c r="AA2731" s="14"/>
      <c r="AB2731" s="14"/>
      <c r="AC2731" s="346">
        <f ca="1">LCI_Table[[#This Row],[Default Calculated Value]]-LCI_Table[[#This Row],[Calculated Value]]</f>
        <v>0</v>
      </c>
    </row>
    <row r="2732" spans="1:29" x14ac:dyDescent="0.3">
      <c r="A273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dash_Canola/RapeseedHEFAGREETGREET(blank)_Renewable gasoline production_SAF Production</v>
      </c>
      <c r="B2732" s="381" t="s">
        <v>1347</v>
      </c>
      <c r="C2732" s="381" t="s">
        <v>30</v>
      </c>
      <c r="D2732" s="383" t="s">
        <v>29</v>
      </c>
      <c r="E2732" s="384" t="s">
        <v>29</v>
      </c>
      <c r="F2732" s="181" t="s">
        <v>31</v>
      </c>
      <c r="G2732" s="14" t="b">
        <f>OR(LCI_Table[[#This Row],[Feedstock]]="All",LCI_Table[[#This Row],[Feedstock]]=SelectedFeedstock)</f>
        <v>1</v>
      </c>
      <c r="H2732" s="14" t="b">
        <f>OR(LCI_Table[[#This Row],[Conversion]]="All",LCI_Table[[#This Row],[Conversion]]=SelectedConversion)</f>
        <v>1</v>
      </c>
      <c r="I2732" s="14" t="b">
        <f>OR(LCI_Table[[#This Row],[Data Set]]="all",LCI_Table[[#This Row],[Data Set]]=SelectedDataSet)</f>
        <v>1</v>
      </c>
      <c r="J2732" s="14" t="b">
        <f>OR(LCI_Table[[#This Row],[Technology]]="All",LCI_Table[[#This Row],[Technology]]=SelectedTechnology)</f>
        <v>1</v>
      </c>
      <c r="K2732" s="14" t="b">
        <f>OR(LCI_Table[[#This Row],[Data Source]]="All",LCI_Table[[#This Row],[Data Source]]=SelectedDataSource)</f>
        <v>1</v>
      </c>
      <c r="L2732" s="14" t="b">
        <f>TRUE</f>
        <v>1</v>
      </c>
      <c r="M2732" s="14" t="b">
        <f>(LCI_Table[[#This Row],[Dev Notes]]="Do not display")</f>
        <v>0</v>
      </c>
      <c r="N2732" s="14" t="b">
        <f>AND(LCI_Table[[#This Row],[Show Feedstock]:[Conditional]],NOT(LCI_Table[[#This Row],[Hide Row]]))</f>
        <v>1</v>
      </c>
      <c r="O2732" s="14" t="b">
        <f>LCI_Table[[#This Row],[GREET1 Name Range]]=""</f>
        <v>1</v>
      </c>
      <c r="P2732" s="391" t="s">
        <v>1448</v>
      </c>
      <c r="Q2732" s="14"/>
      <c r="R2732" s="14" t="s">
        <v>1864</v>
      </c>
      <c r="S2732" s="37" cm="1">
        <f t="array" aca="1" ref="S27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32" s="346" t="s">
        <v>1859</v>
      </c>
      <c r="U2732" s="389">
        <f t="shared" ca="1" si="197"/>
        <v>0</v>
      </c>
      <c r="V2732" s="389">
        <v>0</v>
      </c>
      <c r="W2732" s="389" t="s">
        <v>1890</v>
      </c>
      <c r="X2732" s="37"/>
      <c r="Y2732" s="346"/>
      <c r="Z2732" s="14" t="str">
        <f>IF(ISBLANK(LCI_Table[[#This Row],[Notes for user]])," ",LCI_Table[[#This Row],[Notes for user]])</f>
        <v xml:space="preserve"> </v>
      </c>
      <c r="AA2732" s="14"/>
      <c r="AB2732" s="14"/>
      <c r="AC2732" s="346">
        <f ca="1">LCI_Table[[#This Row],[Default Calculated Value]]-LCI_Table[[#This Row],[Calculated Value]]</f>
        <v>0</v>
      </c>
    </row>
    <row r="2733" spans="1:29" x14ac:dyDescent="0.3">
      <c r="A273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dash_Canola/RapeseedHEFAGREETGREET(blank)_   Lower heating value of renewable gasoline_SAF Production</v>
      </c>
      <c r="B2733" s="381" t="s">
        <v>1347</v>
      </c>
      <c r="C2733" s="381" t="s">
        <v>30</v>
      </c>
      <c r="D2733" s="383" t="s">
        <v>29</v>
      </c>
      <c r="E2733" s="384" t="s">
        <v>29</v>
      </c>
      <c r="F2733" s="181" t="s">
        <v>31</v>
      </c>
      <c r="G2733" s="14" t="b">
        <f>OR(LCI_Table[[#This Row],[Feedstock]]="All",LCI_Table[[#This Row],[Feedstock]]=SelectedFeedstock)</f>
        <v>1</v>
      </c>
      <c r="H2733" s="14" t="b">
        <f>OR(LCI_Table[[#This Row],[Conversion]]="All",LCI_Table[[#This Row],[Conversion]]=SelectedConversion)</f>
        <v>1</v>
      </c>
      <c r="I2733" s="14" t="b">
        <f>OR(LCI_Table[[#This Row],[Data Set]]="all",LCI_Table[[#This Row],[Data Set]]=SelectedDataSet)</f>
        <v>1</v>
      </c>
      <c r="J2733" s="14" t="b">
        <f>OR(LCI_Table[[#This Row],[Technology]]="All",LCI_Table[[#This Row],[Technology]]=SelectedTechnology)</f>
        <v>1</v>
      </c>
      <c r="K2733" s="14" t="b">
        <f>OR(LCI_Table[[#This Row],[Data Source]]="All",LCI_Table[[#This Row],[Data Source]]=SelectedDataSource)</f>
        <v>1</v>
      </c>
      <c r="L2733" s="14" t="b">
        <v>0</v>
      </c>
      <c r="M2733" s="14" t="b">
        <f>(LCI_Table[[#This Row],[Dev Notes]]="Do not display")</f>
        <v>0</v>
      </c>
      <c r="N2733" s="14" t="b">
        <f>AND(LCI_Table[[#This Row],[Show Feedstock]:[Conditional]],NOT(LCI_Table[[#This Row],[Hide Row]]))</f>
        <v>0</v>
      </c>
      <c r="O2733" s="14" t="b">
        <f>LCI_Table[[#This Row],[GREET1 Name Range]]=""</f>
        <v>1</v>
      </c>
      <c r="P2733" s="387" t="s">
        <v>1448</v>
      </c>
      <c r="Q2733" s="14"/>
      <c r="R2733" s="14" t="s">
        <v>1865</v>
      </c>
      <c r="S2733" s="37" cm="1">
        <f t="array" aca="1" ref="S273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113309</v>
      </c>
      <c r="T2733" s="346" t="s">
        <v>227</v>
      </c>
      <c r="U2733" s="389">
        <f t="shared" ca="1" si="197"/>
        <v>113309</v>
      </c>
      <c r="V2733" s="389">
        <f>Fuel_Specs!$L$36</f>
        <v>113309</v>
      </c>
      <c r="W2733" s="389" t="s">
        <v>1891</v>
      </c>
      <c r="X2733" s="37"/>
      <c r="Y2733" s="346"/>
      <c r="Z2733" s="14" t="str">
        <f>IF(ISBLANK(LCI_Table[[#This Row],[Notes for user]])," ",LCI_Table[[#This Row],[Notes for user]])</f>
        <v xml:space="preserve"> </v>
      </c>
      <c r="AA2733" s="14"/>
      <c r="AB2733" s="14"/>
      <c r="AC2733" s="346">
        <f ca="1">LCI_Table[[#This Row],[Default Calculated Value]]-LCI_Table[[#This Row],[Calculated Value]]</f>
        <v>0</v>
      </c>
    </row>
    <row r="2734" spans="1:29" x14ac:dyDescent="0.3">
      <c r="A273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dash_Canola/RapeseedHEFAGREETGREET(blank)_Renewable naphtha production_SAF Production</v>
      </c>
      <c r="B2734" s="381" t="s">
        <v>1347</v>
      </c>
      <c r="C2734" s="381" t="s">
        <v>30</v>
      </c>
      <c r="D2734" s="383" t="s">
        <v>29</v>
      </c>
      <c r="E2734" s="384" t="s">
        <v>29</v>
      </c>
      <c r="F2734" s="181" t="s">
        <v>31</v>
      </c>
      <c r="G2734" s="14" t="b">
        <f>OR(LCI_Table[[#This Row],[Feedstock]]="All",LCI_Table[[#This Row],[Feedstock]]=SelectedFeedstock)</f>
        <v>1</v>
      </c>
      <c r="H2734" s="14" t="b">
        <f>OR(LCI_Table[[#This Row],[Conversion]]="All",LCI_Table[[#This Row],[Conversion]]=SelectedConversion)</f>
        <v>1</v>
      </c>
      <c r="I2734" s="14" t="b">
        <f>OR(LCI_Table[[#This Row],[Data Set]]="all",LCI_Table[[#This Row],[Data Set]]=SelectedDataSet)</f>
        <v>1</v>
      </c>
      <c r="J2734" s="14" t="b">
        <f>OR(LCI_Table[[#This Row],[Technology]]="All",LCI_Table[[#This Row],[Technology]]=SelectedTechnology)</f>
        <v>1</v>
      </c>
      <c r="K2734" s="14" t="b">
        <f>OR(LCI_Table[[#This Row],[Data Source]]="All",LCI_Table[[#This Row],[Data Source]]=SelectedDataSource)</f>
        <v>1</v>
      </c>
      <c r="L2734" s="14" t="b">
        <f>TRUE</f>
        <v>1</v>
      </c>
      <c r="M2734" s="14" t="b">
        <f>(LCI_Table[[#This Row],[Dev Notes]]="Do not display")</f>
        <v>0</v>
      </c>
      <c r="N2734" s="14" t="b">
        <f>AND(LCI_Table[[#This Row],[Show Feedstock]:[Conditional]],NOT(LCI_Table[[#This Row],[Hide Row]]))</f>
        <v>1</v>
      </c>
      <c r="O2734" s="14" t="b">
        <f>LCI_Table[[#This Row],[GREET1 Name Range]]=""</f>
        <v>1</v>
      </c>
      <c r="P2734" s="387" t="s">
        <v>1448</v>
      </c>
      <c r="Q2734" s="14"/>
      <c r="R2734" s="14" t="s">
        <v>1866</v>
      </c>
      <c r="S2734" s="37" cm="1">
        <f t="array" aca="1" ref="S273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34" s="346" t="s">
        <v>1859</v>
      </c>
      <c r="U2734" s="389">
        <f t="shared" ca="1" si="197"/>
        <v>0</v>
      </c>
      <c r="V2734" s="389">
        <v>0</v>
      </c>
      <c r="W2734" s="389" t="s">
        <v>1890</v>
      </c>
      <c r="X2734" s="37"/>
      <c r="Y2734" s="346"/>
      <c r="Z2734" s="14" t="str">
        <f>IF(ISBLANK(LCI_Table[[#This Row],[Notes for user]])," ",LCI_Table[[#This Row],[Notes for user]])</f>
        <v xml:space="preserve"> </v>
      </c>
      <c r="AA2734" s="14"/>
      <c r="AB2734" s="14"/>
      <c r="AC2734" s="346">
        <f ca="1">LCI_Table[[#This Row],[Default Calculated Value]]-LCI_Table[[#This Row],[Calculated Value]]</f>
        <v>0</v>
      </c>
    </row>
    <row r="2735" spans="1:29" x14ac:dyDescent="0.3">
      <c r="A273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dash_Canola/RapeseedHEFAGREETGREET(blank)_   Lower heating value of renewable naphtha_SAF Production</v>
      </c>
      <c r="B2735" s="381" t="s">
        <v>1347</v>
      </c>
      <c r="C2735" s="381" t="s">
        <v>30</v>
      </c>
      <c r="D2735" s="383" t="s">
        <v>29</v>
      </c>
      <c r="E2735" s="384" t="s">
        <v>29</v>
      </c>
      <c r="F2735" s="181" t="s">
        <v>31</v>
      </c>
      <c r="G2735" s="14" t="b">
        <f>OR(LCI_Table[[#This Row],[Feedstock]]="All",LCI_Table[[#This Row],[Feedstock]]=SelectedFeedstock)</f>
        <v>1</v>
      </c>
      <c r="H2735" s="14" t="b">
        <f>OR(LCI_Table[[#This Row],[Conversion]]="All",LCI_Table[[#This Row],[Conversion]]=SelectedConversion)</f>
        <v>1</v>
      </c>
      <c r="I2735" s="14" t="b">
        <f>OR(LCI_Table[[#This Row],[Data Set]]="all",LCI_Table[[#This Row],[Data Set]]=SelectedDataSet)</f>
        <v>1</v>
      </c>
      <c r="J2735" s="14" t="b">
        <f>OR(LCI_Table[[#This Row],[Technology]]="All",LCI_Table[[#This Row],[Technology]]=SelectedTechnology)</f>
        <v>1</v>
      </c>
      <c r="K2735" s="14" t="b">
        <f>OR(LCI_Table[[#This Row],[Data Source]]="All",LCI_Table[[#This Row],[Data Source]]=SelectedDataSource)</f>
        <v>1</v>
      </c>
      <c r="L2735" s="14" t="b">
        <v>0</v>
      </c>
      <c r="M2735" s="14" t="b">
        <f>(LCI_Table[[#This Row],[Dev Notes]]="Do not display")</f>
        <v>0</v>
      </c>
      <c r="N2735" s="14" t="b">
        <f>AND(LCI_Table[[#This Row],[Show Feedstock]:[Conditional]],NOT(LCI_Table[[#This Row],[Hide Row]]))</f>
        <v>0</v>
      </c>
      <c r="O2735" s="14" t="b">
        <f>LCI_Table[[#This Row],[GREET1 Name Range]]=""</f>
        <v>1</v>
      </c>
      <c r="P2735" s="387" t="s">
        <v>1448</v>
      </c>
      <c r="Q2735" s="14"/>
      <c r="R2735" s="14" t="s">
        <v>1867</v>
      </c>
      <c r="S2735" s="37" cm="1">
        <f t="array" aca="1" ref="S273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113309</v>
      </c>
      <c r="T2735" s="346" t="s">
        <v>227</v>
      </c>
      <c r="U2735" s="389">
        <f t="shared" ca="1" si="197"/>
        <v>113309</v>
      </c>
      <c r="V2735" s="389">
        <f>Fuel_Specs!$L$37</f>
        <v>113309</v>
      </c>
      <c r="W2735" s="389" t="s">
        <v>1891</v>
      </c>
      <c r="X2735" s="37"/>
      <c r="Y2735" s="346"/>
      <c r="Z2735" s="14" t="str">
        <f>IF(ISBLANK(LCI_Table[[#This Row],[Notes for user]])," ",LCI_Table[[#This Row],[Notes for user]])</f>
        <v xml:space="preserve"> </v>
      </c>
      <c r="AA2735" s="14"/>
      <c r="AB2735" s="14"/>
      <c r="AC2735" s="346">
        <f ca="1">LCI_Table[[#This Row],[Default Calculated Value]]-LCI_Table[[#This Row],[Calculated Value]]</f>
        <v>0</v>
      </c>
    </row>
    <row r="2736" spans="1:29" x14ac:dyDescent="0.3">
      <c r="A273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dash_Canola/RapeseedHEFAGREETGREET(blank)_Total fuel production _SAF Production</v>
      </c>
      <c r="B2736" s="381" t="s">
        <v>1347</v>
      </c>
      <c r="C2736" s="381" t="s">
        <v>30</v>
      </c>
      <c r="D2736" s="383" t="s">
        <v>29</v>
      </c>
      <c r="E2736" s="384" t="s">
        <v>29</v>
      </c>
      <c r="F2736" s="181" t="s">
        <v>31</v>
      </c>
      <c r="G2736" s="14" t="b">
        <f>OR(LCI_Table[[#This Row],[Feedstock]]="All",LCI_Table[[#This Row],[Feedstock]]=SelectedFeedstock)</f>
        <v>1</v>
      </c>
      <c r="H2736" s="14" t="b">
        <f>OR(LCI_Table[[#This Row],[Conversion]]="All",LCI_Table[[#This Row],[Conversion]]=SelectedConversion)</f>
        <v>1</v>
      </c>
      <c r="I2736" s="14" t="b">
        <f>OR(LCI_Table[[#This Row],[Data Set]]="all",LCI_Table[[#This Row],[Data Set]]=SelectedDataSet)</f>
        <v>1</v>
      </c>
      <c r="J2736" s="14" t="b">
        <f>OR(LCI_Table[[#This Row],[Technology]]="All",LCI_Table[[#This Row],[Technology]]=SelectedTechnology)</f>
        <v>1</v>
      </c>
      <c r="K2736" s="14" t="b">
        <f>OR(LCI_Table[[#This Row],[Data Source]]="All",LCI_Table[[#This Row],[Data Source]]=SelectedDataSource)</f>
        <v>1</v>
      </c>
      <c r="L2736" s="14" t="b">
        <v>0</v>
      </c>
      <c r="M2736" s="14" t="b">
        <f>(LCI_Table[[#This Row],[Dev Notes]]="Do not display")</f>
        <v>0</v>
      </c>
      <c r="N2736" s="14" t="b">
        <f>AND(LCI_Table[[#This Row],[Show Feedstock]:[Conditional]],NOT(LCI_Table[[#This Row],[Hide Row]]))</f>
        <v>0</v>
      </c>
      <c r="O2736" s="14" t="b">
        <f>LCI_Table[[#This Row],[GREET1 Name Range]]=""</f>
        <v>1</v>
      </c>
      <c r="P2736" s="387" t="s">
        <v>1448</v>
      </c>
      <c r="Q2736" s="14"/>
      <c r="R2736" s="14" t="s">
        <v>1868</v>
      </c>
      <c r="S2736" s="37" cm="1">
        <f t="array" aca="1" ref="S273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36" s="346" t="s">
        <v>1860</v>
      </c>
      <c r="U2736" s="389">
        <f t="shared" ca="1" si="197"/>
        <v>0</v>
      </c>
      <c r="V2736" s="389">
        <f ca="1">S2728*S2729+S2730*S2731+S2732*S2733+S2734*S2735</f>
        <v>0</v>
      </c>
      <c r="W2736" s="389">
        <v>7279908.6448262399</v>
      </c>
      <c r="X2736" s="37"/>
      <c r="Y2736" s="346"/>
      <c r="Z2736" s="14" t="str">
        <f>IF(ISBLANK(LCI_Table[[#This Row],[Notes for user]])," ",LCI_Table[[#This Row],[Notes for user]])</f>
        <v xml:space="preserve"> </v>
      </c>
      <c r="AA2736" s="14"/>
      <c r="AB2736" s="14"/>
      <c r="AC2736" s="346">
        <f ca="1">LCI_Table[[#This Row],[Default Calculated Value]]-LCI_Table[[#This Row],[Calculated Value]]</f>
        <v>7279908.6448262399</v>
      </c>
    </row>
    <row r="2737" spans="1:29" x14ac:dyDescent="0.3">
      <c r="A273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Canola/RapeseedHEFAGREETGREET(blank)_HEFA_feed_usageFeedstock: canola oil consumption</v>
      </c>
      <c r="B2737" s="381" t="s">
        <v>1347</v>
      </c>
      <c r="C2737" s="381" t="s">
        <v>30</v>
      </c>
      <c r="D2737" s="383" t="s">
        <v>29</v>
      </c>
      <c r="E2737" s="384" t="s">
        <v>29</v>
      </c>
      <c r="F2737" s="181" t="s">
        <v>31</v>
      </c>
      <c r="G2737" s="14" t="b">
        <f>OR(LCI_Table[[#This Row],[Feedstock]]="All",LCI_Table[[#This Row],[Feedstock]]=SelectedFeedstock)</f>
        <v>1</v>
      </c>
      <c r="H2737" s="14" t="b">
        <f>OR(LCI_Table[[#This Row],[Conversion]]="All",LCI_Table[[#This Row],[Conversion]]=SelectedConversion)</f>
        <v>1</v>
      </c>
      <c r="I2737" s="14" t="b">
        <f>OR(LCI_Table[[#This Row],[Data Set]]="all",LCI_Table[[#This Row],[Data Set]]=SelectedDataSet)</f>
        <v>1</v>
      </c>
      <c r="J2737" s="14" t="b">
        <f>OR(LCI_Table[[#This Row],[Technology]]="All",LCI_Table[[#This Row],[Technology]]=SelectedTechnology)</f>
        <v>1</v>
      </c>
      <c r="K2737" s="14" t="b">
        <f>OR(LCI_Table[[#This Row],[Data Source]]="All",LCI_Table[[#This Row],[Data Source]]=SelectedDataSource)</f>
        <v>1</v>
      </c>
      <c r="L2737" s="14" t="b">
        <f>TRUE</f>
        <v>1</v>
      </c>
      <c r="M2737" s="14" t="b">
        <f>(LCI_Table[[#This Row],[Dev Notes]]="Do not display")</f>
        <v>0</v>
      </c>
      <c r="N2737" s="14" t="b">
        <f>AND(LCI_Table[[#This Row],[Show Feedstock]:[Conditional]],NOT(LCI_Table[[#This Row],[Hide Row]]))</f>
        <v>1</v>
      </c>
      <c r="O2737" s="14" t="b">
        <f>LCI_Table[[#This Row],[GREET1 Name Range]]=""</f>
        <v>0</v>
      </c>
      <c r="P2737" s="14" t="s">
        <v>1448</v>
      </c>
      <c r="Q2737" s="14" t="s">
        <v>933</v>
      </c>
      <c r="R2737" s="14" t="s">
        <v>1870</v>
      </c>
      <c r="S2737" s="37" cm="1">
        <f t="array" aca="1" ref="S273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37" s="346" t="s">
        <v>1878</v>
      </c>
      <c r="U2737" s="351" t="e">
        <f ca="1">S2737/($U$2736/10^6)*lb2g/Fuel_Specs!$E$48*Fuel_Specs!$B$48*BTU2mmBTU/0.911711975329766</f>
        <v>#DIV/0!</v>
      </c>
      <c r="V2737" s="351">
        <v>443.75048093802241</v>
      </c>
      <c r="W2737" s="351">
        <v>1.2676055388997547</v>
      </c>
      <c r="X2737" s="37"/>
      <c r="Y2737" s="346"/>
      <c r="Z2737" s="14" t="str">
        <f>IF(ISBLANK(LCI_Table[[#This Row],[Notes for user]])," ",LCI_Table[[#This Row],[Notes for user]])</f>
        <v xml:space="preserve"> </v>
      </c>
      <c r="AA2737" s="14"/>
      <c r="AB2737" s="14"/>
      <c r="AC2737" s="346" t="e">
        <f ca="1">LCI_Table[[#This Row],[Default Calculated Value]]-LCI_Table[[#This Row],[Calculated Value]]</f>
        <v>#DIV/0!</v>
      </c>
    </row>
    <row r="2738" spans="1:29" x14ac:dyDescent="0.3">
      <c r="A273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Canola/RapeseedHEFAGREETGREET(blank)_Canola_HEFA_Natural_gasTotal NG/RNG consumption</v>
      </c>
      <c r="B2738" s="381" t="s">
        <v>1347</v>
      </c>
      <c r="C2738" s="381" t="s">
        <v>30</v>
      </c>
      <c r="D2738" s="383" t="s">
        <v>29</v>
      </c>
      <c r="E2738" s="384" t="s">
        <v>29</v>
      </c>
      <c r="F2738" s="181" t="s">
        <v>31</v>
      </c>
      <c r="G2738" s="14" t="b">
        <f>OR(LCI_Table[[#This Row],[Feedstock]]="All",LCI_Table[[#This Row],[Feedstock]]=SelectedFeedstock)</f>
        <v>1</v>
      </c>
      <c r="H2738" s="14" t="b">
        <f>OR(LCI_Table[[#This Row],[Conversion]]="All",LCI_Table[[#This Row],[Conversion]]=SelectedConversion)</f>
        <v>1</v>
      </c>
      <c r="I2738" s="14" t="b">
        <f>OR(LCI_Table[[#This Row],[Data Set]]="all",LCI_Table[[#This Row],[Data Set]]=SelectedDataSet)</f>
        <v>1</v>
      </c>
      <c r="J2738" s="14" t="b">
        <f>OR(LCI_Table[[#This Row],[Technology]]="All",LCI_Table[[#This Row],[Technology]]=SelectedTechnology)</f>
        <v>1</v>
      </c>
      <c r="K2738" s="14" t="b">
        <f>OR(LCI_Table[[#This Row],[Data Source]]="All",LCI_Table[[#This Row],[Data Source]]=SelectedDataSource)</f>
        <v>1</v>
      </c>
      <c r="L2738" s="14" t="b">
        <v>0</v>
      </c>
      <c r="M2738" s="14" t="b">
        <f>(LCI_Table[[#This Row],[Dev Notes]]="Do not display")</f>
        <v>0</v>
      </c>
      <c r="N2738" s="14" t="b">
        <f>AND(LCI_Table[[#This Row],[Show Feedstock]:[Conditional]],NOT(LCI_Table[[#This Row],[Hide Row]]))</f>
        <v>0</v>
      </c>
      <c r="O2738" s="14" t="b">
        <f>LCI_Table[[#This Row],[GREET1 Name Range]]=""</f>
        <v>0</v>
      </c>
      <c r="P2738" s="14" t="s">
        <v>1448</v>
      </c>
      <c r="Q2738" s="14" t="s">
        <v>503</v>
      </c>
      <c r="R2738" s="14" t="s">
        <v>1861</v>
      </c>
      <c r="S2738" s="37" cm="1">
        <f t="array" aca="1" ref="S273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123.58926254472973</v>
      </c>
      <c r="T2738" s="346" t="s">
        <v>2156</v>
      </c>
      <c r="U2738" s="390" t="e">
        <f ca="1">LCI_Table[[#This Row],[Dashboard Value]]/$U$2736/mmBTU2BTU*Fuel_Specs!$B$48/Fuel_Specs!$E$48/g2lb/0.911711975329766*10^6*1000</f>
        <v>#DIV/0!</v>
      </c>
      <c r="V2738" s="351">
        <v>123.58926254472973</v>
      </c>
      <c r="W2738" s="351">
        <v>353.04172159785503</v>
      </c>
      <c r="X2738" s="37"/>
      <c r="Y2738" s="346"/>
      <c r="Z2738" s="14" t="str">
        <f>IF(ISBLANK(LCI_Table[[#This Row],[Notes for user]])," ",LCI_Table[[#This Row],[Notes for user]])</f>
        <v xml:space="preserve"> </v>
      </c>
      <c r="AA2738" s="14"/>
      <c r="AB2738" s="14"/>
      <c r="AC2738" s="346" t="e">
        <f ca="1">LCI_Table[[#This Row],[Default Calculated Value]]-LCI_Table[[#This Row],[Calculated Value]]</f>
        <v>#DIV/0!</v>
      </c>
    </row>
    <row r="2739" spans="1:29" x14ac:dyDescent="0.3">
      <c r="A273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Canola/RapeseedHEFAGREETGREET(blank)_Canola_HEFA_ElectricityGrid electricity (selected eGRID region)</v>
      </c>
      <c r="B2739" s="381" t="s">
        <v>1347</v>
      </c>
      <c r="C2739" s="381" t="s">
        <v>30</v>
      </c>
      <c r="D2739" s="383" t="s">
        <v>29</v>
      </c>
      <c r="E2739" s="384" t="s">
        <v>29</v>
      </c>
      <c r="F2739" s="181" t="s">
        <v>31</v>
      </c>
      <c r="G2739" s="14" t="b">
        <f>OR(LCI_Table[[#This Row],[Feedstock]]="All",LCI_Table[[#This Row],[Feedstock]]=SelectedFeedstock)</f>
        <v>1</v>
      </c>
      <c r="H2739" s="14" t="b">
        <f>OR(LCI_Table[[#This Row],[Conversion]]="All",LCI_Table[[#This Row],[Conversion]]=SelectedConversion)</f>
        <v>1</v>
      </c>
      <c r="I2739" s="14" t="b">
        <f>OR(LCI_Table[[#This Row],[Data Set]]="all",LCI_Table[[#This Row],[Data Set]]=SelectedDataSet)</f>
        <v>1</v>
      </c>
      <c r="J2739" s="14" t="b">
        <f>OR(LCI_Table[[#This Row],[Technology]]="All",LCI_Table[[#This Row],[Technology]]=SelectedTechnology)</f>
        <v>1</v>
      </c>
      <c r="K2739" s="14" t="b">
        <f>OR(LCI_Table[[#This Row],[Data Source]]="All",LCI_Table[[#This Row],[Data Source]]=SelectedDataSource)</f>
        <v>1</v>
      </c>
      <c r="L2739" s="14" t="b">
        <f>TRUE</f>
        <v>1</v>
      </c>
      <c r="M2739" s="14" t="b">
        <f>(LCI_Table[[#This Row],[Dev Notes]]="Do not display")</f>
        <v>0</v>
      </c>
      <c r="N2739" s="14" t="b">
        <f>AND(LCI_Table[[#This Row],[Show Feedstock]:[Conditional]],NOT(LCI_Table[[#This Row],[Hide Row]]))</f>
        <v>1</v>
      </c>
      <c r="O2739" s="14" t="b">
        <f>LCI_Table[[#This Row],[GREET1 Name Range]]=""</f>
        <v>0</v>
      </c>
      <c r="P2739" s="14" t="s">
        <v>1448</v>
      </c>
      <c r="Q2739" s="14" t="s">
        <v>501</v>
      </c>
      <c r="R2739" s="14" t="s">
        <v>1708</v>
      </c>
      <c r="S2739" s="37" cm="1">
        <f t="array" aca="1" ref="S273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39" s="346" t="s">
        <v>1959</v>
      </c>
      <c r="U2739" s="351" t="e">
        <f ca="1">LCI_Table[[#This Row],[Dashboard Value]]/$U$2736/mmBTU2BTU*Fuel_Specs!$B$48/Fuel_Specs!$E$48/g2lb/0.911711975329766*10^6*kWh2BTU</f>
        <v>#DIV/0!</v>
      </c>
      <c r="V2739" s="351">
        <v>19.049267048549822</v>
      </c>
      <c r="W2739" s="351">
        <v>185.67379432183432</v>
      </c>
      <c r="X2739" s="37"/>
      <c r="Y2739" s="346"/>
      <c r="Z2739" s="14" t="str">
        <f>IF(ISBLANK(LCI_Table[[#This Row],[Notes for user]])," ",LCI_Table[[#This Row],[Notes for user]])</f>
        <v xml:space="preserve"> </v>
      </c>
      <c r="AA2739" s="14"/>
      <c r="AB2739" s="14"/>
      <c r="AC2739" s="346" t="e">
        <f ca="1">LCI_Table[[#This Row],[Default Calculated Value]]-LCI_Table[[#This Row],[Calculated Value]]</f>
        <v>#DIV/0!</v>
      </c>
    </row>
    <row r="2740" spans="1:29" x14ac:dyDescent="0.3">
      <c r="A274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dash_Canola/RapeseedHEFAGREETGREET(blank)_Renewable Electricity Credit (REC)_SAF Production</v>
      </c>
      <c r="B2740" s="381" t="s">
        <v>1347</v>
      </c>
      <c r="C2740" s="381" t="s">
        <v>30</v>
      </c>
      <c r="D2740" s="383" t="s">
        <v>29</v>
      </c>
      <c r="E2740" s="384" t="s">
        <v>29</v>
      </c>
      <c r="F2740" s="181" t="s">
        <v>31</v>
      </c>
      <c r="G2740" s="14" t="b">
        <f>OR(LCI_Table[[#This Row],[Feedstock]]="All",LCI_Table[[#This Row],[Feedstock]]=SelectedFeedstock)</f>
        <v>1</v>
      </c>
      <c r="H2740" s="14" t="b">
        <f>OR(LCI_Table[[#This Row],[Conversion]]="All",LCI_Table[[#This Row],[Conversion]]=SelectedConversion)</f>
        <v>1</v>
      </c>
      <c r="I2740" s="14" t="b">
        <f>OR(LCI_Table[[#This Row],[Data Set]]="all",LCI_Table[[#This Row],[Data Set]]=SelectedDataSet)</f>
        <v>1</v>
      </c>
      <c r="J2740" s="14" t="b">
        <f>OR(LCI_Table[[#This Row],[Technology]]="All",LCI_Table[[#This Row],[Technology]]=SelectedTechnology)</f>
        <v>1</v>
      </c>
      <c r="K2740" s="14" t="b">
        <f>OR(LCI_Table[[#This Row],[Data Source]]="All",LCI_Table[[#This Row],[Data Source]]=SelectedDataSource)</f>
        <v>1</v>
      </c>
      <c r="L2740" s="14" t="b">
        <f>TRUE</f>
        <v>1</v>
      </c>
      <c r="M2740" s="14" t="b">
        <f>(LCI_Table[[#This Row],[Dev Notes]]="Do not display")</f>
        <v>0</v>
      </c>
      <c r="N2740" s="14" t="b">
        <f>AND(LCI_Table[[#This Row],[Show Feedstock]:[Conditional]],NOT(LCI_Table[[#This Row],[Hide Row]]))</f>
        <v>1</v>
      </c>
      <c r="O2740" s="14" t="b">
        <f>LCI_Table[[#This Row],[GREET1 Name Range]]=""</f>
        <v>1</v>
      </c>
      <c r="P2740" s="14" t="s">
        <v>1448</v>
      </c>
      <c r="Q2740" s="14"/>
      <c r="R2740" s="14" t="s">
        <v>1709</v>
      </c>
      <c r="S2740" s="37" cm="1">
        <f t="array" aca="1" ref="S274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40" s="346" t="s">
        <v>1959</v>
      </c>
      <c r="U2740" s="351">
        <f ca="1">LCI_Table[[#This Row],[Dashboard Value]]</f>
        <v>0</v>
      </c>
      <c r="V2740" s="351">
        <v>0</v>
      </c>
      <c r="W2740" s="351" t="s">
        <v>1890</v>
      </c>
      <c r="X2740" s="37"/>
      <c r="Y2740" s="346"/>
      <c r="Z2740" s="14" t="str">
        <f>IF(ISBLANK(LCI_Table[[#This Row],[Notes for user]])," ",LCI_Table[[#This Row],[Notes for user]])</f>
        <v xml:space="preserve"> </v>
      </c>
      <c r="AA2740" s="14"/>
      <c r="AB2740" s="14"/>
      <c r="AC2740" s="346">
        <f ca="1">LCI_Table[[#This Row],[Default Calculated Value]]-LCI_Table[[#This Row],[Calculated Value]]</f>
        <v>0</v>
      </c>
    </row>
    <row r="2741" spans="1:29" x14ac:dyDescent="0.3">
      <c r="A274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dash_Canola/RapeseedHEFAGREETGREET(blank)_Onsite behind-the-meter electricity_SAF Production</v>
      </c>
      <c r="B2741" s="381" t="s">
        <v>1347</v>
      </c>
      <c r="C2741" s="381" t="s">
        <v>30</v>
      </c>
      <c r="D2741" s="383" t="s">
        <v>29</v>
      </c>
      <c r="E2741" s="384" t="s">
        <v>29</v>
      </c>
      <c r="F2741" s="181" t="s">
        <v>31</v>
      </c>
      <c r="G2741" s="14" t="b">
        <f>OR(LCI_Table[[#This Row],[Feedstock]]="All",LCI_Table[[#This Row],[Feedstock]]=SelectedFeedstock)</f>
        <v>1</v>
      </c>
      <c r="H2741" s="14" t="b">
        <f>OR(LCI_Table[[#This Row],[Conversion]]="All",LCI_Table[[#This Row],[Conversion]]=SelectedConversion)</f>
        <v>1</v>
      </c>
      <c r="I2741" s="14" t="b">
        <f>OR(LCI_Table[[#This Row],[Data Set]]="all",LCI_Table[[#This Row],[Data Set]]=SelectedDataSet)</f>
        <v>1</v>
      </c>
      <c r="J2741" s="14" t="b">
        <f>OR(LCI_Table[[#This Row],[Technology]]="All",LCI_Table[[#This Row],[Technology]]=SelectedTechnology)</f>
        <v>1</v>
      </c>
      <c r="K2741" s="14" t="b">
        <f>OR(LCI_Table[[#This Row],[Data Source]]="All",LCI_Table[[#This Row],[Data Source]]=SelectedDataSource)</f>
        <v>1</v>
      </c>
      <c r="L2741" s="14" t="b">
        <f>TRUE</f>
        <v>1</v>
      </c>
      <c r="M2741" s="14" t="b">
        <f>(LCI_Table[[#This Row],[Dev Notes]]="Do not display")</f>
        <v>0</v>
      </c>
      <c r="N2741" s="14" t="b">
        <f>AND(LCI_Table[[#This Row],[Show Feedstock]:[Conditional]],NOT(LCI_Table[[#This Row],[Hide Row]]))</f>
        <v>1</v>
      </c>
      <c r="O2741" s="14" t="b">
        <f>LCI_Table[[#This Row],[GREET1 Name Range]]=""</f>
        <v>1</v>
      </c>
      <c r="P2741" s="14" t="s">
        <v>1448</v>
      </c>
      <c r="Q2741" s="14"/>
      <c r="R2741" s="14" t="s">
        <v>1710</v>
      </c>
      <c r="S2741" s="37" cm="1">
        <f t="array" aca="1" ref="S274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41" s="346" t="s">
        <v>1959</v>
      </c>
      <c r="U2741" s="351">
        <f ca="1">LCI_Table[[#This Row],[Dashboard Value]]</f>
        <v>0</v>
      </c>
      <c r="V2741" s="351">
        <v>0</v>
      </c>
      <c r="W2741" s="351" t="s">
        <v>1890</v>
      </c>
      <c r="X2741" s="37"/>
      <c r="Y2741" s="346"/>
      <c r="Z2741" s="14" t="str">
        <f>IF(ISBLANK(LCI_Table[[#This Row],[Notes for user]])," ",LCI_Table[[#This Row],[Notes for user]])</f>
        <v xml:space="preserve"> </v>
      </c>
      <c r="AA2741" s="14"/>
      <c r="AB2741" s="14"/>
      <c r="AC2741" s="346">
        <f ca="1">LCI_Table[[#This Row],[Default Calculated Value]]-LCI_Table[[#This Row],[Calculated Value]]</f>
        <v>0</v>
      </c>
    </row>
    <row r="2742" spans="1:29" x14ac:dyDescent="0.3">
      <c r="A274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Canola/RapeseedHEFAGREETGREET(blank)_Canola_HEFA_HydrogenTotal hydrogen consumption</v>
      </c>
      <c r="B2742" s="382" t="s">
        <v>1347</v>
      </c>
      <c r="C2742" s="382" t="s">
        <v>30</v>
      </c>
      <c r="D2742" s="385" t="s">
        <v>29</v>
      </c>
      <c r="E2742" s="386" t="s">
        <v>29</v>
      </c>
      <c r="F2742" s="181" t="s">
        <v>31</v>
      </c>
      <c r="G2742" s="14" t="b">
        <f>OR(LCI_Table[[#This Row],[Feedstock]]="All",LCI_Table[[#This Row],[Feedstock]]=SelectedFeedstock)</f>
        <v>1</v>
      </c>
      <c r="H2742" s="14" t="b">
        <f>OR(LCI_Table[[#This Row],[Conversion]]="All",LCI_Table[[#This Row],[Conversion]]=SelectedConversion)</f>
        <v>1</v>
      </c>
      <c r="I2742" s="14" t="b">
        <f>OR(LCI_Table[[#This Row],[Data Set]]="all",LCI_Table[[#This Row],[Data Set]]=SelectedDataSet)</f>
        <v>1</v>
      </c>
      <c r="J2742" s="14" t="b">
        <f>OR(LCI_Table[[#This Row],[Technology]]="All",LCI_Table[[#This Row],[Technology]]=SelectedTechnology)</f>
        <v>1</v>
      </c>
      <c r="K2742" s="14" t="b">
        <f>OR(LCI_Table[[#This Row],[Data Source]]="All",LCI_Table[[#This Row],[Data Source]]=SelectedDataSource)</f>
        <v>1</v>
      </c>
      <c r="L2742" s="14" t="b">
        <v>0</v>
      </c>
      <c r="M2742" s="14" t="b">
        <f>(LCI_Table[[#This Row],[Dev Notes]]="Do not display")</f>
        <v>0</v>
      </c>
      <c r="N2742" s="14" t="b">
        <f>AND(LCI_Table[[#This Row],[Show Feedstock]:[Conditional]],NOT(LCI_Table[[#This Row],[Hide Row]]))</f>
        <v>0</v>
      </c>
      <c r="O2742" s="14" t="b">
        <f>LCI_Table[[#This Row],[GREET1 Name Range]]=""</f>
        <v>0</v>
      </c>
      <c r="P2742" s="14" t="s">
        <v>1448</v>
      </c>
      <c r="Q2742" s="14" t="s">
        <v>502</v>
      </c>
      <c r="R2742" s="14" t="s">
        <v>1869</v>
      </c>
      <c r="S2742" s="37" cm="1">
        <f t="array" aca="1" ref="S274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6391.6010185010036</v>
      </c>
      <c r="T2742" s="346" t="s">
        <v>2157</v>
      </c>
      <c r="U2742" s="351" t="e">
        <f ca="1">LCI_Table[[#This Row],[Dashboard Value]]/$U$2736/mmBTU2BTU*Fuel_Specs!$B$48/Fuel_Specs!$E$48/g2lb/0.911711975329766*MT2g/Fuel_Specs!$E$81*Fuel_Specs!$B$81</f>
        <v>#DIV/0!</v>
      </c>
      <c r="V2742" s="389">
        <v>6391.6010185010036</v>
      </c>
      <c r="W2742" s="389">
        <v>2076.4083477681202</v>
      </c>
      <c r="X2742" s="37"/>
      <c r="Y2742" s="346"/>
      <c r="Z2742" s="14" t="str">
        <f>IF(ISBLANK(LCI_Table[[#This Row],[Notes for user]])," ",LCI_Table[[#This Row],[Notes for user]])</f>
        <v xml:space="preserve"> </v>
      </c>
      <c r="AA2742" s="14"/>
      <c r="AB2742" s="14"/>
      <c r="AC2742" s="346" t="e">
        <f ca="1">LCI_Table[[#This Row],[Default Calculated Value]]-LCI_Table[[#This Row],[Calculated Value]]</f>
        <v>#DIV/0!</v>
      </c>
    </row>
    <row r="2743" spans="1:29" x14ac:dyDescent="0.3">
      <c r="A274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dash_TallowHEFAGREETGREET(blank)_SAF production_SAF Production</v>
      </c>
      <c r="B2743" s="381" t="s">
        <v>874</v>
      </c>
      <c r="C2743" s="381" t="s">
        <v>30</v>
      </c>
      <c r="D2743" s="383" t="s">
        <v>29</v>
      </c>
      <c r="E2743" s="384" t="s">
        <v>29</v>
      </c>
      <c r="F2743" s="181" t="s">
        <v>31</v>
      </c>
      <c r="G2743" s="14" t="b">
        <f>OR(LCI_Table[[#This Row],[Feedstock]]="All",LCI_Table[[#This Row],[Feedstock]]=SelectedFeedstock)</f>
        <v>0</v>
      </c>
      <c r="H2743" s="14" t="b">
        <f>OR(LCI_Table[[#This Row],[Conversion]]="All",LCI_Table[[#This Row],[Conversion]]=SelectedConversion)</f>
        <v>1</v>
      </c>
      <c r="I2743" s="14" t="b">
        <f>OR(LCI_Table[[#This Row],[Data Set]]="all",LCI_Table[[#This Row],[Data Set]]=SelectedDataSet)</f>
        <v>1</v>
      </c>
      <c r="J2743" s="14" t="b">
        <f>OR(LCI_Table[[#This Row],[Technology]]="All",LCI_Table[[#This Row],[Technology]]=SelectedTechnology)</f>
        <v>1</v>
      </c>
      <c r="K2743" s="14" t="b">
        <f>OR(LCI_Table[[#This Row],[Data Source]]="All",LCI_Table[[#This Row],[Data Source]]=SelectedDataSource)</f>
        <v>1</v>
      </c>
      <c r="L2743" s="14" t="b">
        <f>TRUE</f>
        <v>1</v>
      </c>
      <c r="M2743" s="14" t="b">
        <f>(LCI_Table[[#This Row],[Dev Notes]]="Do not display")</f>
        <v>0</v>
      </c>
      <c r="N2743" s="14" t="b">
        <f>AND(LCI_Table[[#This Row],[Show Feedstock]:[Conditional]],NOT(LCI_Table[[#This Row],[Hide Row]]))</f>
        <v>0</v>
      </c>
      <c r="O2743" s="14" t="b">
        <f>LCI_Table[[#This Row],[GREET1 Name Range]]=""</f>
        <v>1</v>
      </c>
      <c r="P2743" s="387" t="s">
        <v>1448</v>
      </c>
      <c r="Q2743" s="14"/>
      <c r="R2743" s="14" t="s">
        <v>1714</v>
      </c>
      <c r="S2743" s="37" cm="1">
        <f t="array" aca="1" ref="S274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30</v>
      </c>
      <c r="T2743" s="346" t="s">
        <v>1859</v>
      </c>
      <c r="U2743" s="389">
        <f t="shared" ref="U2743:U2751" ca="1" si="198">$S2743</f>
        <v>30</v>
      </c>
      <c r="V2743" s="389">
        <v>30</v>
      </c>
      <c r="W2743" s="389">
        <v>30</v>
      </c>
      <c r="X2743" s="37"/>
      <c r="Y2743" s="346"/>
      <c r="Z2743" s="14" t="str">
        <f>IF(ISBLANK(LCI_Table[[#This Row],[Notes for user]])," ",LCI_Table[[#This Row],[Notes for user]])</f>
        <v xml:space="preserve"> </v>
      </c>
      <c r="AA2743" s="14"/>
      <c r="AB2743" s="14"/>
      <c r="AC2743" s="346">
        <f ca="1">LCI_Table[[#This Row],[Default Calculated Value]]-LCI_Table[[#This Row],[Calculated Value]]</f>
        <v>0</v>
      </c>
    </row>
    <row r="2744" spans="1:29" x14ac:dyDescent="0.3">
      <c r="A274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dash_TallowHEFAGREETGREET(blank)_   Lower heating value of SAF_SAF Production</v>
      </c>
      <c r="B2744" s="381" t="s">
        <v>874</v>
      </c>
      <c r="C2744" s="381" t="s">
        <v>30</v>
      </c>
      <c r="D2744" s="383" t="s">
        <v>29</v>
      </c>
      <c r="E2744" s="384" t="s">
        <v>29</v>
      </c>
      <c r="F2744" s="181" t="s">
        <v>31</v>
      </c>
      <c r="G2744" s="14" t="b">
        <f>OR(LCI_Table[[#This Row],[Feedstock]]="All",LCI_Table[[#This Row],[Feedstock]]=SelectedFeedstock)</f>
        <v>0</v>
      </c>
      <c r="H2744" s="14" t="b">
        <f>OR(LCI_Table[[#This Row],[Conversion]]="All",LCI_Table[[#This Row],[Conversion]]=SelectedConversion)</f>
        <v>1</v>
      </c>
      <c r="I2744" s="14" t="b">
        <f>OR(LCI_Table[[#This Row],[Data Set]]="all",LCI_Table[[#This Row],[Data Set]]=SelectedDataSet)</f>
        <v>1</v>
      </c>
      <c r="J2744" s="14" t="b">
        <f>OR(LCI_Table[[#This Row],[Technology]]="All",LCI_Table[[#This Row],[Technology]]=SelectedTechnology)</f>
        <v>1</v>
      </c>
      <c r="K2744" s="14" t="b">
        <f>OR(LCI_Table[[#This Row],[Data Source]]="All",LCI_Table[[#This Row],[Data Source]]=SelectedDataSource)</f>
        <v>1</v>
      </c>
      <c r="L2744" s="14" t="b">
        <v>0</v>
      </c>
      <c r="M2744" s="14" t="b">
        <f>(LCI_Table[[#This Row],[Dev Notes]]="Do not display")</f>
        <v>0</v>
      </c>
      <c r="N2744" s="14" t="b">
        <f>AND(LCI_Table[[#This Row],[Show Feedstock]:[Conditional]],NOT(LCI_Table[[#This Row],[Hide Row]]))</f>
        <v>0</v>
      </c>
      <c r="O2744" s="14" t="b">
        <f>LCI_Table[[#This Row],[GREET1 Name Range]]=""</f>
        <v>1</v>
      </c>
      <c r="P2744" s="387" t="s">
        <v>1448</v>
      </c>
      <c r="Q2744" s="14"/>
      <c r="R2744" s="14" t="s">
        <v>1862</v>
      </c>
      <c r="S2744" s="37" cm="1">
        <f t="array" aca="1" ref="S274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119776.62149420771</v>
      </c>
      <c r="T2744" s="346" t="s">
        <v>227</v>
      </c>
      <c r="U2744" s="389">
        <f t="shared" ca="1" si="198"/>
        <v>119776.62149420771</v>
      </c>
      <c r="V2744" s="389">
        <f>Fuel_Specs!$L$34</f>
        <v>119776.62149420771</v>
      </c>
      <c r="W2744" s="389">
        <v>119776.62149420771</v>
      </c>
      <c r="X2744" s="37"/>
      <c r="Y2744" s="346"/>
      <c r="Z2744" s="14" t="str">
        <f>IF(ISBLANK(LCI_Table[[#This Row],[Notes for user]])," ",LCI_Table[[#This Row],[Notes for user]])</f>
        <v xml:space="preserve"> </v>
      </c>
      <c r="AA2744" s="14"/>
      <c r="AB2744" s="14"/>
      <c r="AC2744" s="346">
        <f ca="1">LCI_Table[[#This Row],[Default Calculated Value]]-LCI_Table[[#This Row],[Calculated Value]]</f>
        <v>0</v>
      </c>
    </row>
    <row r="2745" spans="1:29" x14ac:dyDescent="0.3">
      <c r="A274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dash_TallowHEFAGREETGREET(blank)_Renewable diesel production_SAF Production</v>
      </c>
      <c r="B2745" s="381" t="s">
        <v>874</v>
      </c>
      <c r="C2745" s="381" t="s">
        <v>30</v>
      </c>
      <c r="D2745" s="383" t="s">
        <v>29</v>
      </c>
      <c r="E2745" s="384" t="s">
        <v>29</v>
      </c>
      <c r="F2745" s="181" t="s">
        <v>31</v>
      </c>
      <c r="G2745" s="14" t="b">
        <f>OR(LCI_Table[[#This Row],[Feedstock]]="All",LCI_Table[[#This Row],[Feedstock]]=SelectedFeedstock)</f>
        <v>0</v>
      </c>
      <c r="H2745" s="14" t="b">
        <f>OR(LCI_Table[[#This Row],[Conversion]]="All",LCI_Table[[#This Row],[Conversion]]=SelectedConversion)</f>
        <v>1</v>
      </c>
      <c r="I2745" s="14" t="b">
        <f>OR(LCI_Table[[#This Row],[Data Set]]="all",LCI_Table[[#This Row],[Data Set]]=SelectedDataSet)</f>
        <v>1</v>
      </c>
      <c r="J2745" s="14" t="b">
        <f>OR(LCI_Table[[#This Row],[Technology]]="All",LCI_Table[[#This Row],[Technology]]=SelectedTechnology)</f>
        <v>1</v>
      </c>
      <c r="K2745" s="14" t="b">
        <f>OR(LCI_Table[[#This Row],[Data Source]]="All",LCI_Table[[#This Row],[Data Source]]=SelectedDataSource)</f>
        <v>1</v>
      </c>
      <c r="L2745" s="14" t="b">
        <f>TRUE</f>
        <v>1</v>
      </c>
      <c r="M2745" s="14" t="b">
        <f>(LCI_Table[[#This Row],[Dev Notes]]="Do not display")</f>
        <v>0</v>
      </c>
      <c r="N2745" s="14" t="b">
        <f>AND(LCI_Table[[#This Row],[Show Feedstock]:[Conditional]],NOT(LCI_Table[[#This Row],[Hide Row]]))</f>
        <v>0</v>
      </c>
      <c r="O2745" s="14" t="b">
        <f>LCI_Table[[#This Row],[GREET1 Name Range]]=""</f>
        <v>1</v>
      </c>
      <c r="P2745" s="387" t="s">
        <v>1448</v>
      </c>
      <c r="Q2745" s="14"/>
      <c r="R2745" s="14" t="s">
        <v>1716</v>
      </c>
      <c r="S2745" s="37" cm="1">
        <f t="array" aca="1" ref="S274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30</v>
      </c>
      <c r="T2745" s="346" t="s">
        <v>1859</v>
      </c>
      <c r="U2745" s="389">
        <f t="shared" ca="1" si="198"/>
        <v>30</v>
      </c>
      <c r="V2745" s="389">
        <v>30</v>
      </c>
      <c r="W2745" s="389">
        <v>30</v>
      </c>
      <c r="X2745" s="37"/>
      <c r="Y2745" s="346"/>
      <c r="Z2745" s="14" t="str">
        <f>IF(ISBLANK(LCI_Table[[#This Row],[Notes for user]])," ",LCI_Table[[#This Row],[Notes for user]])</f>
        <v xml:space="preserve"> </v>
      </c>
      <c r="AA2745" s="14"/>
      <c r="AB2745" s="14"/>
      <c r="AC2745" s="346">
        <f ca="1">LCI_Table[[#This Row],[Default Calculated Value]]-LCI_Table[[#This Row],[Calculated Value]]</f>
        <v>0</v>
      </c>
    </row>
    <row r="2746" spans="1:29" x14ac:dyDescent="0.3">
      <c r="A274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dash_TallowHEFAGREETGREET(blank)_   Lower heating value of renewable diesel_SAF Production</v>
      </c>
      <c r="B2746" s="381" t="s">
        <v>874</v>
      </c>
      <c r="C2746" s="381" t="s">
        <v>30</v>
      </c>
      <c r="D2746" s="383" t="s">
        <v>29</v>
      </c>
      <c r="E2746" s="384" t="s">
        <v>29</v>
      </c>
      <c r="F2746" s="181" t="s">
        <v>31</v>
      </c>
      <c r="G2746" s="14" t="b">
        <f>OR(LCI_Table[[#This Row],[Feedstock]]="All",LCI_Table[[#This Row],[Feedstock]]=SelectedFeedstock)</f>
        <v>0</v>
      </c>
      <c r="H2746" s="14" t="b">
        <f>OR(LCI_Table[[#This Row],[Conversion]]="All",LCI_Table[[#This Row],[Conversion]]=SelectedConversion)</f>
        <v>1</v>
      </c>
      <c r="I2746" s="14" t="b">
        <f>OR(LCI_Table[[#This Row],[Data Set]]="all",LCI_Table[[#This Row],[Data Set]]=SelectedDataSet)</f>
        <v>1</v>
      </c>
      <c r="J2746" s="14" t="b">
        <f>OR(LCI_Table[[#This Row],[Technology]]="All",LCI_Table[[#This Row],[Technology]]=SelectedTechnology)</f>
        <v>1</v>
      </c>
      <c r="K2746" s="14" t="b">
        <f>OR(LCI_Table[[#This Row],[Data Source]]="All",LCI_Table[[#This Row],[Data Source]]=SelectedDataSource)</f>
        <v>1</v>
      </c>
      <c r="L2746" s="14" t="b">
        <v>0</v>
      </c>
      <c r="M2746" s="14" t="b">
        <f>(LCI_Table[[#This Row],[Dev Notes]]="Do not display")</f>
        <v>0</v>
      </c>
      <c r="N2746" s="14" t="b">
        <f>AND(LCI_Table[[#This Row],[Show Feedstock]:[Conditional]],NOT(LCI_Table[[#This Row],[Hide Row]]))</f>
        <v>0</v>
      </c>
      <c r="O2746" s="14" t="b">
        <f>LCI_Table[[#This Row],[GREET1 Name Range]]=""</f>
        <v>1</v>
      </c>
      <c r="P2746" s="387" t="s">
        <v>1448</v>
      </c>
      <c r="Q2746" s="14"/>
      <c r="R2746" s="14" t="s">
        <v>1863</v>
      </c>
      <c r="S2746" s="37" cm="1">
        <f t="array" aca="1" ref="S274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122887</v>
      </c>
      <c r="T2746" s="346" t="s">
        <v>227</v>
      </c>
      <c r="U2746" s="389">
        <f t="shared" ca="1" si="198"/>
        <v>122887</v>
      </c>
      <c r="V2746" s="389">
        <f>Fuel_Specs!$L$35</f>
        <v>122887</v>
      </c>
      <c r="W2746" s="389">
        <v>122887</v>
      </c>
      <c r="X2746" s="37"/>
      <c r="Y2746" s="346"/>
      <c r="Z2746" s="14" t="str">
        <f>IF(ISBLANK(LCI_Table[[#This Row],[Notes for user]])," ",LCI_Table[[#This Row],[Notes for user]])</f>
        <v xml:space="preserve"> </v>
      </c>
      <c r="AA2746" s="14"/>
      <c r="AB2746" s="14"/>
      <c r="AC2746" s="346">
        <f ca="1">LCI_Table[[#This Row],[Default Calculated Value]]-LCI_Table[[#This Row],[Calculated Value]]</f>
        <v>0</v>
      </c>
    </row>
    <row r="2747" spans="1:29" x14ac:dyDescent="0.3">
      <c r="A274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dash_TallowHEFAGREETGREET(blank)_Renewable gasoline production_SAF Production</v>
      </c>
      <c r="B2747" s="381" t="s">
        <v>874</v>
      </c>
      <c r="C2747" s="381" t="s">
        <v>30</v>
      </c>
      <c r="D2747" s="383" t="s">
        <v>29</v>
      </c>
      <c r="E2747" s="384" t="s">
        <v>29</v>
      </c>
      <c r="F2747" s="181" t="s">
        <v>31</v>
      </c>
      <c r="G2747" s="14" t="b">
        <f>OR(LCI_Table[[#This Row],[Feedstock]]="All",LCI_Table[[#This Row],[Feedstock]]=SelectedFeedstock)</f>
        <v>0</v>
      </c>
      <c r="H2747" s="14" t="b">
        <f>OR(LCI_Table[[#This Row],[Conversion]]="All",LCI_Table[[#This Row],[Conversion]]=SelectedConversion)</f>
        <v>1</v>
      </c>
      <c r="I2747" s="14" t="b">
        <f>OR(LCI_Table[[#This Row],[Data Set]]="all",LCI_Table[[#This Row],[Data Set]]=SelectedDataSet)</f>
        <v>1</v>
      </c>
      <c r="J2747" s="14" t="b">
        <f>OR(LCI_Table[[#This Row],[Technology]]="All",LCI_Table[[#This Row],[Technology]]=SelectedTechnology)</f>
        <v>1</v>
      </c>
      <c r="K2747" s="14" t="b">
        <f>OR(LCI_Table[[#This Row],[Data Source]]="All",LCI_Table[[#This Row],[Data Source]]=SelectedDataSource)</f>
        <v>1</v>
      </c>
      <c r="L2747" s="14" t="b">
        <f>TRUE</f>
        <v>1</v>
      </c>
      <c r="M2747" s="14" t="b">
        <f>(LCI_Table[[#This Row],[Dev Notes]]="Do not display")</f>
        <v>0</v>
      </c>
      <c r="N2747" s="14" t="b">
        <f>AND(LCI_Table[[#This Row],[Show Feedstock]:[Conditional]],NOT(LCI_Table[[#This Row],[Hide Row]]))</f>
        <v>0</v>
      </c>
      <c r="O2747" s="14" t="b">
        <f>LCI_Table[[#This Row],[GREET1 Name Range]]=""</f>
        <v>1</v>
      </c>
      <c r="P2747" s="391" t="s">
        <v>1448</v>
      </c>
      <c r="Q2747" s="14"/>
      <c r="R2747" s="14" t="s">
        <v>1864</v>
      </c>
      <c r="S2747" s="37" cm="1">
        <f t="array" aca="1" ref="S274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47" s="346" t="s">
        <v>1859</v>
      </c>
      <c r="U2747" s="389">
        <f t="shared" ca="1" si="198"/>
        <v>0</v>
      </c>
      <c r="V2747" s="389">
        <v>0</v>
      </c>
      <c r="W2747" s="389">
        <v>0</v>
      </c>
      <c r="X2747" s="37"/>
      <c r="Y2747" s="346"/>
      <c r="Z2747" s="14" t="str">
        <f>IF(ISBLANK(LCI_Table[[#This Row],[Notes for user]])," ",LCI_Table[[#This Row],[Notes for user]])</f>
        <v xml:space="preserve"> </v>
      </c>
      <c r="AA2747" s="14"/>
      <c r="AB2747" s="14"/>
      <c r="AC2747" s="346">
        <f ca="1">LCI_Table[[#This Row],[Default Calculated Value]]-LCI_Table[[#This Row],[Calculated Value]]</f>
        <v>0</v>
      </c>
    </row>
    <row r="2748" spans="1:29" x14ac:dyDescent="0.3">
      <c r="A274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dash_TallowHEFAGREETGREET(blank)_   Lower heating value of renewable gasoline_SAF Production</v>
      </c>
      <c r="B2748" s="381" t="s">
        <v>874</v>
      </c>
      <c r="C2748" s="381" t="s">
        <v>30</v>
      </c>
      <c r="D2748" s="383" t="s">
        <v>29</v>
      </c>
      <c r="E2748" s="384" t="s">
        <v>29</v>
      </c>
      <c r="F2748" s="181" t="s">
        <v>31</v>
      </c>
      <c r="G2748" s="14" t="b">
        <f>OR(LCI_Table[[#This Row],[Feedstock]]="All",LCI_Table[[#This Row],[Feedstock]]=SelectedFeedstock)</f>
        <v>0</v>
      </c>
      <c r="H2748" s="14" t="b">
        <f>OR(LCI_Table[[#This Row],[Conversion]]="All",LCI_Table[[#This Row],[Conversion]]=SelectedConversion)</f>
        <v>1</v>
      </c>
      <c r="I2748" s="14" t="b">
        <f>OR(LCI_Table[[#This Row],[Data Set]]="all",LCI_Table[[#This Row],[Data Set]]=SelectedDataSet)</f>
        <v>1</v>
      </c>
      <c r="J2748" s="14" t="b">
        <f>OR(LCI_Table[[#This Row],[Technology]]="All",LCI_Table[[#This Row],[Technology]]=SelectedTechnology)</f>
        <v>1</v>
      </c>
      <c r="K2748" s="14" t="b">
        <f>OR(LCI_Table[[#This Row],[Data Source]]="All",LCI_Table[[#This Row],[Data Source]]=SelectedDataSource)</f>
        <v>1</v>
      </c>
      <c r="L2748" s="14" t="b">
        <v>0</v>
      </c>
      <c r="M2748" s="14" t="b">
        <f>(LCI_Table[[#This Row],[Dev Notes]]="Do not display")</f>
        <v>0</v>
      </c>
      <c r="N2748" s="14" t="b">
        <f>AND(LCI_Table[[#This Row],[Show Feedstock]:[Conditional]],NOT(LCI_Table[[#This Row],[Hide Row]]))</f>
        <v>0</v>
      </c>
      <c r="O2748" s="14" t="b">
        <f>LCI_Table[[#This Row],[GREET1 Name Range]]=""</f>
        <v>1</v>
      </c>
      <c r="P2748" s="387" t="s">
        <v>1448</v>
      </c>
      <c r="Q2748" s="14"/>
      <c r="R2748" s="14" t="s">
        <v>1865</v>
      </c>
      <c r="S2748" s="37" cm="1">
        <f t="array" aca="1" ref="S274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113309</v>
      </c>
      <c r="T2748" s="346" t="s">
        <v>227</v>
      </c>
      <c r="U2748" s="389">
        <f t="shared" ca="1" si="198"/>
        <v>113309</v>
      </c>
      <c r="V2748" s="389">
        <f>Fuel_Specs!$L$36</f>
        <v>113309</v>
      </c>
      <c r="W2748" s="389">
        <v>113309</v>
      </c>
      <c r="X2748" s="37"/>
      <c r="Y2748" s="346"/>
      <c r="Z2748" s="14" t="str">
        <f>IF(ISBLANK(LCI_Table[[#This Row],[Notes for user]])," ",LCI_Table[[#This Row],[Notes for user]])</f>
        <v xml:space="preserve"> </v>
      </c>
      <c r="AA2748" s="14"/>
      <c r="AB2748" s="14"/>
      <c r="AC2748" s="346">
        <f ca="1">LCI_Table[[#This Row],[Default Calculated Value]]-LCI_Table[[#This Row],[Calculated Value]]</f>
        <v>0</v>
      </c>
    </row>
    <row r="2749" spans="1:29" x14ac:dyDescent="0.3">
      <c r="A274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dash_TallowHEFAGREETGREET(blank)_Renewable naphtha production_SAF Production</v>
      </c>
      <c r="B2749" s="381" t="s">
        <v>874</v>
      </c>
      <c r="C2749" s="381" t="s">
        <v>30</v>
      </c>
      <c r="D2749" s="383" t="s">
        <v>29</v>
      </c>
      <c r="E2749" s="384" t="s">
        <v>29</v>
      </c>
      <c r="F2749" s="181" t="s">
        <v>31</v>
      </c>
      <c r="G2749" s="14" t="b">
        <f>OR(LCI_Table[[#This Row],[Feedstock]]="All",LCI_Table[[#This Row],[Feedstock]]=SelectedFeedstock)</f>
        <v>0</v>
      </c>
      <c r="H2749" s="14" t="b">
        <f>OR(LCI_Table[[#This Row],[Conversion]]="All",LCI_Table[[#This Row],[Conversion]]=SelectedConversion)</f>
        <v>1</v>
      </c>
      <c r="I2749" s="14" t="b">
        <f>OR(LCI_Table[[#This Row],[Data Set]]="all",LCI_Table[[#This Row],[Data Set]]=SelectedDataSet)</f>
        <v>1</v>
      </c>
      <c r="J2749" s="14" t="b">
        <f>OR(LCI_Table[[#This Row],[Technology]]="All",LCI_Table[[#This Row],[Technology]]=SelectedTechnology)</f>
        <v>1</v>
      </c>
      <c r="K2749" s="14" t="b">
        <f>OR(LCI_Table[[#This Row],[Data Source]]="All",LCI_Table[[#This Row],[Data Source]]=SelectedDataSource)</f>
        <v>1</v>
      </c>
      <c r="L2749" s="14" t="b">
        <f>TRUE</f>
        <v>1</v>
      </c>
      <c r="M2749" s="14" t="b">
        <f>(LCI_Table[[#This Row],[Dev Notes]]="Do not display")</f>
        <v>0</v>
      </c>
      <c r="N2749" s="14" t="b">
        <f>AND(LCI_Table[[#This Row],[Show Feedstock]:[Conditional]],NOT(LCI_Table[[#This Row],[Hide Row]]))</f>
        <v>0</v>
      </c>
      <c r="O2749" s="14" t="b">
        <f>LCI_Table[[#This Row],[GREET1 Name Range]]=""</f>
        <v>1</v>
      </c>
      <c r="P2749" s="387" t="s">
        <v>1448</v>
      </c>
      <c r="Q2749" s="14"/>
      <c r="R2749" s="14" t="s">
        <v>1866</v>
      </c>
      <c r="S2749" s="37" cm="1">
        <f t="array" aca="1" ref="S274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49" s="346" t="s">
        <v>1859</v>
      </c>
      <c r="U2749" s="389">
        <f t="shared" ca="1" si="198"/>
        <v>0</v>
      </c>
      <c r="V2749" s="389">
        <v>0</v>
      </c>
      <c r="W2749" s="389">
        <v>0</v>
      </c>
      <c r="X2749" s="37"/>
      <c r="Y2749" s="346"/>
      <c r="Z2749" s="14" t="str">
        <f>IF(ISBLANK(LCI_Table[[#This Row],[Notes for user]])," ",LCI_Table[[#This Row],[Notes for user]])</f>
        <v xml:space="preserve"> </v>
      </c>
      <c r="AA2749" s="14"/>
      <c r="AB2749" s="14"/>
      <c r="AC2749" s="346">
        <f ca="1">LCI_Table[[#This Row],[Default Calculated Value]]-LCI_Table[[#This Row],[Calculated Value]]</f>
        <v>0</v>
      </c>
    </row>
    <row r="2750" spans="1:29" x14ac:dyDescent="0.3">
      <c r="A275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dash_TallowHEFAGREETGREET(blank)_   Lower heating value of renewable naphtha_SAF Production</v>
      </c>
      <c r="B2750" s="381" t="s">
        <v>874</v>
      </c>
      <c r="C2750" s="381" t="s">
        <v>30</v>
      </c>
      <c r="D2750" s="383" t="s">
        <v>29</v>
      </c>
      <c r="E2750" s="384" t="s">
        <v>29</v>
      </c>
      <c r="F2750" s="181" t="s">
        <v>31</v>
      </c>
      <c r="G2750" s="14" t="b">
        <f>OR(LCI_Table[[#This Row],[Feedstock]]="All",LCI_Table[[#This Row],[Feedstock]]=SelectedFeedstock)</f>
        <v>0</v>
      </c>
      <c r="H2750" s="14" t="b">
        <f>OR(LCI_Table[[#This Row],[Conversion]]="All",LCI_Table[[#This Row],[Conversion]]=SelectedConversion)</f>
        <v>1</v>
      </c>
      <c r="I2750" s="14" t="b">
        <f>OR(LCI_Table[[#This Row],[Data Set]]="all",LCI_Table[[#This Row],[Data Set]]=SelectedDataSet)</f>
        <v>1</v>
      </c>
      <c r="J2750" s="14" t="b">
        <f>OR(LCI_Table[[#This Row],[Technology]]="All",LCI_Table[[#This Row],[Technology]]=SelectedTechnology)</f>
        <v>1</v>
      </c>
      <c r="K2750" s="14" t="b">
        <f>OR(LCI_Table[[#This Row],[Data Source]]="All",LCI_Table[[#This Row],[Data Source]]=SelectedDataSource)</f>
        <v>1</v>
      </c>
      <c r="L2750" s="14" t="b">
        <v>0</v>
      </c>
      <c r="M2750" s="14" t="b">
        <f>(LCI_Table[[#This Row],[Dev Notes]]="Do not display")</f>
        <v>0</v>
      </c>
      <c r="N2750" s="14" t="b">
        <f>AND(LCI_Table[[#This Row],[Show Feedstock]:[Conditional]],NOT(LCI_Table[[#This Row],[Hide Row]]))</f>
        <v>0</v>
      </c>
      <c r="O2750" s="14" t="b">
        <f>LCI_Table[[#This Row],[GREET1 Name Range]]=""</f>
        <v>1</v>
      </c>
      <c r="P2750" s="387" t="s">
        <v>1448</v>
      </c>
      <c r="Q2750" s="14"/>
      <c r="R2750" s="14" t="s">
        <v>1867</v>
      </c>
      <c r="S2750" s="37" cm="1">
        <f t="array" aca="1" ref="S275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113309</v>
      </c>
      <c r="T2750" s="346" t="s">
        <v>227</v>
      </c>
      <c r="U2750" s="389">
        <f t="shared" ca="1" si="198"/>
        <v>113309</v>
      </c>
      <c r="V2750" s="389">
        <f>Fuel_Specs!$L$37</f>
        <v>113309</v>
      </c>
      <c r="W2750" s="389">
        <v>113309</v>
      </c>
      <c r="X2750" s="37"/>
      <c r="Y2750" s="346"/>
      <c r="Z2750" s="14" t="str">
        <f>IF(ISBLANK(LCI_Table[[#This Row],[Notes for user]])," ",LCI_Table[[#This Row],[Notes for user]])</f>
        <v xml:space="preserve"> </v>
      </c>
      <c r="AA2750" s="14"/>
      <c r="AB2750" s="14"/>
      <c r="AC2750" s="346">
        <f ca="1">LCI_Table[[#This Row],[Default Calculated Value]]-LCI_Table[[#This Row],[Calculated Value]]</f>
        <v>0</v>
      </c>
    </row>
    <row r="2751" spans="1:29" x14ac:dyDescent="0.3">
      <c r="A275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dash_TallowHEFAGREETGREET(blank)_Total fuel production _SAF Production</v>
      </c>
      <c r="B2751" s="381" t="s">
        <v>874</v>
      </c>
      <c r="C2751" s="381" t="s">
        <v>30</v>
      </c>
      <c r="D2751" s="383" t="s">
        <v>29</v>
      </c>
      <c r="E2751" s="384" t="s">
        <v>29</v>
      </c>
      <c r="F2751" s="181" t="s">
        <v>31</v>
      </c>
      <c r="G2751" s="14" t="b">
        <f>OR(LCI_Table[[#This Row],[Feedstock]]="All",LCI_Table[[#This Row],[Feedstock]]=SelectedFeedstock)</f>
        <v>0</v>
      </c>
      <c r="H2751" s="14" t="b">
        <f>OR(LCI_Table[[#This Row],[Conversion]]="All",LCI_Table[[#This Row],[Conversion]]=SelectedConversion)</f>
        <v>1</v>
      </c>
      <c r="I2751" s="14" t="b">
        <f>OR(LCI_Table[[#This Row],[Data Set]]="all",LCI_Table[[#This Row],[Data Set]]=SelectedDataSet)</f>
        <v>1</v>
      </c>
      <c r="J2751" s="14" t="b">
        <f>OR(LCI_Table[[#This Row],[Technology]]="All",LCI_Table[[#This Row],[Technology]]=SelectedTechnology)</f>
        <v>1</v>
      </c>
      <c r="K2751" s="14" t="b">
        <f>OR(LCI_Table[[#This Row],[Data Source]]="All",LCI_Table[[#This Row],[Data Source]]=SelectedDataSource)</f>
        <v>1</v>
      </c>
      <c r="L2751" s="14" t="b">
        <v>0</v>
      </c>
      <c r="M2751" s="14" t="b">
        <f>(LCI_Table[[#This Row],[Dev Notes]]="Do not display")</f>
        <v>0</v>
      </c>
      <c r="N2751" s="14" t="b">
        <f>AND(LCI_Table[[#This Row],[Show Feedstock]:[Conditional]],NOT(LCI_Table[[#This Row],[Hide Row]]))</f>
        <v>0</v>
      </c>
      <c r="O2751" s="14" t="b">
        <f>LCI_Table[[#This Row],[GREET1 Name Range]]=""</f>
        <v>1</v>
      </c>
      <c r="P2751" s="387" t="s">
        <v>1448</v>
      </c>
      <c r="Q2751" s="14"/>
      <c r="R2751" s="14" t="s">
        <v>1868</v>
      </c>
      <c r="S2751" s="37" cm="1">
        <f t="array" aca="1" ref="S275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7279908.6448262315</v>
      </c>
      <c r="T2751" s="346" t="s">
        <v>1860</v>
      </c>
      <c r="U2751" s="389">
        <f t="shared" ca="1" si="198"/>
        <v>7279908.6448262315</v>
      </c>
      <c r="V2751" s="389">
        <f ca="1">S2743*S2744+S2745*S2746+S2747*S2748+S2749*S2750</f>
        <v>7279908.6448262315</v>
      </c>
      <c r="W2751" s="389">
        <v>7279908.6448262315</v>
      </c>
      <c r="X2751" s="37"/>
      <c r="Y2751" s="346"/>
      <c r="Z2751" s="14" t="str">
        <f>IF(ISBLANK(LCI_Table[[#This Row],[Notes for user]])," ",LCI_Table[[#This Row],[Notes for user]])</f>
        <v xml:space="preserve"> </v>
      </c>
      <c r="AA2751" s="14"/>
      <c r="AB2751" s="14"/>
      <c r="AC2751" s="346">
        <f ca="1">LCI_Table[[#This Row],[Default Calculated Value]]-LCI_Table[[#This Row],[Calculated Value]]</f>
        <v>0</v>
      </c>
    </row>
    <row r="2752" spans="1:29" x14ac:dyDescent="0.3">
      <c r="A275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TallowHEFAGREETGREET(blank)_HEFA_feed_usageFeedstock: tallow consumption</v>
      </c>
      <c r="B2752" s="381" t="s">
        <v>874</v>
      </c>
      <c r="C2752" s="381" t="s">
        <v>30</v>
      </c>
      <c r="D2752" s="383" t="s">
        <v>29</v>
      </c>
      <c r="E2752" s="384" t="s">
        <v>29</v>
      </c>
      <c r="F2752" s="181" t="s">
        <v>31</v>
      </c>
      <c r="G2752" s="14" t="b">
        <f>OR(LCI_Table[[#This Row],[Feedstock]]="All",LCI_Table[[#This Row],[Feedstock]]=SelectedFeedstock)</f>
        <v>0</v>
      </c>
      <c r="H2752" s="14" t="b">
        <f>OR(LCI_Table[[#This Row],[Conversion]]="All",LCI_Table[[#This Row],[Conversion]]=SelectedConversion)</f>
        <v>1</v>
      </c>
      <c r="I2752" s="14" t="b">
        <f>OR(LCI_Table[[#This Row],[Data Set]]="all",LCI_Table[[#This Row],[Data Set]]=SelectedDataSet)</f>
        <v>1</v>
      </c>
      <c r="J2752" s="14" t="b">
        <f>OR(LCI_Table[[#This Row],[Technology]]="All",LCI_Table[[#This Row],[Technology]]=SelectedTechnology)</f>
        <v>1</v>
      </c>
      <c r="K2752" s="14" t="b">
        <f>OR(LCI_Table[[#This Row],[Data Source]]="All",LCI_Table[[#This Row],[Data Source]]=SelectedDataSource)</f>
        <v>1</v>
      </c>
      <c r="L2752" s="14" t="b">
        <f>TRUE</f>
        <v>1</v>
      </c>
      <c r="M2752" s="14" t="b">
        <f>(LCI_Table[[#This Row],[Dev Notes]]="Do not display")</f>
        <v>0</v>
      </c>
      <c r="N2752" s="14" t="b">
        <f>AND(LCI_Table[[#This Row],[Show Feedstock]:[Conditional]],NOT(LCI_Table[[#This Row],[Hide Row]]))</f>
        <v>0</v>
      </c>
      <c r="O2752" s="14" t="b">
        <f>LCI_Table[[#This Row],[GREET1 Name Range]]=""</f>
        <v>0</v>
      </c>
      <c r="P2752" s="14" t="s">
        <v>1448</v>
      </c>
      <c r="Q2752" s="14" t="s">
        <v>933</v>
      </c>
      <c r="R2752" s="14" t="s">
        <v>1871</v>
      </c>
      <c r="S2752" s="37" cm="1">
        <f t="array" aca="1" ref="S275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443.75048093802241</v>
      </c>
      <c r="T2752" s="346" t="s">
        <v>1878</v>
      </c>
      <c r="U2752" s="351">
        <f ca="1">S2752/($U$2751/10^6)*lb2g/Fuel_Specs!$E$48*Fuel_Specs!$B$48*BTU2mmBTU/0.911711975329766</f>
        <v>1.2676055388997574</v>
      </c>
      <c r="V2752" s="351">
        <v>443.75048093802241</v>
      </c>
      <c r="W2752" s="351">
        <v>1.2676055388997574</v>
      </c>
      <c r="X2752" s="37"/>
      <c r="Y2752" s="346"/>
      <c r="Z2752" s="14" t="str">
        <f>IF(ISBLANK(LCI_Table[[#This Row],[Notes for user]])," ",LCI_Table[[#This Row],[Notes for user]])</f>
        <v xml:space="preserve"> </v>
      </c>
      <c r="AA2752" s="14"/>
      <c r="AB2752" s="14"/>
      <c r="AC2752" s="346">
        <f ca="1">LCI_Table[[#This Row],[Default Calculated Value]]-LCI_Table[[#This Row],[Calculated Value]]</f>
        <v>0</v>
      </c>
    </row>
    <row r="2753" spans="1:29" x14ac:dyDescent="0.3">
      <c r="A275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TallowHEFAGREETGREET(blank)_Tallow_HEFA_Natural_gasTotal NG/RNG consumption</v>
      </c>
      <c r="B2753" s="381" t="s">
        <v>874</v>
      </c>
      <c r="C2753" s="381" t="s">
        <v>30</v>
      </c>
      <c r="D2753" s="383" t="s">
        <v>29</v>
      </c>
      <c r="E2753" s="384" t="s">
        <v>29</v>
      </c>
      <c r="F2753" s="181" t="s">
        <v>31</v>
      </c>
      <c r="G2753" s="14" t="b">
        <f>OR(LCI_Table[[#This Row],[Feedstock]]="All",LCI_Table[[#This Row],[Feedstock]]=SelectedFeedstock)</f>
        <v>0</v>
      </c>
      <c r="H2753" s="14" t="b">
        <f>OR(LCI_Table[[#This Row],[Conversion]]="All",LCI_Table[[#This Row],[Conversion]]=SelectedConversion)</f>
        <v>1</v>
      </c>
      <c r="I2753" s="14" t="b">
        <f>OR(LCI_Table[[#This Row],[Data Set]]="all",LCI_Table[[#This Row],[Data Set]]=SelectedDataSet)</f>
        <v>1</v>
      </c>
      <c r="J2753" s="14" t="b">
        <f>OR(LCI_Table[[#This Row],[Technology]]="All",LCI_Table[[#This Row],[Technology]]=SelectedTechnology)</f>
        <v>1</v>
      </c>
      <c r="K2753" s="14" t="b">
        <f>OR(LCI_Table[[#This Row],[Data Source]]="All",LCI_Table[[#This Row],[Data Source]]=SelectedDataSource)</f>
        <v>1</v>
      </c>
      <c r="L2753" s="14" t="b">
        <v>0</v>
      </c>
      <c r="M2753" s="14" t="b">
        <f>(LCI_Table[[#This Row],[Dev Notes]]="Do not display")</f>
        <v>0</v>
      </c>
      <c r="N2753" s="14" t="b">
        <f>AND(LCI_Table[[#This Row],[Show Feedstock]:[Conditional]],NOT(LCI_Table[[#This Row],[Hide Row]]))</f>
        <v>0</v>
      </c>
      <c r="O2753" s="14" t="b">
        <f>LCI_Table[[#This Row],[GREET1 Name Range]]=""</f>
        <v>0</v>
      </c>
      <c r="P2753" s="14" t="s">
        <v>1448</v>
      </c>
      <c r="Q2753" s="14" t="s">
        <v>1077</v>
      </c>
      <c r="R2753" s="14" t="s">
        <v>1861</v>
      </c>
      <c r="S2753" s="37" cm="1">
        <f t="array" aca="1" ref="S275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123.58926254472973</v>
      </c>
      <c r="T2753" s="346" t="s">
        <v>2156</v>
      </c>
      <c r="U2753" s="390">
        <f ca="1">LCI_Table[[#This Row],[Dashboard Value]]/$U$2751/mmBTU2BTU*Fuel_Specs!$B$48/Fuel_Specs!$E$48/g2lb/0.911711975329766*10^6*1000</f>
        <v>353.04172159785469</v>
      </c>
      <c r="V2753" s="351">
        <v>123.58926254472973</v>
      </c>
      <c r="W2753" s="351">
        <v>353.04172159785469</v>
      </c>
      <c r="X2753" s="37"/>
      <c r="Y2753" s="346"/>
      <c r="Z2753" s="14" t="str">
        <f>IF(ISBLANK(LCI_Table[[#This Row],[Notes for user]])," ",LCI_Table[[#This Row],[Notes for user]])</f>
        <v xml:space="preserve"> </v>
      </c>
      <c r="AA2753" s="14"/>
      <c r="AB2753" s="14"/>
      <c r="AC2753" s="346">
        <f ca="1">LCI_Table[[#This Row],[Default Calculated Value]]-LCI_Table[[#This Row],[Calculated Value]]</f>
        <v>0</v>
      </c>
    </row>
    <row r="2754" spans="1:29" x14ac:dyDescent="0.3">
      <c r="A275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TallowHEFAGREETGREET(blank)_Tallow_HEFA_ElectricityGrid electricity (selected eGRID region)</v>
      </c>
      <c r="B2754" s="381" t="s">
        <v>874</v>
      </c>
      <c r="C2754" s="381" t="s">
        <v>30</v>
      </c>
      <c r="D2754" s="383" t="s">
        <v>29</v>
      </c>
      <c r="E2754" s="384" t="s">
        <v>29</v>
      </c>
      <c r="F2754" s="181" t="s">
        <v>31</v>
      </c>
      <c r="G2754" s="14" t="b">
        <f>OR(LCI_Table[[#This Row],[Feedstock]]="All",LCI_Table[[#This Row],[Feedstock]]=SelectedFeedstock)</f>
        <v>0</v>
      </c>
      <c r="H2754" s="14" t="b">
        <f>OR(LCI_Table[[#This Row],[Conversion]]="All",LCI_Table[[#This Row],[Conversion]]=SelectedConversion)</f>
        <v>1</v>
      </c>
      <c r="I2754" s="14" t="b">
        <f>OR(LCI_Table[[#This Row],[Data Set]]="all",LCI_Table[[#This Row],[Data Set]]=SelectedDataSet)</f>
        <v>1</v>
      </c>
      <c r="J2754" s="14" t="b">
        <f>OR(LCI_Table[[#This Row],[Technology]]="All",LCI_Table[[#This Row],[Technology]]=SelectedTechnology)</f>
        <v>1</v>
      </c>
      <c r="K2754" s="14" t="b">
        <f>OR(LCI_Table[[#This Row],[Data Source]]="All",LCI_Table[[#This Row],[Data Source]]=SelectedDataSource)</f>
        <v>1</v>
      </c>
      <c r="L2754" s="14" t="b">
        <f>TRUE</f>
        <v>1</v>
      </c>
      <c r="M2754" s="14" t="b">
        <f>(LCI_Table[[#This Row],[Dev Notes]]="Do not display")</f>
        <v>0</v>
      </c>
      <c r="N2754" s="14" t="b">
        <f>AND(LCI_Table[[#This Row],[Show Feedstock]:[Conditional]],NOT(LCI_Table[[#This Row],[Hide Row]]))</f>
        <v>0</v>
      </c>
      <c r="O2754" s="14" t="b">
        <f>LCI_Table[[#This Row],[GREET1 Name Range]]=""</f>
        <v>0</v>
      </c>
      <c r="P2754" s="14" t="s">
        <v>1448</v>
      </c>
      <c r="Q2754" s="14" t="s">
        <v>1078</v>
      </c>
      <c r="R2754" s="14" t="s">
        <v>1708</v>
      </c>
      <c r="S2754" s="37" cm="1">
        <f t="array" aca="1" ref="S275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19.049267048549822</v>
      </c>
      <c r="T2754" s="346" t="s">
        <v>1959</v>
      </c>
      <c r="U2754" s="351">
        <f ca="1">LCI_Table[[#This Row],[Dashboard Value]]/$U$2751/mmBTU2BTU*Fuel_Specs!$B$48/Fuel_Specs!$E$48/g2lb/0.911711975329766*10^6*kWh2BTU</f>
        <v>185.67379432183469</v>
      </c>
      <c r="V2754" s="351">
        <v>19.049267048549822</v>
      </c>
      <c r="W2754" s="351">
        <v>185.67379432183469</v>
      </c>
      <c r="X2754" s="37"/>
      <c r="Y2754" s="346"/>
      <c r="Z2754" s="14" t="str">
        <f>IF(ISBLANK(LCI_Table[[#This Row],[Notes for user]])," ",LCI_Table[[#This Row],[Notes for user]])</f>
        <v xml:space="preserve"> </v>
      </c>
      <c r="AA2754" s="14"/>
      <c r="AB2754" s="14"/>
      <c r="AC2754" s="346">
        <f ca="1">LCI_Table[[#This Row],[Default Calculated Value]]-LCI_Table[[#This Row],[Calculated Value]]</f>
        <v>0</v>
      </c>
    </row>
    <row r="2755" spans="1:29" x14ac:dyDescent="0.3">
      <c r="A275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dash_TallowHEFAGREETGREET(blank)_Renewable Electricity Credit (REC)_SAF Production</v>
      </c>
      <c r="B2755" s="381" t="s">
        <v>874</v>
      </c>
      <c r="C2755" s="381" t="s">
        <v>30</v>
      </c>
      <c r="D2755" s="383" t="s">
        <v>29</v>
      </c>
      <c r="E2755" s="384" t="s">
        <v>29</v>
      </c>
      <c r="F2755" s="181" t="s">
        <v>31</v>
      </c>
      <c r="G2755" s="14" t="b">
        <f>OR(LCI_Table[[#This Row],[Feedstock]]="All",LCI_Table[[#This Row],[Feedstock]]=SelectedFeedstock)</f>
        <v>0</v>
      </c>
      <c r="H2755" s="14" t="b">
        <f>OR(LCI_Table[[#This Row],[Conversion]]="All",LCI_Table[[#This Row],[Conversion]]=SelectedConversion)</f>
        <v>1</v>
      </c>
      <c r="I2755" s="14" t="b">
        <f>OR(LCI_Table[[#This Row],[Data Set]]="all",LCI_Table[[#This Row],[Data Set]]=SelectedDataSet)</f>
        <v>1</v>
      </c>
      <c r="J2755" s="14" t="b">
        <f>OR(LCI_Table[[#This Row],[Technology]]="All",LCI_Table[[#This Row],[Technology]]=SelectedTechnology)</f>
        <v>1</v>
      </c>
      <c r="K2755" s="14" t="b">
        <f>OR(LCI_Table[[#This Row],[Data Source]]="All",LCI_Table[[#This Row],[Data Source]]=SelectedDataSource)</f>
        <v>1</v>
      </c>
      <c r="L2755" s="14" t="b">
        <f>TRUE</f>
        <v>1</v>
      </c>
      <c r="M2755" s="14" t="b">
        <f>(LCI_Table[[#This Row],[Dev Notes]]="Do not display")</f>
        <v>0</v>
      </c>
      <c r="N2755" s="14" t="b">
        <f>AND(LCI_Table[[#This Row],[Show Feedstock]:[Conditional]],NOT(LCI_Table[[#This Row],[Hide Row]]))</f>
        <v>0</v>
      </c>
      <c r="O2755" s="14" t="b">
        <f>LCI_Table[[#This Row],[GREET1 Name Range]]=""</f>
        <v>1</v>
      </c>
      <c r="P2755" s="14" t="s">
        <v>1448</v>
      </c>
      <c r="Q2755" s="14"/>
      <c r="R2755" s="14" t="s">
        <v>1709</v>
      </c>
      <c r="S2755" s="37" cm="1">
        <f t="array" aca="1" ref="S275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55" s="346" t="s">
        <v>1959</v>
      </c>
      <c r="U2755" s="351">
        <f ca="1">LCI_Table[[#This Row],[Dashboard Value]]</f>
        <v>0</v>
      </c>
      <c r="V2755" s="351">
        <v>0</v>
      </c>
      <c r="W2755" s="351">
        <v>0</v>
      </c>
      <c r="X2755" s="37"/>
      <c r="Y2755" s="346"/>
      <c r="Z2755" s="14" t="str">
        <f>IF(ISBLANK(LCI_Table[[#This Row],[Notes for user]])," ",LCI_Table[[#This Row],[Notes for user]])</f>
        <v xml:space="preserve"> </v>
      </c>
      <c r="AA2755" s="14"/>
      <c r="AB2755" s="14"/>
      <c r="AC2755" s="346">
        <f ca="1">LCI_Table[[#This Row],[Default Calculated Value]]-LCI_Table[[#This Row],[Calculated Value]]</f>
        <v>0</v>
      </c>
    </row>
    <row r="2756" spans="1:29" x14ac:dyDescent="0.3">
      <c r="A275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dash_TallowHEFAGREETGREET(blank)_Onsite behind-the-meter electricity_SAF Production</v>
      </c>
      <c r="B2756" s="381" t="s">
        <v>874</v>
      </c>
      <c r="C2756" s="381" t="s">
        <v>30</v>
      </c>
      <c r="D2756" s="383" t="s">
        <v>29</v>
      </c>
      <c r="E2756" s="384" t="s">
        <v>29</v>
      </c>
      <c r="F2756" s="181" t="s">
        <v>31</v>
      </c>
      <c r="G2756" s="14" t="b">
        <f>OR(LCI_Table[[#This Row],[Feedstock]]="All",LCI_Table[[#This Row],[Feedstock]]=SelectedFeedstock)</f>
        <v>0</v>
      </c>
      <c r="H2756" s="14" t="b">
        <f>OR(LCI_Table[[#This Row],[Conversion]]="All",LCI_Table[[#This Row],[Conversion]]=SelectedConversion)</f>
        <v>1</v>
      </c>
      <c r="I2756" s="14" t="b">
        <f>OR(LCI_Table[[#This Row],[Data Set]]="all",LCI_Table[[#This Row],[Data Set]]=SelectedDataSet)</f>
        <v>1</v>
      </c>
      <c r="J2756" s="14" t="b">
        <f>OR(LCI_Table[[#This Row],[Technology]]="All",LCI_Table[[#This Row],[Technology]]=SelectedTechnology)</f>
        <v>1</v>
      </c>
      <c r="K2756" s="14" t="b">
        <f>OR(LCI_Table[[#This Row],[Data Source]]="All",LCI_Table[[#This Row],[Data Source]]=SelectedDataSource)</f>
        <v>1</v>
      </c>
      <c r="L2756" s="14" t="b">
        <f>TRUE</f>
        <v>1</v>
      </c>
      <c r="M2756" s="14" t="b">
        <f>(LCI_Table[[#This Row],[Dev Notes]]="Do not display")</f>
        <v>0</v>
      </c>
      <c r="N2756" s="14" t="b">
        <f>AND(LCI_Table[[#This Row],[Show Feedstock]:[Conditional]],NOT(LCI_Table[[#This Row],[Hide Row]]))</f>
        <v>0</v>
      </c>
      <c r="O2756" s="14" t="b">
        <f>LCI_Table[[#This Row],[GREET1 Name Range]]=""</f>
        <v>1</v>
      </c>
      <c r="P2756" s="14" t="s">
        <v>1448</v>
      </c>
      <c r="Q2756" s="14"/>
      <c r="R2756" s="14" t="s">
        <v>1710</v>
      </c>
      <c r="S2756" s="37" cm="1">
        <f t="array" aca="1" ref="S275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56" s="346" t="s">
        <v>1959</v>
      </c>
      <c r="U2756" s="351">
        <f ca="1">LCI_Table[[#This Row],[Dashboard Value]]</f>
        <v>0</v>
      </c>
      <c r="V2756" s="351">
        <v>0</v>
      </c>
      <c r="W2756" s="351">
        <v>0</v>
      </c>
      <c r="X2756" s="37"/>
      <c r="Y2756" s="346"/>
      <c r="Z2756" s="14" t="str">
        <f>IF(ISBLANK(LCI_Table[[#This Row],[Notes for user]])," ",LCI_Table[[#This Row],[Notes for user]])</f>
        <v xml:space="preserve"> </v>
      </c>
      <c r="AA2756" s="14"/>
      <c r="AB2756" s="14"/>
      <c r="AC2756" s="346">
        <f ca="1">LCI_Table[[#This Row],[Default Calculated Value]]-LCI_Table[[#This Row],[Calculated Value]]</f>
        <v>0</v>
      </c>
    </row>
    <row r="2757" spans="1:29" x14ac:dyDescent="0.3">
      <c r="A275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TallowHEFAGREETGREET(blank)_Tallow_HEFA_HydrogenTotal hydrogen consumption</v>
      </c>
      <c r="B2757" s="382" t="s">
        <v>874</v>
      </c>
      <c r="C2757" s="382" t="s">
        <v>30</v>
      </c>
      <c r="D2757" s="385" t="s">
        <v>29</v>
      </c>
      <c r="E2757" s="386" t="s">
        <v>29</v>
      </c>
      <c r="F2757" s="181" t="s">
        <v>31</v>
      </c>
      <c r="G2757" s="14" t="b">
        <f>OR(LCI_Table[[#This Row],[Feedstock]]="All",LCI_Table[[#This Row],[Feedstock]]=SelectedFeedstock)</f>
        <v>0</v>
      </c>
      <c r="H2757" s="14" t="b">
        <f>OR(LCI_Table[[#This Row],[Conversion]]="All",LCI_Table[[#This Row],[Conversion]]=SelectedConversion)</f>
        <v>1</v>
      </c>
      <c r="I2757" s="14" t="b">
        <f>OR(LCI_Table[[#This Row],[Data Set]]="all",LCI_Table[[#This Row],[Data Set]]=SelectedDataSet)</f>
        <v>1</v>
      </c>
      <c r="J2757" s="14" t="b">
        <f>OR(LCI_Table[[#This Row],[Technology]]="All",LCI_Table[[#This Row],[Technology]]=SelectedTechnology)</f>
        <v>1</v>
      </c>
      <c r="K2757" s="14" t="b">
        <f>OR(LCI_Table[[#This Row],[Data Source]]="All",LCI_Table[[#This Row],[Data Source]]=SelectedDataSource)</f>
        <v>1</v>
      </c>
      <c r="L2757" s="14" t="b">
        <v>0</v>
      </c>
      <c r="M2757" s="14" t="b">
        <f>(LCI_Table[[#This Row],[Dev Notes]]="Do not display")</f>
        <v>0</v>
      </c>
      <c r="N2757" s="14" t="b">
        <f>AND(LCI_Table[[#This Row],[Show Feedstock]:[Conditional]],NOT(LCI_Table[[#This Row],[Hide Row]]))</f>
        <v>0</v>
      </c>
      <c r="O2757" s="14" t="b">
        <f>LCI_Table[[#This Row],[GREET1 Name Range]]=""</f>
        <v>0</v>
      </c>
      <c r="P2757" s="14" t="s">
        <v>1448</v>
      </c>
      <c r="Q2757" s="14" t="s">
        <v>1079</v>
      </c>
      <c r="R2757" s="14" t="s">
        <v>1869</v>
      </c>
      <c r="S2757" s="37" cm="1">
        <f t="array" aca="1" ref="S275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6391.6010185010036</v>
      </c>
      <c r="T2757" s="346" t="s">
        <v>2157</v>
      </c>
      <c r="U2757" s="351">
        <f ca="1">LCI_Table[[#This Row],[Dashboard Value]]/$U$2751/mmBTU2BTU*Fuel_Specs!$B$48/Fuel_Specs!$E$48/g2lb/0.911711975329766*MT2g/Fuel_Specs!$E$81*Fuel_Specs!$B$81</f>
        <v>2076.4083477681229</v>
      </c>
      <c r="V2757" s="389">
        <v>6391.6010185010036</v>
      </c>
      <c r="W2757" s="389">
        <v>2076.4083477681229</v>
      </c>
      <c r="X2757" s="37"/>
      <c r="Y2757" s="346"/>
      <c r="Z2757" s="14" t="str">
        <f>IF(ISBLANK(LCI_Table[[#This Row],[Notes for user]])," ",LCI_Table[[#This Row],[Notes for user]])</f>
        <v xml:space="preserve"> </v>
      </c>
      <c r="AA2757" s="14"/>
      <c r="AB2757" s="14"/>
      <c r="AC2757" s="346">
        <f ca="1">LCI_Table[[#This Row],[Default Calculated Value]]-LCI_Table[[#This Row],[Calculated Value]]</f>
        <v>0</v>
      </c>
    </row>
    <row r="2758" spans="1:29" x14ac:dyDescent="0.3">
      <c r="A275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dash_UCOHEFAGREETGREET(blank)_SAF production_SAF Production</v>
      </c>
      <c r="B2758" s="381" t="s">
        <v>875</v>
      </c>
      <c r="C2758" s="381" t="s">
        <v>30</v>
      </c>
      <c r="D2758" s="383" t="s">
        <v>29</v>
      </c>
      <c r="E2758" s="384" t="s">
        <v>29</v>
      </c>
      <c r="F2758" s="181" t="s">
        <v>31</v>
      </c>
      <c r="G2758" s="14" t="b">
        <f>OR(LCI_Table[[#This Row],[Feedstock]]="All",LCI_Table[[#This Row],[Feedstock]]=SelectedFeedstock)</f>
        <v>0</v>
      </c>
      <c r="H2758" s="14" t="b">
        <f>OR(LCI_Table[[#This Row],[Conversion]]="All",LCI_Table[[#This Row],[Conversion]]=SelectedConversion)</f>
        <v>1</v>
      </c>
      <c r="I2758" s="14" t="b">
        <f>OR(LCI_Table[[#This Row],[Data Set]]="all",LCI_Table[[#This Row],[Data Set]]=SelectedDataSet)</f>
        <v>1</v>
      </c>
      <c r="J2758" s="14" t="b">
        <f>OR(LCI_Table[[#This Row],[Technology]]="All",LCI_Table[[#This Row],[Technology]]=SelectedTechnology)</f>
        <v>1</v>
      </c>
      <c r="K2758" s="14" t="b">
        <f>OR(LCI_Table[[#This Row],[Data Source]]="All",LCI_Table[[#This Row],[Data Source]]=SelectedDataSource)</f>
        <v>1</v>
      </c>
      <c r="L2758" s="14" t="b">
        <f>TRUE</f>
        <v>1</v>
      </c>
      <c r="M2758" s="14" t="b">
        <f>(LCI_Table[[#This Row],[Dev Notes]]="Do not display")</f>
        <v>0</v>
      </c>
      <c r="N2758" s="14" t="b">
        <f>AND(LCI_Table[[#This Row],[Show Feedstock]:[Conditional]],NOT(LCI_Table[[#This Row],[Hide Row]]))</f>
        <v>0</v>
      </c>
      <c r="O2758" s="14" t="b">
        <f>LCI_Table[[#This Row],[GREET1 Name Range]]=""</f>
        <v>1</v>
      </c>
      <c r="P2758" s="387" t="s">
        <v>1448</v>
      </c>
      <c r="Q2758" s="14"/>
      <c r="R2758" s="14" t="s">
        <v>1714</v>
      </c>
      <c r="S2758" s="37" cm="1">
        <f t="array" aca="1" ref="S275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30</v>
      </c>
      <c r="T2758" s="346" t="s">
        <v>1859</v>
      </c>
      <c r="U2758" s="389">
        <f t="shared" ref="U2758:U2766" ca="1" si="199">$S2758</f>
        <v>30</v>
      </c>
      <c r="V2758" s="389">
        <v>30</v>
      </c>
      <c r="W2758" s="389">
        <v>30</v>
      </c>
      <c r="X2758" s="37"/>
      <c r="Y2758" s="346"/>
      <c r="Z2758" s="14" t="str">
        <f>IF(ISBLANK(LCI_Table[[#This Row],[Notes for user]])," ",LCI_Table[[#This Row],[Notes for user]])</f>
        <v xml:space="preserve"> </v>
      </c>
      <c r="AA2758" s="14"/>
      <c r="AB2758" s="14"/>
      <c r="AC2758" s="346">
        <f ca="1">LCI_Table[[#This Row],[Default Calculated Value]]-LCI_Table[[#This Row],[Calculated Value]]</f>
        <v>0</v>
      </c>
    </row>
    <row r="2759" spans="1:29" x14ac:dyDescent="0.3">
      <c r="A275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dash_UCOHEFAGREETGREET(blank)_   Lower heating value of SAF_SAF Production</v>
      </c>
      <c r="B2759" s="381" t="s">
        <v>875</v>
      </c>
      <c r="C2759" s="381" t="s">
        <v>30</v>
      </c>
      <c r="D2759" s="383" t="s">
        <v>29</v>
      </c>
      <c r="E2759" s="384" t="s">
        <v>29</v>
      </c>
      <c r="F2759" s="181" t="s">
        <v>31</v>
      </c>
      <c r="G2759" s="14" t="b">
        <f>OR(LCI_Table[[#This Row],[Feedstock]]="All",LCI_Table[[#This Row],[Feedstock]]=SelectedFeedstock)</f>
        <v>0</v>
      </c>
      <c r="H2759" s="14" t="b">
        <f>OR(LCI_Table[[#This Row],[Conversion]]="All",LCI_Table[[#This Row],[Conversion]]=SelectedConversion)</f>
        <v>1</v>
      </c>
      <c r="I2759" s="14" t="b">
        <f>OR(LCI_Table[[#This Row],[Data Set]]="all",LCI_Table[[#This Row],[Data Set]]=SelectedDataSet)</f>
        <v>1</v>
      </c>
      <c r="J2759" s="14" t="b">
        <f>OR(LCI_Table[[#This Row],[Technology]]="All",LCI_Table[[#This Row],[Technology]]=SelectedTechnology)</f>
        <v>1</v>
      </c>
      <c r="K2759" s="14" t="b">
        <f>OR(LCI_Table[[#This Row],[Data Source]]="All",LCI_Table[[#This Row],[Data Source]]=SelectedDataSource)</f>
        <v>1</v>
      </c>
      <c r="L2759" s="14" t="b">
        <v>0</v>
      </c>
      <c r="M2759" s="14" t="b">
        <f>(LCI_Table[[#This Row],[Dev Notes]]="Do not display")</f>
        <v>0</v>
      </c>
      <c r="N2759" s="14" t="b">
        <f>AND(LCI_Table[[#This Row],[Show Feedstock]:[Conditional]],NOT(LCI_Table[[#This Row],[Hide Row]]))</f>
        <v>0</v>
      </c>
      <c r="O2759" s="14" t="b">
        <f>LCI_Table[[#This Row],[GREET1 Name Range]]=""</f>
        <v>1</v>
      </c>
      <c r="P2759" s="387" t="s">
        <v>1448</v>
      </c>
      <c r="Q2759" s="14"/>
      <c r="R2759" s="14" t="s">
        <v>1862</v>
      </c>
      <c r="S2759" s="37" cm="1">
        <f t="array" aca="1" ref="S275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119776.62149420771</v>
      </c>
      <c r="T2759" s="346" t="s">
        <v>227</v>
      </c>
      <c r="U2759" s="389">
        <f t="shared" ca="1" si="199"/>
        <v>119776.62149420771</v>
      </c>
      <c r="V2759" s="389">
        <f>Fuel_Specs!$L$34</f>
        <v>119776.62149420771</v>
      </c>
      <c r="W2759" s="389">
        <v>119776.62149420771</v>
      </c>
      <c r="X2759" s="37"/>
      <c r="Y2759" s="346"/>
      <c r="Z2759" s="14" t="str">
        <f>IF(ISBLANK(LCI_Table[[#This Row],[Notes for user]])," ",LCI_Table[[#This Row],[Notes for user]])</f>
        <v xml:space="preserve"> </v>
      </c>
      <c r="AA2759" s="14"/>
      <c r="AB2759" s="14"/>
      <c r="AC2759" s="346">
        <f ca="1">LCI_Table[[#This Row],[Default Calculated Value]]-LCI_Table[[#This Row],[Calculated Value]]</f>
        <v>0</v>
      </c>
    </row>
    <row r="2760" spans="1:29" x14ac:dyDescent="0.3">
      <c r="A276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dash_UCOHEFAGREETGREET(blank)_Renewable diesel production_SAF Production</v>
      </c>
      <c r="B2760" s="381" t="s">
        <v>875</v>
      </c>
      <c r="C2760" s="381" t="s">
        <v>30</v>
      </c>
      <c r="D2760" s="383" t="s">
        <v>29</v>
      </c>
      <c r="E2760" s="384" t="s">
        <v>29</v>
      </c>
      <c r="F2760" s="181" t="s">
        <v>31</v>
      </c>
      <c r="G2760" s="14" t="b">
        <f>OR(LCI_Table[[#This Row],[Feedstock]]="All",LCI_Table[[#This Row],[Feedstock]]=SelectedFeedstock)</f>
        <v>0</v>
      </c>
      <c r="H2760" s="14" t="b">
        <f>OR(LCI_Table[[#This Row],[Conversion]]="All",LCI_Table[[#This Row],[Conversion]]=SelectedConversion)</f>
        <v>1</v>
      </c>
      <c r="I2760" s="14" t="b">
        <f>OR(LCI_Table[[#This Row],[Data Set]]="all",LCI_Table[[#This Row],[Data Set]]=SelectedDataSet)</f>
        <v>1</v>
      </c>
      <c r="J2760" s="14" t="b">
        <f>OR(LCI_Table[[#This Row],[Technology]]="All",LCI_Table[[#This Row],[Technology]]=SelectedTechnology)</f>
        <v>1</v>
      </c>
      <c r="K2760" s="14" t="b">
        <f>OR(LCI_Table[[#This Row],[Data Source]]="All",LCI_Table[[#This Row],[Data Source]]=SelectedDataSource)</f>
        <v>1</v>
      </c>
      <c r="L2760" s="14" t="b">
        <f>TRUE</f>
        <v>1</v>
      </c>
      <c r="M2760" s="14" t="b">
        <f>(LCI_Table[[#This Row],[Dev Notes]]="Do not display")</f>
        <v>0</v>
      </c>
      <c r="N2760" s="14" t="b">
        <f>AND(LCI_Table[[#This Row],[Show Feedstock]:[Conditional]],NOT(LCI_Table[[#This Row],[Hide Row]]))</f>
        <v>0</v>
      </c>
      <c r="O2760" s="14" t="b">
        <f>LCI_Table[[#This Row],[GREET1 Name Range]]=""</f>
        <v>1</v>
      </c>
      <c r="P2760" s="387" t="s">
        <v>1448</v>
      </c>
      <c r="Q2760" s="14"/>
      <c r="R2760" s="14" t="s">
        <v>1716</v>
      </c>
      <c r="S2760" s="37" cm="1">
        <f t="array" aca="1" ref="S276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30</v>
      </c>
      <c r="T2760" s="346" t="s">
        <v>1859</v>
      </c>
      <c r="U2760" s="389">
        <f t="shared" ca="1" si="199"/>
        <v>30</v>
      </c>
      <c r="V2760" s="389">
        <v>30</v>
      </c>
      <c r="W2760" s="389">
        <v>30</v>
      </c>
      <c r="X2760" s="37"/>
      <c r="Y2760" s="346"/>
      <c r="Z2760" s="14" t="str">
        <f>IF(ISBLANK(LCI_Table[[#This Row],[Notes for user]])," ",LCI_Table[[#This Row],[Notes for user]])</f>
        <v xml:space="preserve"> </v>
      </c>
      <c r="AA2760" s="14"/>
      <c r="AB2760" s="14"/>
      <c r="AC2760" s="346">
        <f ca="1">LCI_Table[[#This Row],[Default Calculated Value]]-LCI_Table[[#This Row],[Calculated Value]]</f>
        <v>0</v>
      </c>
    </row>
    <row r="2761" spans="1:29" x14ac:dyDescent="0.3">
      <c r="A276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dash_UCOHEFAGREETGREET(blank)_   Lower heating value of renewable diesel_SAF Production</v>
      </c>
      <c r="B2761" s="381" t="s">
        <v>875</v>
      </c>
      <c r="C2761" s="381" t="s">
        <v>30</v>
      </c>
      <c r="D2761" s="383" t="s">
        <v>29</v>
      </c>
      <c r="E2761" s="384" t="s">
        <v>29</v>
      </c>
      <c r="F2761" s="181" t="s">
        <v>31</v>
      </c>
      <c r="G2761" s="14" t="b">
        <f>OR(LCI_Table[[#This Row],[Feedstock]]="All",LCI_Table[[#This Row],[Feedstock]]=SelectedFeedstock)</f>
        <v>0</v>
      </c>
      <c r="H2761" s="14" t="b">
        <f>OR(LCI_Table[[#This Row],[Conversion]]="All",LCI_Table[[#This Row],[Conversion]]=SelectedConversion)</f>
        <v>1</v>
      </c>
      <c r="I2761" s="14" t="b">
        <f>OR(LCI_Table[[#This Row],[Data Set]]="all",LCI_Table[[#This Row],[Data Set]]=SelectedDataSet)</f>
        <v>1</v>
      </c>
      <c r="J2761" s="14" t="b">
        <f>OR(LCI_Table[[#This Row],[Technology]]="All",LCI_Table[[#This Row],[Technology]]=SelectedTechnology)</f>
        <v>1</v>
      </c>
      <c r="K2761" s="14" t="b">
        <f>OR(LCI_Table[[#This Row],[Data Source]]="All",LCI_Table[[#This Row],[Data Source]]=SelectedDataSource)</f>
        <v>1</v>
      </c>
      <c r="L2761" s="14" t="b">
        <v>0</v>
      </c>
      <c r="M2761" s="14" t="b">
        <f>(LCI_Table[[#This Row],[Dev Notes]]="Do not display")</f>
        <v>0</v>
      </c>
      <c r="N2761" s="14" t="b">
        <f>AND(LCI_Table[[#This Row],[Show Feedstock]:[Conditional]],NOT(LCI_Table[[#This Row],[Hide Row]]))</f>
        <v>0</v>
      </c>
      <c r="O2761" s="14" t="b">
        <f>LCI_Table[[#This Row],[GREET1 Name Range]]=""</f>
        <v>1</v>
      </c>
      <c r="P2761" s="387" t="s">
        <v>1448</v>
      </c>
      <c r="Q2761" s="14"/>
      <c r="R2761" s="14" t="s">
        <v>1863</v>
      </c>
      <c r="S2761" s="37" cm="1">
        <f t="array" aca="1" ref="S276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122887</v>
      </c>
      <c r="T2761" s="346" t="s">
        <v>227</v>
      </c>
      <c r="U2761" s="389">
        <f t="shared" ca="1" si="199"/>
        <v>122887</v>
      </c>
      <c r="V2761" s="389">
        <f>Fuel_Specs!$L$35</f>
        <v>122887</v>
      </c>
      <c r="W2761" s="389">
        <v>122887</v>
      </c>
      <c r="X2761" s="37"/>
      <c r="Y2761" s="346"/>
      <c r="Z2761" s="14" t="str">
        <f>IF(ISBLANK(LCI_Table[[#This Row],[Notes for user]])," ",LCI_Table[[#This Row],[Notes for user]])</f>
        <v xml:space="preserve"> </v>
      </c>
      <c r="AA2761" s="14"/>
      <c r="AB2761" s="14"/>
      <c r="AC2761" s="346">
        <f ca="1">LCI_Table[[#This Row],[Default Calculated Value]]-LCI_Table[[#This Row],[Calculated Value]]</f>
        <v>0</v>
      </c>
    </row>
    <row r="2762" spans="1:29" x14ac:dyDescent="0.3">
      <c r="A276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dash_UCOHEFAGREETGREET(blank)_Renewable gasoline production_SAF Production</v>
      </c>
      <c r="B2762" s="381" t="s">
        <v>875</v>
      </c>
      <c r="C2762" s="381" t="s">
        <v>30</v>
      </c>
      <c r="D2762" s="383" t="s">
        <v>29</v>
      </c>
      <c r="E2762" s="384" t="s">
        <v>29</v>
      </c>
      <c r="F2762" s="181" t="s">
        <v>31</v>
      </c>
      <c r="G2762" s="14" t="b">
        <f>OR(LCI_Table[[#This Row],[Feedstock]]="All",LCI_Table[[#This Row],[Feedstock]]=SelectedFeedstock)</f>
        <v>0</v>
      </c>
      <c r="H2762" s="14" t="b">
        <f>OR(LCI_Table[[#This Row],[Conversion]]="All",LCI_Table[[#This Row],[Conversion]]=SelectedConversion)</f>
        <v>1</v>
      </c>
      <c r="I2762" s="14" t="b">
        <f>OR(LCI_Table[[#This Row],[Data Set]]="all",LCI_Table[[#This Row],[Data Set]]=SelectedDataSet)</f>
        <v>1</v>
      </c>
      <c r="J2762" s="14" t="b">
        <f>OR(LCI_Table[[#This Row],[Technology]]="All",LCI_Table[[#This Row],[Technology]]=SelectedTechnology)</f>
        <v>1</v>
      </c>
      <c r="K2762" s="14" t="b">
        <f>OR(LCI_Table[[#This Row],[Data Source]]="All",LCI_Table[[#This Row],[Data Source]]=SelectedDataSource)</f>
        <v>1</v>
      </c>
      <c r="L2762" s="14" t="b">
        <f>TRUE</f>
        <v>1</v>
      </c>
      <c r="M2762" s="14" t="b">
        <f>(LCI_Table[[#This Row],[Dev Notes]]="Do not display")</f>
        <v>0</v>
      </c>
      <c r="N2762" s="14" t="b">
        <f>AND(LCI_Table[[#This Row],[Show Feedstock]:[Conditional]],NOT(LCI_Table[[#This Row],[Hide Row]]))</f>
        <v>0</v>
      </c>
      <c r="O2762" s="14" t="b">
        <f>LCI_Table[[#This Row],[GREET1 Name Range]]=""</f>
        <v>1</v>
      </c>
      <c r="P2762" s="391" t="s">
        <v>1448</v>
      </c>
      <c r="Q2762" s="14"/>
      <c r="R2762" s="14" t="s">
        <v>1864</v>
      </c>
      <c r="S2762" s="37" cm="1">
        <f t="array" aca="1" ref="S276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62" s="346" t="s">
        <v>1859</v>
      </c>
      <c r="U2762" s="389">
        <f t="shared" ca="1" si="199"/>
        <v>0</v>
      </c>
      <c r="V2762" s="389">
        <v>0</v>
      </c>
      <c r="W2762" s="389">
        <v>0</v>
      </c>
      <c r="X2762" s="37"/>
      <c r="Y2762" s="346"/>
      <c r="Z2762" s="14" t="str">
        <f>IF(ISBLANK(LCI_Table[[#This Row],[Notes for user]])," ",LCI_Table[[#This Row],[Notes for user]])</f>
        <v xml:space="preserve"> </v>
      </c>
      <c r="AA2762" s="14"/>
      <c r="AB2762" s="14"/>
      <c r="AC2762" s="346">
        <f ca="1">LCI_Table[[#This Row],[Default Calculated Value]]-LCI_Table[[#This Row],[Calculated Value]]</f>
        <v>0</v>
      </c>
    </row>
    <row r="2763" spans="1:29" x14ac:dyDescent="0.3">
      <c r="A276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dash_UCOHEFAGREETGREET(blank)_   Lower heating value of renewable gasoline_SAF Production</v>
      </c>
      <c r="B2763" s="381" t="s">
        <v>875</v>
      </c>
      <c r="C2763" s="381" t="s">
        <v>30</v>
      </c>
      <c r="D2763" s="383" t="s">
        <v>29</v>
      </c>
      <c r="E2763" s="384" t="s">
        <v>29</v>
      </c>
      <c r="F2763" s="181" t="s">
        <v>31</v>
      </c>
      <c r="G2763" s="14" t="b">
        <f>OR(LCI_Table[[#This Row],[Feedstock]]="All",LCI_Table[[#This Row],[Feedstock]]=SelectedFeedstock)</f>
        <v>0</v>
      </c>
      <c r="H2763" s="14" t="b">
        <f>OR(LCI_Table[[#This Row],[Conversion]]="All",LCI_Table[[#This Row],[Conversion]]=SelectedConversion)</f>
        <v>1</v>
      </c>
      <c r="I2763" s="14" t="b">
        <f>OR(LCI_Table[[#This Row],[Data Set]]="all",LCI_Table[[#This Row],[Data Set]]=SelectedDataSet)</f>
        <v>1</v>
      </c>
      <c r="J2763" s="14" t="b">
        <f>OR(LCI_Table[[#This Row],[Technology]]="All",LCI_Table[[#This Row],[Technology]]=SelectedTechnology)</f>
        <v>1</v>
      </c>
      <c r="K2763" s="14" t="b">
        <f>OR(LCI_Table[[#This Row],[Data Source]]="All",LCI_Table[[#This Row],[Data Source]]=SelectedDataSource)</f>
        <v>1</v>
      </c>
      <c r="L2763" s="14" t="b">
        <v>0</v>
      </c>
      <c r="M2763" s="14" t="b">
        <f>(LCI_Table[[#This Row],[Dev Notes]]="Do not display")</f>
        <v>0</v>
      </c>
      <c r="N2763" s="14" t="b">
        <f>AND(LCI_Table[[#This Row],[Show Feedstock]:[Conditional]],NOT(LCI_Table[[#This Row],[Hide Row]]))</f>
        <v>0</v>
      </c>
      <c r="O2763" s="14" t="b">
        <f>LCI_Table[[#This Row],[GREET1 Name Range]]=""</f>
        <v>1</v>
      </c>
      <c r="P2763" s="387" t="s">
        <v>1448</v>
      </c>
      <c r="Q2763" s="14"/>
      <c r="R2763" s="14" t="s">
        <v>1865</v>
      </c>
      <c r="S2763" s="37" cm="1">
        <f t="array" aca="1" ref="S276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113309</v>
      </c>
      <c r="T2763" s="346" t="s">
        <v>227</v>
      </c>
      <c r="U2763" s="389">
        <f t="shared" ca="1" si="199"/>
        <v>113309</v>
      </c>
      <c r="V2763" s="389">
        <f>Fuel_Specs!$L$36</f>
        <v>113309</v>
      </c>
      <c r="W2763" s="389">
        <v>113309</v>
      </c>
      <c r="X2763" s="37"/>
      <c r="Y2763" s="346"/>
      <c r="Z2763" s="14" t="str">
        <f>IF(ISBLANK(LCI_Table[[#This Row],[Notes for user]])," ",LCI_Table[[#This Row],[Notes for user]])</f>
        <v xml:space="preserve"> </v>
      </c>
      <c r="AA2763" s="14"/>
      <c r="AB2763" s="14"/>
      <c r="AC2763" s="346">
        <f ca="1">LCI_Table[[#This Row],[Default Calculated Value]]-LCI_Table[[#This Row],[Calculated Value]]</f>
        <v>0</v>
      </c>
    </row>
    <row r="2764" spans="1:29" x14ac:dyDescent="0.3">
      <c r="A276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dash_UCOHEFAGREETGREET(blank)_Renewable naphtha production_SAF Production</v>
      </c>
      <c r="B2764" s="381" t="s">
        <v>875</v>
      </c>
      <c r="C2764" s="381" t="s">
        <v>30</v>
      </c>
      <c r="D2764" s="383" t="s">
        <v>29</v>
      </c>
      <c r="E2764" s="384" t="s">
        <v>29</v>
      </c>
      <c r="F2764" s="181" t="s">
        <v>31</v>
      </c>
      <c r="G2764" s="14" t="b">
        <f>OR(LCI_Table[[#This Row],[Feedstock]]="All",LCI_Table[[#This Row],[Feedstock]]=SelectedFeedstock)</f>
        <v>0</v>
      </c>
      <c r="H2764" s="14" t="b">
        <f>OR(LCI_Table[[#This Row],[Conversion]]="All",LCI_Table[[#This Row],[Conversion]]=SelectedConversion)</f>
        <v>1</v>
      </c>
      <c r="I2764" s="14" t="b">
        <f>OR(LCI_Table[[#This Row],[Data Set]]="all",LCI_Table[[#This Row],[Data Set]]=SelectedDataSet)</f>
        <v>1</v>
      </c>
      <c r="J2764" s="14" t="b">
        <f>OR(LCI_Table[[#This Row],[Technology]]="All",LCI_Table[[#This Row],[Technology]]=SelectedTechnology)</f>
        <v>1</v>
      </c>
      <c r="K2764" s="14" t="b">
        <f>OR(LCI_Table[[#This Row],[Data Source]]="All",LCI_Table[[#This Row],[Data Source]]=SelectedDataSource)</f>
        <v>1</v>
      </c>
      <c r="L2764" s="14" t="b">
        <f>TRUE</f>
        <v>1</v>
      </c>
      <c r="M2764" s="14" t="b">
        <f>(LCI_Table[[#This Row],[Dev Notes]]="Do not display")</f>
        <v>0</v>
      </c>
      <c r="N2764" s="14" t="b">
        <f>AND(LCI_Table[[#This Row],[Show Feedstock]:[Conditional]],NOT(LCI_Table[[#This Row],[Hide Row]]))</f>
        <v>0</v>
      </c>
      <c r="O2764" s="14" t="b">
        <f>LCI_Table[[#This Row],[GREET1 Name Range]]=""</f>
        <v>1</v>
      </c>
      <c r="P2764" s="387" t="s">
        <v>1448</v>
      </c>
      <c r="Q2764" s="14"/>
      <c r="R2764" s="14" t="s">
        <v>1866</v>
      </c>
      <c r="S2764" s="37" cm="1">
        <f t="array" aca="1" ref="S276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64" s="346" t="s">
        <v>1859</v>
      </c>
      <c r="U2764" s="389">
        <f t="shared" ca="1" si="199"/>
        <v>0</v>
      </c>
      <c r="V2764" s="389">
        <v>0</v>
      </c>
      <c r="W2764" s="389">
        <v>0</v>
      </c>
      <c r="X2764" s="37"/>
      <c r="Y2764" s="346"/>
      <c r="Z2764" s="14" t="str">
        <f>IF(ISBLANK(LCI_Table[[#This Row],[Notes for user]])," ",LCI_Table[[#This Row],[Notes for user]])</f>
        <v xml:space="preserve"> </v>
      </c>
      <c r="AA2764" s="14"/>
      <c r="AB2764" s="14"/>
      <c r="AC2764" s="346">
        <f ca="1">LCI_Table[[#This Row],[Default Calculated Value]]-LCI_Table[[#This Row],[Calculated Value]]</f>
        <v>0</v>
      </c>
    </row>
    <row r="2765" spans="1:29" x14ac:dyDescent="0.3">
      <c r="A276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dash_UCOHEFAGREETGREET(blank)_   Lower heating value of renewable naphtha_SAF Production</v>
      </c>
      <c r="B2765" s="381" t="s">
        <v>875</v>
      </c>
      <c r="C2765" s="381" t="s">
        <v>30</v>
      </c>
      <c r="D2765" s="383" t="s">
        <v>29</v>
      </c>
      <c r="E2765" s="384" t="s">
        <v>29</v>
      </c>
      <c r="F2765" s="181" t="s">
        <v>31</v>
      </c>
      <c r="G2765" s="14" t="b">
        <f>OR(LCI_Table[[#This Row],[Feedstock]]="All",LCI_Table[[#This Row],[Feedstock]]=SelectedFeedstock)</f>
        <v>0</v>
      </c>
      <c r="H2765" s="14" t="b">
        <f>OR(LCI_Table[[#This Row],[Conversion]]="All",LCI_Table[[#This Row],[Conversion]]=SelectedConversion)</f>
        <v>1</v>
      </c>
      <c r="I2765" s="14" t="b">
        <f>OR(LCI_Table[[#This Row],[Data Set]]="all",LCI_Table[[#This Row],[Data Set]]=SelectedDataSet)</f>
        <v>1</v>
      </c>
      <c r="J2765" s="14" t="b">
        <f>OR(LCI_Table[[#This Row],[Technology]]="All",LCI_Table[[#This Row],[Technology]]=SelectedTechnology)</f>
        <v>1</v>
      </c>
      <c r="K2765" s="14" t="b">
        <f>OR(LCI_Table[[#This Row],[Data Source]]="All",LCI_Table[[#This Row],[Data Source]]=SelectedDataSource)</f>
        <v>1</v>
      </c>
      <c r="L2765" s="14" t="b">
        <v>0</v>
      </c>
      <c r="M2765" s="14" t="b">
        <f>(LCI_Table[[#This Row],[Dev Notes]]="Do not display")</f>
        <v>0</v>
      </c>
      <c r="N2765" s="14" t="b">
        <f>AND(LCI_Table[[#This Row],[Show Feedstock]:[Conditional]],NOT(LCI_Table[[#This Row],[Hide Row]]))</f>
        <v>0</v>
      </c>
      <c r="O2765" s="14" t="b">
        <f>LCI_Table[[#This Row],[GREET1 Name Range]]=""</f>
        <v>1</v>
      </c>
      <c r="P2765" s="387" t="s">
        <v>1448</v>
      </c>
      <c r="Q2765" s="14"/>
      <c r="R2765" s="14" t="s">
        <v>1867</v>
      </c>
      <c r="S2765" s="37" cm="1">
        <f t="array" aca="1" ref="S276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113309</v>
      </c>
      <c r="T2765" s="346" t="s">
        <v>227</v>
      </c>
      <c r="U2765" s="389">
        <f t="shared" ca="1" si="199"/>
        <v>113309</v>
      </c>
      <c r="V2765" s="389">
        <f>Fuel_Specs!$L$37</f>
        <v>113309</v>
      </c>
      <c r="W2765" s="389">
        <v>113309</v>
      </c>
      <c r="X2765" s="37"/>
      <c r="Y2765" s="346"/>
      <c r="Z2765" s="14" t="str">
        <f>IF(ISBLANK(LCI_Table[[#This Row],[Notes for user]])," ",LCI_Table[[#This Row],[Notes for user]])</f>
        <v xml:space="preserve"> </v>
      </c>
      <c r="AA2765" s="14"/>
      <c r="AB2765" s="14"/>
      <c r="AC2765" s="346">
        <f ca="1">LCI_Table[[#This Row],[Default Calculated Value]]-LCI_Table[[#This Row],[Calculated Value]]</f>
        <v>0</v>
      </c>
    </row>
    <row r="2766" spans="1:29" x14ac:dyDescent="0.3">
      <c r="A276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dash_UCOHEFAGREETGREET(blank)_Total fuel production _SAF Production</v>
      </c>
      <c r="B2766" s="381" t="s">
        <v>875</v>
      </c>
      <c r="C2766" s="381" t="s">
        <v>30</v>
      </c>
      <c r="D2766" s="383" t="s">
        <v>29</v>
      </c>
      <c r="E2766" s="384" t="s">
        <v>29</v>
      </c>
      <c r="F2766" s="181" t="s">
        <v>31</v>
      </c>
      <c r="G2766" s="14" t="b">
        <f>OR(LCI_Table[[#This Row],[Feedstock]]="All",LCI_Table[[#This Row],[Feedstock]]=SelectedFeedstock)</f>
        <v>0</v>
      </c>
      <c r="H2766" s="14" t="b">
        <f>OR(LCI_Table[[#This Row],[Conversion]]="All",LCI_Table[[#This Row],[Conversion]]=SelectedConversion)</f>
        <v>1</v>
      </c>
      <c r="I2766" s="14" t="b">
        <f>OR(LCI_Table[[#This Row],[Data Set]]="all",LCI_Table[[#This Row],[Data Set]]=SelectedDataSet)</f>
        <v>1</v>
      </c>
      <c r="J2766" s="14" t="b">
        <f>OR(LCI_Table[[#This Row],[Technology]]="All",LCI_Table[[#This Row],[Technology]]=SelectedTechnology)</f>
        <v>1</v>
      </c>
      <c r="K2766" s="14" t="b">
        <f>OR(LCI_Table[[#This Row],[Data Source]]="All",LCI_Table[[#This Row],[Data Source]]=SelectedDataSource)</f>
        <v>1</v>
      </c>
      <c r="L2766" s="14" t="b">
        <v>0</v>
      </c>
      <c r="M2766" s="14" t="b">
        <f>(LCI_Table[[#This Row],[Dev Notes]]="Do not display")</f>
        <v>0</v>
      </c>
      <c r="N2766" s="14" t="b">
        <f>AND(LCI_Table[[#This Row],[Show Feedstock]:[Conditional]],NOT(LCI_Table[[#This Row],[Hide Row]]))</f>
        <v>0</v>
      </c>
      <c r="O2766" s="14" t="b">
        <f>LCI_Table[[#This Row],[GREET1 Name Range]]=""</f>
        <v>1</v>
      </c>
      <c r="P2766" s="387" t="s">
        <v>1448</v>
      </c>
      <c r="Q2766" s="14"/>
      <c r="R2766" s="14" t="s">
        <v>1868</v>
      </c>
      <c r="S2766" s="37" cm="1">
        <f t="array" aca="1" ref="S276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7279908.6448262315</v>
      </c>
      <c r="T2766" s="346" t="s">
        <v>1860</v>
      </c>
      <c r="U2766" s="389">
        <f t="shared" ca="1" si="199"/>
        <v>7279908.6448262315</v>
      </c>
      <c r="V2766" s="389">
        <f ca="1">S2758*S2759+S2760*S2761+S2762*S2763+S2764*S2765</f>
        <v>7279908.6448262315</v>
      </c>
      <c r="W2766" s="389">
        <v>7279908.6448262315</v>
      </c>
      <c r="X2766" s="37"/>
      <c r="Y2766" s="346"/>
      <c r="Z2766" s="14" t="str">
        <f>IF(ISBLANK(LCI_Table[[#This Row],[Notes for user]])," ",LCI_Table[[#This Row],[Notes for user]])</f>
        <v xml:space="preserve"> </v>
      </c>
      <c r="AA2766" s="14"/>
      <c r="AB2766" s="14"/>
      <c r="AC2766" s="346">
        <f ca="1">LCI_Table[[#This Row],[Default Calculated Value]]-LCI_Table[[#This Row],[Calculated Value]]</f>
        <v>0</v>
      </c>
    </row>
    <row r="2767" spans="1:29" x14ac:dyDescent="0.3">
      <c r="A276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UCOHEFAGREETGREET(blank)_HEFA_feed_usageFeedstock: UCO consumption</v>
      </c>
      <c r="B2767" s="381" t="s">
        <v>875</v>
      </c>
      <c r="C2767" s="381" t="s">
        <v>30</v>
      </c>
      <c r="D2767" s="383" t="s">
        <v>29</v>
      </c>
      <c r="E2767" s="384" t="s">
        <v>29</v>
      </c>
      <c r="F2767" s="181" t="s">
        <v>31</v>
      </c>
      <c r="G2767" s="14" t="b">
        <f>OR(LCI_Table[[#This Row],[Feedstock]]="All",LCI_Table[[#This Row],[Feedstock]]=SelectedFeedstock)</f>
        <v>0</v>
      </c>
      <c r="H2767" s="14" t="b">
        <f>OR(LCI_Table[[#This Row],[Conversion]]="All",LCI_Table[[#This Row],[Conversion]]=SelectedConversion)</f>
        <v>1</v>
      </c>
      <c r="I2767" s="14" t="b">
        <f>OR(LCI_Table[[#This Row],[Data Set]]="all",LCI_Table[[#This Row],[Data Set]]=SelectedDataSet)</f>
        <v>1</v>
      </c>
      <c r="J2767" s="14" t="b">
        <f>OR(LCI_Table[[#This Row],[Technology]]="All",LCI_Table[[#This Row],[Technology]]=SelectedTechnology)</f>
        <v>1</v>
      </c>
      <c r="K2767" s="14" t="b">
        <f>OR(LCI_Table[[#This Row],[Data Source]]="All",LCI_Table[[#This Row],[Data Source]]=SelectedDataSource)</f>
        <v>1</v>
      </c>
      <c r="L2767" s="14" t="b">
        <f>TRUE</f>
        <v>1</v>
      </c>
      <c r="M2767" s="14" t="b">
        <f>(LCI_Table[[#This Row],[Dev Notes]]="Do not display")</f>
        <v>0</v>
      </c>
      <c r="N2767" s="14" t="b">
        <f>AND(LCI_Table[[#This Row],[Show Feedstock]:[Conditional]],NOT(LCI_Table[[#This Row],[Hide Row]]))</f>
        <v>0</v>
      </c>
      <c r="O2767" s="14" t="b">
        <f>LCI_Table[[#This Row],[GREET1 Name Range]]=""</f>
        <v>0</v>
      </c>
      <c r="P2767" s="14" t="s">
        <v>1448</v>
      </c>
      <c r="Q2767" s="14" t="s">
        <v>933</v>
      </c>
      <c r="R2767" s="14" t="s">
        <v>1872</v>
      </c>
      <c r="S2767" s="37" cm="1">
        <f t="array" aca="1" ref="S276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443.75048093802241</v>
      </c>
      <c r="T2767" s="346" t="s">
        <v>1878</v>
      </c>
      <c r="U2767" s="351">
        <f ca="1">S2767/($U$2766/10^6)*lb2g/Fuel_Specs!$E$48*Fuel_Specs!$B$48*BTU2mmBTU/0.911711975329766</f>
        <v>1.2676055388997574</v>
      </c>
      <c r="V2767" s="351">
        <v>443.75048093802241</v>
      </c>
      <c r="W2767" s="351">
        <v>1.2676055388997574</v>
      </c>
      <c r="X2767" s="37"/>
      <c r="Y2767" s="346"/>
      <c r="Z2767" s="14" t="str">
        <f>IF(ISBLANK(LCI_Table[[#This Row],[Notes for user]])," ",LCI_Table[[#This Row],[Notes for user]])</f>
        <v xml:space="preserve"> </v>
      </c>
      <c r="AA2767" s="14"/>
      <c r="AB2767" s="14"/>
      <c r="AC2767" s="346">
        <f ca="1">LCI_Table[[#This Row],[Default Calculated Value]]-LCI_Table[[#This Row],[Calculated Value]]</f>
        <v>0</v>
      </c>
    </row>
    <row r="2768" spans="1:29" x14ac:dyDescent="0.3">
      <c r="A276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UCOHEFAGREETGREET(blank)_UCO_HEFA_Natural_gasTotal NG/RNG consumption</v>
      </c>
      <c r="B2768" s="381" t="s">
        <v>875</v>
      </c>
      <c r="C2768" s="381" t="s">
        <v>30</v>
      </c>
      <c r="D2768" s="383" t="s">
        <v>29</v>
      </c>
      <c r="E2768" s="384" t="s">
        <v>29</v>
      </c>
      <c r="F2768" s="181" t="s">
        <v>31</v>
      </c>
      <c r="G2768" s="14" t="b">
        <f>OR(LCI_Table[[#This Row],[Feedstock]]="All",LCI_Table[[#This Row],[Feedstock]]=SelectedFeedstock)</f>
        <v>0</v>
      </c>
      <c r="H2768" s="14" t="b">
        <f>OR(LCI_Table[[#This Row],[Conversion]]="All",LCI_Table[[#This Row],[Conversion]]=SelectedConversion)</f>
        <v>1</v>
      </c>
      <c r="I2768" s="14" t="b">
        <f>OR(LCI_Table[[#This Row],[Data Set]]="all",LCI_Table[[#This Row],[Data Set]]=SelectedDataSet)</f>
        <v>1</v>
      </c>
      <c r="J2768" s="14" t="b">
        <f>OR(LCI_Table[[#This Row],[Technology]]="All",LCI_Table[[#This Row],[Technology]]=SelectedTechnology)</f>
        <v>1</v>
      </c>
      <c r="K2768" s="14" t="b">
        <f>OR(LCI_Table[[#This Row],[Data Source]]="All",LCI_Table[[#This Row],[Data Source]]=SelectedDataSource)</f>
        <v>1</v>
      </c>
      <c r="L2768" s="14" t="b">
        <v>0</v>
      </c>
      <c r="M2768" s="14" t="b">
        <f>(LCI_Table[[#This Row],[Dev Notes]]="Do not display")</f>
        <v>0</v>
      </c>
      <c r="N2768" s="14" t="b">
        <f>AND(LCI_Table[[#This Row],[Show Feedstock]:[Conditional]],NOT(LCI_Table[[#This Row],[Hide Row]]))</f>
        <v>0</v>
      </c>
      <c r="O2768" s="14" t="b">
        <f>LCI_Table[[#This Row],[GREET1 Name Range]]=""</f>
        <v>0</v>
      </c>
      <c r="P2768" s="14" t="s">
        <v>1448</v>
      </c>
      <c r="Q2768" s="14" t="s">
        <v>1090</v>
      </c>
      <c r="R2768" s="14" t="s">
        <v>1861</v>
      </c>
      <c r="S2768" s="37" cm="1">
        <f t="array" aca="1" ref="S276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123.58926254472973</v>
      </c>
      <c r="T2768" s="346" t="s">
        <v>2156</v>
      </c>
      <c r="U2768" s="390">
        <f ca="1">LCI_Table[[#This Row],[Dashboard Value]]/$U$2766/mmBTU2BTU*Fuel_Specs!$B$48/Fuel_Specs!$E$48/g2lb/0.911711975329766*10^6*1000</f>
        <v>353.04172159785469</v>
      </c>
      <c r="V2768" s="351">
        <v>123.58926254472973</v>
      </c>
      <c r="W2768" s="351">
        <v>353.04172159785469</v>
      </c>
      <c r="X2768" s="37"/>
      <c r="Y2768" s="346"/>
      <c r="Z2768" s="14" t="str">
        <f>IF(ISBLANK(LCI_Table[[#This Row],[Notes for user]])," ",LCI_Table[[#This Row],[Notes for user]])</f>
        <v xml:space="preserve"> </v>
      </c>
      <c r="AA2768" s="14"/>
      <c r="AB2768" s="14"/>
      <c r="AC2768" s="346">
        <f ca="1">LCI_Table[[#This Row],[Default Calculated Value]]-LCI_Table[[#This Row],[Calculated Value]]</f>
        <v>0</v>
      </c>
    </row>
    <row r="2769" spans="1:29" x14ac:dyDescent="0.3">
      <c r="A276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UCOHEFAGREETGREET(blank)_UCO_HEFA_ElectricityGrid electricity (selected eGRID region)</v>
      </c>
      <c r="B2769" s="381" t="s">
        <v>875</v>
      </c>
      <c r="C2769" s="381" t="s">
        <v>30</v>
      </c>
      <c r="D2769" s="383" t="s">
        <v>29</v>
      </c>
      <c r="E2769" s="384" t="s">
        <v>29</v>
      </c>
      <c r="F2769" s="181" t="s">
        <v>31</v>
      </c>
      <c r="G2769" s="14" t="b">
        <f>OR(LCI_Table[[#This Row],[Feedstock]]="All",LCI_Table[[#This Row],[Feedstock]]=SelectedFeedstock)</f>
        <v>0</v>
      </c>
      <c r="H2769" s="14" t="b">
        <f>OR(LCI_Table[[#This Row],[Conversion]]="All",LCI_Table[[#This Row],[Conversion]]=SelectedConversion)</f>
        <v>1</v>
      </c>
      <c r="I2769" s="14" t="b">
        <f>OR(LCI_Table[[#This Row],[Data Set]]="all",LCI_Table[[#This Row],[Data Set]]=SelectedDataSet)</f>
        <v>1</v>
      </c>
      <c r="J2769" s="14" t="b">
        <f>OR(LCI_Table[[#This Row],[Technology]]="All",LCI_Table[[#This Row],[Technology]]=SelectedTechnology)</f>
        <v>1</v>
      </c>
      <c r="K2769" s="14" t="b">
        <f>OR(LCI_Table[[#This Row],[Data Source]]="All",LCI_Table[[#This Row],[Data Source]]=SelectedDataSource)</f>
        <v>1</v>
      </c>
      <c r="L2769" s="14" t="b">
        <f>TRUE</f>
        <v>1</v>
      </c>
      <c r="M2769" s="14" t="b">
        <f>(LCI_Table[[#This Row],[Dev Notes]]="Do not display")</f>
        <v>0</v>
      </c>
      <c r="N2769" s="14" t="b">
        <f>AND(LCI_Table[[#This Row],[Show Feedstock]:[Conditional]],NOT(LCI_Table[[#This Row],[Hide Row]]))</f>
        <v>0</v>
      </c>
      <c r="O2769" s="14" t="b">
        <f>LCI_Table[[#This Row],[GREET1 Name Range]]=""</f>
        <v>0</v>
      </c>
      <c r="P2769" s="14" t="s">
        <v>1448</v>
      </c>
      <c r="Q2769" s="14" t="s">
        <v>1091</v>
      </c>
      <c r="R2769" s="14" t="s">
        <v>1708</v>
      </c>
      <c r="S2769" s="37" cm="1">
        <f t="array" aca="1" ref="S276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19.049267048549822</v>
      </c>
      <c r="T2769" s="346" t="s">
        <v>1959</v>
      </c>
      <c r="U2769" s="351">
        <f ca="1">LCI_Table[[#This Row],[Dashboard Value]]/$U$2766/mmBTU2BTU*Fuel_Specs!$B$48/Fuel_Specs!$E$48/g2lb/0.911711975329766*10^6*kWh2BTU</f>
        <v>185.67379432183469</v>
      </c>
      <c r="V2769" s="351">
        <v>19.049267048549822</v>
      </c>
      <c r="W2769" s="351">
        <v>185.67379432183469</v>
      </c>
      <c r="X2769" s="37"/>
      <c r="Y2769" s="346"/>
      <c r="Z2769" s="14" t="str">
        <f>IF(ISBLANK(LCI_Table[[#This Row],[Notes for user]])," ",LCI_Table[[#This Row],[Notes for user]])</f>
        <v xml:space="preserve"> </v>
      </c>
      <c r="AA2769" s="14"/>
      <c r="AB2769" s="14"/>
      <c r="AC2769" s="346">
        <f ca="1">LCI_Table[[#This Row],[Default Calculated Value]]-LCI_Table[[#This Row],[Calculated Value]]</f>
        <v>0</v>
      </c>
    </row>
    <row r="2770" spans="1:29" x14ac:dyDescent="0.3">
      <c r="A277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dash_UCOHEFAGREETGREET(blank)_Renewable Electricity Credit (REC)_SAF Production</v>
      </c>
      <c r="B2770" s="381" t="s">
        <v>875</v>
      </c>
      <c r="C2770" s="381" t="s">
        <v>30</v>
      </c>
      <c r="D2770" s="383" t="s">
        <v>29</v>
      </c>
      <c r="E2770" s="384" t="s">
        <v>29</v>
      </c>
      <c r="F2770" s="181" t="s">
        <v>31</v>
      </c>
      <c r="G2770" s="14" t="b">
        <f>OR(LCI_Table[[#This Row],[Feedstock]]="All",LCI_Table[[#This Row],[Feedstock]]=SelectedFeedstock)</f>
        <v>0</v>
      </c>
      <c r="H2770" s="14" t="b">
        <f>OR(LCI_Table[[#This Row],[Conversion]]="All",LCI_Table[[#This Row],[Conversion]]=SelectedConversion)</f>
        <v>1</v>
      </c>
      <c r="I2770" s="14" t="b">
        <f>OR(LCI_Table[[#This Row],[Data Set]]="all",LCI_Table[[#This Row],[Data Set]]=SelectedDataSet)</f>
        <v>1</v>
      </c>
      <c r="J2770" s="14" t="b">
        <f>OR(LCI_Table[[#This Row],[Technology]]="All",LCI_Table[[#This Row],[Technology]]=SelectedTechnology)</f>
        <v>1</v>
      </c>
      <c r="K2770" s="14" t="b">
        <f>OR(LCI_Table[[#This Row],[Data Source]]="All",LCI_Table[[#This Row],[Data Source]]=SelectedDataSource)</f>
        <v>1</v>
      </c>
      <c r="L2770" s="14" t="b">
        <f>TRUE</f>
        <v>1</v>
      </c>
      <c r="M2770" s="14" t="b">
        <f>(LCI_Table[[#This Row],[Dev Notes]]="Do not display")</f>
        <v>0</v>
      </c>
      <c r="N2770" s="14" t="b">
        <f>AND(LCI_Table[[#This Row],[Show Feedstock]:[Conditional]],NOT(LCI_Table[[#This Row],[Hide Row]]))</f>
        <v>0</v>
      </c>
      <c r="O2770" s="14" t="b">
        <f>LCI_Table[[#This Row],[GREET1 Name Range]]=""</f>
        <v>1</v>
      </c>
      <c r="P2770" s="14" t="s">
        <v>1448</v>
      </c>
      <c r="Q2770" s="14"/>
      <c r="R2770" s="14" t="s">
        <v>1709</v>
      </c>
      <c r="S2770" s="37" cm="1">
        <f t="array" aca="1" ref="S277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70" s="346" t="s">
        <v>1959</v>
      </c>
      <c r="U2770" s="351">
        <f ca="1">LCI_Table[[#This Row],[Dashboard Value]]</f>
        <v>0</v>
      </c>
      <c r="V2770" s="351">
        <v>0</v>
      </c>
      <c r="W2770" s="351">
        <v>0</v>
      </c>
      <c r="X2770" s="37"/>
      <c r="Y2770" s="346"/>
      <c r="Z2770" s="14" t="str">
        <f>IF(ISBLANK(LCI_Table[[#This Row],[Notes for user]])," ",LCI_Table[[#This Row],[Notes for user]])</f>
        <v xml:space="preserve"> </v>
      </c>
      <c r="AA2770" s="14"/>
      <c r="AB2770" s="14"/>
      <c r="AC2770" s="346">
        <f ca="1">LCI_Table[[#This Row],[Default Calculated Value]]-LCI_Table[[#This Row],[Calculated Value]]</f>
        <v>0</v>
      </c>
    </row>
    <row r="2771" spans="1:29" x14ac:dyDescent="0.3">
      <c r="A277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dash_UCOHEFAGREETGREET(blank)_Onsite behind-the-meter electricity_SAF Production</v>
      </c>
      <c r="B2771" s="381" t="s">
        <v>875</v>
      </c>
      <c r="C2771" s="381" t="s">
        <v>30</v>
      </c>
      <c r="D2771" s="383" t="s">
        <v>29</v>
      </c>
      <c r="E2771" s="384" t="s">
        <v>29</v>
      </c>
      <c r="F2771" s="181" t="s">
        <v>31</v>
      </c>
      <c r="G2771" s="14" t="b">
        <f>OR(LCI_Table[[#This Row],[Feedstock]]="All",LCI_Table[[#This Row],[Feedstock]]=SelectedFeedstock)</f>
        <v>0</v>
      </c>
      <c r="H2771" s="14" t="b">
        <f>OR(LCI_Table[[#This Row],[Conversion]]="All",LCI_Table[[#This Row],[Conversion]]=SelectedConversion)</f>
        <v>1</v>
      </c>
      <c r="I2771" s="14" t="b">
        <f>OR(LCI_Table[[#This Row],[Data Set]]="all",LCI_Table[[#This Row],[Data Set]]=SelectedDataSet)</f>
        <v>1</v>
      </c>
      <c r="J2771" s="14" t="b">
        <f>OR(LCI_Table[[#This Row],[Technology]]="All",LCI_Table[[#This Row],[Technology]]=SelectedTechnology)</f>
        <v>1</v>
      </c>
      <c r="K2771" s="14" t="b">
        <f>OR(LCI_Table[[#This Row],[Data Source]]="All",LCI_Table[[#This Row],[Data Source]]=SelectedDataSource)</f>
        <v>1</v>
      </c>
      <c r="L2771" s="14" t="b">
        <f>TRUE</f>
        <v>1</v>
      </c>
      <c r="M2771" s="14" t="b">
        <f>(LCI_Table[[#This Row],[Dev Notes]]="Do not display")</f>
        <v>0</v>
      </c>
      <c r="N2771" s="14" t="b">
        <f>AND(LCI_Table[[#This Row],[Show Feedstock]:[Conditional]],NOT(LCI_Table[[#This Row],[Hide Row]]))</f>
        <v>0</v>
      </c>
      <c r="O2771" s="14" t="b">
        <f>LCI_Table[[#This Row],[GREET1 Name Range]]=""</f>
        <v>1</v>
      </c>
      <c r="P2771" s="14" t="s">
        <v>1448</v>
      </c>
      <c r="Q2771" s="14"/>
      <c r="R2771" s="14" t="s">
        <v>1710</v>
      </c>
      <c r="S2771" s="37" cm="1">
        <f t="array" aca="1" ref="S277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71" s="346" t="s">
        <v>1959</v>
      </c>
      <c r="U2771" s="351">
        <f ca="1">LCI_Table[[#This Row],[Dashboard Value]]</f>
        <v>0</v>
      </c>
      <c r="V2771" s="351">
        <v>0</v>
      </c>
      <c r="W2771" s="351">
        <v>0</v>
      </c>
      <c r="X2771" s="37"/>
      <c r="Y2771" s="346"/>
      <c r="Z2771" s="14" t="str">
        <f>IF(ISBLANK(LCI_Table[[#This Row],[Notes for user]])," ",LCI_Table[[#This Row],[Notes for user]])</f>
        <v xml:space="preserve"> </v>
      </c>
      <c r="AA2771" s="14"/>
      <c r="AB2771" s="14"/>
      <c r="AC2771" s="346">
        <f ca="1">LCI_Table[[#This Row],[Default Calculated Value]]-LCI_Table[[#This Row],[Calculated Value]]</f>
        <v>0</v>
      </c>
    </row>
    <row r="2772" spans="1:29" x14ac:dyDescent="0.3">
      <c r="A277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UCOHEFAGREETGREET(blank)_UCO_HEFA_HydrogenTotal hydrogen consumption</v>
      </c>
      <c r="B2772" s="381" t="s">
        <v>875</v>
      </c>
      <c r="C2772" s="382" t="s">
        <v>30</v>
      </c>
      <c r="D2772" s="385" t="s">
        <v>29</v>
      </c>
      <c r="E2772" s="386" t="s">
        <v>29</v>
      </c>
      <c r="F2772" s="181" t="s">
        <v>31</v>
      </c>
      <c r="G2772" s="14" t="b">
        <f>OR(LCI_Table[[#This Row],[Feedstock]]="All",LCI_Table[[#This Row],[Feedstock]]=SelectedFeedstock)</f>
        <v>0</v>
      </c>
      <c r="H2772" s="14" t="b">
        <f>OR(LCI_Table[[#This Row],[Conversion]]="All",LCI_Table[[#This Row],[Conversion]]=SelectedConversion)</f>
        <v>1</v>
      </c>
      <c r="I2772" s="14" t="b">
        <f>OR(LCI_Table[[#This Row],[Data Set]]="all",LCI_Table[[#This Row],[Data Set]]=SelectedDataSet)</f>
        <v>1</v>
      </c>
      <c r="J2772" s="14" t="b">
        <f>OR(LCI_Table[[#This Row],[Technology]]="All",LCI_Table[[#This Row],[Technology]]=SelectedTechnology)</f>
        <v>1</v>
      </c>
      <c r="K2772" s="14" t="b">
        <f>OR(LCI_Table[[#This Row],[Data Source]]="All",LCI_Table[[#This Row],[Data Source]]=SelectedDataSource)</f>
        <v>1</v>
      </c>
      <c r="L2772" s="14" t="b">
        <v>0</v>
      </c>
      <c r="M2772" s="14" t="b">
        <f>(LCI_Table[[#This Row],[Dev Notes]]="Do not display")</f>
        <v>0</v>
      </c>
      <c r="N2772" s="14" t="b">
        <f>AND(LCI_Table[[#This Row],[Show Feedstock]:[Conditional]],NOT(LCI_Table[[#This Row],[Hide Row]]))</f>
        <v>0</v>
      </c>
      <c r="O2772" s="14" t="b">
        <f>LCI_Table[[#This Row],[GREET1 Name Range]]=""</f>
        <v>0</v>
      </c>
      <c r="P2772" s="14" t="s">
        <v>1448</v>
      </c>
      <c r="Q2772" s="14" t="s">
        <v>1092</v>
      </c>
      <c r="R2772" s="14" t="s">
        <v>1869</v>
      </c>
      <c r="S2772" s="37" cm="1">
        <f t="array" aca="1" ref="S277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6391.6010185010036</v>
      </c>
      <c r="T2772" s="346" t="s">
        <v>2157</v>
      </c>
      <c r="U2772" s="351">
        <f ca="1">LCI_Table[[#This Row],[Dashboard Value]]/$U$2766/mmBTU2BTU*Fuel_Specs!$B$48/Fuel_Specs!$E$48/g2lb/0.911711975329766*MT2g/Fuel_Specs!$E$81*Fuel_Specs!$B$81</f>
        <v>2076.4083477681229</v>
      </c>
      <c r="V2772" s="389">
        <v>6391.6010185010036</v>
      </c>
      <c r="W2772" s="389">
        <v>2076.4083477681229</v>
      </c>
      <c r="X2772" s="37"/>
      <c r="Y2772" s="346"/>
      <c r="Z2772" s="14" t="str">
        <f>IF(ISBLANK(LCI_Table[[#This Row],[Notes for user]])," ",LCI_Table[[#This Row],[Notes for user]])</f>
        <v xml:space="preserve"> </v>
      </c>
      <c r="AA2772" s="14"/>
      <c r="AB2772" s="14"/>
      <c r="AC2772" s="346">
        <f ca="1">LCI_Table[[#This Row],[Default Calculated Value]]-LCI_Table[[#This Row],[Calculated Value]]</f>
        <v>0</v>
      </c>
    </row>
    <row r="2773" spans="1:29" x14ac:dyDescent="0.3">
      <c r="A277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oilHEFAGREETGREET(blank)_SAF production_SAF Production</v>
      </c>
      <c r="B2773" s="381" t="s">
        <v>374</v>
      </c>
      <c r="C2773" s="381" t="s">
        <v>30</v>
      </c>
      <c r="D2773" s="383" t="s">
        <v>29</v>
      </c>
      <c r="E2773" s="384" t="s">
        <v>29</v>
      </c>
      <c r="F2773" s="181" t="s">
        <v>31</v>
      </c>
      <c r="G2773" s="14" t="b">
        <f>OR(LCI_Table[[#This Row],[Feedstock]]="All",LCI_Table[[#This Row],[Feedstock]]=SelectedFeedstock)</f>
        <v>0</v>
      </c>
      <c r="H2773" s="14" t="b">
        <f>OR(LCI_Table[[#This Row],[Conversion]]="All",LCI_Table[[#This Row],[Conversion]]=SelectedConversion)</f>
        <v>1</v>
      </c>
      <c r="I2773" s="14" t="b">
        <f>OR(LCI_Table[[#This Row],[Data Set]]="all",LCI_Table[[#This Row],[Data Set]]=SelectedDataSet)</f>
        <v>1</v>
      </c>
      <c r="J2773" s="14" t="b">
        <f>OR(LCI_Table[[#This Row],[Technology]]="All",LCI_Table[[#This Row],[Technology]]=SelectedTechnology)</f>
        <v>1</v>
      </c>
      <c r="K2773" s="14" t="b">
        <f>OR(LCI_Table[[#This Row],[Data Source]]="All",LCI_Table[[#This Row],[Data Source]]=SelectedDataSource)</f>
        <v>1</v>
      </c>
      <c r="L2773" s="14" t="b">
        <f>TRUE</f>
        <v>1</v>
      </c>
      <c r="M2773" s="14" t="b">
        <f>(LCI_Table[[#This Row],[Dev Notes]]="Do not display")</f>
        <v>0</v>
      </c>
      <c r="N2773" s="14" t="b">
        <f>AND(LCI_Table[[#This Row],[Show Feedstock]:[Conditional]],NOT(LCI_Table[[#This Row],[Hide Row]]))</f>
        <v>0</v>
      </c>
      <c r="O2773" s="14" t="b">
        <f>LCI_Table[[#This Row],[GREET1 Name Range]]=""</f>
        <v>1</v>
      </c>
      <c r="P2773" s="387" t="s">
        <v>1448</v>
      </c>
      <c r="Q2773" s="14"/>
      <c r="R2773" s="14" t="s">
        <v>1714</v>
      </c>
      <c r="S2773" s="37" cm="1">
        <f t="array" aca="1" ref="S277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30</v>
      </c>
      <c r="T2773" s="346" t="s">
        <v>1859</v>
      </c>
      <c r="U2773" s="389">
        <f t="shared" ref="U2773:U2781" ca="1" si="200">$S2773</f>
        <v>30</v>
      </c>
      <c r="V2773" s="389">
        <v>30</v>
      </c>
      <c r="W2773" s="389">
        <v>30</v>
      </c>
      <c r="X2773" s="37"/>
      <c r="Y2773" s="346"/>
      <c r="Z2773" s="14" t="str">
        <f>IF(ISBLANK(LCI_Table[[#This Row],[Notes for user]])," ",LCI_Table[[#This Row],[Notes for user]])</f>
        <v xml:space="preserve"> </v>
      </c>
      <c r="AA2773" s="14"/>
      <c r="AB2773" s="14"/>
      <c r="AC2773" s="346">
        <f ca="1">LCI_Table[[#This Row],[Default Calculated Value]]-LCI_Table[[#This Row],[Calculated Value]]</f>
        <v>0</v>
      </c>
    </row>
    <row r="2774" spans="1:29" x14ac:dyDescent="0.3">
      <c r="A277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oilHEFAGREETGREET(blank)_   Lower heating value of SAF_SAF Production</v>
      </c>
      <c r="B2774" s="381" t="s">
        <v>374</v>
      </c>
      <c r="C2774" s="381" t="s">
        <v>30</v>
      </c>
      <c r="D2774" s="383" t="s">
        <v>29</v>
      </c>
      <c r="E2774" s="384" t="s">
        <v>29</v>
      </c>
      <c r="F2774" s="181" t="s">
        <v>31</v>
      </c>
      <c r="G2774" s="14" t="b">
        <f>OR(LCI_Table[[#This Row],[Feedstock]]="All",LCI_Table[[#This Row],[Feedstock]]=SelectedFeedstock)</f>
        <v>0</v>
      </c>
      <c r="H2774" s="14" t="b">
        <f>OR(LCI_Table[[#This Row],[Conversion]]="All",LCI_Table[[#This Row],[Conversion]]=SelectedConversion)</f>
        <v>1</v>
      </c>
      <c r="I2774" s="14" t="b">
        <f>OR(LCI_Table[[#This Row],[Data Set]]="all",LCI_Table[[#This Row],[Data Set]]=SelectedDataSet)</f>
        <v>1</v>
      </c>
      <c r="J2774" s="14" t="b">
        <f>OR(LCI_Table[[#This Row],[Technology]]="All",LCI_Table[[#This Row],[Technology]]=SelectedTechnology)</f>
        <v>1</v>
      </c>
      <c r="K2774" s="14" t="b">
        <f>OR(LCI_Table[[#This Row],[Data Source]]="All",LCI_Table[[#This Row],[Data Source]]=SelectedDataSource)</f>
        <v>1</v>
      </c>
      <c r="L2774" s="14" t="b">
        <v>0</v>
      </c>
      <c r="M2774" s="14" t="b">
        <f>(LCI_Table[[#This Row],[Dev Notes]]="Do not display")</f>
        <v>0</v>
      </c>
      <c r="N2774" s="14" t="b">
        <f>AND(LCI_Table[[#This Row],[Show Feedstock]:[Conditional]],NOT(LCI_Table[[#This Row],[Hide Row]]))</f>
        <v>0</v>
      </c>
      <c r="O2774" s="14" t="b">
        <f>LCI_Table[[#This Row],[GREET1 Name Range]]=""</f>
        <v>1</v>
      </c>
      <c r="P2774" s="387" t="s">
        <v>1448</v>
      </c>
      <c r="Q2774" s="14"/>
      <c r="R2774" s="14" t="s">
        <v>1862</v>
      </c>
      <c r="S2774" s="37" cm="1">
        <f t="array" aca="1" ref="S277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119776.62149420771</v>
      </c>
      <c r="T2774" s="346" t="s">
        <v>227</v>
      </c>
      <c r="U2774" s="389">
        <f t="shared" ca="1" si="200"/>
        <v>119776.62149420771</v>
      </c>
      <c r="V2774" s="389">
        <f>Fuel_Specs!$L$34</f>
        <v>119776.62149420771</v>
      </c>
      <c r="W2774" s="389">
        <v>119776.62149420771</v>
      </c>
      <c r="X2774" s="37"/>
      <c r="Y2774" s="346"/>
      <c r="Z2774" s="14" t="str">
        <f>IF(ISBLANK(LCI_Table[[#This Row],[Notes for user]])," ",LCI_Table[[#This Row],[Notes for user]])</f>
        <v xml:space="preserve"> </v>
      </c>
      <c r="AA2774" s="14"/>
      <c r="AB2774" s="14"/>
      <c r="AC2774" s="346">
        <f ca="1">LCI_Table[[#This Row],[Default Calculated Value]]-LCI_Table[[#This Row],[Calculated Value]]</f>
        <v>0</v>
      </c>
    </row>
    <row r="2775" spans="1:29" x14ac:dyDescent="0.3">
      <c r="A277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oilHEFAGREETGREET(blank)_Renewable diesel production_SAF Production</v>
      </c>
      <c r="B2775" s="381" t="s">
        <v>374</v>
      </c>
      <c r="C2775" s="381" t="s">
        <v>30</v>
      </c>
      <c r="D2775" s="383" t="s">
        <v>29</v>
      </c>
      <c r="E2775" s="384" t="s">
        <v>29</v>
      </c>
      <c r="F2775" s="181" t="s">
        <v>31</v>
      </c>
      <c r="G2775" s="14" t="b">
        <f>OR(LCI_Table[[#This Row],[Feedstock]]="All",LCI_Table[[#This Row],[Feedstock]]=SelectedFeedstock)</f>
        <v>0</v>
      </c>
      <c r="H2775" s="14" t="b">
        <f>OR(LCI_Table[[#This Row],[Conversion]]="All",LCI_Table[[#This Row],[Conversion]]=SelectedConversion)</f>
        <v>1</v>
      </c>
      <c r="I2775" s="14" t="b">
        <f>OR(LCI_Table[[#This Row],[Data Set]]="all",LCI_Table[[#This Row],[Data Set]]=SelectedDataSet)</f>
        <v>1</v>
      </c>
      <c r="J2775" s="14" t="b">
        <f>OR(LCI_Table[[#This Row],[Technology]]="All",LCI_Table[[#This Row],[Technology]]=SelectedTechnology)</f>
        <v>1</v>
      </c>
      <c r="K2775" s="14" t="b">
        <f>OR(LCI_Table[[#This Row],[Data Source]]="All",LCI_Table[[#This Row],[Data Source]]=SelectedDataSource)</f>
        <v>1</v>
      </c>
      <c r="L2775" s="14" t="b">
        <f>TRUE</f>
        <v>1</v>
      </c>
      <c r="M2775" s="14" t="b">
        <f>(LCI_Table[[#This Row],[Dev Notes]]="Do not display")</f>
        <v>0</v>
      </c>
      <c r="N2775" s="14" t="b">
        <f>AND(LCI_Table[[#This Row],[Show Feedstock]:[Conditional]],NOT(LCI_Table[[#This Row],[Hide Row]]))</f>
        <v>0</v>
      </c>
      <c r="O2775" s="14" t="b">
        <f>LCI_Table[[#This Row],[GREET1 Name Range]]=""</f>
        <v>1</v>
      </c>
      <c r="P2775" s="387" t="s">
        <v>1448</v>
      </c>
      <c r="Q2775" s="14"/>
      <c r="R2775" s="14" t="s">
        <v>1716</v>
      </c>
      <c r="S2775" s="37" cm="1">
        <f t="array" aca="1" ref="S277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30</v>
      </c>
      <c r="T2775" s="346" t="s">
        <v>1859</v>
      </c>
      <c r="U2775" s="389">
        <f t="shared" ca="1" si="200"/>
        <v>30</v>
      </c>
      <c r="V2775" s="389">
        <v>30</v>
      </c>
      <c r="W2775" s="389">
        <v>30</v>
      </c>
      <c r="X2775" s="37"/>
      <c r="Y2775" s="346"/>
      <c r="Z2775" s="14" t="str">
        <f>IF(ISBLANK(LCI_Table[[#This Row],[Notes for user]])," ",LCI_Table[[#This Row],[Notes for user]])</f>
        <v xml:space="preserve"> </v>
      </c>
      <c r="AA2775" s="14"/>
      <c r="AB2775" s="14"/>
      <c r="AC2775" s="346">
        <f ca="1">LCI_Table[[#This Row],[Default Calculated Value]]-LCI_Table[[#This Row],[Calculated Value]]</f>
        <v>0</v>
      </c>
    </row>
    <row r="2776" spans="1:29" x14ac:dyDescent="0.3">
      <c r="A277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oilHEFAGREETGREET(blank)_   Lower heating value of renewable diesel_SAF Production</v>
      </c>
      <c r="B2776" s="381" t="s">
        <v>374</v>
      </c>
      <c r="C2776" s="381" t="s">
        <v>30</v>
      </c>
      <c r="D2776" s="383" t="s">
        <v>29</v>
      </c>
      <c r="E2776" s="384" t="s">
        <v>29</v>
      </c>
      <c r="F2776" s="181" t="s">
        <v>31</v>
      </c>
      <c r="G2776" s="14" t="b">
        <f>OR(LCI_Table[[#This Row],[Feedstock]]="All",LCI_Table[[#This Row],[Feedstock]]=SelectedFeedstock)</f>
        <v>0</v>
      </c>
      <c r="H2776" s="14" t="b">
        <f>OR(LCI_Table[[#This Row],[Conversion]]="All",LCI_Table[[#This Row],[Conversion]]=SelectedConversion)</f>
        <v>1</v>
      </c>
      <c r="I2776" s="14" t="b">
        <f>OR(LCI_Table[[#This Row],[Data Set]]="all",LCI_Table[[#This Row],[Data Set]]=SelectedDataSet)</f>
        <v>1</v>
      </c>
      <c r="J2776" s="14" t="b">
        <f>OR(LCI_Table[[#This Row],[Technology]]="All",LCI_Table[[#This Row],[Technology]]=SelectedTechnology)</f>
        <v>1</v>
      </c>
      <c r="K2776" s="14" t="b">
        <f>OR(LCI_Table[[#This Row],[Data Source]]="All",LCI_Table[[#This Row],[Data Source]]=SelectedDataSource)</f>
        <v>1</v>
      </c>
      <c r="L2776" s="14" t="b">
        <v>0</v>
      </c>
      <c r="M2776" s="14" t="b">
        <f>(LCI_Table[[#This Row],[Dev Notes]]="Do not display")</f>
        <v>0</v>
      </c>
      <c r="N2776" s="14" t="b">
        <f>AND(LCI_Table[[#This Row],[Show Feedstock]:[Conditional]],NOT(LCI_Table[[#This Row],[Hide Row]]))</f>
        <v>0</v>
      </c>
      <c r="O2776" s="14" t="b">
        <f>LCI_Table[[#This Row],[GREET1 Name Range]]=""</f>
        <v>1</v>
      </c>
      <c r="P2776" s="387" t="s">
        <v>1448</v>
      </c>
      <c r="Q2776" s="14"/>
      <c r="R2776" s="14" t="s">
        <v>1863</v>
      </c>
      <c r="S2776" s="37" cm="1">
        <f t="array" aca="1" ref="S277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122887</v>
      </c>
      <c r="T2776" s="346" t="s">
        <v>227</v>
      </c>
      <c r="U2776" s="389">
        <f t="shared" ca="1" si="200"/>
        <v>122887</v>
      </c>
      <c r="V2776" s="389">
        <f>Fuel_Specs!$L$35</f>
        <v>122887</v>
      </c>
      <c r="W2776" s="389">
        <v>122887</v>
      </c>
      <c r="X2776" s="37"/>
      <c r="Y2776" s="346"/>
      <c r="Z2776" s="14" t="str">
        <f>IF(ISBLANK(LCI_Table[[#This Row],[Notes for user]])," ",LCI_Table[[#This Row],[Notes for user]])</f>
        <v xml:space="preserve"> </v>
      </c>
      <c r="AA2776" s="14"/>
      <c r="AB2776" s="14"/>
      <c r="AC2776" s="346">
        <f ca="1">LCI_Table[[#This Row],[Default Calculated Value]]-LCI_Table[[#This Row],[Calculated Value]]</f>
        <v>0</v>
      </c>
    </row>
    <row r="2777" spans="1:29" x14ac:dyDescent="0.3">
      <c r="A277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oilHEFAGREETGREET(blank)_Renewable gasoline production_SAF Production</v>
      </c>
      <c r="B2777" s="381" t="s">
        <v>374</v>
      </c>
      <c r="C2777" s="381" t="s">
        <v>30</v>
      </c>
      <c r="D2777" s="383" t="s">
        <v>29</v>
      </c>
      <c r="E2777" s="384" t="s">
        <v>29</v>
      </c>
      <c r="F2777" s="181" t="s">
        <v>31</v>
      </c>
      <c r="G2777" s="14" t="b">
        <f>OR(LCI_Table[[#This Row],[Feedstock]]="All",LCI_Table[[#This Row],[Feedstock]]=SelectedFeedstock)</f>
        <v>0</v>
      </c>
      <c r="H2777" s="14" t="b">
        <f>OR(LCI_Table[[#This Row],[Conversion]]="All",LCI_Table[[#This Row],[Conversion]]=SelectedConversion)</f>
        <v>1</v>
      </c>
      <c r="I2777" s="14" t="b">
        <f>OR(LCI_Table[[#This Row],[Data Set]]="all",LCI_Table[[#This Row],[Data Set]]=SelectedDataSet)</f>
        <v>1</v>
      </c>
      <c r="J2777" s="14" t="b">
        <f>OR(LCI_Table[[#This Row],[Technology]]="All",LCI_Table[[#This Row],[Technology]]=SelectedTechnology)</f>
        <v>1</v>
      </c>
      <c r="K2777" s="14" t="b">
        <f>OR(LCI_Table[[#This Row],[Data Source]]="All",LCI_Table[[#This Row],[Data Source]]=SelectedDataSource)</f>
        <v>1</v>
      </c>
      <c r="L2777" s="14" t="b">
        <f>TRUE</f>
        <v>1</v>
      </c>
      <c r="M2777" s="14" t="b">
        <f>(LCI_Table[[#This Row],[Dev Notes]]="Do not display")</f>
        <v>0</v>
      </c>
      <c r="N2777" s="14" t="b">
        <f>AND(LCI_Table[[#This Row],[Show Feedstock]:[Conditional]],NOT(LCI_Table[[#This Row],[Hide Row]]))</f>
        <v>0</v>
      </c>
      <c r="O2777" s="14" t="b">
        <f>LCI_Table[[#This Row],[GREET1 Name Range]]=""</f>
        <v>1</v>
      </c>
      <c r="P2777" s="391" t="s">
        <v>1448</v>
      </c>
      <c r="Q2777" s="14"/>
      <c r="R2777" s="14" t="s">
        <v>1864</v>
      </c>
      <c r="S2777" s="37" cm="1">
        <f t="array" aca="1" ref="S277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77" s="346" t="s">
        <v>1859</v>
      </c>
      <c r="U2777" s="389">
        <f t="shared" ca="1" si="200"/>
        <v>0</v>
      </c>
      <c r="V2777" s="389">
        <v>0</v>
      </c>
      <c r="W2777" s="389">
        <v>0</v>
      </c>
      <c r="X2777" s="37"/>
      <c r="Y2777" s="346"/>
      <c r="Z2777" s="14" t="str">
        <f>IF(ISBLANK(LCI_Table[[#This Row],[Notes for user]])," ",LCI_Table[[#This Row],[Notes for user]])</f>
        <v xml:space="preserve"> </v>
      </c>
      <c r="AA2777" s="14"/>
      <c r="AB2777" s="14"/>
      <c r="AC2777" s="346">
        <f ca="1">LCI_Table[[#This Row],[Default Calculated Value]]-LCI_Table[[#This Row],[Calculated Value]]</f>
        <v>0</v>
      </c>
    </row>
    <row r="2778" spans="1:29" x14ac:dyDescent="0.3">
      <c r="A277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oilHEFAGREETGREET(blank)_   Lower heating value of renewable gasoline_SAF Production</v>
      </c>
      <c r="B2778" s="381" t="s">
        <v>374</v>
      </c>
      <c r="C2778" s="381" t="s">
        <v>30</v>
      </c>
      <c r="D2778" s="383" t="s">
        <v>29</v>
      </c>
      <c r="E2778" s="384" t="s">
        <v>29</v>
      </c>
      <c r="F2778" s="181" t="s">
        <v>31</v>
      </c>
      <c r="G2778" s="14" t="b">
        <f>OR(LCI_Table[[#This Row],[Feedstock]]="All",LCI_Table[[#This Row],[Feedstock]]=SelectedFeedstock)</f>
        <v>0</v>
      </c>
      <c r="H2778" s="14" t="b">
        <f>OR(LCI_Table[[#This Row],[Conversion]]="All",LCI_Table[[#This Row],[Conversion]]=SelectedConversion)</f>
        <v>1</v>
      </c>
      <c r="I2778" s="14" t="b">
        <f>OR(LCI_Table[[#This Row],[Data Set]]="all",LCI_Table[[#This Row],[Data Set]]=SelectedDataSet)</f>
        <v>1</v>
      </c>
      <c r="J2778" s="14" t="b">
        <f>OR(LCI_Table[[#This Row],[Technology]]="All",LCI_Table[[#This Row],[Technology]]=SelectedTechnology)</f>
        <v>1</v>
      </c>
      <c r="K2778" s="14" t="b">
        <f>OR(LCI_Table[[#This Row],[Data Source]]="All",LCI_Table[[#This Row],[Data Source]]=SelectedDataSource)</f>
        <v>1</v>
      </c>
      <c r="L2778" s="14" t="b">
        <v>0</v>
      </c>
      <c r="M2778" s="14" t="b">
        <f>(LCI_Table[[#This Row],[Dev Notes]]="Do not display")</f>
        <v>0</v>
      </c>
      <c r="N2778" s="14" t="b">
        <f>AND(LCI_Table[[#This Row],[Show Feedstock]:[Conditional]],NOT(LCI_Table[[#This Row],[Hide Row]]))</f>
        <v>0</v>
      </c>
      <c r="O2778" s="14" t="b">
        <f>LCI_Table[[#This Row],[GREET1 Name Range]]=""</f>
        <v>1</v>
      </c>
      <c r="P2778" s="387" t="s">
        <v>1448</v>
      </c>
      <c r="Q2778" s="14"/>
      <c r="R2778" s="14" t="s">
        <v>1865</v>
      </c>
      <c r="S2778" s="37" cm="1">
        <f t="array" aca="1" ref="S277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113309</v>
      </c>
      <c r="T2778" s="346" t="s">
        <v>227</v>
      </c>
      <c r="U2778" s="389">
        <f t="shared" ca="1" si="200"/>
        <v>113309</v>
      </c>
      <c r="V2778" s="389">
        <f>Fuel_Specs!$L$36</f>
        <v>113309</v>
      </c>
      <c r="W2778" s="389">
        <v>113309</v>
      </c>
      <c r="X2778" s="37"/>
      <c r="Y2778" s="346"/>
      <c r="Z2778" s="14" t="str">
        <f>IF(ISBLANK(LCI_Table[[#This Row],[Notes for user]])," ",LCI_Table[[#This Row],[Notes for user]])</f>
        <v xml:space="preserve"> </v>
      </c>
      <c r="AA2778" s="14"/>
      <c r="AB2778" s="14"/>
      <c r="AC2778" s="346">
        <f ca="1">LCI_Table[[#This Row],[Default Calculated Value]]-LCI_Table[[#This Row],[Calculated Value]]</f>
        <v>0</v>
      </c>
    </row>
    <row r="2779" spans="1:29" x14ac:dyDescent="0.3">
      <c r="A277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oilHEFAGREETGREET(blank)_Renewable naphtha production_SAF Production</v>
      </c>
      <c r="B2779" s="381" t="s">
        <v>374</v>
      </c>
      <c r="C2779" s="381" t="s">
        <v>30</v>
      </c>
      <c r="D2779" s="383" t="s">
        <v>29</v>
      </c>
      <c r="E2779" s="384" t="s">
        <v>29</v>
      </c>
      <c r="F2779" s="181" t="s">
        <v>31</v>
      </c>
      <c r="G2779" s="14" t="b">
        <f>OR(LCI_Table[[#This Row],[Feedstock]]="All",LCI_Table[[#This Row],[Feedstock]]=SelectedFeedstock)</f>
        <v>0</v>
      </c>
      <c r="H2779" s="14" t="b">
        <f>OR(LCI_Table[[#This Row],[Conversion]]="All",LCI_Table[[#This Row],[Conversion]]=SelectedConversion)</f>
        <v>1</v>
      </c>
      <c r="I2779" s="14" t="b">
        <f>OR(LCI_Table[[#This Row],[Data Set]]="all",LCI_Table[[#This Row],[Data Set]]=SelectedDataSet)</f>
        <v>1</v>
      </c>
      <c r="J2779" s="14" t="b">
        <f>OR(LCI_Table[[#This Row],[Technology]]="All",LCI_Table[[#This Row],[Technology]]=SelectedTechnology)</f>
        <v>1</v>
      </c>
      <c r="K2779" s="14" t="b">
        <f>OR(LCI_Table[[#This Row],[Data Source]]="All",LCI_Table[[#This Row],[Data Source]]=SelectedDataSource)</f>
        <v>1</v>
      </c>
      <c r="L2779" s="14" t="b">
        <f>TRUE</f>
        <v>1</v>
      </c>
      <c r="M2779" s="14" t="b">
        <f>(LCI_Table[[#This Row],[Dev Notes]]="Do not display")</f>
        <v>0</v>
      </c>
      <c r="N2779" s="14" t="b">
        <f>AND(LCI_Table[[#This Row],[Show Feedstock]:[Conditional]],NOT(LCI_Table[[#This Row],[Hide Row]]))</f>
        <v>0</v>
      </c>
      <c r="O2779" s="14" t="b">
        <f>LCI_Table[[#This Row],[GREET1 Name Range]]=""</f>
        <v>1</v>
      </c>
      <c r="P2779" s="387" t="s">
        <v>1448</v>
      </c>
      <c r="Q2779" s="14"/>
      <c r="R2779" s="14" t="s">
        <v>1866</v>
      </c>
      <c r="S2779" s="37" cm="1">
        <f t="array" aca="1" ref="S277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79" s="346" t="s">
        <v>1859</v>
      </c>
      <c r="U2779" s="389">
        <f t="shared" ca="1" si="200"/>
        <v>0</v>
      </c>
      <c r="V2779" s="389">
        <v>0</v>
      </c>
      <c r="W2779" s="389">
        <v>0</v>
      </c>
      <c r="X2779" s="37"/>
      <c r="Y2779" s="346"/>
      <c r="Z2779" s="14" t="str">
        <f>IF(ISBLANK(LCI_Table[[#This Row],[Notes for user]])," ",LCI_Table[[#This Row],[Notes for user]])</f>
        <v xml:space="preserve"> </v>
      </c>
      <c r="AA2779" s="14"/>
      <c r="AB2779" s="14"/>
      <c r="AC2779" s="346">
        <f ca="1">LCI_Table[[#This Row],[Default Calculated Value]]-LCI_Table[[#This Row],[Calculated Value]]</f>
        <v>0</v>
      </c>
    </row>
    <row r="2780" spans="1:29" x14ac:dyDescent="0.3">
      <c r="A278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oilHEFAGREETGREET(blank)_   Lower heating value of renewable naphtha_SAF Production</v>
      </c>
      <c r="B2780" s="381" t="s">
        <v>374</v>
      </c>
      <c r="C2780" s="381" t="s">
        <v>30</v>
      </c>
      <c r="D2780" s="383" t="s">
        <v>29</v>
      </c>
      <c r="E2780" s="384" t="s">
        <v>29</v>
      </c>
      <c r="F2780" s="181" t="s">
        <v>31</v>
      </c>
      <c r="G2780" s="14" t="b">
        <f>OR(LCI_Table[[#This Row],[Feedstock]]="All",LCI_Table[[#This Row],[Feedstock]]=SelectedFeedstock)</f>
        <v>0</v>
      </c>
      <c r="H2780" s="14" t="b">
        <f>OR(LCI_Table[[#This Row],[Conversion]]="All",LCI_Table[[#This Row],[Conversion]]=SelectedConversion)</f>
        <v>1</v>
      </c>
      <c r="I2780" s="14" t="b">
        <f>OR(LCI_Table[[#This Row],[Data Set]]="all",LCI_Table[[#This Row],[Data Set]]=SelectedDataSet)</f>
        <v>1</v>
      </c>
      <c r="J2780" s="14" t="b">
        <f>OR(LCI_Table[[#This Row],[Technology]]="All",LCI_Table[[#This Row],[Technology]]=SelectedTechnology)</f>
        <v>1</v>
      </c>
      <c r="K2780" s="14" t="b">
        <f>OR(LCI_Table[[#This Row],[Data Source]]="All",LCI_Table[[#This Row],[Data Source]]=SelectedDataSource)</f>
        <v>1</v>
      </c>
      <c r="L2780" s="14" t="b">
        <v>0</v>
      </c>
      <c r="M2780" s="14" t="b">
        <f>(LCI_Table[[#This Row],[Dev Notes]]="Do not display")</f>
        <v>0</v>
      </c>
      <c r="N2780" s="14" t="b">
        <f>AND(LCI_Table[[#This Row],[Show Feedstock]:[Conditional]],NOT(LCI_Table[[#This Row],[Hide Row]]))</f>
        <v>0</v>
      </c>
      <c r="O2780" s="14" t="b">
        <f>LCI_Table[[#This Row],[GREET1 Name Range]]=""</f>
        <v>1</v>
      </c>
      <c r="P2780" s="387" t="s">
        <v>1448</v>
      </c>
      <c r="Q2780" s="14"/>
      <c r="R2780" s="14" t="s">
        <v>1867</v>
      </c>
      <c r="S2780" s="37" cm="1">
        <f t="array" aca="1" ref="S278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113309</v>
      </c>
      <c r="T2780" s="346" t="s">
        <v>227</v>
      </c>
      <c r="U2780" s="389">
        <f t="shared" ca="1" si="200"/>
        <v>113309</v>
      </c>
      <c r="V2780" s="389">
        <f>Fuel_Specs!$L$37</f>
        <v>113309</v>
      </c>
      <c r="W2780" s="389">
        <v>113309</v>
      </c>
      <c r="X2780" s="37"/>
      <c r="Y2780" s="346"/>
      <c r="Z2780" s="14" t="str">
        <f>IF(ISBLANK(LCI_Table[[#This Row],[Notes for user]])," ",LCI_Table[[#This Row],[Notes for user]])</f>
        <v xml:space="preserve"> </v>
      </c>
      <c r="AA2780" s="14"/>
      <c r="AB2780" s="14"/>
      <c r="AC2780" s="346">
        <f ca="1">LCI_Table[[#This Row],[Default Calculated Value]]-LCI_Table[[#This Row],[Calculated Value]]</f>
        <v>0</v>
      </c>
    </row>
    <row r="2781" spans="1:29" x14ac:dyDescent="0.3">
      <c r="A278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oilHEFAGREETGREET(blank)_Total fuel production _SAF Production</v>
      </c>
      <c r="B2781" s="381" t="s">
        <v>374</v>
      </c>
      <c r="C2781" s="381" t="s">
        <v>30</v>
      </c>
      <c r="D2781" s="383" t="s">
        <v>29</v>
      </c>
      <c r="E2781" s="384" t="s">
        <v>29</v>
      </c>
      <c r="F2781" s="181" t="s">
        <v>31</v>
      </c>
      <c r="G2781" s="14" t="b">
        <f>OR(LCI_Table[[#This Row],[Feedstock]]="All",LCI_Table[[#This Row],[Feedstock]]=SelectedFeedstock)</f>
        <v>0</v>
      </c>
      <c r="H2781" s="14" t="b">
        <f>OR(LCI_Table[[#This Row],[Conversion]]="All",LCI_Table[[#This Row],[Conversion]]=SelectedConversion)</f>
        <v>1</v>
      </c>
      <c r="I2781" s="14" t="b">
        <f>OR(LCI_Table[[#This Row],[Data Set]]="all",LCI_Table[[#This Row],[Data Set]]=SelectedDataSet)</f>
        <v>1</v>
      </c>
      <c r="J2781" s="14" t="b">
        <f>OR(LCI_Table[[#This Row],[Technology]]="All",LCI_Table[[#This Row],[Technology]]=SelectedTechnology)</f>
        <v>1</v>
      </c>
      <c r="K2781" s="14" t="b">
        <f>OR(LCI_Table[[#This Row],[Data Source]]="All",LCI_Table[[#This Row],[Data Source]]=SelectedDataSource)</f>
        <v>1</v>
      </c>
      <c r="L2781" s="14" t="b">
        <v>0</v>
      </c>
      <c r="M2781" s="14" t="b">
        <f>(LCI_Table[[#This Row],[Dev Notes]]="Do not display")</f>
        <v>0</v>
      </c>
      <c r="N2781" s="14" t="b">
        <f>AND(LCI_Table[[#This Row],[Show Feedstock]:[Conditional]],NOT(LCI_Table[[#This Row],[Hide Row]]))</f>
        <v>0</v>
      </c>
      <c r="O2781" s="14" t="b">
        <f>LCI_Table[[#This Row],[GREET1 Name Range]]=""</f>
        <v>1</v>
      </c>
      <c r="P2781" s="387" t="s">
        <v>1448</v>
      </c>
      <c r="Q2781" s="14"/>
      <c r="R2781" s="14" t="s">
        <v>1868</v>
      </c>
      <c r="S2781" s="37" cm="1">
        <f t="array" aca="1" ref="S278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7279908.6448262315</v>
      </c>
      <c r="T2781" s="346" t="s">
        <v>1860</v>
      </c>
      <c r="U2781" s="389">
        <f t="shared" ca="1" si="200"/>
        <v>7279908.6448262315</v>
      </c>
      <c r="V2781" s="389">
        <f ca="1">S2773*S2774+S2775*S2776+S2777*S2778+S2779*S2780</f>
        <v>7279908.6448262315</v>
      </c>
      <c r="W2781" s="389">
        <v>7279908.6448262315</v>
      </c>
      <c r="X2781" s="37"/>
      <c r="Y2781" s="346"/>
      <c r="Z2781" s="14" t="str">
        <f>IF(ISBLANK(LCI_Table[[#This Row],[Notes for user]])," ",LCI_Table[[#This Row],[Notes for user]])</f>
        <v xml:space="preserve"> </v>
      </c>
      <c r="AA2781" s="14"/>
      <c r="AB2781" s="14"/>
      <c r="AC2781" s="346">
        <f ca="1">LCI_Table[[#This Row],[Default Calculated Value]]-LCI_Table[[#This Row],[Calculated Value]]</f>
        <v>0</v>
      </c>
    </row>
    <row r="2782" spans="1:29" x14ac:dyDescent="0.3">
      <c r="A278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oilHEFAGREETGREET(blank)_HEFA_feed_usageFeedstock: Distillers Corn Oil consumption</v>
      </c>
      <c r="B2782" s="381" t="s">
        <v>374</v>
      </c>
      <c r="C2782" s="381" t="s">
        <v>30</v>
      </c>
      <c r="D2782" s="383" t="s">
        <v>29</v>
      </c>
      <c r="E2782" s="384" t="s">
        <v>29</v>
      </c>
      <c r="F2782" s="181" t="s">
        <v>31</v>
      </c>
      <c r="G2782" s="14" t="b">
        <f>OR(LCI_Table[[#This Row],[Feedstock]]="All",LCI_Table[[#This Row],[Feedstock]]=SelectedFeedstock)</f>
        <v>0</v>
      </c>
      <c r="H2782" s="14" t="b">
        <f>OR(LCI_Table[[#This Row],[Conversion]]="All",LCI_Table[[#This Row],[Conversion]]=SelectedConversion)</f>
        <v>1</v>
      </c>
      <c r="I2782" s="14" t="b">
        <f>OR(LCI_Table[[#This Row],[Data Set]]="all",LCI_Table[[#This Row],[Data Set]]=SelectedDataSet)</f>
        <v>1</v>
      </c>
      <c r="J2782" s="14" t="b">
        <f>OR(LCI_Table[[#This Row],[Technology]]="All",LCI_Table[[#This Row],[Technology]]=SelectedTechnology)</f>
        <v>1</v>
      </c>
      <c r="K2782" s="14" t="b">
        <f>OR(LCI_Table[[#This Row],[Data Source]]="All",LCI_Table[[#This Row],[Data Source]]=SelectedDataSource)</f>
        <v>1</v>
      </c>
      <c r="L2782" s="14" t="b">
        <f>TRUE</f>
        <v>1</v>
      </c>
      <c r="M2782" s="14" t="b">
        <f>(LCI_Table[[#This Row],[Dev Notes]]="Do not display")</f>
        <v>0</v>
      </c>
      <c r="N2782" s="14" t="b">
        <f>AND(LCI_Table[[#This Row],[Show Feedstock]:[Conditional]],NOT(LCI_Table[[#This Row],[Hide Row]]))</f>
        <v>0</v>
      </c>
      <c r="O2782" s="14" t="b">
        <f>LCI_Table[[#This Row],[GREET1 Name Range]]=""</f>
        <v>0</v>
      </c>
      <c r="P2782" s="14" t="s">
        <v>1448</v>
      </c>
      <c r="Q2782" s="14" t="s">
        <v>933</v>
      </c>
      <c r="R2782" s="14" t="s">
        <v>1912</v>
      </c>
      <c r="S2782" s="37" cm="1">
        <f t="array" aca="1" ref="S278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443.75048093802241</v>
      </c>
      <c r="T2782" s="346" t="s">
        <v>1878</v>
      </c>
      <c r="U2782" s="351">
        <f ca="1">S2782/($U$2781/10^6)*lb2g/Fuel_Specs!$E$48*Fuel_Specs!$B$48*BTU2mmBTU/0.911711975329766</f>
        <v>1.2676055388997574</v>
      </c>
      <c r="V2782" s="351">
        <v>443.75048093802241</v>
      </c>
      <c r="W2782" s="351">
        <v>443.75048093802241</v>
      </c>
      <c r="X2782" s="37"/>
      <c r="Y2782" s="346"/>
      <c r="Z2782" s="14" t="str">
        <f>IF(ISBLANK(LCI_Table[[#This Row],[Notes for user]])," ",LCI_Table[[#This Row],[Notes for user]])</f>
        <v xml:space="preserve"> </v>
      </c>
      <c r="AA2782" s="14"/>
      <c r="AB2782" s="14"/>
      <c r="AC2782" s="346">
        <f ca="1">LCI_Table[[#This Row],[Default Calculated Value]]-LCI_Table[[#This Row],[Calculated Value]]</f>
        <v>442.48287539912263</v>
      </c>
    </row>
    <row r="2783" spans="1:29" x14ac:dyDescent="0.3">
      <c r="A278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oilHEFAGREETGREET(blank)_CornOil_HEFA_Natural_gasTotal NG/RNG consumption</v>
      </c>
      <c r="B2783" s="381" t="s">
        <v>374</v>
      </c>
      <c r="C2783" s="381" t="s">
        <v>30</v>
      </c>
      <c r="D2783" s="383" t="s">
        <v>29</v>
      </c>
      <c r="E2783" s="384" t="s">
        <v>29</v>
      </c>
      <c r="F2783" s="181" t="s">
        <v>31</v>
      </c>
      <c r="G2783" s="14" t="b">
        <f>OR(LCI_Table[[#This Row],[Feedstock]]="All",LCI_Table[[#This Row],[Feedstock]]=SelectedFeedstock)</f>
        <v>0</v>
      </c>
      <c r="H2783" s="14" t="b">
        <f>OR(LCI_Table[[#This Row],[Conversion]]="All",LCI_Table[[#This Row],[Conversion]]=SelectedConversion)</f>
        <v>1</v>
      </c>
      <c r="I2783" s="14" t="b">
        <f>OR(LCI_Table[[#This Row],[Data Set]]="all",LCI_Table[[#This Row],[Data Set]]=SelectedDataSet)</f>
        <v>1</v>
      </c>
      <c r="J2783" s="14" t="b">
        <f>OR(LCI_Table[[#This Row],[Technology]]="All",LCI_Table[[#This Row],[Technology]]=SelectedTechnology)</f>
        <v>1</v>
      </c>
      <c r="K2783" s="14" t="b">
        <f>OR(LCI_Table[[#This Row],[Data Source]]="All",LCI_Table[[#This Row],[Data Source]]=SelectedDataSource)</f>
        <v>1</v>
      </c>
      <c r="L2783" s="14" t="b">
        <v>0</v>
      </c>
      <c r="M2783" s="14" t="b">
        <f>(LCI_Table[[#This Row],[Dev Notes]]="Do not display")</f>
        <v>0</v>
      </c>
      <c r="N2783" s="14" t="b">
        <f>AND(LCI_Table[[#This Row],[Show Feedstock]:[Conditional]],NOT(LCI_Table[[#This Row],[Hide Row]]))</f>
        <v>0</v>
      </c>
      <c r="O2783" s="14" t="b">
        <f>LCI_Table[[#This Row],[GREET1 Name Range]]=""</f>
        <v>0</v>
      </c>
      <c r="P2783" s="14" t="s">
        <v>1448</v>
      </c>
      <c r="Q2783" s="14" t="s">
        <v>603</v>
      </c>
      <c r="R2783" s="14" t="s">
        <v>1861</v>
      </c>
      <c r="S2783" s="37" cm="1">
        <f t="array" aca="1" ref="S278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123.58926254472973</v>
      </c>
      <c r="T2783" s="346" t="s">
        <v>2156</v>
      </c>
      <c r="U2783" s="390">
        <f ca="1">LCI_Table[[#This Row],[Dashboard Value]]/$U$2781/mmBTU2BTU*Fuel_Specs!$B$48/Fuel_Specs!$E$48/g2lb/0.911711975329766*10^6*1000</f>
        <v>353.04172159785469</v>
      </c>
      <c r="V2783" s="351">
        <v>123.58926254472973</v>
      </c>
      <c r="W2783" s="351">
        <v>123.58926254472973</v>
      </c>
      <c r="X2783" s="37"/>
      <c r="Y2783" s="346"/>
      <c r="Z2783" s="14" t="str">
        <f>IF(ISBLANK(LCI_Table[[#This Row],[Notes for user]])," ",LCI_Table[[#This Row],[Notes for user]])</f>
        <v xml:space="preserve"> </v>
      </c>
      <c r="AA2783" s="14"/>
      <c r="AB2783" s="14"/>
      <c r="AC2783" s="346">
        <f ca="1">LCI_Table[[#This Row],[Default Calculated Value]]-LCI_Table[[#This Row],[Calculated Value]]</f>
        <v>-229.45245905312495</v>
      </c>
    </row>
    <row r="2784" spans="1:29" x14ac:dyDescent="0.3">
      <c r="A278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oilHEFAGREETGREET(blank)_CornOil_HEFA_ElectricityGrid electricity (selected eGRID region)</v>
      </c>
      <c r="B2784" s="381" t="s">
        <v>374</v>
      </c>
      <c r="C2784" s="381" t="s">
        <v>30</v>
      </c>
      <c r="D2784" s="383" t="s">
        <v>29</v>
      </c>
      <c r="E2784" s="384" t="s">
        <v>29</v>
      </c>
      <c r="F2784" s="181" t="s">
        <v>31</v>
      </c>
      <c r="G2784" s="14" t="b">
        <f>OR(LCI_Table[[#This Row],[Feedstock]]="All",LCI_Table[[#This Row],[Feedstock]]=SelectedFeedstock)</f>
        <v>0</v>
      </c>
      <c r="H2784" s="14" t="b">
        <f>OR(LCI_Table[[#This Row],[Conversion]]="All",LCI_Table[[#This Row],[Conversion]]=SelectedConversion)</f>
        <v>1</v>
      </c>
      <c r="I2784" s="14" t="b">
        <f>OR(LCI_Table[[#This Row],[Data Set]]="all",LCI_Table[[#This Row],[Data Set]]=SelectedDataSet)</f>
        <v>1</v>
      </c>
      <c r="J2784" s="14" t="b">
        <f>OR(LCI_Table[[#This Row],[Technology]]="All",LCI_Table[[#This Row],[Technology]]=SelectedTechnology)</f>
        <v>1</v>
      </c>
      <c r="K2784" s="14" t="b">
        <f>OR(LCI_Table[[#This Row],[Data Source]]="All",LCI_Table[[#This Row],[Data Source]]=SelectedDataSource)</f>
        <v>1</v>
      </c>
      <c r="L2784" s="14" t="b">
        <f>TRUE</f>
        <v>1</v>
      </c>
      <c r="M2784" s="14" t="b">
        <f>(LCI_Table[[#This Row],[Dev Notes]]="Do not display")</f>
        <v>0</v>
      </c>
      <c r="N2784" s="14" t="b">
        <f>AND(LCI_Table[[#This Row],[Show Feedstock]:[Conditional]],NOT(LCI_Table[[#This Row],[Hide Row]]))</f>
        <v>0</v>
      </c>
      <c r="O2784" s="14" t="b">
        <f>LCI_Table[[#This Row],[GREET1 Name Range]]=""</f>
        <v>0</v>
      </c>
      <c r="P2784" s="14" t="s">
        <v>1448</v>
      </c>
      <c r="Q2784" s="14" t="s">
        <v>601</v>
      </c>
      <c r="R2784" s="14" t="s">
        <v>1708</v>
      </c>
      <c r="S2784" s="37" cm="1">
        <f t="array" aca="1" ref="S278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19.049267048549822</v>
      </c>
      <c r="T2784" s="346" t="s">
        <v>1959</v>
      </c>
      <c r="U2784" s="189">
        <f ca="1">LCI_Table[[#This Row],[Dashboard Value]]/$U$2781/mmBTU2BTU*Fuel_Specs!$B$48/Fuel_Specs!$E$48/g2lb/0.911711975329766*10^6*kWh2BTU</f>
        <v>185.67379432183469</v>
      </c>
      <c r="V2784" s="351">
        <v>19.049267048549822</v>
      </c>
      <c r="W2784" s="351">
        <v>185.67379432183469</v>
      </c>
      <c r="X2784" s="37"/>
      <c r="Y2784" s="346"/>
      <c r="Z2784" s="14" t="str">
        <f>IF(ISBLANK(LCI_Table[[#This Row],[Notes for user]])," ",LCI_Table[[#This Row],[Notes for user]])</f>
        <v xml:space="preserve"> </v>
      </c>
      <c r="AA2784" s="14"/>
      <c r="AB2784" s="14"/>
      <c r="AC2784" s="346">
        <f ca="1">LCI_Table[[#This Row],[Default Calculated Value]]-LCI_Table[[#This Row],[Calculated Value]]</f>
        <v>0</v>
      </c>
    </row>
    <row r="2785" spans="1:29" x14ac:dyDescent="0.3">
      <c r="A278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oilHEFAGREETGREET(blank)_Renewable Electricity Credit (REC)_SAF Production</v>
      </c>
      <c r="B2785" s="381" t="s">
        <v>374</v>
      </c>
      <c r="C2785" s="381" t="s">
        <v>30</v>
      </c>
      <c r="D2785" s="383" t="s">
        <v>29</v>
      </c>
      <c r="E2785" s="384" t="s">
        <v>29</v>
      </c>
      <c r="F2785" s="181" t="s">
        <v>31</v>
      </c>
      <c r="G2785" s="14" t="b">
        <f>OR(LCI_Table[[#This Row],[Feedstock]]="All",LCI_Table[[#This Row],[Feedstock]]=SelectedFeedstock)</f>
        <v>0</v>
      </c>
      <c r="H2785" s="14" t="b">
        <f>OR(LCI_Table[[#This Row],[Conversion]]="All",LCI_Table[[#This Row],[Conversion]]=SelectedConversion)</f>
        <v>1</v>
      </c>
      <c r="I2785" s="14" t="b">
        <f>OR(LCI_Table[[#This Row],[Data Set]]="all",LCI_Table[[#This Row],[Data Set]]=SelectedDataSet)</f>
        <v>1</v>
      </c>
      <c r="J2785" s="14" t="b">
        <f>OR(LCI_Table[[#This Row],[Technology]]="All",LCI_Table[[#This Row],[Technology]]=SelectedTechnology)</f>
        <v>1</v>
      </c>
      <c r="K2785" s="14" t="b">
        <f>OR(LCI_Table[[#This Row],[Data Source]]="All",LCI_Table[[#This Row],[Data Source]]=SelectedDataSource)</f>
        <v>1</v>
      </c>
      <c r="L2785" s="14" t="b">
        <f>TRUE</f>
        <v>1</v>
      </c>
      <c r="M2785" s="14" t="b">
        <f>(LCI_Table[[#This Row],[Dev Notes]]="Do not display")</f>
        <v>0</v>
      </c>
      <c r="N2785" s="14" t="b">
        <f>AND(LCI_Table[[#This Row],[Show Feedstock]:[Conditional]],NOT(LCI_Table[[#This Row],[Hide Row]]))</f>
        <v>0</v>
      </c>
      <c r="O2785" s="14" t="b">
        <f>LCI_Table[[#This Row],[GREET1 Name Range]]=""</f>
        <v>1</v>
      </c>
      <c r="P2785" s="14" t="s">
        <v>1448</v>
      </c>
      <c r="Q2785" s="14"/>
      <c r="R2785" s="14" t="s">
        <v>1709</v>
      </c>
      <c r="S2785" s="37" cm="1">
        <f t="array" aca="1" ref="S278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85" s="346" t="s">
        <v>1959</v>
      </c>
      <c r="U2785" s="389">
        <f ca="1">LCI_Table[[#This Row],[Dashboard Value]]</f>
        <v>0</v>
      </c>
      <c r="V2785" s="351">
        <v>0</v>
      </c>
      <c r="W2785" s="351">
        <v>0</v>
      </c>
      <c r="X2785" s="37"/>
      <c r="Y2785" s="346"/>
      <c r="Z2785" s="14" t="str">
        <f>IF(ISBLANK(LCI_Table[[#This Row],[Notes for user]])," ",LCI_Table[[#This Row],[Notes for user]])</f>
        <v xml:space="preserve"> </v>
      </c>
      <c r="AA2785" s="14"/>
      <c r="AB2785" s="14"/>
      <c r="AC2785" s="346">
        <f ca="1">LCI_Table[[#This Row],[Default Calculated Value]]-LCI_Table[[#This Row],[Calculated Value]]</f>
        <v>0</v>
      </c>
    </row>
    <row r="2786" spans="1:29" x14ac:dyDescent="0.3">
      <c r="A278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oilHEFAGREETGREET(blank)_Onsite behind-the-meter electricity_SAF Production</v>
      </c>
      <c r="B2786" s="381" t="s">
        <v>374</v>
      </c>
      <c r="C2786" s="381" t="s">
        <v>30</v>
      </c>
      <c r="D2786" s="383" t="s">
        <v>29</v>
      </c>
      <c r="E2786" s="384" t="s">
        <v>29</v>
      </c>
      <c r="F2786" s="181" t="s">
        <v>31</v>
      </c>
      <c r="G2786" s="14" t="b">
        <f>OR(LCI_Table[[#This Row],[Feedstock]]="All",LCI_Table[[#This Row],[Feedstock]]=SelectedFeedstock)</f>
        <v>0</v>
      </c>
      <c r="H2786" s="14" t="b">
        <f>OR(LCI_Table[[#This Row],[Conversion]]="All",LCI_Table[[#This Row],[Conversion]]=SelectedConversion)</f>
        <v>1</v>
      </c>
      <c r="I2786" s="14" t="b">
        <f>OR(LCI_Table[[#This Row],[Data Set]]="all",LCI_Table[[#This Row],[Data Set]]=SelectedDataSet)</f>
        <v>1</v>
      </c>
      <c r="J2786" s="14" t="b">
        <f>OR(LCI_Table[[#This Row],[Technology]]="All",LCI_Table[[#This Row],[Technology]]=SelectedTechnology)</f>
        <v>1</v>
      </c>
      <c r="K2786" s="14" t="b">
        <f>OR(LCI_Table[[#This Row],[Data Source]]="All",LCI_Table[[#This Row],[Data Source]]=SelectedDataSource)</f>
        <v>1</v>
      </c>
      <c r="L2786" s="14" t="b">
        <f>TRUE</f>
        <v>1</v>
      </c>
      <c r="M2786" s="14" t="b">
        <f>(LCI_Table[[#This Row],[Dev Notes]]="Do not display")</f>
        <v>0</v>
      </c>
      <c r="N2786" s="14" t="b">
        <f>AND(LCI_Table[[#This Row],[Show Feedstock]:[Conditional]],NOT(LCI_Table[[#This Row],[Hide Row]]))</f>
        <v>0</v>
      </c>
      <c r="O2786" s="14" t="b">
        <f>LCI_Table[[#This Row],[GREET1 Name Range]]=""</f>
        <v>1</v>
      </c>
      <c r="P2786" s="14" t="s">
        <v>1448</v>
      </c>
      <c r="Q2786" s="14"/>
      <c r="R2786" s="14" t="s">
        <v>1710</v>
      </c>
      <c r="S2786" s="37" cm="1">
        <f t="array" aca="1" ref="S278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86" s="346" t="s">
        <v>1959</v>
      </c>
      <c r="U2786" s="389">
        <f ca="1">LCI_Table[[#This Row],[Dashboard Value]]</f>
        <v>0</v>
      </c>
      <c r="V2786" s="351">
        <v>0</v>
      </c>
      <c r="W2786" s="351">
        <v>0</v>
      </c>
      <c r="X2786" s="37"/>
      <c r="Y2786" s="346"/>
      <c r="Z2786" s="14" t="str">
        <f>IF(ISBLANK(LCI_Table[[#This Row],[Notes for user]])," ",LCI_Table[[#This Row],[Notes for user]])</f>
        <v xml:space="preserve"> </v>
      </c>
      <c r="AA2786" s="14"/>
      <c r="AB2786" s="14"/>
      <c r="AC2786" s="346">
        <f ca="1">LCI_Table[[#This Row],[Default Calculated Value]]-LCI_Table[[#This Row],[Calculated Value]]</f>
        <v>0</v>
      </c>
    </row>
    <row r="2787" spans="1:29" x14ac:dyDescent="0.3">
      <c r="A278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oilHEFAGREETGREET(blank)_CornOil_HEFA_HydrogenTotal hydrogen consumption</v>
      </c>
      <c r="B2787" s="382" t="s">
        <v>374</v>
      </c>
      <c r="C2787" s="382" t="s">
        <v>30</v>
      </c>
      <c r="D2787" s="385" t="s">
        <v>29</v>
      </c>
      <c r="E2787" s="386" t="s">
        <v>29</v>
      </c>
      <c r="F2787" s="181" t="s">
        <v>31</v>
      </c>
      <c r="G2787" s="14" t="b">
        <f>OR(LCI_Table[[#This Row],[Feedstock]]="All",LCI_Table[[#This Row],[Feedstock]]=SelectedFeedstock)</f>
        <v>0</v>
      </c>
      <c r="H2787" s="14" t="b">
        <f>OR(LCI_Table[[#This Row],[Conversion]]="All",LCI_Table[[#This Row],[Conversion]]=SelectedConversion)</f>
        <v>1</v>
      </c>
      <c r="I2787" s="14" t="b">
        <f>OR(LCI_Table[[#This Row],[Data Set]]="all",LCI_Table[[#This Row],[Data Set]]=SelectedDataSet)</f>
        <v>1</v>
      </c>
      <c r="J2787" s="14" t="b">
        <f>OR(LCI_Table[[#This Row],[Technology]]="All",LCI_Table[[#This Row],[Technology]]=SelectedTechnology)</f>
        <v>1</v>
      </c>
      <c r="K2787" s="14" t="b">
        <f>OR(LCI_Table[[#This Row],[Data Source]]="All",LCI_Table[[#This Row],[Data Source]]=SelectedDataSource)</f>
        <v>1</v>
      </c>
      <c r="L2787" s="14" t="b">
        <v>0</v>
      </c>
      <c r="M2787" s="14" t="b">
        <f>(LCI_Table[[#This Row],[Dev Notes]]="Do not display")</f>
        <v>0</v>
      </c>
      <c r="N2787" s="14" t="b">
        <f>AND(LCI_Table[[#This Row],[Show Feedstock]:[Conditional]],NOT(LCI_Table[[#This Row],[Hide Row]]))</f>
        <v>0</v>
      </c>
      <c r="O2787" s="14" t="b">
        <f>LCI_Table[[#This Row],[GREET1 Name Range]]=""</f>
        <v>0</v>
      </c>
      <c r="P2787" s="14" t="s">
        <v>1448</v>
      </c>
      <c r="Q2787" s="14" t="s">
        <v>602</v>
      </c>
      <c r="R2787" s="14" t="s">
        <v>1869</v>
      </c>
      <c r="S2787" s="37" cm="1">
        <f t="array" aca="1" ref="S278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6391.6010185010036</v>
      </c>
      <c r="T2787" s="346" t="s">
        <v>2157</v>
      </c>
      <c r="U2787" s="389">
        <f ca="1">LCI_Table[[#This Row],[Dashboard Value]]/$U$2781/mmBTU2BTU*Fuel_Specs!$B$48/Fuel_Specs!$E$48/g2lb/0.911711975329766*MT2g/Fuel_Specs!$E$81*Fuel_Specs!$B$81</f>
        <v>2076.4083477681229</v>
      </c>
      <c r="V2787" s="389">
        <v>6391.6010185010036</v>
      </c>
      <c r="W2787" s="389">
        <v>6391.6010185010036</v>
      </c>
      <c r="X2787" s="37"/>
      <c r="Y2787" s="346"/>
      <c r="Z2787" s="14" t="str">
        <f>IF(ISBLANK(LCI_Table[[#This Row],[Notes for user]])," ",LCI_Table[[#This Row],[Notes for user]])</f>
        <v xml:space="preserve"> </v>
      </c>
      <c r="AA2787" s="14"/>
      <c r="AB2787" s="14"/>
      <c r="AC2787" s="346">
        <f ca="1">LCI_Table[[#This Row],[Default Calculated Value]]-LCI_Table[[#This Row],[Calculated Value]]</f>
        <v>4315.1926707328803</v>
      </c>
    </row>
    <row r="2788" spans="1:29" x14ac:dyDescent="0.3">
      <c r="A278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oilHEFAGREETGREET(blank)_Total fossil NG consumption_SAF Production</v>
      </c>
      <c r="B2788" s="382" t="s">
        <v>374</v>
      </c>
      <c r="C2788" s="382" t="s">
        <v>30</v>
      </c>
      <c r="D2788" s="385" t="s">
        <v>29</v>
      </c>
      <c r="E2788" s="386" t="s">
        <v>29</v>
      </c>
      <c r="F2788" s="181" t="s">
        <v>31</v>
      </c>
      <c r="G2788" s="14" t="b">
        <f>OR(LCI_Table[[#This Row],[Feedstock]]="All",LCI_Table[[#This Row],[Feedstock]]=SelectedFeedstock)</f>
        <v>0</v>
      </c>
      <c r="H2788" s="14" t="b">
        <f>OR(LCI_Table[[#This Row],[Conversion]]="All",LCI_Table[[#This Row],[Conversion]]=SelectedConversion)</f>
        <v>1</v>
      </c>
      <c r="I2788" s="14" t="b">
        <f>OR(LCI_Table[[#This Row],[Data Set]]="all",LCI_Table[[#This Row],[Data Set]]=SelectedDataSet)</f>
        <v>1</v>
      </c>
      <c r="J2788" s="14" t="b">
        <f>OR(LCI_Table[[#This Row],[Technology]]="All",LCI_Table[[#This Row],[Technology]]=SelectedTechnology)</f>
        <v>1</v>
      </c>
      <c r="K2788" s="14" t="b">
        <f>OR(LCI_Table[[#This Row],[Data Source]]="All",LCI_Table[[#This Row],[Data Source]]=SelectedDataSource)</f>
        <v>1</v>
      </c>
      <c r="L2788" s="14" t="b">
        <f>TRUE</f>
        <v>1</v>
      </c>
      <c r="M2788" s="14" t="b">
        <f>(LCI_Table[[#This Row],[Dev Notes]]="Do not display")</f>
        <v>0</v>
      </c>
      <c r="N2788" s="14" t="b">
        <f>AND(LCI_Table[[#This Row],[Show Feedstock]:[Conditional]],NOT(LCI_Table[[#This Row],[Hide Row]]))</f>
        <v>0</v>
      </c>
      <c r="O2788" s="14" t="b">
        <f>LCI_Table[[#This Row],[GREET1 Name Range]]=""</f>
        <v>1</v>
      </c>
      <c r="P2788" s="14" t="s">
        <v>1448</v>
      </c>
      <c r="Q2788" s="14"/>
      <c r="R2788" s="165" t="s">
        <v>1965</v>
      </c>
      <c r="S2788" s="37" cm="1">
        <f t="array" aca="1" ref="S278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123.58926254472973</v>
      </c>
      <c r="T2788" s="165" t="s">
        <v>2156</v>
      </c>
      <c r="U2788" s="389">
        <f ca="1">LCI_Table[[#This Row],[Dashboard Value]]/$U$2781/mmBTU2BTU*Fuel_Specs!$B$48/Fuel_Specs!$E$48/g2lb/0.911711975329766*10^6*1000</f>
        <v>353.04172159785469</v>
      </c>
      <c r="V2788">
        <v>123.58926254472973</v>
      </c>
      <c r="W2788" s="14">
        <v>123.58926254472973</v>
      </c>
      <c r="X2788" s="37"/>
      <c r="Y2788" s="346"/>
      <c r="Z2788" s="14"/>
      <c r="AA2788" s="14"/>
      <c r="AB2788" s="14"/>
      <c r="AC2788" s="346"/>
    </row>
    <row r="2789" spans="1:29" x14ac:dyDescent="0.3">
      <c r="A278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oilHEFAGREETGREET(blank)_Total LFG-derived RNG consumption_SAF Production</v>
      </c>
      <c r="B2789" s="382" t="s">
        <v>374</v>
      </c>
      <c r="C2789" s="382" t="s">
        <v>30</v>
      </c>
      <c r="D2789" s="385" t="s">
        <v>29</v>
      </c>
      <c r="E2789" s="386" t="s">
        <v>29</v>
      </c>
      <c r="F2789" s="181" t="s">
        <v>31</v>
      </c>
      <c r="G2789" s="14" t="b">
        <f>OR(LCI_Table[[#This Row],[Feedstock]]="All",LCI_Table[[#This Row],[Feedstock]]=SelectedFeedstock)</f>
        <v>0</v>
      </c>
      <c r="H2789" s="14" t="b">
        <f>OR(LCI_Table[[#This Row],[Conversion]]="All",LCI_Table[[#This Row],[Conversion]]=SelectedConversion)</f>
        <v>1</v>
      </c>
      <c r="I2789" s="14" t="b">
        <f>OR(LCI_Table[[#This Row],[Data Set]]="all",LCI_Table[[#This Row],[Data Set]]=SelectedDataSet)</f>
        <v>1</v>
      </c>
      <c r="J2789" s="14" t="b">
        <f>OR(LCI_Table[[#This Row],[Technology]]="All",LCI_Table[[#This Row],[Technology]]=SelectedTechnology)</f>
        <v>1</v>
      </c>
      <c r="K2789" s="14" t="b">
        <f>OR(LCI_Table[[#This Row],[Data Source]]="All",LCI_Table[[#This Row],[Data Source]]=SelectedDataSource)</f>
        <v>1</v>
      </c>
      <c r="L2789" s="14" t="b">
        <f>TRUE</f>
        <v>1</v>
      </c>
      <c r="M2789" s="14" t="b">
        <f>(LCI_Table[[#This Row],[Dev Notes]]="Do not display")</f>
        <v>0</v>
      </c>
      <c r="N2789" s="14" t="b">
        <f>AND(LCI_Table[[#This Row],[Show Feedstock]:[Conditional]],NOT(LCI_Table[[#This Row],[Hide Row]]))</f>
        <v>0</v>
      </c>
      <c r="O2789" s="14" t="b">
        <f>LCI_Table[[#This Row],[GREET1 Name Range]]=""</f>
        <v>1</v>
      </c>
      <c r="P2789" s="14" t="s">
        <v>1448</v>
      </c>
      <c r="Q2789" s="14"/>
      <c r="R2789" s="165" t="s">
        <v>1936</v>
      </c>
      <c r="S2789" s="37" cm="1">
        <f t="array" aca="1" ref="S278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89" s="165" t="s">
        <v>2156</v>
      </c>
      <c r="U2789" s="389">
        <f ca="1">LCI_Table[[#This Row],[Dashboard Value]]/$U$2781/mmBTU2BTU*Fuel_Specs!$B$48/Fuel_Specs!$E$48/g2lb/0.911711975329766*10^6*1000</f>
        <v>0</v>
      </c>
      <c r="V2789" s="14">
        <v>0</v>
      </c>
      <c r="W2789" s="14">
        <v>0</v>
      </c>
      <c r="X2789" s="37"/>
      <c r="Y2789" s="346"/>
      <c r="Z2789" s="14"/>
      <c r="AA2789" s="14"/>
      <c r="AB2789" s="14"/>
      <c r="AC2789" s="346"/>
    </row>
    <row r="2790" spans="1:29" x14ac:dyDescent="0.3">
      <c r="A279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oilHEFAGREETGREET(blank)_Offsite, Fossil NG-derived H2 consumption_SAF Production</v>
      </c>
      <c r="B2790" s="382" t="s">
        <v>374</v>
      </c>
      <c r="C2790" s="382" t="s">
        <v>30</v>
      </c>
      <c r="D2790" s="385" t="s">
        <v>29</v>
      </c>
      <c r="E2790" s="386" t="s">
        <v>29</v>
      </c>
      <c r="F2790" s="181" t="s">
        <v>31</v>
      </c>
      <c r="G2790" s="14" t="b">
        <f>OR(LCI_Table[[#This Row],[Feedstock]]="All",LCI_Table[[#This Row],[Feedstock]]=SelectedFeedstock)</f>
        <v>0</v>
      </c>
      <c r="H2790" s="14" t="b">
        <f>OR(LCI_Table[[#This Row],[Conversion]]="All",LCI_Table[[#This Row],[Conversion]]=SelectedConversion)</f>
        <v>1</v>
      </c>
      <c r="I2790" s="14" t="b">
        <f>OR(LCI_Table[[#This Row],[Data Set]]="all",LCI_Table[[#This Row],[Data Set]]=SelectedDataSet)</f>
        <v>1</v>
      </c>
      <c r="J2790" s="14" t="b">
        <f>OR(LCI_Table[[#This Row],[Technology]]="All",LCI_Table[[#This Row],[Technology]]=SelectedTechnology)</f>
        <v>1</v>
      </c>
      <c r="K2790" s="14" t="b">
        <f>OR(LCI_Table[[#This Row],[Data Source]]="All",LCI_Table[[#This Row],[Data Source]]=SelectedDataSource)</f>
        <v>1</v>
      </c>
      <c r="L2790" s="14" t="b">
        <f>TRUE</f>
        <v>1</v>
      </c>
      <c r="M2790" s="14" t="b">
        <f>(LCI_Table[[#This Row],[Dev Notes]]="Do not display")</f>
        <v>0</v>
      </c>
      <c r="N2790" s="14" t="b">
        <f>AND(LCI_Table[[#This Row],[Show Feedstock]:[Conditional]],NOT(LCI_Table[[#This Row],[Hide Row]]))</f>
        <v>0</v>
      </c>
      <c r="O2790" s="14" t="b">
        <f>LCI_Table[[#This Row],[GREET1 Name Range]]=""</f>
        <v>1</v>
      </c>
      <c r="P2790" s="14" t="s">
        <v>1448</v>
      </c>
      <c r="Q2790" s="14"/>
      <c r="R2790" s="165" t="s">
        <v>1937</v>
      </c>
      <c r="S2790" s="37" cm="1">
        <f t="array" aca="1" ref="S279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6391.6010185010036</v>
      </c>
      <c r="T2790" s="165" t="s">
        <v>2157</v>
      </c>
      <c r="U2790" s="389">
        <f ca="1">LCI_Table[[#This Row],[Dashboard Value]]/$U$2781/mmBTU2BTU*Fuel_Specs!$B$48/Fuel_Specs!$E$48/g2lb/0.911711975329766*MT2g/Fuel_Specs!$E$81*Fuel_Specs!$B$81</f>
        <v>2076.4083477681229</v>
      </c>
      <c r="V2790" s="14">
        <v>6391.6010185010036</v>
      </c>
      <c r="W2790" s="14">
        <v>6391.6010185010036</v>
      </c>
      <c r="X2790" s="37"/>
      <c r="Y2790" s="346"/>
      <c r="Z2790" s="14"/>
      <c r="AA2790" s="14"/>
      <c r="AB2790" s="14"/>
      <c r="AC2790" s="346"/>
    </row>
    <row r="2791" spans="1:29" x14ac:dyDescent="0.3">
      <c r="A279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 oilHEFAGREETGREET(blank)_Offsite, 45V Modeled H2 consumption_SAF Production</v>
      </c>
      <c r="B2791" s="382" t="s">
        <v>374</v>
      </c>
      <c r="C2791" s="382" t="s">
        <v>30</v>
      </c>
      <c r="D2791" s="385" t="s">
        <v>29</v>
      </c>
      <c r="E2791" s="386" t="s">
        <v>29</v>
      </c>
      <c r="F2791" s="181" t="s">
        <v>31</v>
      </c>
      <c r="G2791" s="14" t="b">
        <f>OR(LCI_Table[[#This Row],[Feedstock]]="All",LCI_Table[[#This Row],[Feedstock]]=SelectedFeedstock)</f>
        <v>0</v>
      </c>
      <c r="H2791" s="14" t="b">
        <f>OR(LCI_Table[[#This Row],[Conversion]]="All",LCI_Table[[#This Row],[Conversion]]=SelectedConversion)</f>
        <v>1</v>
      </c>
      <c r="I2791" s="14" t="b">
        <f>OR(LCI_Table[[#This Row],[Data Set]]="all",LCI_Table[[#This Row],[Data Set]]=SelectedDataSet)</f>
        <v>1</v>
      </c>
      <c r="J2791" s="14" t="b">
        <f>OR(LCI_Table[[#This Row],[Technology]]="All",LCI_Table[[#This Row],[Technology]]=SelectedTechnology)</f>
        <v>1</v>
      </c>
      <c r="K2791" s="14" t="b">
        <f>OR(LCI_Table[[#This Row],[Data Source]]="All",LCI_Table[[#This Row],[Data Source]]=SelectedDataSource)</f>
        <v>1</v>
      </c>
      <c r="L2791" s="14" t="b">
        <f>TRUE</f>
        <v>1</v>
      </c>
      <c r="M2791" s="14" t="b">
        <f>(LCI_Table[[#This Row],[Dev Notes]]="Do not display")</f>
        <v>0</v>
      </c>
      <c r="N2791" s="14" t="b">
        <f>AND(LCI_Table[[#This Row],[Show Feedstock]:[Conditional]],NOT(LCI_Table[[#This Row],[Hide Row]]))</f>
        <v>0</v>
      </c>
      <c r="O2791" s="14" t="b">
        <f>LCI_Table[[#This Row],[GREET1 Name Range]]=""</f>
        <v>1</v>
      </c>
      <c r="P2791" s="14" t="s">
        <v>1448</v>
      </c>
      <c r="Q2791" s="14"/>
      <c r="R2791" s="165" t="s">
        <v>2282</v>
      </c>
      <c r="S2791" s="37" cm="1">
        <f t="array" aca="1" ref="S279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91" s="165" t="s">
        <v>2157</v>
      </c>
      <c r="U2791" s="389">
        <f ca="1">LCI_Table[[#This Row],[Dashboard Value]]/$U$2781/mmBTU2BTU*Fuel_Specs!$B$48/Fuel_Specs!$E$48/g2lb/0.911711975329766*MT2g/Fuel_Specs!$E$81*Fuel_Specs!$B$81</f>
        <v>0</v>
      </c>
      <c r="V2791" s="14">
        <v>0</v>
      </c>
      <c r="W2791" s="14">
        <v>0</v>
      </c>
      <c r="X2791" s="37"/>
      <c r="Y2791" s="346"/>
      <c r="Z2791" s="14"/>
      <c r="AA2791" s="14"/>
      <c r="AB2791" s="14"/>
      <c r="AC2791" s="346"/>
    </row>
    <row r="2792" spans="1:29" x14ac:dyDescent="0.3">
      <c r="A279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 oilHEFAGREETGREET(blank)_SAF_45VModeled_H2_CIOffsite, 45V Modeled H2 CI</v>
      </c>
      <c r="B2792" s="382" t="s">
        <v>374</v>
      </c>
      <c r="C2792" s="382" t="s">
        <v>30</v>
      </c>
      <c r="D2792" s="385" t="s">
        <v>29</v>
      </c>
      <c r="E2792" s="386" t="s">
        <v>29</v>
      </c>
      <c r="F2792" s="181" t="s">
        <v>31</v>
      </c>
      <c r="G2792" s="14" t="b">
        <f>OR(LCI_Table[[#This Row],[Feedstock]]="All",LCI_Table[[#This Row],[Feedstock]]=SelectedFeedstock)</f>
        <v>0</v>
      </c>
      <c r="H2792" s="14" t="b">
        <f>OR(LCI_Table[[#This Row],[Conversion]]="All",LCI_Table[[#This Row],[Conversion]]=SelectedConversion)</f>
        <v>1</v>
      </c>
      <c r="I2792" s="14" t="b">
        <f>OR(LCI_Table[[#This Row],[Data Set]]="all",LCI_Table[[#This Row],[Data Set]]=SelectedDataSet)</f>
        <v>1</v>
      </c>
      <c r="J2792" s="14" t="b">
        <f>OR(LCI_Table[[#This Row],[Technology]]="All",LCI_Table[[#This Row],[Technology]]=SelectedTechnology)</f>
        <v>1</v>
      </c>
      <c r="K2792" s="14" t="b">
        <f>OR(LCI_Table[[#This Row],[Data Source]]="All",LCI_Table[[#This Row],[Data Source]]=SelectedDataSource)</f>
        <v>1</v>
      </c>
      <c r="L2792" s="14" t="b">
        <f>TRUE</f>
        <v>1</v>
      </c>
      <c r="M2792" s="14" t="b">
        <f>(LCI_Table[[#This Row],[Dev Notes]]="Do not display")</f>
        <v>0</v>
      </c>
      <c r="N2792" s="14" t="b">
        <f>AND(LCI_Table[[#This Row],[Show Feedstock]:[Conditional]],NOT(LCI_Table[[#This Row],[Hide Row]]))</f>
        <v>0</v>
      </c>
      <c r="O2792" s="14" t="b">
        <f>LCI_Table[[#This Row],[GREET1 Name Range]]=""</f>
        <v>0</v>
      </c>
      <c r="P2792" s="14" t="s">
        <v>1448</v>
      </c>
      <c r="Q2792" t="s">
        <v>2291</v>
      </c>
      <c r="R2792" s="165" t="s">
        <v>2283</v>
      </c>
      <c r="S2792" s="37" cm="1">
        <f t="array" aca="1" ref="S279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v>
      </c>
      <c r="T2792" s="165" t="s">
        <v>1967</v>
      </c>
      <c r="U2792" s="420">
        <f ca="1">LCI_Table[[#This Row],[Dashboard Value]]/g2kg*mmBTU2BTU/Fuel_Specs!$B$81*Fuel_Specs!$E$81/1000</f>
        <v>26379.310344827583</v>
      </c>
      <c r="V2792" s="14">
        <v>3</v>
      </c>
      <c r="W2792" s="14">
        <v>26379.310344827583</v>
      </c>
      <c r="X2792" s="37"/>
      <c r="Y2792" s="346"/>
      <c r="Z2792" s="14"/>
      <c r="AA2792" s="14"/>
      <c r="AB2792" s="14"/>
      <c r="AC2792" s="346"/>
    </row>
    <row r="2793" spans="1:29" x14ac:dyDescent="0.3">
      <c r="A279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dash_UCOHEFAGREETGREET(blank)_Total fossil NG consumption_SAF Production</v>
      </c>
      <c r="B2793" s="381" t="s">
        <v>875</v>
      </c>
      <c r="C2793" s="381" t="s">
        <v>30</v>
      </c>
      <c r="D2793" s="383" t="s">
        <v>29</v>
      </c>
      <c r="E2793" s="384" t="s">
        <v>29</v>
      </c>
      <c r="F2793" s="181" t="s">
        <v>31</v>
      </c>
      <c r="G2793" s="14" t="b">
        <f>OR(LCI_Table[[#This Row],[Feedstock]]="All",LCI_Table[[#This Row],[Feedstock]]=SelectedFeedstock)</f>
        <v>0</v>
      </c>
      <c r="H2793" s="14" t="b">
        <f>OR(LCI_Table[[#This Row],[Conversion]]="All",LCI_Table[[#This Row],[Conversion]]=SelectedConversion)</f>
        <v>1</v>
      </c>
      <c r="I2793" s="14" t="b">
        <f>OR(LCI_Table[[#This Row],[Data Set]]="all",LCI_Table[[#This Row],[Data Set]]=SelectedDataSet)</f>
        <v>1</v>
      </c>
      <c r="J2793" s="14" t="b">
        <f>OR(LCI_Table[[#This Row],[Technology]]="All",LCI_Table[[#This Row],[Technology]]=SelectedTechnology)</f>
        <v>1</v>
      </c>
      <c r="K2793" s="14" t="b">
        <f>OR(LCI_Table[[#This Row],[Data Source]]="All",LCI_Table[[#This Row],[Data Source]]=SelectedDataSource)</f>
        <v>1</v>
      </c>
      <c r="L2793" s="14" t="b">
        <f>TRUE</f>
        <v>1</v>
      </c>
      <c r="M2793" s="14" t="b">
        <f>(LCI_Table[[#This Row],[Dev Notes]]="Do not display")</f>
        <v>0</v>
      </c>
      <c r="N2793" s="14" t="b">
        <f>AND(LCI_Table[[#This Row],[Show Feedstock]:[Conditional]],NOT(LCI_Table[[#This Row],[Hide Row]]))</f>
        <v>0</v>
      </c>
      <c r="O2793" s="14" t="b">
        <f>LCI_Table[[#This Row],[GREET1 Name Range]]=""</f>
        <v>1</v>
      </c>
      <c r="P2793" s="387" t="s">
        <v>1448</v>
      </c>
      <c r="Q2793" s="14"/>
      <c r="R2793" s="165" t="s">
        <v>1965</v>
      </c>
      <c r="S2793" s="37" cm="1">
        <f t="array" aca="1" ref="S279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123.58926254472973</v>
      </c>
      <c r="T2793" s="165" t="s">
        <v>2156</v>
      </c>
      <c r="U2793" s="389">
        <f ca="1">LCI_Table[[#This Row],[Dashboard Value]]/$U$2766/mmBTU2BTU*Fuel_Specs!$B$48/Fuel_Specs!$E$48/g2lb/0.911711975329766*10^6*1000</f>
        <v>353.04172159785469</v>
      </c>
      <c r="V2793">
        <v>123.58926254472973</v>
      </c>
      <c r="W2793" s="389">
        <v>353.04172159785469</v>
      </c>
      <c r="X2793" s="37"/>
      <c r="Y2793" s="346"/>
      <c r="Z2793" s="14"/>
      <c r="AA2793" s="14"/>
      <c r="AB2793" s="14"/>
      <c r="AC2793" s="346"/>
    </row>
    <row r="2794" spans="1:29" x14ac:dyDescent="0.3">
      <c r="A279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dash_UCOHEFAGREETGREET(blank)_Total LFG-derived RNG consumption_SAF Production</v>
      </c>
      <c r="B2794" s="381" t="s">
        <v>875</v>
      </c>
      <c r="C2794" s="381" t="s">
        <v>30</v>
      </c>
      <c r="D2794" s="383" t="s">
        <v>29</v>
      </c>
      <c r="E2794" s="384" t="s">
        <v>29</v>
      </c>
      <c r="F2794" s="181" t="s">
        <v>31</v>
      </c>
      <c r="G2794" s="14" t="b">
        <f>OR(LCI_Table[[#This Row],[Feedstock]]="All",LCI_Table[[#This Row],[Feedstock]]=SelectedFeedstock)</f>
        <v>0</v>
      </c>
      <c r="H2794" s="14" t="b">
        <f>OR(LCI_Table[[#This Row],[Conversion]]="All",LCI_Table[[#This Row],[Conversion]]=SelectedConversion)</f>
        <v>1</v>
      </c>
      <c r="I2794" s="14" t="b">
        <f>OR(LCI_Table[[#This Row],[Data Set]]="all",LCI_Table[[#This Row],[Data Set]]=SelectedDataSet)</f>
        <v>1</v>
      </c>
      <c r="J2794" s="14" t="b">
        <f>OR(LCI_Table[[#This Row],[Technology]]="All",LCI_Table[[#This Row],[Technology]]=SelectedTechnology)</f>
        <v>1</v>
      </c>
      <c r="K2794" s="14" t="b">
        <f>OR(LCI_Table[[#This Row],[Data Source]]="All",LCI_Table[[#This Row],[Data Source]]=SelectedDataSource)</f>
        <v>1</v>
      </c>
      <c r="L2794" s="14" t="b">
        <f>TRUE</f>
        <v>1</v>
      </c>
      <c r="M2794" s="14" t="b">
        <f>(LCI_Table[[#This Row],[Dev Notes]]="Do not display")</f>
        <v>0</v>
      </c>
      <c r="N2794" s="14" t="b">
        <f>AND(LCI_Table[[#This Row],[Show Feedstock]:[Conditional]],NOT(LCI_Table[[#This Row],[Hide Row]]))</f>
        <v>0</v>
      </c>
      <c r="O2794" s="14" t="b">
        <f>LCI_Table[[#This Row],[GREET1 Name Range]]=""</f>
        <v>1</v>
      </c>
      <c r="P2794" s="387" t="s">
        <v>1448</v>
      </c>
      <c r="Q2794" s="14"/>
      <c r="R2794" s="165" t="s">
        <v>1936</v>
      </c>
      <c r="S2794" s="37" cm="1">
        <f t="array" aca="1" ref="S279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94" s="165" t="s">
        <v>2156</v>
      </c>
      <c r="U2794" s="389">
        <f ca="1">LCI_Table[[#This Row],[Dashboard Value]]/$U$2766/mmBTU2BTU*Fuel_Specs!$B$48/Fuel_Specs!$E$48/g2lb/0.911711975329766*10^6*1000</f>
        <v>0</v>
      </c>
      <c r="V2794" s="351">
        <v>0</v>
      </c>
      <c r="W2794" s="351">
        <v>0</v>
      </c>
      <c r="X2794" s="37"/>
      <c r="Y2794" s="346"/>
      <c r="Z2794" s="14"/>
      <c r="AA2794" s="14"/>
      <c r="AB2794" s="14"/>
      <c r="AC2794" s="346"/>
    </row>
    <row r="2795" spans="1:29" x14ac:dyDescent="0.3">
      <c r="A279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dash_UCOHEFAGREETGREET(blank)_Offsite, Fossil NG-derived H2 consumption_SAF Production</v>
      </c>
      <c r="B2795" s="381" t="s">
        <v>875</v>
      </c>
      <c r="C2795" s="381" t="s">
        <v>30</v>
      </c>
      <c r="D2795" s="383" t="s">
        <v>29</v>
      </c>
      <c r="E2795" s="384" t="s">
        <v>29</v>
      </c>
      <c r="F2795" s="181" t="s">
        <v>31</v>
      </c>
      <c r="G2795" s="14" t="b">
        <f>OR(LCI_Table[[#This Row],[Feedstock]]="All",LCI_Table[[#This Row],[Feedstock]]=SelectedFeedstock)</f>
        <v>0</v>
      </c>
      <c r="H2795" s="14" t="b">
        <f>OR(LCI_Table[[#This Row],[Conversion]]="All",LCI_Table[[#This Row],[Conversion]]=SelectedConversion)</f>
        <v>1</v>
      </c>
      <c r="I2795" s="14" t="b">
        <f>OR(LCI_Table[[#This Row],[Data Set]]="all",LCI_Table[[#This Row],[Data Set]]=SelectedDataSet)</f>
        <v>1</v>
      </c>
      <c r="J2795" s="14" t="b">
        <f>OR(LCI_Table[[#This Row],[Technology]]="All",LCI_Table[[#This Row],[Technology]]=SelectedTechnology)</f>
        <v>1</v>
      </c>
      <c r="K2795" s="14" t="b">
        <f>OR(LCI_Table[[#This Row],[Data Source]]="All",LCI_Table[[#This Row],[Data Source]]=SelectedDataSource)</f>
        <v>1</v>
      </c>
      <c r="L2795" s="14" t="b">
        <f>TRUE</f>
        <v>1</v>
      </c>
      <c r="M2795" s="14" t="b">
        <f>(LCI_Table[[#This Row],[Dev Notes]]="Do not display")</f>
        <v>0</v>
      </c>
      <c r="N2795" s="14" t="b">
        <f>AND(LCI_Table[[#This Row],[Show Feedstock]:[Conditional]],NOT(LCI_Table[[#This Row],[Hide Row]]))</f>
        <v>0</v>
      </c>
      <c r="O2795" s="14" t="b">
        <f>LCI_Table[[#This Row],[GREET1 Name Range]]=""</f>
        <v>1</v>
      </c>
      <c r="P2795" s="387" t="s">
        <v>1448</v>
      </c>
      <c r="Q2795" s="14"/>
      <c r="R2795" s="165" t="s">
        <v>1937</v>
      </c>
      <c r="S2795" s="37" cm="1">
        <f t="array" aca="1" ref="S279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6391.6010185010036</v>
      </c>
      <c r="T2795" s="165" t="s">
        <v>2157</v>
      </c>
      <c r="U2795" s="389">
        <f ca="1">LCI_Table[[#This Row],[Dashboard Value]]/$U$2766/mmBTU2BTU*Fuel_Specs!$B$48/Fuel_Specs!$E$48/g2lb/0.911711975329766*MT2g/Fuel_Specs!$E$81*Fuel_Specs!$B$81</f>
        <v>2076.4083477681229</v>
      </c>
      <c r="V2795" s="351">
        <v>6391.6010185010036</v>
      </c>
      <c r="W2795" s="351">
        <v>2076.4083477681229</v>
      </c>
      <c r="X2795" s="37"/>
      <c r="Y2795" s="346"/>
      <c r="Z2795" s="14"/>
      <c r="AA2795" s="14"/>
      <c r="AB2795" s="14"/>
      <c r="AC2795" s="346"/>
    </row>
    <row r="2796" spans="1:29" x14ac:dyDescent="0.3">
      <c r="A279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dash_UCOHEFAGREETGREET(blank)_Offsite, 45V Modeled H2 consumption_SAF Production</v>
      </c>
      <c r="B2796" s="381" t="s">
        <v>875</v>
      </c>
      <c r="C2796" s="381" t="s">
        <v>30</v>
      </c>
      <c r="D2796" s="383" t="s">
        <v>29</v>
      </c>
      <c r="E2796" s="384" t="s">
        <v>29</v>
      </c>
      <c r="F2796" s="181" t="s">
        <v>31</v>
      </c>
      <c r="G2796" s="14" t="b">
        <f>OR(LCI_Table[[#This Row],[Feedstock]]="All",LCI_Table[[#This Row],[Feedstock]]=SelectedFeedstock)</f>
        <v>0</v>
      </c>
      <c r="H2796" s="14" t="b">
        <f>OR(LCI_Table[[#This Row],[Conversion]]="All",LCI_Table[[#This Row],[Conversion]]=SelectedConversion)</f>
        <v>1</v>
      </c>
      <c r="I2796" s="14" t="b">
        <f>OR(LCI_Table[[#This Row],[Data Set]]="all",LCI_Table[[#This Row],[Data Set]]=SelectedDataSet)</f>
        <v>1</v>
      </c>
      <c r="J2796" s="14" t="b">
        <f>OR(LCI_Table[[#This Row],[Technology]]="All",LCI_Table[[#This Row],[Technology]]=SelectedTechnology)</f>
        <v>1</v>
      </c>
      <c r="K2796" s="14" t="b">
        <f>OR(LCI_Table[[#This Row],[Data Source]]="All",LCI_Table[[#This Row],[Data Source]]=SelectedDataSource)</f>
        <v>1</v>
      </c>
      <c r="L2796" s="14" t="b">
        <f>TRUE</f>
        <v>1</v>
      </c>
      <c r="M2796" s="14" t="b">
        <f>(LCI_Table[[#This Row],[Dev Notes]]="Do not display")</f>
        <v>0</v>
      </c>
      <c r="N2796" s="14" t="b">
        <f>AND(LCI_Table[[#This Row],[Show Feedstock]:[Conditional]],NOT(LCI_Table[[#This Row],[Hide Row]]))</f>
        <v>0</v>
      </c>
      <c r="O2796" s="14" t="b">
        <f>LCI_Table[[#This Row],[GREET1 Name Range]]=""</f>
        <v>1</v>
      </c>
      <c r="P2796" s="387" t="s">
        <v>1448</v>
      </c>
      <c r="Q2796" s="14"/>
      <c r="R2796" s="165" t="s">
        <v>2282</v>
      </c>
      <c r="S2796" s="37" cm="1">
        <f t="array" aca="1" ref="S279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96" s="165" t="s">
        <v>2157</v>
      </c>
      <c r="U2796" s="389">
        <f ca="1">LCI_Table[[#This Row],[Dashboard Value]]/$U$2766/mmBTU2BTU*Fuel_Specs!$B$48/Fuel_Specs!$E$48/g2lb/0.911711975329766*MT2g/Fuel_Specs!$E$81*Fuel_Specs!$B$81</f>
        <v>0</v>
      </c>
      <c r="V2796" s="351">
        <v>0</v>
      </c>
      <c r="W2796" s="351">
        <v>0</v>
      </c>
      <c r="X2796" s="37"/>
      <c r="Y2796" s="346"/>
      <c r="Z2796" s="14"/>
      <c r="AA2796" s="14"/>
      <c r="AB2796" s="14"/>
      <c r="AC2796" s="346"/>
    </row>
    <row r="2797" spans="1:29" x14ac:dyDescent="0.3">
      <c r="A279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UCOHEFAGREETGREET(blank)_SAF_45VModeled_H2_CIOffsite, 45V Modeled H2 CI</v>
      </c>
      <c r="B2797" s="381" t="s">
        <v>875</v>
      </c>
      <c r="C2797" s="381" t="s">
        <v>30</v>
      </c>
      <c r="D2797" s="383" t="s">
        <v>29</v>
      </c>
      <c r="E2797" s="384" t="s">
        <v>29</v>
      </c>
      <c r="F2797" s="181" t="s">
        <v>31</v>
      </c>
      <c r="G2797" s="14" t="b">
        <f>OR(LCI_Table[[#This Row],[Feedstock]]="All",LCI_Table[[#This Row],[Feedstock]]=SelectedFeedstock)</f>
        <v>0</v>
      </c>
      <c r="H2797" s="14" t="b">
        <f>OR(LCI_Table[[#This Row],[Conversion]]="All",LCI_Table[[#This Row],[Conversion]]=SelectedConversion)</f>
        <v>1</v>
      </c>
      <c r="I2797" s="14" t="b">
        <f>OR(LCI_Table[[#This Row],[Data Set]]="all",LCI_Table[[#This Row],[Data Set]]=SelectedDataSet)</f>
        <v>1</v>
      </c>
      <c r="J2797" s="14" t="b">
        <f>OR(LCI_Table[[#This Row],[Technology]]="All",LCI_Table[[#This Row],[Technology]]=SelectedTechnology)</f>
        <v>1</v>
      </c>
      <c r="K2797" s="14" t="b">
        <f>OR(LCI_Table[[#This Row],[Data Source]]="All",LCI_Table[[#This Row],[Data Source]]=SelectedDataSource)</f>
        <v>1</v>
      </c>
      <c r="L2797" s="14" t="b">
        <f>TRUE</f>
        <v>1</v>
      </c>
      <c r="M2797" s="14" t="b">
        <f>(LCI_Table[[#This Row],[Dev Notes]]="Do not display")</f>
        <v>0</v>
      </c>
      <c r="N2797" s="14" t="b">
        <f>AND(LCI_Table[[#This Row],[Show Feedstock]:[Conditional]],NOT(LCI_Table[[#This Row],[Hide Row]]))</f>
        <v>0</v>
      </c>
      <c r="O2797" s="14" t="b">
        <f>LCI_Table[[#This Row],[GREET1 Name Range]]=""</f>
        <v>0</v>
      </c>
      <c r="P2797" s="387" t="s">
        <v>1448</v>
      </c>
      <c r="Q2797" t="s">
        <v>2291</v>
      </c>
      <c r="R2797" s="165" t="s">
        <v>2283</v>
      </c>
      <c r="S2797" s="37" cm="1">
        <f t="array" aca="1" ref="S279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v>
      </c>
      <c r="T2797" s="165" t="s">
        <v>1967</v>
      </c>
      <c r="U2797" s="420">
        <f ca="1">LCI_Table[[#This Row],[Dashboard Value]]/g2kg*mmBTU2BTU/Fuel_Specs!$B$81*Fuel_Specs!$E$81/1000</f>
        <v>26379.310344827583</v>
      </c>
      <c r="V2797" s="351">
        <v>3</v>
      </c>
      <c r="W2797" s="351">
        <v>26379.310344827583</v>
      </c>
      <c r="X2797" s="37"/>
      <c r="Y2797" s="346"/>
      <c r="Z2797" s="14"/>
      <c r="AA2797" s="14"/>
      <c r="AB2797" s="14"/>
      <c r="AC2797" s="346"/>
    </row>
    <row r="2798" spans="1:29" x14ac:dyDescent="0.3">
      <c r="A279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dash_TallowHEFAGREETGREET(blank)_Total fossil NG consumption_SAF Production</v>
      </c>
      <c r="B2798" s="381" t="s">
        <v>874</v>
      </c>
      <c r="C2798" s="381" t="s">
        <v>30</v>
      </c>
      <c r="D2798" s="383" t="s">
        <v>29</v>
      </c>
      <c r="E2798" s="384" t="s">
        <v>29</v>
      </c>
      <c r="F2798" s="181" t="s">
        <v>31</v>
      </c>
      <c r="G2798" s="14" t="b">
        <f>OR(LCI_Table[[#This Row],[Feedstock]]="All",LCI_Table[[#This Row],[Feedstock]]=SelectedFeedstock)</f>
        <v>0</v>
      </c>
      <c r="H2798" s="14" t="b">
        <f>OR(LCI_Table[[#This Row],[Conversion]]="All",LCI_Table[[#This Row],[Conversion]]=SelectedConversion)</f>
        <v>1</v>
      </c>
      <c r="I2798" s="14" t="b">
        <f>OR(LCI_Table[[#This Row],[Data Set]]="all",LCI_Table[[#This Row],[Data Set]]=SelectedDataSet)</f>
        <v>1</v>
      </c>
      <c r="J2798" s="14" t="b">
        <f>OR(LCI_Table[[#This Row],[Technology]]="All",LCI_Table[[#This Row],[Technology]]=SelectedTechnology)</f>
        <v>1</v>
      </c>
      <c r="K2798" s="14" t="b">
        <f>OR(LCI_Table[[#This Row],[Data Source]]="All",LCI_Table[[#This Row],[Data Source]]=SelectedDataSource)</f>
        <v>1</v>
      </c>
      <c r="L2798" s="14" t="b">
        <f>TRUE</f>
        <v>1</v>
      </c>
      <c r="M2798" s="14" t="b">
        <f>(LCI_Table[[#This Row],[Dev Notes]]="Do not display")</f>
        <v>0</v>
      </c>
      <c r="N2798" s="14" t="b">
        <f>AND(LCI_Table[[#This Row],[Show Feedstock]:[Conditional]],NOT(LCI_Table[[#This Row],[Hide Row]]))</f>
        <v>0</v>
      </c>
      <c r="O2798" s="14" t="b">
        <f>LCI_Table[[#This Row],[GREET1 Name Range]]=""</f>
        <v>1</v>
      </c>
      <c r="P2798" s="387" t="s">
        <v>1448</v>
      </c>
      <c r="Q2798" s="14"/>
      <c r="R2798" s="165" t="s">
        <v>1965</v>
      </c>
      <c r="S2798" s="37" cm="1">
        <f t="array" aca="1" ref="S279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123.58926254472973</v>
      </c>
      <c r="T2798" s="165" t="s">
        <v>2156</v>
      </c>
      <c r="U2798" s="389">
        <f ca="1">LCI_Table[[#This Row],[Dashboard Value]]/$U$2751/mmBTU2BTU*Fuel_Specs!$B$48/Fuel_Specs!$E$48/g2lb/0.911711975329766*10^6*1000</f>
        <v>353.04172159785469</v>
      </c>
      <c r="V2798">
        <v>123.58926254472973</v>
      </c>
      <c r="W2798" s="389">
        <v>353.04172159785469</v>
      </c>
      <c r="X2798" s="37"/>
      <c r="Y2798" s="346"/>
      <c r="Z2798" s="14"/>
      <c r="AA2798" s="14"/>
      <c r="AB2798" s="14"/>
      <c r="AC2798" s="346"/>
    </row>
    <row r="2799" spans="1:29" x14ac:dyDescent="0.3">
      <c r="A279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dash_TallowHEFAGREETGREET(blank)_Total LFG-derived RNG consumption_SAF Production</v>
      </c>
      <c r="B2799" s="381" t="s">
        <v>874</v>
      </c>
      <c r="C2799" s="381" t="s">
        <v>30</v>
      </c>
      <c r="D2799" s="383" t="s">
        <v>29</v>
      </c>
      <c r="E2799" s="384" t="s">
        <v>29</v>
      </c>
      <c r="F2799" s="181" t="s">
        <v>31</v>
      </c>
      <c r="G2799" s="14" t="b">
        <f>OR(LCI_Table[[#This Row],[Feedstock]]="All",LCI_Table[[#This Row],[Feedstock]]=SelectedFeedstock)</f>
        <v>0</v>
      </c>
      <c r="H2799" s="14" t="b">
        <f>OR(LCI_Table[[#This Row],[Conversion]]="All",LCI_Table[[#This Row],[Conversion]]=SelectedConversion)</f>
        <v>1</v>
      </c>
      <c r="I2799" s="14" t="b">
        <f>OR(LCI_Table[[#This Row],[Data Set]]="all",LCI_Table[[#This Row],[Data Set]]=SelectedDataSet)</f>
        <v>1</v>
      </c>
      <c r="J2799" s="14" t="b">
        <f>OR(LCI_Table[[#This Row],[Technology]]="All",LCI_Table[[#This Row],[Technology]]=SelectedTechnology)</f>
        <v>1</v>
      </c>
      <c r="K2799" s="14" t="b">
        <f>OR(LCI_Table[[#This Row],[Data Source]]="All",LCI_Table[[#This Row],[Data Source]]=SelectedDataSource)</f>
        <v>1</v>
      </c>
      <c r="L2799" s="14" t="b">
        <f>TRUE</f>
        <v>1</v>
      </c>
      <c r="M2799" s="14" t="b">
        <f>(LCI_Table[[#This Row],[Dev Notes]]="Do not display")</f>
        <v>0</v>
      </c>
      <c r="N2799" s="14" t="b">
        <f>AND(LCI_Table[[#This Row],[Show Feedstock]:[Conditional]],NOT(LCI_Table[[#This Row],[Hide Row]]))</f>
        <v>0</v>
      </c>
      <c r="O2799" s="14" t="b">
        <f>LCI_Table[[#This Row],[GREET1 Name Range]]=""</f>
        <v>1</v>
      </c>
      <c r="P2799" s="387" t="s">
        <v>1448</v>
      </c>
      <c r="Q2799" s="14"/>
      <c r="R2799" s="165" t="s">
        <v>1936</v>
      </c>
      <c r="S2799" s="37" cm="1">
        <f t="array" aca="1" ref="S279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799" s="165" t="s">
        <v>2156</v>
      </c>
      <c r="U2799" s="389">
        <f ca="1">LCI_Table[[#This Row],[Dashboard Value]]/$U$2751/mmBTU2BTU*Fuel_Specs!$B$48/Fuel_Specs!$E$48/g2lb/0.911711975329766*10^6*1000</f>
        <v>0</v>
      </c>
      <c r="V2799" s="351">
        <v>0</v>
      </c>
      <c r="W2799" s="351">
        <v>0</v>
      </c>
      <c r="X2799" s="37"/>
      <c r="Y2799" s="346"/>
      <c r="Z2799" s="14"/>
      <c r="AA2799" s="14"/>
      <c r="AB2799" s="14"/>
      <c r="AC2799" s="346"/>
    </row>
    <row r="2800" spans="1:29" x14ac:dyDescent="0.3">
      <c r="A280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dash_TallowHEFAGREETGREET(blank)_Offsite, Fossil NG-derived H2 consumption_SAF Production</v>
      </c>
      <c r="B2800" s="381" t="s">
        <v>874</v>
      </c>
      <c r="C2800" s="381" t="s">
        <v>30</v>
      </c>
      <c r="D2800" s="383" t="s">
        <v>29</v>
      </c>
      <c r="E2800" s="384" t="s">
        <v>29</v>
      </c>
      <c r="F2800" s="181" t="s">
        <v>31</v>
      </c>
      <c r="G2800" s="14" t="b">
        <f>OR(LCI_Table[[#This Row],[Feedstock]]="All",LCI_Table[[#This Row],[Feedstock]]=SelectedFeedstock)</f>
        <v>0</v>
      </c>
      <c r="H2800" s="14" t="b">
        <f>OR(LCI_Table[[#This Row],[Conversion]]="All",LCI_Table[[#This Row],[Conversion]]=SelectedConversion)</f>
        <v>1</v>
      </c>
      <c r="I2800" s="14" t="b">
        <f>OR(LCI_Table[[#This Row],[Data Set]]="all",LCI_Table[[#This Row],[Data Set]]=SelectedDataSet)</f>
        <v>1</v>
      </c>
      <c r="J2800" s="14" t="b">
        <f>OR(LCI_Table[[#This Row],[Technology]]="All",LCI_Table[[#This Row],[Technology]]=SelectedTechnology)</f>
        <v>1</v>
      </c>
      <c r="K2800" s="14" t="b">
        <f>OR(LCI_Table[[#This Row],[Data Source]]="All",LCI_Table[[#This Row],[Data Source]]=SelectedDataSource)</f>
        <v>1</v>
      </c>
      <c r="L2800" s="14" t="b">
        <f>TRUE</f>
        <v>1</v>
      </c>
      <c r="M2800" s="14" t="b">
        <f>(LCI_Table[[#This Row],[Dev Notes]]="Do not display")</f>
        <v>0</v>
      </c>
      <c r="N2800" s="14" t="b">
        <f>AND(LCI_Table[[#This Row],[Show Feedstock]:[Conditional]],NOT(LCI_Table[[#This Row],[Hide Row]]))</f>
        <v>0</v>
      </c>
      <c r="O2800" s="14" t="b">
        <f>LCI_Table[[#This Row],[GREET1 Name Range]]=""</f>
        <v>1</v>
      </c>
      <c r="P2800" s="387" t="s">
        <v>1448</v>
      </c>
      <c r="Q2800" s="14"/>
      <c r="R2800" s="165" t="s">
        <v>1937</v>
      </c>
      <c r="S2800" s="37" cm="1">
        <f t="array" aca="1" ref="S280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6391.6010185010036</v>
      </c>
      <c r="T2800" s="165" t="s">
        <v>2157</v>
      </c>
      <c r="U2800" s="389">
        <f ca="1">LCI_Table[[#This Row],[Dashboard Value]]/$U$2751/mmBTU2BTU*Fuel_Specs!$B$48/Fuel_Specs!$E$48/g2lb/0.911711975329766*MT2g/Fuel_Specs!$E$81*Fuel_Specs!$B$81</f>
        <v>2076.4083477681229</v>
      </c>
      <c r="V2800" s="351">
        <v>6391.6010185010036</v>
      </c>
      <c r="W2800" s="351">
        <v>2076.4083477681229</v>
      </c>
      <c r="X2800" s="37"/>
      <c r="Y2800" s="346"/>
      <c r="Z2800" s="14"/>
      <c r="AA2800" s="14"/>
      <c r="AB2800" s="14"/>
      <c r="AC2800" s="346"/>
    </row>
    <row r="2801" spans="1:29" x14ac:dyDescent="0.3">
      <c r="A280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dash_TallowHEFAGREETGREET(blank)_Offsite, 45V Modeled H2 consumption_SAF Production</v>
      </c>
      <c r="B2801" s="381" t="s">
        <v>874</v>
      </c>
      <c r="C2801" s="381" t="s">
        <v>30</v>
      </c>
      <c r="D2801" s="383" t="s">
        <v>29</v>
      </c>
      <c r="E2801" s="384" t="s">
        <v>29</v>
      </c>
      <c r="F2801" s="181" t="s">
        <v>31</v>
      </c>
      <c r="G2801" s="14" t="b">
        <f>OR(LCI_Table[[#This Row],[Feedstock]]="All",LCI_Table[[#This Row],[Feedstock]]=SelectedFeedstock)</f>
        <v>0</v>
      </c>
      <c r="H2801" s="14" t="b">
        <f>OR(LCI_Table[[#This Row],[Conversion]]="All",LCI_Table[[#This Row],[Conversion]]=SelectedConversion)</f>
        <v>1</v>
      </c>
      <c r="I2801" s="14" t="b">
        <f>OR(LCI_Table[[#This Row],[Data Set]]="all",LCI_Table[[#This Row],[Data Set]]=SelectedDataSet)</f>
        <v>1</v>
      </c>
      <c r="J2801" s="14" t="b">
        <f>OR(LCI_Table[[#This Row],[Technology]]="All",LCI_Table[[#This Row],[Technology]]=SelectedTechnology)</f>
        <v>1</v>
      </c>
      <c r="K2801" s="14" t="b">
        <f>OR(LCI_Table[[#This Row],[Data Source]]="All",LCI_Table[[#This Row],[Data Source]]=SelectedDataSource)</f>
        <v>1</v>
      </c>
      <c r="L2801" s="14" t="b">
        <f>TRUE</f>
        <v>1</v>
      </c>
      <c r="M2801" s="14" t="b">
        <f>(LCI_Table[[#This Row],[Dev Notes]]="Do not display")</f>
        <v>0</v>
      </c>
      <c r="N2801" s="14" t="b">
        <f>AND(LCI_Table[[#This Row],[Show Feedstock]:[Conditional]],NOT(LCI_Table[[#This Row],[Hide Row]]))</f>
        <v>0</v>
      </c>
      <c r="O2801" s="14" t="b">
        <f>LCI_Table[[#This Row],[GREET1 Name Range]]=""</f>
        <v>1</v>
      </c>
      <c r="P2801" s="387" t="s">
        <v>1448</v>
      </c>
      <c r="Q2801" s="14"/>
      <c r="R2801" s="165" t="s">
        <v>2282</v>
      </c>
      <c r="S2801" s="37" cm="1">
        <f t="array" aca="1" ref="S280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801" s="165" t="s">
        <v>2157</v>
      </c>
      <c r="U2801" s="389">
        <f ca="1">LCI_Table[[#This Row],[Dashboard Value]]/$U$2751/mmBTU2BTU*Fuel_Specs!$B$48/Fuel_Specs!$E$48/g2lb/0.911711975329766*MT2g/Fuel_Specs!$E$81*Fuel_Specs!$B$81</f>
        <v>0</v>
      </c>
      <c r="V2801" s="351">
        <v>0</v>
      </c>
      <c r="W2801" s="351">
        <v>0</v>
      </c>
      <c r="X2801" s="37"/>
      <c r="Y2801" s="346"/>
      <c r="Z2801" s="14"/>
      <c r="AA2801" s="14"/>
      <c r="AB2801" s="14"/>
      <c r="AC2801" s="346"/>
    </row>
    <row r="2802" spans="1:29" x14ac:dyDescent="0.3">
      <c r="A280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TallowHEFAGREETGREET(blank)_SAF_45VModeled_H2_CIOffsite, 45V Modeled H2 CI</v>
      </c>
      <c r="B2802" s="381" t="s">
        <v>874</v>
      </c>
      <c r="C2802" s="381" t="s">
        <v>30</v>
      </c>
      <c r="D2802" s="383" t="s">
        <v>29</v>
      </c>
      <c r="E2802" s="384" t="s">
        <v>29</v>
      </c>
      <c r="F2802" s="181" t="s">
        <v>31</v>
      </c>
      <c r="G2802" s="14" t="b">
        <f>OR(LCI_Table[[#This Row],[Feedstock]]="All",LCI_Table[[#This Row],[Feedstock]]=SelectedFeedstock)</f>
        <v>0</v>
      </c>
      <c r="H2802" s="14" t="b">
        <f>OR(LCI_Table[[#This Row],[Conversion]]="All",LCI_Table[[#This Row],[Conversion]]=SelectedConversion)</f>
        <v>1</v>
      </c>
      <c r="I2802" s="14" t="b">
        <f>OR(LCI_Table[[#This Row],[Data Set]]="all",LCI_Table[[#This Row],[Data Set]]=SelectedDataSet)</f>
        <v>1</v>
      </c>
      <c r="J2802" s="14" t="b">
        <f>OR(LCI_Table[[#This Row],[Technology]]="All",LCI_Table[[#This Row],[Technology]]=SelectedTechnology)</f>
        <v>1</v>
      </c>
      <c r="K2802" s="14" t="b">
        <f>OR(LCI_Table[[#This Row],[Data Source]]="All",LCI_Table[[#This Row],[Data Source]]=SelectedDataSource)</f>
        <v>1</v>
      </c>
      <c r="L2802" s="14" t="b">
        <f>TRUE</f>
        <v>1</v>
      </c>
      <c r="M2802" s="14" t="b">
        <f>(LCI_Table[[#This Row],[Dev Notes]]="Do not display")</f>
        <v>0</v>
      </c>
      <c r="N2802" s="14" t="b">
        <f>AND(LCI_Table[[#This Row],[Show Feedstock]:[Conditional]],NOT(LCI_Table[[#This Row],[Hide Row]]))</f>
        <v>0</v>
      </c>
      <c r="O2802" s="14" t="b">
        <f>LCI_Table[[#This Row],[GREET1 Name Range]]=""</f>
        <v>0</v>
      </c>
      <c r="P2802" s="387" t="s">
        <v>1448</v>
      </c>
      <c r="Q2802" t="s">
        <v>2291</v>
      </c>
      <c r="R2802" s="165" t="s">
        <v>2283</v>
      </c>
      <c r="S2802" s="37" cm="1">
        <f t="array" aca="1" ref="S280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v>
      </c>
      <c r="T2802" s="165" t="s">
        <v>1967</v>
      </c>
      <c r="U2802" s="420">
        <f ca="1">LCI_Table[[#This Row],[Dashboard Value]]/g2kg*mmBTU2BTU/Fuel_Specs!$B$81*Fuel_Specs!$E$81/1000</f>
        <v>26379.310344827583</v>
      </c>
      <c r="V2802" s="351">
        <v>3</v>
      </c>
      <c r="W2802" s="351">
        <v>26379.310344827583</v>
      </c>
      <c r="X2802" s="37"/>
      <c r="Y2802" s="346"/>
      <c r="Z2802" s="14"/>
      <c r="AA2802" s="14"/>
      <c r="AB2802" s="14"/>
      <c r="AC2802" s="346"/>
    </row>
    <row r="2803" spans="1:29" x14ac:dyDescent="0.3">
      <c r="A280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dash_Canola/RapeseedHEFAGREETGREET(blank)_Total fossil NG consumption_SAF Production</v>
      </c>
      <c r="B2803" s="381" t="s">
        <v>1347</v>
      </c>
      <c r="C2803" s="381" t="s">
        <v>30</v>
      </c>
      <c r="D2803" s="383" t="s">
        <v>29</v>
      </c>
      <c r="E2803" s="384" t="s">
        <v>29</v>
      </c>
      <c r="F2803" s="181" t="s">
        <v>31</v>
      </c>
      <c r="G2803" s="14" t="b">
        <f>OR(LCI_Table[[#This Row],[Feedstock]]="All",LCI_Table[[#This Row],[Feedstock]]=SelectedFeedstock)</f>
        <v>1</v>
      </c>
      <c r="H2803" s="14" t="b">
        <f>OR(LCI_Table[[#This Row],[Conversion]]="All",LCI_Table[[#This Row],[Conversion]]=SelectedConversion)</f>
        <v>1</v>
      </c>
      <c r="I2803" s="14" t="b">
        <f>OR(LCI_Table[[#This Row],[Data Set]]="all",LCI_Table[[#This Row],[Data Set]]=SelectedDataSet)</f>
        <v>1</v>
      </c>
      <c r="J2803" s="14" t="b">
        <f>OR(LCI_Table[[#This Row],[Technology]]="All",LCI_Table[[#This Row],[Technology]]=SelectedTechnology)</f>
        <v>1</v>
      </c>
      <c r="K2803" s="14" t="b">
        <f>OR(LCI_Table[[#This Row],[Data Source]]="All",LCI_Table[[#This Row],[Data Source]]=SelectedDataSource)</f>
        <v>1</v>
      </c>
      <c r="L2803" s="14" t="b">
        <f>TRUE</f>
        <v>1</v>
      </c>
      <c r="M2803" s="14" t="b">
        <f>(LCI_Table[[#This Row],[Dev Notes]]="Do not display")</f>
        <v>0</v>
      </c>
      <c r="N2803" s="14" t="b">
        <f>AND(LCI_Table[[#This Row],[Show Feedstock]:[Conditional]],NOT(LCI_Table[[#This Row],[Hide Row]]))</f>
        <v>1</v>
      </c>
      <c r="O2803" s="14" t="b">
        <f>LCI_Table[[#This Row],[GREET1 Name Range]]=""</f>
        <v>1</v>
      </c>
      <c r="P2803" s="387" t="s">
        <v>1448</v>
      </c>
      <c r="Q2803" s="14"/>
      <c r="R2803" s="165" t="s">
        <v>1965</v>
      </c>
      <c r="S2803" s="37" cm="1">
        <f t="array" aca="1" ref="S280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803" s="165" t="s">
        <v>2156</v>
      </c>
      <c r="U2803" s="389" t="e">
        <f ca="1">LCI_Table[[#This Row],[Dashboard Value]]/$U$2736/mmBTU2BTU*Fuel_Specs!$B$48/Fuel_Specs!$E$48/g2lb/0.911711975329766*10^6*1000</f>
        <v>#DIV/0!</v>
      </c>
      <c r="V2803">
        <v>123.58926254472973</v>
      </c>
      <c r="W2803" s="389">
        <v>353.04172159785469</v>
      </c>
      <c r="X2803" s="37"/>
      <c r="Y2803" s="346"/>
      <c r="Z2803" s="14"/>
      <c r="AA2803" s="14"/>
      <c r="AB2803" s="14"/>
      <c r="AC2803" s="346"/>
    </row>
    <row r="2804" spans="1:29" x14ac:dyDescent="0.3">
      <c r="A280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dash_Canola/RapeseedHEFAGREETGREET(blank)_Total LFG-derived RNG consumption_SAF Production</v>
      </c>
      <c r="B2804" s="381" t="s">
        <v>1347</v>
      </c>
      <c r="C2804" s="381" t="s">
        <v>30</v>
      </c>
      <c r="D2804" s="383" t="s">
        <v>29</v>
      </c>
      <c r="E2804" s="384" t="s">
        <v>29</v>
      </c>
      <c r="F2804" s="181" t="s">
        <v>31</v>
      </c>
      <c r="G2804" s="14" t="b">
        <f>OR(LCI_Table[[#This Row],[Feedstock]]="All",LCI_Table[[#This Row],[Feedstock]]=SelectedFeedstock)</f>
        <v>1</v>
      </c>
      <c r="H2804" s="14" t="b">
        <f>OR(LCI_Table[[#This Row],[Conversion]]="All",LCI_Table[[#This Row],[Conversion]]=SelectedConversion)</f>
        <v>1</v>
      </c>
      <c r="I2804" s="14" t="b">
        <f>OR(LCI_Table[[#This Row],[Data Set]]="all",LCI_Table[[#This Row],[Data Set]]=SelectedDataSet)</f>
        <v>1</v>
      </c>
      <c r="J2804" s="14" t="b">
        <f>OR(LCI_Table[[#This Row],[Technology]]="All",LCI_Table[[#This Row],[Technology]]=SelectedTechnology)</f>
        <v>1</v>
      </c>
      <c r="K2804" s="14" t="b">
        <f>OR(LCI_Table[[#This Row],[Data Source]]="All",LCI_Table[[#This Row],[Data Source]]=SelectedDataSource)</f>
        <v>1</v>
      </c>
      <c r="L2804" s="14" t="b">
        <f>TRUE</f>
        <v>1</v>
      </c>
      <c r="M2804" s="14" t="b">
        <f>(LCI_Table[[#This Row],[Dev Notes]]="Do not display")</f>
        <v>0</v>
      </c>
      <c r="N2804" s="14" t="b">
        <f>AND(LCI_Table[[#This Row],[Show Feedstock]:[Conditional]],NOT(LCI_Table[[#This Row],[Hide Row]]))</f>
        <v>1</v>
      </c>
      <c r="O2804" s="14" t="b">
        <f>LCI_Table[[#This Row],[GREET1 Name Range]]=""</f>
        <v>1</v>
      </c>
      <c r="P2804" s="387" t="s">
        <v>1448</v>
      </c>
      <c r="Q2804" s="14"/>
      <c r="R2804" s="165" t="s">
        <v>1936</v>
      </c>
      <c r="S2804" s="37" cm="1">
        <f t="array" aca="1" ref="S280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804" s="165" t="s">
        <v>2156</v>
      </c>
      <c r="U2804" s="389" t="e">
        <f ca="1">LCI_Table[[#This Row],[Dashboard Value]]/$U$2736/mmBTU2BTU*Fuel_Specs!$B$48/Fuel_Specs!$E$48/g2lb/0.911711975329766*10^6*1000</f>
        <v>#DIV/0!</v>
      </c>
      <c r="V2804" s="351">
        <v>0</v>
      </c>
      <c r="W2804" s="351">
        <v>0</v>
      </c>
      <c r="X2804" s="37"/>
      <c r="Y2804" s="346"/>
      <c r="Z2804" s="14"/>
      <c r="AA2804" s="14"/>
      <c r="AB2804" s="14"/>
      <c r="AC2804" s="346"/>
    </row>
    <row r="2805" spans="1:29" x14ac:dyDescent="0.3">
      <c r="A280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dash_Canola/RapeseedHEFAGREETGREET(blank)_Offsite, Fossil NG-derived H2 consumption_SAF Production</v>
      </c>
      <c r="B2805" s="381" t="s">
        <v>1347</v>
      </c>
      <c r="C2805" s="381" t="s">
        <v>30</v>
      </c>
      <c r="D2805" s="383" t="s">
        <v>29</v>
      </c>
      <c r="E2805" s="384" t="s">
        <v>29</v>
      </c>
      <c r="F2805" s="181" t="s">
        <v>31</v>
      </c>
      <c r="G2805" s="14" t="b">
        <f>OR(LCI_Table[[#This Row],[Feedstock]]="All",LCI_Table[[#This Row],[Feedstock]]=SelectedFeedstock)</f>
        <v>1</v>
      </c>
      <c r="H2805" s="14" t="b">
        <f>OR(LCI_Table[[#This Row],[Conversion]]="All",LCI_Table[[#This Row],[Conversion]]=SelectedConversion)</f>
        <v>1</v>
      </c>
      <c r="I2805" s="14" t="b">
        <f>OR(LCI_Table[[#This Row],[Data Set]]="all",LCI_Table[[#This Row],[Data Set]]=SelectedDataSet)</f>
        <v>1</v>
      </c>
      <c r="J2805" s="14" t="b">
        <f>OR(LCI_Table[[#This Row],[Technology]]="All",LCI_Table[[#This Row],[Technology]]=SelectedTechnology)</f>
        <v>1</v>
      </c>
      <c r="K2805" s="14" t="b">
        <f>OR(LCI_Table[[#This Row],[Data Source]]="All",LCI_Table[[#This Row],[Data Source]]=SelectedDataSource)</f>
        <v>1</v>
      </c>
      <c r="L2805" s="14" t="b">
        <f>TRUE</f>
        <v>1</v>
      </c>
      <c r="M2805" s="14" t="b">
        <f>(LCI_Table[[#This Row],[Dev Notes]]="Do not display")</f>
        <v>0</v>
      </c>
      <c r="N2805" s="14" t="b">
        <f>AND(LCI_Table[[#This Row],[Show Feedstock]:[Conditional]],NOT(LCI_Table[[#This Row],[Hide Row]]))</f>
        <v>1</v>
      </c>
      <c r="O2805" s="14" t="b">
        <f>LCI_Table[[#This Row],[GREET1 Name Range]]=""</f>
        <v>1</v>
      </c>
      <c r="P2805" s="387" t="s">
        <v>1448</v>
      </c>
      <c r="Q2805" s="14"/>
      <c r="R2805" s="165" t="s">
        <v>1937</v>
      </c>
      <c r="S2805" s="37" cm="1">
        <f t="array" aca="1" ref="S280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805" s="165" t="s">
        <v>2157</v>
      </c>
      <c r="U2805" s="389" t="e">
        <f ca="1">LCI_Table[[#This Row],[Dashboard Value]]/$U$2736/mmBTU2BTU*Fuel_Specs!$B$48/Fuel_Specs!$E$48/g2lb/0.911711975329766*MT2g/Fuel_Specs!$E$81*Fuel_Specs!$B$81</f>
        <v>#DIV/0!</v>
      </c>
      <c r="V2805" s="351">
        <v>6391.6010185010036</v>
      </c>
      <c r="W2805" s="351">
        <v>2076.4083477681229</v>
      </c>
      <c r="X2805" s="37"/>
      <c r="Y2805" s="346"/>
      <c r="Z2805" s="14"/>
      <c r="AA2805" s="14"/>
      <c r="AB2805" s="14"/>
      <c r="AC2805" s="346"/>
    </row>
    <row r="2806" spans="1:29" x14ac:dyDescent="0.3">
      <c r="A280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dash_Canola/RapeseedHEFAGREETGREET(blank)_Offsite, 45V Modeled H2 consumption_SAF Production</v>
      </c>
      <c r="B2806" s="381" t="s">
        <v>1347</v>
      </c>
      <c r="C2806" s="381" t="s">
        <v>30</v>
      </c>
      <c r="D2806" s="383" t="s">
        <v>29</v>
      </c>
      <c r="E2806" s="384" t="s">
        <v>29</v>
      </c>
      <c r="F2806" s="181" t="s">
        <v>31</v>
      </c>
      <c r="G2806" s="14" t="b">
        <f>OR(LCI_Table[[#This Row],[Feedstock]]="All",LCI_Table[[#This Row],[Feedstock]]=SelectedFeedstock)</f>
        <v>1</v>
      </c>
      <c r="H2806" s="14" t="b">
        <f>OR(LCI_Table[[#This Row],[Conversion]]="All",LCI_Table[[#This Row],[Conversion]]=SelectedConversion)</f>
        <v>1</v>
      </c>
      <c r="I2806" s="14" t="b">
        <f>OR(LCI_Table[[#This Row],[Data Set]]="all",LCI_Table[[#This Row],[Data Set]]=SelectedDataSet)</f>
        <v>1</v>
      </c>
      <c r="J2806" s="14" t="b">
        <f>OR(LCI_Table[[#This Row],[Technology]]="All",LCI_Table[[#This Row],[Technology]]=SelectedTechnology)</f>
        <v>1</v>
      </c>
      <c r="K2806" s="14" t="b">
        <f>OR(LCI_Table[[#This Row],[Data Source]]="All",LCI_Table[[#This Row],[Data Source]]=SelectedDataSource)</f>
        <v>1</v>
      </c>
      <c r="L2806" s="14" t="b">
        <f>TRUE</f>
        <v>1</v>
      </c>
      <c r="M2806" s="14" t="b">
        <f>(LCI_Table[[#This Row],[Dev Notes]]="Do not display")</f>
        <v>0</v>
      </c>
      <c r="N2806" s="14" t="b">
        <f>AND(LCI_Table[[#This Row],[Show Feedstock]:[Conditional]],NOT(LCI_Table[[#This Row],[Hide Row]]))</f>
        <v>1</v>
      </c>
      <c r="O2806" s="14" t="b">
        <f>LCI_Table[[#This Row],[GREET1 Name Range]]=""</f>
        <v>1</v>
      </c>
      <c r="P2806" s="387" t="s">
        <v>1448</v>
      </c>
      <c r="Q2806" s="14"/>
      <c r="R2806" s="165" t="s">
        <v>2282</v>
      </c>
      <c r="S2806" s="37" cm="1">
        <f t="array" aca="1" ref="S280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806" s="165" t="s">
        <v>2157</v>
      </c>
      <c r="U2806" s="389" t="e">
        <f ca="1">LCI_Table[[#This Row],[Dashboard Value]]/$U$2736/mmBTU2BTU*Fuel_Specs!$B$48/Fuel_Specs!$E$48/g2lb/0.911711975329766*MT2g/Fuel_Specs!$E$81*Fuel_Specs!$B$81</f>
        <v>#DIV/0!</v>
      </c>
      <c r="V2806" s="351">
        <v>0</v>
      </c>
      <c r="W2806" s="351">
        <v>0</v>
      </c>
      <c r="X2806" s="37"/>
      <c r="Y2806" s="346"/>
      <c r="Z2806" s="14"/>
      <c r="AA2806" s="14"/>
      <c r="AB2806" s="14"/>
      <c r="AC2806" s="346"/>
    </row>
    <row r="2807" spans="1:29" x14ac:dyDescent="0.3">
      <c r="A280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Canola/RapeseedHEFAGREETGREET(blank)_SAF_45VModeled_H2_CIOffsite, 45V Modeled H2 CI</v>
      </c>
      <c r="B2807" s="381" t="s">
        <v>1347</v>
      </c>
      <c r="C2807" s="381" t="s">
        <v>30</v>
      </c>
      <c r="D2807" s="383" t="s">
        <v>29</v>
      </c>
      <c r="E2807" s="384" t="s">
        <v>29</v>
      </c>
      <c r="F2807" s="181" t="s">
        <v>31</v>
      </c>
      <c r="G2807" s="14" t="b">
        <f>OR(LCI_Table[[#This Row],[Feedstock]]="All",LCI_Table[[#This Row],[Feedstock]]=SelectedFeedstock)</f>
        <v>1</v>
      </c>
      <c r="H2807" s="14" t="b">
        <f>OR(LCI_Table[[#This Row],[Conversion]]="All",LCI_Table[[#This Row],[Conversion]]=SelectedConversion)</f>
        <v>1</v>
      </c>
      <c r="I2807" s="14" t="b">
        <f>OR(LCI_Table[[#This Row],[Data Set]]="all",LCI_Table[[#This Row],[Data Set]]=SelectedDataSet)</f>
        <v>1</v>
      </c>
      <c r="J2807" s="14" t="b">
        <f>OR(LCI_Table[[#This Row],[Technology]]="All",LCI_Table[[#This Row],[Technology]]=SelectedTechnology)</f>
        <v>1</v>
      </c>
      <c r="K2807" s="14" t="b">
        <f>OR(LCI_Table[[#This Row],[Data Source]]="All",LCI_Table[[#This Row],[Data Source]]=SelectedDataSource)</f>
        <v>1</v>
      </c>
      <c r="L2807" s="14" t="b">
        <f>TRUE</f>
        <v>1</v>
      </c>
      <c r="M2807" s="14" t="b">
        <f>(LCI_Table[[#This Row],[Dev Notes]]="Do not display")</f>
        <v>0</v>
      </c>
      <c r="N2807" s="14" t="b">
        <f>AND(LCI_Table[[#This Row],[Show Feedstock]:[Conditional]],NOT(LCI_Table[[#This Row],[Hide Row]]))</f>
        <v>1</v>
      </c>
      <c r="O2807" s="14" t="b">
        <f>LCI_Table[[#This Row],[GREET1 Name Range]]=""</f>
        <v>0</v>
      </c>
      <c r="P2807" s="387" t="s">
        <v>1448</v>
      </c>
      <c r="Q2807" t="s">
        <v>2291</v>
      </c>
      <c r="R2807" s="165" t="s">
        <v>2283</v>
      </c>
      <c r="S2807" s="37" cm="1">
        <f t="array" aca="1" ref="S280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807" s="165" t="s">
        <v>1967</v>
      </c>
      <c r="U2807" s="420">
        <f ca="1">LCI_Table[[#This Row],[Dashboard Value]]/g2kg*mmBTU2BTU/Fuel_Specs!$B$81*Fuel_Specs!$E$81/1000</f>
        <v>0</v>
      </c>
      <c r="V2807" s="351">
        <v>3</v>
      </c>
      <c r="W2807" s="351">
        <v>26379.310344827583</v>
      </c>
      <c r="X2807" s="37"/>
      <c r="Y2807" s="346"/>
      <c r="Z2807" s="14"/>
      <c r="AA2807" s="14"/>
      <c r="AB2807" s="14"/>
      <c r="AC2807" s="346"/>
    </row>
    <row r="2808" spans="1:29" x14ac:dyDescent="0.3">
      <c r="A280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dash_SugarcaneATJ-ethanolGREETGREET(blank)_Total fossil NG consumption_SAF Production</v>
      </c>
      <c r="B2808" s="381" t="s">
        <v>447</v>
      </c>
      <c r="C2808" s="381" t="s">
        <v>1964</v>
      </c>
      <c r="D2808" s="383" t="s">
        <v>29</v>
      </c>
      <c r="E2808" s="384" t="s">
        <v>29</v>
      </c>
      <c r="F2808" s="181" t="s">
        <v>31</v>
      </c>
      <c r="G2808" s="14" t="b">
        <f>OR(LCI_Table[[#This Row],[Feedstock]]="All",LCI_Table[[#This Row],[Feedstock]]=SelectedFeedstock)</f>
        <v>0</v>
      </c>
      <c r="H2808" s="14" t="b">
        <f>OR(LCI_Table[[#This Row],[Conversion]]="All",LCI_Table[[#This Row],[Conversion]]=SelectedConversion)</f>
        <v>0</v>
      </c>
      <c r="I2808" s="14" t="b">
        <f>OR(LCI_Table[[#This Row],[Data Set]]="all",LCI_Table[[#This Row],[Data Set]]=SelectedDataSet)</f>
        <v>1</v>
      </c>
      <c r="J2808" s="14" t="b">
        <f>OR(LCI_Table[[#This Row],[Technology]]="All",LCI_Table[[#This Row],[Technology]]=SelectedTechnology)</f>
        <v>1</v>
      </c>
      <c r="K2808" s="14" t="b">
        <f>OR(LCI_Table[[#This Row],[Data Source]]="All",LCI_Table[[#This Row],[Data Source]]=SelectedDataSource)</f>
        <v>1</v>
      </c>
      <c r="L2808" s="14" t="b">
        <f>TRUE</f>
        <v>1</v>
      </c>
      <c r="M2808" s="14" t="b">
        <f>(LCI_Table[[#This Row],[Dev Notes]]="Do not display")</f>
        <v>0</v>
      </c>
      <c r="N2808" s="14" t="b">
        <f>AND(LCI_Table[[#This Row],[Show Feedstock]:[Conditional]],NOT(LCI_Table[[#This Row],[Hide Row]]))</f>
        <v>0</v>
      </c>
      <c r="O2808" s="14" t="b">
        <f>LCI_Table[[#This Row],[GREET1 Name Range]]=""</f>
        <v>1</v>
      </c>
      <c r="P2808" s="387" t="s">
        <v>1448</v>
      </c>
      <c r="Q2808" s="14"/>
      <c r="R2808" s="165" t="s">
        <v>1965</v>
      </c>
      <c r="S2808" s="37" cm="1">
        <f t="array" aca="1" ref="S280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755.74257425742564</v>
      </c>
      <c r="T2808" s="165" t="s">
        <v>2156</v>
      </c>
      <c r="U2808" s="389">
        <f ca="1">LCI_Table[[#This Row],[Dashboard Value]]/$U$2721*1000</f>
        <v>0.1</v>
      </c>
      <c r="V2808" s="431">
        <v>755.74257425742564</v>
      </c>
      <c r="W2808" s="389">
        <v>0.18000000000000049</v>
      </c>
      <c r="X2808" s="37"/>
      <c r="Y2808" s="346"/>
      <c r="Z2808" s="14"/>
      <c r="AA2808" s="14"/>
      <c r="AB2808" s="14"/>
      <c r="AC2808" s="346"/>
    </row>
    <row r="2809" spans="1:29" x14ac:dyDescent="0.3">
      <c r="A280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dash_SugarcaneATJ-ethanolGREETGREET(blank)_Total LFG-derived RNG consumption_SAF Production</v>
      </c>
      <c r="B2809" s="381" t="s">
        <v>447</v>
      </c>
      <c r="C2809" s="381" t="s">
        <v>1964</v>
      </c>
      <c r="D2809" s="383" t="s">
        <v>29</v>
      </c>
      <c r="E2809" s="384" t="s">
        <v>29</v>
      </c>
      <c r="F2809" s="181" t="s">
        <v>31</v>
      </c>
      <c r="G2809" s="14" t="b">
        <f>OR(LCI_Table[[#This Row],[Feedstock]]="All",LCI_Table[[#This Row],[Feedstock]]=SelectedFeedstock)</f>
        <v>0</v>
      </c>
      <c r="H2809" s="14" t="b">
        <f>OR(LCI_Table[[#This Row],[Conversion]]="All",LCI_Table[[#This Row],[Conversion]]=SelectedConversion)</f>
        <v>0</v>
      </c>
      <c r="I2809" s="14" t="b">
        <f>OR(LCI_Table[[#This Row],[Data Set]]="all",LCI_Table[[#This Row],[Data Set]]=SelectedDataSet)</f>
        <v>1</v>
      </c>
      <c r="J2809" s="14" t="b">
        <f>OR(LCI_Table[[#This Row],[Technology]]="All",LCI_Table[[#This Row],[Technology]]=SelectedTechnology)</f>
        <v>1</v>
      </c>
      <c r="K2809" s="14" t="b">
        <f>OR(LCI_Table[[#This Row],[Data Source]]="All",LCI_Table[[#This Row],[Data Source]]=SelectedDataSource)</f>
        <v>1</v>
      </c>
      <c r="L2809" s="14" t="b">
        <f>TRUE</f>
        <v>1</v>
      </c>
      <c r="M2809" s="14" t="b">
        <f>(LCI_Table[[#This Row],[Dev Notes]]="Do not display")</f>
        <v>0</v>
      </c>
      <c r="N2809" s="14" t="b">
        <f>AND(LCI_Table[[#This Row],[Show Feedstock]:[Conditional]],NOT(LCI_Table[[#This Row],[Hide Row]]))</f>
        <v>0</v>
      </c>
      <c r="O2809" s="14" t="b">
        <f>LCI_Table[[#This Row],[GREET1 Name Range]]=""</f>
        <v>1</v>
      </c>
      <c r="P2809" s="387" t="s">
        <v>1448</v>
      </c>
      <c r="Q2809" s="14"/>
      <c r="R2809" s="165" t="s">
        <v>1936</v>
      </c>
      <c r="S2809" s="37" cm="1">
        <f t="array" aca="1" ref="S280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809" s="165" t="s">
        <v>2156</v>
      </c>
      <c r="U2809" s="389">
        <f ca="1">LCI_Table[[#This Row],[Dashboard Value]]/$U$2721*1000</f>
        <v>0</v>
      </c>
      <c r="V2809" s="351">
        <v>0</v>
      </c>
      <c r="W2809" s="351">
        <v>0</v>
      </c>
      <c r="X2809" s="37"/>
      <c r="Y2809" s="346"/>
      <c r="Z2809" s="14"/>
      <c r="AA2809" s="14"/>
      <c r="AB2809" s="14"/>
      <c r="AC2809" s="346"/>
    </row>
    <row r="2810" spans="1:29" x14ac:dyDescent="0.3">
      <c r="A281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dash_SugarcaneATJ-ethanolGREETGREET(blank)_Offsite, Fossil NG-derived H2 consumption_SAF Production</v>
      </c>
      <c r="B2810" s="381" t="s">
        <v>447</v>
      </c>
      <c r="C2810" s="381" t="s">
        <v>1964</v>
      </c>
      <c r="D2810" s="383" t="s">
        <v>29</v>
      </c>
      <c r="E2810" s="384" t="s">
        <v>29</v>
      </c>
      <c r="F2810" s="181" t="s">
        <v>31</v>
      </c>
      <c r="G2810" s="14" t="b">
        <f>OR(LCI_Table[[#This Row],[Feedstock]]="All",LCI_Table[[#This Row],[Feedstock]]=SelectedFeedstock)</f>
        <v>0</v>
      </c>
      <c r="H2810" s="14" t="b">
        <f>OR(LCI_Table[[#This Row],[Conversion]]="All",LCI_Table[[#This Row],[Conversion]]=SelectedConversion)</f>
        <v>0</v>
      </c>
      <c r="I2810" s="14" t="b">
        <f>OR(LCI_Table[[#This Row],[Data Set]]="all",LCI_Table[[#This Row],[Data Set]]=SelectedDataSet)</f>
        <v>1</v>
      </c>
      <c r="J2810" s="14" t="b">
        <f>OR(LCI_Table[[#This Row],[Technology]]="All",LCI_Table[[#This Row],[Technology]]=SelectedTechnology)</f>
        <v>1</v>
      </c>
      <c r="K2810" s="14" t="b">
        <f>OR(LCI_Table[[#This Row],[Data Source]]="All",LCI_Table[[#This Row],[Data Source]]=SelectedDataSource)</f>
        <v>1</v>
      </c>
      <c r="L2810" s="14" t="b">
        <f>TRUE</f>
        <v>1</v>
      </c>
      <c r="M2810" s="14" t="b">
        <f>(LCI_Table[[#This Row],[Dev Notes]]="Do not display")</f>
        <v>0</v>
      </c>
      <c r="N2810" s="14" t="b">
        <f>AND(LCI_Table[[#This Row],[Show Feedstock]:[Conditional]],NOT(LCI_Table[[#This Row],[Hide Row]]))</f>
        <v>0</v>
      </c>
      <c r="O2810" s="14" t="b">
        <f>LCI_Table[[#This Row],[GREET1 Name Range]]=""</f>
        <v>1</v>
      </c>
      <c r="P2810" s="387" t="s">
        <v>1448</v>
      </c>
      <c r="Q2810" s="14"/>
      <c r="R2810" s="165" t="s">
        <v>1937</v>
      </c>
      <c r="S2810" s="37" cm="1">
        <f t="array" aca="1" ref="S281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2658.1290542847378</v>
      </c>
      <c r="T2810" s="165" t="s">
        <v>2157</v>
      </c>
      <c r="U2810" s="389">
        <f ca="1">LCI_Table[[#This Row],[Dashboard Value]]*MT2g/Fuel_Specs!$E$81*Fuel_Specs!$B$81*BTU2mmBTU/$U$2721</f>
        <v>3.9999999999999987E-2</v>
      </c>
      <c r="V2810" s="430">
        <v>2658.1290542847378</v>
      </c>
      <c r="W2810" s="351">
        <v>6.0000000000000157E-2</v>
      </c>
      <c r="X2810" s="37"/>
      <c r="Y2810" s="346"/>
      <c r="Z2810" s="14"/>
      <c r="AA2810" s="14"/>
      <c r="AB2810" s="14"/>
      <c r="AC2810" s="346"/>
    </row>
    <row r="2811" spans="1:29" x14ac:dyDescent="0.3">
      <c r="A281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dash_SugarcaneATJ-ethanolGREETGREET(blank)_Offsite, 45V Modeled H2 consumption_SAF Production</v>
      </c>
      <c r="B2811" s="381" t="s">
        <v>447</v>
      </c>
      <c r="C2811" s="381" t="s">
        <v>1964</v>
      </c>
      <c r="D2811" s="383" t="s">
        <v>29</v>
      </c>
      <c r="E2811" s="384" t="s">
        <v>29</v>
      </c>
      <c r="F2811" s="181" t="s">
        <v>31</v>
      </c>
      <c r="G2811" s="14" t="b">
        <f>OR(LCI_Table[[#This Row],[Feedstock]]="All",LCI_Table[[#This Row],[Feedstock]]=SelectedFeedstock)</f>
        <v>0</v>
      </c>
      <c r="H2811" s="14" t="b">
        <f>OR(LCI_Table[[#This Row],[Conversion]]="All",LCI_Table[[#This Row],[Conversion]]=SelectedConversion)</f>
        <v>0</v>
      </c>
      <c r="I2811" s="14" t="b">
        <f>OR(LCI_Table[[#This Row],[Data Set]]="all",LCI_Table[[#This Row],[Data Set]]=SelectedDataSet)</f>
        <v>1</v>
      </c>
      <c r="J2811" s="14" t="b">
        <f>OR(LCI_Table[[#This Row],[Technology]]="All",LCI_Table[[#This Row],[Technology]]=SelectedTechnology)</f>
        <v>1</v>
      </c>
      <c r="K2811" s="14" t="b">
        <f>OR(LCI_Table[[#This Row],[Data Source]]="All",LCI_Table[[#This Row],[Data Source]]=SelectedDataSource)</f>
        <v>1</v>
      </c>
      <c r="L2811" s="14" t="b">
        <f>TRUE</f>
        <v>1</v>
      </c>
      <c r="M2811" s="14" t="b">
        <f>(LCI_Table[[#This Row],[Dev Notes]]="Do not display")</f>
        <v>0</v>
      </c>
      <c r="N2811" s="14" t="b">
        <f>AND(LCI_Table[[#This Row],[Show Feedstock]:[Conditional]],NOT(LCI_Table[[#This Row],[Hide Row]]))</f>
        <v>0</v>
      </c>
      <c r="O2811" s="14" t="b">
        <f>LCI_Table[[#This Row],[GREET1 Name Range]]=""</f>
        <v>1</v>
      </c>
      <c r="P2811" s="387" t="s">
        <v>1448</v>
      </c>
      <c r="Q2811" s="14"/>
      <c r="R2811" s="165" t="s">
        <v>2282</v>
      </c>
      <c r="S2811" s="37" cm="1">
        <f t="array" aca="1" ref="S281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811" s="165" t="s">
        <v>2157</v>
      </c>
      <c r="U2811" s="389">
        <f ca="1">LCI_Table[[#This Row],[Dashboard Value]]*MT2g/Fuel_Specs!$E$81*Fuel_Specs!$B$81*BTU2mmBTU/$U$2721</f>
        <v>0</v>
      </c>
      <c r="V2811" s="351">
        <v>0</v>
      </c>
      <c r="W2811" s="351">
        <v>0</v>
      </c>
      <c r="X2811" s="37"/>
      <c r="Y2811" s="346"/>
      <c r="Z2811" s="14"/>
      <c r="AA2811" s="14"/>
      <c r="AB2811" s="14"/>
      <c r="AC2811" s="346"/>
    </row>
    <row r="2812" spans="1:29" x14ac:dyDescent="0.3">
      <c r="A281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SugarcaneATJ-ethanolGREETGREET(blank)_SAF_45VModeled_H2_CIOffsite, 45V Modeled H2 CI</v>
      </c>
      <c r="B2812" s="381" t="s">
        <v>447</v>
      </c>
      <c r="C2812" s="381" t="s">
        <v>1964</v>
      </c>
      <c r="D2812" s="383" t="s">
        <v>29</v>
      </c>
      <c r="E2812" s="384" t="s">
        <v>29</v>
      </c>
      <c r="F2812" s="181" t="s">
        <v>31</v>
      </c>
      <c r="G2812" s="14" t="b">
        <f>OR(LCI_Table[[#This Row],[Feedstock]]="All",LCI_Table[[#This Row],[Feedstock]]=SelectedFeedstock)</f>
        <v>0</v>
      </c>
      <c r="H2812" s="14" t="b">
        <f>OR(LCI_Table[[#This Row],[Conversion]]="All",LCI_Table[[#This Row],[Conversion]]=SelectedConversion)</f>
        <v>0</v>
      </c>
      <c r="I2812" s="14" t="b">
        <f>OR(LCI_Table[[#This Row],[Data Set]]="all",LCI_Table[[#This Row],[Data Set]]=SelectedDataSet)</f>
        <v>1</v>
      </c>
      <c r="J2812" s="14" t="b">
        <f>OR(LCI_Table[[#This Row],[Technology]]="All",LCI_Table[[#This Row],[Technology]]=SelectedTechnology)</f>
        <v>1</v>
      </c>
      <c r="K2812" s="14" t="b">
        <f>OR(LCI_Table[[#This Row],[Data Source]]="All",LCI_Table[[#This Row],[Data Source]]=SelectedDataSource)</f>
        <v>1</v>
      </c>
      <c r="L2812" s="14" t="b">
        <f>TRUE</f>
        <v>1</v>
      </c>
      <c r="M2812" s="14" t="b">
        <f>(LCI_Table[[#This Row],[Dev Notes]]="Do not display")</f>
        <v>0</v>
      </c>
      <c r="N2812" s="14" t="b">
        <f>AND(LCI_Table[[#This Row],[Show Feedstock]:[Conditional]],NOT(LCI_Table[[#This Row],[Hide Row]]))</f>
        <v>0</v>
      </c>
      <c r="O2812" s="14" t="b">
        <f>LCI_Table[[#This Row],[GREET1 Name Range]]=""</f>
        <v>0</v>
      </c>
      <c r="P2812" s="387" t="s">
        <v>1448</v>
      </c>
      <c r="Q2812" t="s">
        <v>2291</v>
      </c>
      <c r="R2812" s="165" t="s">
        <v>2283</v>
      </c>
      <c r="S2812" s="37" cm="1">
        <f t="array" aca="1" ref="S281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v>
      </c>
      <c r="T2812" s="165" t="s">
        <v>1967</v>
      </c>
      <c r="U2812" s="420">
        <f ca="1">LCI_Table[[#This Row],[Dashboard Value]]/g2kg*mmBTU2BTU/Fuel_Specs!$B$81*Fuel_Specs!$E$81/1000</f>
        <v>26379.310344827583</v>
      </c>
      <c r="V2812" s="351">
        <v>3</v>
      </c>
      <c r="W2812" s="351">
        <v>26379.310344827583</v>
      </c>
      <c r="X2812" s="37"/>
      <c r="Y2812" s="346"/>
      <c r="Z2812" s="14"/>
      <c r="AA2812" s="14"/>
      <c r="AB2812" s="14"/>
      <c r="AC2812" s="346"/>
    </row>
    <row r="2813" spans="1:29" x14ac:dyDescent="0.3">
      <c r="A281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dash_SoybeanHEFAGREETGREET(blank)_Total fossil NG consumption_SAF Production</v>
      </c>
      <c r="B2813" s="381" t="s">
        <v>10</v>
      </c>
      <c r="C2813" s="381" t="s">
        <v>30</v>
      </c>
      <c r="D2813" s="383" t="s">
        <v>29</v>
      </c>
      <c r="E2813" s="384" t="s">
        <v>29</v>
      </c>
      <c r="F2813" s="181" t="s">
        <v>31</v>
      </c>
      <c r="G2813" s="14" t="b">
        <f>OR(LCI_Table[[#This Row],[Feedstock]]="All",LCI_Table[[#This Row],[Feedstock]]=SelectedFeedstock)</f>
        <v>0</v>
      </c>
      <c r="H2813" s="14" t="b">
        <f>OR(LCI_Table[[#This Row],[Conversion]]="All",LCI_Table[[#This Row],[Conversion]]=SelectedConversion)</f>
        <v>1</v>
      </c>
      <c r="I2813" s="14" t="b">
        <f>OR(LCI_Table[[#This Row],[Data Set]]="all",LCI_Table[[#This Row],[Data Set]]=SelectedDataSet)</f>
        <v>1</v>
      </c>
      <c r="J2813" s="14" t="b">
        <f>OR(LCI_Table[[#This Row],[Technology]]="All",LCI_Table[[#This Row],[Technology]]=SelectedTechnology)</f>
        <v>1</v>
      </c>
      <c r="K2813" s="14" t="b">
        <f>OR(LCI_Table[[#This Row],[Data Source]]="All",LCI_Table[[#This Row],[Data Source]]=SelectedDataSource)</f>
        <v>1</v>
      </c>
      <c r="L2813" s="14" t="b">
        <f>TRUE</f>
        <v>1</v>
      </c>
      <c r="M2813" s="14" t="b">
        <f>(LCI_Table[[#This Row],[Dev Notes]]="Do not display")</f>
        <v>0</v>
      </c>
      <c r="N2813" s="14" t="b">
        <f>AND(LCI_Table[[#This Row],[Show Feedstock]:[Conditional]],NOT(LCI_Table[[#This Row],[Hide Row]]))</f>
        <v>0</v>
      </c>
      <c r="O2813" s="14" t="b">
        <f>LCI_Table[[#This Row],[GREET1 Name Range]]=""</f>
        <v>1</v>
      </c>
      <c r="P2813" s="387" t="s">
        <v>1448</v>
      </c>
      <c r="Q2813" s="14"/>
      <c r="R2813" s="165" t="s">
        <v>1965</v>
      </c>
      <c r="S2813" s="37" cm="1">
        <f t="array" aca="1" ref="S281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123.58926254472973</v>
      </c>
      <c r="T2813" s="165" t="s">
        <v>2156</v>
      </c>
      <c r="U2813" s="389">
        <f ca="1">LCI_Table[[#This Row],[Dashboard Value]]/$U$2706/mmBTU2BTU*Fuel_Specs!$B$48/Fuel_Specs!$E$48/g2lb/0.911711975329766*10^6*1000</f>
        <v>353.04172159785469</v>
      </c>
      <c r="V2813">
        <v>123.58926254472973</v>
      </c>
      <c r="W2813" s="389">
        <v>353.04172159785469</v>
      </c>
      <c r="X2813" s="37"/>
      <c r="Y2813" s="346"/>
      <c r="Z2813" s="14"/>
      <c r="AA2813" s="14"/>
      <c r="AB2813" s="14"/>
      <c r="AC2813" s="346"/>
    </row>
    <row r="2814" spans="1:29" x14ac:dyDescent="0.3">
      <c r="A2814"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dash_SoybeanHEFAGREETGREET(blank)_Total LFG-derived RNG consumption_SAF Production</v>
      </c>
      <c r="B2814" s="381" t="s">
        <v>10</v>
      </c>
      <c r="C2814" s="381" t="s">
        <v>30</v>
      </c>
      <c r="D2814" s="383" t="s">
        <v>29</v>
      </c>
      <c r="E2814" s="384" t="s">
        <v>29</v>
      </c>
      <c r="F2814" s="181" t="s">
        <v>31</v>
      </c>
      <c r="G2814" s="14" t="b">
        <f>OR(LCI_Table[[#This Row],[Feedstock]]="All",LCI_Table[[#This Row],[Feedstock]]=SelectedFeedstock)</f>
        <v>0</v>
      </c>
      <c r="H2814" s="14" t="b">
        <f>OR(LCI_Table[[#This Row],[Conversion]]="All",LCI_Table[[#This Row],[Conversion]]=SelectedConversion)</f>
        <v>1</v>
      </c>
      <c r="I2814" s="14" t="b">
        <f>OR(LCI_Table[[#This Row],[Data Set]]="all",LCI_Table[[#This Row],[Data Set]]=SelectedDataSet)</f>
        <v>1</v>
      </c>
      <c r="J2814" s="14" t="b">
        <f>OR(LCI_Table[[#This Row],[Technology]]="All",LCI_Table[[#This Row],[Technology]]=SelectedTechnology)</f>
        <v>1</v>
      </c>
      <c r="K2814" s="14" t="b">
        <f>OR(LCI_Table[[#This Row],[Data Source]]="All",LCI_Table[[#This Row],[Data Source]]=SelectedDataSource)</f>
        <v>1</v>
      </c>
      <c r="L2814" s="14" t="b">
        <f>TRUE</f>
        <v>1</v>
      </c>
      <c r="M2814" s="14" t="b">
        <f>(LCI_Table[[#This Row],[Dev Notes]]="Do not display")</f>
        <v>0</v>
      </c>
      <c r="N2814" s="14" t="b">
        <f>AND(LCI_Table[[#This Row],[Show Feedstock]:[Conditional]],NOT(LCI_Table[[#This Row],[Hide Row]]))</f>
        <v>0</v>
      </c>
      <c r="O2814" s="14" t="b">
        <f>LCI_Table[[#This Row],[GREET1 Name Range]]=""</f>
        <v>1</v>
      </c>
      <c r="P2814" s="387" t="s">
        <v>1448</v>
      </c>
      <c r="Q2814" s="14"/>
      <c r="R2814" s="165" t="s">
        <v>1936</v>
      </c>
      <c r="S2814" s="37" cm="1">
        <f t="array" aca="1" ref="S281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814" s="165" t="s">
        <v>2156</v>
      </c>
      <c r="U2814" s="389">
        <f ca="1">LCI_Table[[#This Row],[Dashboard Value]]/$U$2706/mmBTU2BTU*Fuel_Specs!$B$48/Fuel_Specs!$E$48/g2lb/0.911711975329766*10^6*1000</f>
        <v>0</v>
      </c>
      <c r="V2814" s="351">
        <v>0</v>
      </c>
      <c r="W2814" s="351">
        <v>0</v>
      </c>
      <c r="X2814" s="37"/>
      <c r="Y2814" s="346"/>
      <c r="Z2814" s="14"/>
      <c r="AA2814" s="14"/>
      <c r="AB2814" s="14"/>
      <c r="AC2814" s="346"/>
    </row>
    <row r="2815" spans="1:29" x14ac:dyDescent="0.3">
      <c r="A2815"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dash_SoybeanHEFAGREETGREET(blank)_Offsite, Fossil NG-derived H2 consumption_SAF Production</v>
      </c>
      <c r="B2815" s="381" t="s">
        <v>10</v>
      </c>
      <c r="C2815" s="381" t="s">
        <v>30</v>
      </c>
      <c r="D2815" s="383" t="s">
        <v>29</v>
      </c>
      <c r="E2815" s="384" t="s">
        <v>29</v>
      </c>
      <c r="F2815" s="181" t="s">
        <v>31</v>
      </c>
      <c r="G2815" s="14" t="b">
        <f>OR(LCI_Table[[#This Row],[Feedstock]]="All",LCI_Table[[#This Row],[Feedstock]]=SelectedFeedstock)</f>
        <v>0</v>
      </c>
      <c r="H2815" s="14" t="b">
        <f>OR(LCI_Table[[#This Row],[Conversion]]="All",LCI_Table[[#This Row],[Conversion]]=SelectedConversion)</f>
        <v>1</v>
      </c>
      <c r="I2815" s="14" t="b">
        <f>OR(LCI_Table[[#This Row],[Data Set]]="all",LCI_Table[[#This Row],[Data Set]]=SelectedDataSet)</f>
        <v>1</v>
      </c>
      <c r="J2815" s="14" t="b">
        <f>OR(LCI_Table[[#This Row],[Technology]]="All",LCI_Table[[#This Row],[Technology]]=SelectedTechnology)</f>
        <v>1</v>
      </c>
      <c r="K2815" s="14" t="b">
        <f>OR(LCI_Table[[#This Row],[Data Source]]="All",LCI_Table[[#This Row],[Data Source]]=SelectedDataSource)</f>
        <v>1</v>
      </c>
      <c r="L2815" s="14" t="b">
        <f>TRUE</f>
        <v>1</v>
      </c>
      <c r="M2815" s="14" t="b">
        <f>(LCI_Table[[#This Row],[Dev Notes]]="Do not display")</f>
        <v>0</v>
      </c>
      <c r="N2815" s="14" t="b">
        <f>AND(LCI_Table[[#This Row],[Show Feedstock]:[Conditional]],NOT(LCI_Table[[#This Row],[Hide Row]]))</f>
        <v>0</v>
      </c>
      <c r="O2815" s="14" t="b">
        <f>LCI_Table[[#This Row],[GREET1 Name Range]]=""</f>
        <v>1</v>
      </c>
      <c r="P2815" s="387" t="s">
        <v>1448</v>
      </c>
      <c r="Q2815" s="14"/>
      <c r="R2815" s="165" t="s">
        <v>1937</v>
      </c>
      <c r="S2815" s="37" cm="1">
        <f t="array" aca="1" ref="S281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6391.6010185010036</v>
      </c>
      <c r="T2815" s="165" t="s">
        <v>2157</v>
      </c>
      <c r="U2815" s="389">
        <f ca="1">LCI_Table[[#This Row],[Dashboard Value]]/$U$2706/mmBTU2BTU*Fuel_Specs!$B$48/Fuel_Specs!$E$48/g2lb/0.911711975329766*MT2g/Fuel_Specs!$E$81*Fuel_Specs!$B$81</f>
        <v>2076.4083477681229</v>
      </c>
      <c r="V2815" s="351">
        <v>6391.6010185010036</v>
      </c>
      <c r="W2815" s="351">
        <v>2076.4083477681229</v>
      </c>
      <c r="X2815" s="37"/>
      <c r="Y2815" s="346"/>
      <c r="Z2815" s="14"/>
      <c r="AA2815" s="14"/>
      <c r="AB2815" s="14"/>
      <c r="AC2815" s="346"/>
    </row>
    <row r="2816" spans="1:29" x14ac:dyDescent="0.3">
      <c r="A2816"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dash_SoybeanHEFAGREETGREET(blank)_Offsite, 45V Modeled H2 consumption_SAF Production</v>
      </c>
      <c r="B2816" s="381" t="s">
        <v>10</v>
      </c>
      <c r="C2816" s="381" t="s">
        <v>30</v>
      </c>
      <c r="D2816" s="383" t="s">
        <v>29</v>
      </c>
      <c r="E2816" s="384" t="s">
        <v>29</v>
      </c>
      <c r="F2816" s="181" t="s">
        <v>31</v>
      </c>
      <c r="G2816" s="14" t="b">
        <f>OR(LCI_Table[[#This Row],[Feedstock]]="All",LCI_Table[[#This Row],[Feedstock]]=SelectedFeedstock)</f>
        <v>0</v>
      </c>
      <c r="H2816" s="14" t="b">
        <f>OR(LCI_Table[[#This Row],[Conversion]]="All",LCI_Table[[#This Row],[Conversion]]=SelectedConversion)</f>
        <v>1</v>
      </c>
      <c r="I2816" s="14" t="b">
        <f>OR(LCI_Table[[#This Row],[Data Set]]="all",LCI_Table[[#This Row],[Data Set]]=SelectedDataSet)</f>
        <v>1</v>
      </c>
      <c r="J2816" s="14" t="b">
        <f>OR(LCI_Table[[#This Row],[Technology]]="All",LCI_Table[[#This Row],[Technology]]=SelectedTechnology)</f>
        <v>1</v>
      </c>
      <c r="K2816" s="14" t="b">
        <f>OR(LCI_Table[[#This Row],[Data Source]]="All",LCI_Table[[#This Row],[Data Source]]=SelectedDataSource)</f>
        <v>1</v>
      </c>
      <c r="L2816" s="14" t="b">
        <f>TRUE</f>
        <v>1</v>
      </c>
      <c r="M2816" s="14" t="b">
        <f>(LCI_Table[[#This Row],[Dev Notes]]="Do not display")</f>
        <v>0</v>
      </c>
      <c r="N2816" s="14" t="b">
        <f>AND(LCI_Table[[#This Row],[Show Feedstock]:[Conditional]],NOT(LCI_Table[[#This Row],[Hide Row]]))</f>
        <v>0</v>
      </c>
      <c r="O2816" s="14" t="b">
        <f>LCI_Table[[#This Row],[GREET1 Name Range]]=""</f>
        <v>1</v>
      </c>
      <c r="P2816" s="387" t="s">
        <v>1448</v>
      </c>
      <c r="Q2816" s="14"/>
      <c r="R2816" s="165" t="s">
        <v>2282</v>
      </c>
      <c r="S2816" s="37" cm="1">
        <f t="array" aca="1" ref="S281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816" s="165" t="s">
        <v>2157</v>
      </c>
      <c r="U2816" s="389">
        <f ca="1">LCI_Table[[#This Row],[Dashboard Value]]/$U$2706/mmBTU2BTU*Fuel_Specs!$B$48/Fuel_Specs!$E$48/g2lb/0.911711975329766*MT2g/Fuel_Specs!$E$81*Fuel_Specs!$B$81</f>
        <v>0</v>
      </c>
      <c r="V2816" s="351">
        <v>0</v>
      </c>
      <c r="W2816" s="351">
        <v>0</v>
      </c>
      <c r="X2816" s="37"/>
      <c r="Y2816" s="346"/>
      <c r="Z2816" s="14"/>
      <c r="AA2816" s="14"/>
      <c r="AB2816" s="14"/>
      <c r="AC2816" s="346"/>
    </row>
    <row r="2817" spans="1:29" x14ac:dyDescent="0.3">
      <c r="A2817"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SoybeanHEFAGREETGREET(blank)_SAF_45VModeled_H2_CIOffsite, 45V Modeled H2 CI</v>
      </c>
      <c r="B2817" s="381" t="s">
        <v>10</v>
      </c>
      <c r="C2817" s="381" t="s">
        <v>30</v>
      </c>
      <c r="D2817" s="383" t="s">
        <v>29</v>
      </c>
      <c r="E2817" s="384" t="s">
        <v>29</v>
      </c>
      <c r="F2817" s="181" t="s">
        <v>31</v>
      </c>
      <c r="G2817" s="14" t="b">
        <f>OR(LCI_Table[[#This Row],[Feedstock]]="All",LCI_Table[[#This Row],[Feedstock]]=SelectedFeedstock)</f>
        <v>0</v>
      </c>
      <c r="H2817" s="14" t="b">
        <f>OR(LCI_Table[[#This Row],[Conversion]]="All",LCI_Table[[#This Row],[Conversion]]=SelectedConversion)</f>
        <v>1</v>
      </c>
      <c r="I2817" s="14" t="b">
        <f>OR(LCI_Table[[#This Row],[Data Set]]="all",LCI_Table[[#This Row],[Data Set]]=SelectedDataSet)</f>
        <v>1</v>
      </c>
      <c r="J2817" s="14" t="b">
        <f>OR(LCI_Table[[#This Row],[Technology]]="All",LCI_Table[[#This Row],[Technology]]=SelectedTechnology)</f>
        <v>1</v>
      </c>
      <c r="K2817" s="14" t="b">
        <f>OR(LCI_Table[[#This Row],[Data Source]]="All",LCI_Table[[#This Row],[Data Source]]=SelectedDataSource)</f>
        <v>1</v>
      </c>
      <c r="L2817" s="14" t="b">
        <f>TRUE</f>
        <v>1</v>
      </c>
      <c r="M2817" s="14" t="b">
        <f>(LCI_Table[[#This Row],[Dev Notes]]="Do not display")</f>
        <v>0</v>
      </c>
      <c r="N2817" s="14" t="b">
        <f>AND(LCI_Table[[#This Row],[Show Feedstock]:[Conditional]],NOT(LCI_Table[[#This Row],[Hide Row]]))</f>
        <v>0</v>
      </c>
      <c r="O2817" s="14" t="b">
        <f>LCI_Table[[#This Row],[GREET1 Name Range]]=""</f>
        <v>0</v>
      </c>
      <c r="P2817" s="387" t="s">
        <v>1448</v>
      </c>
      <c r="Q2817" t="s">
        <v>2291</v>
      </c>
      <c r="R2817" s="165" t="s">
        <v>2283</v>
      </c>
      <c r="S2817" s="37" cm="1">
        <f t="array" aca="1" ref="S281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v>
      </c>
      <c r="T2817" s="165" t="s">
        <v>1967</v>
      </c>
      <c r="U2817" s="420">
        <f ca="1">LCI_Table[[#This Row],[Dashboard Value]]/g2kg*mmBTU2BTU/Fuel_Specs!$B$81*Fuel_Specs!$E$81/1000</f>
        <v>26379.310344827583</v>
      </c>
      <c r="V2817" s="351">
        <v>3</v>
      </c>
      <c r="W2817" s="351">
        <v>26379.310344827583</v>
      </c>
      <c r="X2817" s="37"/>
      <c r="Y2817" s="346"/>
      <c r="Z2817" s="14"/>
      <c r="AA2817" s="14"/>
      <c r="AB2817" s="14"/>
      <c r="AC2817" s="346"/>
    </row>
    <row r="2818" spans="1:29" x14ac:dyDescent="0.3">
      <c r="A2818"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Facilities_Total fossil NG consumption_SAF Production</v>
      </c>
      <c r="B2818" s="381" t="s">
        <v>136</v>
      </c>
      <c r="C2818" s="381" t="s">
        <v>1964</v>
      </c>
      <c r="D2818" s="383" t="s">
        <v>29</v>
      </c>
      <c r="E2818" s="384" t="s">
        <v>29</v>
      </c>
      <c r="F2818" s="181" t="s">
        <v>1592</v>
      </c>
      <c r="G2818" s="14" t="b">
        <f>OR(LCI_Table[[#This Row],[Feedstock]]="All",LCI_Table[[#This Row],[Feedstock]]=SelectedFeedstock)</f>
        <v>0</v>
      </c>
      <c r="H2818" s="14" t="b">
        <f>OR(LCI_Table[[#This Row],[Conversion]]="All",LCI_Table[[#This Row],[Conversion]]=SelectedConversion)</f>
        <v>0</v>
      </c>
      <c r="I2818" s="14" t="b">
        <f>OR(LCI_Table[[#This Row],[Data Set]]="all",LCI_Table[[#This Row],[Data Set]]=SelectedDataSet)</f>
        <v>1</v>
      </c>
      <c r="J2818" s="14" t="b">
        <f>OR(LCI_Table[[#This Row],[Technology]]="All",LCI_Table[[#This Row],[Technology]]=SelectedTechnology)</f>
        <v>0</v>
      </c>
      <c r="K2818" s="14" t="b">
        <f>OR(LCI_Table[[#This Row],[Data Source]]="All",LCI_Table[[#This Row],[Data Source]]=SelectedDataSource)</f>
        <v>1</v>
      </c>
      <c r="L2818" s="14" t="b">
        <f>TRUE</f>
        <v>1</v>
      </c>
      <c r="M2818" s="14" t="b">
        <f>(LCI_Table[[#This Row],[Dev Notes]]="Do not display")</f>
        <v>0</v>
      </c>
      <c r="N2818" s="14" t="b">
        <f>AND(LCI_Table[[#This Row],[Show Feedstock]:[Conditional]],NOT(LCI_Table[[#This Row],[Hide Row]]))</f>
        <v>0</v>
      </c>
      <c r="O2818" s="14" t="b">
        <f>LCI_Table[[#This Row],[GREET1 Name Range]]=""</f>
        <v>1</v>
      </c>
      <c r="P2818" s="387" t="s">
        <v>1448</v>
      </c>
      <c r="Q2818" s="14"/>
      <c r="R2818" s="165" t="s">
        <v>1965</v>
      </c>
      <c r="S2818" s="37" cm="1">
        <f t="array" aca="1" ref="S281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755.74257425742564</v>
      </c>
      <c r="T2818" s="165" t="s">
        <v>2156</v>
      </c>
      <c r="U2818" s="392">
        <f ca="1">LCI_Table[[#This Row],[Dashboard Value]]/$U$2691*1000</f>
        <v>0.1</v>
      </c>
      <c r="V2818" s="431">
        <v>755.74257425742564</v>
      </c>
      <c r="W2818" s="389">
        <v>0.18000000000000102</v>
      </c>
      <c r="X2818" s="37"/>
      <c r="Y2818" s="346"/>
      <c r="Z2818" s="14"/>
      <c r="AA2818" s="14"/>
      <c r="AB2818" s="14"/>
      <c r="AC2818" s="346"/>
    </row>
    <row r="2819" spans="1:29" x14ac:dyDescent="0.3">
      <c r="A2819"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Facilities_Total LFG-derived RNG consumption_SAF Production</v>
      </c>
      <c r="B2819" s="381" t="s">
        <v>136</v>
      </c>
      <c r="C2819" s="381" t="s">
        <v>1964</v>
      </c>
      <c r="D2819" s="383" t="s">
        <v>29</v>
      </c>
      <c r="E2819" s="384" t="s">
        <v>29</v>
      </c>
      <c r="F2819" s="181" t="s">
        <v>1592</v>
      </c>
      <c r="G2819" s="14" t="b">
        <f>OR(LCI_Table[[#This Row],[Feedstock]]="All",LCI_Table[[#This Row],[Feedstock]]=SelectedFeedstock)</f>
        <v>0</v>
      </c>
      <c r="H2819" s="14" t="b">
        <f>OR(LCI_Table[[#This Row],[Conversion]]="All",LCI_Table[[#This Row],[Conversion]]=SelectedConversion)</f>
        <v>0</v>
      </c>
      <c r="I2819" s="14" t="b">
        <f>OR(LCI_Table[[#This Row],[Data Set]]="all",LCI_Table[[#This Row],[Data Set]]=SelectedDataSet)</f>
        <v>1</v>
      </c>
      <c r="J2819" s="14" t="b">
        <f>OR(LCI_Table[[#This Row],[Technology]]="All",LCI_Table[[#This Row],[Technology]]=SelectedTechnology)</f>
        <v>0</v>
      </c>
      <c r="K2819" s="14" t="b">
        <f>OR(LCI_Table[[#This Row],[Data Source]]="All",LCI_Table[[#This Row],[Data Source]]=SelectedDataSource)</f>
        <v>1</v>
      </c>
      <c r="L2819" s="14" t="b">
        <f>TRUE</f>
        <v>1</v>
      </c>
      <c r="M2819" s="14" t="b">
        <f>(LCI_Table[[#This Row],[Dev Notes]]="Do not display")</f>
        <v>0</v>
      </c>
      <c r="N2819" s="14" t="b">
        <f>AND(LCI_Table[[#This Row],[Show Feedstock]:[Conditional]],NOT(LCI_Table[[#This Row],[Hide Row]]))</f>
        <v>0</v>
      </c>
      <c r="O2819" s="14" t="b">
        <f>LCI_Table[[#This Row],[GREET1 Name Range]]=""</f>
        <v>1</v>
      </c>
      <c r="P2819" s="387" t="s">
        <v>1448</v>
      </c>
      <c r="Q2819" s="14"/>
      <c r="R2819" s="165" t="s">
        <v>1936</v>
      </c>
      <c r="S2819" s="37" cm="1">
        <f t="array" aca="1" ref="S281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819" s="165" t="s">
        <v>2156</v>
      </c>
      <c r="U2819" s="392">
        <f ca="1">LCI_Table[[#This Row],[Dashboard Value]]/$U$2691*1000</f>
        <v>0</v>
      </c>
      <c r="V2819" s="351">
        <v>0</v>
      </c>
      <c r="W2819" s="351">
        <v>0</v>
      </c>
      <c r="X2819" s="37"/>
      <c r="Y2819" s="346"/>
      <c r="Z2819" s="14"/>
      <c r="AA2819" s="14"/>
      <c r="AB2819" s="14"/>
      <c r="AC2819" s="346"/>
    </row>
    <row r="2820" spans="1:29" x14ac:dyDescent="0.3">
      <c r="A2820"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Facilities_Offsite, Fossil NG-derived H2 consumption_SAF Production</v>
      </c>
      <c r="B2820" s="381" t="s">
        <v>136</v>
      </c>
      <c r="C2820" s="381" t="s">
        <v>1964</v>
      </c>
      <c r="D2820" s="383" t="s">
        <v>29</v>
      </c>
      <c r="E2820" s="384" t="s">
        <v>29</v>
      </c>
      <c r="F2820" s="181" t="s">
        <v>1592</v>
      </c>
      <c r="G2820" s="14" t="b">
        <f>OR(LCI_Table[[#This Row],[Feedstock]]="All",LCI_Table[[#This Row],[Feedstock]]=SelectedFeedstock)</f>
        <v>0</v>
      </c>
      <c r="H2820" s="14" t="b">
        <f>OR(LCI_Table[[#This Row],[Conversion]]="All",LCI_Table[[#This Row],[Conversion]]=SelectedConversion)</f>
        <v>0</v>
      </c>
      <c r="I2820" s="14" t="b">
        <f>OR(LCI_Table[[#This Row],[Data Set]]="all",LCI_Table[[#This Row],[Data Set]]=SelectedDataSet)</f>
        <v>1</v>
      </c>
      <c r="J2820" s="14" t="b">
        <f>OR(LCI_Table[[#This Row],[Technology]]="All",LCI_Table[[#This Row],[Technology]]=SelectedTechnology)</f>
        <v>0</v>
      </c>
      <c r="K2820" s="14" t="b">
        <f>OR(LCI_Table[[#This Row],[Data Source]]="All",LCI_Table[[#This Row],[Data Source]]=SelectedDataSource)</f>
        <v>1</v>
      </c>
      <c r="L2820" s="14" t="b">
        <f>TRUE</f>
        <v>1</v>
      </c>
      <c r="M2820" s="14" t="b">
        <f>(LCI_Table[[#This Row],[Dev Notes]]="Do not display")</f>
        <v>0</v>
      </c>
      <c r="N2820" s="14" t="b">
        <f>AND(LCI_Table[[#This Row],[Show Feedstock]:[Conditional]],NOT(LCI_Table[[#This Row],[Hide Row]]))</f>
        <v>0</v>
      </c>
      <c r="O2820" s="14" t="b">
        <f>LCI_Table[[#This Row],[GREET1 Name Range]]=""</f>
        <v>1</v>
      </c>
      <c r="P2820" s="387" t="s">
        <v>1448</v>
      </c>
      <c r="Q2820" s="14"/>
      <c r="R2820" s="165" t="s">
        <v>1937</v>
      </c>
      <c r="S2820" s="37" cm="1">
        <f t="array" aca="1" ref="S282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2658.1290542847378</v>
      </c>
      <c r="T2820" s="165" t="s">
        <v>2157</v>
      </c>
      <c r="U2820" s="392">
        <f ca="1">LCI_Table[[#This Row],[Dashboard Value]]*MT2g/Fuel_Specs!$E$81*Fuel_Specs!$B$81*BTU2mmBTU/$U$2691</f>
        <v>3.9999999999999987E-2</v>
      </c>
      <c r="V2820" s="430">
        <v>2658.1290542847378</v>
      </c>
      <c r="W2820">
        <v>6.0000000000000143E-2</v>
      </c>
      <c r="X2820" s="37"/>
      <c r="Y2820" s="346"/>
      <c r="Z2820" s="14"/>
      <c r="AA2820" s="14"/>
      <c r="AB2820" s="14"/>
      <c r="AC2820" s="346"/>
    </row>
    <row r="2821" spans="1:29" x14ac:dyDescent="0.3">
      <c r="A2821"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Facilities_Offsite, 45V Modeled H2 consumption_SAF Production</v>
      </c>
      <c r="B2821" s="381" t="s">
        <v>136</v>
      </c>
      <c r="C2821" s="381" t="s">
        <v>1964</v>
      </c>
      <c r="D2821" s="383" t="s">
        <v>29</v>
      </c>
      <c r="E2821" s="384" t="s">
        <v>29</v>
      </c>
      <c r="F2821" s="181" t="s">
        <v>1592</v>
      </c>
      <c r="G2821" s="14" t="b">
        <f>OR(LCI_Table[[#This Row],[Feedstock]]="All",LCI_Table[[#This Row],[Feedstock]]=SelectedFeedstock)</f>
        <v>0</v>
      </c>
      <c r="H2821" s="14" t="b">
        <f>OR(LCI_Table[[#This Row],[Conversion]]="All",LCI_Table[[#This Row],[Conversion]]=SelectedConversion)</f>
        <v>0</v>
      </c>
      <c r="I2821" s="14" t="b">
        <f>OR(LCI_Table[[#This Row],[Data Set]]="all",LCI_Table[[#This Row],[Data Set]]=SelectedDataSet)</f>
        <v>1</v>
      </c>
      <c r="J2821" s="14" t="b">
        <f>OR(LCI_Table[[#This Row],[Technology]]="All",LCI_Table[[#This Row],[Technology]]=SelectedTechnology)</f>
        <v>0</v>
      </c>
      <c r="K2821" s="14" t="b">
        <f>OR(LCI_Table[[#This Row],[Data Source]]="All",LCI_Table[[#This Row],[Data Source]]=SelectedDataSource)</f>
        <v>1</v>
      </c>
      <c r="L2821" s="14" t="b">
        <f>TRUE</f>
        <v>1</v>
      </c>
      <c r="M2821" s="14" t="b">
        <f>(LCI_Table[[#This Row],[Dev Notes]]="Do not display")</f>
        <v>0</v>
      </c>
      <c r="N2821" s="14" t="b">
        <f>AND(LCI_Table[[#This Row],[Show Feedstock]:[Conditional]],NOT(LCI_Table[[#This Row],[Hide Row]]))</f>
        <v>0</v>
      </c>
      <c r="O2821" s="14" t="b">
        <f>LCI_Table[[#This Row],[GREET1 Name Range]]=""</f>
        <v>1</v>
      </c>
      <c r="P2821" s="387" t="s">
        <v>1448</v>
      </c>
      <c r="Q2821" s="14"/>
      <c r="R2821" s="165" t="s">
        <v>2282</v>
      </c>
      <c r="S2821" s="37" cm="1">
        <f t="array" aca="1" ref="S282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821" s="165" t="s">
        <v>2157</v>
      </c>
      <c r="U2821" s="392">
        <f ca="1">LCI_Table[[#This Row],[Dashboard Value]]*MT2g/Fuel_Specs!$E$81*Fuel_Specs!$B$81*BTU2mmBTU/$U$2691</f>
        <v>0</v>
      </c>
      <c r="V2821" s="351">
        <v>0</v>
      </c>
      <c r="W2821" s="351">
        <v>0</v>
      </c>
      <c r="X2821" s="37"/>
      <c r="Y2821" s="346"/>
      <c r="Z2821" s="14"/>
      <c r="AA2821" s="14"/>
      <c r="AB2821" s="14"/>
      <c r="AC2821" s="346"/>
    </row>
    <row r="2822" spans="1:29" x14ac:dyDescent="0.3">
      <c r="A2822"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Facilities_SAF_45VModeled_H2_CIOffsite, 45V Modeled H2 CI</v>
      </c>
      <c r="B2822" s="382" t="s">
        <v>136</v>
      </c>
      <c r="C2822" s="382" t="s">
        <v>1964</v>
      </c>
      <c r="D2822" s="385" t="s">
        <v>29</v>
      </c>
      <c r="E2822" s="386" t="s">
        <v>29</v>
      </c>
      <c r="F2822" s="181" t="s">
        <v>1592</v>
      </c>
      <c r="G2822" s="14" t="b">
        <f>OR(LCI_Table[[#This Row],[Feedstock]]="All",LCI_Table[[#This Row],[Feedstock]]=SelectedFeedstock)</f>
        <v>0</v>
      </c>
      <c r="H2822" s="14" t="b">
        <f>OR(LCI_Table[[#This Row],[Conversion]]="All",LCI_Table[[#This Row],[Conversion]]=SelectedConversion)</f>
        <v>0</v>
      </c>
      <c r="I2822" s="14" t="b">
        <f>OR(LCI_Table[[#This Row],[Data Set]]="all",LCI_Table[[#This Row],[Data Set]]=SelectedDataSet)</f>
        <v>1</v>
      </c>
      <c r="J2822" s="14" t="b">
        <f>OR(LCI_Table[[#This Row],[Technology]]="All",LCI_Table[[#This Row],[Technology]]=SelectedTechnology)</f>
        <v>0</v>
      </c>
      <c r="K2822" s="14" t="b">
        <f>OR(LCI_Table[[#This Row],[Data Source]]="All",LCI_Table[[#This Row],[Data Source]]=SelectedDataSource)</f>
        <v>1</v>
      </c>
      <c r="L2822" s="14" t="b">
        <f>TRUE</f>
        <v>1</v>
      </c>
      <c r="M2822" s="14" t="b">
        <f>(LCI_Table[[#This Row],[Dev Notes]]="Do not display")</f>
        <v>0</v>
      </c>
      <c r="N2822" s="14" t="b">
        <f>AND(LCI_Table[[#This Row],[Show Feedstock]:[Conditional]],NOT(LCI_Table[[#This Row],[Hide Row]]))</f>
        <v>0</v>
      </c>
      <c r="O2822" s="14" t="b">
        <f>LCI_Table[[#This Row],[GREET1 Name Range]]=""</f>
        <v>0</v>
      </c>
      <c r="P2822" s="391" t="s">
        <v>1448</v>
      </c>
      <c r="Q2822" t="s">
        <v>2291</v>
      </c>
      <c r="R2822" s="165" t="s">
        <v>2283</v>
      </c>
      <c r="S2822" s="37" cm="1">
        <f t="array" aca="1" ref="S282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3</v>
      </c>
      <c r="T2822" s="165" t="s">
        <v>1967</v>
      </c>
      <c r="U2822" s="419">
        <f ca="1">LCI_Table[[#This Row],[Dashboard Value]]/g2kg*mmBTU2BTU/Fuel_Specs!$B$81*Fuel_Specs!$E$81/1000</f>
        <v>26379.310344827583</v>
      </c>
      <c r="V2822" s="389">
        <v>3</v>
      </c>
      <c r="W2822" s="389">
        <v>26379.310344827583</v>
      </c>
      <c r="X2822" s="37"/>
      <c r="Y2822" s="346"/>
      <c r="Z2822" s="14"/>
      <c r="AA2822" s="14"/>
      <c r="AB2822" s="14"/>
      <c r="AC2822" s="346"/>
    </row>
    <row r="2823" spans="1:29" x14ac:dyDescent="0.3">
      <c r="A2823" s="14"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Facilities_Total fossil NG consumption_Ethanol production</v>
      </c>
      <c r="B2823" s="381" t="s">
        <v>136</v>
      </c>
      <c r="C2823" s="381" t="s">
        <v>1964</v>
      </c>
      <c r="D2823" s="383" t="s">
        <v>29</v>
      </c>
      <c r="E2823" s="384" t="s">
        <v>29</v>
      </c>
      <c r="F2823" s="181" t="s">
        <v>1592</v>
      </c>
      <c r="G2823" s="14" t="b">
        <f>OR(LCI_Table[[#This Row],[Feedstock]]="All",LCI_Table[[#This Row],[Feedstock]]=SelectedFeedstock)</f>
        <v>0</v>
      </c>
      <c r="H2823" s="14" t="b">
        <f>OR(LCI_Table[[#This Row],[Conversion]]="All",LCI_Table[[#This Row],[Conversion]]=SelectedConversion)</f>
        <v>0</v>
      </c>
      <c r="I2823" s="14" t="b">
        <f>OR(LCI_Table[[#This Row],[Data Set]]="all",LCI_Table[[#This Row],[Data Set]]=SelectedDataSet)</f>
        <v>1</v>
      </c>
      <c r="J2823" s="14" t="b">
        <f>OR(LCI_Table[[#This Row],[Technology]]="All",LCI_Table[[#This Row],[Technology]]=SelectedTechnology)</f>
        <v>0</v>
      </c>
      <c r="K2823" s="14" t="b">
        <f>OR(LCI_Table[[#This Row],[Data Source]]="All",LCI_Table[[#This Row],[Data Source]]=SelectedDataSource)</f>
        <v>1</v>
      </c>
      <c r="L2823" s="14" t="b">
        <f>TRUE</f>
        <v>1</v>
      </c>
      <c r="M2823" s="14" t="b">
        <f>(LCI_Table[[#This Row],[Dev Notes]]="Do not display")</f>
        <v>0</v>
      </c>
      <c r="N2823" s="14" t="b">
        <f>AND(LCI_Table[[#This Row],[Show Feedstock]:[Conditional]],NOT(LCI_Table[[#This Row],[Hide Row]]))</f>
        <v>0</v>
      </c>
      <c r="O2823" s="14" t="b">
        <f>LCI_Table[[#This Row],[GREET1 Name Range]]=""</f>
        <v>1</v>
      </c>
      <c r="P2823" s="387" t="s">
        <v>1396</v>
      </c>
      <c r="Q2823" s="14"/>
      <c r="R2823" s="165" t="s">
        <v>1965</v>
      </c>
      <c r="S2823" s="37" cm="1">
        <f t="array" aca="1" ref="S2823"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2238.6042240587699</v>
      </c>
      <c r="T2823" s="165" t="s">
        <v>2156</v>
      </c>
      <c r="U2823" s="392">
        <f ca="1">LCI_Table[[#This Row],[Dashboard Value]]/$S$2676*1000</f>
        <v>22386.0422405877</v>
      </c>
      <c r="V2823" s="351">
        <v>2238.6042240587699</v>
      </c>
      <c r="W2823" s="351">
        <v>2238.6042240587699</v>
      </c>
      <c r="X2823" s="37"/>
      <c r="Y2823" s="346"/>
      <c r="Z2823" s="14"/>
      <c r="AA2823" s="14"/>
      <c r="AB2823" s="14"/>
      <c r="AC2823" s="346"/>
    </row>
    <row r="2824" spans="1:29" x14ac:dyDescent="0.3">
      <c r="A2824" s="402"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dash_CornATJ-ethanolGREETGREETStandalone Facilities_Total LFG-derived RNG consumption_Ethanol production</v>
      </c>
      <c r="B2824" s="382" t="s">
        <v>136</v>
      </c>
      <c r="C2824" s="382" t="s">
        <v>1964</v>
      </c>
      <c r="D2824" s="385" t="s">
        <v>29</v>
      </c>
      <c r="E2824" s="386" t="s">
        <v>29</v>
      </c>
      <c r="F2824" s="181" t="s">
        <v>1592</v>
      </c>
      <c r="G2824" s="402" t="b">
        <f>OR(LCI_Table[[#This Row],[Feedstock]]="All",LCI_Table[[#This Row],[Feedstock]]=SelectedFeedstock)</f>
        <v>0</v>
      </c>
      <c r="H2824" s="402" t="b">
        <f>OR(LCI_Table[[#This Row],[Conversion]]="All",LCI_Table[[#This Row],[Conversion]]=SelectedConversion)</f>
        <v>0</v>
      </c>
      <c r="I2824" s="402" t="b">
        <f>OR(LCI_Table[[#This Row],[Data Set]]="all",LCI_Table[[#This Row],[Data Set]]=SelectedDataSet)</f>
        <v>1</v>
      </c>
      <c r="J2824" s="402" t="b">
        <f>OR(LCI_Table[[#This Row],[Technology]]="All",LCI_Table[[#This Row],[Technology]]=SelectedTechnology)</f>
        <v>0</v>
      </c>
      <c r="K2824" s="402" t="b">
        <f>OR(LCI_Table[[#This Row],[Data Source]]="All",LCI_Table[[#This Row],[Data Source]]=SelectedDataSource)</f>
        <v>1</v>
      </c>
      <c r="L2824" s="402" t="b">
        <f>TRUE</f>
        <v>1</v>
      </c>
      <c r="M2824" s="402" t="b">
        <f>(LCI_Table[[#This Row],[Dev Notes]]="Do not display")</f>
        <v>0</v>
      </c>
      <c r="N2824" s="402" t="b">
        <f>AND(LCI_Table[[#This Row],[Show Feedstock]:[Conditional]],NOT(LCI_Table[[#This Row],[Hide Row]]))</f>
        <v>0</v>
      </c>
      <c r="O2824" s="402" t="b">
        <f>LCI_Table[[#This Row],[GREET1 Name Range]]=""</f>
        <v>1</v>
      </c>
      <c r="P2824" s="427" t="s">
        <v>1396</v>
      </c>
      <c r="Q2824" s="14"/>
      <c r="R2824" s="165" t="s">
        <v>1936</v>
      </c>
      <c r="S2824" s="407" cm="1">
        <f t="array" aca="1" ref="S2824"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824" s="165" t="s">
        <v>2156</v>
      </c>
      <c r="U2824" s="408">
        <f ca="1">LCI_Table[[#This Row],[Dashboard Value]]/$S$2676*1000</f>
        <v>0</v>
      </c>
      <c r="V2824" s="389">
        <v>0</v>
      </c>
      <c r="W2824" s="389">
        <v>0</v>
      </c>
      <c r="X2824" s="37"/>
      <c r="Y2824" s="346"/>
      <c r="Z2824" s="14"/>
      <c r="AA2824" s="14"/>
      <c r="AB2824" s="346"/>
      <c r="AC2824" s="346"/>
    </row>
    <row r="2825" spans="1:29" x14ac:dyDescent="0.3">
      <c r="A2825" s="402"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CornATJ-ethanolGREETGREETStandalone Facilities_Corn_Fermentation_CoalTotal coal consumption</v>
      </c>
      <c r="B2825" s="410" t="s">
        <v>136</v>
      </c>
      <c r="C2825" s="410" t="s">
        <v>1964</v>
      </c>
      <c r="D2825" s="411" t="s">
        <v>29</v>
      </c>
      <c r="E2825" s="412" t="s">
        <v>29</v>
      </c>
      <c r="F2825" s="401" t="s">
        <v>1592</v>
      </c>
      <c r="G2825" s="402" t="b">
        <f>OR(LCI_Table[[#This Row],[Feedstock]]="All",LCI_Table[[#This Row],[Feedstock]]=SelectedFeedstock)</f>
        <v>0</v>
      </c>
      <c r="H2825" s="402" t="b">
        <f>OR(LCI_Table[[#This Row],[Conversion]]="All",LCI_Table[[#This Row],[Conversion]]=SelectedConversion)</f>
        <v>0</v>
      </c>
      <c r="I2825" s="402" t="b">
        <f>OR(LCI_Table[[#This Row],[Data Set]]="all",LCI_Table[[#This Row],[Data Set]]=SelectedDataSet)</f>
        <v>1</v>
      </c>
      <c r="J2825" s="402" t="b">
        <f>OR(LCI_Table[[#This Row],[Technology]]="All",LCI_Table[[#This Row],[Technology]]=SelectedTechnology)</f>
        <v>0</v>
      </c>
      <c r="K2825" s="402" t="b">
        <f>OR(LCI_Table[[#This Row],[Data Source]]="All",LCI_Table[[#This Row],[Data Source]]=SelectedDataSource)</f>
        <v>1</v>
      </c>
      <c r="L2825" s="402" t="b">
        <f>TRUE</f>
        <v>1</v>
      </c>
      <c r="M2825" s="402" t="b">
        <f>(LCI_Table[[#This Row],[Dev Notes]]="Do not display")</f>
        <v>0</v>
      </c>
      <c r="N2825" s="402" t="b">
        <f>AND(LCI_Table[[#This Row],[Show Feedstock]:[Conditional]],NOT(LCI_Table[[#This Row],[Hide Row]]))</f>
        <v>0</v>
      </c>
      <c r="O2825" s="402" t="b">
        <f>LCI_Table[[#This Row],[GREET1 Name Range]]=""</f>
        <v>0</v>
      </c>
      <c r="P2825" s="427" t="s">
        <v>1396</v>
      </c>
      <c r="Q2825" s="402" t="s">
        <v>1656</v>
      </c>
      <c r="R2825" s="122" t="s">
        <v>1982</v>
      </c>
      <c r="S2825" s="407" cm="1">
        <f t="array" aca="1" ref="S2825"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9.4198202974524197</v>
      </c>
      <c r="T2825" s="122" t="s">
        <v>2156</v>
      </c>
      <c r="U2825" s="408">
        <f ca="1">LCI_Table[[#This Row],[Dashboard Value]]/$S$2676*1000</f>
        <v>94.198202974524193</v>
      </c>
      <c r="V2825" s="408">
        <f>94.1982029745242/10</f>
        <v>9.4198202974524197</v>
      </c>
      <c r="W2825" s="408">
        <v>0</v>
      </c>
      <c r="X2825" s="407"/>
      <c r="Y2825" s="403"/>
      <c r="Z2825" s="14"/>
      <c r="AA2825" s="402"/>
      <c r="AB2825" s="402"/>
      <c r="AC2825" s="403"/>
    </row>
    <row r="2826" spans="1:29" x14ac:dyDescent="0.3">
      <c r="A2826" s="402"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dash_SugarcaneATJ-ethanolGREETGREET(blank)_Ethanol production_Ethanol production</v>
      </c>
      <c r="B2826" s="404" t="s">
        <v>447</v>
      </c>
      <c r="C2826" s="404" t="s">
        <v>1964</v>
      </c>
      <c r="D2826" s="405" t="s">
        <v>29</v>
      </c>
      <c r="E2826" s="406" t="s">
        <v>29</v>
      </c>
      <c r="F2826" s="401" t="s">
        <v>31</v>
      </c>
      <c r="G2826" s="14" t="b">
        <f>OR(LCI_Table[[#This Row],[Feedstock]]="All",LCI_Table[[#This Row],[Feedstock]]=SelectedFeedstock)</f>
        <v>0</v>
      </c>
      <c r="H2826" s="14" t="b">
        <f>OR(LCI_Table[[#This Row],[Conversion]]="All",LCI_Table[[#This Row],[Conversion]]=SelectedConversion)</f>
        <v>0</v>
      </c>
      <c r="I2826" s="14" t="b">
        <f>OR(LCI_Table[[#This Row],[Data Set]]="all",LCI_Table[[#This Row],[Data Set]]=SelectedDataSet)</f>
        <v>1</v>
      </c>
      <c r="J2826" s="14" t="b">
        <f>OR(LCI_Table[[#This Row],[Technology]]="All",LCI_Table[[#This Row],[Technology]]=SelectedTechnology)</f>
        <v>1</v>
      </c>
      <c r="K2826" s="14" t="b">
        <f>OR(LCI_Table[[#This Row],[Data Source]]="All",LCI_Table[[#This Row],[Data Source]]=SelectedDataSource)</f>
        <v>1</v>
      </c>
      <c r="L2826" s="14" t="b">
        <v>1</v>
      </c>
      <c r="M2826" s="14" t="b">
        <f>(LCI_Table[[#This Row],[Dev Notes]]="Do not display")</f>
        <v>0</v>
      </c>
      <c r="N2826" s="14" t="b">
        <f>AND(LCI_Table[[#This Row],[Show Feedstock]:[Conditional]],NOT(LCI_Table[[#This Row],[Hide Row]]))</f>
        <v>0</v>
      </c>
      <c r="O2826" s="14" t="b">
        <f>LCI_Table[[#This Row],[GREET1 Name Range]]=""</f>
        <v>1</v>
      </c>
      <c r="P2826" s="391" t="s">
        <v>1396</v>
      </c>
      <c r="Q2826" s="122"/>
      <c r="R2826" s="122" t="s">
        <v>1396</v>
      </c>
      <c r="S2826" s="407" cm="1">
        <f t="array" aca="1" ref="S2826"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100</v>
      </c>
      <c r="T2826" s="122" t="s">
        <v>1859</v>
      </c>
      <c r="U2826" s="408">
        <f ca="1">LCI_Table[[#This Row],[Dashboard Value]]</f>
        <v>100</v>
      </c>
      <c r="V2826" s="409">
        <v>100</v>
      </c>
      <c r="W2826" s="409">
        <v>100</v>
      </c>
      <c r="X2826" s="407"/>
      <c r="Y2826" s="403"/>
      <c r="Z2826" s="14"/>
      <c r="AA2826" s="402"/>
      <c r="AB2826" s="403"/>
      <c r="AC2826" s="403"/>
    </row>
    <row r="2827" spans="1:29" x14ac:dyDescent="0.3">
      <c r="A2827" s="402"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SugarcaneATJ-ethanolGREETGREET(blank)_EtOH_SugarCaneEtOH_Mill_YieldSugarcane consumption</v>
      </c>
      <c r="B2827" s="410" t="s">
        <v>447</v>
      </c>
      <c r="C2827" s="410" t="s">
        <v>1964</v>
      </c>
      <c r="D2827" s="411" t="s">
        <v>29</v>
      </c>
      <c r="E2827" s="412" t="s">
        <v>29</v>
      </c>
      <c r="F2827" s="401" t="s">
        <v>31</v>
      </c>
      <c r="G2827" s="14" t="b">
        <f>OR(LCI_Table[[#This Row],[Feedstock]]="All",LCI_Table[[#This Row],[Feedstock]]=SelectedFeedstock)</f>
        <v>0</v>
      </c>
      <c r="H2827" s="14" t="b">
        <f>OR(LCI_Table[[#This Row],[Conversion]]="All",LCI_Table[[#This Row],[Conversion]]=SelectedConversion)</f>
        <v>0</v>
      </c>
      <c r="I2827" s="14" t="b">
        <f>OR(LCI_Table[[#This Row],[Data Set]]="all",LCI_Table[[#This Row],[Data Set]]=SelectedDataSet)</f>
        <v>1</v>
      </c>
      <c r="J2827" s="14" t="b">
        <f>OR(LCI_Table[[#This Row],[Technology]]="All",LCI_Table[[#This Row],[Technology]]=SelectedTechnology)</f>
        <v>1</v>
      </c>
      <c r="K2827" s="14" t="b">
        <f>OR(LCI_Table[[#This Row],[Data Source]]="All",LCI_Table[[#This Row],[Data Source]]=SelectedDataSource)</f>
        <v>1</v>
      </c>
      <c r="L2827" s="14" t="b">
        <v>1</v>
      </c>
      <c r="M2827" s="14" t="b">
        <f>(LCI_Table[[#This Row],[Dev Notes]]="Do not display")</f>
        <v>0</v>
      </c>
      <c r="N2827" s="14" t="b">
        <f>AND(LCI_Table[[#This Row],[Show Feedstock]:[Conditional]],NOT(LCI_Table[[#This Row],[Hide Row]]))</f>
        <v>0</v>
      </c>
      <c r="O2827" s="14" t="b">
        <f>LCI_Table[[#This Row],[GREET1 Name Range]]=""</f>
        <v>0</v>
      </c>
      <c r="P2827" s="391" t="s">
        <v>1396</v>
      </c>
      <c r="Q2827" s="402" t="s">
        <v>1958</v>
      </c>
      <c r="R2827" s="402" t="s">
        <v>1955</v>
      </c>
      <c r="S2827" s="407" cm="1">
        <f t="array" aca="1" ref="S2827"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4.7969043014538162</v>
      </c>
      <c r="T2827" s="403" t="s">
        <v>1956</v>
      </c>
      <c r="U2827" s="408">
        <f ca="1">1/LCI_Table[[#This Row],[Dashboard Value]]*S2826</f>
        <v>20.846778196032098</v>
      </c>
      <c r="V2827" s="409">
        <v>4.7969043014538162</v>
      </c>
      <c r="W2827" s="409">
        <v>4.7969043014538162</v>
      </c>
      <c r="X2827" s="407"/>
      <c r="Y2827" s="403"/>
      <c r="Z2827" s="402"/>
      <c r="AA2827" s="403"/>
      <c r="AB2827" s="403"/>
      <c r="AC2827" s="403"/>
    </row>
    <row r="2828" spans="1:29" x14ac:dyDescent="0.3">
      <c r="A2828" s="402"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SugarcaneATJ-ethanolGREETGREET(blank)_Sugracane_Fermentation_Natural_gasTotal fossil NG consumption</v>
      </c>
      <c r="B2828" s="410" t="s">
        <v>447</v>
      </c>
      <c r="C2828" s="410" t="s">
        <v>1964</v>
      </c>
      <c r="D2828" s="411" t="s">
        <v>29</v>
      </c>
      <c r="E2828" s="412" t="s">
        <v>29</v>
      </c>
      <c r="F2828" s="401" t="s">
        <v>31</v>
      </c>
      <c r="G2828" s="402" t="b">
        <f>OR(LCI_Table[[#This Row],[Feedstock]]="All",LCI_Table[[#This Row],[Feedstock]]=SelectedFeedstock)</f>
        <v>0</v>
      </c>
      <c r="H2828" s="402" t="b">
        <f>OR(LCI_Table[[#This Row],[Conversion]]="All",LCI_Table[[#This Row],[Conversion]]=SelectedConversion)</f>
        <v>0</v>
      </c>
      <c r="I2828" s="402" t="b">
        <f>OR(LCI_Table[[#This Row],[Data Set]]="all",LCI_Table[[#This Row],[Data Set]]=SelectedDataSet)</f>
        <v>1</v>
      </c>
      <c r="J2828" s="402" t="b">
        <f>OR(LCI_Table[[#This Row],[Technology]]="All",LCI_Table[[#This Row],[Technology]]=SelectedTechnology)</f>
        <v>1</v>
      </c>
      <c r="K2828" s="402" t="b">
        <f>OR(LCI_Table[[#This Row],[Data Source]]="All",LCI_Table[[#This Row],[Data Source]]=SelectedDataSource)</f>
        <v>1</v>
      </c>
      <c r="L2828" s="402" t="b">
        <v>1</v>
      </c>
      <c r="M2828" s="402" t="b">
        <f>(LCI_Table[[#This Row],[Dev Notes]]="Do not display")</f>
        <v>0</v>
      </c>
      <c r="N2828" s="402" t="b">
        <f>AND(LCI_Table[[#This Row],[Show Feedstock]:[Conditional]],NOT(LCI_Table[[#This Row],[Hide Row]]))</f>
        <v>0</v>
      </c>
      <c r="O2828" s="402" t="b">
        <f>LCI_Table[[#This Row],[GREET1 Name Range]]=""</f>
        <v>0</v>
      </c>
      <c r="P2828" s="427" t="s">
        <v>1396</v>
      </c>
      <c r="Q2828" s="402" t="s">
        <v>2023</v>
      </c>
      <c r="R2828" s="402" t="s">
        <v>1965</v>
      </c>
      <c r="S2828" s="407" cm="1">
        <f t="array" aca="1" ref="S2828"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828" s="122" t="s">
        <v>2156</v>
      </c>
      <c r="U2828" s="428">
        <f ca="1">LCI_Table[[#This Row],[Dashboard Value]]/$U$2826*1000</f>
        <v>0</v>
      </c>
      <c r="V2828" s="409">
        <v>0</v>
      </c>
      <c r="W2828" s="409"/>
      <c r="X2828" s="407"/>
      <c r="Y2828" s="403"/>
      <c r="Z2828" s="403"/>
      <c r="AA2828" s="403"/>
      <c r="AB2828" s="403"/>
      <c r="AC2828" s="403"/>
    </row>
    <row r="2829" spans="1:29" x14ac:dyDescent="0.3">
      <c r="A2829" s="402"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SugarcaneATJ-ethanolGREETGREET(blank)_Sugracane_Fermentation_ElectricityGrid electricity consumption (Brazilian mix)</v>
      </c>
      <c r="B2829" s="410" t="s">
        <v>447</v>
      </c>
      <c r="C2829" s="410" t="s">
        <v>1964</v>
      </c>
      <c r="D2829" s="411" t="s">
        <v>29</v>
      </c>
      <c r="E2829" s="412" t="s">
        <v>29</v>
      </c>
      <c r="F2829" s="401" t="s">
        <v>31</v>
      </c>
      <c r="G2829" s="402" t="b">
        <f>OR(LCI_Table[[#This Row],[Feedstock]]="All",LCI_Table[[#This Row],[Feedstock]]=SelectedFeedstock)</f>
        <v>0</v>
      </c>
      <c r="H2829" s="402" t="b">
        <f>OR(LCI_Table[[#This Row],[Conversion]]="All",LCI_Table[[#This Row],[Conversion]]=SelectedConversion)</f>
        <v>0</v>
      </c>
      <c r="I2829" s="402" t="b">
        <f>OR(LCI_Table[[#This Row],[Data Set]]="all",LCI_Table[[#This Row],[Data Set]]=SelectedDataSet)</f>
        <v>1</v>
      </c>
      <c r="J2829" s="402" t="b">
        <f>OR(LCI_Table[[#This Row],[Technology]]="All",LCI_Table[[#This Row],[Technology]]=SelectedTechnology)</f>
        <v>1</v>
      </c>
      <c r="K2829" s="402" t="b">
        <f>OR(LCI_Table[[#This Row],[Data Source]]="All",LCI_Table[[#This Row],[Data Source]]=SelectedDataSource)</f>
        <v>1</v>
      </c>
      <c r="L2829" s="402" t="b">
        <v>1</v>
      </c>
      <c r="M2829" s="402" t="b">
        <f>(LCI_Table[[#This Row],[Dev Notes]]="Do not display")</f>
        <v>0</v>
      </c>
      <c r="N2829" s="402" t="b">
        <f>AND(LCI_Table[[#This Row],[Show Feedstock]:[Conditional]],NOT(LCI_Table[[#This Row],[Hide Row]]))</f>
        <v>0</v>
      </c>
      <c r="O2829" s="402" t="b">
        <f>LCI_Table[[#This Row],[GREET1 Name Range]]=""</f>
        <v>0</v>
      </c>
      <c r="P2829" s="427" t="s">
        <v>1396</v>
      </c>
      <c r="Q2829" s="402" t="s">
        <v>2022</v>
      </c>
      <c r="R2829" s="402" t="s">
        <v>1983</v>
      </c>
      <c r="S2829" s="407" cm="1">
        <f t="array" aca="1" ref="S2829"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4.9412285992516027</v>
      </c>
      <c r="T2829" s="403" t="s">
        <v>1959</v>
      </c>
      <c r="U2829" s="408">
        <f ca="1">LCI_Table[[#This Row],[Dashboard Value]]/BTU2kWh/$S$2826</f>
        <v>168.601718641774</v>
      </c>
      <c r="V2829" s="409">
        <f>168.601718641774*BTU2kWh*100</f>
        <v>4.9412285992516027</v>
      </c>
      <c r="W2829" s="409"/>
      <c r="X2829" s="407"/>
      <c r="Y2829" s="403"/>
      <c r="Z2829" s="403"/>
      <c r="AA2829" s="403"/>
      <c r="AB2829" s="403"/>
      <c r="AC2829" s="403"/>
    </row>
    <row r="2830" spans="1:29" x14ac:dyDescent="0.3">
      <c r="A2830" s="402"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SugarcaneATJ-ethanolGREETGREET(blank)_Sugracane_Fermentation_Residual_oilTotal residual oil consumption</v>
      </c>
      <c r="B2830" s="410" t="s">
        <v>447</v>
      </c>
      <c r="C2830" s="410" t="s">
        <v>1964</v>
      </c>
      <c r="D2830" s="411" t="s">
        <v>29</v>
      </c>
      <c r="E2830" s="412" t="s">
        <v>29</v>
      </c>
      <c r="F2830" s="401" t="s">
        <v>31</v>
      </c>
      <c r="G2830" s="402" t="b">
        <f>OR(LCI_Table[[#This Row],[Feedstock]]="All",LCI_Table[[#This Row],[Feedstock]]=SelectedFeedstock)</f>
        <v>0</v>
      </c>
      <c r="H2830" s="402" t="b">
        <f>OR(LCI_Table[[#This Row],[Conversion]]="All",LCI_Table[[#This Row],[Conversion]]=SelectedConversion)</f>
        <v>0</v>
      </c>
      <c r="I2830" s="402" t="b">
        <f>OR(LCI_Table[[#This Row],[Data Set]]="all",LCI_Table[[#This Row],[Data Set]]=SelectedDataSet)</f>
        <v>1</v>
      </c>
      <c r="J2830" s="402" t="b">
        <f>OR(LCI_Table[[#This Row],[Technology]]="All",LCI_Table[[#This Row],[Technology]]=SelectedTechnology)</f>
        <v>1</v>
      </c>
      <c r="K2830" s="402" t="b">
        <f>OR(LCI_Table[[#This Row],[Data Source]]="All",LCI_Table[[#This Row],[Data Source]]=SelectedDataSource)</f>
        <v>1</v>
      </c>
      <c r="L2830" s="402" t="b">
        <v>1</v>
      </c>
      <c r="M2830" s="402" t="b">
        <f>(LCI_Table[[#This Row],[Dev Notes]]="Do not display")</f>
        <v>0</v>
      </c>
      <c r="N2830" s="402" t="b">
        <f>AND(LCI_Table[[#This Row],[Show Feedstock]:[Conditional]],NOT(LCI_Table[[#This Row],[Hide Row]]))</f>
        <v>0</v>
      </c>
      <c r="O2830" s="402" t="b">
        <f>LCI_Table[[#This Row],[GREET1 Name Range]]=""</f>
        <v>0</v>
      </c>
      <c r="P2830" s="427" t="s">
        <v>1396</v>
      </c>
      <c r="Q2830" s="402" t="s">
        <v>2021</v>
      </c>
      <c r="R2830" s="402" t="s">
        <v>1984</v>
      </c>
      <c r="S2830" s="407" cm="1">
        <f t="array" aca="1" ref="S2830"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9.3792578507086599</v>
      </c>
      <c r="T2830" s="122" t="s">
        <v>2156</v>
      </c>
      <c r="U2830" s="428">
        <f ca="1">LCI_Table[[#This Row],[Dashboard Value]]/$U$2826*1000</f>
        <v>93.792578507086603</v>
      </c>
      <c r="V2830" s="409">
        <f>93.7925785070866/10</f>
        <v>9.3792578507086599</v>
      </c>
      <c r="W2830" s="409"/>
      <c r="X2830" s="407"/>
      <c r="Y2830" s="403"/>
      <c r="Z2830" s="403"/>
      <c r="AA2830" s="403"/>
      <c r="AB2830" s="403"/>
      <c r="AC2830" s="403"/>
    </row>
    <row r="2831" spans="1:29" x14ac:dyDescent="0.3">
      <c r="A2831" s="402"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SugarcaneATJ-ethanolGREETGREET(blank)_Sugracane_Fermentation_CoalTotal coal consumption</v>
      </c>
      <c r="B2831" s="410" t="s">
        <v>447</v>
      </c>
      <c r="C2831" s="410" t="s">
        <v>1964</v>
      </c>
      <c r="D2831" s="411" t="s">
        <v>29</v>
      </c>
      <c r="E2831" s="412" t="s">
        <v>29</v>
      </c>
      <c r="F2831" s="401" t="s">
        <v>31</v>
      </c>
      <c r="G2831" s="402" t="b">
        <f>OR(LCI_Table[[#This Row],[Feedstock]]="All",LCI_Table[[#This Row],[Feedstock]]=SelectedFeedstock)</f>
        <v>0</v>
      </c>
      <c r="H2831" s="402" t="b">
        <f>OR(LCI_Table[[#This Row],[Conversion]]="All",LCI_Table[[#This Row],[Conversion]]=SelectedConversion)</f>
        <v>0</v>
      </c>
      <c r="I2831" s="402" t="b">
        <f>OR(LCI_Table[[#This Row],[Data Set]]="all",LCI_Table[[#This Row],[Data Set]]=SelectedDataSet)</f>
        <v>1</v>
      </c>
      <c r="J2831" s="402" t="b">
        <f>OR(LCI_Table[[#This Row],[Technology]]="All",LCI_Table[[#This Row],[Technology]]=SelectedTechnology)</f>
        <v>1</v>
      </c>
      <c r="K2831" s="402" t="b">
        <f>OR(LCI_Table[[#This Row],[Data Source]]="All",LCI_Table[[#This Row],[Data Source]]=SelectedDataSource)</f>
        <v>1</v>
      </c>
      <c r="L2831" s="402" t="b">
        <v>1</v>
      </c>
      <c r="M2831" s="402" t="b">
        <f>(LCI_Table[[#This Row],[Dev Notes]]="Do not display")</f>
        <v>0</v>
      </c>
      <c r="N2831" s="402" t="b">
        <f>AND(LCI_Table[[#This Row],[Show Feedstock]:[Conditional]],NOT(LCI_Table[[#This Row],[Hide Row]]))</f>
        <v>0</v>
      </c>
      <c r="O2831" s="402" t="b">
        <f>LCI_Table[[#This Row],[GREET1 Name Range]]=""</f>
        <v>0</v>
      </c>
      <c r="P2831" s="427" t="s">
        <v>1396</v>
      </c>
      <c r="Q2831" s="402" t="s">
        <v>2020</v>
      </c>
      <c r="R2831" s="402" t="s">
        <v>1982</v>
      </c>
      <c r="S2831" s="407" cm="1">
        <f t="array" aca="1" ref="S2831"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0</v>
      </c>
      <c r="T2831" s="122" t="s">
        <v>2156</v>
      </c>
      <c r="U2831" s="428">
        <f ca="1">LCI_Table[[#This Row],[Dashboard Value]]/$U$2826*1000</f>
        <v>0</v>
      </c>
      <c r="V2831" s="409">
        <v>0</v>
      </c>
      <c r="W2831" s="409"/>
      <c r="X2831" s="407"/>
      <c r="Y2831" s="403"/>
      <c r="Z2831" s="403"/>
      <c r="AA2831" s="403"/>
      <c r="AB2831" s="403"/>
      <c r="AC2831" s="403"/>
    </row>
    <row r="2832" spans="1:29" x14ac:dyDescent="0.3">
      <c r="A2832" s="402" t="str">
        <f>IF(LCI_Table[[#This Row],[GREET1 Name Range]]="", "dash_"&amp;LCI_Table[[#This Row],[Feedstock]]&amp;LCI_Table[[#This Row],[Conversion]]&amp;LCI_Table[[#This Row],[Data Source]]&amp;LCI_Table[[#This Row],[Data Set]]&amp;LCI_Table[[#This Row],[Technology]]&amp;"_"&amp;LCI_Table[[#This Row],[Input]]&amp;"_" &amp; LCI_Table[[#This Row],[Process Name]],LCI_Table[[#This Row],[Feedstock]]&amp;LCI_Table[[#This Row],[Conversion]]&amp;LCI_Table[[#This Row],[Data Source]]&amp;LCI_Table[[#This Row],[Data Set]]&amp;LCI_Table[[#This Row],[Technology]]&amp;"_"&amp;LCI_Table[[#This Row],[GREET1 Name Range]]&amp;LCI_Table[[#This Row],[Input]])</f>
        <v>SugarcaneATJ-ethanolGREETGREET(blank)_Sugracane_Fermentation_CoProduced_ElectricityCo-produced electricity from bagasse/straw combustion</v>
      </c>
      <c r="B2832" s="410" t="s">
        <v>447</v>
      </c>
      <c r="C2832" s="410" t="s">
        <v>1964</v>
      </c>
      <c r="D2832" s="411" t="s">
        <v>29</v>
      </c>
      <c r="E2832" s="412" t="s">
        <v>29</v>
      </c>
      <c r="F2832" s="401" t="s">
        <v>31</v>
      </c>
      <c r="G2832" s="14" t="b">
        <f>OR(LCI_Table[[#This Row],[Feedstock]]="All",LCI_Table[[#This Row],[Feedstock]]=SelectedFeedstock)</f>
        <v>0</v>
      </c>
      <c r="H2832" s="14" t="b">
        <f>OR(LCI_Table[[#This Row],[Conversion]]="All",LCI_Table[[#This Row],[Conversion]]=SelectedConversion)</f>
        <v>0</v>
      </c>
      <c r="I2832" s="14" t="b">
        <f>OR(LCI_Table[[#This Row],[Data Set]]="all",LCI_Table[[#This Row],[Data Set]]=SelectedDataSet)</f>
        <v>1</v>
      </c>
      <c r="J2832" s="14" t="b">
        <f>OR(LCI_Table[[#This Row],[Technology]]="All",LCI_Table[[#This Row],[Technology]]=SelectedTechnology)</f>
        <v>1</v>
      </c>
      <c r="K2832" s="14" t="b">
        <f>OR(LCI_Table[[#This Row],[Data Source]]="All",LCI_Table[[#This Row],[Data Source]]=SelectedDataSource)</f>
        <v>1</v>
      </c>
      <c r="L2832" s="14" t="b">
        <v>0</v>
      </c>
      <c r="M2832" s="14" t="b">
        <f>(LCI_Table[[#This Row],[Dev Notes]]="Do not display")</f>
        <v>0</v>
      </c>
      <c r="N2832" s="14" t="b">
        <f>AND(LCI_Table[[#This Row],[Show Feedstock]:[Conditional]],NOT(LCI_Table[[#This Row],[Hide Row]]))</f>
        <v>0</v>
      </c>
      <c r="O2832" s="14" t="b">
        <f>LCI_Table[[#This Row],[GREET1 Name Range]]=""</f>
        <v>0</v>
      </c>
      <c r="P2832" s="391" t="s">
        <v>1396</v>
      </c>
      <c r="Q2832" s="402" t="s">
        <v>1985</v>
      </c>
      <c r="R2832" s="402" t="s">
        <v>1957</v>
      </c>
      <c r="S2832" s="407" cm="1">
        <f t="array" aca="1" ref="S2832" ca="1">IF(IF(NOT(RefreshDefaults),IF(LCI_Table[[#This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Value]])="",0,IF(NOT(RefreshDefaults),IF(LCI_Table[[#This Row],[Process Name]]="SAF Production",IFERROR(INDEX(LCIJetFuel_UD_BeforeCalc, MATCH(LCI_Table[[#This Row],[LCI ID]], LCIJetFuel_ID_BeforeCalc, 0)),LCI_Table[[#This Row],[Default Displayed Value]]),IFERROR(INDEX(LCIFarm_UD_BeforeCalc, MATCH(LCI_Table[[#This Row],[LCI ID]], LCIFarm_ID_BeforeCalc, 0)),LCI_Table[[#This Row],[Default Displayed Value]])),LCI_Table[[#This Row],[Default Displayed Value]]))</f>
        <v>165.43053454904197</v>
      </c>
      <c r="T2832" s="403" t="s">
        <v>1959</v>
      </c>
      <c r="U2832" s="408">
        <f ca="1">LCI_Table[[#This Row],[Dashboard Value]]/-$S$2826*kWh2BTU</f>
        <v>-5644.7241572714001</v>
      </c>
      <c r="V2832" s="409">
        <f>5644.7241572714*BTU2kWh*100</f>
        <v>165.43053454904197</v>
      </c>
      <c r="W2832" s="409">
        <v>4.7969043014538162</v>
      </c>
      <c r="X2832" s="407"/>
      <c r="Y2832" s="403"/>
      <c r="Z2832" s="403"/>
      <c r="AA2832" s="403"/>
      <c r="AB2832" s="403"/>
      <c r="AC2832" s="403"/>
    </row>
  </sheetData>
  <phoneticPr fontId="13" type="noConversion"/>
  <conditionalFormatting sqref="X1527:X1548 U1527:U1548 R37:R62 X1920:X1936 R1920:R1936 U1920:U1936 AA1419:AB1558 AB197:AB220 X1355:X1385 U1355:U1385 B1355:E1401 AB1320:AB1343 R1355:R1386 AB2395:AB2426 W943:W967 AA892:AA941 U36:U62 AA943:AA972 W974:W998 AA974:AA1003 W1005:W1029 AA1005:AA1034 B37:D62 W1036:W1063 W1098:W1125 W1067:W1092 W1129:W1154 W938:W939 W1000:W1001 B134:E158 U134:U158 R134:R158 P37:P62 B129:F132 F37:F62 W1160:W1187 W1191:W1215 W1222:W1247 R196:R220 U196:U220 B196:E220 P191:P194 B191:F194 W1217:W1218 W1253:W1279 W1312:W1317 W1281:W1284 W1286:W1310 F912:F1252 P64:P67 B64:F67 U64:U67 R69:R95 U69:U95 P69:P95 B69:F95 B97:F100 P97:P100 B227:D257 P196:P220 P222:P225 B222:F225 AA222:AB225 F195:F221 S195:T221 F226:F257 AA226 AA1345:AB1348 W1319:W1343 AA1036:AA1344 AA1350:AB1401 AA1349 X129:X132 X222:X225 X191:X194 R165:R189 U165:U189 B165:E189 P134:P158 P160:P163 B160:F163 P165:P189 F164:F190 S164:T190 X160:X163 P2427:P2451 R2427:U2451 B2427:F2451 S2457:T2457 B2453:F2456 P2453:P2456 S2452:T2452 X2453:X2456 S133:T159 F133:F159 P2458:P2482 R2458:U2482 B2458:F2482 S2488:T2488 B2484:F2487 P2484:P2487 S2483:T2483 X2484:X2487 P2489:P2513 R2489:U2513 B2489:F2513 B2515:F2518 P2515:P2518 S2514:T2514 X2515:X2518 AA2427:AA2519 W2199:W2222 W2245:W2264 X2225:X2238 R2225:R2238 U2225:U2238 B2225:E2238 B2241:E2244 W2224:W2243 W2134:W2147 W2121 W2123:W2127 D2155:E2167 B2154:C2167 X2115:X2127 W2175:W2187 U2115:U2127 U2174 B2173:E2173 X2173 S2173:U2173 W2266:W2292 S2174:T2426 W2294:W2336 W2520:W2546 W2338:W2426 W2570 W2548 W2555 W2557:W2561 S2519:T2561 X2549:X2561 U2549:U2561 S2563:T2566 W2563:W2568 S2562:U2562 AB2520:AB2570 S2567:S2570 T2567:T2571 W1944 U1938:U1950 W1968 W1975 U1969:U1981 S1952:T1981 W1999 S1983:T1999 W2006 S2000:U2013 X2129:X2147 S1982:U1982 S1951:U1951 W1350:W1585 W2574:W2600 S2574:T2601 F2173:F2426 F2452 F2457 F2483 F2488 F2514 F2519:F2601 R265:R334 W1587:W1657 W1659:W1665 W1817:W1851 B1818:D1852 AB1846:AB1897 E1891:E1902 W1853:W1889 W1891:W1897 W1735:W1807 W1809:W1815 W1727:W1733 F1319:F1722 W1667:W1722 B1697:D1722 X1697:X1722 R1697:R1722 U1697:U1722 E1587:E1722 R1724:R1725 B1724:D1734 U1724:U1725 E1724:F1890 AA1689:AB1733 R1723:T1723 B1723:F1723 W1899:W1937 S1724:T1950 B1920:E1936 S2014:T2043 S2044:U2044 W2056 U2050:U2063 W2068:W2087 S2045:T2087 F1891:F2087 B2069:E2087 X2083:X2087 U2083:U2087 U2089 X2089 B2089:E2090 S2089:T2127 W2089:W2114 B2088:F2088 S2088:U2088 W2154 X2149:X2167 W2149:W2152 F2089:F2167 R2169:U2172 AB1899:AB2366 B2168:F2172 S2128:U2168 U3:U9 W2:W9 R2:T9 U18:U33 S112:T128 R112:R127 U112:U127 B112:E127 F112:F128 R2631:R2636 W2168:X2172 W2148:X2148 W2088:X2088 W2058:W2066 W2030:W2049 W1723:X1725 W1946:W1966 W1977:W1997 W2128:X2128 W2008:W2028 W2562:X2562 W2489:X2513 W2458:X2482 W2427:X2451 W165:X189 W97:X100 W69:X95 W64:X67 W196:X220 W134:X158 W36:X62 B265:D334 F265:F334 E227:E334 S226:T334 U227:U334 V328:V334 B2621:D2627 E2620:E2627 R2621:X2627 S101:T109 U102:X109 AB103:AB133 V110:X127 AA36:AA221 S110:U111 R2628:V2628 X2628:X2636 B2628:E2636 S2629:V2635 R2629 B102:F111 R102:R110 X3:X13 V18:V21 S10:U17 S335:U342 B335:F361 P265:P361 AA227:AB387 W14:X33 W227:X342 S18:T96 P227:P257 P102:P132 R64:R67 R97:U100 R129:T132 R160:T163 R191:T194 R222:T225 R227:R257 R343:X361 R2453:T2456 R2484:T2487 R2515:T2518 B2661:F2682 R2661:X2677 B2692:F2697 AA2692:AB2692 S2693:T2697 AA2:AB34 AA2695:AB2696 AB2693:AB2694 AB2697 B2707:F2712 AA2707:AA2712 X2707:X2712 AA2722:AB2722 AA2725:AB2726 AB2723:AB2724 AB2727 B2737:F2742 AA2737:AA2742 X2737:X2742 B2752:F2757 AA2752:AA2757 X2752:X2757 B2767:F2772 AA2767:AA2772 X2767:X2772 B2782:F2787 AA2782:AA2787 X2782:X2787 R2679:X2682 S2678:X2678 U2692:X2697 E2713:E2727 S2723:T2727 S2708:U2712 S2753:U2757 S2738:U2742 S2783:U2783 R2767:T2767 S2768:U2772 R2782:T2782 R2707:T2707 R2737:T2737 R2752:T2752 W362:W936 E362:E911 S362:T1722 B527:D599 F416:F600 P416:P600 X416:X600 AA506:AA870 R528:R532 AB502:AB941 U416:V600 R18:R35 F18:F35 B18:D35 E18:E62 P2:P35 B2:F17 P2661:P2832 S2788:S2832 U2727 W2727:X2727 U2722:X2726 S2785:U2787 S2784:T2784">
    <cfRule type="cellIs" dxfId="1389" priority="1306" operator="equal">
      <formula>"Share"</formula>
    </cfRule>
  </conditionalFormatting>
  <conditionalFormatting sqref="B2339:D2366 B2246:D2264 B1588:D1621">
    <cfRule type="cellIs" dxfId="1388" priority="1305" operator="equal">
      <formula>"Share"</formula>
    </cfRule>
  </conditionalFormatting>
  <conditionalFormatting sqref="B1668:D1695">
    <cfRule type="cellIs" dxfId="1387" priority="1304" operator="equal">
      <formula>"Share"</formula>
    </cfRule>
  </conditionalFormatting>
  <conditionalFormatting sqref="B1736:D1769">
    <cfRule type="cellIs" dxfId="1386" priority="1303" operator="equal">
      <formula>"Share"</formula>
    </cfRule>
  </conditionalFormatting>
  <conditionalFormatting sqref="B1772:D1816">
    <cfRule type="cellIs" dxfId="1385" priority="1302" operator="equal">
      <formula>"Share"</formula>
    </cfRule>
  </conditionalFormatting>
  <conditionalFormatting sqref="B695:D707">
    <cfRule type="cellIs" dxfId="1384" priority="1301" operator="equal">
      <formula>"Share"</formula>
    </cfRule>
  </conditionalFormatting>
  <conditionalFormatting sqref="B1526:D1526">
    <cfRule type="cellIs" dxfId="1383" priority="1300" operator="equal">
      <formula>"Share"</formula>
    </cfRule>
  </conditionalFormatting>
  <conditionalFormatting sqref="B1541:D1541">
    <cfRule type="cellIs" dxfId="1382" priority="1299" operator="equal">
      <formula>"Share"</formula>
    </cfRule>
  </conditionalFormatting>
  <conditionalFormatting sqref="B1550:D1550">
    <cfRule type="cellIs" dxfId="1381" priority="1298" operator="equal">
      <formula>"Share"</formula>
    </cfRule>
  </conditionalFormatting>
  <conditionalFormatting sqref="B259:D264 B601:D653 B708:D911 B1403:D1417 B1419:D1433 B1435:D1448 B1450:D1463 B1465:D1478 B1480:D1494 B1496:D1510 B1512:D1525 B1527:D1540 B1542:D1549 B1551:D1558 B913:D942 B944:D973 B975:D1004 B1006:D1035 C1036:D1036 B1248:D1277 B1217:D1246 B1037:D1215 B1281:D1310 B1314:D1343 B1345:D1353">
    <cfRule type="cellIs" dxfId="1380" priority="1297" operator="equal">
      <formula>"Share"</formula>
    </cfRule>
  </conditionalFormatting>
  <conditionalFormatting sqref="B405:D415">
    <cfRule type="cellIs" dxfId="1379" priority="1296" operator="equal">
      <formula>"Share"</formula>
    </cfRule>
  </conditionalFormatting>
  <conditionalFormatting sqref="B668:D679">
    <cfRule type="cellIs" dxfId="1378" priority="1295" operator="equal">
      <formula>"Share"</formula>
    </cfRule>
  </conditionalFormatting>
  <conditionalFormatting sqref="B1402:D1402">
    <cfRule type="cellIs" dxfId="1377" priority="1294" operator="equal">
      <formula>"Share"</formula>
    </cfRule>
  </conditionalFormatting>
  <conditionalFormatting sqref="B1418:D1418">
    <cfRule type="cellIs" dxfId="1376" priority="1293" operator="equal">
      <formula>"Share"</formula>
    </cfRule>
  </conditionalFormatting>
  <conditionalFormatting sqref="B1434:D1434">
    <cfRule type="cellIs" dxfId="1375" priority="1307" operator="equal">
      <formula>"Share"</formula>
    </cfRule>
  </conditionalFormatting>
  <conditionalFormatting sqref="B1449:D1449">
    <cfRule type="cellIs" dxfId="1374" priority="1308" operator="equal">
      <formula>"Share"</formula>
    </cfRule>
  </conditionalFormatting>
  <conditionalFormatting sqref="B1464:D1464">
    <cfRule type="cellIs" dxfId="1373" priority="1309" operator="equal">
      <formula>"Share"</formula>
    </cfRule>
  </conditionalFormatting>
  <conditionalFormatting sqref="B1479:D1479">
    <cfRule type="cellIs" dxfId="1372" priority="1310" operator="equal">
      <formula>"Share"</formula>
    </cfRule>
  </conditionalFormatting>
  <conditionalFormatting sqref="B1495:D1495">
    <cfRule type="cellIs" dxfId="1371" priority="1311" operator="equal">
      <formula>"Share"</formula>
    </cfRule>
  </conditionalFormatting>
  <conditionalFormatting sqref="B1511:D1511">
    <cfRule type="cellIs" dxfId="1370" priority="1288" operator="equal">
      <formula>"Share"</formula>
    </cfRule>
  </conditionalFormatting>
  <conditionalFormatting sqref="B1903:D1903">
    <cfRule type="cellIs" dxfId="1369" priority="1286" operator="equal">
      <formula>"Share"</formula>
    </cfRule>
  </conditionalFormatting>
  <conditionalFormatting sqref="B2266:D2266">
    <cfRule type="cellIs" dxfId="1368" priority="1285" operator="equal">
      <formula>"Share"</formula>
    </cfRule>
  </conditionalFormatting>
  <conditionalFormatting sqref="B36:D36 B258:D258">
    <cfRule type="cellIs" dxfId="1367" priority="1312" operator="equal">
      <formula>"Share"</formula>
    </cfRule>
  </conditionalFormatting>
  <conditionalFormatting sqref="B912:D912">
    <cfRule type="cellIs" dxfId="1366" priority="1284" operator="equal">
      <formula>"Share"</formula>
    </cfRule>
  </conditionalFormatting>
  <conditionalFormatting sqref="B943:D943">
    <cfRule type="cellIs" dxfId="1365" priority="1283" operator="equal">
      <formula>"Share"</formula>
    </cfRule>
  </conditionalFormatting>
  <conditionalFormatting sqref="B974:D974">
    <cfRule type="cellIs" dxfId="1364" priority="1282" operator="equal">
      <formula>"Share"</formula>
    </cfRule>
  </conditionalFormatting>
  <conditionalFormatting sqref="B1005:D1005">
    <cfRule type="cellIs" dxfId="1363" priority="1281" operator="equal">
      <formula>"Share"</formula>
    </cfRule>
  </conditionalFormatting>
  <conditionalFormatting sqref="B1968:D1968">
    <cfRule type="cellIs" dxfId="1362" priority="1279" operator="equal">
      <formula>"Share"</formula>
    </cfRule>
  </conditionalFormatting>
  <conditionalFormatting sqref="B1999:D1999">
    <cfRule type="cellIs" dxfId="1361" priority="1278" operator="equal">
      <formula>"Share"</formula>
    </cfRule>
  </conditionalFormatting>
  <conditionalFormatting sqref="B2049:D2049">
    <cfRule type="cellIs" dxfId="1360" priority="1277" operator="equal">
      <formula>"Share"</formula>
    </cfRule>
  </conditionalFormatting>
  <conditionalFormatting sqref="B2068:D2068">
    <cfRule type="cellIs" dxfId="1359" priority="1276" operator="equal">
      <formula>"Share"</formula>
    </cfRule>
  </conditionalFormatting>
  <conditionalFormatting sqref="B2091:D2091">
    <cfRule type="cellIs" dxfId="1358" priority="1275" operator="equal">
      <formula>"Share"</formula>
    </cfRule>
  </conditionalFormatting>
  <conditionalFormatting sqref="B2224:D2224">
    <cfRule type="cellIs" dxfId="1357" priority="1274" operator="equal">
      <formula>"Share"</formula>
    </cfRule>
  </conditionalFormatting>
  <conditionalFormatting sqref="B2245:D2245">
    <cfRule type="cellIs" dxfId="1356" priority="1273" operator="equal">
      <formula>"Share"</formula>
    </cfRule>
  </conditionalFormatting>
  <conditionalFormatting sqref="B1354:D1354">
    <cfRule type="cellIs" dxfId="1355" priority="1313" operator="equal">
      <formula>"Share"</formula>
    </cfRule>
  </conditionalFormatting>
  <conditionalFormatting sqref="B1667:D1667">
    <cfRule type="cellIs" dxfId="1354" priority="1314" operator="equal">
      <formula>"Share"</formula>
    </cfRule>
  </conditionalFormatting>
  <conditionalFormatting sqref="B1696:D1696">
    <cfRule type="cellIs" dxfId="1353" priority="1315" operator="equal">
      <formula>"Share"</formula>
    </cfRule>
  </conditionalFormatting>
  <conditionalFormatting sqref="B1919:D1919">
    <cfRule type="cellIs" dxfId="1352" priority="1269" operator="equal">
      <formula>"Share"</formula>
    </cfRule>
  </conditionalFormatting>
  <conditionalFormatting sqref="B1937:D1937">
    <cfRule type="cellIs" dxfId="1351" priority="1268" operator="equal">
      <formula>"Share"</formula>
    </cfRule>
  </conditionalFormatting>
  <conditionalFormatting sqref="B2030:D2030">
    <cfRule type="cellIs" dxfId="1350" priority="1267" operator="equal">
      <formula>"Share"</formula>
    </cfRule>
  </conditionalFormatting>
  <conditionalFormatting sqref="B2114:D2114">
    <cfRule type="cellIs" dxfId="1349" priority="1266" operator="equal">
      <formula>"Share"</formula>
    </cfRule>
  </conditionalFormatting>
  <conditionalFormatting sqref="B2174:D2174">
    <cfRule type="cellIs" dxfId="1348" priority="1265" operator="equal">
      <formula>"Share"</formula>
    </cfRule>
  </conditionalFormatting>
  <conditionalFormatting sqref="B680:D680 B1278:D1279 B1312:D1313">
    <cfRule type="cellIs" dxfId="1347" priority="1316" operator="equal">
      <formula>"Share"</formula>
    </cfRule>
  </conditionalFormatting>
  <conditionalFormatting sqref="D2294">
    <cfRule type="cellIs" dxfId="1346" priority="1317" operator="equal">
      <formula>"Share"</formula>
    </cfRule>
  </conditionalFormatting>
  <conditionalFormatting sqref="D2316">
    <cfRule type="cellIs" dxfId="1345" priority="1318" operator="equal">
      <formula>"Share"</formula>
    </cfRule>
  </conditionalFormatting>
  <conditionalFormatting sqref="D2134">
    <cfRule type="cellIs" dxfId="1344" priority="1264" operator="equal">
      <formula>"Share"</formula>
    </cfRule>
  </conditionalFormatting>
  <conditionalFormatting sqref="D2154">
    <cfRule type="cellIs" dxfId="1343" priority="1263" operator="equal">
      <formula>"Share"</formula>
    </cfRule>
  </conditionalFormatting>
  <conditionalFormatting sqref="D2199">
    <cfRule type="cellIs" dxfId="1342" priority="1319" operator="equal">
      <formula>"Share"</formula>
    </cfRule>
  </conditionalFormatting>
  <conditionalFormatting sqref="B362:D375">
    <cfRule type="cellIs" dxfId="1341" priority="1289" operator="equal">
      <formula>"Share"</formula>
    </cfRule>
  </conditionalFormatting>
  <conditionalFormatting sqref="B391:D404 B654:D667 B681:D694">
    <cfRule type="cellIs" dxfId="1340" priority="1320" operator="equal">
      <formula>"Share"</formula>
    </cfRule>
  </conditionalFormatting>
  <conditionalFormatting sqref="B1904:D1918 B2092:D2113 B2134:C2147 D2135:D2147 B2294:C2338 D2295:D2315 D2317:D2338 B2115:D2133 B2031:D2043 B2050:D2062 B2045:D2048 B2064:D2067 B2148:D2153">
    <cfRule type="cellIs" dxfId="1339" priority="1321" operator="equal">
      <formula>"Share"</formula>
    </cfRule>
  </conditionalFormatting>
  <conditionalFormatting sqref="B1586:D1586 B1560:D1584 B1623:D1666">
    <cfRule type="cellIs" dxfId="1338" priority="1255" operator="equal">
      <formula>"Share"</formula>
    </cfRule>
  </conditionalFormatting>
  <conditionalFormatting sqref="B376:D390">
    <cfRule type="cellIs" dxfId="1337" priority="1254" operator="equal">
      <formula>"Share"</formula>
    </cfRule>
  </conditionalFormatting>
  <conditionalFormatting sqref="B416:D526 B600:D600">
    <cfRule type="cellIs" dxfId="1336" priority="1253" operator="equal">
      <formula>"Share"</formula>
    </cfRule>
  </conditionalFormatting>
  <conditionalFormatting sqref="B1559:D1559 B1587:D1587 B1622:D1622 B1735:D1735 B1771:D1771 B1817:D1817 B1938:D1967 B1899:D1902 B1853:D1897">
    <cfRule type="cellIs" dxfId="1335" priority="1271" operator="equal">
      <formula>"Share"</formula>
    </cfRule>
  </conditionalFormatting>
  <conditionalFormatting sqref="B2199:C2219 D2200:D2219 B2175:D2198 B2220:D2223 B2267:D2293 B1969:D1998 B2000:D2029">
    <cfRule type="cellIs" dxfId="1334" priority="1272" operator="equal">
      <formula>"Share"</formula>
    </cfRule>
  </conditionalFormatting>
  <conditionalFormatting sqref="F695:F707">
    <cfRule type="cellIs" dxfId="1333" priority="1250" operator="equal">
      <formula>"Share"</formula>
    </cfRule>
  </conditionalFormatting>
  <conditionalFormatting sqref="F259:F264 F601:F653 F708:F911">
    <cfRule type="cellIs" dxfId="1332" priority="1249" operator="equal">
      <formula>"Share"</formula>
    </cfRule>
  </conditionalFormatting>
  <conditionalFormatting sqref="F405:F415">
    <cfRule type="cellIs" dxfId="1331" priority="1248" operator="equal">
      <formula>"Share"</formula>
    </cfRule>
  </conditionalFormatting>
  <conditionalFormatting sqref="F668:F679">
    <cfRule type="cellIs" dxfId="1330" priority="1247" operator="equal">
      <formula>"Share"</formula>
    </cfRule>
  </conditionalFormatting>
  <conditionalFormatting sqref="F36 F258">
    <cfRule type="cellIs" dxfId="1329" priority="1246" operator="equal">
      <formula>"Share"</formula>
    </cfRule>
  </conditionalFormatting>
  <conditionalFormatting sqref="F680">
    <cfRule type="cellIs" dxfId="1328" priority="1322" operator="equal">
      <formula>"Share"</formula>
    </cfRule>
  </conditionalFormatting>
  <conditionalFormatting sqref="F362:F375">
    <cfRule type="cellIs" dxfId="1327" priority="1244" operator="equal">
      <formula>"Share"</formula>
    </cfRule>
  </conditionalFormatting>
  <conditionalFormatting sqref="F391:F404 F654:F667 F681:F694">
    <cfRule type="cellIs" dxfId="1326" priority="1323" operator="equal">
      <formula>"Share"</formula>
    </cfRule>
  </conditionalFormatting>
  <conditionalFormatting sqref="F376:F390">
    <cfRule type="cellIs" dxfId="1325" priority="1242" operator="equal">
      <formula>"Share"</formula>
    </cfRule>
  </conditionalFormatting>
  <conditionalFormatting sqref="E2339:E2366 E2246:E2265">
    <cfRule type="cellIs" dxfId="1324" priority="1240" operator="equal">
      <formula>"Share"</formula>
    </cfRule>
  </conditionalFormatting>
  <conditionalFormatting sqref="E1541:E1549">
    <cfRule type="cellIs" dxfId="1323" priority="1239" operator="equal">
      <formula>"Share"</formula>
    </cfRule>
  </conditionalFormatting>
  <conditionalFormatting sqref="E1550:E1558">
    <cfRule type="cellIs" dxfId="1322" priority="1238" operator="equal">
      <formula>"Share"</formula>
    </cfRule>
  </conditionalFormatting>
  <conditionalFormatting sqref="E1403:E1417 E1419:E1433 E1496:E1510 E913:E942 E944:E973 E975:E1004 E1006:E1035 E1067:E1091 E1093:E1096 E1098:E1122 E1124:E1127 E1129:E1153 E1155:E1158 E1191:E1215 E1217:E1220 E1222:E1246 E1248:E1251 E1253:E1318 E1350:E1353">
    <cfRule type="cellIs" dxfId="1321" priority="1237" operator="equal">
      <formula>"Share"</formula>
    </cfRule>
  </conditionalFormatting>
  <conditionalFormatting sqref="E1402:E1417">
    <cfRule type="cellIs" dxfId="1320" priority="1236" operator="equal">
      <formula>"Share"</formula>
    </cfRule>
  </conditionalFormatting>
  <conditionalFormatting sqref="E1418:E1433">
    <cfRule type="cellIs" dxfId="1319" priority="1235" operator="equal">
      <formula>"Share"</formula>
    </cfRule>
  </conditionalFormatting>
  <conditionalFormatting sqref="E1434:E1448">
    <cfRule type="cellIs" dxfId="1318" priority="1234" operator="equal">
      <formula>"Share"</formula>
    </cfRule>
  </conditionalFormatting>
  <conditionalFormatting sqref="E1449:E1463">
    <cfRule type="cellIs" dxfId="1317" priority="1233" operator="equal">
      <formula>"Share"</formula>
    </cfRule>
  </conditionalFormatting>
  <conditionalFormatting sqref="E1464:E1478">
    <cfRule type="cellIs" dxfId="1316" priority="1232" operator="equal">
      <formula>"Share"</formula>
    </cfRule>
  </conditionalFormatting>
  <conditionalFormatting sqref="E1479:E1494">
    <cfRule type="cellIs" dxfId="1315" priority="1324" operator="equal">
      <formula>"Share"</formula>
    </cfRule>
  </conditionalFormatting>
  <conditionalFormatting sqref="E1495:E1510">
    <cfRule type="cellIs" dxfId="1314" priority="1325" operator="equal">
      <formula>"Share"</formula>
    </cfRule>
  </conditionalFormatting>
  <conditionalFormatting sqref="E1511:E1540">
    <cfRule type="cellIs" dxfId="1313" priority="1229" operator="equal">
      <formula>"Share"</formula>
    </cfRule>
  </conditionalFormatting>
  <conditionalFormatting sqref="E1903:E1918">
    <cfRule type="cellIs" dxfId="1312" priority="1228" operator="equal">
      <formula>"Share"</formula>
    </cfRule>
  </conditionalFormatting>
  <conditionalFormatting sqref="E2266">
    <cfRule type="cellIs" dxfId="1311" priority="1227" operator="equal">
      <formula>"Share"</formula>
    </cfRule>
  </conditionalFormatting>
  <conditionalFormatting sqref="E912:E942">
    <cfRule type="cellIs" dxfId="1310" priority="1226" operator="equal">
      <formula>"Share"</formula>
    </cfRule>
  </conditionalFormatting>
  <conditionalFormatting sqref="E943">
    <cfRule type="cellIs" dxfId="1309" priority="1225" operator="equal">
      <formula>"Share"</formula>
    </cfRule>
  </conditionalFormatting>
  <conditionalFormatting sqref="E974">
    <cfRule type="cellIs" dxfId="1308" priority="1224" operator="equal">
      <formula>"Share"</formula>
    </cfRule>
  </conditionalFormatting>
  <conditionalFormatting sqref="E1005">
    <cfRule type="cellIs" dxfId="1307" priority="1223" operator="equal">
      <formula>"Share"</formula>
    </cfRule>
  </conditionalFormatting>
  <conditionalFormatting sqref="E1968">
    <cfRule type="cellIs" dxfId="1306" priority="1222" operator="equal">
      <formula>"Share"</formula>
    </cfRule>
  </conditionalFormatting>
  <conditionalFormatting sqref="E1999">
    <cfRule type="cellIs" dxfId="1305" priority="1221" operator="equal">
      <formula>"Share"</formula>
    </cfRule>
  </conditionalFormatting>
  <conditionalFormatting sqref="E2049">
    <cfRule type="cellIs" dxfId="1304" priority="1220" operator="equal">
      <formula>"Share"</formula>
    </cfRule>
  </conditionalFormatting>
  <conditionalFormatting sqref="E2068">
    <cfRule type="cellIs" dxfId="1303" priority="1219" operator="equal">
      <formula>"Share"</formula>
    </cfRule>
  </conditionalFormatting>
  <conditionalFormatting sqref="E2091">
    <cfRule type="cellIs" dxfId="1302" priority="1218" operator="equal">
      <formula>"Share"</formula>
    </cfRule>
  </conditionalFormatting>
  <conditionalFormatting sqref="E2224">
    <cfRule type="cellIs" dxfId="1301" priority="1217" operator="equal">
      <formula>"Share"</formula>
    </cfRule>
  </conditionalFormatting>
  <conditionalFormatting sqref="E2245">
    <cfRule type="cellIs" dxfId="1300" priority="1216" operator="equal">
      <formula>"Share"</formula>
    </cfRule>
  </conditionalFormatting>
  <conditionalFormatting sqref="E1354:E1369">
    <cfRule type="cellIs" dxfId="1299" priority="1230" operator="equal">
      <formula>"Share"</formula>
    </cfRule>
  </conditionalFormatting>
  <conditionalFormatting sqref="E1919:E1934">
    <cfRule type="cellIs" dxfId="1298" priority="1214" operator="equal">
      <formula>"Share"</formula>
    </cfRule>
  </conditionalFormatting>
  <conditionalFormatting sqref="E1937">
    <cfRule type="cellIs" dxfId="1297" priority="1213" operator="equal">
      <formula>"Share"</formula>
    </cfRule>
  </conditionalFormatting>
  <conditionalFormatting sqref="E2030">
    <cfRule type="cellIs" dxfId="1296" priority="1212" operator="equal">
      <formula>"Share"</formula>
    </cfRule>
  </conditionalFormatting>
  <conditionalFormatting sqref="E2114">
    <cfRule type="cellIs" dxfId="1295" priority="1211" operator="equal">
      <formula>"Share"</formula>
    </cfRule>
  </conditionalFormatting>
  <conditionalFormatting sqref="E2174">
    <cfRule type="cellIs" dxfId="1294" priority="1210" operator="equal">
      <formula>"Share"</formula>
    </cfRule>
  </conditionalFormatting>
  <conditionalFormatting sqref="E1278:E1279 E1312:E1313">
    <cfRule type="cellIs" dxfId="1293" priority="1326" operator="equal">
      <formula>"Share"</formula>
    </cfRule>
  </conditionalFormatting>
  <conditionalFormatting sqref="E2294">
    <cfRule type="cellIs" dxfId="1292" priority="1327" operator="equal">
      <formula>"Share"</formula>
    </cfRule>
  </conditionalFormatting>
  <conditionalFormatting sqref="E2316:E2338">
    <cfRule type="cellIs" dxfId="1291" priority="1328" operator="equal">
      <formula>"Share"</formula>
    </cfRule>
  </conditionalFormatting>
  <conditionalFormatting sqref="E2134">
    <cfRule type="cellIs" dxfId="1290" priority="1208" operator="equal">
      <formula>"Share"</formula>
    </cfRule>
  </conditionalFormatting>
  <conditionalFormatting sqref="E2154">
    <cfRule type="cellIs" dxfId="1289" priority="1207" operator="equal">
      <formula>"Share"</formula>
    </cfRule>
  </conditionalFormatting>
  <conditionalFormatting sqref="E2199">
    <cfRule type="cellIs" dxfId="1288" priority="1329" operator="equal">
      <formula>"Share"</formula>
    </cfRule>
  </conditionalFormatting>
  <conditionalFormatting sqref="E1904:E1918 E2092:E2113 E2295:E2315 E2317:E2338 E2115:E2133 E2031:E2048 E2050:E2067 E2135:E2153">
    <cfRule type="cellIs" dxfId="1287" priority="1330" operator="equal">
      <formula>"Share"</formula>
    </cfRule>
  </conditionalFormatting>
  <conditionalFormatting sqref="E1560:E1586 E1623:E1666">
    <cfRule type="cellIs" dxfId="1286" priority="1202" operator="equal">
      <formula>"Share"</formula>
    </cfRule>
  </conditionalFormatting>
  <conditionalFormatting sqref="E1559 E1938:E1967">
    <cfRule type="cellIs" dxfId="1285" priority="1215" operator="equal">
      <formula>"Share"</formula>
    </cfRule>
  </conditionalFormatting>
  <conditionalFormatting sqref="E2175:E2198 E2200:E2223 E2267:E2293 E1969:E1998 E2000:E2029">
    <cfRule type="cellIs" dxfId="1284" priority="1331" operator="equal">
      <formula>"Share"</formula>
    </cfRule>
  </conditionalFormatting>
  <conditionalFormatting sqref="P695:P707">
    <cfRule type="cellIs" dxfId="1283" priority="1199" operator="equal">
      <formula>"Share"</formula>
    </cfRule>
  </conditionalFormatting>
  <conditionalFormatting sqref="P1526">
    <cfRule type="cellIs" dxfId="1282" priority="1198" operator="equal">
      <formula>"Share"</formula>
    </cfRule>
  </conditionalFormatting>
  <conditionalFormatting sqref="P1541">
    <cfRule type="cellIs" dxfId="1281" priority="1197" operator="equal">
      <formula>"Share"</formula>
    </cfRule>
  </conditionalFormatting>
  <conditionalFormatting sqref="P1550">
    <cfRule type="cellIs" dxfId="1280" priority="1196" operator="equal">
      <formula>"Share"</formula>
    </cfRule>
  </conditionalFormatting>
  <conditionalFormatting sqref="P259:P264 P614:P626 P640:P653 P708:P911">
    <cfRule type="cellIs" dxfId="1279" priority="1195" operator="equal">
      <formula>"Share"</formula>
    </cfRule>
  </conditionalFormatting>
  <conditionalFormatting sqref="P405:P415">
    <cfRule type="cellIs" dxfId="1278" priority="1194" operator="equal">
      <formula>"Share"</formula>
    </cfRule>
  </conditionalFormatting>
  <conditionalFormatting sqref="P668:P679">
    <cfRule type="cellIs" dxfId="1277" priority="1193" operator="equal">
      <formula>"Share"</formula>
    </cfRule>
  </conditionalFormatting>
  <conditionalFormatting sqref="P1402">
    <cfRule type="cellIs" dxfId="1276" priority="1192" operator="equal">
      <formula>"Share"</formula>
    </cfRule>
  </conditionalFormatting>
  <conditionalFormatting sqref="P1418">
    <cfRule type="cellIs" dxfId="1275" priority="1191" operator="equal">
      <formula>"Share"</formula>
    </cfRule>
  </conditionalFormatting>
  <conditionalFormatting sqref="P1434">
    <cfRule type="cellIs" dxfId="1274" priority="1190" operator="equal">
      <formula>"Share"</formula>
    </cfRule>
  </conditionalFormatting>
  <conditionalFormatting sqref="P1449">
    <cfRule type="cellIs" dxfId="1273" priority="1189" operator="equal">
      <formula>"Share"</formula>
    </cfRule>
  </conditionalFormatting>
  <conditionalFormatting sqref="P1464">
    <cfRule type="cellIs" dxfId="1272" priority="1332" operator="equal">
      <formula>"Share"</formula>
    </cfRule>
  </conditionalFormatting>
  <conditionalFormatting sqref="P1479">
    <cfRule type="cellIs" dxfId="1271" priority="1333" operator="equal">
      <formula>"Share"</formula>
    </cfRule>
  </conditionalFormatting>
  <conditionalFormatting sqref="P1495">
    <cfRule type="cellIs" dxfId="1270" priority="1334" operator="equal">
      <formula>"Share"</formula>
    </cfRule>
  </conditionalFormatting>
  <conditionalFormatting sqref="P1511">
    <cfRule type="cellIs" dxfId="1269" priority="1185" operator="equal">
      <formula>"Share"</formula>
    </cfRule>
  </conditionalFormatting>
  <conditionalFormatting sqref="P1903">
    <cfRule type="cellIs" dxfId="1268" priority="1184" operator="equal">
      <formula>"Share"</formula>
    </cfRule>
  </conditionalFormatting>
  <conditionalFormatting sqref="P2266">
    <cfRule type="cellIs" dxfId="1267" priority="1183" operator="equal">
      <formula>"Share"</formula>
    </cfRule>
  </conditionalFormatting>
  <conditionalFormatting sqref="P36 P258">
    <cfRule type="cellIs" dxfId="1266" priority="1335" operator="equal">
      <formula>"Share"</formula>
    </cfRule>
  </conditionalFormatting>
  <conditionalFormatting sqref="P912">
    <cfRule type="cellIs" dxfId="1265" priority="1181" operator="equal">
      <formula>"Share"</formula>
    </cfRule>
  </conditionalFormatting>
  <conditionalFormatting sqref="P943">
    <cfRule type="cellIs" dxfId="1264" priority="1180" operator="equal">
      <formula>"Share"</formula>
    </cfRule>
  </conditionalFormatting>
  <conditionalFormatting sqref="P974">
    <cfRule type="cellIs" dxfId="1263" priority="1179" operator="equal">
      <formula>"Share"</formula>
    </cfRule>
  </conditionalFormatting>
  <conditionalFormatting sqref="P1005">
    <cfRule type="cellIs" dxfId="1262" priority="1178" operator="equal">
      <formula>"Share"</formula>
    </cfRule>
  </conditionalFormatting>
  <conditionalFormatting sqref="P1968">
    <cfRule type="cellIs" dxfId="1261" priority="1177" operator="equal">
      <formula>"Share"</formula>
    </cfRule>
  </conditionalFormatting>
  <conditionalFormatting sqref="P1999">
    <cfRule type="cellIs" dxfId="1260" priority="1176" operator="equal">
      <formula>"Share"</formula>
    </cfRule>
  </conditionalFormatting>
  <conditionalFormatting sqref="P2049">
    <cfRule type="cellIs" dxfId="1259" priority="1175" operator="equal">
      <formula>"Share"</formula>
    </cfRule>
  </conditionalFormatting>
  <conditionalFormatting sqref="P2068">
    <cfRule type="cellIs" dxfId="1258" priority="1174" operator="equal">
      <formula>"Share"</formula>
    </cfRule>
  </conditionalFormatting>
  <conditionalFormatting sqref="P2091">
    <cfRule type="cellIs" dxfId="1257" priority="1173" operator="equal">
      <formula>"Share"</formula>
    </cfRule>
  </conditionalFormatting>
  <conditionalFormatting sqref="P2224">
    <cfRule type="cellIs" dxfId="1256" priority="1172" operator="equal">
      <formula>"Share"</formula>
    </cfRule>
  </conditionalFormatting>
  <conditionalFormatting sqref="P2245">
    <cfRule type="cellIs" dxfId="1255" priority="1171" operator="equal">
      <formula>"Share"</formula>
    </cfRule>
  </conditionalFormatting>
  <conditionalFormatting sqref="P1354">
    <cfRule type="cellIs" dxfId="1254" priority="1187" operator="equal">
      <formula>"Share"</formula>
    </cfRule>
  </conditionalFormatting>
  <conditionalFormatting sqref="P1667">
    <cfRule type="cellIs" dxfId="1253" priority="1336" operator="equal">
      <formula>"Share"</formula>
    </cfRule>
  </conditionalFormatting>
  <conditionalFormatting sqref="P1696">
    <cfRule type="cellIs" dxfId="1252" priority="1170" operator="equal">
      <formula>"Share"</formula>
    </cfRule>
  </conditionalFormatting>
  <conditionalFormatting sqref="P1919">
    <cfRule type="cellIs" dxfId="1251" priority="1167" operator="equal">
      <formula>"Share"</formula>
    </cfRule>
  </conditionalFormatting>
  <conditionalFormatting sqref="P1937">
    <cfRule type="cellIs" dxfId="1250" priority="1166" operator="equal">
      <formula>"Share"</formula>
    </cfRule>
  </conditionalFormatting>
  <conditionalFormatting sqref="P2030">
    <cfRule type="cellIs" dxfId="1249" priority="1165" operator="equal">
      <formula>"Share"</formula>
    </cfRule>
  </conditionalFormatting>
  <conditionalFormatting sqref="P2114">
    <cfRule type="cellIs" dxfId="1248" priority="1164" operator="equal">
      <formula>"Share"</formula>
    </cfRule>
  </conditionalFormatting>
  <conditionalFormatting sqref="P2174">
    <cfRule type="cellIs" dxfId="1247" priority="1163" operator="equal">
      <formula>"Share"</formula>
    </cfRule>
  </conditionalFormatting>
  <conditionalFormatting sqref="P680 P1278:P1279 P1312:P1313">
    <cfRule type="cellIs" dxfId="1246" priority="1337" operator="equal">
      <formula>"Share"</formula>
    </cfRule>
  </conditionalFormatting>
  <conditionalFormatting sqref="P2294">
    <cfRule type="cellIs" dxfId="1245" priority="1338" operator="equal">
      <formula>"Share"</formula>
    </cfRule>
  </conditionalFormatting>
  <conditionalFormatting sqref="P2316">
    <cfRule type="cellIs" dxfId="1244" priority="1339" operator="equal">
      <formula>"Share"</formula>
    </cfRule>
  </conditionalFormatting>
  <conditionalFormatting sqref="P2134">
    <cfRule type="cellIs" dxfId="1243" priority="1161" operator="equal">
      <formula>"Share"</formula>
    </cfRule>
  </conditionalFormatting>
  <conditionalFormatting sqref="P2154">
    <cfRule type="cellIs" dxfId="1242" priority="1160" operator="equal">
      <formula>"Share"</formula>
    </cfRule>
  </conditionalFormatting>
  <conditionalFormatting sqref="P2199">
    <cfRule type="cellIs" dxfId="1241" priority="1340" operator="equal">
      <formula>"Share"</formula>
    </cfRule>
  </conditionalFormatting>
  <conditionalFormatting sqref="P362">
    <cfRule type="cellIs" dxfId="1240" priority="1341" operator="equal">
      <formula>"Share"</formula>
    </cfRule>
  </conditionalFormatting>
  <conditionalFormatting sqref="P391:P404 P654:P667 P681:P694">
    <cfRule type="cellIs" dxfId="1239" priority="1342" operator="equal">
      <formula>"Share"</formula>
    </cfRule>
  </conditionalFormatting>
  <conditionalFormatting sqref="P376:P390">
    <cfRule type="cellIs" dxfId="1238" priority="1154" operator="equal">
      <formula>"Share"</formula>
    </cfRule>
  </conditionalFormatting>
  <conditionalFormatting sqref="P1559 P1587 P1622 P1735 P1771 P1817 P1853">
    <cfRule type="cellIs" dxfId="1237" priority="1168" operator="equal">
      <formula>"Share"</formula>
    </cfRule>
  </conditionalFormatting>
  <conditionalFormatting sqref="X362:X375 X391:X415 X601:X679 X681:X911 X1281:X1284 X1387:X1400 X1403:X1417 X1419:X1433 X1435:X1447 X1450:X1462 X1465:X1477 X1480:X1494 X1496:X1510 X1512:X1525 X1551:X1558 X913:X942 X944:X973 X975:X1004 X1006:X1035 X1314:X1317 X1286:X1310 X1319:X1343 X1345:X1348 X1350:X1353">
    <cfRule type="cellIs" dxfId="1236" priority="1151" operator="equal">
      <formula>"Share"</formula>
    </cfRule>
  </conditionalFormatting>
  <conditionalFormatting sqref="X1434">
    <cfRule type="cellIs" dxfId="1235" priority="1150" operator="equal">
      <formula>"Share"</formula>
    </cfRule>
  </conditionalFormatting>
  <conditionalFormatting sqref="X1449">
    <cfRule type="cellIs" dxfId="1234" priority="1149" operator="equal">
      <formula>"Share"</formula>
    </cfRule>
  </conditionalFormatting>
  <conditionalFormatting sqref="X1464">
    <cfRule type="cellIs" dxfId="1233" priority="1148" operator="equal">
      <formula>"Share"</formula>
    </cfRule>
  </conditionalFormatting>
  <conditionalFormatting sqref="X1479">
    <cfRule type="cellIs" dxfId="1232" priority="1147" operator="equal">
      <formula>"Share"</formula>
    </cfRule>
  </conditionalFormatting>
  <conditionalFormatting sqref="X1495">
    <cfRule type="cellIs" dxfId="1231" priority="1146" operator="equal">
      <formula>"Share"</formula>
    </cfRule>
  </conditionalFormatting>
  <conditionalFormatting sqref="X1999">
    <cfRule type="cellIs" dxfId="1230" priority="1145" operator="equal">
      <formula>"Share"</formula>
    </cfRule>
  </conditionalFormatting>
  <conditionalFormatting sqref="X2049">
    <cfRule type="cellIs" dxfId="1229" priority="1144" operator="equal">
      <formula>"Share"</formula>
    </cfRule>
  </conditionalFormatting>
  <conditionalFormatting sqref="X2068">
    <cfRule type="cellIs" dxfId="1228" priority="1143" operator="equal">
      <formula>"Share"</formula>
    </cfRule>
  </conditionalFormatting>
  <conditionalFormatting sqref="X2091">
    <cfRule type="cellIs" dxfId="1227" priority="1142" operator="equal">
      <formula>"Share"</formula>
    </cfRule>
  </conditionalFormatting>
  <conditionalFormatting sqref="X2224">
    <cfRule type="cellIs" dxfId="1226" priority="1141" operator="equal">
      <formula>"Share"</formula>
    </cfRule>
  </conditionalFormatting>
  <conditionalFormatting sqref="X2245">
    <cfRule type="cellIs" dxfId="1225" priority="1140" operator="equal">
      <formula>"Share"</formula>
    </cfRule>
  </conditionalFormatting>
  <conditionalFormatting sqref="X1354">
    <cfRule type="cellIs" dxfId="1224" priority="1343" operator="equal">
      <formula>"Share"</formula>
    </cfRule>
  </conditionalFormatting>
  <conditionalFormatting sqref="X1667">
    <cfRule type="cellIs" dxfId="1223" priority="1138" operator="equal">
      <formula>"Share"</formula>
    </cfRule>
  </conditionalFormatting>
  <conditionalFormatting sqref="X1696">
    <cfRule type="cellIs" dxfId="1222" priority="1137" operator="equal">
      <formula>"Share"</formula>
    </cfRule>
  </conditionalFormatting>
  <conditionalFormatting sqref="X1919">
    <cfRule type="cellIs" dxfId="1221" priority="1136" operator="equal">
      <formula>"Share"</formula>
    </cfRule>
  </conditionalFormatting>
  <conditionalFormatting sqref="X1937">
    <cfRule type="cellIs" dxfId="1220" priority="1135" operator="equal">
      <formula>"Share"</formula>
    </cfRule>
  </conditionalFormatting>
  <conditionalFormatting sqref="X2030">
    <cfRule type="cellIs" dxfId="1219" priority="1134" operator="equal">
      <formula>"Share"</formula>
    </cfRule>
  </conditionalFormatting>
  <conditionalFormatting sqref="X2114">
    <cfRule type="cellIs" dxfId="1218" priority="1133" operator="equal">
      <formula>"Share"</formula>
    </cfRule>
  </conditionalFormatting>
  <conditionalFormatting sqref="X2174">
    <cfRule type="cellIs" dxfId="1217" priority="1132" operator="equal">
      <formula>"Share"</formula>
    </cfRule>
  </conditionalFormatting>
  <conditionalFormatting sqref="X680 X1278:X1279 X1312:X1313 X1386">
    <cfRule type="cellIs" dxfId="1216" priority="1344" operator="equal">
      <formula>"Share"</formula>
    </cfRule>
  </conditionalFormatting>
  <conditionalFormatting sqref="X2069:X2081">
    <cfRule type="cellIs" dxfId="1215" priority="1130" operator="equal">
      <formula>"Share"</formula>
    </cfRule>
  </conditionalFormatting>
  <conditionalFormatting sqref="X2092:X2113">
    <cfRule type="cellIs" dxfId="1214" priority="1129" operator="equal">
      <formula>"Share"</formula>
    </cfRule>
  </conditionalFormatting>
  <conditionalFormatting sqref="X1676:X1687">
    <cfRule type="cellIs" dxfId="1213" priority="1128" operator="equal">
      <formula>"Share"</formula>
    </cfRule>
  </conditionalFormatting>
  <conditionalFormatting sqref="X1751:X1762">
    <cfRule type="cellIs" dxfId="1212" priority="1127" operator="equal">
      <formula>"Share"</formula>
    </cfRule>
  </conditionalFormatting>
  <conditionalFormatting sqref="X1833:X1844">
    <cfRule type="cellIs" dxfId="1211" priority="1126" operator="equal">
      <formula>"Share"</formula>
    </cfRule>
  </conditionalFormatting>
  <conditionalFormatting sqref="X1036:X1277">
    <cfRule type="cellIs" dxfId="1210" priority="1345" operator="equal">
      <formula>"Share"</formula>
    </cfRule>
  </conditionalFormatting>
  <conditionalFormatting sqref="X1588:X1615 X2090 X2310:X2315 X2332:X2338 X2046:X2048">
    <cfRule type="cellIs" dxfId="1209" priority="1346" operator="equal">
      <formula>"Share"</formula>
    </cfRule>
  </conditionalFormatting>
  <conditionalFormatting sqref="X1668:X1675">
    <cfRule type="cellIs" dxfId="1208" priority="1123" operator="equal">
      <formula>"Share"</formula>
    </cfRule>
  </conditionalFormatting>
  <conditionalFormatting sqref="X1688:X1694">
    <cfRule type="cellIs" dxfId="1207" priority="1122" operator="equal">
      <formula>"Share"</formula>
    </cfRule>
  </conditionalFormatting>
  <conditionalFormatting sqref="X1727:X1733">
    <cfRule type="cellIs" dxfId="1206" priority="1121" operator="equal">
      <formula>"Share"</formula>
    </cfRule>
  </conditionalFormatting>
  <conditionalFormatting sqref="X1736:X1750">
    <cfRule type="cellIs" dxfId="1205" priority="1120" operator="equal">
      <formula>"Share"</formula>
    </cfRule>
  </conditionalFormatting>
  <conditionalFormatting sqref="X1763:X1769">
    <cfRule type="cellIs" dxfId="1204" priority="1119" operator="equal">
      <formula>"Share"</formula>
    </cfRule>
  </conditionalFormatting>
  <conditionalFormatting sqref="X1772:X1807 X1809:X1816">
    <cfRule type="cellIs" dxfId="1203" priority="1118" operator="equal">
      <formula>"Share"</formula>
    </cfRule>
  </conditionalFormatting>
  <conditionalFormatting sqref="X1818:X1832">
    <cfRule type="cellIs" dxfId="1202" priority="1117" operator="equal">
      <formula>"Share"</formula>
    </cfRule>
  </conditionalFormatting>
  <conditionalFormatting sqref="X1845:X1851">
    <cfRule type="cellIs" dxfId="1201" priority="1116" operator="equal">
      <formula>"Share"</formula>
    </cfRule>
  </conditionalFormatting>
  <conditionalFormatting sqref="X1854:X1889 X1891:X1897">
    <cfRule type="cellIs" dxfId="1200" priority="1347" operator="equal">
      <formula>"Share"</formula>
    </cfRule>
  </conditionalFormatting>
  <conditionalFormatting sqref="X1938:X1967">
    <cfRule type="cellIs" dxfId="1199" priority="1114" operator="equal">
      <formula>"Share"</formula>
    </cfRule>
  </conditionalFormatting>
  <conditionalFormatting sqref="X2031:X2043 X2045">
    <cfRule type="cellIs" dxfId="1198" priority="1113" operator="equal">
      <formula>"Share"</formula>
    </cfRule>
  </conditionalFormatting>
  <conditionalFormatting sqref="X2064:X2066">
    <cfRule type="cellIs" dxfId="1197" priority="1112" operator="equal">
      <formula>"Share"</formula>
    </cfRule>
  </conditionalFormatting>
  <conditionalFormatting sqref="X2241:X2243">
    <cfRule type="cellIs" dxfId="1196" priority="1111" operator="equal">
      <formula>"Share"</formula>
    </cfRule>
  </conditionalFormatting>
  <conditionalFormatting sqref="X2284:X2309">
    <cfRule type="cellIs" dxfId="1195" priority="1110" operator="equal">
      <formula>"Share"</formula>
    </cfRule>
  </conditionalFormatting>
  <conditionalFormatting sqref="X1401">
    <cfRule type="cellIs" dxfId="1194" priority="1348" operator="equal">
      <formula>"Share"</formula>
    </cfRule>
  </conditionalFormatting>
  <conditionalFormatting sqref="X1448">
    <cfRule type="cellIs" dxfId="1193" priority="1131" operator="equal">
      <formula>"Share"</formula>
    </cfRule>
  </conditionalFormatting>
  <conditionalFormatting sqref="X1463">
    <cfRule type="cellIs" dxfId="1192" priority="1349" operator="equal">
      <formula>"Share"</formula>
    </cfRule>
  </conditionalFormatting>
  <conditionalFormatting sqref="X1478">
    <cfRule type="cellIs" dxfId="1191" priority="1350" operator="equal">
      <formula>"Share"</formula>
    </cfRule>
  </conditionalFormatting>
  <conditionalFormatting sqref="X1549">
    <cfRule type="cellIs" dxfId="1190" priority="1351" operator="equal">
      <formula>"Share"</formula>
    </cfRule>
  </conditionalFormatting>
  <conditionalFormatting sqref="X2316">
    <cfRule type="cellIs" dxfId="1189" priority="1352" operator="equal">
      <formula>"Share"</formula>
    </cfRule>
  </conditionalFormatting>
  <conditionalFormatting sqref="X2339:X2422">
    <cfRule type="cellIs" dxfId="1188" priority="1103" operator="equal">
      <formula>"Share"</formula>
    </cfRule>
  </conditionalFormatting>
  <conditionalFormatting sqref="X2246:X2252">
    <cfRule type="cellIs" dxfId="1187" priority="1107" operator="equal">
      <formula>"Share"</formula>
    </cfRule>
  </conditionalFormatting>
  <conditionalFormatting sqref="X2317:X2330">
    <cfRule type="cellIs" dxfId="1186" priority="1353" operator="equal">
      <formula>"Share"</formula>
    </cfRule>
  </conditionalFormatting>
  <conditionalFormatting sqref="X2253:X2264 X2266:X2283">
    <cfRule type="cellIs" dxfId="1185" priority="1100" operator="equal">
      <formula>"Share"</formula>
    </cfRule>
  </conditionalFormatting>
  <conditionalFormatting sqref="X2331">
    <cfRule type="cellIs" dxfId="1184" priority="1354" operator="equal">
      <formula>"Share"</formula>
    </cfRule>
  </conditionalFormatting>
  <conditionalFormatting sqref="X1402">
    <cfRule type="cellIs" dxfId="1183" priority="1355" operator="equal">
      <formula>"Share"</formula>
    </cfRule>
  </conditionalFormatting>
  <conditionalFormatting sqref="X1418">
    <cfRule type="cellIs" dxfId="1182" priority="1356" operator="equal">
      <formula>"Share"</formula>
    </cfRule>
  </conditionalFormatting>
  <conditionalFormatting sqref="X2082">
    <cfRule type="cellIs" dxfId="1181" priority="1097" operator="equal">
      <formula>"Share"</formula>
    </cfRule>
  </conditionalFormatting>
  <conditionalFormatting sqref="X1904:X1918">
    <cfRule type="cellIs" dxfId="1180" priority="1357" operator="equal">
      <formula>"Share"</formula>
    </cfRule>
  </conditionalFormatting>
  <conditionalFormatting sqref="X1511">
    <cfRule type="cellIs" dxfId="1179" priority="1358" operator="equal">
      <formula>"Share"</formula>
    </cfRule>
  </conditionalFormatting>
  <conditionalFormatting sqref="X1526">
    <cfRule type="cellIs" dxfId="1178" priority="1359" operator="equal">
      <formula>"Share"</formula>
    </cfRule>
  </conditionalFormatting>
  <conditionalFormatting sqref="X1550">
    <cfRule type="cellIs" dxfId="1177" priority="1360" operator="equal">
      <formula>"Share"</formula>
    </cfRule>
  </conditionalFormatting>
  <conditionalFormatting sqref="X1573:X1586">
    <cfRule type="cellIs" dxfId="1176" priority="1091" operator="equal">
      <formula>"Share"</formula>
    </cfRule>
  </conditionalFormatting>
  <conditionalFormatting sqref="X376:X390">
    <cfRule type="cellIs" dxfId="1175" priority="1090" operator="equal">
      <formula>"Share"</formula>
    </cfRule>
  </conditionalFormatting>
  <conditionalFormatting sqref="X1559 X1587 X1622 X1735 X1771 X1817 X1853 X1899:X1903">
    <cfRule type="cellIs" dxfId="1174" priority="1124" operator="equal">
      <formula>"Share"</formula>
    </cfRule>
  </conditionalFormatting>
  <conditionalFormatting sqref="X2175:X2223 X1616:X1621">
    <cfRule type="cellIs" dxfId="1173" priority="1125" operator="equal">
      <formula>"Share"</formula>
    </cfRule>
  </conditionalFormatting>
  <conditionalFormatting sqref="X1623:X1665">
    <cfRule type="cellIs" dxfId="1172" priority="1088" operator="equal">
      <formula>"Share"</formula>
    </cfRule>
  </conditionalFormatting>
  <conditionalFormatting sqref="AA1772:AA1807 AA1809:AA1816">
    <cfRule type="cellIs" dxfId="1171" priority="1085" operator="equal">
      <formula>"Share"</formula>
    </cfRule>
  </conditionalFormatting>
  <conditionalFormatting sqref="AA1854:AA1889 AA1891:AA1897">
    <cfRule type="cellIs" dxfId="1170" priority="1084" operator="equal">
      <formula>"Share"</formula>
    </cfRule>
  </conditionalFormatting>
  <conditionalFormatting sqref="AA1403:AA1417">
    <cfRule type="cellIs" dxfId="1169" priority="1361" operator="equal">
      <formula>"Share"</formula>
    </cfRule>
  </conditionalFormatting>
  <conditionalFormatting sqref="AA1560:AA1584 AA1586">
    <cfRule type="cellIs" dxfId="1168" priority="1082" operator="equal">
      <formula>"Share"</formula>
    </cfRule>
  </conditionalFormatting>
  <conditionalFormatting sqref="AA872:AA890">
    <cfRule type="cellIs" dxfId="1167" priority="1081" operator="equal">
      <formula>"Share"</formula>
    </cfRule>
  </conditionalFormatting>
  <conditionalFormatting sqref="AA502:AA504">
    <cfRule type="cellIs" dxfId="1166" priority="1080" operator="equal">
      <formula>"Share"</formula>
    </cfRule>
  </conditionalFormatting>
  <conditionalFormatting sqref="AA1688">
    <cfRule type="cellIs" dxfId="1165" priority="1079" operator="equal">
      <formula>"Share"</formula>
    </cfRule>
  </conditionalFormatting>
  <conditionalFormatting sqref="AA1763">
    <cfRule type="cellIs" dxfId="1164" priority="1078" operator="equal">
      <formula>"Share"</formula>
    </cfRule>
  </conditionalFormatting>
  <conditionalFormatting sqref="AA1845">
    <cfRule type="cellIs" dxfId="1163" priority="1077" operator="equal">
      <formula>"Share"</formula>
    </cfRule>
  </conditionalFormatting>
  <conditionalFormatting sqref="AA388:AA501">
    <cfRule type="cellIs" dxfId="1162" priority="1362" operator="equal">
      <formula>"Share"</formula>
    </cfRule>
  </conditionalFormatting>
  <conditionalFormatting sqref="AA36 AA69 AA102 AA134 AA165 AA196 AA1036 AA1067 AA1098 AA1129 AA1160 AA1191 AA1222 AA1253 AA1286 AA1319 AA1736:AA1762 AA1818:AA1844 AA2280 AA1588:AA1621 AA1764:AA1770 AA1846:AA1852">
    <cfRule type="cellIs" dxfId="1161" priority="1363" operator="equal">
      <formula>"Share"</formula>
    </cfRule>
  </conditionalFormatting>
  <conditionalFormatting sqref="AA1667:AA1687 AA1623:AA1665">
    <cfRule type="cellIs" dxfId="1160" priority="1364" operator="equal">
      <formula>"Share"</formula>
    </cfRule>
  </conditionalFormatting>
  <conditionalFormatting sqref="R2353:R2362 R2246:R2264">
    <cfRule type="cellIs" dxfId="1159" priority="1073" operator="equal">
      <formula>"Share"</formula>
    </cfRule>
  </conditionalFormatting>
  <conditionalFormatting sqref="R695:R707">
    <cfRule type="cellIs" dxfId="1158" priority="1072" operator="equal">
      <formula>"Share"</formula>
    </cfRule>
  </conditionalFormatting>
  <conditionalFormatting sqref="R1526">
    <cfRule type="cellIs" dxfId="1157" priority="1071" operator="equal">
      <formula>"Share"</formula>
    </cfRule>
  </conditionalFormatting>
  <conditionalFormatting sqref="R1541">
    <cfRule type="cellIs" dxfId="1156" priority="1070" operator="equal">
      <formula>"Share"</formula>
    </cfRule>
  </conditionalFormatting>
  <conditionalFormatting sqref="R1550">
    <cfRule type="cellIs" dxfId="1155" priority="1069" operator="equal">
      <formula>"Share"</formula>
    </cfRule>
  </conditionalFormatting>
  <conditionalFormatting sqref="R259:R264 R362:R375 R601:R653 R708:R911 R1281:R1282 R1387:R1400 R1403:R1417 R1419:R1433 R1435:R1447 R1450:R1462 R1465:R1477 R1480:R1494 R1496:R1510 R1512:R1524 R1527:R1539 R1542:R1548 R1551:R1558 R913:R939 R944:R970 R975:R1001 R1006:R1032 R1314:R1315 R1286:R1310 R1319:R1343 R1345:R1346 R1350:R1351 R941:R942 R972:R973 R1003:R1004 R1034:R1035 R1284 R1317 R1348 R1353">
    <cfRule type="cellIs" dxfId="1154" priority="1068" operator="equal">
      <formula>"Share"</formula>
    </cfRule>
  </conditionalFormatting>
  <conditionalFormatting sqref="R405:R415">
    <cfRule type="cellIs" dxfId="1153" priority="1067" operator="equal">
      <formula>"Share"</formula>
    </cfRule>
  </conditionalFormatting>
  <conditionalFormatting sqref="R668:R679">
    <cfRule type="cellIs" dxfId="1152" priority="1066" operator="equal">
      <formula>"Share"</formula>
    </cfRule>
  </conditionalFormatting>
  <conditionalFormatting sqref="R1402">
    <cfRule type="cellIs" dxfId="1151" priority="1065" operator="equal">
      <formula>"Share"</formula>
    </cfRule>
  </conditionalFormatting>
  <conditionalFormatting sqref="R1418">
    <cfRule type="cellIs" dxfId="1150" priority="1064" operator="equal">
      <formula>"Share"</formula>
    </cfRule>
  </conditionalFormatting>
  <conditionalFormatting sqref="R1434">
    <cfRule type="cellIs" dxfId="1149" priority="1365" operator="equal">
      <formula>"Share"</formula>
    </cfRule>
  </conditionalFormatting>
  <conditionalFormatting sqref="R1449">
    <cfRule type="cellIs" dxfId="1148" priority="1366" operator="equal">
      <formula>"Share"</formula>
    </cfRule>
  </conditionalFormatting>
  <conditionalFormatting sqref="R1464">
    <cfRule type="cellIs" dxfId="1147" priority="1367" operator="equal">
      <formula>"Share"</formula>
    </cfRule>
  </conditionalFormatting>
  <conditionalFormatting sqref="R1479">
    <cfRule type="cellIs" dxfId="1146" priority="1368" operator="equal">
      <formula>"Share"</formula>
    </cfRule>
  </conditionalFormatting>
  <conditionalFormatting sqref="R1495">
    <cfRule type="cellIs" dxfId="1145" priority="1369" operator="equal">
      <formula>"Share"</formula>
    </cfRule>
  </conditionalFormatting>
  <conditionalFormatting sqref="R1511">
    <cfRule type="cellIs" dxfId="1144" priority="1060" operator="equal">
      <formula>"Share"</formula>
    </cfRule>
  </conditionalFormatting>
  <conditionalFormatting sqref="R1903">
    <cfRule type="cellIs" dxfId="1143" priority="1057" operator="equal">
      <formula>"Share"</formula>
    </cfRule>
  </conditionalFormatting>
  <conditionalFormatting sqref="R2266">
    <cfRule type="cellIs" dxfId="1142" priority="1056" operator="equal">
      <formula>"Share"</formula>
    </cfRule>
  </conditionalFormatting>
  <conditionalFormatting sqref="R36 R258">
    <cfRule type="cellIs" dxfId="1141" priority="1370" operator="equal">
      <formula>"Share"</formula>
    </cfRule>
  </conditionalFormatting>
  <conditionalFormatting sqref="R912">
    <cfRule type="cellIs" dxfId="1140" priority="1371" operator="equal">
      <formula>"Share"</formula>
    </cfRule>
  </conditionalFormatting>
  <conditionalFormatting sqref="R943">
    <cfRule type="cellIs" dxfId="1139" priority="1055" operator="equal">
      <formula>"Share"</formula>
    </cfRule>
  </conditionalFormatting>
  <conditionalFormatting sqref="R974">
    <cfRule type="cellIs" dxfId="1138" priority="1054" operator="equal">
      <formula>"Share"</formula>
    </cfRule>
  </conditionalFormatting>
  <conditionalFormatting sqref="R1005">
    <cfRule type="cellIs" dxfId="1137" priority="1053" operator="equal">
      <formula>"Share"</formula>
    </cfRule>
  </conditionalFormatting>
  <conditionalFormatting sqref="R1999">
    <cfRule type="cellIs" dxfId="1136" priority="1050" operator="equal">
      <formula>"Share"</formula>
    </cfRule>
  </conditionalFormatting>
  <conditionalFormatting sqref="R2049">
    <cfRule type="cellIs" dxfId="1135" priority="1049" operator="equal">
      <formula>"Share"</formula>
    </cfRule>
  </conditionalFormatting>
  <conditionalFormatting sqref="R2068">
    <cfRule type="cellIs" dxfId="1134" priority="1048" operator="equal">
      <formula>"Share"</formula>
    </cfRule>
  </conditionalFormatting>
  <conditionalFormatting sqref="R2091">
    <cfRule type="cellIs" dxfId="1133" priority="1047" operator="equal">
      <formula>"Share"</formula>
    </cfRule>
  </conditionalFormatting>
  <conditionalFormatting sqref="R2224">
    <cfRule type="cellIs" dxfId="1132" priority="1046" operator="equal">
      <formula>"Share"</formula>
    </cfRule>
  </conditionalFormatting>
  <conditionalFormatting sqref="R2245">
    <cfRule type="cellIs" dxfId="1131" priority="1045" operator="equal">
      <formula>"Share"</formula>
    </cfRule>
  </conditionalFormatting>
  <conditionalFormatting sqref="R1354">
    <cfRule type="cellIs" dxfId="1130" priority="1372" operator="equal">
      <formula>"Share"</formula>
    </cfRule>
  </conditionalFormatting>
  <conditionalFormatting sqref="R1667">
    <cfRule type="cellIs" dxfId="1129" priority="1373" operator="equal">
      <formula>"Share"</formula>
    </cfRule>
  </conditionalFormatting>
  <conditionalFormatting sqref="R1696">
    <cfRule type="cellIs" dxfId="1128" priority="1374" operator="equal">
      <formula>"Share"</formula>
    </cfRule>
  </conditionalFormatting>
  <conditionalFormatting sqref="R1919">
    <cfRule type="cellIs" dxfId="1127" priority="1041" operator="equal">
      <formula>"Share"</formula>
    </cfRule>
  </conditionalFormatting>
  <conditionalFormatting sqref="R2030">
    <cfRule type="cellIs" dxfId="1126" priority="1040" operator="equal">
      <formula>"Share"</formula>
    </cfRule>
  </conditionalFormatting>
  <conditionalFormatting sqref="R2114">
    <cfRule type="cellIs" dxfId="1125" priority="1039" operator="equal">
      <formula>"Share"</formula>
    </cfRule>
  </conditionalFormatting>
  <conditionalFormatting sqref="R2174">
    <cfRule type="cellIs" dxfId="1124" priority="1038" operator="equal">
      <formula>"Share"</formula>
    </cfRule>
  </conditionalFormatting>
  <conditionalFormatting sqref="R680 R1278:R1279 R1312:R1313">
    <cfRule type="cellIs" dxfId="1123" priority="1375" operator="equal">
      <formula>"Share"</formula>
    </cfRule>
  </conditionalFormatting>
  <conditionalFormatting sqref="R2134">
    <cfRule type="cellIs" dxfId="1122" priority="1036" operator="equal">
      <formula>"Share"</formula>
    </cfRule>
  </conditionalFormatting>
  <conditionalFormatting sqref="R2154">
    <cfRule type="cellIs" dxfId="1121" priority="1035" operator="equal">
      <formula>"Share"</formula>
    </cfRule>
  </conditionalFormatting>
  <conditionalFormatting sqref="R2199">
    <cfRule type="cellIs" dxfId="1120" priority="1034" operator="equal">
      <formula>"Share"</formula>
    </cfRule>
  </conditionalFormatting>
  <conditionalFormatting sqref="R362">
    <cfRule type="cellIs" dxfId="1119" priority="1061" operator="equal">
      <formula>"Share"</formula>
    </cfRule>
  </conditionalFormatting>
  <conditionalFormatting sqref="R391:R404 R654:R667 R681:R694">
    <cfRule type="cellIs" dxfId="1118" priority="1376" operator="equal">
      <formula>"Share"</formula>
    </cfRule>
  </conditionalFormatting>
  <conditionalFormatting sqref="R1401">
    <cfRule type="cellIs" dxfId="1117" priority="1377" operator="equal">
      <formula>"Share"</formula>
    </cfRule>
  </conditionalFormatting>
  <conditionalFormatting sqref="R1448">
    <cfRule type="cellIs" dxfId="1116" priority="1378" operator="equal">
      <formula>"Share"</formula>
    </cfRule>
  </conditionalFormatting>
  <conditionalFormatting sqref="R1463">
    <cfRule type="cellIs" dxfId="1115" priority="1029" operator="equal">
      <formula>"Share"</formula>
    </cfRule>
  </conditionalFormatting>
  <conditionalFormatting sqref="R1478">
    <cfRule type="cellIs" dxfId="1114" priority="1028" operator="equal">
      <formula>"Share"</formula>
    </cfRule>
  </conditionalFormatting>
  <conditionalFormatting sqref="R1525">
    <cfRule type="cellIs" dxfId="1113" priority="1379" operator="equal">
      <formula>"Share"</formula>
    </cfRule>
  </conditionalFormatting>
  <conditionalFormatting sqref="R1540">
    <cfRule type="cellIs" dxfId="1112" priority="1044" operator="equal">
      <formula>"Share"</formula>
    </cfRule>
  </conditionalFormatting>
  <conditionalFormatting sqref="R1549">
    <cfRule type="cellIs" dxfId="1111" priority="1043" operator="equal">
      <formula>"Share"</formula>
    </cfRule>
  </conditionalFormatting>
  <conditionalFormatting sqref="R1602:R1615">
    <cfRule type="cellIs" dxfId="1110" priority="1024" operator="equal">
      <formula>"Share"</formula>
    </cfRule>
  </conditionalFormatting>
  <conditionalFormatting sqref="R2339:R2340">
    <cfRule type="cellIs" dxfId="1109" priority="1023" operator="equal">
      <formula>"Share"</formula>
    </cfRule>
  </conditionalFormatting>
  <conditionalFormatting sqref="R2155:R2167">
    <cfRule type="cellIs" dxfId="1108" priority="1032" operator="equal">
      <formula>"Share"</formula>
    </cfRule>
  </conditionalFormatting>
  <conditionalFormatting sqref="R2175:R2198">
    <cfRule type="cellIs" dxfId="1107" priority="1021" operator="equal">
      <formula>"Share"</formula>
    </cfRule>
  </conditionalFormatting>
  <conditionalFormatting sqref="R2200:R2222">
    <cfRule type="cellIs" dxfId="1106" priority="1020" operator="equal">
      <formula>"Share"</formula>
    </cfRule>
  </conditionalFormatting>
  <conditionalFormatting sqref="R2341:R2350 R2352">
    <cfRule type="cellIs" dxfId="1105" priority="1019" operator="equal">
      <formula>"Share"</formula>
    </cfRule>
  </conditionalFormatting>
  <conditionalFormatting sqref="R2363:R2364 R2366">
    <cfRule type="cellIs" dxfId="1104" priority="1018" operator="equal">
      <formula>"Share"</formula>
    </cfRule>
  </conditionalFormatting>
  <conditionalFormatting sqref="R2082:R2086">
    <cfRule type="cellIs" dxfId="1103" priority="1017" operator="equal">
      <formula>"Share"</formula>
    </cfRule>
  </conditionalFormatting>
  <conditionalFormatting sqref="R2050:R2062">
    <cfRule type="cellIs" dxfId="1102" priority="1380" operator="equal">
      <formula>"Share"</formula>
    </cfRule>
  </conditionalFormatting>
  <conditionalFormatting sqref="R2069:R2081">
    <cfRule type="cellIs" dxfId="1101" priority="1381" operator="equal">
      <formula>"Share"</formula>
    </cfRule>
  </conditionalFormatting>
  <conditionalFormatting sqref="R2092:R2111 R2113">
    <cfRule type="cellIs" dxfId="1100" priority="1014" operator="equal">
      <formula>"Share"</formula>
    </cfRule>
  </conditionalFormatting>
  <conditionalFormatting sqref="R1676:R1687">
    <cfRule type="cellIs" dxfId="1099" priority="1013" operator="equal">
      <formula>"Share"</formula>
    </cfRule>
  </conditionalFormatting>
  <conditionalFormatting sqref="R1751:R1762">
    <cfRule type="cellIs" dxfId="1098" priority="1012" operator="equal">
      <formula>"Share"</formula>
    </cfRule>
  </conditionalFormatting>
  <conditionalFormatting sqref="R1833:R1844">
    <cfRule type="cellIs" dxfId="1097" priority="1011" operator="equal">
      <formula>"Share"</formula>
    </cfRule>
  </conditionalFormatting>
  <conditionalFormatting sqref="R1036:R1063 R1065:R1094 R1096:R1125 R1127:R1156 R1158:R1187 R1189:R1218 R1220:R1249 R1251:R1277">
    <cfRule type="cellIs" dxfId="1096" priority="1042" operator="equal">
      <formula>"Share"</formula>
    </cfRule>
  </conditionalFormatting>
  <conditionalFormatting sqref="R1588:R1601 R2090 R2267:R2283 R2310:R2337 R2135:R2147 R2115:R2127 R2129:R2133 R2046:R2048 R2149:R2153">
    <cfRule type="cellIs" dxfId="1095" priority="1382" operator="equal">
      <formula>"Share"</formula>
    </cfRule>
  </conditionalFormatting>
  <conditionalFormatting sqref="R1668:R1675">
    <cfRule type="cellIs" dxfId="1094" priority="1383" operator="equal">
      <formula>"Share"</formula>
    </cfRule>
  </conditionalFormatting>
  <conditionalFormatting sqref="R1688:R1691 R1693:R1694">
    <cfRule type="cellIs" dxfId="1093" priority="1007" operator="equal">
      <formula>"Share"</formula>
    </cfRule>
  </conditionalFormatting>
  <conditionalFormatting sqref="R1727:R1730 R1732:R1733">
    <cfRule type="cellIs" dxfId="1092" priority="1006" operator="equal">
      <formula>"Share"</formula>
    </cfRule>
  </conditionalFormatting>
  <conditionalFormatting sqref="R1736:R1750">
    <cfRule type="cellIs" dxfId="1091" priority="1384" operator="equal">
      <formula>"Share"</formula>
    </cfRule>
  </conditionalFormatting>
  <conditionalFormatting sqref="R1763:R1766 R1768:R1769">
    <cfRule type="cellIs" dxfId="1090" priority="1004" operator="equal">
      <formula>"Share"</formula>
    </cfRule>
  </conditionalFormatting>
  <conditionalFormatting sqref="R1772:R1807 R1809:R1812 R1814:R1816">
    <cfRule type="cellIs" dxfId="1089" priority="1003" operator="equal">
      <formula>"Share"</formula>
    </cfRule>
  </conditionalFormatting>
  <conditionalFormatting sqref="R1818:R1832">
    <cfRule type="cellIs" dxfId="1088" priority="1010" operator="equal">
      <formula>"Share"</formula>
    </cfRule>
  </conditionalFormatting>
  <conditionalFormatting sqref="R1845:R1848 R1850:R1851">
    <cfRule type="cellIs" dxfId="1087" priority="1001" operator="equal">
      <formula>"Share"</formula>
    </cfRule>
  </conditionalFormatting>
  <conditionalFormatting sqref="R1854:R1889 R1891:R1894 R1896:R1897">
    <cfRule type="cellIs" dxfId="1086" priority="1385" operator="equal">
      <formula>"Share"</formula>
    </cfRule>
  </conditionalFormatting>
  <conditionalFormatting sqref="R1952:R1965 R1967">
    <cfRule type="cellIs" dxfId="1085" priority="999" operator="equal">
      <formula>"Share"</formula>
    </cfRule>
  </conditionalFormatting>
  <conditionalFormatting sqref="R2031:R2043 R2045">
    <cfRule type="cellIs" dxfId="1084" priority="1016" operator="equal">
      <formula>"Share"</formula>
    </cfRule>
  </conditionalFormatting>
  <conditionalFormatting sqref="R2064 R2066">
    <cfRule type="cellIs" dxfId="1083" priority="1005" operator="equal">
      <formula>"Share"</formula>
    </cfRule>
  </conditionalFormatting>
  <conditionalFormatting sqref="R2241:R2243">
    <cfRule type="cellIs" dxfId="1082" priority="1002" operator="equal">
      <formula>"Share"</formula>
    </cfRule>
  </conditionalFormatting>
  <conditionalFormatting sqref="R2284:R2309">
    <cfRule type="cellIs" dxfId="1081" priority="1386" operator="equal">
      <formula>"Share"</formula>
    </cfRule>
  </conditionalFormatting>
  <conditionalFormatting sqref="R1905:R1918">
    <cfRule type="cellIs" dxfId="1080" priority="1387" operator="equal">
      <formula>"Share"</formula>
    </cfRule>
  </conditionalFormatting>
  <conditionalFormatting sqref="R2087:R2088">
    <cfRule type="cellIs" dxfId="1079" priority="1388" operator="equal">
      <formula>"Share"</formula>
    </cfRule>
  </conditionalFormatting>
  <conditionalFormatting sqref="R1573:R1582 R1584:R1586">
    <cfRule type="cellIs" dxfId="1078" priority="995" operator="equal">
      <formula>"Share"</formula>
    </cfRule>
  </conditionalFormatting>
  <conditionalFormatting sqref="R376:R390">
    <cfRule type="cellIs" dxfId="1077" priority="991" operator="equal">
      <formula>"Share"</formula>
    </cfRule>
  </conditionalFormatting>
  <conditionalFormatting sqref="R416:R525 R527 R534:R539 R541:R546 R548:R553 R555:R560 R562:R567 R569:R574 R576:R581 R583:R588 R590:R595 R597:R600">
    <cfRule type="cellIs" dxfId="1076" priority="1389" operator="equal">
      <formula>"Share"</formula>
    </cfRule>
  </conditionalFormatting>
  <conditionalFormatting sqref="R1559 R1587 R1622 R1735 R1771 R1817 R1853 R1899:R1900 R1902">
    <cfRule type="cellIs" dxfId="1075" priority="1037" operator="equal">
      <formula>"Share"</formula>
    </cfRule>
  </conditionalFormatting>
  <conditionalFormatting sqref="R1904 R1616:R1617 R1619:R1621">
    <cfRule type="cellIs" dxfId="1074" priority="1390" operator="equal">
      <formula>"Share"</formula>
    </cfRule>
  </conditionalFormatting>
  <conditionalFormatting sqref="R1623:R1662 R1664:R1665">
    <cfRule type="cellIs" dxfId="1073" priority="994" operator="equal">
      <formula>"Share"</formula>
    </cfRule>
  </conditionalFormatting>
  <conditionalFormatting sqref="AB1772:AB1816">
    <cfRule type="cellIs" dxfId="1072" priority="986" operator="equal">
      <formula>"Share"</formula>
    </cfRule>
  </conditionalFormatting>
  <conditionalFormatting sqref="AB1403:AB1417">
    <cfRule type="cellIs" dxfId="1071" priority="985" operator="equal">
      <formula>"Share"</formula>
    </cfRule>
  </conditionalFormatting>
  <conditionalFormatting sqref="AB1559:AB1584 AB943:AB972 AB974:AB1003 AB1005:AB1034 AB1586:AB1622">
    <cfRule type="cellIs" dxfId="1070" priority="984" operator="equal">
      <formula>"Share"</formula>
    </cfRule>
  </conditionalFormatting>
  <conditionalFormatting sqref="AB1688">
    <cfRule type="cellIs" dxfId="1069" priority="983" operator="equal">
      <formula>"Share"</formula>
    </cfRule>
  </conditionalFormatting>
  <conditionalFormatting sqref="AB1763">
    <cfRule type="cellIs" dxfId="1068" priority="982" operator="equal">
      <formula>"Share"</formula>
    </cfRule>
  </conditionalFormatting>
  <conditionalFormatting sqref="AB1845">
    <cfRule type="cellIs" dxfId="1067" priority="981" operator="equal">
      <formula>"Share"</formula>
    </cfRule>
  </conditionalFormatting>
  <conditionalFormatting sqref="AB388:AB501">
    <cfRule type="cellIs" dxfId="1066" priority="1391" operator="equal">
      <formula>"Share"</formula>
    </cfRule>
  </conditionalFormatting>
  <conditionalFormatting sqref="AB1735:AB1762 AB1764:AB1769 AB1817:AB1844 AB1037:AB1066 AB1068:AB1097 AB1099:AB1128 AB1130:AB1159 AB1161:AB1190 AB1192:AB1221 AB1223:AB1252 AB166:AB195 AB1287:AB1318 AB1254:AB1285 AB37:AB68 AB70:AB101 AB135:AB158 AB160:AB163 AB1771">
    <cfRule type="cellIs" dxfId="1065" priority="1392" operator="equal">
      <formula>"Share"</formula>
    </cfRule>
  </conditionalFormatting>
  <conditionalFormatting sqref="AB1667:AB1687 AB1623:AB1665">
    <cfRule type="cellIs" dxfId="1064" priority="1393" operator="equal">
      <formula>"Share"</formula>
    </cfRule>
  </conditionalFormatting>
  <conditionalFormatting sqref="U362:U375 U391:U415 U601:U679 U681:U911 U1281:U1284 U1387:U1400 U1403:U1417 U1419:U1433 U1435:U1447 U1450:U1462 U1465:U1477 U1480:U1494 U1496:U1510 U1512:U1525 U1551:U1558 U913:U937 U944:U968 U975:U999 U1006:U1030 U942 U973 U1004 U1035 U1314:U1317 U1286:U1310 U1319:U1343 U1350:U1353">
    <cfRule type="cellIs" dxfId="1063" priority="977" operator="equal">
      <formula>"Share"</formula>
    </cfRule>
  </conditionalFormatting>
  <conditionalFormatting sqref="U1434">
    <cfRule type="cellIs" dxfId="1062" priority="976" operator="equal">
      <formula>"Share"</formula>
    </cfRule>
  </conditionalFormatting>
  <conditionalFormatting sqref="U1449">
    <cfRule type="cellIs" dxfId="1061" priority="975" operator="equal">
      <formula>"Share"</formula>
    </cfRule>
  </conditionalFormatting>
  <conditionalFormatting sqref="U1464">
    <cfRule type="cellIs" dxfId="1060" priority="974" operator="equal">
      <formula>"Share"</formula>
    </cfRule>
  </conditionalFormatting>
  <conditionalFormatting sqref="U1479">
    <cfRule type="cellIs" dxfId="1059" priority="973" operator="equal">
      <formula>"Share"</formula>
    </cfRule>
  </conditionalFormatting>
  <conditionalFormatting sqref="U1495">
    <cfRule type="cellIs" dxfId="1058" priority="972" operator="equal">
      <formula>"Share"</formula>
    </cfRule>
  </conditionalFormatting>
  <conditionalFormatting sqref="U1999">
    <cfRule type="cellIs" dxfId="1057" priority="971" operator="equal">
      <formula>"Share"</formula>
    </cfRule>
  </conditionalFormatting>
  <conditionalFormatting sqref="U2049">
    <cfRule type="cellIs" dxfId="1056" priority="970" operator="equal">
      <formula>"Share"</formula>
    </cfRule>
  </conditionalFormatting>
  <conditionalFormatting sqref="U2068">
    <cfRule type="cellIs" dxfId="1055" priority="969" operator="equal">
      <formula>"Share"</formula>
    </cfRule>
  </conditionalFormatting>
  <conditionalFormatting sqref="U2091">
    <cfRule type="cellIs" dxfId="1054" priority="968" operator="equal">
      <formula>"Share"</formula>
    </cfRule>
  </conditionalFormatting>
  <conditionalFormatting sqref="U2224">
    <cfRule type="cellIs" dxfId="1053" priority="967" operator="equal">
      <formula>"Share"</formula>
    </cfRule>
  </conditionalFormatting>
  <conditionalFormatting sqref="U2245">
    <cfRule type="cellIs" dxfId="1052" priority="966" operator="equal">
      <formula>"Share"</formula>
    </cfRule>
  </conditionalFormatting>
  <conditionalFormatting sqref="U1354">
    <cfRule type="cellIs" dxfId="1051" priority="1394" operator="equal">
      <formula>"Share"</formula>
    </cfRule>
  </conditionalFormatting>
  <conditionalFormatting sqref="U1667">
    <cfRule type="cellIs" dxfId="1050" priority="964" operator="equal">
      <formula>"Share"</formula>
    </cfRule>
  </conditionalFormatting>
  <conditionalFormatting sqref="U1696">
    <cfRule type="cellIs" dxfId="1049" priority="963" operator="equal">
      <formula>"Share"</formula>
    </cfRule>
  </conditionalFormatting>
  <conditionalFormatting sqref="U1919">
    <cfRule type="cellIs" dxfId="1048" priority="962" operator="equal">
      <formula>"Share"</formula>
    </cfRule>
  </conditionalFormatting>
  <conditionalFormatting sqref="U2030">
    <cfRule type="cellIs" dxfId="1047" priority="961" operator="equal">
      <formula>"Share"</formula>
    </cfRule>
  </conditionalFormatting>
  <conditionalFormatting sqref="U2114">
    <cfRule type="cellIs" dxfId="1046" priority="960" operator="equal">
      <formula>"Share"</formula>
    </cfRule>
  </conditionalFormatting>
  <conditionalFormatting sqref="U2 U680 U1278:U1279 U1312:U1313 U1386">
    <cfRule type="cellIs" dxfId="1045" priority="1395" operator="equal">
      <formula>"Share"</formula>
    </cfRule>
  </conditionalFormatting>
  <conditionalFormatting sqref="U912">
    <cfRule type="cellIs" dxfId="1044" priority="1396" operator="equal">
      <formula>"Share"</formula>
    </cfRule>
  </conditionalFormatting>
  <conditionalFormatting sqref="U2069:U2081">
    <cfRule type="cellIs" dxfId="1043" priority="957" operator="equal">
      <formula>"Share"</formula>
    </cfRule>
  </conditionalFormatting>
  <conditionalFormatting sqref="U2092:U2113">
    <cfRule type="cellIs" dxfId="1042" priority="956" operator="equal">
      <formula>"Share"</formula>
    </cfRule>
  </conditionalFormatting>
  <conditionalFormatting sqref="U1833:U1844">
    <cfRule type="cellIs" dxfId="1041" priority="955" operator="equal">
      <formula>"Share"</formula>
    </cfRule>
  </conditionalFormatting>
  <conditionalFormatting sqref="U1036:U1277">
    <cfRule type="cellIs" dxfId="1040" priority="1397" operator="equal">
      <formula>"Share"</formula>
    </cfRule>
  </conditionalFormatting>
  <conditionalFormatting sqref="U2090 U2310:U2315 U2332:U2338 U1588:U1594 U1596:U1599 U1601:U1615 U2046:U2048">
    <cfRule type="cellIs" dxfId="1039" priority="1398" operator="equal">
      <formula>"Share"</formula>
    </cfRule>
  </conditionalFormatting>
  <conditionalFormatting sqref="U1668:U1675">
    <cfRule type="cellIs" dxfId="1038" priority="952" operator="equal">
      <formula>"Share"</formula>
    </cfRule>
  </conditionalFormatting>
  <conditionalFormatting sqref="U1727:U1733">
    <cfRule type="cellIs" dxfId="1037" priority="951" operator="equal">
      <formula>"Share"</formula>
    </cfRule>
  </conditionalFormatting>
  <conditionalFormatting sqref="U1736:U1750">
    <cfRule type="cellIs" dxfId="1036" priority="950" operator="equal">
      <formula>"Share"</formula>
    </cfRule>
  </conditionalFormatting>
  <conditionalFormatting sqref="U1772:U1807 U1809:U1815">
    <cfRule type="cellIs" dxfId="1035" priority="949" operator="equal">
      <formula>"Share"</formula>
    </cfRule>
  </conditionalFormatting>
  <conditionalFormatting sqref="U1818:U1832">
    <cfRule type="cellIs" dxfId="1034" priority="948" operator="equal">
      <formula>"Share"</formula>
    </cfRule>
  </conditionalFormatting>
  <conditionalFormatting sqref="U1845:U1851">
    <cfRule type="cellIs" dxfId="1033" priority="947" operator="equal">
      <formula>"Share"</formula>
    </cfRule>
  </conditionalFormatting>
  <conditionalFormatting sqref="U1854:U1889 U1891:U1897">
    <cfRule type="cellIs" dxfId="1032" priority="1399" operator="equal">
      <formula>"Share"</formula>
    </cfRule>
  </conditionalFormatting>
  <conditionalFormatting sqref="U1952:U1963 U1967">
    <cfRule type="cellIs" dxfId="1031" priority="945" operator="equal">
      <formula>"Share"</formula>
    </cfRule>
  </conditionalFormatting>
  <conditionalFormatting sqref="U2031:U2043 U2045">
    <cfRule type="cellIs" dxfId="1030" priority="944" operator="equal">
      <formula>"Share"</formula>
    </cfRule>
  </conditionalFormatting>
  <conditionalFormatting sqref="U2064:U2066">
    <cfRule type="cellIs" dxfId="1029" priority="943" operator="equal">
      <formula>"Share"</formula>
    </cfRule>
  </conditionalFormatting>
  <conditionalFormatting sqref="U2241:U2243">
    <cfRule type="cellIs" dxfId="1028" priority="942" operator="equal">
      <formula>"Share"</formula>
    </cfRule>
  </conditionalFormatting>
  <conditionalFormatting sqref="U2284:U2309">
    <cfRule type="cellIs" dxfId="1027" priority="941" operator="equal">
      <formula>"Share"</formula>
    </cfRule>
  </conditionalFormatting>
  <conditionalFormatting sqref="U1401">
    <cfRule type="cellIs" dxfId="1026" priority="1400" operator="equal">
      <formula>"Share"</formula>
    </cfRule>
  </conditionalFormatting>
  <conditionalFormatting sqref="U1448">
    <cfRule type="cellIs" dxfId="1025" priority="1401" operator="equal">
      <formula>"Share"</formula>
    </cfRule>
  </conditionalFormatting>
  <conditionalFormatting sqref="U1463">
    <cfRule type="cellIs" dxfId="1024" priority="1402" operator="equal">
      <formula>"Share"</formula>
    </cfRule>
  </conditionalFormatting>
  <conditionalFormatting sqref="U1478">
    <cfRule type="cellIs" dxfId="1023" priority="959" operator="equal">
      <formula>"Share"</formula>
    </cfRule>
  </conditionalFormatting>
  <conditionalFormatting sqref="U1549">
    <cfRule type="cellIs" dxfId="1022" priority="958" operator="equal">
      <formula>"Share"</formula>
    </cfRule>
  </conditionalFormatting>
  <conditionalFormatting sqref="U2246:U2252">
    <cfRule type="cellIs" dxfId="1021" priority="940" operator="equal">
      <formula>"Share"</formula>
    </cfRule>
  </conditionalFormatting>
  <conditionalFormatting sqref="U2317:U2330">
    <cfRule type="cellIs" dxfId="1020" priority="1403" operator="equal">
      <formula>"Share"</formula>
    </cfRule>
  </conditionalFormatting>
  <conditionalFormatting sqref="U2266:U2283 U2253:U2264">
    <cfRule type="cellIs" dxfId="1019" priority="933" operator="equal">
      <formula>"Share"</formula>
    </cfRule>
  </conditionalFormatting>
  <conditionalFormatting sqref="U2331">
    <cfRule type="cellIs" dxfId="1018" priority="1404" operator="equal">
      <formula>"Share"</formula>
    </cfRule>
  </conditionalFormatting>
  <conditionalFormatting sqref="U2082">
    <cfRule type="cellIs" dxfId="1017" priority="932" operator="equal">
      <formula>"Share"</formula>
    </cfRule>
  </conditionalFormatting>
  <conditionalFormatting sqref="U1904:U1918">
    <cfRule type="cellIs" dxfId="1016" priority="953" operator="equal">
      <formula>"Share"</formula>
    </cfRule>
  </conditionalFormatting>
  <conditionalFormatting sqref="U1511">
    <cfRule type="cellIs" dxfId="1015" priority="1405" operator="equal">
      <formula>"Share"</formula>
    </cfRule>
  </conditionalFormatting>
  <conditionalFormatting sqref="U1526">
    <cfRule type="cellIs" dxfId="1014" priority="965" operator="equal">
      <formula>"Share"</formula>
    </cfRule>
  </conditionalFormatting>
  <conditionalFormatting sqref="U1550">
    <cfRule type="cellIs" dxfId="1013" priority="1406" operator="equal">
      <formula>"Share"</formula>
    </cfRule>
  </conditionalFormatting>
  <conditionalFormatting sqref="U2339">
    <cfRule type="cellIs" dxfId="1012" priority="926" operator="equal">
      <formula>"Share"</formula>
    </cfRule>
  </conditionalFormatting>
  <conditionalFormatting sqref="U2341:U2366">
    <cfRule type="cellIs" dxfId="1011" priority="925" operator="equal">
      <formula>"Share"</formula>
    </cfRule>
  </conditionalFormatting>
  <conditionalFormatting sqref="U943 U974 U1005">
    <cfRule type="cellIs" dxfId="1010" priority="1407" operator="equal">
      <formula>"Share"</formula>
    </cfRule>
  </conditionalFormatting>
  <conditionalFormatting sqref="U1573:U1586">
    <cfRule type="cellIs" dxfId="1009" priority="924" operator="equal">
      <formula>"Share"</formula>
    </cfRule>
  </conditionalFormatting>
  <conditionalFormatting sqref="U376:U390">
    <cfRule type="cellIs" dxfId="1008" priority="922" operator="equal">
      <formula>"Share"</formula>
    </cfRule>
  </conditionalFormatting>
  <conditionalFormatting sqref="U1559 U1587 U1622 U1735 U1771 U1817 U1853 U1899:U1903">
    <cfRule type="cellIs" dxfId="1007" priority="954" operator="equal">
      <formula>"Share"</formula>
    </cfRule>
  </conditionalFormatting>
  <conditionalFormatting sqref="U1616:U1618 U2175:U2223 U1620:U1621">
    <cfRule type="cellIs" dxfId="1006" priority="1408" operator="equal">
      <formula>"Share"</formula>
    </cfRule>
  </conditionalFormatting>
  <conditionalFormatting sqref="U1623:U1665">
    <cfRule type="cellIs" dxfId="1005" priority="923" operator="equal">
      <formula>"Share"</formula>
    </cfRule>
  </conditionalFormatting>
  <conditionalFormatting sqref="B2367:D2380">
    <cfRule type="cellIs" dxfId="1004" priority="917" operator="equal">
      <formula>"Share"</formula>
    </cfRule>
  </conditionalFormatting>
  <conditionalFormatting sqref="R2367:R2368">
    <cfRule type="cellIs" dxfId="1003" priority="916" operator="equal">
      <formula>"Share"</formula>
    </cfRule>
  </conditionalFormatting>
  <conditionalFormatting sqref="R2369:R2378 R2380">
    <cfRule type="cellIs" dxfId="1002" priority="915" operator="equal">
      <formula>"Share"</formula>
    </cfRule>
  </conditionalFormatting>
  <conditionalFormatting sqref="AA2367:AA2376 AA2392:AA2394 AA2378:AA2390">
    <cfRule type="cellIs" dxfId="1001" priority="914" operator="equal">
      <formula>"Share"</formula>
    </cfRule>
  </conditionalFormatting>
  <conditionalFormatting sqref="E2367:E2394">
    <cfRule type="cellIs" dxfId="1000" priority="913" operator="equal">
      <formula>"Share"</formula>
    </cfRule>
  </conditionalFormatting>
  <conditionalFormatting sqref="U2367">
    <cfRule type="cellIs" dxfId="999" priority="912" operator="equal">
      <formula>"Share"</formula>
    </cfRule>
  </conditionalFormatting>
  <conditionalFormatting sqref="U2369:U2377 U2380">
    <cfRule type="cellIs" dxfId="998" priority="911" operator="equal">
      <formula>"Share"</formula>
    </cfRule>
  </conditionalFormatting>
  <conditionalFormatting sqref="U2378:U2379">
    <cfRule type="cellIs" dxfId="997" priority="910" operator="equal">
      <formula>"Share"</formula>
    </cfRule>
  </conditionalFormatting>
  <conditionalFormatting sqref="B2381:D2394">
    <cfRule type="cellIs" dxfId="996" priority="909" operator="equal">
      <formula>"Share"</formula>
    </cfRule>
  </conditionalFormatting>
  <conditionalFormatting sqref="R2381:R2382">
    <cfRule type="cellIs" dxfId="995" priority="908" operator="equal">
      <formula>"Share"</formula>
    </cfRule>
  </conditionalFormatting>
  <conditionalFormatting sqref="R2383:R2392 R2394">
    <cfRule type="cellIs" dxfId="994" priority="907" operator="equal">
      <formula>"Share"</formula>
    </cfRule>
  </conditionalFormatting>
  <conditionalFormatting sqref="U2381">
    <cfRule type="cellIs" dxfId="993" priority="906" operator="equal">
      <formula>"Share"</formula>
    </cfRule>
  </conditionalFormatting>
  <conditionalFormatting sqref="U2383:U2391 U2394">
    <cfRule type="cellIs" dxfId="992" priority="905" operator="equal">
      <formula>"Share"</formula>
    </cfRule>
  </conditionalFormatting>
  <conditionalFormatting sqref="U2392:U2393">
    <cfRule type="cellIs" dxfId="991" priority="904" operator="equal">
      <formula>"Share"</formula>
    </cfRule>
  </conditionalFormatting>
  <conditionalFormatting sqref="B2395:E2408">
    <cfRule type="cellIs" dxfId="990" priority="903" operator="equal">
      <formula>"Share"</formula>
    </cfRule>
  </conditionalFormatting>
  <conditionalFormatting sqref="E2395:E2422">
    <cfRule type="cellIs" dxfId="989" priority="902" operator="equal">
      <formula>"Share"</formula>
    </cfRule>
  </conditionalFormatting>
  <conditionalFormatting sqref="R2395:R2404">
    <cfRule type="cellIs" dxfId="988" priority="901" operator="equal">
      <formula>"Share"</formula>
    </cfRule>
  </conditionalFormatting>
  <conditionalFormatting sqref="R2405:R2406 R2408">
    <cfRule type="cellIs" dxfId="987" priority="900" operator="equal">
      <formula>"Share"</formula>
    </cfRule>
  </conditionalFormatting>
  <conditionalFormatting sqref="U2395:U2422">
    <cfRule type="cellIs" dxfId="986" priority="899" operator="equal">
      <formula>"Share"</formula>
    </cfRule>
  </conditionalFormatting>
  <conditionalFormatting sqref="B2409:E2422">
    <cfRule type="cellIs" dxfId="985" priority="898" operator="equal">
      <formula>"Share"</formula>
    </cfRule>
  </conditionalFormatting>
  <conditionalFormatting sqref="R2409:R2418">
    <cfRule type="cellIs" dxfId="984" priority="897" operator="equal">
      <formula>"Share"</formula>
    </cfRule>
  </conditionalFormatting>
  <conditionalFormatting sqref="R2419:R2420 R2422">
    <cfRule type="cellIs" dxfId="983" priority="896" operator="equal">
      <formula>"Share"</formula>
    </cfRule>
  </conditionalFormatting>
  <conditionalFormatting sqref="B2423:E2426">
    <cfRule type="cellIs" dxfId="982" priority="895" operator="equal">
      <formula>"Share"</formula>
    </cfRule>
  </conditionalFormatting>
  <conditionalFormatting sqref="E2423:E2426">
    <cfRule type="cellIs" dxfId="981" priority="894" operator="equal">
      <formula>"Share"</formula>
    </cfRule>
  </conditionalFormatting>
  <conditionalFormatting sqref="X2423:X2426">
    <cfRule type="cellIs" dxfId="980" priority="893" operator="equal">
      <formula>"Share"</formula>
    </cfRule>
  </conditionalFormatting>
  <conditionalFormatting sqref="R2423:R2424 R2426">
    <cfRule type="cellIs" dxfId="979" priority="892" operator="equal">
      <formula>"Share"</formula>
    </cfRule>
  </conditionalFormatting>
  <conditionalFormatting sqref="U2423:U2426">
    <cfRule type="cellIs" dxfId="978" priority="891" operator="equal">
      <formula>"Share"</formula>
    </cfRule>
  </conditionalFormatting>
  <conditionalFormatting sqref="Z942">
    <cfRule type="cellIs" dxfId="977" priority="890" operator="equal">
      <formula>"Share"</formula>
    </cfRule>
  </conditionalFormatting>
  <conditionalFormatting sqref="AA942">
    <cfRule type="cellIs" dxfId="976" priority="889" operator="equal">
      <formula>"Share"</formula>
    </cfRule>
  </conditionalFormatting>
  <conditionalFormatting sqref="W942">
    <cfRule type="cellIs" dxfId="975" priority="888" operator="equal">
      <formula>"Share"</formula>
    </cfRule>
  </conditionalFormatting>
  <conditionalFormatting sqref="W937">
    <cfRule type="cellIs" dxfId="974" priority="887" operator="equal">
      <formula>"Share"</formula>
    </cfRule>
  </conditionalFormatting>
  <conditionalFormatting sqref="Z937">
    <cfRule type="cellIs" dxfId="973" priority="886" operator="equal">
      <formula>"Share"</formula>
    </cfRule>
  </conditionalFormatting>
  <conditionalFormatting sqref="X35">
    <cfRule type="cellIs" dxfId="972" priority="885" operator="equal">
      <formula>"Share"</formula>
    </cfRule>
  </conditionalFormatting>
  <conditionalFormatting sqref="U35">
    <cfRule type="cellIs" dxfId="971" priority="884" operator="equal">
      <formula>"Share"</formula>
    </cfRule>
  </conditionalFormatting>
  <conditionalFormatting sqref="Z35">
    <cfRule type="cellIs" dxfId="970" priority="883" operator="equal">
      <formula>"Share"</formula>
    </cfRule>
  </conditionalFormatting>
  <conditionalFormatting sqref="AA35">
    <cfRule type="cellIs" dxfId="969" priority="882" operator="equal">
      <formula>"Share"</formula>
    </cfRule>
  </conditionalFormatting>
  <conditionalFormatting sqref="W35">
    <cfRule type="cellIs" dxfId="968" priority="881" operator="equal">
      <formula>"Share"</formula>
    </cfRule>
  </conditionalFormatting>
  <conditionalFormatting sqref="X34">
    <cfRule type="cellIs" dxfId="967" priority="880" operator="equal">
      <formula>"Share"</formula>
    </cfRule>
  </conditionalFormatting>
  <conditionalFormatting sqref="AB34">
    <cfRule type="cellIs" dxfId="966" priority="879" operator="equal">
      <formula>"Share"</formula>
    </cfRule>
  </conditionalFormatting>
  <conditionalFormatting sqref="U34">
    <cfRule type="cellIs" dxfId="965" priority="878" operator="equal">
      <formula>"Share"</formula>
    </cfRule>
  </conditionalFormatting>
  <conditionalFormatting sqref="W34">
    <cfRule type="cellIs" dxfId="964" priority="877" operator="equal">
      <formula>"Share"</formula>
    </cfRule>
  </conditionalFormatting>
  <conditionalFormatting sqref="Z34">
    <cfRule type="cellIs" dxfId="963" priority="876" operator="equal">
      <formula>"Share"</formula>
    </cfRule>
  </conditionalFormatting>
  <conditionalFormatting sqref="E968">
    <cfRule type="cellIs" dxfId="962" priority="875" operator="equal">
      <formula>"Share"</formula>
    </cfRule>
  </conditionalFormatting>
  <conditionalFormatting sqref="W968">
    <cfRule type="cellIs" dxfId="961" priority="874" operator="equal">
      <formula>"Share"</formula>
    </cfRule>
  </conditionalFormatting>
  <conditionalFormatting sqref="Z968">
    <cfRule type="cellIs" dxfId="960" priority="873" operator="equal">
      <formula>"Share"</formula>
    </cfRule>
  </conditionalFormatting>
  <conditionalFormatting sqref="E973">
    <cfRule type="cellIs" dxfId="959" priority="872" operator="equal">
      <formula>"Share"</formula>
    </cfRule>
  </conditionalFormatting>
  <conditionalFormatting sqref="Z973">
    <cfRule type="cellIs" dxfId="958" priority="871" operator="equal">
      <formula>"Share"</formula>
    </cfRule>
  </conditionalFormatting>
  <conditionalFormatting sqref="AA973">
    <cfRule type="cellIs" dxfId="957" priority="870" operator="equal">
      <formula>"Share"</formula>
    </cfRule>
  </conditionalFormatting>
  <conditionalFormatting sqref="W973">
    <cfRule type="cellIs" dxfId="956" priority="869" operator="equal">
      <formula>"Share"</formula>
    </cfRule>
  </conditionalFormatting>
  <conditionalFormatting sqref="E999">
    <cfRule type="cellIs" dxfId="955" priority="868" operator="equal">
      <formula>"Share"</formula>
    </cfRule>
  </conditionalFormatting>
  <conditionalFormatting sqref="W999">
    <cfRule type="cellIs" dxfId="954" priority="867" operator="equal">
      <formula>"Share"</formula>
    </cfRule>
  </conditionalFormatting>
  <conditionalFormatting sqref="Z999">
    <cfRule type="cellIs" dxfId="953" priority="866" operator="equal">
      <formula>"Share"</formula>
    </cfRule>
  </conditionalFormatting>
  <conditionalFormatting sqref="E1004">
    <cfRule type="cellIs" dxfId="952" priority="865" operator="equal">
      <formula>"Share"</formula>
    </cfRule>
  </conditionalFormatting>
  <conditionalFormatting sqref="Z1004">
    <cfRule type="cellIs" dxfId="951" priority="864" operator="equal">
      <formula>"Share"</formula>
    </cfRule>
  </conditionalFormatting>
  <conditionalFormatting sqref="AA1004">
    <cfRule type="cellIs" dxfId="950" priority="863" operator="equal">
      <formula>"Share"</formula>
    </cfRule>
  </conditionalFormatting>
  <conditionalFormatting sqref="W1004">
    <cfRule type="cellIs" dxfId="949" priority="862" operator="equal">
      <formula>"Share"</formula>
    </cfRule>
  </conditionalFormatting>
  <conditionalFormatting sqref="E1030">
    <cfRule type="cellIs" dxfId="948" priority="861" operator="equal">
      <formula>"Share"</formula>
    </cfRule>
  </conditionalFormatting>
  <conditionalFormatting sqref="W1030">
    <cfRule type="cellIs" dxfId="947" priority="860" operator="equal">
      <formula>"Share"</formula>
    </cfRule>
  </conditionalFormatting>
  <conditionalFormatting sqref="Z1030">
    <cfRule type="cellIs" dxfId="946" priority="859" operator="equal">
      <formula>"Share"</formula>
    </cfRule>
  </conditionalFormatting>
  <conditionalFormatting sqref="E1035">
    <cfRule type="cellIs" dxfId="945" priority="858" operator="equal">
      <formula>"Share"</formula>
    </cfRule>
  </conditionalFormatting>
  <conditionalFormatting sqref="Z1035">
    <cfRule type="cellIs" dxfId="944" priority="857" operator="equal">
      <formula>"Share"</formula>
    </cfRule>
  </conditionalFormatting>
  <conditionalFormatting sqref="AA1035">
    <cfRule type="cellIs" dxfId="943" priority="856" operator="equal">
      <formula>"Share"</formula>
    </cfRule>
  </conditionalFormatting>
  <conditionalFormatting sqref="W1035">
    <cfRule type="cellIs" dxfId="942" priority="855" operator="equal">
      <formula>"Share"</formula>
    </cfRule>
  </conditionalFormatting>
  <conditionalFormatting sqref="B1036:B1159">
    <cfRule type="cellIs" dxfId="941" priority="854" operator="equal">
      <formula>"Share"</formula>
    </cfRule>
  </conditionalFormatting>
  <conditionalFormatting sqref="W1066">
    <cfRule type="cellIs" dxfId="940" priority="853" operator="equal">
      <formula>"Share"</formula>
    </cfRule>
  </conditionalFormatting>
  <conditionalFormatting sqref="W1097">
    <cfRule type="cellIs" dxfId="939" priority="852" operator="equal">
      <formula>"Share"</formula>
    </cfRule>
  </conditionalFormatting>
  <conditionalFormatting sqref="W1128">
    <cfRule type="cellIs" dxfId="938" priority="851" operator="equal">
      <formula>"Share"</formula>
    </cfRule>
  </conditionalFormatting>
  <conditionalFormatting sqref="W1159">
    <cfRule type="cellIs" dxfId="937" priority="850" operator="equal">
      <formula>"Share"</formula>
    </cfRule>
  </conditionalFormatting>
  <conditionalFormatting sqref="W1064">
    <cfRule type="cellIs" dxfId="936" priority="849" operator="equal">
      <formula>"Share"</formula>
    </cfRule>
  </conditionalFormatting>
  <conditionalFormatting sqref="W1065">
    <cfRule type="cellIs" dxfId="935" priority="848" operator="equal">
      <formula>"Share"</formula>
    </cfRule>
  </conditionalFormatting>
  <conditionalFormatting sqref="W1126">
    <cfRule type="cellIs" dxfId="934" priority="847" operator="equal">
      <formula>"Share"</formula>
    </cfRule>
  </conditionalFormatting>
  <conditionalFormatting sqref="W1127">
    <cfRule type="cellIs" dxfId="933" priority="846" operator="equal">
      <formula>"Share"</formula>
    </cfRule>
  </conditionalFormatting>
  <conditionalFormatting sqref="W1093:W1096">
    <cfRule type="cellIs" dxfId="932" priority="845" operator="equal">
      <formula>"Share"</formula>
    </cfRule>
  </conditionalFormatting>
  <conditionalFormatting sqref="W1155:W1158">
    <cfRule type="cellIs" dxfId="931" priority="844" operator="equal">
      <formula>"Share"</formula>
    </cfRule>
  </conditionalFormatting>
  <conditionalFormatting sqref="U938:U941">
    <cfRule type="cellIs" dxfId="930" priority="843" operator="equal">
      <formula>"Share"</formula>
    </cfRule>
  </conditionalFormatting>
  <conditionalFormatting sqref="W940">
    <cfRule type="cellIs" dxfId="929" priority="842" operator="equal">
      <formula>"Share"</formula>
    </cfRule>
  </conditionalFormatting>
  <conditionalFormatting sqref="W941">
    <cfRule type="cellIs" dxfId="928" priority="841" operator="equal">
      <formula>"Share"</formula>
    </cfRule>
  </conditionalFormatting>
  <conditionalFormatting sqref="U969:U972">
    <cfRule type="cellIs" dxfId="927" priority="840" operator="equal">
      <formula>"Share"</formula>
    </cfRule>
  </conditionalFormatting>
  <conditionalFormatting sqref="W969:W972">
    <cfRule type="cellIs" dxfId="926" priority="839" operator="equal">
      <formula>"Share"</formula>
    </cfRule>
  </conditionalFormatting>
  <conditionalFormatting sqref="U1000:U1003">
    <cfRule type="cellIs" dxfId="925" priority="838" operator="equal">
      <formula>"Share"</formula>
    </cfRule>
  </conditionalFormatting>
  <conditionalFormatting sqref="W1002">
    <cfRule type="cellIs" dxfId="924" priority="837" operator="equal">
      <formula>"Share"</formula>
    </cfRule>
  </conditionalFormatting>
  <conditionalFormatting sqref="W1003">
    <cfRule type="cellIs" dxfId="923" priority="836" operator="equal">
      <formula>"Share"</formula>
    </cfRule>
  </conditionalFormatting>
  <conditionalFormatting sqref="U1031:U1034">
    <cfRule type="cellIs" dxfId="922" priority="835" operator="equal">
      <formula>"Share"</formula>
    </cfRule>
  </conditionalFormatting>
  <conditionalFormatting sqref="W1031:W1034">
    <cfRule type="cellIs" dxfId="921" priority="834" operator="equal">
      <formula>"Share"</formula>
    </cfRule>
  </conditionalFormatting>
  <conditionalFormatting sqref="B128:D128">
    <cfRule type="cellIs" dxfId="920" priority="833" operator="equal">
      <formula>"Share"</formula>
    </cfRule>
  </conditionalFormatting>
  <conditionalFormatting sqref="X128">
    <cfRule type="cellIs" dxfId="919" priority="832" operator="equal">
      <formula>"Share"</formula>
    </cfRule>
  </conditionalFormatting>
  <conditionalFormatting sqref="R128">
    <cfRule type="cellIs" dxfId="918" priority="831" operator="equal">
      <formula>"Share"</formula>
    </cfRule>
  </conditionalFormatting>
  <conditionalFormatting sqref="W128">
    <cfRule type="cellIs" dxfId="917" priority="830" operator="equal">
      <formula>"Share"</formula>
    </cfRule>
  </conditionalFormatting>
  <conditionalFormatting sqref="U128">
    <cfRule type="cellIs" dxfId="916" priority="829" operator="equal">
      <formula>"Share"</formula>
    </cfRule>
  </conditionalFormatting>
  <conditionalFormatting sqref="B128">
    <cfRule type="cellIs" dxfId="915" priority="828" operator="equal">
      <formula>"Share"</formula>
    </cfRule>
  </conditionalFormatting>
  <conditionalFormatting sqref="B133:D133">
    <cfRule type="cellIs" dxfId="914" priority="827" operator="equal">
      <formula>"Share"</formula>
    </cfRule>
  </conditionalFormatting>
  <conditionalFormatting sqref="X133">
    <cfRule type="cellIs" dxfId="913" priority="826" operator="equal">
      <formula>"Share"</formula>
    </cfRule>
  </conditionalFormatting>
  <conditionalFormatting sqref="R133">
    <cfRule type="cellIs" dxfId="912" priority="825" operator="equal">
      <formula>"Share"</formula>
    </cfRule>
  </conditionalFormatting>
  <conditionalFormatting sqref="U133">
    <cfRule type="cellIs" dxfId="911" priority="824" operator="equal">
      <formula>"Share"</formula>
    </cfRule>
  </conditionalFormatting>
  <conditionalFormatting sqref="B133">
    <cfRule type="cellIs" dxfId="910" priority="823" operator="equal">
      <formula>"Share"</formula>
    </cfRule>
  </conditionalFormatting>
  <conditionalFormatting sqref="W133">
    <cfRule type="cellIs" dxfId="909" priority="822" operator="equal">
      <formula>"Share"</formula>
    </cfRule>
  </conditionalFormatting>
  <conditionalFormatting sqref="B1185">
    <cfRule type="cellIs" dxfId="908" priority="821" operator="equal">
      <formula>"Share"</formula>
    </cfRule>
  </conditionalFormatting>
  <conditionalFormatting sqref="B1190">
    <cfRule type="cellIs" dxfId="907" priority="820" operator="equal">
      <formula>"Share"</formula>
    </cfRule>
  </conditionalFormatting>
  <conditionalFormatting sqref="W1190">
    <cfRule type="cellIs" dxfId="906" priority="819" operator="equal">
      <formula>"Share"</formula>
    </cfRule>
  </conditionalFormatting>
  <conditionalFormatting sqref="W1188">
    <cfRule type="cellIs" dxfId="905" priority="818" operator="equal">
      <formula>"Share"</formula>
    </cfRule>
  </conditionalFormatting>
  <conditionalFormatting sqref="W1189">
    <cfRule type="cellIs" dxfId="904" priority="817" operator="equal">
      <formula>"Share"</formula>
    </cfRule>
  </conditionalFormatting>
  <conditionalFormatting sqref="W1219">
    <cfRule type="cellIs" dxfId="903" priority="816" operator="equal">
      <formula>"Share"</formula>
    </cfRule>
  </conditionalFormatting>
  <conditionalFormatting sqref="W1220">
    <cfRule type="cellIs" dxfId="902" priority="815" operator="equal">
      <formula>"Share"</formula>
    </cfRule>
  </conditionalFormatting>
  <conditionalFormatting sqref="C1216:D1216">
    <cfRule type="cellIs" dxfId="901" priority="814" operator="equal">
      <formula>"Share"</formula>
    </cfRule>
  </conditionalFormatting>
  <conditionalFormatting sqref="B1221">
    <cfRule type="cellIs" dxfId="900" priority="813" operator="equal">
      <formula>"Share"</formula>
    </cfRule>
  </conditionalFormatting>
  <conditionalFormatting sqref="W1221">
    <cfRule type="cellIs" dxfId="899" priority="812" operator="equal">
      <formula>"Share"</formula>
    </cfRule>
  </conditionalFormatting>
  <conditionalFormatting sqref="W1248:W1251">
    <cfRule type="cellIs" dxfId="898" priority="811" operator="equal">
      <formula>"Share"</formula>
    </cfRule>
  </conditionalFormatting>
  <conditionalFormatting sqref="C1247:D1247">
    <cfRule type="cellIs" dxfId="897" priority="810" operator="equal">
      <formula>"Share"</formula>
    </cfRule>
  </conditionalFormatting>
  <conditionalFormatting sqref="B1252">
    <cfRule type="cellIs" dxfId="896" priority="809" operator="equal">
      <formula>"Share"</formula>
    </cfRule>
  </conditionalFormatting>
  <conditionalFormatting sqref="W1252">
    <cfRule type="cellIs" dxfId="895" priority="808" operator="equal">
      <formula>"Share"</formula>
    </cfRule>
  </conditionalFormatting>
  <conditionalFormatting sqref="B1247">
    <cfRule type="cellIs" dxfId="894" priority="807" operator="equal">
      <formula>"Share"</formula>
    </cfRule>
  </conditionalFormatting>
  <conditionalFormatting sqref="B1216">
    <cfRule type="cellIs" dxfId="893" priority="806" operator="equal">
      <formula>"Share"</formula>
    </cfRule>
  </conditionalFormatting>
  <conditionalFormatting sqref="E1160:E1190">
    <cfRule type="cellIs" dxfId="892" priority="805" operator="equal">
      <formula>"Share"</formula>
    </cfRule>
  </conditionalFormatting>
  <conditionalFormatting sqref="B195:D195">
    <cfRule type="cellIs" dxfId="891" priority="804" operator="equal">
      <formula>"Share"</formula>
    </cfRule>
  </conditionalFormatting>
  <conditionalFormatting sqref="X195">
    <cfRule type="cellIs" dxfId="890" priority="803" operator="equal">
      <formula>"Share"</formula>
    </cfRule>
  </conditionalFormatting>
  <conditionalFormatting sqref="R195">
    <cfRule type="cellIs" dxfId="889" priority="802" operator="equal">
      <formula>"Share"</formula>
    </cfRule>
  </conditionalFormatting>
  <conditionalFormatting sqref="U195">
    <cfRule type="cellIs" dxfId="888" priority="801" operator="equal">
      <formula>"Share"</formula>
    </cfRule>
  </conditionalFormatting>
  <conditionalFormatting sqref="B195">
    <cfRule type="cellIs" dxfId="887" priority="800" operator="equal">
      <formula>"Share"</formula>
    </cfRule>
  </conditionalFormatting>
  <conditionalFormatting sqref="W195">
    <cfRule type="cellIs" dxfId="886" priority="799" operator="equal">
      <formula>"Share"</formula>
    </cfRule>
  </conditionalFormatting>
  <conditionalFormatting sqref="E195">
    <cfRule type="cellIs" dxfId="885" priority="798" operator="equal">
      <formula>"Share"</formula>
    </cfRule>
  </conditionalFormatting>
  <conditionalFormatting sqref="B190:D190">
    <cfRule type="cellIs" dxfId="884" priority="797" operator="equal">
      <formula>"Share"</formula>
    </cfRule>
  </conditionalFormatting>
  <conditionalFormatting sqref="X190">
    <cfRule type="cellIs" dxfId="883" priority="796" operator="equal">
      <formula>"Share"</formula>
    </cfRule>
  </conditionalFormatting>
  <conditionalFormatting sqref="R190">
    <cfRule type="cellIs" dxfId="882" priority="795" operator="equal">
      <formula>"Share"</formula>
    </cfRule>
  </conditionalFormatting>
  <conditionalFormatting sqref="W190">
    <cfRule type="cellIs" dxfId="881" priority="794" operator="equal">
      <formula>"Share"</formula>
    </cfRule>
  </conditionalFormatting>
  <conditionalFormatting sqref="U190">
    <cfRule type="cellIs" dxfId="880" priority="793" operator="equal">
      <formula>"Share"</formula>
    </cfRule>
  </conditionalFormatting>
  <conditionalFormatting sqref="B190">
    <cfRule type="cellIs" dxfId="879" priority="792" operator="equal">
      <formula>"Share"</formula>
    </cfRule>
  </conditionalFormatting>
  <conditionalFormatting sqref="E190">
    <cfRule type="cellIs" dxfId="878" priority="791" operator="equal">
      <formula>"Share"</formula>
    </cfRule>
  </conditionalFormatting>
  <conditionalFormatting sqref="W1216">
    <cfRule type="cellIs" dxfId="877" priority="790" operator="equal">
      <formula>"Share"</formula>
    </cfRule>
  </conditionalFormatting>
  <conditionalFormatting sqref="X1311">
    <cfRule type="cellIs" dxfId="876" priority="789" operator="equal">
      <formula>"Share"</formula>
    </cfRule>
  </conditionalFormatting>
  <conditionalFormatting sqref="R1311">
    <cfRule type="cellIs" dxfId="875" priority="788" operator="equal">
      <formula>"Share"</formula>
    </cfRule>
  </conditionalFormatting>
  <conditionalFormatting sqref="U1311">
    <cfRule type="cellIs" dxfId="874" priority="787" operator="equal">
      <formula>"Share"</formula>
    </cfRule>
  </conditionalFormatting>
  <conditionalFormatting sqref="X1318">
    <cfRule type="cellIs" dxfId="873" priority="786" operator="equal">
      <formula>"Share"</formula>
    </cfRule>
  </conditionalFormatting>
  <conditionalFormatting sqref="R1318">
    <cfRule type="cellIs" dxfId="872" priority="785" operator="equal">
      <formula>"Share"</formula>
    </cfRule>
  </conditionalFormatting>
  <conditionalFormatting sqref="U1318">
    <cfRule type="cellIs" dxfId="871" priority="784" operator="equal">
      <formula>"Share"</formula>
    </cfRule>
  </conditionalFormatting>
  <conditionalFormatting sqref="B1311:D1311">
    <cfRule type="cellIs" dxfId="870" priority="783" operator="equal">
      <formula>"Share"</formula>
    </cfRule>
  </conditionalFormatting>
  <conditionalFormatting sqref="X1280">
    <cfRule type="cellIs" dxfId="869" priority="782" operator="equal">
      <formula>"Share"</formula>
    </cfRule>
  </conditionalFormatting>
  <conditionalFormatting sqref="R1280">
    <cfRule type="cellIs" dxfId="868" priority="781" operator="equal">
      <formula>"Share"</formula>
    </cfRule>
  </conditionalFormatting>
  <conditionalFormatting sqref="W1280">
    <cfRule type="cellIs" dxfId="867" priority="780" operator="equal">
      <formula>"Share"</formula>
    </cfRule>
  </conditionalFormatting>
  <conditionalFormatting sqref="U1280">
    <cfRule type="cellIs" dxfId="866" priority="779" operator="equal">
      <formula>"Share"</formula>
    </cfRule>
  </conditionalFormatting>
  <conditionalFormatting sqref="B1280:D1280">
    <cfRule type="cellIs" dxfId="865" priority="778" operator="equal">
      <formula>"Share"</formula>
    </cfRule>
  </conditionalFormatting>
  <conditionalFormatting sqref="X1285">
    <cfRule type="cellIs" dxfId="864" priority="777" operator="equal">
      <formula>"Share"</formula>
    </cfRule>
  </conditionalFormatting>
  <conditionalFormatting sqref="R1285">
    <cfRule type="cellIs" dxfId="863" priority="776" operator="equal">
      <formula>"Share"</formula>
    </cfRule>
  </conditionalFormatting>
  <conditionalFormatting sqref="U1285">
    <cfRule type="cellIs" dxfId="862" priority="775" operator="equal">
      <formula>"Share"</formula>
    </cfRule>
  </conditionalFormatting>
  <conditionalFormatting sqref="W1285">
    <cfRule type="cellIs" dxfId="861" priority="774" operator="equal">
      <formula>"Share"</formula>
    </cfRule>
  </conditionalFormatting>
  <conditionalFormatting sqref="F1253:F1277 F1314:F1318 F1280:F1311">
    <cfRule type="cellIs" dxfId="860" priority="773" operator="equal">
      <formula>"Share"</formula>
    </cfRule>
  </conditionalFormatting>
  <conditionalFormatting sqref="F1278:F1279 F1312:F1313">
    <cfRule type="cellIs" dxfId="859" priority="1409" operator="equal">
      <formula>"Share"</formula>
    </cfRule>
  </conditionalFormatting>
  <conditionalFormatting sqref="W1318">
    <cfRule type="cellIs" dxfId="858" priority="771" operator="equal">
      <formula>"Share"</formula>
    </cfRule>
  </conditionalFormatting>
  <conditionalFormatting sqref="E63">
    <cfRule type="cellIs" dxfId="857" priority="770" operator="equal">
      <formula>"Share"</formula>
    </cfRule>
  </conditionalFormatting>
  <conditionalFormatting sqref="X63">
    <cfRule type="cellIs" dxfId="856" priority="769" operator="equal">
      <formula>"Share"</formula>
    </cfRule>
  </conditionalFormatting>
  <conditionalFormatting sqref="R63">
    <cfRule type="cellIs" dxfId="855" priority="768" operator="equal">
      <formula>"Share"</formula>
    </cfRule>
  </conditionalFormatting>
  <conditionalFormatting sqref="W63">
    <cfRule type="cellIs" dxfId="854" priority="767" operator="equal">
      <formula>"Share"</formula>
    </cfRule>
  </conditionalFormatting>
  <conditionalFormatting sqref="U63">
    <cfRule type="cellIs" dxfId="853" priority="766" operator="equal">
      <formula>"Share"</formula>
    </cfRule>
  </conditionalFormatting>
  <conditionalFormatting sqref="B63:D63">
    <cfRule type="cellIs" dxfId="852" priority="765" operator="equal">
      <formula>"Share"</formula>
    </cfRule>
  </conditionalFormatting>
  <conditionalFormatting sqref="F63">
    <cfRule type="cellIs" dxfId="851" priority="764" operator="equal">
      <formula>"Share"</formula>
    </cfRule>
  </conditionalFormatting>
  <conditionalFormatting sqref="B68:D68">
    <cfRule type="cellIs" dxfId="850" priority="763" operator="equal">
      <formula>"Share"</formula>
    </cfRule>
  </conditionalFormatting>
  <conditionalFormatting sqref="E68">
    <cfRule type="cellIs" dxfId="849" priority="762" operator="equal">
      <formula>"Share"</formula>
    </cfRule>
  </conditionalFormatting>
  <conditionalFormatting sqref="X68">
    <cfRule type="cellIs" dxfId="848" priority="761" operator="equal">
      <formula>"Share"</formula>
    </cfRule>
  </conditionalFormatting>
  <conditionalFormatting sqref="R68">
    <cfRule type="cellIs" dxfId="847" priority="760" operator="equal">
      <formula>"Share"</formula>
    </cfRule>
  </conditionalFormatting>
  <conditionalFormatting sqref="U68">
    <cfRule type="cellIs" dxfId="846" priority="759" operator="equal">
      <formula>"Share"</formula>
    </cfRule>
  </conditionalFormatting>
  <conditionalFormatting sqref="W68">
    <cfRule type="cellIs" dxfId="845" priority="758" operator="equal">
      <formula>"Share"</formula>
    </cfRule>
  </conditionalFormatting>
  <conditionalFormatting sqref="F68">
    <cfRule type="cellIs" dxfId="844" priority="757" operator="equal">
      <formula>"Share"</formula>
    </cfRule>
  </conditionalFormatting>
  <conditionalFormatting sqref="W1311">
    <cfRule type="cellIs" dxfId="843" priority="756" operator="equal">
      <formula>"Share"</formula>
    </cfRule>
  </conditionalFormatting>
  <conditionalFormatting sqref="B101:D101">
    <cfRule type="cellIs" dxfId="842" priority="755" operator="equal">
      <formula>"Share"</formula>
    </cfRule>
  </conditionalFormatting>
  <conditionalFormatting sqref="E101">
    <cfRule type="cellIs" dxfId="841" priority="754" operator="equal">
      <formula>"Share"</formula>
    </cfRule>
  </conditionalFormatting>
  <conditionalFormatting sqref="X101">
    <cfRule type="cellIs" dxfId="840" priority="753" operator="equal">
      <formula>"Share"</formula>
    </cfRule>
  </conditionalFormatting>
  <conditionalFormatting sqref="R101">
    <cfRule type="cellIs" dxfId="839" priority="752" operator="equal">
      <formula>"Share"</formula>
    </cfRule>
  </conditionalFormatting>
  <conditionalFormatting sqref="U101">
    <cfRule type="cellIs" dxfId="838" priority="751" operator="equal">
      <formula>"Share"</formula>
    </cfRule>
  </conditionalFormatting>
  <conditionalFormatting sqref="W101">
    <cfRule type="cellIs" dxfId="837" priority="750" operator="equal">
      <formula>"Share"</formula>
    </cfRule>
  </conditionalFormatting>
  <conditionalFormatting sqref="F101">
    <cfRule type="cellIs" dxfId="836" priority="749" operator="equal">
      <formula>"Share"</formula>
    </cfRule>
  </conditionalFormatting>
  <conditionalFormatting sqref="E96">
    <cfRule type="cellIs" dxfId="835" priority="748" operator="equal">
      <formula>"Share"</formula>
    </cfRule>
  </conditionalFormatting>
  <conditionalFormatting sqref="X96">
    <cfRule type="cellIs" dxfId="834" priority="747" operator="equal">
      <formula>"Share"</formula>
    </cfRule>
  </conditionalFormatting>
  <conditionalFormatting sqref="R96">
    <cfRule type="cellIs" dxfId="833" priority="746" operator="equal">
      <formula>"Share"</formula>
    </cfRule>
  </conditionalFormatting>
  <conditionalFormatting sqref="W96">
    <cfRule type="cellIs" dxfId="832" priority="745" operator="equal">
      <formula>"Share"</formula>
    </cfRule>
  </conditionalFormatting>
  <conditionalFormatting sqref="U96">
    <cfRule type="cellIs" dxfId="831" priority="744" operator="equal">
      <formula>"Share"</formula>
    </cfRule>
  </conditionalFormatting>
  <conditionalFormatting sqref="B96:D96">
    <cfRule type="cellIs" dxfId="830" priority="743" operator="equal">
      <formula>"Share"</formula>
    </cfRule>
  </conditionalFormatting>
  <conditionalFormatting sqref="F96">
    <cfRule type="cellIs" dxfId="829" priority="742" operator="equal">
      <formula>"Share"</formula>
    </cfRule>
  </conditionalFormatting>
  <conditionalFormatting sqref="B221:D221">
    <cfRule type="cellIs" dxfId="828" priority="741" operator="equal">
      <formula>"Share"</formula>
    </cfRule>
  </conditionalFormatting>
  <conditionalFormatting sqref="X221">
    <cfRule type="cellIs" dxfId="827" priority="740" operator="equal">
      <formula>"Share"</formula>
    </cfRule>
  </conditionalFormatting>
  <conditionalFormatting sqref="R221">
    <cfRule type="cellIs" dxfId="826" priority="739" operator="equal">
      <formula>"Share"</formula>
    </cfRule>
  </conditionalFormatting>
  <conditionalFormatting sqref="W221">
    <cfRule type="cellIs" dxfId="825" priority="738" operator="equal">
      <formula>"Share"</formula>
    </cfRule>
  </conditionalFormatting>
  <conditionalFormatting sqref="AB221">
    <cfRule type="cellIs" dxfId="824" priority="737" operator="equal">
      <formula>"Share"</formula>
    </cfRule>
  </conditionalFormatting>
  <conditionalFormatting sqref="U221">
    <cfRule type="cellIs" dxfId="823" priority="736" operator="equal">
      <formula>"Share"</formula>
    </cfRule>
  </conditionalFormatting>
  <conditionalFormatting sqref="B221">
    <cfRule type="cellIs" dxfId="822" priority="735" operator="equal">
      <formula>"Share"</formula>
    </cfRule>
  </conditionalFormatting>
  <conditionalFormatting sqref="E221">
    <cfRule type="cellIs" dxfId="821" priority="734" operator="equal">
      <formula>"Share"</formula>
    </cfRule>
  </conditionalFormatting>
  <conditionalFormatting sqref="B226:D226">
    <cfRule type="cellIs" dxfId="820" priority="733" operator="equal">
      <formula>"Share"</formula>
    </cfRule>
  </conditionalFormatting>
  <conditionalFormatting sqref="X226">
    <cfRule type="cellIs" dxfId="819" priority="732" operator="equal">
      <formula>"Share"</formula>
    </cfRule>
  </conditionalFormatting>
  <conditionalFormatting sqref="R226">
    <cfRule type="cellIs" dxfId="818" priority="731" operator="equal">
      <formula>"Share"</formula>
    </cfRule>
  </conditionalFormatting>
  <conditionalFormatting sqref="AB226">
    <cfRule type="cellIs" dxfId="817" priority="730" operator="equal">
      <formula>"Share"</formula>
    </cfRule>
  </conditionalFormatting>
  <conditionalFormatting sqref="U226">
    <cfRule type="cellIs" dxfId="816" priority="729" operator="equal">
      <formula>"Share"</formula>
    </cfRule>
  </conditionalFormatting>
  <conditionalFormatting sqref="B226">
    <cfRule type="cellIs" dxfId="815" priority="728" operator="equal">
      <formula>"Share"</formula>
    </cfRule>
  </conditionalFormatting>
  <conditionalFormatting sqref="W226">
    <cfRule type="cellIs" dxfId="814" priority="727" operator="equal">
      <formula>"Share"</formula>
    </cfRule>
  </conditionalFormatting>
  <conditionalFormatting sqref="E226">
    <cfRule type="cellIs" dxfId="813" priority="726" operator="equal">
      <formula>"Share"</formula>
    </cfRule>
  </conditionalFormatting>
  <conditionalFormatting sqref="X1344">
    <cfRule type="cellIs" dxfId="812" priority="725" operator="equal">
      <formula>"Share"</formula>
    </cfRule>
  </conditionalFormatting>
  <conditionalFormatting sqref="AB1344">
    <cfRule type="cellIs" dxfId="811" priority="724" operator="equal">
      <formula>"Share"</formula>
    </cfRule>
  </conditionalFormatting>
  <conditionalFormatting sqref="C1344:D1344">
    <cfRule type="cellIs" dxfId="810" priority="723" operator="equal">
      <formula>"Share"</formula>
    </cfRule>
  </conditionalFormatting>
  <conditionalFormatting sqref="B1344">
    <cfRule type="cellIs" dxfId="809" priority="722" operator="equal">
      <formula>"Share"</formula>
    </cfRule>
  </conditionalFormatting>
  <conditionalFormatting sqref="X1349">
    <cfRule type="cellIs" dxfId="808" priority="721" operator="equal">
      <formula>"Share"</formula>
    </cfRule>
  </conditionalFormatting>
  <conditionalFormatting sqref="AB1349">
    <cfRule type="cellIs" dxfId="807" priority="720" operator="equal">
      <formula>"Share"</formula>
    </cfRule>
  </conditionalFormatting>
  <conditionalFormatting sqref="B1349">
    <cfRule type="cellIs" dxfId="806" priority="719" operator="equal">
      <formula>"Share"</formula>
    </cfRule>
  </conditionalFormatting>
  <conditionalFormatting sqref="R1344">
    <cfRule type="cellIs" dxfId="805" priority="718" operator="equal">
      <formula>"Share"</formula>
    </cfRule>
  </conditionalFormatting>
  <conditionalFormatting sqref="W1344">
    <cfRule type="cellIs" dxfId="804" priority="717" operator="equal">
      <formula>"Share"</formula>
    </cfRule>
  </conditionalFormatting>
  <conditionalFormatting sqref="U1344">
    <cfRule type="cellIs" dxfId="803" priority="716" operator="equal">
      <formula>"Share"</formula>
    </cfRule>
  </conditionalFormatting>
  <conditionalFormatting sqref="R1349">
    <cfRule type="cellIs" dxfId="802" priority="715" operator="equal">
      <formula>"Share"</formula>
    </cfRule>
  </conditionalFormatting>
  <conditionalFormatting sqref="U1349">
    <cfRule type="cellIs" dxfId="801" priority="714" operator="equal">
      <formula>"Share"</formula>
    </cfRule>
  </conditionalFormatting>
  <conditionalFormatting sqref="W1349">
    <cfRule type="cellIs" dxfId="800" priority="713" operator="equal">
      <formula>"Share"</formula>
    </cfRule>
  </conditionalFormatting>
  <conditionalFormatting sqref="U129:U132">
    <cfRule type="cellIs" dxfId="799" priority="712" operator="equal">
      <formula>"Share"</formula>
    </cfRule>
  </conditionalFormatting>
  <conditionalFormatting sqref="W129:W132">
    <cfRule type="cellIs" dxfId="798" priority="711" operator="equal">
      <formula>"Share"</formula>
    </cfRule>
  </conditionalFormatting>
  <conditionalFormatting sqref="U222:U225">
    <cfRule type="cellIs" dxfId="797" priority="710" operator="equal">
      <formula>"Share"</formula>
    </cfRule>
  </conditionalFormatting>
  <conditionalFormatting sqref="W222:W225">
    <cfRule type="cellIs" dxfId="796" priority="709" operator="equal">
      <formula>"Share"</formula>
    </cfRule>
  </conditionalFormatting>
  <conditionalFormatting sqref="U191:U194">
    <cfRule type="cellIs" dxfId="795" priority="708" operator="equal">
      <formula>"Share"</formula>
    </cfRule>
  </conditionalFormatting>
  <conditionalFormatting sqref="W191:W194">
    <cfRule type="cellIs" dxfId="794" priority="707" operator="equal">
      <formula>"Share"</formula>
    </cfRule>
  </conditionalFormatting>
  <conditionalFormatting sqref="U1345:U1348">
    <cfRule type="cellIs" dxfId="793" priority="706" operator="equal">
      <formula>"Share"</formula>
    </cfRule>
  </conditionalFormatting>
  <conditionalFormatting sqref="W1345:W1348">
    <cfRule type="cellIs" dxfId="792" priority="705" operator="equal">
      <formula>"Share"</formula>
    </cfRule>
  </conditionalFormatting>
  <conditionalFormatting sqref="AA2427">
    <cfRule type="cellIs" dxfId="791" priority="704" operator="equal">
      <formula>"Share"</formula>
    </cfRule>
  </conditionalFormatting>
  <conditionalFormatting sqref="AB2428:AB2451 AB2453:AB2456">
    <cfRule type="cellIs" dxfId="790" priority="703" operator="equal">
      <formula>"Share"</formula>
    </cfRule>
  </conditionalFormatting>
  <conditionalFormatting sqref="B159:D159">
    <cfRule type="cellIs" dxfId="789" priority="702" operator="equal">
      <formula>"Share"</formula>
    </cfRule>
  </conditionalFormatting>
  <conditionalFormatting sqref="X159">
    <cfRule type="cellIs" dxfId="788" priority="701" operator="equal">
      <formula>"Share"</formula>
    </cfRule>
  </conditionalFormatting>
  <conditionalFormatting sqref="R159">
    <cfRule type="cellIs" dxfId="787" priority="700" operator="equal">
      <formula>"Share"</formula>
    </cfRule>
  </conditionalFormatting>
  <conditionalFormatting sqref="W159">
    <cfRule type="cellIs" dxfId="786" priority="699" operator="equal">
      <formula>"Share"</formula>
    </cfRule>
  </conditionalFormatting>
  <conditionalFormatting sqref="AB159">
    <cfRule type="cellIs" dxfId="785" priority="698" operator="equal">
      <formula>"Share"</formula>
    </cfRule>
  </conditionalFormatting>
  <conditionalFormatting sqref="U159">
    <cfRule type="cellIs" dxfId="784" priority="697" operator="equal">
      <formula>"Share"</formula>
    </cfRule>
  </conditionalFormatting>
  <conditionalFormatting sqref="B159">
    <cfRule type="cellIs" dxfId="783" priority="696" operator="equal">
      <formula>"Share"</formula>
    </cfRule>
  </conditionalFormatting>
  <conditionalFormatting sqref="E159">
    <cfRule type="cellIs" dxfId="782" priority="695" operator="equal">
      <formula>"Share"</formula>
    </cfRule>
  </conditionalFormatting>
  <conditionalFormatting sqref="B164:D164">
    <cfRule type="cellIs" dxfId="781" priority="694" operator="equal">
      <formula>"Share"</formula>
    </cfRule>
  </conditionalFormatting>
  <conditionalFormatting sqref="X164">
    <cfRule type="cellIs" dxfId="780" priority="693" operator="equal">
      <formula>"Share"</formula>
    </cfRule>
  </conditionalFormatting>
  <conditionalFormatting sqref="R164">
    <cfRule type="cellIs" dxfId="779" priority="692" operator="equal">
      <formula>"Share"</formula>
    </cfRule>
  </conditionalFormatting>
  <conditionalFormatting sqref="AB164">
    <cfRule type="cellIs" dxfId="778" priority="691" operator="equal">
      <formula>"Share"</formula>
    </cfRule>
  </conditionalFormatting>
  <conditionalFormatting sqref="U164">
    <cfRule type="cellIs" dxfId="777" priority="690" operator="equal">
      <formula>"Share"</formula>
    </cfRule>
  </conditionalFormatting>
  <conditionalFormatting sqref="B164">
    <cfRule type="cellIs" dxfId="776" priority="689" operator="equal">
      <formula>"Share"</formula>
    </cfRule>
  </conditionalFormatting>
  <conditionalFormatting sqref="W164">
    <cfRule type="cellIs" dxfId="775" priority="688" operator="equal">
      <formula>"Share"</formula>
    </cfRule>
  </conditionalFormatting>
  <conditionalFormatting sqref="E164">
    <cfRule type="cellIs" dxfId="774" priority="687" operator="equal">
      <formula>"Share"</formula>
    </cfRule>
  </conditionalFormatting>
  <conditionalFormatting sqref="U160:U163">
    <cfRule type="cellIs" dxfId="773" priority="686" operator="equal">
      <formula>"Share"</formula>
    </cfRule>
  </conditionalFormatting>
  <conditionalFormatting sqref="W160:W163">
    <cfRule type="cellIs" dxfId="772" priority="685" operator="equal">
      <formula>"Share"</formula>
    </cfRule>
  </conditionalFormatting>
  <conditionalFormatting sqref="B2457:D2457">
    <cfRule type="cellIs" dxfId="771" priority="684" operator="equal">
      <formula>"Share"</formula>
    </cfRule>
  </conditionalFormatting>
  <conditionalFormatting sqref="X2457">
    <cfRule type="cellIs" dxfId="770" priority="683" operator="equal">
      <formula>"Share"</formula>
    </cfRule>
  </conditionalFormatting>
  <conditionalFormatting sqref="R2457">
    <cfRule type="cellIs" dxfId="769" priority="682" operator="equal">
      <formula>"Share"</formula>
    </cfRule>
  </conditionalFormatting>
  <conditionalFormatting sqref="AB2457">
    <cfRule type="cellIs" dxfId="768" priority="681" operator="equal">
      <formula>"Share"</formula>
    </cfRule>
  </conditionalFormatting>
  <conditionalFormatting sqref="U2457">
    <cfRule type="cellIs" dxfId="767" priority="680" operator="equal">
      <formula>"Share"</formula>
    </cfRule>
  </conditionalFormatting>
  <conditionalFormatting sqref="B2457">
    <cfRule type="cellIs" dxfId="766" priority="679" operator="equal">
      <formula>"Share"</formula>
    </cfRule>
  </conditionalFormatting>
  <conditionalFormatting sqref="W2457">
    <cfRule type="cellIs" dxfId="765" priority="678" operator="equal">
      <formula>"Share"</formula>
    </cfRule>
  </conditionalFormatting>
  <conditionalFormatting sqref="E2457">
    <cfRule type="cellIs" dxfId="764" priority="677" operator="equal">
      <formula>"Share"</formula>
    </cfRule>
  </conditionalFormatting>
  <conditionalFormatting sqref="B2452:D2452">
    <cfRule type="cellIs" dxfId="763" priority="676" operator="equal">
      <formula>"Share"</formula>
    </cfRule>
  </conditionalFormatting>
  <conditionalFormatting sqref="X2452">
    <cfRule type="cellIs" dxfId="762" priority="675" operator="equal">
      <formula>"Share"</formula>
    </cfRule>
  </conditionalFormatting>
  <conditionalFormatting sqref="R2452">
    <cfRule type="cellIs" dxfId="761" priority="674" operator="equal">
      <formula>"Share"</formula>
    </cfRule>
  </conditionalFormatting>
  <conditionalFormatting sqref="W2452">
    <cfRule type="cellIs" dxfId="760" priority="673" operator="equal">
      <formula>"Share"</formula>
    </cfRule>
  </conditionalFormatting>
  <conditionalFormatting sqref="AB2452">
    <cfRule type="cellIs" dxfId="759" priority="672" operator="equal">
      <formula>"Share"</formula>
    </cfRule>
  </conditionalFormatting>
  <conditionalFormatting sqref="U2452">
    <cfRule type="cellIs" dxfId="758" priority="671" operator="equal">
      <formula>"Share"</formula>
    </cfRule>
  </conditionalFormatting>
  <conditionalFormatting sqref="B2452">
    <cfRule type="cellIs" dxfId="757" priority="670" operator="equal">
      <formula>"Share"</formula>
    </cfRule>
  </conditionalFormatting>
  <conditionalFormatting sqref="E2452">
    <cfRule type="cellIs" dxfId="756" priority="669" operator="equal">
      <formula>"Share"</formula>
    </cfRule>
  </conditionalFormatting>
  <conditionalFormatting sqref="U2453:U2456">
    <cfRule type="cellIs" dxfId="755" priority="668" operator="equal">
      <formula>"Share"</formula>
    </cfRule>
  </conditionalFormatting>
  <conditionalFormatting sqref="W2453">
    <cfRule type="cellIs" dxfId="754" priority="667" operator="equal">
      <formula>"Share"</formula>
    </cfRule>
  </conditionalFormatting>
  <conditionalFormatting sqref="W2454">
    <cfRule type="cellIs" dxfId="753" priority="666" operator="equal">
      <formula>"Share"</formula>
    </cfRule>
  </conditionalFormatting>
  <conditionalFormatting sqref="W2455">
    <cfRule type="cellIs" dxfId="752" priority="665" operator="equal">
      <formula>"Share"</formula>
    </cfRule>
  </conditionalFormatting>
  <conditionalFormatting sqref="W2456">
    <cfRule type="cellIs" dxfId="751" priority="664" operator="equal">
      <formula>"Share"</formula>
    </cfRule>
  </conditionalFormatting>
  <conditionalFormatting sqref="AA2458">
    <cfRule type="cellIs" dxfId="750" priority="663" operator="equal">
      <formula>"Share"</formula>
    </cfRule>
  </conditionalFormatting>
  <conditionalFormatting sqref="AB2459:AB2482 AB2484:AB2487">
    <cfRule type="cellIs" dxfId="749" priority="662" operator="equal">
      <formula>"Share"</formula>
    </cfRule>
  </conditionalFormatting>
  <conditionalFormatting sqref="B2488:D2488">
    <cfRule type="cellIs" dxfId="748" priority="661" operator="equal">
      <formula>"Share"</formula>
    </cfRule>
  </conditionalFormatting>
  <conditionalFormatting sqref="X2488">
    <cfRule type="cellIs" dxfId="747" priority="660" operator="equal">
      <formula>"Share"</formula>
    </cfRule>
  </conditionalFormatting>
  <conditionalFormatting sqref="R2488">
    <cfRule type="cellIs" dxfId="746" priority="659" operator="equal">
      <formula>"Share"</formula>
    </cfRule>
  </conditionalFormatting>
  <conditionalFormatting sqref="AB2488">
    <cfRule type="cellIs" dxfId="745" priority="658" operator="equal">
      <formula>"Share"</formula>
    </cfRule>
  </conditionalFormatting>
  <conditionalFormatting sqref="U2488">
    <cfRule type="cellIs" dxfId="744" priority="657" operator="equal">
      <formula>"Share"</formula>
    </cfRule>
  </conditionalFormatting>
  <conditionalFormatting sqref="B2488">
    <cfRule type="cellIs" dxfId="743" priority="656" operator="equal">
      <formula>"Share"</formula>
    </cfRule>
  </conditionalFormatting>
  <conditionalFormatting sqref="W2488">
    <cfRule type="cellIs" dxfId="742" priority="655" operator="equal">
      <formula>"Share"</formula>
    </cfRule>
  </conditionalFormatting>
  <conditionalFormatting sqref="E2488">
    <cfRule type="cellIs" dxfId="741" priority="654" operator="equal">
      <formula>"Share"</formula>
    </cfRule>
  </conditionalFormatting>
  <conditionalFormatting sqref="B2483:D2483">
    <cfRule type="cellIs" dxfId="740" priority="653" operator="equal">
      <formula>"Share"</formula>
    </cfRule>
  </conditionalFormatting>
  <conditionalFormatting sqref="X2483">
    <cfRule type="cellIs" dxfId="739" priority="652" operator="equal">
      <formula>"Share"</formula>
    </cfRule>
  </conditionalFormatting>
  <conditionalFormatting sqref="R2483">
    <cfRule type="cellIs" dxfId="738" priority="651" operator="equal">
      <formula>"Share"</formula>
    </cfRule>
  </conditionalFormatting>
  <conditionalFormatting sqref="W2483">
    <cfRule type="cellIs" dxfId="737" priority="650" operator="equal">
      <formula>"Share"</formula>
    </cfRule>
  </conditionalFormatting>
  <conditionalFormatting sqref="AB2483">
    <cfRule type="cellIs" dxfId="736" priority="649" operator="equal">
      <formula>"Share"</formula>
    </cfRule>
  </conditionalFormatting>
  <conditionalFormatting sqref="U2483">
    <cfRule type="cellIs" dxfId="735" priority="648" operator="equal">
      <formula>"Share"</formula>
    </cfRule>
  </conditionalFormatting>
  <conditionalFormatting sqref="B2483">
    <cfRule type="cellIs" dxfId="734" priority="647" operator="equal">
      <formula>"Share"</formula>
    </cfRule>
  </conditionalFormatting>
  <conditionalFormatting sqref="E2483">
    <cfRule type="cellIs" dxfId="733" priority="646" operator="equal">
      <formula>"Share"</formula>
    </cfRule>
  </conditionalFormatting>
  <conditionalFormatting sqref="U2484:U2487">
    <cfRule type="cellIs" dxfId="732" priority="645" operator="equal">
      <formula>"Share"</formula>
    </cfRule>
  </conditionalFormatting>
  <conditionalFormatting sqref="W2484">
    <cfRule type="cellIs" dxfId="731" priority="644" operator="equal">
      <formula>"Share"</formula>
    </cfRule>
  </conditionalFormatting>
  <conditionalFormatting sqref="W2485">
    <cfRule type="cellIs" dxfId="730" priority="643" operator="equal">
      <formula>"Share"</formula>
    </cfRule>
  </conditionalFormatting>
  <conditionalFormatting sqref="W2486">
    <cfRule type="cellIs" dxfId="729" priority="642" operator="equal">
      <formula>"Share"</formula>
    </cfRule>
  </conditionalFormatting>
  <conditionalFormatting sqref="W2487">
    <cfRule type="cellIs" dxfId="728" priority="641" operator="equal">
      <formula>"Share"</formula>
    </cfRule>
  </conditionalFormatting>
  <conditionalFormatting sqref="AA2489">
    <cfRule type="cellIs" dxfId="727" priority="640" operator="equal">
      <formula>"Share"</formula>
    </cfRule>
  </conditionalFormatting>
  <conditionalFormatting sqref="AB2490:AB2513 AB2515:AB2518">
    <cfRule type="cellIs" dxfId="726" priority="639" operator="equal">
      <formula>"Share"</formula>
    </cfRule>
  </conditionalFormatting>
  <conditionalFormatting sqref="B2519:D2519">
    <cfRule type="cellIs" dxfId="725" priority="638" operator="equal">
      <formula>"Share"</formula>
    </cfRule>
  </conditionalFormatting>
  <conditionalFormatting sqref="X2519">
    <cfRule type="cellIs" dxfId="724" priority="637" operator="equal">
      <formula>"Share"</formula>
    </cfRule>
  </conditionalFormatting>
  <conditionalFormatting sqref="R2519">
    <cfRule type="cellIs" dxfId="723" priority="636" operator="equal">
      <formula>"Share"</formula>
    </cfRule>
  </conditionalFormatting>
  <conditionalFormatting sqref="AB2519">
    <cfRule type="cellIs" dxfId="722" priority="635" operator="equal">
      <formula>"Share"</formula>
    </cfRule>
  </conditionalFormatting>
  <conditionalFormatting sqref="U2519">
    <cfRule type="cellIs" dxfId="721" priority="634" operator="equal">
      <formula>"Share"</formula>
    </cfRule>
  </conditionalFormatting>
  <conditionalFormatting sqref="B2519">
    <cfRule type="cellIs" dxfId="720" priority="633" operator="equal">
      <formula>"Share"</formula>
    </cfRule>
  </conditionalFormatting>
  <conditionalFormatting sqref="W2519">
    <cfRule type="cellIs" dxfId="719" priority="632" operator="equal">
      <formula>"Share"</formula>
    </cfRule>
  </conditionalFormatting>
  <conditionalFormatting sqref="E2519">
    <cfRule type="cellIs" dxfId="718" priority="631" operator="equal">
      <formula>"Share"</formula>
    </cfRule>
  </conditionalFormatting>
  <conditionalFormatting sqref="B2514:D2514">
    <cfRule type="cellIs" dxfId="717" priority="630" operator="equal">
      <formula>"Share"</formula>
    </cfRule>
  </conditionalFormatting>
  <conditionalFormatting sqref="X2514">
    <cfRule type="cellIs" dxfId="716" priority="629" operator="equal">
      <formula>"Share"</formula>
    </cfRule>
  </conditionalFormatting>
  <conditionalFormatting sqref="R2514">
    <cfRule type="cellIs" dxfId="715" priority="628" operator="equal">
      <formula>"Share"</formula>
    </cfRule>
  </conditionalFormatting>
  <conditionalFormatting sqref="W2514">
    <cfRule type="cellIs" dxfId="714" priority="627" operator="equal">
      <formula>"Share"</formula>
    </cfRule>
  </conditionalFormatting>
  <conditionalFormatting sqref="AB2514">
    <cfRule type="cellIs" dxfId="713" priority="626" operator="equal">
      <formula>"Share"</formula>
    </cfRule>
  </conditionalFormatting>
  <conditionalFormatting sqref="U2514">
    <cfRule type="cellIs" dxfId="712" priority="625" operator="equal">
      <formula>"Share"</formula>
    </cfRule>
  </conditionalFormatting>
  <conditionalFormatting sqref="B2514">
    <cfRule type="cellIs" dxfId="711" priority="624" operator="equal">
      <formula>"Share"</formula>
    </cfRule>
  </conditionalFormatting>
  <conditionalFormatting sqref="E2514">
    <cfRule type="cellIs" dxfId="710" priority="623" operator="equal">
      <formula>"Share"</formula>
    </cfRule>
  </conditionalFormatting>
  <conditionalFormatting sqref="U2515:U2518">
    <cfRule type="cellIs" dxfId="709" priority="622" operator="equal">
      <formula>"Share"</formula>
    </cfRule>
  </conditionalFormatting>
  <conditionalFormatting sqref="W2515">
    <cfRule type="cellIs" dxfId="708" priority="621" operator="equal">
      <formula>"Share"</formula>
    </cfRule>
  </conditionalFormatting>
  <conditionalFormatting sqref="W2516">
    <cfRule type="cellIs" dxfId="707" priority="620" operator="equal">
      <formula>"Share"</formula>
    </cfRule>
  </conditionalFormatting>
  <conditionalFormatting sqref="W2517">
    <cfRule type="cellIs" dxfId="706" priority="619" operator="equal">
      <formula>"Share"</formula>
    </cfRule>
  </conditionalFormatting>
  <conditionalFormatting sqref="W2518">
    <cfRule type="cellIs" dxfId="705" priority="618" operator="equal">
      <formula>"Share"</formula>
    </cfRule>
  </conditionalFormatting>
  <conditionalFormatting sqref="W2198">
    <cfRule type="cellIs" dxfId="704" priority="617" operator="equal">
      <formula>"Share"</formula>
    </cfRule>
  </conditionalFormatting>
  <conditionalFormatting sqref="R2223">
    <cfRule type="cellIs" dxfId="703" priority="616" operator="equal">
      <formula>"Share"</formula>
    </cfRule>
  </conditionalFormatting>
  <conditionalFormatting sqref="W2223">
    <cfRule type="cellIs" dxfId="702" priority="615" operator="equal">
      <formula>"Share"</formula>
    </cfRule>
  </conditionalFormatting>
  <conditionalFormatting sqref="W2188:W2197">
    <cfRule type="cellIs" dxfId="701" priority="614" operator="equal">
      <formula>"Share"</formula>
    </cfRule>
  </conditionalFormatting>
  <conditionalFormatting sqref="X2244">
    <cfRule type="cellIs" dxfId="700" priority="613" operator="equal">
      <formula>"Share"</formula>
    </cfRule>
  </conditionalFormatting>
  <conditionalFormatting sqref="R2244">
    <cfRule type="cellIs" dxfId="699" priority="612" operator="equal">
      <formula>"Share"</formula>
    </cfRule>
  </conditionalFormatting>
  <conditionalFormatting sqref="W2244">
    <cfRule type="cellIs" dxfId="698" priority="611" operator="equal">
      <formula>"Share"</formula>
    </cfRule>
  </conditionalFormatting>
  <conditionalFormatting sqref="U2244">
    <cfRule type="cellIs" dxfId="697" priority="610" operator="equal">
      <formula>"Share"</formula>
    </cfRule>
  </conditionalFormatting>
  <conditionalFormatting sqref="C2265:D2265">
    <cfRule type="cellIs" dxfId="696" priority="609" operator="equal">
      <formula>"Share"</formula>
    </cfRule>
  </conditionalFormatting>
  <conditionalFormatting sqref="X2265">
    <cfRule type="cellIs" dxfId="695" priority="608" operator="equal">
      <formula>"Share"</formula>
    </cfRule>
  </conditionalFormatting>
  <conditionalFormatting sqref="R2265">
    <cfRule type="cellIs" dxfId="694" priority="607" operator="equal">
      <formula>"Share"</formula>
    </cfRule>
  </conditionalFormatting>
  <conditionalFormatting sqref="W2265">
    <cfRule type="cellIs" dxfId="693" priority="606" operator="equal">
      <formula>"Share"</formula>
    </cfRule>
  </conditionalFormatting>
  <conditionalFormatting sqref="U2265">
    <cfRule type="cellIs" dxfId="692" priority="605" operator="equal">
      <formula>"Share"</formula>
    </cfRule>
  </conditionalFormatting>
  <conditionalFormatting sqref="B2265">
    <cfRule type="cellIs" dxfId="691" priority="604" operator="equal">
      <formula>"Share"</formula>
    </cfRule>
  </conditionalFormatting>
  <conditionalFormatting sqref="B2239:D2240">
    <cfRule type="cellIs" dxfId="690" priority="603" operator="equal">
      <formula>"Share"</formula>
    </cfRule>
  </conditionalFormatting>
  <conditionalFormatting sqref="X2239:X2240">
    <cfRule type="cellIs" dxfId="689" priority="602" operator="equal">
      <formula>"Share"</formula>
    </cfRule>
  </conditionalFormatting>
  <conditionalFormatting sqref="R2239:R2240">
    <cfRule type="cellIs" dxfId="688" priority="601" operator="equal">
      <formula>"Share"</formula>
    </cfRule>
  </conditionalFormatting>
  <conditionalFormatting sqref="U2239:U2240">
    <cfRule type="cellIs" dxfId="687" priority="600" operator="equal">
      <formula>"Share"</formula>
    </cfRule>
  </conditionalFormatting>
  <conditionalFormatting sqref="E2239:E2240">
    <cfRule type="cellIs" dxfId="686" priority="599" operator="equal">
      <formula>"Share"</formula>
    </cfRule>
  </conditionalFormatting>
  <conditionalFormatting sqref="W2133">
    <cfRule type="cellIs" dxfId="685" priority="598" operator="equal">
      <formula>"Share"</formula>
    </cfRule>
  </conditionalFormatting>
  <conditionalFormatting sqref="W2129:W2132">
    <cfRule type="cellIs" dxfId="684" priority="597" operator="equal">
      <formula>"Share"</formula>
    </cfRule>
  </conditionalFormatting>
  <conditionalFormatting sqref="W2115:W2120">
    <cfRule type="cellIs" dxfId="683" priority="596" operator="equal">
      <formula>"Share"</formula>
    </cfRule>
  </conditionalFormatting>
  <conditionalFormatting sqref="W2122">
    <cfRule type="cellIs" dxfId="682" priority="595" operator="equal">
      <formula>"Share"</formula>
    </cfRule>
  </conditionalFormatting>
  <conditionalFormatting sqref="W2153">
    <cfRule type="cellIs" dxfId="681" priority="594" operator="equal">
      <formula>"Share"</formula>
    </cfRule>
  </conditionalFormatting>
  <conditionalFormatting sqref="W2174">
    <cfRule type="cellIs" dxfId="680" priority="593" operator="equal">
      <formula>"Share"</formula>
    </cfRule>
  </conditionalFormatting>
  <conditionalFormatting sqref="R2173">
    <cfRule type="cellIs" dxfId="679" priority="592" operator="equal">
      <formula>"Share"</formula>
    </cfRule>
  </conditionalFormatting>
  <conditionalFormatting sqref="W2173">
    <cfRule type="cellIs" dxfId="678" priority="591" operator="equal">
      <formula>"Share"</formula>
    </cfRule>
  </conditionalFormatting>
  <conditionalFormatting sqref="W2293">
    <cfRule type="cellIs" dxfId="677" priority="590" operator="equal">
      <formula>"Share"</formula>
    </cfRule>
  </conditionalFormatting>
  <conditionalFormatting sqref="B2520:D2520">
    <cfRule type="cellIs" dxfId="676" priority="589" operator="equal">
      <formula>"Share"</formula>
    </cfRule>
  </conditionalFormatting>
  <conditionalFormatting sqref="B2521:D2547">
    <cfRule type="cellIs" dxfId="675" priority="588" operator="equal">
      <formula>"Share"</formula>
    </cfRule>
  </conditionalFormatting>
  <conditionalFormatting sqref="E2520:E2547">
    <cfRule type="cellIs" dxfId="674" priority="587" operator="equal">
      <formula>"Share"</formula>
    </cfRule>
  </conditionalFormatting>
  <conditionalFormatting sqref="E2521:E2547">
    <cfRule type="cellIs" dxfId="673" priority="586" operator="equal">
      <formula>"Share"</formula>
    </cfRule>
  </conditionalFormatting>
  <conditionalFormatting sqref="P2520">
    <cfRule type="cellIs" dxfId="672" priority="585" operator="equal">
      <formula>"Share"</formula>
    </cfRule>
  </conditionalFormatting>
  <conditionalFormatting sqref="X2538:X2547">
    <cfRule type="cellIs" dxfId="671" priority="584" operator="equal">
      <formula>"Share"</formula>
    </cfRule>
  </conditionalFormatting>
  <conditionalFormatting sqref="X2520:X2537">
    <cfRule type="cellIs" dxfId="670" priority="583" operator="equal">
      <formula>"Share"</formula>
    </cfRule>
  </conditionalFormatting>
  <conditionalFormatting sqref="AA2534">
    <cfRule type="cellIs" dxfId="669" priority="1410" operator="equal">
      <formula>"Share"</formula>
    </cfRule>
  </conditionalFormatting>
  <conditionalFormatting sqref="R2520">
    <cfRule type="cellIs" dxfId="668" priority="581" operator="equal">
      <formula>"Share"</formula>
    </cfRule>
  </conditionalFormatting>
  <conditionalFormatting sqref="R2521:R2537">
    <cfRule type="cellIs" dxfId="667" priority="1411" operator="equal">
      <formula>"Share"</formula>
    </cfRule>
  </conditionalFormatting>
  <conditionalFormatting sqref="R2538:R2547">
    <cfRule type="cellIs" dxfId="666" priority="579" operator="equal">
      <formula>"Share"</formula>
    </cfRule>
  </conditionalFormatting>
  <conditionalFormatting sqref="U2538:U2547">
    <cfRule type="cellIs" dxfId="665" priority="578" operator="equal">
      <formula>"Share"</formula>
    </cfRule>
  </conditionalFormatting>
  <conditionalFormatting sqref="U2520:U2537">
    <cfRule type="cellIs" dxfId="664" priority="1412" operator="equal">
      <formula>"Share"</formula>
    </cfRule>
  </conditionalFormatting>
  <conditionalFormatting sqref="W2547">
    <cfRule type="cellIs" dxfId="663" priority="576" operator="equal">
      <formula>"Share"</formula>
    </cfRule>
  </conditionalFormatting>
  <conditionalFormatting sqref="W2337">
    <cfRule type="cellIs" dxfId="662" priority="575" operator="equal">
      <formula>"Share"</formula>
    </cfRule>
  </conditionalFormatting>
  <conditionalFormatting sqref="B2563:D2570 B2548:B2562">
    <cfRule type="cellIs" dxfId="661" priority="574" operator="equal">
      <formula>"Share"</formula>
    </cfRule>
  </conditionalFormatting>
  <conditionalFormatting sqref="E2548:E2573">
    <cfRule type="cellIs" dxfId="660" priority="573" operator="equal">
      <formula>"Share"</formula>
    </cfRule>
  </conditionalFormatting>
  <conditionalFormatting sqref="E2548:E2573">
    <cfRule type="cellIs" dxfId="659" priority="1413" operator="equal">
      <formula>"Share"</formula>
    </cfRule>
  </conditionalFormatting>
  <conditionalFormatting sqref="X2564:X2572">
    <cfRule type="cellIs" dxfId="658" priority="571" operator="equal">
      <formula>"Share"</formula>
    </cfRule>
  </conditionalFormatting>
  <conditionalFormatting sqref="X2563">
    <cfRule type="cellIs" dxfId="657" priority="570" operator="equal">
      <formula>"Share"</formula>
    </cfRule>
  </conditionalFormatting>
  <conditionalFormatting sqref="R2563:R2570">
    <cfRule type="cellIs" dxfId="656" priority="569" operator="equal">
      <formula>"Share"</formula>
    </cfRule>
  </conditionalFormatting>
  <conditionalFormatting sqref="U2572">
    <cfRule type="cellIs" dxfId="655" priority="568" operator="equal">
      <formula>"Share"</formula>
    </cfRule>
  </conditionalFormatting>
  <conditionalFormatting sqref="U2563:U2571">
    <cfRule type="cellIs" dxfId="654" priority="567" operator="equal">
      <formula>"Share"</formula>
    </cfRule>
  </conditionalFormatting>
  <conditionalFormatting sqref="W2569">
    <cfRule type="cellIs" dxfId="653" priority="566" operator="equal">
      <formula>"Share"</formula>
    </cfRule>
  </conditionalFormatting>
  <conditionalFormatting sqref="B2548:D2548">
    <cfRule type="cellIs" dxfId="652" priority="565" operator="equal">
      <formula>"Share"</formula>
    </cfRule>
  </conditionalFormatting>
  <conditionalFormatting sqref="B2549:D2562">
    <cfRule type="cellIs" dxfId="651" priority="1414" operator="equal">
      <formula>"Share"</formula>
    </cfRule>
  </conditionalFormatting>
  <conditionalFormatting sqref="E2548">
    <cfRule type="cellIs" dxfId="650" priority="563" operator="equal">
      <formula>"Share"</formula>
    </cfRule>
  </conditionalFormatting>
  <conditionalFormatting sqref="E2549:E2562">
    <cfRule type="cellIs" dxfId="649" priority="1415" operator="equal">
      <formula>"Share"</formula>
    </cfRule>
  </conditionalFormatting>
  <conditionalFormatting sqref="P2548">
    <cfRule type="cellIs" dxfId="648" priority="561" operator="equal">
      <formula>"Share"</formula>
    </cfRule>
  </conditionalFormatting>
  <conditionalFormatting sqref="X2548">
    <cfRule type="cellIs" dxfId="647" priority="560" operator="equal">
      <formula>"Share"</formula>
    </cfRule>
  </conditionalFormatting>
  <conditionalFormatting sqref="R2548">
    <cfRule type="cellIs" dxfId="646" priority="559" operator="equal">
      <formula>"Share"</formula>
    </cfRule>
  </conditionalFormatting>
  <conditionalFormatting sqref="R2549:R2562">
    <cfRule type="cellIs" dxfId="645" priority="1416" operator="equal">
      <formula>"Share"</formula>
    </cfRule>
  </conditionalFormatting>
  <conditionalFormatting sqref="U2548">
    <cfRule type="cellIs" dxfId="644" priority="557" operator="equal">
      <formula>"Share"</formula>
    </cfRule>
  </conditionalFormatting>
  <conditionalFormatting sqref="W2549:W2554">
    <cfRule type="cellIs" dxfId="643" priority="556" operator="equal">
      <formula>"Share"</formula>
    </cfRule>
  </conditionalFormatting>
  <conditionalFormatting sqref="W2556">
    <cfRule type="cellIs" dxfId="642" priority="555" operator="equal">
      <formula>"Share"</formula>
    </cfRule>
  </conditionalFormatting>
  <conditionalFormatting sqref="B2571:D2573">
    <cfRule type="cellIs" dxfId="641" priority="554" operator="equal">
      <formula>"Share"</formula>
    </cfRule>
  </conditionalFormatting>
  <conditionalFormatting sqref="S2573:T2573 S2571:S2572">
    <cfRule type="cellIs" dxfId="640" priority="553" operator="equal">
      <formula>"Share"</formula>
    </cfRule>
  </conditionalFormatting>
  <conditionalFormatting sqref="U2573">
    <cfRule type="cellIs" dxfId="639" priority="552" operator="equal">
      <formula>"Share"</formula>
    </cfRule>
  </conditionalFormatting>
  <conditionalFormatting sqref="T2572">
    <cfRule type="cellIs" dxfId="638" priority="551" operator="equal">
      <formula>"Share"</formula>
    </cfRule>
  </conditionalFormatting>
  <conditionalFormatting sqref="R1937">
    <cfRule type="cellIs" dxfId="637" priority="550" operator="equal">
      <formula>"Share"</formula>
    </cfRule>
  </conditionalFormatting>
  <conditionalFormatting sqref="R1938:R1951">
    <cfRule type="cellIs" dxfId="636" priority="1417" operator="equal">
      <formula>"Share"</formula>
    </cfRule>
  </conditionalFormatting>
  <conditionalFormatting sqref="U1937">
    <cfRule type="cellIs" dxfId="635" priority="548" operator="equal">
      <formula>"Share"</formula>
    </cfRule>
  </conditionalFormatting>
  <conditionalFormatting sqref="W1938:W1943">
    <cfRule type="cellIs" dxfId="634" priority="547" operator="equal">
      <formula>"Share"</formula>
    </cfRule>
  </conditionalFormatting>
  <conditionalFormatting sqref="W1945">
    <cfRule type="cellIs" dxfId="633" priority="546" operator="equal">
      <formula>"Share"</formula>
    </cfRule>
  </conditionalFormatting>
  <conditionalFormatting sqref="W1967">
    <cfRule type="cellIs" dxfId="632" priority="545" operator="equal">
      <formula>"Share"</formula>
    </cfRule>
  </conditionalFormatting>
  <conditionalFormatting sqref="X1968">
    <cfRule type="cellIs" dxfId="631" priority="544" operator="equal">
      <formula>"Share"</formula>
    </cfRule>
  </conditionalFormatting>
  <conditionalFormatting sqref="X1969:X1998">
    <cfRule type="cellIs" dxfId="630" priority="543" operator="equal">
      <formula>"Share"</formula>
    </cfRule>
  </conditionalFormatting>
  <conditionalFormatting sqref="R1983:R1996">
    <cfRule type="cellIs" dxfId="629" priority="542" operator="equal">
      <formula>"Share"</formula>
    </cfRule>
  </conditionalFormatting>
  <conditionalFormatting sqref="U1983">
    <cfRule type="cellIs" dxfId="628" priority="541" operator="equal">
      <formula>"Share"</formula>
    </cfRule>
  </conditionalFormatting>
  <conditionalFormatting sqref="R1968">
    <cfRule type="cellIs" dxfId="627" priority="540" operator="equal">
      <formula>"Share"</formula>
    </cfRule>
  </conditionalFormatting>
  <conditionalFormatting sqref="R1969:R1982">
    <cfRule type="cellIs" dxfId="626" priority="1418" operator="equal">
      <formula>"Share"</formula>
    </cfRule>
  </conditionalFormatting>
  <conditionalFormatting sqref="U1968">
    <cfRule type="cellIs" dxfId="625" priority="538" operator="equal">
      <formula>"Share"</formula>
    </cfRule>
  </conditionalFormatting>
  <conditionalFormatting sqref="W1969:W1974">
    <cfRule type="cellIs" dxfId="624" priority="537" operator="equal">
      <formula>"Share"</formula>
    </cfRule>
  </conditionalFormatting>
  <conditionalFormatting sqref="W1976">
    <cfRule type="cellIs" dxfId="623" priority="536" operator="equal">
      <formula>"Share"</formula>
    </cfRule>
  </conditionalFormatting>
  <conditionalFormatting sqref="R1998">
    <cfRule type="cellIs" dxfId="622" priority="535" operator="equal">
      <formula>"Share"</formula>
    </cfRule>
  </conditionalFormatting>
  <conditionalFormatting sqref="U1995:U1998">
    <cfRule type="cellIs" dxfId="621" priority="534" operator="equal">
      <formula>"Share"</formula>
    </cfRule>
  </conditionalFormatting>
  <conditionalFormatting sqref="U1984:U1994">
    <cfRule type="cellIs" dxfId="620" priority="533" operator="equal">
      <formula>"Share"</formula>
    </cfRule>
  </conditionalFormatting>
  <conditionalFormatting sqref="W1998">
    <cfRule type="cellIs" dxfId="619" priority="532" operator="equal">
      <formula>"Share"</formula>
    </cfRule>
  </conditionalFormatting>
  <conditionalFormatting sqref="U1965">
    <cfRule type="cellIs" dxfId="618" priority="531" operator="equal">
      <formula>"Share"</formula>
    </cfRule>
  </conditionalFormatting>
  <conditionalFormatting sqref="U1964">
    <cfRule type="cellIs" dxfId="617" priority="530" operator="equal">
      <formula>"Share"</formula>
    </cfRule>
  </conditionalFormatting>
  <conditionalFormatting sqref="U1966">
    <cfRule type="cellIs" dxfId="616" priority="529" operator="equal">
      <formula>"Share"</formula>
    </cfRule>
  </conditionalFormatting>
  <conditionalFormatting sqref="X2000:X2029">
    <cfRule type="cellIs" dxfId="615" priority="528" operator="equal">
      <formula>"Share"</formula>
    </cfRule>
  </conditionalFormatting>
  <conditionalFormatting sqref="R2014:R2027">
    <cfRule type="cellIs" dxfId="614" priority="527" operator="equal">
      <formula>"Share"</formula>
    </cfRule>
  </conditionalFormatting>
  <conditionalFormatting sqref="U2014">
    <cfRule type="cellIs" dxfId="613" priority="526" operator="equal">
      <formula>"Share"</formula>
    </cfRule>
  </conditionalFormatting>
  <conditionalFormatting sqref="R2000:R2013">
    <cfRule type="cellIs" dxfId="612" priority="525" operator="equal">
      <formula>"Share"</formula>
    </cfRule>
  </conditionalFormatting>
  <conditionalFormatting sqref="W2000:W2005">
    <cfRule type="cellIs" dxfId="611" priority="524" operator="equal">
      <formula>"Share"</formula>
    </cfRule>
  </conditionalFormatting>
  <conditionalFormatting sqref="W2007">
    <cfRule type="cellIs" dxfId="610" priority="523" operator="equal">
      <formula>"Share"</formula>
    </cfRule>
  </conditionalFormatting>
  <conditionalFormatting sqref="R2029">
    <cfRule type="cellIs" dxfId="609" priority="522" operator="equal">
      <formula>"Share"</formula>
    </cfRule>
  </conditionalFormatting>
  <conditionalFormatting sqref="U2026:U2029">
    <cfRule type="cellIs" dxfId="608" priority="521" operator="equal">
      <formula>"Share"</formula>
    </cfRule>
  </conditionalFormatting>
  <conditionalFormatting sqref="U2015:U2025">
    <cfRule type="cellIs" dxfId="607" priority="520" operator="equal">
      <formula>"Share"</formula>
    </cfRule>
  </conditionalFormatting>
  <conditionalFormatting sqref="W2029">
    <cfRule type="cellIs" dxfId="606" priority="519" operator="equal">
      <formula>"Share"</formula>
    </cfRule>
  </conditionalFormatting>
  <conditionalFormatting sqref="R2128">
    <cfRule type="cellIs" dxfId="605" priority="518" operator="equal">
      <formula>"Share"</formula>
    </cfRule>
  </conditionalFormatting>
  <conditionalFormatting sqref="X1560:X1572">
    <cfRule type="cellIs" dxfId="604" priority="517" operator="equal">
      <formula>"Share"</formula>
    </cfRule>
  </conditionalFormatting>
  <conditionalFormatting sqref="R1560:R1572">
    <cfRule type="cellIs" dxfId="603" priority="516" operator="equal">
      <formula>"Share"</formula>
    </cfRule>
  </conditionalFormatting>
  <conditionalFormatting sqref="U1560:U1572">
    <cfRule type="cellIs" dxfId="602" priority="515" operator="equal">
      <formula>"Share"</formula>
    </cfRule>
  </conditionalFormatting>
  <conditionalFormatting sqref="B1585:D1585">
    <cfRule type="cellIs" dxfId="601" priority="514" operator="equal">
      <formula>"Share"</formula>
    </cfRule>
  </conditionalFormatting>
  <conditionalFormatting sqref="W1586">
    <cfRule type="cellIs" dxfId="600" priority="513" operator="equal">
      <formula>"Share"</formula>
    </cfRule>
  </conditionalFormatting>
  <conditionalFormatting sqref="B2601:D2601 B2575:D2599">
    <cfRule type="cellIs" dxfId="599" priority="512" operator="equal">
      <formula>"Share"</formula>
    </cfRule>
  </conditionalFormatting>
  <conditionalFormatting sqref="B2574:D2574">
    <cfRule type="cellIs" dxfId="598" priority="1419" operator="equal">
      <formula>"Share"</formula>
    </cfRule>
  </conditionalFormatting>
  <conditionalFormatting sqref="E2575:E2601">
    <cfRule type="cellIs" dxfId="597" priority="510" operator="equal">
      <formula>"Share"</formula>
    </cfRule>
  </conditionalFormatting>
  <conditionalFormatting sqref="E2574:E2601">
    <cfRule type="cellIs" dxfId="596" priority="1420" operator="equal">
      <formula>"Share"</formula>
    </cfRule>
  </conditionalFormatting>
  <conditionalFormatting sqref="P2574">
    <cfRule type="cellIs" dxfId="595" priority="508" operator="equal">
      <formula>"Share"</formula>
    </cfRule>
  </conditionalFormatting>
  <conditionalFormatting sqref="X2588:X2601">
    <cfRule type="cellIs" dxfId="594" priority="507" operator="equal">
      <formula>"Share"</formula>
    </cfRule>
  </conditionalFormatting>
  <conditionalFormatting sqref="X2574">
    <cfRule type="cellIs" dxfId="593" priority="1421" operator="equal">
      <formula>"Share"</formula>
    </cfRule>
  </conditionalFormatting>
  <conditionalFormatting sqref="AA2575:AA2599 AA2601">
    <cfRule type="cellIs" dxfId="592" priority="505" operator="equal">
      <formula>"Share"</formula>
    </cfRule>
  </conditionalFormatting>
  <conditionalFormatting sqref="R2588:R2597 R2599:R2601">
    <cfRule type="cellIs" dxfId="591" priority="504" operator="equal">
      <formula>"Share"</formula>
    </cfRule>
  </conditionalFormatting>
  <conditionalFormatting sqref="R2574">
    <cfRule type="cellIs" dxfId="590" priority="1422" operator="equal">
      <formula>"Share"</formula>
    </cfRule>
  </conditionalFormatting>
  <conditionalFormatting sqref="AB2574:AB2599 AB2601">
    <cfRule type="cellIs" dxfId="589" priority="502" operator="equal">
      <formula>"Share"</formula>
    </cfRule>
  </conditionalFormatting>
  <conditionalFormatting sqref="U2588:U2601">
    <cfRule type="cellIs" dxfId="588" priority="501" operator="equal">
      <formula>"Share"</formula>
    </cfRule>
  </conditionalFormatting>
  <conditionalFormatting sqref="U2574">
    <cfRule type="cellIs" dxfId="587" priority="1423" operator="equal">
      <formula>"Share"</formula>
    </cfRule>
  </conditionalFormatting>
  <conditionalFormatting sqref="X2575:X2587">
    <cfRule type="cellIs" dxfId="586" priority="499" operator="equal">
      <formula>"Share"</formula>
    </cfRule>
  </conditionalFormatting>
  <conditionalFormatting sqref="R2575:R2587">
    <cfRule type="cellIs" dxfId="585" priority="498" operator="equal">
      <formula>"Share"</formula>
    </cfRule>
  </conditionalFormatting>
  <conditionalFormatting sqref="U2575:U2587">
    <cfRule type="cellIs" dxfId="584" priority="497" operator="equal">
      <formula>"Share"</formula>
    </cfRule>
  </conditionalFormatting>
  <conditionalFormatting sqref="B2600:D2600">
    <cfRule type="cellIs" dxfId="583" priority="496" operator="equal">
      <formula>"Share"</formula>
    </cfRule>
  </conditionalFormatting>
  <conditionalFormatting sqref="W2601">
    <cfRule type="cellIs" dxfId="582" priority="495" operator="equal">
      <formula>"Share"</formula>
    </cfRule>
  </conditionalFormatting>
  <conditionalFormatting sqref="U1619">
    <cfRule type="cellIs" dxfId="581" priority="494" operator="equal">
      <formula>"Share"</formula>
    </cfRule>
  </conditionalFormatting>
  <conditionalFormatting sqref="X1695">
    <cfRule type="cellIs" dxfId="580" priority="493" operator="equal">
      <formula>"Share"</formula>
    </cfRule>
  </conditionalFormatting>
  <conditionalFormatting sqref="R1695">
    <cfRule type="cellIs" dxfId="579" priority="492" operator="equal">
      <formula>"Share"</formula>
    </cfRule>
  </conditionalFormatting>
  <conditionalFormatting sqref="U1676:U1689">
    <cfRule type="cellIs" dxfId="578" priority="491" operator="equal">
      <formula>"Share"</formula>
    </cfRule>
  </conditionalFormatting>
  <conditionalFormatting sqref="U1690:U1692 U1694:U1695">
    <cfRule type="cellIs" dxfId="577" priority="490" operator="equal">
      <formula>"Share"</formula>
    </cfRule>
  </conditionalFormatting>
  <conditionalFormatting sqref="U1693">
    <cfRule type="cellIs" dxfId="576" priority="489" operator="equal">
      <formula>"Share"</formula>
    </cfRule>
  </conditionalFormatting>
  <conditionalFormatting sqref="E1771:E1816">
    <cfRule type="cellIs" dxfId="575" priority="488" operator="equal">
      <formula>"Share"</formula>
    </cfRule>
  </conditionalFormatting>
  <conditionalFormatting sqref="X1770">
    <cfRule type="cellIs" dxfId="574" priority="487" operator="equal">
      <formula>"Share"</formula>
    </cfRule>
  </conditionalFormatting>
  <conditionalFormatting sqref="R1770">
    <cfRule type="cellIs" dxfId="573" priority="486" operator="equal">
      <formula>"Share"</formula>
    </cfRule>
  </conditionalFormatting>
  <conditionalFormatting sqref="AB1770">
    <cfRule type="cellIs" dxfId="572" priority="485" operator="equal">
      <formula>"Share"</formula>
    </cfRule>
  </conditionalFormatting>
  <conditionalFormatting sqref="B1770:D1770">
    <cfRule type="cellIs" dxfId="571" priority="484" operator="equal">
      <formula>"Share"</formula>
    </cfRule>
  </conditionalFormatting>
  <conditionalFormatting sqref="U1751:U1764">
    <cfRule type="cellIs" dxfId="570" priority="483" operator="equal">
      <formula>"Share"</formula>
    </cfRule>
  </conditionalFormatting>
  <conditionalFormatting sqref="U1765:U1767 U1769:U1770">
    <cfRule type="cellIs" dxfId="569" priority="482" operator="equal">
      <formula>"Share"</formula>
    </cfRule>
  </conditionalFormatting>
  <conditionalFormatting sqref="U1768">
    <cfRule type="cellIs" dxfId="568" priority="481" operator="equal">
      <formula>"Share"</formula>
    </cfRule>
  </conditionalFormatting>
  <conditionalFormatting sqref="W1816">
    <cfRule type="cellIs" dxfId="567" priority="480" operator="equal">
      <formula>"Share"</formula>
    </cfRule>
  </conditionalFormatting>
  <conditionalFormatting sqref="U1816">
    <cfRule type="cellIs" dxfId="566" priority="479" operator="equal">
      <formula>"Share"</formula>
    </cfRule>
  </conditionalFormatting>
  <conditionalFormatting sqref="U1595">
    <cfRule type="cellIs" dxfId="565" priority="478" operator="equal">
      <formula>"Share"</formula>
    </cfRule>
  </conditionalFormatting>
  <conditionalFormatting sqref="U1600">
    <cfRule type="cellIs" dxfId="564" priority="477" operator="equal">
      <formula>"Share"</formula>
    </cfRule>
  </conditionalFormatting>
  <conditionalFormatting sqref="E1853:E1897">
    <cfRule type="cellIs" dxfId="563" priority="476" operator="equal">
      <formula>"Share"</formula>
    </cfRule>
  </conditionalFormatting>
  <conditionalFormatting sqref="C1898:D1898">
    <cfRule type="cellIs" dxfId="562" priority="475" operator="equal">
      <formula>"Share"</formula>
    </cfRule>
  </conditionalFormatting>
  <conditionalFormatting sqref="X1898">
    <cfRule type="cellIs" dxfId="561" priority="474" operator="equal">
      <formula>"Share"</formula>
    </cfRule>
  </conditionalFormatting>
  <conditionalFormatting sqref="AA1898">
    <cfRule type="cellIs" dxfId="560" priority="473" operator="equal">
      <formula>"Share"</formula>
    </cfRule>
  </conditionalFormatting>
  <conditionalFormatting sqref="R1898">
    <cfRule type="cellIs" dxfId="559" priority="472" operator="equal">
      <formula>"Share"</formula>
    </cfRule>
  </conditionalFormatting>
  <conditionalFormatting sqref="AB1898">
    <cfRule type="cellIs" dxfId="558" priority="471" operator="equal">
      <formula>"Share"</formula>
    </cfRule>
  </conditionalFormatting>
  <conditionalFormatting sqref="E1898">
    <cfRule type="cellIs" dxfId="557" priority="470" operator="equal">
      <formula>"Share"</formula>
    </cfRule>
  </conditionalFormatting>
  <conditionalFormatting sqref="W1898">
    <cfRule type="cellIs" dxfId="556" priority="469" operator="equal">
      <formula>"Share"</formula>
    </cfRule>
  </conditionalFormatting>
  <conditionalFormatting sqref="U1898">
    <cfRule type="cellIs" dxfId="555" priority="468" operator="equal">
      <formula>"Share"</formula>
    </cfRule>
  </conditionalFormatting>
  <conditionalFormatting sqref="B1898">
    <cfRule type="cellIs" dxfId="554" priority="467" operator="equal">
      <formula>"Share"</formula>
    </cfRule>
  </conditionalFormatting>
  <conditionalFormatting sqref="X1734">
    <cfRule type="cellIs" dxfId="553" priority="466" operator="equal">
      <formula>"Share"</formula>
    </cfRule>
  </conditionalFormatting>
  <conditionalFormatting sqref="AA1734">
    <cfRule type="cellIs" dxfId="552" priority="465" operator="equal">
      <formula>"Share"</formula>
    </cfRule>
  </conditionalFormatting>
  <conditionalFormatting sqref="R1734">
    <cfRule type="cellIs" dxfId="551" priority="464" operator="equal">
      <formula>"Share"</formula>
    </cfRule>
  </conditionalFormatting>
  <conditionalFormatting sqref="AB1734">
    <cfRule type="cellIs" dxfId="550" priority="463" operator="equal">
      <formula>"Share"</formula>
    </cfRule>
  </conditionalFormatting>
  <conditionalFormatting sqref="W1734">
    <cfRule type="cellIs" dxfId="549" priority="462" operator="equal">
      <formula>"Share"</formula>
    </cfRule>
  </conditionalFormatting>
  <conditionalFormatting sqref="U1734">
    <cfRule type="cellIs" dxfId="548" priority="461" operator="equal">
      <formula>"Share"</formula>
    </cfRule>
  </conditionalFormatting>
  <conditionalFormatting sqref="X1666">
    <cfRule type="cellIs" dxfId="547" priority="460" operator="equal">
      <formula>"Share"</formula>
    </cfRule>
  </conditionalFormatting>
  <conditionalFormatting sqref="AA1666">
    <cfRule type="cellIs" dxfId="546" priority="459" operator="equal">
      <formula>"Share"</formula>
    </cfRule>
  </conditionalFormatting>
  <conditionalFormatting sqref="R1666">
    <cfRule type="cellIs" dxfId="545" priority="458" operator="equal">
      <formula>"Share"</formula>
    </cfRule>
  </conditionalFormatting>
  <conditionalFormatting sqref="AB1666">
    <cfRule type="cellIs" dxfId="544" priority="457" operator="equal">
      <formula>"Share"</formula>
    </cfRule>
  </conditionalFormatting>
  <conditionalFormatting sqref="W1666">
    <cfRule type="cellIs" dxfId="543" priority="456" operator="equal">
      <formula>"Share"</formula>
    </cfRule>
  </conditionalFormatting>
  <conditionalFormatting sqref="U1666">
    <cfRule type="cellIs" dxfId="542" priority="455" operator="equal">
      <formula>"Share"</formula>
    </cfRule>
  </conditionalFormatting>
  <conditionalFormatting sqref="W1658">
    <cfRule type="cellIs" dxfId="541" priority="454" operator="equal">
      <formula>"Share"</formula>
    </cfRule>
  </conditionalFormatting>
  <conditionalFormatting sqref="X1852">
    <cfRule type="cellIs" dxfId="540" priority="453" operator="equal">
      <formula>"Share"</formula>
    </cfRule>
  </conditionalFormatting>
  <conditionalFormatting sqref="R1852">
    <cfRule type="cellIs" dxfId="539" priority="452" operator="equal">
      <formula>"Share"</formula>
    </cfRule>
  </conditionalFormatting>
  <conditionalFormatting sqref="W1852">
    <cfRule type="cellIs" dxfId="538" priority="451" operator="equal">
      <formula>"Share"</formula>
    </cfRule>
  </conditionalFormatting>
  <conditionalFormatting sqref="U1852">
    <cfRule type="cellIs" dxfId="537" priority="450" operator="equal">
      <formula>"Share"</formula>
    </cfRule>
  </conditionalFormatting>
  <conditionalFormatting sqref="X1890">
    <cfRule type="cellIs" dxfId="536" priority="449" operator="equal">
      <formula>"Share"</formula>
    </cfRule>
  </conditionalFormatting>
  <conditionalFormatting sqref="AA1890">
    <cfRule type="cellIs" dxfId="535" priority="1424" operator="equal">
      <formula>"Share"</formula>
    </cfRule>
  </conditionalFormatting>
  <conditionalFormatting sqref="R1890">
    <cfRule type="cellIs" dxfId="534" priority="447" operator="equal">
      <formula>"Share"</formula>
    </cfRule>
  </conditionalFormatting>
  <conditionalFormatting sqref="U1890">
    <cfRule type="cellIs" dxfId="533" priority="446" operator="equal">
      <formula>"Share"</formula>
    </cfRule>
  </conditionalFormatting>
  <conditionalFormatting sqref="W1890">
    <cfRule type="cellIs" dxfId="532" priority="445" operator="equal">
      <formula>"Share"</formula>
    </cfRule>
  </conditionalFormatting>
  <conditionalFormatting sqref="X1808">
    <cfRule type="cellIs" dxfId="531" priority="444" operator="equal">
      <formula>"Share"</formula>
    </cfRule>
  </conditionalFormatting>
  <conditionalFormatting sqref="AA1808">
    <cfRule type="cellIs" dxfId="530" priority="1425" operator="equal">
      <formula>"Share"</formula>
    </cfRule>
  </conditionalFormatting>
  <conditionalFormatting sqref="R1808">
    <cfRule type="cellIs" dxfId="529" priority="442" operator="equal">
      <formula>"Share"</formula>
    </cfRule>
  </conditionalFormatting>
  <conditionalFormatting sqref="U1808">
    <cfRule type="cellIs" dxfId="528" priority="441" operator="equal">
      <formula>"Share"</formula>
    </cfRule>
  </conditionalFormatting>
  <conditionalFormatting sqref="W1808">
    <cfRule type="cellIs" dxfId="527" priority="440" operator="equal">
      <formula>"Share"</formula>
    </cfRule>
  </conditionalFormatting>
  <conditionalFormatting sqref="X1726">
    <cfRule type="cellIs" dxfId="526" priority="439" operator="equal">
      <formula>"Share"</formula>
    </cfRule>
  </conditionalFormatting>
  <conditionalFormatting sqref="R1726">
    <cfRule type="cellIs" dxfId="525" priority="438" operator="equal">
      <formula>"Share"</formula>
    </cfRule>
  </conditionalFormatting>
  <conditionalFormatting sqref="U1726">
    <cfRule type="cellIs" dxfId="524" priority="437" operator="equal">
      <formula>"Share"</formula>
    </cfRule>
  </conditionalFormatting>
  <conditionalFormatting sqref="W1726">
    <cfRule type="cellIs" dxfId="523" priority="436" operator="equal">
      <formula>"Share"</formula>
    </cfRule>
  </conditionalFormatting>
  <conditionalFormatting sqref="U1723">
    <cfRule type="cellIs" dxfId="522" priority="435" operator="equal">
      <formula>"Share"</formula>
    </cfRule>
  </conditionalFormatting>
  <conditionalFormatting sqref="R2602:R2605">
    <cfRule type="cellIs" dxfId="521" priority="434" operator="equal">
      <formula>"Share"</formula>
    </cfRule>
  </conditionalFormatting>
  <conditionalFormatting sqref="S2602:S2619">
    <cfRule type="cellIs" dxfId="520" priority="433" operator="equal">
      <formula>"Share"</formula>
    </cfRule>
  </conditionalFormatting>
  <conditionalFormatting sqref="X2602:X2619">
    <cfRule type="cellIs" dxfId="519" priority="432" operator="equal">
      <formula>"Share"</formula>
    </cfRule>
  </conditionalFormatting>
  <conditionalFormatting sqref="AA2602:AA2619">
    <cfRule type="cellIs" dxfId="518" priority="431" operator="equal">
      <formula>"Share"</formula>
    </cfRule>
  </conditionalFormatting>
  <conditionalFormatting sqref="AB2602:AB2619">
    <cfRule type="cellIs" dxfId="517" priority="430" operator="equal">
      <formula>"Share"</formula>
    </cfRule>
  </conditionalFormatting>
  <conditionalFormatting sqref="W2602:W2619">
    <cfRule type="cellIs" dxfId="516" priority="429" operator="equal">
      <formula>"Share"</formula>
    </cfRule>
  </conditionalFormatting>
  <conditionalFormatting sqref="U2602:U2619">
    <cfRule type="cellIs" dxfId="515" priority="428" operator="equal">
      <formula>"Share"</formula>
    </cfRule>
  </conditionalFormatting>
  <conditionalFormatting sqref="T2602:T2619">
    <cfRule type="cellIs" dxfId="514" priority="427" operator="equal">
      <formula>"Share"</formula>
    </cfRule>
  </conditionalFormatting>
  <conditionalFormatting sqref="R2065">
    <cfRule type="cellIs" dxfId="513" priority="426" operator="equal">
      <formula>"Share"</formula>
    </cfRule>
  </conditionalFormatting>
  <conditionalFormatting sqref="X2067">
    <cfRule type="cellIs" dxfId="512" priority="425" operator="equal">
      <formula>"Share"</formula>
    </cfRule>
  </conditionalFormatting>
  <conditionalFormatting sqref="R2067">
    <cfRule type="cellIs" dxfId="511" priority="424" operator="equal">
      <formula>"Share"</formula>
    </cfRule>
  </conditionalFormatting>
  <conditionalFormatting sqref="W2067">
    <cfRule type="cellIs" dxfId="510" priority="423" operator="equal">
      <formula>"Share"</formula>
    </cfRule>
  </conditionalFormatting>
  <conditionalFormatting sqref="U2067">
    <cfRule type="cellIs" dxfId="509" priority="422" operator="equal">
      <formula>"Share"</formula>
    </cfRule>
  </conditionalFormatting>
  <conditionalFormatting sqref="X2044">
    <cfRule type="cellIs" dxfId="508" priority="421" operator="equal">
      <formula>"Share"</formula>
    </cfRule>
  </conditionalFormatting>
  <conditionalFormatting sqref="R2044">
    <cfRule type="cellIs" dxfId="507" priority="420" operator="equal">
      <formula>"Share"</formula>
    </cfRule>
  </conditionalFormatting>
  <conditionalFormatting sqref="B2044:D2044">
    <cfRule type="cellIs" dxfId="506" priority="419" operator="equal">
      <formula>"Share"</formula>
    </cfRule>
  </conditionalFormatting>
  <conditionalFormatting sqref="R2063">
    <cfRule type="cellIs" dxfId="505" priority="418" operator="equal">
      <formula>"Share"</formula>
    </cfRule>
  </conditionalFormatting>
  <conditionalFormatting sqref="B2063:D2063">
    <cfRule type="cellIs" dxfId="504" priority="417" operator="equal">
      <formula>"Share"</formula>
    </cfRule>
  </conditionalFormatting>
  <conditionalFormatting sqref="X2050:X2063">
    <cfRule type="cellIs" dxfId="503" priority="416" operator="equal">
      <formula>"Share"</formula>
    </cfRule>
  </conditionalFormatting>
  <conditionalFormatting sqref="W2050:W2055">
    <cfRule type="cellIs" dxfId="502" priority="415" operator="equal">
      <formula>"Share"</formula>
    </cfRule>
  </conditionalFormatting>
  <conditionalFormatting sqref="W2057">
    <cfRule type="cellIs" dxfId="501" priority="414" operator="equal">
      <formula>"Share"</formula>
    </cfRule>
  </conditionalFormatting>
  <conditionalFormatting sqref="AA2621">
    <cfRule type="cellIs" dxfId="500" priority="413" operator="equal">
      <formula>"Share"</formula>
    </cfRule>
  </conditionalFormatting>
  <conditionalFormatting sqref="AB2621">
    <cfRule type="cellIs" dxfId="499" priority="412" operator="equal">
      <formula>"Share"</formula>
    </cfRule>
  </conditionalFormatting>
  <conditionalFormatting sqref="W2628 S2636:U2636 W2631:W2636">
    <cfRule type="cellIs" dxfId="498" priority="411" operator="equal">
      <formula>"Share"</formula>
    </cfRule>
  </conditionalFormatting>
  <conditionalFormatting sqref="R2148">
    <cfRule type="cellIs" dxfId="497" priority="410" operator="equal">
      <formula>"Share"</formula>
    </cfRule>
  </conditionalFormatting>
  <conditionalFormatting sqref="R2168">
    <cfRule type="cellIs" dxfId="496" priority="409" operator="equal">
      <formula>"Share"</formula>
    </cfRule>
  </conditionalFormatting>
  <conditionalFormatting sqref="W2155:W2167">
    <cfRule type="cellIs" dxfId="495" priority="408" operator="equal">
      <formula>"Share"</formula>
    </cfRule>
  </conditionalFormatting>
  <conditionalFormatting sqref="B2620:D2620">
    <cfRule type="cellIs" dxfId="494" priority="407" operator="equal">
      <formula>"Share"</formula>
    </cfRule>
  </conditionalFormatting>
  <conditionalFormatting sqref="S2620:U2620 AB2620 W2620:X2620">
    <cfRule type="cellIs" dxfId="493" priority="406" operator="equal">
      <formula>"Share"</formula>
    </cfRule>
  </conditionalFormatting>
  <conditionalFormatting sqref="P2620">
    <cfRule type="cellIs" dxfId="492" priority="405" operator="equal">
      <formula>"Share"</formula>
    </cfRule>
  </conditionalFormatting>
  <conditionalFormatting sqref="R2620">
    <cfRule type="cellIs" dxfId="491" priority="404" operator="equal">
      <formula>"Share"</formula>
    </cfRule>
  </conditionalFormatting>
  <conditionalFormatting sqref="R14:R17">
    <cfRule type="cellIs" dxfId="490" priority="394" operator="equal">
      <formula>"Share"</formula>
    </cfRule>
  </conditionalFormatting>
  <conditionalFormatting sqref="R2630">
    <cfRule type="cellIs" dxfId="489" priority="393" operator="equal">
      <formula>"Share"</formula>
    </cfRule>
  </conditionalFormatting>
  <conditionalFormatting sqref="R339:R342">
    <cfRule type="cellIs" dxfId="488" priority="392" operator="equal">
      <formula>"Share"</formula>
    </cfRule>
  </conditionalFormatting>
  <conditionalFormatting sqref="V1527:V1548 V1920:V1936 V1355:V1385 V36:V62 V134:V158 V196:V220 V64:V67 V69:V95 V97:V100 V165:V189 V2427:V2451 V2458:V2482 V2489:V2513 V2225:V2238 V2549:V2562 V2000:V2013 V1969:V1982 V1938:V1951 V227:V235 V1697:V1725 V2044 V2050:V2063 V2083:V2089 V2115:V2154 V2168:V2174 V3:V9 V23:V33 V237:V326">
    <cfRule type="cellIs" dxfId="487" priority="391" operator="equal">
      <formula>"Share"</formula>
    </cfRule>
  </conditionalFormatting>
  <conditionalFormatting sqref="V362:V375 V391:V415 V601:V679 V681:V911 V944:V967 V975:V998 V1281:V1284 V1387:V1400 V1403:V1417 V1419:V1433 V1435:V1447 V1450:V1462 V1465:V1477 V1480:V1494 V1496:V1510 V1512:V1525 V1551:V1558 V913:V936 V942 V973 V1004 V1006:V1029 V1035 V1314:V1317 V1286:V1310 V1319:V1343 V1350:V1353">
    <cfRule type="cellIs" dxfId="486" priority="390" operator="equal">
      <formula>"Share"</formula>
    </cfRule>
  </conditionalFormatting>
  <conditionalFormatting sqref="V1434">
    <cfRule type="cellIs" dxfId="485" priority="389" operator="equal">
      <formula>"Share"</formula>
    </cfRule>
  </conditionalFormatting>
  <conditionalFormatting sqref="V1449">
    <cfRule type="cellIs" dxfId="484" priority="388" operator="equal">
      <formula>"Share"</formula>
    </cfRule>
  </conditionalFormatting>
  <conditionalFormatting sqref="V1464">
    <cfRule type="cellIs" dxfId="483" priority="387" operator="equal">
      <formula>"Share"</formula>
    </cfRule>
  </conditionalFormatting>
  <conditionalFormatting sqref="V1479">
    <cfRule type="cellIs" dxfId="482" priority="1426" operator="equal">
      <formula>"Share"</formula>
    </cfRule>
  </conditionalFormatting>
  <conditionalFormatting sqref="V1495">
    <cfRule type="cellIs" dxfId="481" priority="1427" operator="equal">
      <formula>"Share"</formula>
    </cfRule>
  </conditionalFormatting>
  <conditionalFormatting sqref="V912">
    <cfRule type="cellIs" dxfId="480" priority="384" operator="equal">
      <formula>"Share"</formula>
    </cfRule>
  </conditionalFormatting>
  <conditionalFormatting sqref="V943">
    <cfRule type="cellIs" dxfId="479" priority="383" operator="equal">
      <formula>"Share"</formula>
    </cfRule>
  </conditionalFormatting>
  <conditionalFormatting sqref="V974">
    <cfRule type="cellIs" dxfId="478" priority="382" operator="equal">
      <formula>"Share"</formula>
    </cfRule>
  </conditionalFormatting>
  <conditionalFormatting sqref="V1005">
    <cfRule type="cellIs" dxfId="477" priority="381" operator="equal">
      <formula>"Share"</formula>
    </cfRule>
  </conditionalFormatting>
  <conditionalFormatting sqref="V1999">
    <cfRule type="cellIs" dxfId="476" priority="380" operator="equal">
      <formula>"Share"</formula>
    </cfRule>
  </conditionalFormatting>
  <conditionalFormatting sqref="V2068">
    <cfRule type="cellIs" dxfId="475" priority="379" operator="equal">
      <formula>"Share"</formula>
    </cfRule>
  </conditionalFormatting>
  <conditionalFormatting sqref="V2091">
    <cfRule type="cellIs" dxfId="474" priority="378" operator="equal">
      <formula>"Share"</formula>
    </cfRule>
  </conditionalFormatting>
  <conditionalFormatting sqref="V2224">
    <cfRule type="cellIs" dxfId="473" priority="377" operator="equal">
      <formula>"Share"</formula>
    </cfRule>
  </conditionalFormatting>
  <conditionalFormatting sqref="V2245">
    <cfRule type="cellIs" dxfId="472" priority="376" operator="equal">
      <formula>"Share"</formula>
    </cfRule>
  </conditionalFormatting>
  <conditionalFormatting sqref="V1354">
    <cfRule type="cellIs" dxfId="471" priority="1428" operator="equal">
      <formula>"Share"</formula>
    </cfRule>
  </conditionalFormatting>
  <conditionalFormatting sqref="V1667">
    <cfRule type="cellIs" dxfId="470" priority="374" operator="equal">
      <formula>"Share"</formula>
    </cfRule>
  </conditionalFormatting>
  <conditionalFormatting sqref="V1696">
    <cfRule type="cellIs" dxfId="469" priority="373" operator="equal">
      <formula>"Share"</formula>
    </cfRule>
  </conditionalFormatting>
  <conditionalFormatting sqref="V1919">
    <cfRule type="cellIs" dxfId="468" priority="372" operator="equal">
      <formula>"Share"</formula>
    </cfRule>
  </conditionalFormatting>
  <conditionalFormatting sqref="V2030">
    <cfRule type="cellIs" dxfId="467" priority="371" operator="equal">
      <formula>"Share"</formula>
    </cfRule>
  </conditionalFormatting>
  <conditionalFormatting sqref="V2114">
    <cfRule type="cellIs" dxfId="466" priority="370" operator="equal">
      <formula>"Share"</formula>
    </cfRule>
  </conditionalFormatting>
  <conditionalFormatting sqref="V2 V680 V1278:V1279 V1312:V1313 V1386">
    <cfRule type="cellIs" dxfId="465" priority="1429" operator="equal">
      <formula>"Share"</formula>
    </cfRule>
  </conditionalFormatting>
  <conditionalFormatting sqref="V2069:V2081">
    <cfRule type="cellIs" dxfId="464" priority="368" operator="equal">
      <formula>"Share"</formula>
    </cfRule>
  </conditionalFormatting>
  <conditionalFormatting sqref="V2092:V2113">
    <cfRule type="cellIs" dxfId="463" priority="367" operator="equal">
      <formula>"Share"</formula>
    </cfRule>
  </conditionalFormatting>
  <conditionalFormatting sqref="V1833:V1844">
    <cfRule type="cellIs" dxfId="462" priority="366" operator="equal">
      <formula>"Share"</formula>
    </cfRule>
  </conditionalFormatting>
  <conditionalFormatting sqref="V1036:V1065 V1098:V1127 V1067:V1096 V1129:V1158 V1160:V1189 V1191:V1220 V1253:V1277 V1222:V1251">
    <cfRule type="cellIs" dxfId="461" priority="1430" operator="equal">
      <formula>"Share"</formula>
    </cfRule>
  </conditionalFormatting>
  <conditionalFormatting sqref="V1588:V1594 V2090 V2310:V2315 V2332:V2338 V1596:V1599 V1601:V1615 V2046:V2048">
    <cfRule type="cellIs" dxfId="460" priority="365" operator="equal">
      <formula>"Share"</formula>
    </cfRule>
  </conditionalFormatting>
  <conditionalFormatting sqref="V1668:V1675">
    <cfRule type="cellIs" dxfId="459" priority="363" operator="equal">
      <formula>"Share"</formula>
    </cfRule>
  </conditionalFormatting>
  <conditionalFormatting sqref="V1727:V1733">
    <cfRule type="cellIs" dxfId="458" priority="362" operator="equal">
      <formula>"Share"</formula>
    </cfRule>
  </conditionalFormatting>
  <conditionalFormatting sqref="V1736:V1750">
    <cfRule type="cellIs" dxfId="457" priority="361" operator="equal">
      <formula>"Share"</formula>
    </cfRule>
  </conditionalFormatting>
  <conditionalFormatting sqref="V1772:V1807 V1809:V1815">
    <cfRule type="cellIs" dxfId="456" priority="360" operator="equal">
      <formula>"Share"</formula>
    </cfRule>
  </conditionalFormatting>
  <conditionalFormatting sqref="V1818:V1832">
    <cfRule type="cellIs" dxfId="455" priority="359" operator="equal">
      <formula>"Share"</formula>
    </cfRule>
  </conditionalFormatting>
  <conditionalFormatting sqref="V1845:V1851">
    <cfRule type="cellIs" dxfId="454" priority="358" operator="equal">
      <formula>"Share"</formula>
    </cfRule>
  </conditionalFormatting>
  <conditionalFormatting sqref="V1854:V1889 V1891:V1897">
    <cfRule type="cellIs" dxfId="453" priority="1431" operator="equal">
      <formula>"Share"</formula>
    </cfRule>
  </conditionalFormatting>
  <conditionalFormatting sqref="V1952:V1967">
    <cfRule type="cellIs" dxfId="452" priority="356" operator="equal">
      <formula>"Share"</formula>
    </cfRule>
  </conditionalFormatting>
  <conditionalFormatting sqref="V2031:V2043 V2045">
    <cfRule type="cellIs" dxfId="451" priority="355" operator="equal">
      <formula>"Share"</formula>
    </cfRule>
  </conditionalFormatting>
  <conditionalFormatting sqref="V2064:V2066">
    <cfRule type="cellIs" dxfId="450" priority="354" operator="equal">
      <formula>"Share"</formula>
    </cfRule>
  </conditionalFormatting>
  <conditionalFormatting sqref="V2241:V2243">
    <cfRule type="cellIs" dxfId="449" priority="353" operator="equal">
      <formula>"Share"</formula>
    </cfRule>
  </conditionalFormatting>
  <conditionalFormatting sqref="V2284:V2309">
    <cfRule type="cellIs" dxfId="448" priority="352" operator="equal">
      <formula>"Share"</formula>
    </cfRule>
  </conditionalFormatting>
  <conditionalFormatting sqref="V1401">
    <cfRule type="cellIs" dxfId="447" priority="1432" operator="equal">
      <formula>"Share"</formula>
    </cfRule>
  </conditionalFormatting>
  <conditionalFormatting sqref="V1448">
    <cfRule type="cellIs" dxfId="446" priority="1433" operator="equal">
      <formula>"Share"</formula>
    </cfRule>
  </conditionalFormatting>
  <conditionalFormatting sqref="V1463">
    <cfRule type="cellIs" dxfId="445" priority="369" operator="equal">
      <formula>"Share"</formula>
    </cfRule>
  </conditionalFormatting>
  <conditionalFormatting sqref="V1478">
    <cfRule type="cellIs" dxfId="444" priority="1434" operator="equal">
      <formula>"Share"</formula>
    </cfRule>
  </conditionalFormatting>
  <conditionalFormatting sqref="V1549">
    <cfRule type="cellIs" dxfId="443" priority="1435" operator="equal">
      <formula>"Share"</formula>
    </cfRule>
  </conditionalFormatting>
  <conditionalFormatting sqref="V2316">
    <cfRule type="cellIs" dxfId="442" priority="1436" operator="equal">
      <formula>"Share"</formula>
    </cfRule>
  </conditionalFormatting>
  <conditionalFormatting sqref="V2339:V2376 V2378:V2404 V2406:V2422">
    <cfRule type="cellIs" dxfId="441" priority="345" operator="equal">
      <formula>"Share"</formula>
    </cfRule>
  </conditionalFormatting>
  <conditionalFormatting sqref="V2246:V2252">
    <cfRule type="cellIs" dxfId="440" priority="349" operator="equal">
      <formula>"Share"</formula>
    </cfRule>
  </conditionalFormatting>
  <conditionalFormatting sqref="V2317:V2330">
    <cfRule type="cellIs" dxfId="439" priority="1437" operator="equal">
      <formula>"Share"</formula>
    </cfRule>
  </conditionalFormatting>
  <conditionalFormatting sqref="V2253:V2264 V2266:V2283">
    <cfRule type="cellIs" dxfId="438" priority="342" operator="equal">
      <formula>"Share"</formula>
    </cfRule>
  </conditionalFormatting>
  <conditionalFormatting sqref="V2331">
    <cfRule type="cellIs" dxfId="437" priority="357" operator="equal">
      <formula>"Share"</formula>
    </cfRule>
  </conditionalFormatting>
  <conditionalFormatting sqref="V1402">
    <cfRule type="cellIs" dxfId="436" priority="1438" operator="equal">
      <formula>"Share"</formula>
    </cfRule>
  </conditionalFormatting>
  <conditionalFormatting sqref="V1418">
    <cfRule type="cellIs" dxfId="435" priority="1439" operator="equal">
      <formula>"Share"</formula>
    </cfRule>
  </conditionalFormatting>
  <conditionalFormatting sqref="V2082">
    <cfRule type="cellIs" dxfId="434" priority="341" operator="equal">
      <formula>"Share"</formula>
    </cfRule>
  </conditionalFormatting>
  <conditionalFormatting sqref="V1904:V1918">
    <cfRule type="cellIs" dxfId="433" priority="1440" operator="equal">
      <formula>"Share"</formula>
    </cfRule>
  </conditionalFormatting>
  <conditionalFormatting sqref="V1511">
    <cfRule type="cellIs" dxfId="432" priority="1441" operator="equal">
      <formula>"Share"</formula>
    </cfRule>
  </conditionalFormatting>
  <conditionalFormatting sqref="V1526">
    <cfRule type="cellIs" dxfId="431" priority="1442" operator="equal">
      <formula>"Share"</formula>
    </cfRule>
  </conditionalFormatting>
  <conditionalFormatting sqref="V1550">
    <cfRule type="cellIs" dxfId="430" priority="1443" operator="equal">
      <formula>"Share"</formula>
    </cfRule>
  </conditionalFormatting>
  <conditionalFormatting sqref="V1573:V1586">
    <cfRule type="cellIs" dxfId="429" priority="333" operator="equal">
      <formula>"Share"</formula>
    </cfRule>
  </conditionalFormatting>
  <conditionalFormatting sqref="V376:V390">
    <cfRule type="cellIs" dxfId="428" priority="332" operator="equal">
      <formula>"Share"</formula>
    </cfRule>
  </conditionalFormatting>
  <conditionalFormatting sqref="V1559 V1587 V1622 V1735 V1771 V1817 V1853 V1899:V1903">
    <cfRule type="cellIs" dxfId="427" priority="1444" operator="equal">
      <formula>"Share"</formula>
    </cfRule>
  </conditionalFormatting>
  <conditionalFormatting sqref="V2175:V2223 V1616:V1621">
    <cfRule type="cellIs" dxfId="426" priority="364" operator="equal">
      <formula>"Share"</formula>
    </cfRule>
  </conditionalFormatting>
  <conditionalFormatting sqref="V1623:V1657 V1659:V1665">
    <cfRule type="cellIs" dxfId="425" priority="1445" operator="equal">
      <formula>"Share"</formula>
    </cfRule>
  </conditionalFormatting>
  <conditionalFormatting sqref="V2423:V2426">
    <cfRule type="cellIs" dxfId="424" priority="327" operator="equal">
      <formula>"Share"</formula>
    </cfRule>
  </conditionalFormatting>
  <conditionalFormatting sqref="V937">
    <cfRule type="cellIs" dxfId="423" priority="326" operator="equal">
      <formula>"Share"</formula>
    </cfRule>
  </conditionalFormatting>
  <conditionalFormatting sqref="V35">
    <cfRule type="cellIs" dxfId="422" priority="325" operator="equal">
      <formula>"Share"</formula>
    </cfRule>
  </conditionalFormatting>
  <conditionalFormatting sqref="V34">
    <cfRule type="cellIs" dxfId="421" priority="324" operator="equal">
      <formula>"Share"</formula>
    </cfRule>
  </conditionalFormatting>
  <conditionalFormatting sqref="V968">
    <cfRule type="cellIs" dxfId="420" priority="323" operator="equal">
      <formula>"Share"</formula>
    </cfRule>
  </conditionalFormatting>
  <conditionalFormatting sqref="V999">
    <cfRule type="cellIs" dxfId="419" priority="322" operator="equal">
      <formula>"Share"</formula>
    </cfRule>
  </conditionalFormatting>
  <conditionalFormatting sqref="V1030">
    <cfRule type="cellIs" dxfId="418" priority="321" operator="equal">
      <formula>"Share"</formula>
    </cfRule>
  </conditionalFormatting>
  <conditionalFormatting sqref="V1066">
    <cfRule type="cellIs" dxfId="417" priority="320" operator="equal">
      <formula>"Share"</formula>
    </cfRule>
  </conditionalFormatting>
  <conditionalFormatting sqref="V1097">
    <cfRule type="cellIs" dxfId="416" priority="319" operator="equal">
      <formula>"Share"</formula>
    </cfRule>
  </conditionalFormatting>
  <conditionalFormatting sqref="V1128">
    <cfRule type="cellIs" dxfId="415" priority="318" operator="equal">
      <formula>"Share"</formula>
    </cfRule>
  </conditionalFormatting>
  <conditionalFormatting sqref="V1159">
    <cfRule type="cellIs" dxfId="414" priority="317" operator="equal">
      <formula>"Share"</formula>
    </cfRule>
  </conditionalFormatting>
  <conditionalFormatting sqref="V938:V941">
    <cfRule type="cellIs" dxfId="413" priority="316" operator="equal">
      <formula>"Share"</formula>
    </cfRule>
  </conditionalFormatting>
  <conditionalFormatting sqref="V969:V972">
    <cfRule type="cellIs" dxfId="412" priority="315" operator="equal">
      <formula>"Share"</formula>
    </cfRule>
  </conditionalFormatting>
  <conditionalFormatting sqref="V1000:V1003">
    <cfRule type="cellIs" dxfId="411" priority="314" operator="equal">
      <formula>"Share"</formula>
    </cfRule>
  </conditionalFormatting>
  <conditionalFormatting sqref="V1031:V1034">
    <cfRule type="cellIs" dxfId="410" priority="313" operator="equal">
      <formula>"Share"</formula>
    </cfRule>
  </conditionalFormatting>
  <conditionalFormatting sqref="V128">
    <cfRule type="cellIs" dxfId="409" priority="312" operator="equal">
      <formula>"Share"</formula>
    </cfRule>
  </conditionalFormatting>
  <conditionalFormatting sqref="V133">
    <cfRule type="cellIs" dxfId="408" priority="311" operator="equal">
      <formula>"Share"</formula>
    </cfRule>
  </conditionalFormatting>
  <conditionalFormatting sqref="V1190">
    <cfRule type="cellIs" dxfId="407" priority="310" operator="equal">
      <formula>"Share"</formula>
    </cfRule>
  </conditionalFormatting>
  <conditionalFormatting sqref="V1221">
    <cfRule type="cellIs" dxfId="406" priority="309" operator="equal">
      <formula>"Share"</formula>
    </cfRule>
  </conditionalFormatting>
  <conditionalFormatting sqref="V1252">
    <cfRule type="cellIs" dxfId="405" priority="308" operator="equal">
      <formula>"Share"</formula>
    </cfRule>
  </conditionalFormatting>
  <conditionalFormatting sqref="V195">
    <cfRule type="cellIs" dxfId="404" priority="307" operator="equal">
      <formula>"Share"</formula>
    </cfRule>
  </conditionalFormatting>
  <conditionalFormatting sqref="V190">
    <cfRule type="cellIs" dxfId="403" priority="306" operator="equal">
      <formula>"Share"</formula>
    </cfRule>
  </conditionalFormatting>
  <conditionalFormatting sqref="V1280">
    <cfRule type="cellIs" dxfId="402" priority="305" operator="equal">
      <formula>"Share"</formula>
    </cfRule>
  </conditionalFormatting>
  <conditionalFormatting sqref="V1285">
    <cfRule type="cellIs" dxfId="401" priority="304" operator="equal">
      <formula>"Share"</formula>
    </cfRule>
  </conditionalFormatting>
  <conditionalFormatting sqref="V1318">
    <cfRule type="cellIs" dxfId="400" priority="303" operator="equal">
      <formula>"Share"</formula>
    </cfRule>
  </conditionalFormatting>
  <conditionalFormatting sqref="V63">
    <cfRule type="cellIs" dxfId="399" priority="302" operator="equal">
      <formula>"Share"</formula>
    </cfRule>
  </conditionalFormatting>
  <conditionalFormatting sqref="V68">
    <cfRule type="cellIs" dxfId="398" priority="301" operator="equal">
      <formula>"Share"</formula>
    </cfRule>
  </conditionalFormatting>
  <conditionalFormatting sqref="V1311">
    <cfRule type="cellIs" dxfId="397" priority="300" operator="equal">
      <formula>"Share"</formula>
    </cfRule>
  </conditionalFormatting>
  <conditionalFormatting sqref="V101">
    <cfRule type="cellIs" dxfId="396" priority="299" operator="equal">
      <formula>"Share"</formula>
    </cfRule>
  </conditionalFormatting>
  <conditionalFormatting sqref="V96">
    <cfRule type="cellIs" dxfId="395" priority="298" operator="equal">
      <formula>"Share"</formula>
    </cfRule>
  </conditionalFormatting>
  <conditionalFormatting sqref="V221">
    <cfRule type="cellIs" dxfId="394" priority="297" operator="equal">
      <formula>"Share"</formula>
    </cfRule>
  </conditionalFormatting>
  <conditionalFormatting sqref="V226">
    <cfRule type="cellIs" dxfId="393" priority="296" operator="equal">
      <formula>"Share"</formula>
    </cfRule>
  </conditionalFormatting>
  <conditionalFormatting sqref="V1344">
    <cfRule type="cellIs" dxfId="392" priority="295" operator="equal">
      <formula>"Share"</formula>
    </cfRule>
  </conditionalFormatting>
  <conditionalFormatting sqref="V1349">
    <cfRule type="cellIs" dxfId="391" priority="294" operator="equal">
      <formula>"Share"</formula>
    </cfRule>
  </conditionalFormatting>
  <conditionalFormatting sqref="V130:V132">
    <cfRule type="cellIs" dxfId="390" priority="293" operator="equal">
      <formula>"Share"</formula>
    </cfRule>
  </conditionalFormatting>
  <conditionalFormatting sqref="V222:V225">
    <cfRule type="cellIs" dxfId="389" priority="292" operator="equal">
      <formula>"Share"</formula>
    </cfRule>
  </conditionalFormatting>
  <conditionalFormatting sqref="V191:V194">
    <cfRule type="cellIs" dxfId="388" priority="291" operator="equal">
      <formula>"Share"</formula>
    </cfRule>
  </conditionalFormatting>
  <conditionalFormatting sqref="V1345:V1348">
    <cfRule type="cellIs" dxfId="387" priority="290" operator="equal">
      <formula>"Share"</formula>
    </cfRule>
  </conditionalFormatting>
  <conditionalFormatting sqref="V159">
    <cfRule type="cellIs" dxfId="386" priority="289" operator="equal">
      <formula>"Share"</formula>
    </cfRule>
  </conditionalFormatting>
  <conditionalFormatting sqref="V164">
    <cfRule type="cellIs" dxfId="385" priority="288" operator="equal">
      <formula>"Share"</formula>
    </cfRule>
  </conditionalFormatting>
  <conditionalFormatting sqref="V160:V163">
    <cfRule type="cellIs" dxfId="384" priority="287" operator="equal">
      <formula>"Share"</formula>
    </cfRule>
  </conditionalFormatting>
  <conditionalFormatting sqref="V2457">
    <cfRule type="cellIs" dxfId="383" priority="286" operator="equal">
      <formula>"Share"</formula>
    </cfRule>
  </conditionalFormatting>
  <conditionalFormatting sqref="V2452">
    <cfRule type="cellIs" dxfId="382" priority="285" operator="equal">
      <formula>"Share"</formula>
    </cfRule>
  </conditionalFormatting>
  <conditionalFormatting sqref="V2454:V2456">
    <cfRule type="cellIs" dxfId="381" priority="284" operator="equal">
      <formula>"Share"</formula>
    </cfRule>
  </conditionalFormatting>
  <conditionalFormatting sqref="V2453">
    <cfRule type="cellIs" dxfId="380" priority="283" operator="equal">
      <formula>"Share"</formula>
    </cfRule>
  </conditionalFormatting>
  <conditionalFormatting sqref="V2488">
    <cfRule type="cellIs" dxfId="379" priority="282" operator="equal">
      <formula>"Share"</formula>
    </cfRule>
  </conditionalFormatting>
  <conditionalFormatting sqref="V2483">
    <cfRule type="cellIs" dxfId="378" priority="281" operator="equal">
      <formula>"Share"</formula>
    </cfRule>
  </conditionalFormatting>
  <conditionalFormatting sqref="V2485:V2487">
    <cfRule type="cellIs" dxfId="377" priority="280" operator="equal">
      <formula>"Share"</formula>
    </cfRule>
  </conditionalFormatting>
  <conditionalFormatting sqref="V2484">
    <cfRule type="cellIs" dxfId="376" priority="279" operator="equal">
      <formula>"Share"</formula>
    </cfRule>
  </conditionalFormatting>
  <conditionalFormatting sqref="V2519">
    <cfRule type="cellIs" dxfId="375" priority="278" operator="equal">
      <formula>"Share"</formula>
    </cfRule>
  </conditionalFormatting>
  <conditionalFormatting sqref="V2514">
    <cfRule type="cellIs" dxfId="374" priority="277" operator="equal">
      <formula>"Share"</formula>
    </cfRule>
  </conditionalFormatting>
  <conditionalFormatting sqref="V2516:V2518">
    <cfRule type="cellIs" dxfId="373" priority="276" operator="equal">
      <formula>"Share"</formula>
    </cfRule>
  </conditionalFormatting>
  <conditionalFormatting sqref="V2515">
    <cfRule type="cellIs" dxfId="372" priority="275" operator="equal">
      <formula>"Share"</formula>
    </cfRule>
  </conditionalFormatting>
  <conditionalFormatting sqref="V2244">
    <cfRule type="cellIs" dxfId="371" priority="274" operator="equal">
      <formula>"Share"</formula>
    </cfRule>
  </conditionalFormatting>
  <conditionalFormatting sqref="V2265">
    <cfRule type="cellIs" dxfId="370" priority="273" operator="equal">
      <formula>"Share"</formula>
    </cfRule>
  </conditionalFormatting>
  <conditionalFormatting sqref="V2239:V2240">
    <cfRule type="cellIs" dxfId="369" priority="272" operator="equal">
      <formula>"Share"</formula>
    </cfRule>
  </conditionalFormatting>
  <conditionalFormatting sqref="V2538:V2547">
    <cfRule type="cellIs" dxfId="368" priority="271" operator="equal">
      <formula>"Share"</formula>
    </cfRule>
  </conditionalFormatting>
  <conditionalFormatting sqref="V2520:V2537">
    <cfRule type="cellIs" dxfId="367" priority="1446" operator="equal">
      <formula>"Share"</formula>
    </cfRule>
  </conditionalFormatting>
  <conditionalFormatting sqref="V2564:V2570">
    <cfRule type="cellIs" dxfId="366" priority="269" operator="equal">
      <formula>"Share"</formula>
    </cfRule>
  </conditionalFormatting>
  <conditionalFormatting sqref="V2563">
    <cfRule type="cellIs" dxfId="365" priority="268" operator="equal">
      <formula>"Share"</formula>
    </cfRule>
  </conditionalFormatting>
  <conditionalFormatting sqref="V2548">
    <cfRule type="cellIs" dxfId="364" priority="267" operator="equal">
      <formula>"Share"</formula>
    </cfRule>
  </conditionalFormatting>
  <conditionalFormatting sqref="V1937">
    <cfRule type="cellIs" dxfId="363" priority="266" operator="equal">
      <formula>"Share"</formula>
    </cfRule>
  </conditionalFormatting>
  <conditionalFormatting sqref="V1983:V1998">
    <cfRule type="cellIs" dxfId="362" priority="265" operator="equal">
      <formula>"Share"</formula>
    </cfRule>
  </conditionalFormatting>
  <conditionalFormatting sqref="V1968">
    <cfRule type="cellIs" dxfId="361" priority="264" operator="equal">
      <formula>"Share"</formula>
    </cfRule>
  </conditionalFormatting>
  <conditionalFormatting sqref="V2014:V2029">
    <cfRule type="cellIs" dxfId="360" priority="263" operator="equal">
      <formula>"Share"</formula>
    </cfRule>
  </conditionalFormatting>
  <conditionalFormatting sqref="V1560:V1572">
    <cfRule type="cellIs" dxfId="359" priority="262" operator="equal">
      <formula>"Share"</formula>
    </cfRule>
  </conditionalFormatting>
  <conditionalFormatting sqref="V2588:V2601">
    <cfRule type="cellIs" dxfId="358" priority="261" operator="equal">
      <formula>"Share"</formula>
    </cfRule>
  </conditionalFormatting>
  <conditionalFormatting sqref="V2574">
    <cfRule type="cellIs" dxfId="357" priority="1447" operator="equal">
      <formula>"Share"</formula>
    </cfRule>
  </conditionalFormatting>
  <conditionalFormatting sqref="V2575:V2587">
    <cfRule type="cellIs" dxfId="356" priority="259" operator="equal">
      <formula>"Share"</formula>
    </cfRule>
  </conditionalFormatting>
  <conditionalFormatting sqref="V1676:V1689">
    <cfRule type="cellIs" dxfId="355" priority="258" operator="equal">
      <formula>"Share"</formula>
    </cfRule>
  </conditionalFormatting>
  <conditionalFormatting sqref="V1691:V1694">
    <cfRule type="cellIs" dxfId="354" priority="257" operator="equal">
      <formula>"Share"</formula>
    </cfRule>
  </conditionalFormatting>
  <conditionalFormatting sqref="V1751:V1764">
    <cfRule type="cellIs" dxfId="353" priority="256" operator="equal">
      <formula>"Share"</formula>
    </cfRule>
  </conditionalFormatting>
  <conditionalFormatting sqref="V1765:V1769">
    <cfRule type="cellIs" dxfId="352" priority="255" operator="equal">
      <formula>"Share"</formula>
    </cfRule>
  </conditionalFormatting>
  <conditionalFormatting sqref="V1816">
    <cfRule type="cellIs" dxfId="351" priority="254" operator="equal">
      <formula>"Share"</formula>
    </cfRule>
  </conditionalFormatting>
  <conditionalFormatting sqref="V1595">
    <cfRule type="cellIs" dxfId="350" priority="253" operator="equal">
      <formula>"Share"</formula>
    </cfRule>
  </conditionalFormatting>
  <conditionalFormatting sqref="V1600">
    <cfRule type="cellIs" dxfId="349" priority="252" operator="equal">
      <formula>"Share"</formula>
    </cfRule>
  </conditionalFormatting>
  <conditionalFormatting sqref="V1898">
    <cfRule type="cellIs" dxfId="348" priority="251" operator="equal">
      <formula>"Share"</formula>
    </cfRule>
  </conditionalFormatting>
  <conditionalFormatting sqref="V1734">
    <cfRule type="cellIs" dxfId="347" priority="250" operator="equal">
      <formula>"Share"</formula>
    </cfRule>
  </conditionalFormatting>
  <conditionalFormatting sqref="V1666">
    <cfRule type="cellIs" dxfId="346" priority="249" operator="equal">
      <formula>"Share"</formula>
    </cfRule>
  </conditionalFormatting>
  <conditionalFormatting sqref="V1658">
    <cfRule type="cellIs" dxfId="345" priority="248" operator="equal">
      <formula>"Share"</formula>
    </cfRule>
  </conditionalFormatting>
  <conditionalFormatting sqref="V1852">
    <cfRule type="cellIs" dxfId="344" priority="247" operator="equal">
      <formula>"Share"</formula>
    </cfRule>
  </conditionalFormatting>
  <conditionalFormatting sqref="V1890">
    <cfRule type="cellIs" dxfId="343" priority="246" operator="equal">
      <formula>"Share"</formula>
    </cfRule>
  </conditionalFormatting>
  <conditionalFormatting sqref="V1770">
    <cfRule type="cellIs" dxfId="342" priority="245" operator="equal">
      <formula>"Share"</formula>
    </cfRule>
  </conditionalFormatting>
  <conditionalFormatting sqref="V1808">
    <cfRule type="cellIs" dxfId="341" priority="244" operator="equal">
      <formula>"Share"</formula>
    </cfRule>
  </conditionalFormatting>
  <conditionalFormatting sqref="V1695">
    <cfRule type="cellIs" dxfId="340" priority="243" operator="equal">
      <formula>"Share"</formula>
    </cfRule>
  </conditionalFormatting>
  <conditionalFormatting sqref="V1690">
    <cfRule type="cellIs" dxfId="339" priority="242" operator="equal">
      <formula>"Share"</formula>
    </cfRule>
  </conditionalFormatting>
  <conditionalFormatting sqref="V1726">
    <cfRule type="cellIs" dxfId="338" priority="241" operator="equal">
      <formula>"Share"</formula>
    </cfRule>
  </conditionalFormatting>
  <conditionalFormatting sqref="V2602:V2619">
    <cfRule type="cellIs" dxfId="337" priority="240" operator="equal">
      <formula>"Share"</formula>
    </cfRule>
  </conditionalFormatting>
  <conditionalFormatting sqref="V2067">
    <cfRule type="cellIs" dxfId="336" priority="239" operator="equal">
      <formula>"Share"</formula>
    </cfRule>
  </conditionalFormatting>
  <conditionalFormatting sqref="V2049">
    <cfRule type="cellIs" dxfId="335" priority="238" operator="equal">
      <formula>"Share"</formula>
    </cfRule>
  </conditionalFormatting>
  <conditionalFormatting sqref="V2636">
    <cfRule type="cellIs" dxfId="334" priority="237" operator="equal">
      <formula>"Share"</formula>
    </cfRule>
  </conditionalFormatting>
  <conditionalFormatting sqref="V2155:V2167">
    <cfRule type="cellIs" dxfId="333" priority="236" operator="equal">
      <formula>"Share"</formula>
    </cfRule>
  </conditionalFormatting>
  <conditionalFormatting sqref="V2620">
    <cfRule type="cellIs" dxfId="332" priority="235" operator="equal">
      <formula>"Share"</formula>
    </cfRule>
  </conditionalFormatting>
  <conditionalFormatting sqref="V327">
    <cfRule type="cellIs" dxfId="331" priority="233" operator="equal">
      <formula>"Share"</formula>
    </cfRule>
  </conditionalFormatting>
  <conditionalFormatting sqref="R335:R338">
    <cfRule type="cellIs" dxfId="330" priority="232" operator="equal">
      <formula>"Share"</formula>
    </cfRule>
  </conditionalFormatting>
  <conditionalFormatting sqref="R111">
    <cfRule type="cellIs" dxfId="329" priority="231" operator="equal">
      <formula>"Share"</formula>
    </cfRule>
  </conditionalFormatting>
  <conditionalFormatting sqref="R10:R13">
    <cfRule type="cellIs" dxfId="328" priority="230" operator="equal">
      <formula>"Share"</formula>
    </cfRule>
  </conditionalFormatting>
  <conditionalFormatting sqref="V14:V17">
    <cfRule type="cellIs" dxfId="327" priority="229" operator="equal">
      <formula>"Share"</formula>
    </cfRule>
  </conditionalFormatting>
  <conditionalFormatting sqref="V339:V342">
    <cfRule type="cellIs" dxfId="326" priority="228" operator="equal">
      <formula>"Share"</formula>
    </cfRule>
  </conditionalFormatting>
  <conditionalFormatting sqref="V335:V338">
    <cfRule type="cellIs" dxfId="325" priority="227" operator="equal">
      <formula>"Share"</formula>
    </cfRule>
  </conditionalFormatting>
  <conditionalFormatting sqref="R2638:T2644 R2653:T2657 S2645:T2652 P2638:P2657 AA2638:AB2657 W2638:X2652 B2638:F2657 V2653:X2657 V2638:V2644">
    <cfRule type="cellIs" dxfId="324" priority="225" operator="equal">
      <formula>"Share"</formula>
    </cfRule>
  </conditionalFormatting>
  <conditionalFormatting sqref="R2649:R2652">
    <cfRule type="cellIs" dxfId="323" priority="224" operator="equal">
      <formula>"Share"</formula>
    </cfRule>
  </conditionalFormatting>
  <conditionalFormatting sqref="R2645:R2648">
    <cfRule type="cellIs" dxfId="322" priority="223" operator="equal">
      <formula>"Share"</formula>
    </cfRule>
  </conditionalFormatting>
  <conditionalFormatting sqref="V2649:V2652">
    <cfRule type="cellIs" dxfId="321" priority="222" operator="equal">
      <formula>"Share"</formula>
    </cfRule>
  </conditionalFormatting>
  <conditionalFormatting sqref="V2645:V2648">
    <cfRule type="cellIs" dxfId="320" priority="221" operator="equal">
      <formula>"Share"</formula>
    </cfRule>
  </conditionalFormatting>
  <conditionalFormatting sqref="B2637:E2637 R2637:U2637 P2637 AA2637:AB2637 W2637:X2637">
    <cfRule type="cellIs" dxfId="319" priority="220" operator="equal">
      <formula>"Share"</formula>
    </cfRule>
  </conditionalFormatting>
  <conditionalFormatting sqref="V2637">
    <cfRule type="cellIs" dxfId="318" priority="219" operator="equal">
      <formula>"Share"</formula>
    </cfRule>
  </conditionalFormatting>
  <conditionalFormatting sqref="F2637">
    <cfRule type="cellIs" dxfId="317" priority="218" operator="equal">
      <formula>"Share"</formula>
    </cfRule>
  </conditionalFormatting>
  <conditionalFormatting sqref="U2638:U2643">
    <cfRule type="cellIs" dxfId="316" priority="217" operator="equal">
      <formula>"Share"</formula>
    </cfRule>
  </conditionalFormatting>
  <conditionalFormatting sqref="U2644:U2657">
    <cfRule type="cellIs" dxfId="315" priority="216" operator="equal">
      <formula>"Share"</formula>
    </cfRule>
  </conditionalFormatting>
  <conditionalFormatting sqref="P2658 B2658:F2658 AA2658:AB2658">
    <cfRule type="cellIs" dxfId="314" priority="210" operator="equal">
      <formula>"Share"</formula>
    </cfRule>
  </conditionalFormatting>
  <conditionalFormatting sqref="F2659">
    <cfRule type="cellIs" dxfId="313" priority="209" operator="equal">
      <formula>"Share"</formula>
    </cfRule>
  </conditionalFormatting>
  <conditionalFormatting sqref="B2659:D2659">
    <cfRule type="cellIs" dxfId="312" priority="208" operator="equal">
      <formula>"Share"</formula>
    </cfRule>
  </conditionalFormatting>
  <conditionalFormatting sqref="AA2659">
    <cfRule type="cellIs" dxfId="311" priority="207" operator="equal">
      <formula>"Share"</formula>
    </cfRule>
  </conditionalFormatting>
  <conditionalFormatting sqref="E2659">
    <cfRule type="cellIs" dxfId="310" priority="206" operator="equal">
      <formula>"Share"</formula>
    </cfRule>
  </conditionalFormatting>
  <conditionalFormatting sqref="AB2660 F2660">
    <cfRule type="cellIs" dxfId="309" priority="205" operator="equal">
      <formula>"Share"</formula>
    </cfRule>
  </conditionalFormatting>
  <conditionalFormatting sqref="B2660:E2660">
    <cfRule type="cellIs" dxfId="308" priority="204" operator="equal">
      <formula>"Share"</formula>
    </cfRule>
  </conditionalFormatting>
  <conditionalFormatting sqref="E2660">
    <cfRule type="cellIs" dxfId="307" priority="203" operator="equal">
      <formula>"Share"</formula>
    </cfRule>
  </conditionalFormatting>
  <conditionalFormatting sqref="R2658:T2660">
    <cfRule type="cellIs" dxfId="306" priority="202" operator="equal">
      <formula>"Share"</formula>
    </cfRule>
  </conditionalFormatting>
  <conditionalFormatting sqref="X2658:X2660">
    <cfRule type="cellIs" dxfId="305" priority="201" operator="equal">
      <formula>"Share"</formula>
    </cfRule>
  </conditionalFormatting>
  <conditionalFormatting sqref="U2658:U2660">
    <cfRule type="cellIs" dxfId="304" priority="200" operator="equal">
      <formula>"Share"</formula>
    </cfRule>
  </conditionalFormatting>
  <conditionalFormatting sqref="Z2658:Z2660">
    <cfRule type="cellIs" dxfId="303" priority="199" operator="equal">
      <formula>"Share"</formula>
    </cfRule>
  </conditionalFormatting>
  <conditionalFormatting sqref="W2658:W2660">
    <cfRule type="cellIs" dxfId="302" priority="198" operator="equal">
      <formula>"Share"</formula>
    </cfRule>
  </conditionalFormatting>
  <conditionalFormatting sqref="V2658:V2660">
    <cfRule type="cellIs" dxfId="301" priority="197" operator="equal">
      <formula>"Share"</formula>
    </cfRule>
  </conditionalFormatting>
  <conditionalFormatting sqref="V129">
    <cfRule type="cellIs" dxfId="300" priority="193" operator="equal">
      <formula>"Share"</formula>
    </cfRule>
  </conditionalFormatting>
  <conditionalFormatting sqref="V236">
    <cfRule type="cellIs" dxfId="299" priority="192" operator="equal">
      <formula>"Share"</formula>
    </cfRule>
  </conditionalFormatting>
  <conditionalFormatting sqref="V2377">
    <cfRule type="cellIs" dxfId="298" priority="191" operator="equal">
      <formula>"Share"</formula>
    </cfRule>
  </conditionalFormatting>
  <conditionalFormatting sqref="V2405">
    <cfRule type="cellIs" dxfId="297" priority="190" operator="equal">
      <formula>"Share"</formula>
    </cfRule>
  </conditionalFormatting>
  <conditionalFormatting sqref="R2617 R2608 R2598 R2425 R2421 R2407 R2393 R2379 R2365 R2351 R2338 R2112 R2089 R2028 R1997 R1966 R1901 R1895 R1849 R1813 R1767 R1731 R1692 R1663 R1618 R1583 R1352 R1347 R1316 R1283 R1250 R1219 R1188 R1157 R1126 R1095 R1064 R1033 R1002 R971 R940 R596 R589 R582 R575 R568 R561 R554 R547 R540 R533 R526">
    <cfRule type="cellIs" dxfId="296" priority="189" operator="equal">
      <formula>"Share"</formula>
    </cfRule>
  </conditionalFormatting>
  <conditionalFormatting sqref="W2683:W2691 E2683:E2691 S2683:T2691">
    <cfRule type="cellIs" dxfId="295" priority="188" operator="equal">
      <formula>"Share"</formula>
    </cfRule>
  </conditionalFormatting>
  <conditionalFormatting sqref="C2683:D2684">
    <cfRule type="cellIs" dxfId="294" priority="187" operator="equal">
      <formula>"Share"</formula>
    </cfRule>
  </conditionalFormatting>
  <conditionalFormatting sqref="F2683:F2691">
    <cfRule type="cellIs" dxfId="293" priority="186" operator="equal">
      <formula>"Share"</formula>
    </cfRule>
  </conditionalFormatting>
  <conditionalFormatting sqref="P2683:P2691">
    <cfRule type="cellIs" dxfId="292" priority="185" operator="equal">
      <formula>"Share"</formula>
    </cfRule>
  </conditionalFormatting>
  <conditionalFormatting sqref="X2683:X2691">
    <cfRule type="cellIs" dxfId="291" priority="184" operator="equal">
      <formula>"Share"</formula>
    </cfRule>
  </conditionalFormatting>
  <conditionalFormatting sqref="AA2683:AA2691">
    <cfRule type="cellIs" dxfId="290" priority="183" operator="equal">
      <formula>"Share"</formula>
    </cfRule>
  </conditionalFormatting>
  <conditionalFormatting sqref="R2683:R2691">
    <cfRule type="cellIs" dxfId="289" priority="182" operator="equal">
      <formula>"Share"</formula>
    </cfRule>
  </conditionalFormatting>
  <conditionalFormatting sqref="AB2683:AB2691">
    <cfRule type="cellIs" dxfId="288" priority="181" operator="equal">
      <formula>"Share"</formula>
    </cfRule>
  </conditionalFormatting>
  <conditionalFormatting sqref="U2683:U2691">
    <cfRule type="cellIs" dxfId="287" priority="180" operator="equal">
      <formula>"Share"</formula>
    </cfRule>
  </conditionalFormatting>
  <conditionalFormatting sqref="V2683:V2691">
    <cfRule type="cellIs" dxfId="286" priority="179" operator="equal">
      <formula>"Share"</formula>
    </cfRule>
  </conditionalFormatting>
  <conditionalFormatting sqref="B2683:B2691">
    <cfRule type="cellIs" dxfId="285" priority="178" operator="equal">
      <formula>"Share"</formula>
    </cfRule>
  </conditionalFormatting>
  <conditionalFormatting sqref="C2685:D2685">
    <cfRule type="cellIs" dxfId="284" priority="177" operator="equal">
      <formula>"Share"</formula>
    </cfRule>
  </conditionalFormatting>
  <conditionalFormatting sqref="C2687:D2687 C2689:D2689">
    <cfRule type="cellIs" dxfId="283" priority="176" operator="equal">
      <formula>"Share"</formula>
    </cfRule>
  </conditionalFormatting>
  <conditionalFormatting sqref="S2692">
    <cfRule type="cellIs" dxfId="282" priority="175" operator="equal">
      <formula>"Share"</formula>
    </cfRule>
  </conditionalFormatting>
  <conditionalFormatting sqref="R2692 R2697">
    <cfRule type="cellIs" dxfId="281" priority="174" operator="equal">
      <formula>"Share"</formula>
    </cfRule>
  </conditionalFormatting>
  <conditionalFormatting sqref="T2692">
    <cfRule type="cellIs" dxfId="280" priority="173" operator="equal">
      <formula>"Share"</formula>
    </cfRule>
  </conditionalFormatting>
  <conditionalFormatting sqref="R2693">
    <cfRule type="cellIs" dxfId="279" priority="172" operator="equal">
      <formula>"Share"</formula>
    </cfRule>
  </conditionalFormatting>
  <conditionalFormatting sqref="R2694:R2696">
    <cfRule type="cellIs" dxfId="278" priority="171" operator="equal">
      <formula>"Share"</formula>
    </cfRule>
  </conditionalFormatting>
  <conditionalFormatting sqref="W2698:W2706 T2698:T2706">
    <cfRule type="cellIs" dxfId="277" priority="170" operator="equal">
      <formula>"Share"</formula>
    </cfRule>
  </conditionalFormatting>
  <conditionalFormatting sqref="P2698:P2706">
    <cfRule type="cellIs" dxfId="276" priority="169" operator="equal">
      <formula>"Share"</formula>
    </cfRule>
  </conditionalFormatting>
  <conditionalFormatting sqref="X2698:X2706">
    <cfRule type="cellIs" dxfId="275" priority="168" operator="equal">
      <formula>"Share"</formula>
    </cfRule>
  </conditionalFormatting>
  <conditionalFormatting sqref="AA2698:AA2706">
    <cfRule type="cellIs" dxfId="274" priority="167" operator="equal">
      <formula>"Share"</formula>
    </cfRule>
  </conditionalFormatting>
  <conditionalFormatting sqref="AB2698:AB2706">
    <cfRule type="cellIs" dxfId="273" priority="166" operator="equal">
      <formula>"Share"</formula>
    </cfRule>
  </conditionalFormatting>
  <conditionalFormatting sqref="B2698:F2699">
    <cfRule type="cellIs" dxfId="272" priority="165" operator="equal">
      <formula>"Share"</formula>
    </cfRule>
  </conditionalFormatting>
  <conditionalFormatting sqref="B2700:F2700">
    <cfRule type="cellIs" dxfId="271" priority="164" operator="equal">
      <formula>"Share"</formula>
    </cfRule>
  </conditionalFormatting>
  <conditionalFormatting sqref="B2702:F2702">
    <cfRule type="cellIs" dxfId="270" priority="163" operator="equal">
      <formula>"Share"</formula>
    </cfRule>
  </conditionalFormatting>
  <conditionalFormatting sqref="AB2707:AB2712">
    <cfRule type="cellIs" dxfId="269" priority="162" operator="equal">
      <formula>"Share"</formula>
    </cfRule>
  </conditionalFormatting>
  <conditionalFormatting sqref="W2707:W2712">
    <cfRule type="cellIs" dxfId="268" priority="161" operator="equal">
      <formula>"Share"</formula>
    </cfRule>
  </conditionalFormatting>
  <conditionalFormatting sqref="V2707:V2712">
    <cfRule type="cellIs" dxfId="267" priority="160" operator="equal">
      <formula>"Share"</formula>
    </cfRule>
  </conditionalFormatting>
  <conditionalFormatting sqref="U2707">
    <cfRule type="cellIs" dxfId="266" priority="159" operator="equal">
      <formula>"Share"</formula>
    </cfRule>
  </conditionalFormatting>
  <conditionalFormatting sqref="P2713:P2721">
    <cfRule type="cellIs" dxfId="265" priority="158" operator="equal">
      <formula>"Share"</formula>
    </cfRule>
  </conditionalFormatting>
  <conditionalFormatting sqref="X2713:X2721">
    <cfRule type="cellIs" dxfId="264" priority="157" operator="equal">
      <formula>"Share"</formula>
    </cfRule>
  </conditionalFormatting>
  <conditionalFormatting sqref="AA2713:AA2721">
    <cfRule type="cellIs" dxfId="263" priority="156" operator="equal">
      <formula>"Share"</formula>
    </cfRule>
  </conditionalFormatting>
  <conditionalFormatting sqref="AB2713:AB2721">
    <cfRule type="cellIs" dxfId="262" priority="155" operator="equal">
      <formula>"Share"</formula>
    </cfRule>
  </conditionalFormatting>
  <conditionalFormatting sqref="B2713:D2727">
    <cfRule type="cellIs" dxfId="261" priority="154" operator="equal">
      <formula>"Share"</formula>
    </cfRule>
  </conditionalFormatting>
  <conditionalFormatting sqref="W2728:W2736">
    <cfRule type="cellIs" dxfId="260" priority="153" operator="equal">
      <formula>"Share"</formula>
    </cfRule>
  </conditionalFormatting>
  <conditionalFormatting sqref="P2728:P2736">
    <cfRule type="cellIs" dxfId="259" priority="152" operator="equal">
      <formula>"Share"</formula>
    </cfRule>
  </conditionalFormatting>
  <conditionalFormatting sqref="X2728:X2736">
    <cfRule type="cellIs" dxfId="258" priority="151" operator="equal">
      <formula>"Share"</formula>
    </cfRule>
  </conditionalFormatting>
  <conditionalFormatting sqref="AA2728:AA2736">
    <cfRule type="cellIs" dxfId="257" priority="150" operator="equal">
      <formula>"Share"</formula>
    </cfRule>
  </conditionalFormatting>
  <conditionalFormatting sqref="AB2728:AB2736">
    <cfRule type="cellIs" dxfId="256" priority="149" operator="equal">
      <formula>"Share"</formula>
    </cfRule>
  </conditionalFormatting>
  <conditionalFormatting sqref="B2728:F2729">
    <cfRule type="cellIs" dxfId="255" priority="148" operator="equal">
      <formula>"Share"</formula>
    </cfRule>
  </conditionalFormatting>
  <conditionalFormatting sqref="B2730:F2730">
    <cfRule type="cellIs" dxfId="254" priority="147" operator="equal">
      <formula>"Share"</formula>
    </cfRule>
  </conditionalFormatting>
  <conditionalFormatting sqref="B2732:F2732">
    <cfRule type="cellIs" dxfId="253" priority="146" operator="equal">
      <formula>"Share"</formula>
    </cfRule>
  </conditionalFormatting>
  <conditionalFormatting sqref="AB2737:AB2742">
    <cfRule type="cellIs" dxfId="252" priority="145" operator="equal">
      <formula>"Share"</formula>
    </cfRule>
  </conditionalFormatting>
  <conditionalFormatting sqref="W2737:W2742">
    <cfRule type="cellIs" dxfId="251" priority="144" operator="equal">
      <formula>"Share"</formula>
    </cfRule>
  </conditionalFormatting>
  <conditionalFormatting sqref="W2743:W2751">
    <cfRule type="cellIs" dxfId="250" priority="143" operator="equal">
      <formula>"Share"</formula>
    </cfRule>
  </conditionalFormatting>
  <conditionalFormatting sqref="P2743:P2751">
    <cfRule type="cellIs" dxfId="249" priority="142" operator="equal">
      <formula>"Share"</formula>
    </cfRule>
  </conditionalFormatting>
  <conditionalFormatting sqref="X2743:X2751">
    <cfRule type="cellIs" dxfId="248" priority="141" operator="equal">
      <formula>"Share"</formula>
    </cfRule>
  </conditionalFormatting>
  <conditionalFormatting sqref="AA2743:AA2751">
    <cfRule type="cellIs" dxfId="247" priority="140" operator="equal">
      <formula>"Share"</formula>
    </cfRule>
  </conditionalFormatting>
  <conditionalFormatting sqref="AB2743:AB2751">
    <cfRule type="cellIs" dxfId="246" priority="139" operator="equal">
      <formula>"Share"</formula>
    </cfRule>
  </conditionalFormatting>
  <conditionalFormatting sqref="B2743:F2744">
    <cfRule type="cellIs" dxfId="245" priority="138" operator="equal">
      <formula>"Share"</formula>
    </cfRule>
  </conditionalFormatting>
  <conditionalFormatting sqref="B2745:F2745">
    <cfRule type="cellIs" dxfId="244" priority="137" operator="equal">
      <formula>"Share"</formula>
    </cfRule>
  </conditionalFormatting>
  <conditionalFormatting sqref="B2747:F2747">
    <cfRule type="cellIs" dxfId="243" priority="136" operator="equal">
      <formula>"Share"</formula>
    </cfRule>
  </conditionalFormatting>
  <conditionalFormatting sqref="AB2752:AB2757">
    <cfRule type="cellIs" dxfId="242" priority="135" operator="equal">
      <formula>"Share"</formula>
    </cfRule>
  </conditionalFormatting>
  <conditionalFormatting sqref="W2752:W2757">
    <cfRule type="cellIs" dxfId="241" priority="134" operator="equal">
      <formula>"Share"</formula>
    </cfRule>
  </conditionalFormatting>
  <conditionalFormatting sqref="W2758:W2766">
    <cfRule type="cellIs" dxfId="240" priority="133" operator="equal">
      <formula>"Share"</formula>
    </cfRule>
  </conditionalFormatting>
  <conditionalFormatting sqref="P2758:P2766">
    <cfRule type="cellIs" dxfId="239" priority="132" operator="equal">
      <formula>"Share"</formula>
    </cfRule>
  </conditionalFormatting>
  <conditionalFormatting sqref="X2758:X2766">
    <cfRule type="cellIs" dxfId="238" priority="131" operator="equal">
      <formula>"Share"</formula>
    </cfRule>
  </conditionalFormatting>
  <conditionalFormatting sqref="AA2758:AA2766">
    <cfRule type="cellIs" dxfId="237" priority="130" operator="equal">
      <formula>"Share"</formula>
    </cfRule>
  </conditionalFormatting>
  <conditionalFormatting sqref="AB2758:AB2766">
    <cfRule type="cellIs" dxfId="236" priority="129" operator="equal">
      <formula>"Share"</formula>
    </cfRule>
  </conditionalFormatting>
  <conditionalFormatting sqref="B2760 B2775 B2773:F2774 B2777 B2776:F2776 B2778:F2781 B2758:F2759 B2762 B2761:F2761 B2767:B2772 B2763:F2766 B2782:B2797">
    <cfRule type="cellIs" dxfId="235" priority="128" operator="equal">
      <formula>"Share"</formula>
    </cfRule>
  </conditionalFormatting>
  <conditionalFormatting sqref="B2760:F2760">
    <cfRule type="cellIs" dxfId="234" priority="127" operator="equal">
      <formula>"Share"</formula>
    </cfRule>
  </conditionalFormatting>
  <conditionalFormatting sqref="B2762:F2762">
    <cfRule type="cellIs" dxfId="233" priority="126" operator="equal">
      <formula>"Share"</formula>
    </cfRule>
  </conditionalFormatting>
  <conditionalFormatting sqref="AB2767:AB2772">
    <cfRule type="cellIs" dxfId="232" priority="125" operator="equal">
      <formula>"Share"</formula>
    </cfRule>
  </conditionalFormatting>
  <conditionalFormatting sqref="W2767:W2772">
    <cfRule type="cellIs" dxfId="231" priority="124" operator="equal">
      <formula>"Share"</formula>
    </cfRule>
  </conditionalFormatting>
  <conditionalFormatting sqref="W2773:W2781">
    <cfRule type="cellIs" dxfId="230" priority="123" operator="equal">
      <formula>"Share"</formula>
    </cfRule>
  </conditionalFormatting>
  <conditionalFormatting sqref="P2773:P2781">
    <cfRule type="cellIs" dxfId="229" priority="122" operator="equal">
      <formula>"Share"</formula>
    </cfRule>
  </conditionalFormatting>
  <conditionalFormatting sqref="X2773:X2781">
    <cfRule type="cellIs" dxfId="228" priority="121" operator="equal">
      <formula>"Share"</formula>
    </cfRule>
  </conditionalFormatting>
  <conditionalFormatting sqref="AA2773:AA2781">
    <cfRule type="cellIs" dxfId="227" priority="120" operator="equal">
      <formula>"Share"</formula>
    </cfRule>
  </conditionalFormatting>
  <conditionalFormatting sqref="AB2773:AB2781">
    <cfRule type="cellIs" dxfId="226" priority="119" operator="equal">
      <formula>"Share"</formula>
    </cfRule>
  </conditionalFormatting>
  <conditionalFormatting sqref="B2775:F2775">
    <cfRule type="cellIs" dxfId="225" priority="118" operator="equal">
      <formula>"Share"</formula>
    </cfRule>
  </conditionalFormatting>
  <conditionalFormatting sqref="B2777:F2777">
    <cfRule type="cellIs" dxfId="224" priority="117" operator="equal">
      <formula>"Share"</formula>
    </cfRule>
  </conditionalFormatting>
  <conditionalFormatting sqref="AB2782:AB2787">
    <cfRule type="cellIs" dxfId="223" priority="116" operator="equal">
      <formula>"Share"</formula>
    </cfRule>
  </conditionalFormatting>
  <conditionalFormatting sqref="W2782:W2787">
    <cfRule type="cellIs" dxfId="222" priority="115" operator="equal">
      <formula>"Share"</formula>
    </cfRule>
  </conditionalFormatting>
  <conditionalFormatting sqref="C2686:D2686">
    <cfRule type="cellIs" dxfId="221" priority="114" operator="equal">
      <formula>"Share"</formula>
    </cfRule>
  </conditionalFormatting>
  <conditionalFormatting sqref="C2688:D2688">
    <cfRule type="cellIs" dxfId="220" priority="113" operator="equal">
      <formula>"Share"</formula>
    </cfRule>
  </conditionalFormatting>
  <conditionalFormatting sqref="C2690:D2691">
    <cfRule type="cellIs" dxfId="219" priority="112" operator="equal">
      <formula>"Share"</formula>
    </cfRule>
  </conditionalFormatting>
  <conditionalFormatting sqref="R2678">
    <cfRule type="cellIs" dxfId="218" priority="111" operator="equal">
      <formula>"Share"</formula>
    </cfRule>
  </conditionalFormatting>
  <conditionalFormatting sqref="W2713:W2721 S2713:T2721">
    <cfRule type="cellIs" dxfId="217" priority="110" operator="equal">
      <formula>"Share"</formula>
    </cfRule>
  </conditionalFormatting>
  <conditionalFormatting sqref="R2713:R2721">
    <cfRule type="cellIs" dxfId="216" priority="109" operator="equal">
      <formula>"Share"</formula>
    </cfRule>
  </conditionalFormatting>
  <conditionalFormatting sqref="U2713:U2721">
    <cfRule type="cellIs" dxfId="215" priority="108" operator="equal">
      <formula>"Share"</formula>
    </cfRule>
  </conditionalFormatting>
  <conditionalFormatting sqref="V2714 V2716:V2721">
    <cfRule type="cellIs" dxfId="214" priority="107" operator="equal">
      <formula>"Share"</formula>
    </cfRule>
  </conditionalFormatting>
  <conditionalFormatting sqref="S2722">
    <cfRule type="cellIs" dxfId="213" priority="106" operator="equal">
      <formula>"Share"</formula>
    </cfRule>
  </conditionalFormatting>
  <conditionalFormatting sqref="R2722 R2727">
    <cfRule type="cellIs" dxfId="212" priority="105" operator="equal">
      <formula>"Share"</formula>
    </cfRule>
  </conditionalFormatting>
  <conditionalFormatting sqref="T2722">
    <cfRule type="cellIs" dxfId="211" priority="104" operator="equal">
      <formula>"Share"</formula>
    </cfRule>
  </conditionalFormatting>
  <conditionalFormatting sqref="R2723">
    <cfRule type="cellIs" dxfId="210" priority="103" operator="equal">
      <formula>"Share"</formula>
    </cfRule>
  </conditionalFormatting>
  <conditionalFormatting sqref="R2724:R2726">
    <cfRule type="cellIs" dxfId="209" priority="102" operator="equal">
      <formula>"Share"</formula>
    </cfRule>
  </conditionalFormatting>
  <conditionalFormatting sqref="B2701:F2701">
    <cfRule type="cellIs" dxfId="208" priority="101" operator="equal">
      <formula>"Share"</formula>
    </cfRule>
  </conditionalFormatting>
  <conditionalFormatting sqref="B2703:F2706">
    <cfRule type="cellIs" dxfId="207" priority="100" operator="equal">
      <formula>"Share"</formula>
    </cfRule>
  </conditionalFormatting>
  <conditionalFormatting sqref="R2698:R2706">
    <cfRule type="cellIs" dxfId="206" priority="99" operator="equal">
      <formula>"Share"</formula>
    </cfRule>
  </conditionalFormatting>
  <conditionalFormatting sqref="S2698:S2706">
    <cfRule type="cellIs" dxfId="205" priority="98" operator="equal">
      <formula>"Share"</formula>
    </cfRule>
  </conditionalFormatting>
  <conditionalFormatting sqref="U2703:U2706">
    <cfRule type="cellIs" dxfId="204" priority="97" operator="equal">
      <formula>"Share"</formula>
    </cfRule>
  </conditionalFormatting>
  <conditionalFormatting sqref="V2703:V2706">
    <cfRule type="cellIs" dxfId="203" priority="96" operator="equal">
      <formula>"Share"</formula>
    </cfRule>
  </conditionalFormatting>
  <conditionalFormatting sqref="R2712">
    <cfRule type="cellIs" dxfId="202" priority="95" operator="equal">
      <formula>"Share"</formula>
    </cfRule>
  </conditionalFormatting>
  <conditionalFormatting sqref="R2708">
    <cfRule type="cellIs" dxfId="201" priority="94" operator="equal">
      <formula>"Share"</formula>
    </cfRule>
  </conditionalFormatting>
  <conditionalFormatting sqref="R2709:R2711">
    <cfRule type="cellIs" dxfId="200" priority="93" operator="equal">
      <formula>"Share"</formula>
    </cfRule>
  </conditionalFormatting>
  <conditionalFormatting sqref="U2698:U2702">
    <cfRule type="cellIs" dxfId="199" priority="92" operator="equal">
      <formula>"Share"</formula>
    </cfRule>
  </conditionalFormatting>
  <conditionalFormatting sqref="V2698:V2702">
    <cfRule type="cellIs" dxfId="198" priority="91" operator="equal">
      <formula>"Share"</formula>
    </cfRule>
  </conditionalFormatting>
  <conditionalFormatting sqref="B2746:F2746">
    <cfRule type="cellIs" dxfId="197" priority="90" operator="equal">
      <formula>"Share"</formula>
    </cfRule>
  </conditionalFormatting>
  <conditionalFormatting sqref="B2748:F2751">
    <cfRule type="cellIs" dxfId="196" priority="89" operator="equal">
      <formula>"Share"</formula>
    </cfRule>
  </conditionalFormatting>
  <conditionalFormatting sqref="T2743:T2751">
    <cfRule type="cellIs" dxfId="195" priority="88" operator="equal">
      <formula>"Share"</formula>
    </cfRule>
  </conditionalFormatting>
  <conditionalFormatting sqref="V2752:V2757">
    <cfRule type="cellIs" dxfId="194" priority="87" operator="equal">
      <formula>"Share"</formula>
    </cfRule>
  </conditionalFormatting>
  <conditionalFormatting sqref="U2752">
    <cfRule type="cellIs" dxfId="193" priority="86" operator="equal">
      <formula>"Share"</formula>
    </cfRule>
  </conditionalFormatting>
  <conditionalFormatting sqref="R2743:R2751">
    <cfRule type="cellIs" dxfId="192" priority="85" operator="equal">
      <formula>"Share"</formula>
    </cfRule>
  </conditionalFormatting>
  <conditionalFormatting sqref="S2743:S2751">
    <cfRule type="cellIs" dxfId="191" priority="84" operator="equal">
      <formula>"Share"</formula>
    </cfRule>
  </conditionalFormatting>
  <conditionalFormatting sqref="U2748:U2751">
    <cfRule type="cellIs" dxfId="190" priority="83" operator="equal">
      <formula>"Share"</formula>
    </cfRule>
  </conditionalFormatting>
  <conditionalFormatting sqref="V2748:V2751">
    <cfRule type="cellIs" dxfId="189" priority="82" operator="equal">
      <formula>"Share"</formula>
    </cfRule>
  </conditionalFormatting>
  <conditionalFormatting sqref="R2757">
    <cfRule type="cellIs" dxfId="188" priority="81" operator="equal">
      <formula>"Share"</formula>
    </cfRule>
  </conditionalFormatting>
  <conditionalFormatting sqref="R2753">
    <cfRule type="cellIs" dxfId="187" priority="80" operator="equal">
      <formula>"Share"</formula>
    </cfRule>
  </conditionalFormatting>
  <conditionalFormatting sqref="R2754:R2756">
    <cfRule type="cellIs" dxfId="186" priority="79" operator="equal">
      <formula>"Share"</formula>
    </cfRule>
  </conditionalFormatting>
  <conditionalFormatting sqref="U2743:U2747">
    <cfRule type="cellIs" dxfId="185" priority="78" operator="equal">
      <formula>"Share"</formula>
    </cfRule>
  </conditionalFormatting>
  <conditionalFormatting sqref="V2743:V2747">
    <cfRule type="cellIs" dxfId="184" priority="77" operator="equal">
      <formula>"Share"</formula>
    </cfRule>
  </conditionalFormatting>
  <conditionalFormatting sqref="B2731:F2731">
    <cfRule type="cellIs" dxfId="183" priority="76" operator="equal">
      <formula>"Share"</formula>
    </cfRule>
  </conditionalFormatting>
  <conditionalFormatting sqref="B2733:F2736">
    <cfRule type="cellIs" dxfId="182" priority="75" operator="equal">
      <formula>"Share"</formula>
    </cfRule>
  </conditionalFormatting>
  <conditionalFormatting sqref="T2728:T2736">
    <cfRule type="cellIs" dxfId="181" priority="74" operator="equal">
      <formula>"Share"</formula>
    </cfRule>
  </conditionalFormatting>
  <conditionalFormatting sqref="V2737:V2742">
    <cfRule type="cellIs" dxfId="180" priority="73" operator="equal">
      <formula>"Share"</formula>
    </cfRule>
  </conditionalFormatting>
  <conditionalFormatting sqref="U2737">
    <cfRule type="cellIs" dxfId="179" priority="72" operator="equal">
      <formula>"Share"</formula>
    </cfRule>
  </conditionalFormatting>
  <conditionalFormatting sqref="R2728:R2736">
    <cfRule type="cellIs" dxfId="178" priority="71" operator="equal">
      <formula>"Share"</formula>
    </cfRule>
  </conditionalFormatting>
  <conditionalFormatting sqref="S2728:S2736">
    <cfRule type="cellIs" dxfId="177" priority="70" operator="equal">
      <formula>"Share"</formula>
    </cfRule>
  </conditionalFormatting>
  <conditionalFormatting sqref="U2733:U2736">
    <cfRule type="cellIs" dxfId="176" priority="69" operator="equal">
      <formula>"Share"</formula>
    </cfRule>
  </conditionalFormatting>
  <conditionalFormatting sqref="V2733:V2736">
    <cfRule type="cellIs" dxfId="175" priority="68" operator="equal">
      <formula>"Share"</formula>
    </cfRule>
  </conditionalFormatting>
  <conditionalFormatting sqref="R2742">
    <cfRule type="cellIs" dxfId="174" priority="67" operator="equal">
      <formula>"Share"</formula>
    </cfRule>
  </conditionalFormatting>
  <conditionalFormatting sqref="R2738">
    <cfRule type="cellIs" dxfId="173" priority="66" operator="equal">
      <formula>"Share"</formula>
    </cfRule>
  </conditionalFormatting>
  <conditionalFormatting sqref="R2739:R2741">
    <cfRule type="cellIs" dxfId="172" priority="65" operator="equal">
      <formula>"Share"</formula>
    </cfRule>
  </conditionalFormatting>
  <conditionalFormatting sqref="U2728:U2732">
    <cfRule type="cellIs" dxfId="171" priority="64" operator="equal">
      <formula>"Share"</formula>
    </cfRule>
  </conditionalFormatting>
  <conditionalFormatting sqref="V2728:V2732">
    <cfRule type="cellIs" dxfId="170" priority="63" operator="equal">
      <formula>"Share"</formula>
    </cfRule>
  </conditionalFormatting>
  <conditionalFormatting sqref="T2773:T2781">
    <cfRule type="cellIs" dxfId="169" priority="62" operator="equal">
      <formula>"Share"</formula>
    </cfRule>
  </conditionalFormatting>
  <conditionalFormatting sqref="V2782:V2787">
    <cfRule type="cellIs" dxfId="168" priority="61" operator="equal">
      <formula>"Share"</formula>
    </cfRule>
  </conditionalFormatting>
  <conditionalFormatting sqref="U2782">
    <cfRule type="cellIs" dxfId="167" priority="60" operator="equal">
      <formula>"Share"</formula>
    </cfRule>
  </conditionalFormatting>
  <conditionalFormatting sqref="R2773:R2781">
    <cfRule type="cellIs" dxfId="166" priority="59" operator="equal">
      <formula>"Share"</formula>
    </cfRule>
  </conditionalFormatting>
  <conditionalFormatting sqref="S2773:S2781">
    <cfRule type="cellIs" dxfId="165" priority="58" operator="equal">
      <formula>"Share"</formula>
    </cfRule>
  </conditionalFormatting>
  <conditionalFormatting sqref="U2778:U2781">
    <cfRule type="cellIs" dxfId="164" priority="57" operator="equal">
      <formula>"Share"</formula>
    </cfRule>
  </conditionalFormatting>
  <conditionalFormatting sqref="V2778:V2781">
    <cfRule type="cellIs" dxfId="163" priority="56" operator="equal">
      <formula>"Share"</formula>
    </cfRule>
  </conditionalFormatting>
  <conditionalFormatting sqref="R2787">
    <cfRule type="cellIs" dxfId="162" priority="55" operator="equal">
      <formula>"Share"</formula>
    </cfRule>
  </conditionalFormatting>
  <conditionalFormatting sqref="R2783">
    <cfRule type="cellIs" dxfId="161" priority="54" operator="equal">
      <formula>"Share"</formula>
    </cfRule>
  </conditionalFormatting>
  <conditionalFormatting sqref="R2784:R2786">
    <cfRule type="cellIs" dxfId="160" priority="53" operator="equal">
      <formula>"Share"</formula>
    </cfRule>
  </conditionalFormatting>
  <conditionalFormatting sqref="U2773:U2777">
    <cfRule type="cellIs" dxfId="159" priority="52" operator="equal">
      <formula>"Share"</formula>
    </cfRule>
  </conditionalFormatting>
  <conditionalFormatting sqref="V2773:V2777">
    <cfRule type="cellIs" dxfId="158" priority="51" operator="equal">
      <formula>"Share"</formula>
    </cfRule>
  </conditionalFormatting>
  <conditionalFormatting sqref="T2758:T2766">
    <cfRule type="cellIs" dxfId="157" priority="50" operator="equal">
      <formula>"Share"</formula>
    </cfRule>
  </conditionalFormatting>
  <conditionalFormatting sqref="V2767:V2772">
    <cfRule type="cellIs" dxfId="156" priority="49" operator="equal">
      <formula>"Share"</formula>
    </cfRule>
  </conditionalFormatting>
  <conditionalFormatting sqref="U2767">
    <cfRule type="cellIs" dxfId="155" priority="48" operator="equal">
      <formula>"Share"</formula>
    </cfRule>
  </conditionalFormatting>
  <conditionalFormatting sqref="R2758:R2766">
    <cfRule type="cellIs" dxfId="154" priority="47" operator="equal">
      <formula>"Share"</formula>
    </cfRule>
  </conditionalFormatting>
  <conditionalFormatting sqref="S2758:S2766">
    <cfRule type="cellIs" dxfId="153" priority="46" operator="equal">
      <formula>"Share"</formula>
    </cfRule>
  </conditionalFormatting>
  <conditionalFormatting sqref="U2763:U2766">
    <cfRule type="cellIs" dxfId="152" priority="45" operator="equal">
      <formula>"Share"</formula>
    </cfRule>
  </conditionalFormatting>
  <conditionalFormatting sqref="V2763:V2766">
    <cfRule type="cellIs" dxfId="151" priority="44" operator="equal">
      <formula>"Share"</formula>
    </cfRule>
  </conditionalFormatting>
  <conditionalFormatting sqref="R2772">
    <cfRule type="cellIs" dxfId="150" priority="43" operator="equal">
      <formula>"Share"</formula>
    </cfRule>
  </conditionalFormatting>
  <conditionalFormatting sqref="R2768">
    <cfRule type="cellIs" dxfId="149" priority="42" operator="equal">
      <formula>"Share"</formula>
    </cfRule>
  </conditionalFormatting>
  <conditionalFormatting sqref="R2769:R2771">
    <cfRule type="cellIs" dxfId="148" priority="41" operator="equal">
      <formula>"Share"</formula>
    </cfRule>
  </conditionalFormatting>
  <conditionalFormatting sqref="U2758:U2762">
    <cfRule type="cellIs" dxfId="147" priority="40" operator="equal">
      <formula>"Share"</formula>
    </cfRule>
  </conditionalFormatting>
  <conditionalFormatting sqref="V2758:V2762">
    <cfRule type="cellIs" dxfId="146" priority="39" operator="equal">
      <formula>"Share"</formula>
    </cfRule>
  </conditionalFormatting>
  <conditionalFormatting sqref="V2790">
    <cfRule type="cellIs" dxfId="145" priority="37" operator="equal">
      <formula>"Share"</formula>
    </cfRule>
  </conditionalFormatting>
  <conditionalFormatting sqref="W2790">
    <cfRule type="cellIs" dxfId="144" priority="36" operator="equal">
      <formula>"Share"</formula>
    </cfRule>
  </conditionalFormatting>
  <conditionalFormatting sqref="V2795">
    <cfRule type="cellIs" dxfId="143" priority="35" operator="equal">
      <formula>"Share"</formula>
    </cfRule>
  </conditionalFormatting>
  <conditionalFormatting sqref="W2795">
    <cfRule type="cellIs" dxfId="142" priority="34" operator="equal">
      <formula>"Share"</formula>
    </cfRule>
  </conditionalFormatting>
  <conditionalFormatting sqref="V2800">
    <cfRule type="cellIs" dxfId="141" priority="33" operator="equal">
      <formula>"Share"</formula>
    </cfRule>
  </conditionalFormatting>
  <conditionalFormatting sqref="W2800">
    <cfRule type="cellIs" dxfId="140" priority="32" operator="equal">
      <formula>"Share"</formula>
    </cfRule>
  </conditionalFormatting>
  <conditionalFormatting sqref="V2805">
    <cfRule type="cellIs" dxfId="139" priority="31" operator="equal">
      <formula>"Share"</formula>
    </cfRule>
  </conditionalFormatting>
  <conditionalFormatting sqref="W2805">
    <cfRule type="cellIs" dxfId="138" priority="30" operator="equal">
      <formula>"Share"</formula>
    </cfRule>
  </conditionalFormatting>
  <conditionalFormatting sqref="W2810">
    <cfRule type="cellIs" dxfId="137" priority="29" operator="equal">
      <formula>"Share"</formula>
    </cfRule>
  </conditionalFormatting>
  <conditionalFormatting sqref="V2815">
    <cfRule type="cellIs" dxfId="136" priority="27" operator="equal">
      <formula>"Share"</formula>
    </cfRule>
  </conditionalFormatting>
  <conditionalFormatting sqref="W2815">
    <cfRule type="cellIs" dxfId="135" priority="26" operator="equal">
      <formula>"Share"</formula>
    </cfRule>
  </conditionalFormatting>
  <conditionalFormatting sqref="B2788:F2792">
    <cfRule type="cellIs" dxfId="134" priority="25" operator="equal">
      <formula>"Share"</formula>
    </cfRule>
  </conditionalFormatting>
  <conditionalFormatting sqref="B2793:F2797">
    <cfRule type="cellIs" dxfId="133" priority="24" operator="equal">
      <formula>"Share"</formula>
    </cfRule>
  </conditionalFormatting>
  <conditionalFormatting sqref="B2798:F2802">
    <cfRule type="cellIs" dxfId="132" priority="23" operator="equal">
      <formula>"Share"</formula>
    </cfRule>
  </conditionalFormatting>
  <conditionalFormatting sqref="B2803:F2807">
    <cfRule type="cellIs" dxfId="131" priority="22" operator="equal">
      <formula>"Share"</formula>
    </cfRule>
  </conditionalFormatting>
  <conditionalFormatting sqref="E2808:E2812">
    <cfRule type="cellIs" dxfId="130" priority="21" operator="equal">
      <formula>"Share"</formula>
    </cfRule>
  </conditionalFormatting>
  <conditionalFormatting sqref="B2808:D2812">
    <cfRule type="cellIs" dxfId="129" priority="20" operator="equal">
      <formula>"Share"</formula>
    </cfRule>
  </conditionalFormatting>
  <conditionalFormatting sqref="B2813:F2817">
    <cfRule type="cellIs" dxfId="128" priority="19" operator="equal">
      <formula>"Share"</formula>
    </cfRule>
  </conditionalFormatting>
  <conditionalFormatting sqref="B2818:F2822">
    <cfRule type="cellIs" dxfId="127" priority="15" operator="equal">
      <formula>"Share"</formula>
    </cfRule>
  </conditionalFormatting>
  <conditionalFormatting sqref="B2823:F2825">
    <cfRule type="cellIs" dxfId="126" priority="14" operator="equal">
      <formula>"Share"</formula>
    </cfRule>
  </conditionalFormatting>
  <conditionalFormatting sqref="V2820">
    <cfRule type="cellIs" dxfId="125" priority="13" operator="equal">
      <formula>"Share"</formula>
    </cfRule>
  </conditionalFormatting>
  <conditionalFormatting sqref="E2826:E2832">
    <cfRule type="cellIs" dxfId="124" priority="9" operator="equal">
      <formula>"Share"</formula>
    </cfRule>
  </conditionalFormatting>
  <conditionalFormatting sqref="B2826:D2826">
    <cfRule type="cellIs" dxfId="123" priority="8" operator="equal">
      <formula>"Share"</formula>
    </cfRule>
  </conditionalFormatting>
  <conditionalFormatting sqref="B2827:D2827">
    <cfRule type="cellIs" dxfId="122" priority="7" operator="equal">
      <formula>"Share"</formula>
    </cfRule>
  </conditionalFormatting>
  <conditionalFormatting sqref="B2832:D2832">
    <cfRule type="cellIs" dxfId="121" priority="6" operator="equal">
      <formula>"Share"</formula>
    </cfRule>
  </conditionalFormatting>
  <conditionalFormatting sqref="B2828:D2831">
    <cfRule type="cellIs" dxfId="120" priority="5" operator="equal">
      <formula>"Share"</formula>
    </cfRule>
  </conditionalFormatting>
  <conditionalFormatting sqref="V2713">
    <cfRule type="cellIs" dxfId="119" priority="4" operator="equal">
      <formula>"Share"</formula>
    </cfRule>
  </conditionalFormatting>
  <conditionalFormatting sqref="V2715">
    <cfRule type="cellIs" dxfId="118" priority="3" operator="equal">
      <formula>"Share"</formula>
    </cfRule>
  </conditionalFormatting>
  <conditionalFormatting sqref="V2727">
    <cfRule type="cellIs" dxfId="117" priority="2" operator="equal">
      <formula>"Share"</formula>
    </cfRule>
  </conditionalFormatting>
  <conditionalFormatting sqref="V2810">
    <cfRule type="cellIs" dxfId="116" priority="1" operator="equal">
      <formula>"Share"</formula>
    </cfRule>
  </conditionalFormatting>
  <pageMargins left="0.7" right="0.7" top="0.75" bottom="0.75" header="0.3" footer="0.3"/>
  <legacyDrawing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32E9-C94E-49D0-977C-50A00AB93F68}">
  <sheetPr codeName="Sheet2"/>
  <dimension ref="A1:T227"/>
  <sheetViews>
    <sheetView topLeftCell="A51" workbookViewId="0">
      <selection activeCell="G4" sqref="G4:G5"/>
    </sheetView>
  </sheetViews>
  <sheetFormatPr defaultRowHeight="14.4" x14ac:dyDescent="0.3"/>
  <cols>
    <col min="1" max="1" width="14.33203125" bestFit="1" customWidth="1"/>
    <col min="2" max="2" width="18.109375" bestFit="1" customWidth="1"/>
    <col min="3" max="3" width="11.44140625" bestFit="1" customWidth="1"/>
    <col min="4" max="4" width="26.44140625" bestFit="1" customWidth="1"/>
    <col min="5" max="5" width="11.33203125" bestFit="1" customWidth="1"/>
    <col min="6" max="6" width="18.109375" bestFit="1" customWidth="1"/>
    <col min="7" max="7" width="23" bestFit="1" customWidth="1"/>
    <col min="8" max="8" width="32.33203125" bestFit="1" customWidth="1"/>
    <col min="9" max="9" width="35.109375" style="123" bestFit="1" customWidth="1"/>
    <col min="10" max="10" width="32.109375" style="123" bestFit="1" customWidth="1"/>
    <col min="11" max="11" width="17.88671875" bestFit="1" customWidth="1"/>
    <col min="12" max="12" width="32.5546875" style="123" bestFit="1" customWidth="1"/>
    <col min="13" max="13" width="25.5546875" style="123" bestFit="1" customWidth="1"/>
    <col min="14" max="14" width="5.5546875" bestFit="1" customWidth="1"/>
    <col min="15" max="15" width="10.109375" bestFit="1" customWidth="1"/>
    <col min="16" max="16" width="7.44140625" bestFit="1" customWidth="1"/>
    <col min="17" max="17" width="23.88671875" bestFit="1" customWidth="1"/>
  </cols>
  <sheetData>
    <row r="1" spans="1:17" s="14" customFormat="1" ht="15" thickBot="1" x14ac:dyDescent="0.35">
      <c r="A1" s="71" t="s">
        <v>17</v>
      </c>
      <c r="B1" s="71" t="s">
        <v>18</v>
      </c>
      <c r="C1" s="72" t="s">
        <v>22</v>
      </c>
      <c r="D1" s="72" t="s">
        <v>21</v>
      </c>
      <c r="E1" s="71" t="s">
        <v>13</v>
      </c>
      <c r="F1" s="71" t="s">
        <v>26</v>
      </c>
      <c r="G1" s="71" t="s">
        <v>405</v>
      </c>
      <c r="H1" s="71" t="s">
        <v>406</v>
      </c>
      <c r="I1" s="73" t="s">
        <v>407</v>
      </c>
      <c r="J1" s="73" t="s">
        <v>408</v>
      </c>
      <c r="K1" s="72" t="s">
        <v>409</v>
      </c>
      <c r="L1" s="74" t="s">
        <v>410</v>
      </c>
      <c r="M1" s="74" t="s">
        <v>411</v>
      </c>
      <c r="N1" s="75" t="s">
        <v>16</v>
      </c>
      <c r="O1" s="75" t="s">
        <v>2</v>
      </c>
      <c r="P1" s="75" t="s">
        <v>101</v>
      </c>
      <c r="Q1" s="75" t="s">
        <v>412</v>
      </c>
    </row>
    <row r="2" spans="1:17" ht="15" thickTop="1" x14ac:dyDescent="0.3">
      <c r="A2" t="s">
        <v>10</v>
      </c>
      <c r="B2" t="s">
        <v>30</v>
      </c>
      <c r="C2" s="50" t="s">
        <v>29</v>
      </c>
      <c r="D2" s="50"/>
      <c r="E2">
        <v>1</v>
      </c>
      <c r="F2" t="s">
        <v>14</v>
      </c>
      <c r="G2" t="s">
        <v>10</v>
      </c>
      <c r="H2" t="s">
        <v>11</v>
      </c>
      <c r="I2" s="43" t="s">
        <v>413</v>
      </c>
      <c r="J2" s="43" t="s">
        <v>11</v>
      </c>
      <c r="L2" s="43"/>
      <c r="M2" s="43"/>
      <c r="N2" s="51"/>
      <c r="O2" s="51"/>
      <c r="P2" s="51"/>
      <c r="Q2" s="117">
        <v>1</v>
      </c>
    </row>
    <row r="3" spans="1:17" x14ac:dyDescent="0.3">
      <c r="A3" t="s">
        <v>10</v>
      </c>
      <c r="B3" t="s">
        <v>30</v>
      </c>
      <c r="C3" s="50" t="s">
        <v>29</v>
      </c>
      <c r="D3" s="50"/>
      <c r="E3">
        <v>2</v>
      </c>
      <c r="F3" t="s">
        <v>15</v>
      </c>
      <c r="G3" t="s">
        <v>1903</v>
      </c>
      <c r="H3" t="s">
        <v>12</v>
      </c>
      <c r="I3" s="43" t="s">
        <v>891</v>
      </c>
      <c r="J3" s="43" t="s">
        <v>891</v>
      </c>
      <c r="K3" t="s">
        <v>16</v>
      </c>
      <c r="L3" s="43">
        <v>4</v>
      </c>
      <c r="M3" s="43" t="s">
        <v>414</v>
      </c>
      <c r="N3" s="51">
        <v>0.21619311458006349</v>
      </c>
      <c r="O3" s="51">
        <v>0.43447780073197978</v>
      </c>
      <c r="P3" s="51">
        <v>0.47301806595664581</v>
      </c>
      <c r="Q3" s="117">
        <v>0.21619311458006349</v>
      </c>
    </row>
    <row r="4" spans="1:17" x14ac:dyDescent="0.3">
      <c r="A4" t="s">
        <v>10</v>
      </c>
      <c r="B4" t="s">
        <v>30</v>
      </c>
      <c r="C4" s="50" t="s">
        <v>29</v>
      </c>
      <c r="D4" s="50"/>
      <c r="E4">
        <v>3</v>
      </c>
      <c r="F4" t="s">
        <v>429</v>
      </c>
      <c r="G4" t="s">
        <v>201</v>
      </c>
      <c r="H4" t="s">
        <v>415</v>
      </c>
      <c r="I4" s="43" t="s">
        <v>416</v>
      </c>
      <c r="J4" s="43" t="s">
        <v>415</v>
      </c>
      <c r="K4" t="s">
        <v>2</v>
      </c>
      <c r="L4" s="43">
        <v>2</v>
      </c>
      <c r="M4" s="43" t="s">
        <v>417</v>
      </c>
      <c r="N4" s="93">
        <v>0.95078704786669288</v>
      </c>
      <c r="O4" s="93">
        <v>0.91171197532976578</v>
      </c>
      <c r="P4" s="93">
        <v>0.91001956318356814</v>
      </c>
      <c r="Q4" s="117">
        <v>0.91171197532976578</v>
      </c>
    </row>
    <row r="5" spans="1:17" x14ac:dyDescent="0.3">
      <c r="A5" t="s">
        <v>122</v>
      </c>
      <c r="B5" t="s">
        <v>30</v>
      </c>
      <c r="C5" s="50" t="s">
        <v>29</v>
      </c>
      <c r="D5" s="50" t="s">
        <v>123</v>
      </c>
      <c r="E5">
        <v>1</v>
      </c>
      <c r="F5" t="s">
        <v>14</v>
      </c>
      <c r="G5" t="s">
        <v>358</v>
      </c>
      <c r="H5" t="s">
        <v>55</v>
      </c>
      <c r="I5" s="43" t="s">
        <v>413</v>
      </c>
      <c r="J5" s="43" t="s">
        <v>895</v>
      </c>
      <c r="L5" s="43"/>
      <c r="M5" s="43"/>
      <c r="N5" s="51"/>
      <c r="O5" s="51"/>
      <c r="P5" s="51"/>
      <c r="Q5" s="117">
        <v>1</v>
      </c>
    </row>
    <row r="6" spans="1:17" x14ac:dyDescent="0.3">
      <c r="A6" t="s">
        <v>122</v>
      </c>
      <c r="B6" t="s">
        <v>30</v>
      </c>
      <c r="C6" s="50" t="s">
        <v>29</v>
      </c>
      <c r="D6" s="50" t="s">
        <v>123</v>
      </c>
      <c r="E6">
        <v>2</v>
      </c>
      <c r="F6" t="s">
        <v>15</v>
      </c>
      <c r="G6" t="s">
        <v>360</v>
      </c>
      <c r="H6" t="s">
        <v>12</v>
      </c>
      <c r="I6" s="43" t="s">
        <v>891</v>
      </c>
      <c r="J6" s="43" t="s">
        <v>891</v>
      </c>
      <c r="K6" t="s">
        <v>16</v>
      </c>
      <c r="L6" s="43">
        <v>4</v>
      </c>
      <c r="M6" s="43" t="s">
        <v>418</v>
      </c>
      <c r="N6" s="51">
        <v>0.89589935863691506</v>
      </c>
      <c r="O6" s="51">
        <v>0.981001788067005</v>
      </c>
      <c r="P6" s="51">
        <v>0.98405981458812497</v>
      </c>
      <c r="Q6" s="117">
        <v>0.89589935863691506</v>
      </c>
    </row>
    <row r="7" spans="1:17" x14ac:dyDescent="0.3">
      <c r="A7" t="s">
        <v>122</v>
      </c>
      <c r="B7" t="s">
        <v>30</v>
      </c>
      <c r="C7" s="50" t="s">
        <v>29</v>
      </c>
      <c r="D7" s="50" t="s">
        <v>123</v>
      </c>
      <c r="E7">
        <v>3</v>
      </c>
      <c r="F7" t="s">
        <v>429</v>
      </c>
      <c r="G7" t="s">
        <v>201</v>
      </c>
      <c r="H7" t="s">
        <v>415</v>
      </c>
      <c r="I7" s="43" t="s">
        <v>416</v>
      </c>
      <c r="J7" s="43" t="s">
        <v>415</v>
      </c>
      <c r="K7" t="s">
        <v>2</v>
      </c>
      <c r="L7" s="43">
        <v>2</v>
      </c>
      <c r="M7" s="43" t="s">
        <v>417</v>
      </c>
      <c r="N7" s="93">
        <v>0.95078704786669288</v>
      </c>
      <c r="O7" s="93">
        <v>0.91171197532976578</v>
      </c>
      <c r="P7" s="93">
        <v>0.91001956318356814</v>
      </c>
      <c r="Q7" s="117">
        <v>0.91171197532976578</v>
      </c>
    </row>
    <row r="8" spans="1:17" x14ac:dyDescent="0.3">
      <c r="A8" t="s">
        <v>122</v>
      </c>
      <c r="B8" t="s">
        <v>30</v>
      </c>
      <c r="C8" s="50" t="s">
        <v>29</v>
      </c>
      <c r="D8" s="50" t="s">
        <v>124</v>
      </c>
      <c r="E8">
        <v>1</v>
      </c>
      <c r="F8" t="s">
        <v>14</v>
      </c>
      <c r="G8" t="s">
        <v>358</v>
      </c>
      <c r="H8" t="s">
        <v>55</v>
      </c>
      <c r="I8" s="43" t="s">
        <v>413</v>
      </c>
      <c r="J8" s="43" t="s">
        <v>895</v>
      </c>
      <c r="L8" s="43"/>
      <c r="M8" s="43"/>
      <c r="N8" s="51"/>
      <c r="O8" s="51"/>
      <c r="P8" s="51"/>
      <c r="Q8" s="117">
        <v>1</v>
      </c>
    </row>
    <row r="9" spans="1:17" x14ac:dyDescent="0.3">
      <c r="A9" t="s">
        <v>122</v>
      </c>
      <c r="B9" t="s">
        <v>30</v>
      </c>
      <c r="C9" s="50" t="s">
        <v>29</v>
      </c>
      <c r="D9" s="50" t="s">
        <v>124</v>
      </c>
      <c r="E9">
        <v>2</v>
      </c>
      <c r="F9" t="s">
        <v>15</v>
      </c>
      <c r="G9" t="s">
        <v>360</v>
      </c>
      <c r="H9" t="s">
        <v>12</v>
      </c>
      <c r="I9" s="43" t="s">
        <v>891</v>
      </c>
      <c r="J9" s="43" t="s">
        <v>891</v>
      </c>
      <c r="K9" t="s">
        <v>16</v>
      </c>
      <c r="L9" s="43">
        <v>4</v>
      </c>
      <c r="M9" s="43" t="s">
        <v>418</v>
      </c>
      <c r="N9" s="51">
        <v>0.89589935863691506</v>
      </c>
      <c r="O9" s="51">
        <v>0.981001788067005</v>
      </c>
      <c r="P9" s="51">
        <v>0.98405981458812497</v>
      </c>
      <c r="Q9" s="117">
        <v>0.89589935863691506</v>
      </c>
    </row>
    <row r="10" spans="1:17" x14ac:dyDescent="0.3">
      <c r="A10" t="s">
        <v>122</v>
      </c>
      <c r="B10" t="s">
        <v>30</v>
      </c>
      <c r="C10" s="50" t="s">
        <v>29</v>
      </c>
      <c r="D10" s="50" t="s">
        <v>124</v>
      </c>
      <c r="E10">
        <v>3</v>
      </c>
      <c r="F10" t="s">
        <v>429</v>
      </c>
      <c r="G10" t="s">
        <v>201</v>
      </c>
      <c r="H10" t="s">
        <v>415</v>
      </c>
      <c r="I10" s="43" t="s">
        <v>416</v>
      </c>
      <c r="J10" s="43" t="s">
        <v>415</v>
      </c>
      <c r="K10" t="s">
        <v>2</v>
      </c>
      <c r="L10" s="43">
        <v>2</v>
      </c>
      <c r="M10" s="43" t="s">
        <v>417</v>
      </c>
      <c r="N10" s="93">
        <v>0.95078704786669288</v>
      </c>
      <c r="O10" s="93">
        <v>0.91171197532976578</v>
      </c>
      <c r="P10" s="93">
        <v>0.91001956318356814</v>
      </c>
      <c r="Q10" s="117">
        <v>0.91171197532976578</v>
      </c>
    </row>
    <row r="11" spans="1:17" x14ac:dyDescent="0.3">
      <c r="A11" t="s">
        <v>125</v>
      </c>
      <c r="B11" t="s">
        <v>30</v>
      </c>
      <c r="C11" s="50" t="s">
        <v>29</v>
      </c>
      <c r="D11" s="50"/>
      <c r="E11">
        <v>1</v>
      </c>
      <c r="F11" t="s">
        <v>14</v>
      </c>
      <c r="G11" t="s">
        <v>125</v>
      </c>
      <c r="H11" t="s">
        <v>62</v>
      </c>
      <c r="I11" s="43" t="s">
        <v>413</v>
      </c>
      <c r="J11" s="43" t="s">
        <v>62</v>
      </c>
      <c r="L11" s="43"/>
      <c r="M11" s="43"/>
      <c r="N11" s="51"/>
      <c r="O11" s="51"/>
      <c r="P11" s="51"/>
      <c r="Q11" s="117">
        <v>1</v>
      </c>
    </row>
    <row r="12" spans="1:17" x14ac:dyDescent="0.3">
      <c r="A12" t="s">
        <v>125</v>
      </c>
      <c r="B12" t="s">
        <v>30</v>
      </c>
      <c r="C12" s="50" t="s">
        <v>29</v>
      </c>
      <c r="D12" s="50"/>
      <c r="E12">
        <v>2</v>
      </c>
      <c r="F12" t="s">
        <v>15</v>
      </c>
      <c r="G12" t="s">
        <v>400</v>
      </c>
      <c r="H12" t="s">
        <v>12</v>
      </c>
      <c r="I12" s="43" t="s">
        <v>891</v>
      </c>
      <c r="J12" s="43" t="s">
        <v>891</v>
      </c>
      <c r="K12" t="s">
        <v>16</v>
      </c>
      <c r="L12" s="43">
        <v>4</v>
      </c>
      <c r="M12" s="43" t="s">
        <v>419</v>
      </c>
      <c r="N12" s="51">
        <v>0.47069311343882297</v>
      </c>
      <c r="O12" s="51">
        <v>0.71239076303062199</v>
      </c>
      <c r="P12" s="51">
        <v>0.78525618041286904</v>
      </c>
      <c r="Q12" s="117">
        <v>0.47069311343882297</v>
      </c>
    </row>
    <row r="13" spans="1:17" x14ac:dyDescent="0.3">
      <c r="A13" t="s">
        <v>125</v>
      </c>
      <c r="B13" t="s">
        <v>30</v>
      </c>
      <c r="C13" s="50" t="s">
        <v>29</v>
      </c>
      <c r="D13" s="50"/>
      <c r="E13">
        <v>3</v>
      </c>
      <c r="F13" t="s">
        <v>429</v>
      </c>
      <c r="G13" t="s">
        <v>201</v>
      </c>
      <c r="H13" t="s">
        <v>415</v>
      </c>
      <c r="I13" s="43" t="s">
        <v>416</v>
      </c>
      <c r="J13" s="43" t="s">
        <v>415</v>
      </c>
      <c r="K13" t="s">
        <v>2</v>
      </c>
      <c r="L13" s="43">
        <v>2</v>
      </c>
      <c r="M13" s="43" t="s">
        <v>417</v>
      </c>
      <c r="N13" s="93">
        <v>0.95078704786669288</v>
      </c>
      <c r="O13" s="93">
        <v>0.91171197532976578</v>
      </c>
      <c r="P13" s="93">
        <v>0.91001956318356814</v>
      </c>
      <c r="Q13" s="117">
        <v>0.91171197532976578</v>
      </c>
    </row>
    <row r="14" spans="1:17" x14ac:dyDescent="0.3">
      <c r="A14" t="s">
        <v>126</v>
      </c>
      <c r="B14" t="s">
        <v>30</v>
      </c>
      <c r="C14" t="s">
        <v>29</v>
      </c>
      <c r="E14">
        <v>1</v>
      </c>
      <c r="F14" t="s">
        <v>14</v>
      </c>
      <c r="G14" t="s">
        <v>126</v>
      </c>
      <c r="H14" t="s">
        <v>61</v>
      </c>
      <c r="I14" s="43" t="s">
        <v>413</v>
      </c>
      <c r="J14" s="43" t="s">
        <v>901</v>
      </c>
      <c r="L14" s="43"/>
      <c r="M14" s="43"/>
      <c r="N14" s="51"/>
      <c r="O14" s="51"/>
      <c r="P14" s="51"/>
      <c r="Q14" s="117">
        <v>1</v>
      </c>
    </row>
    <row r="15" spans="1:17" x14ac:dyDescent="0.3">
      <c r="A15" t="s">
        <v>126</v>
      </c>
      <c r="B15" t="s">
        <v>30</v>
      </c>
      <c r="C15" t="s">
        <v>29</v>
      </c>
      <c r="E15">
        <v>2</v>
      </c>
      <c r="F15" t="s">
        <v>15</v>
      </c>
      <c r="G15" t="s">
        <v>362</v>
      </c>
      <c r="H15" t="s">
        <v>12</v>
      </c>
      <c r="I15" s="43" t="s">
        <v>891</v>
      </c>
      <c r="J15" s="43" t="s">
        <v>891</v>
      </c>
      <c r="K15" t="s">
        <v>2</v>
      </c>
      <c r="L15" s="43">
        <v>2</v>
      </c>
      <c r="M15" s="43" t="s">
        <v>420</v>
      </c>
      <c r="N15" s="51">
        <v>1</v>
      </c>
      <c r="O15" s="51">
        <v>0.75883476071715905</v>
      </c>
      <c r="P15" s="51">
        <v>0.78167590432520795</v>
      </c>
      <c r="Q15" s="117">
        <v>0.75883476071715905</v>
      </c>
    </row>
    <row r="16" spans="1:17" x14ac:dyDescent="0.3">
      <c r="A16" t="s">
        <v>126</v>
      </c>
      <c r="B16" t="s">
        <v>30</v>
      </c>
      <c r="C16" t="s">
        <v>29</v>
      </c>
      <c r="E16">
        <v>3</v>
      </c>
      <c r="F16" t="s">
        <v>429</v>
      </c>
      <c r="G16" t="s">
        <v>201</v>
      </c>
      <c r="H16" t="s">
        <v>415</v>
      </c>
      <c r="I16" s="43" t="s">
        <v>416</v>
      </c>
      <c r="J16" s="43" t="s">
        <v>415</v>
      </c>
      <c r="K16" t="s">
        <v>2</v>
      </c>
      <c r="L16" s="43">
        <v>2</v>
      </c>
      <c r="M16" s="43" t="s">
        <v>417</v>
      </c>
      <c r="N16" s="93">
        <v>0.95078704786669288</v>
      </c>
      <c r="O16" s="93">
        <v>0.91171197532976578</v>
      </c>
      <c r="P16" s="93">
        <v>0.91001956318356814</v>
      </c>
      <c r="Q16" s="117">
        <v>0.91171197532976578</v>
      </c>
    </row>
    <row r="17" spans="1:17" x14ac:dyDescent="0.3">
      <c r="A17" t="s">
        <v>127</v>
      </c>
      <c r="B17" t="s">
        <v>30</v>
      </c>
      <c r="C17" t="s">
        <v>29</v>
      </c>
      <c r="E17">
        <v>1</v>
      </c>
      <c r="F17" t="s">
        <v>14</v>
      </c>
      <c r="G17" t="s">
        <v>127</v>
      </c>
      <c r="H17" t="s">
        <v>61</v>
      </c>
      <c r="I17" s="43" t="s">
        <v>413</v>
      </c>
      <c r="J17" s="43" t="s">
        <v>901</v>
      </c>
      <c r="L17" s="43"/>
      <c r="M17" s="43"/>
      <c r="N17" s="51"/>
      <c r="O17" s="51"/>
      <c r="P17" s="51"/>
      <c r="Q17" s="117">
        <v>1</v>
      </c>
    </row>
    <row r="18" spans="1:17" x14ac:dyDescent="0.3">
      <c r="A18" t="s">
        <v>127</v>
      </c>
      <c r="B18" t="s">
        <v>30</v>
      </c>
      <c r="C18" t="s">
        <v>29</v>
      </c>
      <c r="E18">
        <v>2</v>
      </c>
      <c r="F18" t="s">
        <v>15</v>
      </c>
      <c r="G18" t="s">
        <v>380</v>
      </c>
      <c r="H18" t="s">
        <v>12</v>
      </c>
      <c r="I18" s="43" t="s">
        <v>891</v>
      </c>
      <c r="J18" s="43" t="s">
        <v>891</v>
      </c>
      <c r="K18" t="s">
        <v>16</v>
      </c>
      <c r="L18" s="43">
        <v>4</v>
      </c>
      <c r="M18" s="43" t="s">
        <v>421</v>
      </c>
      <c r="N18" s="51">
        <v>0.408703878902554</v>
      </c>
      <c r="O18" s="51">
        <v>0.65814978136366997</v>
      </c>
      <c r="P18" s="51">
        <v>0.69224413490347902</v>
      </c>
      <c r="Q18" s="117">
        <v>0.408703878902554</v>
      </c>
    </row>
    <row r="19" spans="1:17" x14ac:dyDescent="0.3">
      <c r="A19" t="s">
        <v>127</v>
      </c>
      <c r="B19" t="s">
        <v>30</v>
      </c>
      <c r="C19" t="s">
        <v>29</v>
      </c>
      <c r="E19">
        <v>3</v>
      </c>
      <c r="F19" t="s">
        <v>429</v>
      </c>
      <c r="G19" t="s">
        <v>201</v>
      </c>
      <c r="H19" t="s">
        <v>415</v>
      </c>
      <c r="I19" s="43" t="s">
        <v>416</v>
      </c>
      <c r="J19" s="43" t="s">
        <v>415</v>
      </c>
      <c r="K19" t="s">
        <v>2</v>
      </c>
      <c r="L19" s="43">
        <v>2</v>
      </c>
      <c r="M19" s="43" t="s">
        <v>417</v>
      </c>
      <c r="N19" s="93">
        <v>0.95078704786669288</v>
      </c>
      <c r="O19" s="93">
        <v>0.91171197532976578</v>
      </c>
      <c r="P19" s="93">
        <v>0.91001956318356814</v>
      </c>
      <c r="Q19" s="117">
        <v>0.91171197532976578</v>
      </c>
    </row>
    <row r="20" spans="1:17" x14ac:dyDescent="0.3">
      <c r="A20" t="s">
        <v>128</v>
      </c>
      <c r="B20" t="s">
        <v>30</v>
      </c>
      <c r="C20" t="s">
        <v>29</v>
      </c>
      <c r="E20">
        <v>1</v>
      </c>
      <c r="F20" t="s">
        <v>14</v>
      </c>
      <c r="G20" t="s">
        <v>128</v>
      </c>
      <c r="H20" t="s">
        <v>61</v>
      </c>
      <c r="I20" s="43" t="s">
        <v>413</v>
      </c>
      <c r="J20" s="43" t="s">
        <v>901</v>
      </c>
      <c r="L20" s="43"/>
      <c r="M20" s="43"/>
      <c r="N20" s="51"/>
      <c r="O20" s="51"/>
      <c r="P20" s="51"/>
      <c r="Q20" s="117">
        <v>1</v>
      </c>
    </row>
    <row r="21" spans="1:17" x14ac:dyDescent="0.3">
      <c r="A21" t="s">
        <v>128</v>
      </c>
      <c r="B21" t="s">
        <v>30</v>
      </c>
      <c r="C21" t="s">
        <v>29</v>
      </c>
      <c r="E21">
        <v>2</v>
      </c>
      <c r="F21" t="s">
        <v>15</v>
      </c>
      <c r="G21" t="s">
        <v>381</v>
      </c>
      <c r="H21" t="s">
        <v>12</v>
      </c>
      <c r="I21" s="43" t="s">
        <v>891</v>
      </c>
      <c r="J21" s="43" t="s">
        <v>891</v>
      </c>
      <c r="K21" t="s">
        <v>16</v>
      </c>
      <c r="L21" s="43">
        <v>4</v>
      </c>
      <c r="M21" s="43" t="s">
        <v>422</v>
      </c>
      <c r="N21" s="51">
        <v>0.44046553267681299</v>
      </c>
      <c r="O21" s="51">
        <v>0.62447018471484195</v>
      </c>
      <c r="P21" s="51">
        <v>0.63394635117722897</v>
      </c>
      <c r="Q21" s="117">
        <v>0.44046553267681299</v>
      </c>
    </row>
    <row r="22" spans="1:17" x14ac:dyDescent="0.3">
      <c r="A22" t="s">
        <v>128</v>
      </c>
      <c r="B22" t="s">
        <v>30</v>
      </c>
      <c r="C22" t="s">
        <v>29</v>
      </c>
      <c r="E22">
        <v>3</v>
      </c>
      <c r="F22" t="s">
        <v>429</v>
      </c>
      <c r="G22" t="s">
        <v>201</v>
      </c>
      <c r="H22" t="s">
        <v>415</v>
      </c>
      <c r="I22" s="43" t="s">
        <v>416</v>
      </c>
      <c r="J22" s="43" t="s">
        <v>415</v>
      </c>
      <c r="K22" t="s">
        <v>2</v>
      </c>
      <c r="L22" s="43">
        <v>2</v>
      </c>
      <c r="M22" s="43" t="s">
        <v>417</v>
      </c>
      <c r="N22" s="93">
        <v>0.95078704786669288</v>
      </c>
      <c r="O22" s="93">
        <v>0.91171197532976578</v>
      </c>
      <c r="P22" s="93">
        <v>0.91001956318356814</v>
      </c>
      <c r="Q22" s="117">
        <v>0.91171197532976578</v>
      </c>
    </row>
    <row r="23" spans="1:17" x14ac:dyDescent="0.3">
      <c r="A23" t="s">
        <v>374</v>
      </c>
      <c r="B23" t="s">
        <v>30</v>
      </c>
      <c r="C23" t="s">
        <v>29</v>
      </c>
      <c r="E23">
        <v>1</v>
      </c>
      <c r="F23" t="s">
        <v>15</v>
      </c>
      <c r="G23" t="s">
        <v>374</v>
      </c>
      <c r="H23" t="s">
        <v>12</v>
      </c>
      <c r="I23" s="43" t="s">
        <v>891</v>
      </c>
      <c r="J23" s="43" t="s">
        <v>891</v>
      </c>
      <c r="L23" s="43"/>
      <c r="M23" s="43"/>
      <c r="N23" s="51"/>
      <c r="O23" s="51"/>
      <c r="P23" s="51"/>
      <c r="Q23" s="117">
        <v>1</v>
      </c>
    </row>
    <row r="24" spans="1:17" x14ac:dyDescent="0.3">
      <c r="A24" t="s">
        <v>374</v>
      </c>
      <c r="B24" t="s">
        <v>30</v>
      </c>
      <c r="C24" t="s">
        <v>29</v>
      </c>
      <c r="E24">
        <v>2</v>
      </c>
      <c r="F24" t="s">
        <v>429</v>
      </c>
      <c r="G24" t="s">
        <v>201</v>
      </c>
      <c r="H24" t="s">
        <v>415</v>
      </c>
      <c r="I24" s="43" t="s">
        <v>416</v>
      </c>
      <c r="J24" s="43" t="s">
        <v>415</v>
      </c>
      <c r="K24" t="s">
        <v>2</v>
      </c>
      <c r="L24" s="43">
        <v>2</v>
      </c>
      <c r="M24" s="43" t="s">
        <v>417</v>
      </c>
      <c r="N24" s="93">
        <v>0.95078704786669288</v>
      </c>
      <c r="O24" s="93">
        <v>0.91171197532976578</v>
      </c>
      <c r="P24" s="93">
        <v>0.91001956318356814</v>
      </c>
      <c r="Q24" s="117">
        <v>0.91171197532976578</v>
      </c>
    </row>
    <row r="25" spans="1:17" x14ac:dyDescent="0.3">
      <c r="A25" t="s">
        <v>316</v>
      </c>
      <c r="B25" t="s">
        <v>129</v>
      </c>
      <c r="C25" t="s">
        <v>29</v>
      </c>
      <c r="E25">
        <v>1</v>
      </c>
      <c r="F25" t="s">
        <v>147</v>
      </c>
      <c r="G25" t="s">
        <v>316</v>
      </c>
      <c r="H25" t="s">
        <v>55</v>
      </c>
      <c r="I25" s="43" t="s">
        <v>413</v>
      </c>
      <c r="J25" s="43" t="s">
        <v>896</v>
      </c>
      <c r="L25" s="43"/>
      <c r="M25" s="43"/>
      <c r="N25" s="51"/>
      <c r="O25" s="51"/>
      <c r="P25" s="51"/>
      <c r="Q25" s="117">
        <v>1</v>
      </c>
    </row>
    <row r="26" spans="1:17" x14ac:dyDescent="0.3">
      <c r="A26" t="s">
        <v>316</v>
      </c>
      <c r="B26" t="s">
        <v>129</v>
      </c>
      <c r="C26" t="s">
        <v>29</v>
      </c>
      <c r="E26">
        <v>2</v>
      </c>
      <c r="F26" t="s">
        <v>429</v>
      </c>
      <c r="G26" t="s">
        <v>201</v>
      </c>
      <c r="H26" t="s">
        <v>423</v>
      </c>
      <c r="I26" s="43" t="s">
        <v>416</v>
      </c>
      <c r="J26" s="43" t="s">
        <v>423</v>
      </c>
      <c r="L26" s="43"/>
      <c r="M26" s="43"/>
      <c r="N26" s="51"/>
      <c r="O26" s="51"/>
      <c r="P26" s="51"/>
      <c r="Q26" s="117">
        <v>1</v>
      </c>
    </row>
    <row r="27" spans="1:17" x14ac:dyDescent="0.3">
      <c r="A27" t="s">
        <v>131</v>
      </c>
      <c r="B27" t="s">
        <v>129</v>
      </c>
      <c r="C27" t="s">
        <v>29</v>
      </c>
      <c r="E27">
        <v>1</v>
      </c>
      <c r="F27" t="s">
        <v>14</v>
      </c>
      <c r="G27" t="s">
        <v>131</v>
      </c>
      <c r="H27" t="s">
        <v>55</v>
      </c>
      <c r="I27" s="43" t="s">
        <v>413</v>
      </c>
      <c r="J27" s="43" t="s">
        <v>895</v>
      </c>
      <c r="L27" s="43"/>
      <c r="M27" s="43"/>
      <c r="N27" s="51"/>
      <c r="O27" s="51"/>
      <c r="P27" s="51"/>
      <c r="Q27" s="117">
        <v>1</v>
      </c>
    </row>
    <row r="28" spans="1:17" x14ac:dyDescent="0.3">
      <c r="A28" t="s">
        <v>131</v>
      </c>
      <c r="B28" t="s">
        <v>129</v>
      </c>
      <c r="C28" t="s">
        <v>29</v>
      </c>
      <c r="E28">
        <v>2</v>
      </c>
      <c r="F28" t="s">
        <v>429</v>
      </c>
      <c r="G28" t="s">
        <v>201</v>
      </c>
      <c r="H28" t="s">
        <v>423</v>
      </c>
      <c r="I28" s="43" t="s">
        <v>416</v>
      </c>
      <c r="J28" s="43" t="s">
        <v>423</v>
      </c>
      <c r="L28" s="43"/>
      <c r="M28" s="43"/>
      <c r="N28" s="51"/>
      <c r="O28" s="51"/>
      <c r="P28" s="51"/>
      <c r="Q28" s="117">
        <v>1</v>
      </c>
    </row>
    <row r="29" spans="1:17" x14ac:dyDescent="0.3">
      <c r="A29" t="s">
        <v>132</v>
      </c>
      <c r="B29" t="s">
        <v>129</v>
      </c>
      <c r="C29" t="s">
        <v>29</v>
      </c>
      <c r="E29">
        <v>1</v>
      </c>
      <c r="F29" t="s">
        <v>14</v>
      </c>
      <c r="G29" t="s">
        <v>132</v>
      </c>
      <c r="H29" t="s">
        <v>55</v>
      </c>
      <c r="I29" s="43" t="s">
        <v>413</v>
      </c>
      <c r="J29" s="43" t="s">
        <v>895</v>
      </c>
      <c r="L29" s="43"/>
      <c r="M29" s="43"/>
      <c r="N29" s="51"/>
      <c r="O29" s="51"/>
      <c r="P29" s="51"/>
      <c r="Q29" s="117">
        <v>1</v>
      </c>
    </row>
    <row r="30" spans="1:17" x14ac:dyDescent="0.3">
      <c r="A30" t="s">
        <v>132</v>
      </c>
      <c r="B30" t="s">
        <v>129</v>
      </c>
      <c r="C30" t="s">
        <v>29</v>
      </c>
      <c r="E30">
        <v>2</v>
      </c>
      <c r="F30" t="s">
        <v>429</v>
      </c>
      <c r="G30" t="s">
        <v>201</v>
      </c>
      <c r="H30" t="s">
        <v>423</v>
      </c>
      <c r="I30" s="43" t="s">
        <v>416</v>
      </c>
      <c r="J30" s="43" t="s">
        <v>423</v>
      </c>
      <c r="L30" s="43"/>
      <c r="M30" s="43"/>
      <c r="N30" s="51"/>
      <c r="O30" s="51"/>
      <c r="P30" s="51"/>
      <c r="Q30" s="117">
        <v>1</v>
      </c>
    </row>
    <row r="31" spans="1:17" x14ac:dyDescent="0.3">
      <c r="A31" t="s">
        <v>133</v>
      </c>
      <c r="B31" t="s">
        <v>129</v>
      </c>
      <c r="C31" t="s">
        <v>29</v>
      </c>
      <c r="E31">
        <v>1</v>
      </c>
      <c r="F31" t="s">
        <v>14</v>
      </c>
      <c r="G31" t="s">
        <v>133</v>
      </c>
      <c r="H31" t="s">
        <v>55</v>
      </c>
      <c r="I31" s="43" t="s">
        <v>413</v>
      </c>
      <c r="J31" s="43" t="s">
        <v>895</v>
      </c>
      <c r="L31" s="43"/>
      <c r="M31" s="43"/>
      <c r="N31" s="51"/>
      <c r="O31" s="51"/>
      <c r="P31" s="51"/>
      <c r="Q31" s="117">
        <v>1</v>
      </c>
    </row>
    <row r="32" spans="1:17" x14ac:dyDescent="0.3">
      <c r="A32" t="s">
        <v>133</v>
      </c>
      <c r="B32" t="s">
        <v>129</v>
      </c>
      <c r="C32" t="s">
        <v>29</v>
      </c>
      <c r="E32">
        <v>2</v>
      </c>
      <c r="F32" t="s">
        <v>429</v>
      </c>
      <c r="G32" t="s">
        <v>201</v>
      </c>
      <c r="H32" t="s">
        <v>423</v>
      </c>
      <c r="I32" s="43" t="s">
        <v>416</v>
      </c>
      <c r="J32" s="43" t="s">
        <v>423</v>
      </c>
      <c r="L32" s="43"/>
      <c r="M32" s="43"/>
      <c r="N32" s="51"/>
      <c r="O32" s="51"/>
      <c r="P32" s="51"/>
      <c r="Q32" s="117">
        <v>1</v>
      </c>
    </row>
    <row r="33" spans="1:17" x14ac:dyDescent="0.3">
      <c r="A33" t="s">
        <v>134</v>
      </c>
      <c r="B33" t="s">
        <v>129</v>
      </c>
      <c r="C33" t="s">
        <v>29</v>
      </c>
      <c r="E33">
        <v>1</v>
      </c>
      <c r="F33" t="s">
        <v>14</v>
      </c>
      <c r="G33" t="s">
        <v>134</v>
      </c>
      <c r="H33" t="s">
        <v>55</v>
      </c>
      <c r="I33" s="43" t="s">
        <v>413</v>
      </c>
      <c r="J33" s="43" t="s">
        <v>895</v>
      </c>
      <c r="L33" s="43"/>
      <c r="M33" s="43"/>
      <c r="N33" s="51"/>
      <c r="O33" s="51"/>
      <c r="P33" s="51"/>
      <c r="Q33" s="117">
        <v>1</v>
      </c>
    </row>
    <row r="34" spans="1:17" x14ac:dyDescent="0.3">
      <c r="A34" t="s">
        <v>134</v>
      </c>
      <c r="B34" t="s">
        <v>129</v>
      </c>
      <c r="C34" t="s">
        <v>29</v>
      </c>
      <c r="E34">
        <v>2</v>
      </c>
      <c r="F34" t="s">
        <v>429</v>
      </c>
      <c r="G34" t="s">
        <v>201</v>
      </c>
      <c r="H34" t="s">
        <v>423</v>
      </c>
      <c r="I34" s="43" t="s">
        <v>416</v>
      </c>
      <c r="J34" s="43" t="s">
        <v>423</v>
      </c>
      <c r="L34" s="43"/>
      <c r="M34" s="43"/>
      <c r="N34" s="51"/>
      <c r="O34" s="51"/>
      <c r="P34" s="51"/>
      <c r="Q34" s="117">
        <v>1</v>
      </c>
    </row>
    <row r="35" spans="1:17" x14ac:dyDescent="0.3">
      <c r="A35" t="s">
        <v>135</v>
      </c>
      <c r="B35" t="s">
        <v>129</v>
      </c>
      <c r="C35" t="s">
        <v>29</v>
      </c>
      <c r="E35">
        <v>1</v>
      </c>
      <c r="F35" t="s">
        <v>147</v>
      </c>
      <c r="G35" t="s">
        <v>135</v>
      </c>
      <c r="H35" t="s">
        <v>55</v>
      </c>
      <c r="I35" s="43" t="s">
        <v>413</v>
      </c>
      <c r="J35" s="43" t="s">
        <v>896</v>
      </c>
      <c r="L35" s="43"/>
      <c r="M35" s="43"/>
      <c r="N35" s="51"/>
      <c r="O35" s="51"/>
      <c r="P35" s="51"/>
      <c r="Q35" s="117">
        <v>1</v>
      </c>
    </row>
    <row r="36" spans="1:17" x14ac:dyDescent="0.3">
      <c r="A36" t="s">
        <v>135</v>
      </c>
      <c r="B36" t="s">
        <v>129</v>
      </c>
      <c r="C36" t="s">
        <v>29</v>
      </c>
      <c r="E36">
        <v>2</v>
      </c>
      <c r="F36" t="s">
        <v>429</v>
      </c>
      <c r="G36" t="s">
        <v>201</v>
      </c>
      <c r="H36" t="s">
        <v>423</v>
      </c>
      <c r="I36" s="43" t="s">
        <v>416</v>
      </c>
      <c r="J36" s="43" t="s">
        <v>423</v>
      </c>
      <c r="L36" s="43"/>
      <c r="M36" s="43"/>
      <c r="N36" s="51"/>
      <c r="O36" s="51"/>
      <c r="P36" s="51"/>
      <c r="Q36" s="117">
        <v>1</v>
      </c>
    </row>
    <row r="37" spans="1:17" x14ac:dyDescent="0.3">
      <c r="A37" t="s">
        <v>136</v>
      </c>
      <c r="B37" t="s">
        <v>1964</v>
      </c>
      <c r="C37" t="s">
        <v>29</v>
      </c>
      <c r="D37" t="s">
        <v>911</v>
      </c>
      <c r="E37">
        <v>1</v>
      </c>
      <c r="F37" t="s">
        <v>14</v>
      </c>
      <c r="G37" t="s">
        <v>136</v>
      </c>
      <c r="H37" t="s">
        <v>70</v>
      </c>
      <c r="I37" s="43" t="s">
        <v>413</v>
      </c>
      <c r="J37" s="43" t="s">
        <v>70</v>
      </c>
      <c r="L37" s="43"/>
      <c r="M37" s="43"/>
      <c r="N37" s="51"/>
      <c r="O37" s="51"/>
      <c r="P37" s="51"/>
      <c r="Q37" s="117">
        <v>1</v>
      </c>
    </row>
    <row r="38" spans="1:17" x14ac:dyDescent="0.3">
      <c r="A38" t="s">
        <v>136</v>
      </c>
      <c r="B38" t="s">
        <v>1964</v>
      </c>
      <c r="C38" t="s">
        <v>29</v>
      </c>
      <c r="D38" t="s">
        <v>911</v>
      </c>
      <c r="E38">
        <v>2</v>
      </c>
      <c r="F38" t="s">
        <v>429</v>
      </c>
      <c r="G38" t="s">
        <v>201</v>
      </c>
      <c r="H38" t="s">
        <v>424</v>
      </c>
      <c r="I38" s="43" t="s">
        <v>416</v>
      </c>
      <c r="J38" s="43" t="s">
        <v>424</v>
      </c>
      <c r="K38" t="s">
        <v>2</v>
      </c>
      <c r="L38" s="43">
        <v>1</v>
      </c>
      <c r="M38" s="43" t="s">
        <v>425</v>
      </c>
      <c r="N38" s="51"/>
      <c r="O38" s="51">
        <v>0.75584087013179302</v>
      </c>
      <c r="P38" s="51"/>
      <c r="Q38" s="117">
        <v>0.75584087013179302</v>
      </c>
    </row>
    <row r="39" spans="1:17" x14ac:dyDescent="0.3">
      <c r="A39" t="s">
        <v>135</v>
      </c>
      <c r="B39" t="s">
        <v>1964</v>
      </c>
      <c r="C39" t="s">
        <v>29</v>
      </c>
      <c r="D39" t="s">
        <v>911</v>
      </c>
      <c r="E39">
        <v>1</v>
      </c>
      <c r="F39" t="s">
        <v>147</v>
      </c>
      <c r="G39" t="s">
        <v>135</v>
      </c>
      <c r="H39" t="s">
        <v>55</v>
      </c>
      <c r="I39" s="43" t="s">
        <v>413</v>
      </c>
      <c r="J39" s="43" t="s">
        <v>896</v>
      </c>
      <c r="L39" s="43"/>
      <c r="M39" s="43"/>
      <c r="N39" s="51"/>
      <c r="O39" s="51"/>
      <c r="P39" s="51"/>
      <c r="Q39" s="117">
        <v>1</v>
      </c>
    </row>
    <row r="40" spans="1:17" x14ac:dyDescent="0.3">
      <c r="A40" t="s">
        <v>135</v>
      </c>
      <c r="B40" t="s">
        <v>1964</v>
      </c>
      <c r="C40" t="s">
        <v>29</v>
      </c>
      <c r="D40" t="s">
        <v>911</v>
      </c>
      <c r="E40">
        <v>2</v>
      </c>
      <c r="F40" t="s">
        <v>429</v>
      </c>
      <c r="G40" t="s">
        <v>201</v>
      </c>
      <c r="H40" t="s">
        <v>424</v>
      </c>
      <c r="I40" s="43" t="s">
        <v>416</v>
      </c>
      <c r="J40" s="43" t="s">
        <v>424</v>
      </c>
      <c r="K40" t="s">
        <v>2</v>
      </c>
      <c r="L40" s="43">
        <v>1</v>
      </c>
      <c r="M40" s="43" t="s">
        <v>426</v>
      </c>
      <c r="N40" s="51"/>
      <c r="O40" s="51">
        <v>0.75328344320348295</v>
      </c>
      <c r="P40" s="51"/>
      <c r="Q40" s="117">
        <v>0.75328344320348295</v>
      </c>
    </row>
    <row r="41" spans="1:17" x14ac:dyDescent="0.3">
      <c r="A41" t="s">
        <v>131</v>
      </c>
      <c r="B41" t="s">
        <v>1964</v>
      </c>
      <c r="C41" t="s">
        <v>29</v>
      </c>
      <c r="D41" t="s">
        <v>911</v>
      </c>
      <c r="E41">
        <v>1</v>
      </c>
      <c r="F41" t="s">
        <v>14</v>
      </c>
      <c r="G41" t="s">
        <v>131</v>
      </c>
      <c r="H41" t="s">
        <v>55</v>
      </c>
      <c r="I41" s="43" t="s">
        <v>413</v>
      </c>
      <c r="J41" s="43" t="s">
        <v>895</v>
      </c>
      <c r="L41" s="43"/>
      <c r="M41" s="43"/>
      <c r="N41" s="51"/>
      <c r="O41" s="51"/>
      <c r="P41" s="51"/>
      <c r="Q41" s="117">
        <v>1</v>
      </c>
    </row>
    <row r="42" spans="1:17" x14ac:dyDescent="0.3">
      <c r="A42" t="s">
        <v>131</v>
      </c>
      <c r="B42" t="s">
        <v>1964</v>
      </c>
      <c r="C42" t="s">
        <v>29</v>
      </c>
      <c r="D42" t="s">
        <v>911</v>
      </c>
      <c r="E42">
        <v>2</v>
      </c>
      <c r="F42" t="s">
        <v>429</v>
      </c>
      <c r="G42" t="s">
        <v>201</v>
      </c>
      <c r="H42" t="s">
        <v>424</v>
      </c>
      <c r="I42" s="43" t="s">
        <v>416</v>
      </c>
      <c r="J42" s="43" t="s">
        <v>424</v>
      </c>
      <c r="K42" t="s">
        <v>2</v>
      </c>
      <c r="L42" s="43">
        <v>1</v>
      </c>
      <c r="M42" s="43" t="s">
        <v>426</v>
      </c>
      <c r="N42" s="51"/>
      <c r="O42" s="51">
        <v>0.75328344320348295</v>
      </c>
      <c r="P42" s="51"/>
      <c r="Q42" s="117">
        <v>0.75328344320348295</v>
      </c>
    </row>
    <row r="43" spans="1:17" x14ac:dyDescent="0.3">
      <c r="A43" t="s">
        <v>132</v>
      </c>
      <c r="B43" t="s">
        <v>1964</v>
      </c>
      <c r="C43" t="s">
        <v>29</v>
      </c>
      <c r="D43" t="s">
        <v>911</v>
      </c>
      <c r="E43">
        <v>1</v>
      </c>
      <c r="F43" t="s">
        <v>14</v>
      </c>
      <c r="G43" t="s">
        <v>132</v>
      </c>
      <c r="H43" t="s">
        <v>55</v>
      </c>
      <c r="I43" s="43" t="s">
        <v>413</v>
      </c>
      <c r="J43" s="43" t="s">
        <v>895</v>
      </c>
      <c r="L43" s="43"/>
      <c r="M43" s="43"/>
      <c r="N43" s="51"/>
      <c r="O43" s="51"/>
      <c r="P43" s="51"/>
      <c r="Q43" s="117">
        <v>1</v>
      </c>
    </row>
    <row r="44" spans="1:17" x14ac:dyDescent="0.3">
      <c r="A44" t="s">
        <v>132</v>
      </c>
      <c r="B44" t="s">
        <v>1964</v>
      </c>
      <c r="C44" t="s">
        <v>29</v>
      </c>
      <c r="D44" t="s">
        <v>911</v>
      </c>
      <c r="E44">
        <v>2</v>
      </c>
      <c r="F44" t="s">
        <v>429</v>
      </c>
      <c r="G44" t="s">
        <v>201</v>
      </c>
      <c r="H44" t="s">
        <v>424</v>
      </c>
      <c r="I44" s="43" t="s">
        <v>416</v>
      </c>
      <c r="J44" s="43" t="s">
        <v>424</v>
      </c>
      <c r="K44" t="s">
        <v>2</v>
      </c>
      <c r="L44" s="43">
        <v>1</v>
      </c>
      <c r="M44" s="43" t="s">
        <v>426</v>
      </c>
      <c r="N44" s="51"/>
      <c r="O44" s="51">
        <v>0.75328344320348295</v>
      </c>
      <c r="P44" s="51"/>
      <c r="Q44" s="117">
        <v>0.75328344320348295</v>
      </c>
    </row>
    <row r="45" spans="1:17" x14ac:dyDescent="0.3">
      <c r="A45" t="s">
        <v>133</v>
      </c>
      <c r="B45" t="s">
        <v>1964</v>
      </c>
      <c r="C45" t="s">
        <v>29</v>
      </c>
      <c r="D45" t="s">
        <v>911</v>
      </c>
      <c r="E45">
        <v>1</v>
      </c>
      <c r="F45" t="s">
        <v>14</v>
      </c>
      <c r="G45" t="s">
        <v>133</v>
      </c>
      <c r="H45" t="s">
        <v>55</v>
      </c>
      <c r="I45" s="43" t="s">
        <v>413</v>
      </c>
      <c r="J45" s="43" t="s">
        <v>895</v>
      </c>
      <c r="L45" s="43"/>
      <c r="M45" s="43"/>
      <c r="N45" s="51"/>
      <c r="O45" s="51"/>
      <c r="P45" s="51"/>
      <c r="Q45" s="117">
        <v>1</v>
      </c>
    </row>
    <row r="46" spans="1:17" x14ac:dyDescent="0.3">
      <c r="A46" t="s">
        <v>133</v>
      </c>
      <c r="B46" t="s">
        <v>1964</v>
      </c>
      <c r="C46" t="s">
        <v>29</v>
      </c>
      <c r="D46" t="s">
        <v>911</v>
      </c>
      <c r="E46">
        <v>2</v>
      </c>
      <c r="F46" t="s">
        <v>429</v>
      </c>
      <c r="G46" t="s">
        <v>201</v>
      </c>
      <c r="H46" t="s">
        <v>424</v>
      </c>
      <c r="I46" s="43" t="s">
        <v>416</v>
      </c>
      <c r="J46" s="43" t="s">
        <v>424</v>
      </c>
      <c r="K46" t="s">
        <v>2</v>
      </c>
      <c r="L46" s="43">
        <v>1</v>
      </c>
      <c r="M46" s="43" t="s">
        <v>426</v>
      </c>
      <c r="N46" s="51"/>
      <c r="O46" s="51">
        <v>0.75328344320348295</v>
      </c>
      <c r="P46" s="51"/>
      <c r="Q46" s="117">
        <v>0.75328344320348295</v>
      </c>
    </row>
    <row r="47" spans="1:17" x14ac:dyDescent="0.3">
      <c r="A47" t="s">
        <v>134</v>
      </c>
      <c r="B47" t="s">
        <v>1964</v>
      </c>
      <c r="C47" t="s">
        <v>29</v>
      </c>
      <c r="D47" t="s">
        <v>911</v>
      </c>
      <c r="E47">
        <v>1</v>
      </c>
      <c r="F47" t="s">
        <v>14</v>
      </c>
      <c r="G47" t="s">
        <v>134</v>
      </c>
      <c r="H47" t="s">
        <v>55</v>
      </c>
      <c r="I47" s="43" t="s">
        <v>413</v>
      </c>
      <c r="J47" s="43" t="s">
        <v>895</v>
      </c>
      <c r="L47" s="43"/>
      <c r="M47" s="43"/>
      <c r="N47" s="51"/>
      <c r="O47" s="51"/>
      <c r="P47" s="51"/>
      <c r="Q47" s="117">
        <v>1</v>
      </c>
    </row>
    <row r="48" spans="1:17" x14ac:dyDescent="0.3">
      <c r="A48" t="s">
        <v>134</v>
      </c>
      <c r="B48" t="s">
        <v>1964</v>
      </c>
      <c r="C48" t="s">
        <v>29</v>
      </c>
      <c r="D48" t="s">
        <v>911</v>
      </c>
      <c r="E48">
        <v>2</v>
      </c>
      <c r="F48" t="s">
        <v>429</v>
      </c>
      <c r="G48" t="s">
        <v>201</v>
      </c>
      <c r="H48" t="s">
        <v>424</v>
      </c>
      <c r="I48" s="43" t="s">
        <v>416</v>
      </c>
      <c r="J48" s="43" t="s">
        <v>424</v>
      </c>
      <c r="K48" t="s">
        <v>2</v>
      </c>
      <c r="L48" s="43">
        <v>1</v>
      </c>
      <c r="M48" s="43" t="s">
        <v>426</v>
      </c>
      <c r="N48" s="51"/>
      <c r="O48" s="51">
        <v>0.75328344320348295</v>
      </c>
      <c r="P48" s="51"/>
      <c r="Q48" s="117">
        <v>0.75328344320348295</v>
      </c>
    </row>
    <row r="49" spans="1:17" x14ac:dyDescent="0.3">
      <c r="A49" t="s">
        <v>316</v>
      </c>
      <c r="B49" t="s">
        <v>1964</v>
      </c>
      <c r="C49" t="s">
        <v>29</v>
      </c>
      <c r="D49" t="s">
        <v>911</v>
      </c>
      <c r="E49">
        <v>1</v>
      </c>
      <c r="F49" t="s">
        <v>147</v>
      </c>
      <c r="G49" t="s">
        <v>316</v>
      </c>
      <c r="H49" t="s">
        <v>55</v>
      </c>
      <c r="I49" s="43" t="s">
        <v>413</v>
      </c>
      <c r="J49" s="43" t="s">
        <v>896</v>
      </c>
      <c r="L49" s="43"/>
      <c r="M49" s="43"/>
      <c r="N49" s="51"/>
      <c r="O49" s="51"/>
      <c r="P49" s="51"/>
      <c r="Q49" s="117">
        <v>1</v>
      </c>
    </row>
    <row r="50" spans="1:17" x14ac:dyDescent="0.3">
      <c r="A50" t="s">
        <v>316</v>
      </c>
      <c r="B50" t="s">
        <v>1964</v>
      </c>
      <c r="C50" t="s">
        <v>29</v>
      </c>
      <c r="D50" t="s">
        <v>911</v>
      </c>
      <c r="E50">
        <v>2</v>
      </c>
      <c r="F50" t="s">
        <v>429</v>
      </c>
      <c r="G50" t="s">
        <v>201</v>
      </c>
      <c r="H50" t="s">
        <v>424</v>
      </c>
      <c r="I50" s="43" t="s">
        <v>416</v>
      </c>
      <c r="J50" s="43" t="s">
        <v>424</v>
      </c>
      <c r="K50" t="s">
        <v>2</v>
      </c>
      <c r="L50" s="43">
        <v>1</v>
      </c>
      <c r="M50" s="43" t="s">
        <v>426</v>
      </c>
      <c r="N50" s="51"/>
      <c r="O50" s="51">
        <v>0.75328344320348295</v>
      </c>
      <c r="P50" s="51"/>
      <c r="Q50" s="117">
        <v>0.75328344320348295</v>
      </c>
    </row>
    <row r="51" spans="1:17" x14ac:dyDescent="0.3">
      <c r="A51" t="s">
        <v>138</v>
      </c>
      <c r="B51" t="s">
        <v>1964</v>
      </c>
      <c r="C51" t="s">
        <v>29</v>
      </c>
      <c r="D51" t="s">
        <v>136</v>
      </c>
      <c r="E51">
        <v>1</v>
      </c>
      <c r="F51" t="s">
        <v>429</v>
      </c>
      <c r="G51" t="s">
        <v>201</v>
      </c>
      <c r="H51" t="s">
        <v>424</v>
      </c>
      <c r="I51" s="43" t="s">
        <v>416</v>
      </c>
      <c r="J51" s="43" t="s">
        <v>424</v>
      </c>
      <c r="K51" t="s">
        <v>2</v>
      </c>
      <c r="L51" s="43">
        <v>1</v>
      </c>
      <c r="M51" s="43" t="s">
        <v>427</v>
      </c>
      <c r="N51" s="51"/>
      <c r="O51" s="51">
        <v>0.75328344320348295</v>
      </c>
      <c r="P51" s="51"/>
      <c r="Q51" s="117">
        <v>0.75328344320348295</v>
      </c>
    </row>
    <row r="52" spans="1:17" x14ac:dyDescent="0.3">
      <c r="A52" t="s">
        <v>138</v>
      </c>
      <c r="B52" t="s">
        <v>1964</v>
      </c>
      <c r="C52" t="s">
        <v>29</v>
      </c>
      <c r="D52" t="s">
        <v>363</v>
      </c>
      <c r="E52">
        <v>1</v>
      </c>
      <c r="F52" t="s">
        <v>429</v>
      </c>
      <c r="G52" t="s">
        <v>201</v>
      </c>
      <c r="H52" t="s">
        <v>424</v>
      </c>
      <c r="I52" s="43" t="s">
        <v>416</v>
      </c>
      <c r="J52" s="43" t="s">
        <v>424</v>
      </c>
      <c r="K52" t="s">
        <v>2</v>
      </c>
      <c r="L52" s="43">
        <v>1</v>
      </c>
      <c r="M52" s="43" t="s">
        <v>427</v>
      </c>
      <c r="N52" s="51"/>
      <c r="O52" s="51">
        <v>0.75328344320348295</v>
      </c>
      <c r="P52" s="51"/>
      <c r="Q52" s="117">
        <v>0.75328344320348295</v>
      </c>
    </row>
    <row r="53" spans="1:17" x14ac:dyDescent="0.3">
      <c r="A53" t="s">
        <v>138</v>
      </c>
      <c r="B53" t="s">
        <v>1964</v>
      </c>
      <c r="C53" t="s">
        <v>29</v>
      </c>
      <c r="D53" t="s">
        <v>364</v>
      </c>
      <c r="E53">
        <v>1</v>
      </c>
      <c r="F53" t="s">
        <v>429</v>
      </c>
      <c r="G53" t="s">
        <v>201</v>
      </c>
      <c r="H53" t="s">
        <v>424</v>
      </c>
      <c r="I53" s="43" t="s">
        <v>416</v>
      </c>
      <c r="J53" s="43" t="s">
        <v>424</v>
      </c>
      <c r="K53" t="s">
        <v>2</v>
      </c>
      <c r="L53" s="43">
        <v>1</v>
      </c>
      <c r="M53" s="43" t="s">
        <v>427</v>
      </c>
      <c r="N53" s="51"/>
      <c r="O53" s="51">
        <v>0.75328344320348295</v>
      </c>
      <c r="P53" s="51"/>
      <c r="Q53" s="117">
        <v>0.75328344320348295</v>
      </c>
    </row>
    <row r="54" spans="1:17" x14ac:dyDescent="0.3">
      <c r="A54" t="s">
        <v>138</v>
      </c>
      <c r="B54" t="s">
        <v>1964</v>
      </c>
      <c r="C54" t="s">
        <v>29</v>
      </c>
      <c r="D54" t="s">
        <v>365</v>
      </c>
      <c r="E54">
        <v>1</v>
      </c>
      <c r="F54" t="s">
        <v>429</v>
      </c>
      <c r="G54" t="s">
        <v>201</v>
      </c>
      <c r="H54" t="s">
        <v>424</v>
      </c>
      <c r="I54" s="43" t="s">
        <v>416</v>
      </c>
      <c r="J54" s="43" t="s">
        <v>424</v>
      </c>
      <c r="K54" t="s">
        <v>2</v>
      </c>
      <c r="L54" s="43">
        <v>1</v>
      </c>
      <c r="M54" s="43" t="s">
        <v>427</v>
      </c>
      <c r="N54" s="51"/>
      <c r="O54" s="51">
        <v>0.75328344320348295</v>
      </c>
      <c r="P54" s="51"/>
      <c r="Q54" s="117">
        <v>0.75328344320348295</v>
      </c>
    </row>
    <row r="55" spans="1:17" x14ac:dyDescent="0.3">
      <c r="A55" t="s">
        <v>138</v>
      </c>
      <c r="B55" t="s">
        <v>1964</v>
      </c>
      <c r="C55" t="s">
        <v>29</v>
      </c>
      <c r="D55" t="s">
        <v>131</v>
      </c>
      <c r="E55">
        <v>1</v>
      </c>
      <c r="F55" t="s">
        <v>429</v>
      </c>
      <c r="G55" t="s">
        <v>201</v>
      </c>
      <c r="H55" t="s">
        <v>424</v>
      </c>
      <c r="I55" s="43" t="s">
        <v>416</v>
      </c>
      <c r="J55" s="43" t="s">
        <v>424</v>
      </c>
      <c r="K55" t="s">
        <v>2</v>
      </c>
      <c r="L55" s="43">
        <v>1</v>
      </c>
      <c r="M55" s="43" t="s">
        <v>427</v>
      </c>
      <c r="N55" s="51"/>
      <c r="O55" s="51">
        <v>0.75328344320348295</v>
      </c>
      <c r="P55" s="51"/>
      <c r="Q55" s="117">
        <v>0.75328344320348295</v>
      </c>
    </row>
    <row r="56" spans="1:17" x14ac:dyDescent="0.3">
      <c r="A56" t="s">
        <v>138</v>
      </c>
      <c r="B56" t="s">
        <v>1964</v>
      </c>
      <c r="C56" t="s">
        <v>29</v>
      </c>
      <c r="D56" t="s">
        <v>132</v>
      </c>
      <c r="E56">
        <v>1</v>
      </c>
      <c r="F56" t="s">
        <v>429</v>
      </c>
      <c r="G56" t="s">
        <v>201</v>
      </c>
      <c r="H56" t="s">
        <v>424</v>
      </c>
      <c r="I56" s="43" t="s">
        <v>416</v>
      </c>
      <c r="J56" s="43" t="s">
        <v>424</v>
      </c>
      <c r="K56" t="s">
        <v>2</v>
      </c>
      <c r="L56" s="43">
        <v>1</v>
      </c>
      <c r="M56" s="43" t="s">
        <v>427</v>
      </c>
      <c r="N56" s="51"/>
      <c r="O56" s="51">
        <v>0.75328344320348295</v>
      </c>
      <c r="P56" s="51"/>
      <c r="Q56" s="117">
        <v>0.75328344320348295</v>
      </c>
    </row>
    <row r="57" spans="1:17" x14ac:dyDescent="0.3">
      <c r="A57" t="s">
        <v>138</v>
      </c>
      <c r="B57" t="s">
        <v>1964</v>
      </c>
      <c r="C57" t="s">
        <v>29</v>
      </c>
      <c r="D57" t="s">
        <v>133</v>
      </c>
      <c r="E57">
        <v>1</v>
      </c>
      <c r="F57" t="s">
        <v>429</v>
      </c>
      <c r="G57" t="s">
        <v>201</v>
      </c>
      <c r="H57" t="s">
        <v>424</v>
      </c>
      <c r="I57" s="43" t="s">
        <v>416</v>
      </c>
      <c r="J57" s="43" t="s">
        <v>424</v>
      </c>
      <c r="K57" t="s">
        <v>2</v>
      </c>
      <c r="L57" s="43">
        <v>1</v>
      </c>
      <c r="M57" s="43" t="s">
        <v>427</v>
      </c>
      <c r="N57" s="51"/>
      <c r="O57" s="51">
        <v>0.75328344320348295</v>
      </c>
      <c r="P57" s="51"/>
      <c r="Q57" s="117">
        <v>0.75328344320348295</v>
      </c>
    </row>
    <row r="58" spans="1:17" x14ac:dyDescent="0.3">
      <c r="A58" t="s">
        <v>138</v>
      </c>
      <c r="B58" t="s">
        <v>1964</v>
      </c>
      <c r="C58" t="s">
        <v>29</v>
      </c>
      <c r="D58" t="s">
        <v>134</v>
      </c>
      <c r="E58">
        <v>1</v>
      </c>
      <c r="F58" t="s">
        <v>429</v>
      </c>
      <c r="G58" t="s">
        <v>201</v>
      </c>
      <c r="H58" t="s">
        <v>424</v>
      </c>
      <c r="I58" s="43" t="s">
        <v>416</v>
      </c>
      <c r="J58" s="43" t="s">
        <v>424</v>
      </c>
      <c r="K58" t="s">
        <v>2</v>
      </c>
      <c r="L58" s="43">
        <v>1</v>
      </c>
      <c r="M58" s="43" t="s">
        <v>427</v>
      </c>
      <c r="N58" s="51"/>
      <c r="O58" s="51">
        <v>0.75328344320348295</v>
      </c>
      <c r="P58" s="51"/>
      <c r="Q58" s="117">
        <v>0.75328344320348295</v>
      </c>
    </row>
    <row r="59" spans="1:17" x14ac:dyDescent="0.3">
      <c r="A59" t="s">
        <v>138</v>
      </c>
      <c r="B59" t="s">
        <v>1964</v>
      </c>
      <c r="C59" t="s">
        <v>29</v>
      </c>
      <c r="D59" t="s">
        <v>135</v>
      </c>
      <c r="E59">
        <v>1</v>
      </c>
      <c r="F59" t="s">
        <v>429</v>
      </c>
      <c r="G59" t="s">
        <v>201</v>
      </c>
      <c r="H59" t="s">
        <v>424</v>
      </c>
      <c r="I59" s="43" t="s">
        <v>416</v>
      </c>
      <c r="J59" s="43" t="s">
        <v>424</v>
      </c>
      <c r="K59" t="s">
        <v>2</v>
      </c>
      <c r="L59" s="43">
        <v>1</v>
      </c>
      <c r="M59" s="43" t="s">
        <v>427</v>
      </c>
      <c r="N59" s="51"/>
      <c r="O59" s="51">
        <v>0.75328344320348295</v>
      </c>
      <c r="P59" s="51"/>
      <c r="Q59" s="117">
        <v>0.75328344320348295</v>
      </c>
    </row>
    <row r="60" spans="1:17" x14ac:dyDescent="0.3">
      <c r="A60" t="s">
        <v>138</v>
      </c>
      <c r="B60" t="s">
        <v>1964</v>
      </c>
      <c r="C60" t="s">
        <v>29</v>
      </c>
      <c r="D60" t="s">
        <v>316</v>
      </c>
      <c r="E60">
        <v>1</v>
      </c>
      <c r="F60" t="s">
        <v>429</v>
      </c>
      <c r="G60" t="s">
        <v>201</v>
      </c>
      <c r="H60" t="s">
        <v>424</v>
      </c>
      <c r="I60" s="43" t="s">
        <v>416</v>
      </c>
      <c r="J60" s="43" t="s">
        <v>424</v>
      </c>
      <c r="K60" t="s">
        <v>2</v>
      </c>
      <c r="L60" s="43">
        <v>1</v>
      </c>
      <c r="M60" s="43" t="s">
        <v>427</v>
      </c>
      <c r="N60" s="51"/>
      <c r="O60" s="51">
        <v>0.75328344320348295</v>
      </c>
      <c r="P60" s="51"/>
      <c r="Q60" s="117">
        <v>0.75328344320348295</v>
      </c>
    </row>
    <row r="61" spans="1:17" x14ac:dyDescent="0.3">
      <c r="A61" t="s">
        <v>138</v>
      </c>
      <c r="B61" t="s">
        <v>1964</v>
      </c>
      <c r="C61" t="s">
        <v>29</v>
      </c>
      <c r="D61" t="s">
        <v>366</v>
      </c>
      <c r="E61">
        <v>1</v>
      </c>
      <c r="F61" t="s">
        <v>429</v>
      </c>
      <c r="G61" t="s">
        <v>201</v>
      </c>
      <c r="H61" t="s">
        <v>424</v>
      </c>
      <c r="I61" s="43" t="s">
        <v>416</v>
      </c>
      <c r="J61" s="43" t="s">
        <v>424</v>
      </c>
      <c r="K61" t="s">
        <v>2</v>
      </c>
      <c r="L61" s="43">
        <v>1</v>
      </c>
      <c r="M61" s="43" t="s">
        <v>427</v>
      </c>
      <c r="N61" s="51"/>
      <c r="O61" s="51">
        <v>0.75328344320348295</v>
      </c>
      <c r="P61" s="51"/>
      <c r="Q61" s="117">
        <v>0.75328344320348295</v>
      </c>
    </row>
    <row r="62" spans="1:17" x14ac:dyDescent="0.3">
      <c r="A62" t="s">
        <v>135</v>
      </c>
      <c r="B62" t="s">
        <v>139</v>
      </c>
      <c r="C62" t="s">
        <v>29</v>
      </c>
      <c r="E62">
        <v>1</v>
      </c>
      <c r="F62" t="s">
        <v>147</v>
      </c>
      <c r="G62" t="s">
        <v>135</v>
      </c>
      <c r="H62" t="s">
        <v>55</v>
      </c>
      <c r="I62" s="43" t="s">
        <v>413</v>
      </c>
      <c r="J62" s="43" t="s">
        <v>896</v>
      </c>
      <c r="L62" s="43"/>
      <c r="M62" s="43"/>
      <c r="N62" s="51"/>
      <c r="O62" s="51"/>
      <c r="P62" s="51"/>
      <c r="Q62" s="117">
        <v>1</v>
      </c>
    </row>
    <row r="63" spans="1:17" x14ac:dyDescent="0.3">
      <c r="A63" t="s">
        <v>135</v>
      </c>
      <c r="B63" t="s">
        <v>139</v>
      </c>
      <c r="C63" t="s">
        <v>29</v>
      </c>
      <c r="E63">
        <v>2</v>
      </c>
      <c r="F63" t="s">
        <v>429</v>
      </c>
      <c r="G63" t="s">
        <v>201</v>
      </c>
      <c r="H63" t="s">
        <v>424</v>
      </c>
      <c r="I63" s="43" t="s">
        <v>416</v>
      </c>
      <c r="J63" s="43" t="s">
        <v>424</v>
      </c>
      <c r="K63" t="s">
        <v>2</v>
      </c>
      <c r="L63" s="43"/>
      <c r="M63" s="43"/>
      <c r="N63" s="51"/>
      <c r="O63" s="51">
        <v>1</v>
      </c>
      <c r="P63" s="51"/>
      <c r="Q63" s="117">
        <v>1</v>
      </c>
    </row>
    <row r="64" spans="1:17" x14ac:dyDescent="0.3">
      <c r="A64" t="s">
        <v>135</v>
      </c>
      <c r="B64" t="s">
        <v>140</v>
      </c>
      <c r="C64" t="s">
        <v>29</v>
      </c>
      <c r="E64">
        <v>1</v>
      </c>
      <c r="F64" t="s">
        <v>147</v>
      </c>
      <c r="G64" t="s">
        <v>135</v>
      </c>
      <c r="H64" t="s">
        <v>55</v>
      </c>
      <c r="I64" s="43" t="s">
        <v>413</v>
      </c>
      <c r="J64" s="43" t="s">
        <v>896</v>
      </c>
      <c r="L64" s="43"/>
      <c r="M64" s="43"/>
      <c r="N64" s="51"/>
      <c r="O64" s="51"/>
      <c r="P64" s="51"/>
      <c r="Q64" s="117">
        <v>1</v>
      </c>
    </row>
    <row r="65" spans="1:17" x14ac:dyDescent="0.3">
      <c r="A65" t="s">
        <v>135</v>
      </c>
      <c r="B65" t="s">
        <v>140</v>
      </c>
      <c r="C65" t="s">
        <v>29</v>
      </c>
      <c r="E65">
        <v>2</v>
      </c>
      <c r="F65" t="s">
        <v>429</v>
      </c>
      <c r="G65" t="s">
        <v>201</v>
      </c>
      <c r="H65" t="s">
        <v>424</v>
      </c>
      <c r="I65" s="43" t="s">
        <v>416</v>
      </c>
      <c r="J65" s="43" t="s">
        <v>424</v>
      </c>
      <c r="K65" t="s">
        <v>2</v>
      </c>
      <c r="L65" s="43"/>
      <c r="M65" s="43"/>
      <c r="N65" s="51"/>
      <c r="O65" s="51">
        <v>1</v>
      </c>
      <c r="P65" s="51"/>
      <c r="Q65" s="117">
        <v>1</v>
      </c>
    </row>
    <row r="66" spans="1:17" x14ac:dyDescent="0.3">
      <c r="A66" t="s">
        <v>131</v>
      </c>
      <c r="B66" t="s">
        <v>139</v>
      </c>
      <c r="C66" t="s">
        <v>29</v>
      </c>
      <c r="E66">
        <v>1</v>
      </c>
      <c r="F66" t="s">
        <v>14</v>
      </c>
      <c r="G66" t="s">
        <v>131</v>
      </c>
      <c r="H66" t="s">
        <v>55</v>
      </c>
      <c r="I66" s="43" t="s">
        <v>413</v>
      </c>
      <c r="J66" s="43" t="s">
        <v>895</v>
      </c>
      <c r="L66" s="43"/>
      <c r="M66" s="43"/>
      <c r="N66" s="51"/>
      <c r="O66" s="51"/>
      <c r="P66" s="51"/>
      <c r="Q66" s="117">
        <v>1</v>
      </c>
    </row>
    <row r="67" spans="1:17" x14ac:dyDescent="0.3">
      <c r="A67" t="s">
        <v>131</v>
      </c>
      <c r="B67" t="s">
        <v>139</v>
      </c>
      <c r="C67" t="s">
        <v>29</v>
      </c>
      <c r="E67">
        <v>2</v>
      </c>
      <c r="F67" t="s">
        <v>429</v>
      </c>
      <c r="G67" t="s">
        <v>201</v>
      </c>
      <c r="H67" t="s">
        <v>424</v>
      </c>
      <c r="I67" s="43" t="s">
        <v>416</v>
      </c>
      <c r="J67" s="43" t="s">
        <v>424</v>
      </c>
      <c r="K67" t="s">
        <v>2</v>
      </c>
      <c r="L67" s="43"/>
      <c r="M67" s="43"/>
      <c r="N67" s="51"/>
      <c r="O67" s="51">
        <v>1</v>
      </c>
      <c r="P67" s="51"/>
      <c r="Q67" s="117">
        <v>1</v>
      </c>
    </row>
    <row r="68" spans="1:17" x14ac:dyDescent="0.3">
      <c r="A68" t="s">
        <v>131</v>
      </c>
      <c r="B68" t="s">
        <v>140</v>
      </c>
      <c r="C68" t="s">
        <v>29</v>
      </c>
      <c r="E68">
        <v>1</v>
      </c>
      <c r="F68" t="s">
        <v>14</v>
      </c>
      <c r="G68" t="s">
        <v>131</v>
      </c>
      <c r="H68" t="s">
        <v>55</v>
      </c>
      <c r="I68" s="43" t="s">
        <v>413</v>
      </c>
      <c r="J68" s="43" t="s">
        <v>895</v>
      </c>
      <c r="L68" s="43"/>
      <c r="M68" s="43"/>
      <c r="N68" s="51"/>
      <c r="O68" s="51"/>
      <c r="P68" s="51"/>
      <c r="Q68" s="117">
        <v>1</v>
      </c>
    </row>
    <row r="69" spans="1:17" x14ac:dyDescent="0.3">
      <c r="A69" t="s">
        <v>131</v>
      </c>
      <c r="B69" t="s">
        <v>140</v>
      </c>
      <c r="C69" t="s">
        <v>29</v>
      </c>
      <c r="E69">
        <v>2</v>
      </c>
      <c r="F69" t="s">
        <v>429</v>
      </c>
      <c r="G69" t="s">
        <v>201</v>
      </c>
      <c r="H69" t="s">
        <v>424</v>
      </c>
      <c r="I69" s="43" t="s">
        <v>416</v>
      </c>
      <c r="J69" s="43" t="s">
        <v>424</v>
      </c>
      <c r="K69" t="s">
        <v>2</v>
      </c>
      <c r="L69" s="43"/>
      <c r="M69" s="43"/>
      <c r="N69" s="51"/>
      <c r="O69" s="51">
        <v>1</v>
      </c>
      <c r="P69" s="51"/>
      <c r="Q69" s="117">
        <v>1</v>
      </c>
    </row>
    <row r="70" spans="1:17" x14ac:dyDescent="0.3">
      <c r="A70" t="s">
        <v>132</v>
      </c>
      <c r="B70" t="s">
        <v>139</v>
      </c>
      <c r="C70" t="s">
        <v>29</v>
      </c>
      <c r="E70">
        <v>1</v>
      </c>
      <c r="F70" t="s">
        <v>14</v>
      </c>
      <c r="G70" t="s">
        <v>132</v>
      </c>
      <c r="H70" t="s">
        <v>55</v>
      </c>
      <c r="I70" s="43" t="s">
        <v>413</v>
      </c>
      <c r="J70" s="43" t="s">
        <v>895</v>
      </c>
      <c r="L70" s="43"/>
      <c r="M70" s="43"/>
      <c r="N70" s="51"/>
      <c r="O70" s="51"/>
      <c r="P70" s="51"/>
      <c r="Q70" s="117">
        <v>1</v>
      </c>
    </row>
    <row r="71" spans="1:17" x14ac:dyDescent="0.3">
      <c r="A71" t="s">
        <v>132</v>
      </c>
      <c r="B71" t="s">
        <v>139</v>
      </c>
      <c r="C71" t="s">
        <v>29</v>
      </c>
      <c r="E71">
        <v>2</v>
      </c>
      <c r="F71" t="s">
        <v>429</v>
      </c>
      <c r="G71" t="s">
        <v>201</v>
      </c>
      <c r="H71" t="s">
        <v>424</v>
      </c>
      <c r="I71" s="43" t="s">
        <v>416</v>
      </c>
      <c r="J71" s="43" t="s">
        <v>424</v>
      </c>
      <c r="K71" t="s">
        <v>2</v>
      </c>
      <c r="L71" s="43"/>
      <c r="M71" s="43"/>
      <c r="N71" s="51"/>
      <c r="O71" s="51">
        <v>1</v>
      </c>
      <c r="P71" s="51"/>
      <c r="Q71" s="117">
        <v>1</v>
      </c>
    </row>
    <row r="72" spans="1:17" x14ac:dyDescent="0.3">
      <c r="A72" t="s">
        <v>132</v>
      </c>
      <c r="B72" t="s">
        <v>140</v>
      </c>
      <c r="C72" t="s">
        <v>29</v>
      </c>
      <c r="E72">
        <v>1</v>
      </c>
      <c r="F72" t="s">
        <v>14</v>
      </c>
      <c r="G72" t="s">
        <v>132</v>
      </c>
      <c r="H72" t="s">
        <v>55</v>
      </c>
      <c r="I72" s="43" t="s">
        <v>413</v>
      </c>
      <c r="J72" s="43" t="s">
        <v>895</v>
      </c>
      <c r="L72" s="43"/>
      <c r="M72" s="43"/>
      <c r="N72" s="51"/>
      <c r="O72" s="51"/>
      <c r="P72" s="51"/>
      <c r="Q72" s="117">
        <v>1</v>
      </c>
    </row>
    <row r="73" spans="1:17" x14ac:dyDescent="0.3">
      <c r="A73" t="s">
        <v>132</v>
      </c>
      <c r="B73" t="s">
        <v>140</v>
      </c>
      <c r="C73" t="s">
        <v>29</v>
      </c>
      <c r="E73">
        <v>2</v>
      </c>
      <c r="F73" t="s">
        <v>429</v>
      </c>
      <c r="G73" t="s">
        <v>201</v>
      </c>
      <c r="H73" t="s">
        <v>424</v>
      </c>
      <c r="I73" s="43" t="s">
        <v>416</v>
      </c>
      <c r="J73" s="43" t="s">
        <v>424</v>
      </c>
      <c r="K73" t="s">
        <v>2</v>
      </c>
      <c r="L73" s="43"/>
      <c r="M73" s="43"/>
      <c r="N73" s="51"/>
      <c r="O73" s="51">
        <v>1</v>
      </c>
      <c r="P73" s="51"/>
      <c r="Q73" s="117">
        <v>1</v>
      </c>
    </row>
    <row r="74" spans="1:17" x14ac:dyDescent="0.3">
      <c r="A74" t="s">
        <v>133</v>
      </c>
      <c r="B74" t="s">
        <v>139</v>
      </c>
      <c r="C74" t="s">
        <v>29</v>
      </c>
      <c r="E74">
        <v>1</v>
      </c>
      <c r="F74" t="s">
        <v>14</v>
      </c>
      <c r="G74" t="s">
        <v>133</v>
      </c>
      <c r="H74" t="s">
        <v>55</v>
      </c>
      <c r="I74" s="43" t="s">
        <v>413</v>
      </c>
      <c r="J74" s="43" t="s">
        <v>895</v>
      </c>
      <c r="L74" s="43"/>
      <c r="M74" s="43"/>
      <c r="N74" s="51"/>
      <c r="O74" s="51"/>
      <c r="P74" s="51"/>
      <c r="Q74" s="117">
        <v>1</v>
      </c>
    </row>
    <row r="75" spans="1:17" x14ac:dyDescent="0.3">
      <c r="A75" t="s">
        <v>133</v>
      </c>
      <c r="B75" t="s">
        <v>139</v>
      </c>
      <c r="C75" t="s">
        <v>29</v>
      </c>
      <c r="E75">
        <v>2</v>
      </c>
      <c r="F75" t="s">
        <v>429</v>
      </c>
      <c r="G75" t="s">
        <v>201</v>
      </c>
      <c r="H75" t="s">
        <v>424</v>
      </c>
      <c r="I75" s="43" t="s">
        <v>416</v>
      </c>
      <c r="J75" s="43" t="s">
        <v>424</v>
      </c>
      <c r="K75" t="s">
        <v>2</v>
      </c>
      <c r="L75" s="43"/>
      <c r="M75" s="43"/>
      <c r="N75" s="51"/>
      <c r="O75" s="51">
        <v>1</v>
      </c>
      <c r="P75" s="51"/>
      <c r="Q75" s="117">
        <v>1</v>
      </c>
    </row>
    <row r="76" spans="1:17" x14ac:dyDescent="0.3">
      <c r="A76" t="s">
        <v>133</v>
      </c>
      <c r="B76" t="s">
        <v>140</v>
      </c>
      <c r="C76" t="s">
        <v>29</v>
      </c>
      <c r="E76">
        <v>1</v>
      </c>
      <c r="F76" t="s">
        <v>14</v>
      </c>
      <c r="G76" t="s">
        <v>133</v>
      </c>
      <c r="H76" t="s">
        <v>55</v>
      </c>
      <c r="I76" s="43" t="s">
        <v>413</v>
      </c>
      <c r="J76" s="43" t="s">
        <v>895</v>
      </c>
      <c r="L76" s="43"/>
      <c r="M76" s="43"/>
      <c r="N76" s="51"/>
      <c r="O76" s="51"/>
      <c r="P76" s="51"/>
      <c r="Q76" s="117">
        <v>1</v>
      </c>
    </row>
    <row r="77" spans="1:17" x14ac:dyDescent="0.3">
      <c r="A77" t="s">
        <v>133</v>
      </c>
      <c r="B77" t="s">
        <v>140</v>
      </c>
      <c r="C77" t="s">
        <v>29</v>
      </c>
      <c r="E77">
        <v>2</v>
      </c>
      <c r="F77" t="s">
        <v>429</v>
      </c>
      <c r="G77" t="s">
        <v>201</v>
      </c>
      <c r="H77" t="s">
        <v>424</v>
      </c>
      <c r="I77" s="43" t="s">
        <v>416</v>
      </c>
      <c r="J77" s="43" t="s">
        <v>424</v>
      </c>
      <c r="K77" t="s">
        <v>2</v>
      </c>
      <c r="L77" s="43"/>
      <c r="M77" s="43"/>
      <c r="N77" s="51"/>
      <c r="O77" s="51">
        <v>1</v>
      </c>
      <c r="P77" s="51"/>
      <c r="Q77" s="117">
        <v>1</v>
      </c>
    </row>
    <row r="78" spans="1:17" x14ac:dyDescent="0.3">
      <c r="A78" t="s">
        <v>134</v>
      </c>
      <c r="B78" t="s">
        <v>139</v>
      </c>
      <c r="C78" t="s">
        <v>29</v>
      </c>
      <c r="E78">
        <v>1</v>
      </c>
      <c r="F78" t="s">
        <v>14</v>
      </c>
      <c r="G78" t="s">
        <v>134</v>
      </c>
      <c r="H78" t="s">
        <v>55</v>
      </c>
      <c r="I78" s="43" t="s">
        <v>413</v>
      </c>
      <c r="J78" s="43" t="s">
        <v>895</v>
      </c>
      <c r="L78" s="43"/>
      <c r="M78" s="43"/>
      <c r="N78" s="51"/>
      <c r="O78" s="51"/>
      <c r="P78" s="51"/>
      <c r="Q78" s="117">
        <v>1</v>
      </c>
    </row>
    <row r="79" spans="1:17" x14ac:dyDescent="0.3">
      <c r="A79" t="s">
        <v>134</v>
      </c>
      <c r="B79" t="s">
        <v>139</v>
      </c>
      <c r="C79" t="s">
        <v>29</v>
      </c>
      <c r="E79">
        <v>2</v>
      </c>
      <c r="F79" t="s">
        <v>429</v>
      </c>
      <c r="G79" t="s">
        <v>201</v>
      </c>
      <c r="H79" t="s">
        <v>424</v>
      </c>
      <c r="I79" s="43" t="s">
        <v>416</v>
      </c>
      <c r="J79" s="43" t="s">
        <v>424</v>
      </c>
      <c r="K79" t="s">
        <v>2</v>
      </c>
      <c r="L79" s="43"/>
      <c r="M79" s="43"/>
      <c r="N79" s="51"/>
      <c r="O79" s="51">
        <v>1</v>
      </c>
      <c r="P79" s="51"/>
      <c r="Q79" s="117">
        <v>1</v>
      </c>
    </row>
    <row r="80" spans="1:17" x14ac:dyDescent="0.3">
      <c r="A80" t="s">
        <v>134</v>
      </c>
      <c r="B80" t="s">
        <v>140</v>
      </c>
      <c r="C80" t="s">
        <v>29</v>
      </c>
      <c r="E80">
        <v>1</v>
      </c>
      <c r="F80" t="s">
        <v>14</v>
      </c>
      <c r="G80" t="s">
        <v>134</v>
      </c>
      <c r="H80" t="s">
        <v>55</v>
      </c>
      <c r="I80" s="43" t="s">
        <v>413</v>
      </c>
      <c r="J80" s="43" t="s">
        <v>895</v>
      </c>
      <c r="L80" s="43"/>
      <c r="M80" s="43"/>
      <c r="N80" s="51"/>
      <c r="O80" s="51"/>
      <c r="P80" s="51"/>
      <c r="Q80" s="117">
        <v>1</v>
      </c>
    </row>
    <row r="81" spans="1:17" x14ac:dyDescent="0.3">
      <c r="A81" t="s">
        <v>134</v>
      </c>
      <c r="B81" t="s">
        <v>140</v>
      </c>
      <c r="C81" t="s">
        <v>29</v>
      </c>
      <c r="E81">
        <v>2</v>
      </c>
      <c r="F81" t="s">
        <v>429</v>
      </c>
      <c r="G81" t="s">
        <v>201</v>
      </c>
      <c r="H81" t="s">
        <v>424</v>
      </c>
      <c r="I81" s="43" t="s">
        <v>416</v>
      </c>
      <c r="J81" s="43" t="s">
        <v>424</v>
      </c>
      <c r="K81" t="s">
        <v>2</v>
      </c>
      <c r="L81" s="43"/>
      <c r="M81" s="43"/>
      <c r="N81" s="51"/>
      <c r="O81" s="51">
        <v>1</v>
      </c>
      <c r="P81" s="51"/>
      <c r="Q81" s="117">
        <v>1</v>
      </c>
    </row>
    <row r="82" spans="1:17" x14ac:dyDescent="0.3">
      <c r="A82" t="s">
        <v>316</v>
      </c>
      <c r="B82" t="s">
        <v>139</v>
      </c>
      <c r="C82" t="s">
        <v>29</v>
      </c>
      <c r="E82">
        <v>1</v>
      </c>
      <c r="F82" t="s">
        <v>147</v>
      </c>
      <c r="G82" t="s">
        <v>316</v>
      </c>
      <c r="H82" t="s">
        <v>55</v>
      </c>
      <c r="I82" s="43" t="s">
        <v>413</v>
      </c>
      <c r="J82" s="43" t="s">
        <v>896</v>
      </c>
      <c r="L82" s="43"/>
      <c r="M82" s="43"/>
      <c r="N82" s="51"/>
      <c r="O82" s="51"/>
      <c r="P82" s="51"/>
      <c r="Q82" s="117">
        <v>1</v>
      </c>
    </row>
    <row r="83" spans="1:17" x14ac:dyDescent="0.3">
      <c r="A83" t="s">
        <v>316</v>
      </c>
      <c r="B83" t="s">
        <v>139</v>
      </c>
      <c r="C83" t="s">
        <v>29</v>
      </c>
      <c r="E83">
        <v>2</v>
      </c>
      <c r="F83" t="s">
        <v>429</v>
      </c>
      <c r="G83" t="s">
        <v>201</v>
      </c>
      <c r="H83" t="s">
        <v>424</v>
      </c>
      <c r="I83" s="43" t="s">
        <v>416</v>
      </c>
      <c r="J83" s="43" t="s">
        <v>424</v>
      </c>
      <c r="K83" t="s">
        <v>2</v>
      </c>
      <c r="L83" s="43"/>
      <c r="M83" s="43"/>
      <c r="N83" s="51"/>
      <c r="O83" s="51">
        <v>1</v>
      </c>
      <c r="P83" s="51"/>
      <c r="Q83" s="117">
        <v>1</v>
      </c>
    </row>
    <row r="84" spans="1:17" x14ac:dyDescent="0.3">
      <c r="A84" t="s">
        <v>316</v>
      </c>
      <c r="B84" t="s">
        <v>140</v>
      </c>
      <c r="C84" t="s">
        <v>29</v>
      </c>
      <c r="E84">
        <v>1</v>
      </c>
      <c r="F84" t="s">
        <v>147</v>
      </c>
      <c r="G84" t="s">
        <v>316</v>
      </c>
      <c r="H84" t="s">
        <v>55</v>
      </c>
      <c r="I84" s="43" t="s">
        <v>413</v>
      </c>
      <c r="J84" s="43" t="s">
        <v>896</v>
      </c>
      <c r="L84" s="43"/>
      <c r="M84" s="43"/>
      <c r="N84" s="51"/>
      <c r="O84" s="51"/>
      <c r="P84" s="51"/>
      <c r="Q84" s="117">
        <v>1</v>
      </c>
    </row>
    <row r="85" spans="1:17" x14ac:dyDescent="0.3">
      <c r="A85" t="s">
        <v>316</v>
      </c>
      <c r="B85" t="s">
        <v>140</v>
      </c>
      <c r="C85" t="s">
        <v>29</v>
      </c>
      <c r="E85">
        <v>2</v>
      </c>
      <c r="F85" t="s">
        <v>429</v>
      </c>
      <c r="G85" t="s">
        <v>201</v>
      </c>
      <c r="H85" t="s">
        <v>424</v>
      </c>
      <c r="I85" s="43" t="s">
        <v>416</v>
      </c>
      <c r="J85" s="43" t="s">
        <v>424</v>
      </c>
      <c r="K85" t="s">
        <v>2</v>
      </c>
      <c r="L85" s="43"/>
      <c r="M85" s="43"/>
      <c r="N85" s="51"/>
      <c r="O85" s="51">
        <v>1</v>
      </c>
      <c r="P85" s="51"/>
      <c r="Q85" s="117">
        <v>1</v>
      </c>
    </row>
    <row r="86" spans="1:17" x14ac:dyDescent="0.3">
      <c r="A86" s="70" t="s">
        <v>10</v>
      </c>
      <c r="B86" s="70" t="s">
        <v>30</v>
      </c>
      <c r="C86" s="70" t="s">
        <v>194</v>
      </c>
      <c r="D86" s="70" t="s">
        <v>367</v>
      </c>
      <c r="E86" s="70">
        <v>1</v>
      </c>
      <c r="F86" s="70" t="s">
        <v>14</v>
      </c>
      <c r="G86" s="70" t="s">
        <v>10</v>
      </c>
      <c r="H86" s="70" t="s">
        <v>11</v>
      </c>
      <c r="I86" s="43" t="s">
        <v>413</v>
      </c>
      <c r="J86" s="43" t="s">
        <v>11</v>
      </c>
      <c r="K86" s="70"/>
      <c r="L86" s="43"/>
      <c r="M86" s="43"/>
      <c r="N86" s="76"/>
      <c r="O86" s="76"/>
      <c r="P86" s="76"/>
      <c r="Q86" s="117">
        <v>1</v>
      </c>
    </row>
    <row r="87" spans="1:17" x14ac:dyDescent="0.3">
      <c r="A87" s="70" t="s">
        <v>10</v>
      </c>
      <c r="B87" s="70" t="s">
        <v>30</v>
      </c>
      <c r="C87" s="70" t="s">
        <v>194</v>
      </c>
      <c r="D87" s="70" t="s">
        <v>367</v>
      </c>
      <c r="E87" s="70">
        <v>2</v>
      </c>
      <c r="F87" s="70" t="s">
        <v>15</v>
      </c>
      <c r="G87" s="70" t="s">
        <v>1903</v>
      </c>
      <c r="H87" s="70" t="s">
        <v>12</v>
      </c>
      <c r="I87" s="43" t="s">
        <v>891</v>
      </c>
      <c r="J87" s="43" t="s">
        <v>891</v>
      </c>
      <c r="K87" s="70" t="s">
        <v>2</v>
      </c>
      <c r="L87" s="43">
        <v>2</v>
      </c>
      <c r="M87" s="43" t="s">
        <v>414</v>
      </c>
      <c r="N87" s="76"/>
      <c r="O87" s="76">
        <v>0.43</v>
      </c>
      <c r="P87" s="76"/>
      <c r="Q87" s="117">
        <v>0.43</v>
      </c>
    </row>
    <row r="88" spans="1:17" x14ac:dyDescent="0.3">
      <c r="A88" s="70" t="s">
        <v>10</v>
      </c>
      <c r="B88" s="70" t="s">
        <v>30</v>
      </c>
      <c r="C88" s="70" t="s">
        <v>194</v>
      </c>
      <c r="D88" s="70" t="s">
        <v>367</v>
      </c>
      <c r="E88" s="70">
        <v>3</v>
      </c>
      <c r="F88" s="70" t="s">
        <v>429</v>
      </c>
      <c r="G88" s="70" t="s">
        <v>201</v>
      </c>
      <c r="H88" s="70" t="s">
        <v>415</v>
      </c>
      <c r="I88" s="43" t="s">
        <v>416</v>
      </c>
      <c r="J88" s="43" t="s">
        <v>415</v>
      </c>
      <c r="K88" s="70" t="s">
        <v>2</v>
      </c>
      <c r="L88" s="43">
        <v>2</v>
      </c>
      <c r="M88" s="43" t="s">
        <v>417</v>
      </c>
      <c r="N88" s="76"/>
      <c r="O88" s="76">
        <v>0.93</v>
      </c>
      <c r="P88" s="76"/>
      <c r="Q88" s="117">
        <v>0.93</v>
      </c>
    </row>
    <row r="89" spans="1:17" x14ac:dyDescent="0.3">
      <c r="A89" s="70" t="s">
        <v>10</v>
      </c>
      <c r="B89" s="70" t="s">
        <v>30</v>
      </c>
      <c r="C89" s="70" t="s">
        <v>194</v>
      </c>
      <c r="D89" s="70" t="s">
        <v>368</v>
      </c>
      <c r="E89" s="70">
        <v>1</v>
      </c>
      <c r="F89" s="70" t="s">
        <v>14</v>
      </c>
      <c r="G89" s="70" t="s">
        <v>10</v>
      </c>
      <c r="H89" s="70" t="s">
        <v>11</v>
      </c>
      <c r="I89" s="43" t="s">
        <v>413</v>
      </c>
      <c r="J89" s="43" t="s">
        <v>11</v>
      </c>
      <c r="K89" s="70"/>
      <c r="L89" s="43"/>
      <c r="M89" s="43"/>
      <c r="N89" s="76"/>
      <c r="O89" s="76"/>
      <c r="P89" s="76"/>
      <c r="Q89" s="117">
        <v>1</v>
      </c>
    </row>
    <row r="90" spans="1:17" x14ac:dyDescent="0.3">
      <c r="A90" s="70" t="s">
        <v>10</v>
      </c>
      <c r="B90" s="70" t="s">
        <v>30</v>
      </c>
      <c r="C90" s="70" t="s">
        <v>194</v>
      </c>
      <c r="D90" s="70" t="s">
        <v>368</v>
      </c>
      <c r="E90" s="70">
        <v>2</v>
      </c>
      <c r="F90" s="70" t="s">
        <v>15</v>
      </c>
      <c r="G90" s="70" t="s">
        <v>1903</v>
      </c>
      <c r="H90" s="70" t="s">
        <v>12</v>
      </c>
      <c r="I90" s="43" t="s">
        <v>891</v>
      </c>
      <c r="J90" s="43" t="s">
        <v>891</v>
      </c>
      <c r="K90" s="70" t="s">
        <v>2</v>
      </c>
      <c r="L90" s="43">
        <v>2</v>
      </c>
      <c r="M90" s="43" t="s">
        <v>414</v>
      </c>
      <c r="N90" s="76"/>
      <c r="O90" s="76">
        <v>0.43</v>
      </c>
      <c r="P90" s="76"/>
      <c r="Q90" s="117">
        <v>0.43</v>
      </c>
    </row>
    <row r="91" spans="1:17" x14ac:dyDescent="0.3">
      <c r="A91" s="70" t="s">
        <v>10</v>
      </c>
      <c r="B91" s="70" t="s">
        <v>30</v>
      </c>
      <c r="C91" s="70" t="s">
        <v>194</v>
      </c>
      <c r="D91" s="70" t="s">
        <v>368</v>
      </c>
      <c r="E91" s="70">
        <v>3</v>
      </c>
      <c r="F91" s="70" t="s">
        <v>429</v>
      </c>
      <c r="G91" s="70" t="s">
        <v>201</v>
      </c>
      <c r="H91" s="70" t="s">
        <v>415</v>
      </c>
      <c r="I91" s="43" t="s">
        <v>416</v>
      </c>
      <c r="J91" s="43" t="s">
        <v>415</v>
      </c>
      <c r="K91" s="70" t="s">
        <v>2</v>
      </c>
      <c r="L91" s="43">
        <v>2</v>
      </c>
      <c r="M91" s="43" t="s">
        <v>417</v>
      </c>
      <c r="N91" s="76"/>
      <c r="O91" s="76">
        <v>0.93</v>
      </c>
      <c r="P91" s="76"/>
      <c r="Q91" s="117">
        <v>0.93</v>
      </c>
    </row>
    <row r="92" spans="1:17" x14ac:dyDescent="0.3">
      <c r="A92" s="70" t="s">
        <v>10</v>
      </c>
      <c r="B92" s="70" t="s">
        <v>30</v>
      </c>
      <c r="C92" s="70" t="s">
        <v>194</v>
      </c>
      <c r="D92" s="70" t="s">
        <v>369</v>
      </c>
      <c r="E92" s="70">
        <v>1</v>
      </c>
      <c r="F92" s="70" t="s">
        <v>14</v>
      </c>
      <c r="G92" s="70" t="s">
        <v>10</v>
      </c>
      <c r="H92" s="70" t="s">
        <v>11</v>
      </c>
      <c r="I92" s="43" t="s">
        <v>413</v>
      </c>
      <c r="J92" s="43" t="s">
        <v>11</v>
      </c>
      <c r="K92" s="70"/>
      <c r="L92" s="43"/>
      <c r="M92" s="43"/>
      <c r="N92" s="76"/>
      <c r="O92" s="76"/>
      <c r="P92" s="76"/>
      <c r="Q92" s="117">
        <v>1</v>
      </c>
    </row>
    <row r="93" spans="1:17" x14ac:dyDescent="0.3">
      <c r="A93" s="70" t="s">
        <v>10</v>
      </c>
      <c r="B93" s="70" t="s">
        <v>30</v>
      </c>
      <c r="C93" s="70" t="s">
        <v>194</v>
      </c>
      <c r="D93" s="70" t="s">
        <v>369</v>
      </c>
      <c r="E93" s="70">
        <v>2</v>
      </c>
      <c r="F93" s="70" t="s">
        <v>15</v>
      </c>
      <c r="G93" s="70" t="s">
        <v>1903</v>
      </c>
      <c r="H93" s="70" t="s">
        <v>12</v>
      </c>
      <c r="I93" s="43" t="s">
        <v>891</v>
      </c>
      <c r="J93" s="43" t="s">
        <v>891</v>
      </c>
      <c r="K93" s="70" t="s">
        <v>2</v>
      </c>
      <c r="L93" s="43">
        <v>2</v>
      </c>
      <c r="M93" s="43" t="s">
        <v>414</v>
      </c>
      <c r="N93" s="76"/>
      <c r="O93" s="76">
        <v>0.43</v>
      </c>
      <c r="P93" s="76"/>
      <c r="Q93" s="117">
        <v>0.43</v>
      </c>
    </row>
    <row r="94" spans="1:17" x14ac:dyDescent="0.3">
      <c r="A94" s="70" t="s">
        <v>10</v>
      </c>
      <c r="B94" s="70" t="s">
        <v>30</v>
      </c>
      <c r="C94" s="70" t="s">
        <v>194</v>
      </c>
      <c r="D94" s="70" t="s">
        <v>369</v>
      </c>
      <c r="E94" s="70">
        <v>3</v>
      </c>
      <c r="F94" s="70" t="s">
        <v>429</v>
      </c>
      <c r="G94" s="70" t="s">
        <v>201</v>
      </c>
      <c r="H94" s="70" t="s">
        <v>415</v>
      </c>
      <c r="I94" s="43" t="s">
        <v>416</v>
      </c>
      <c r="J94" s="43" t="s">
        <v>415</v>
      </c>
      <c r="K94" s="70" t="s">
        <v>2</v>
      </c>
      <c r="L94" s="43">
        <v>2</v>
      </c>
      <c r="M94" s="43" t="s">
        <v>417</v>
      </c>
      <c r="N94" s="76"/>
      <c r="O94" s="76">
        <v>0.80800000000000005</v>
      </c>
      <c r="P94" s="76"/>
      <c r="Q94" s="117">
        <v>0.80800000000000005</v>
      </c>
    </row>
    <row r="95" spans="1:17" x14ac:dyDescent="0.3">
      <c r="A95" s="70" t="s">
        <v>10</v>
      </c>
      <c r="B95" s="70" t="s">
        <v>30</v>
      </c>
      <c r="C95" s="70" t="s">
        <v>194</v>
      </c>
      <c r="D95" s="70" t="s">
        <v>355</v>
      </c>
      <c r="E95" s="70">
        <v>1</v>
      </c>
      <c r="F95" s="70" t="s">
        <v>14</v>
      </c>
      <c r="G95" s="70" t="s">
        <v>10</v>
      </c>
      <c r="H95" s="70" t="s">
        <v>11</v>
      </c>
      <c r="I95" s="43" t="s">
        <v>413</v>
      </c>
      <c r="J95" s="43" t="s">
        <v>11</v>
      </c>
      <c r="K95" s="70"/>
      <c r="L95" s="43"/>
      <c r="M95" s="43"/>
      <c r="N95" s="76"/>
      <c r="O95" s="76"/>
      <c r="P95" s="76"/>
      <c r="Q95" s="117">
        <v>1</v>
      </c>
    </row>
    <row r="96" spans="1:17" x14ac:dyDescent="0.3">
      <c r="A96" s="70" t="s">
        <v>10</v>
      </c>
      <c r="B96" s="70" t="s">
        <v>30</v>
      </c>
      <c r="C96" s="70" t="s">
        <v>194</v>
      </c>
      <c r="D96" s="70" t="s">
        <v>355</v>
      </c>
      <c r="E96" s="70">
        <v>2</v>
      </c>
      <c r="F96" s="70" t="s">
        <v>15</v>
      </c>
      <c r="G96" s="70" t="s">
        <v>1903</v>
      </c>
      <c r="H96" s="70" t="s">
        <v>12</v>
      </c>
      <c r="I96" s="43" t="s">
        <v>891</v>
      </c>
      <c r="J96" s="43" t="s">
        <v>891</v>
      </c>
      <c r="K96" s="70" t="s">
        <v>2</v>
      </c>
      <c r="L96" s="43">
        <v>2</v>
      </c>
      <c r="M96" s="43" t="s">
        <v>414</v>
      </c>
      <c r="N96" s="76"/>
      <c r="O96" s="76">
        <v>0.43</v>
      </c>
      <c r="P96" s="76"/>
      <c r="Q96" s="117">
        <v>0.43</v>
      </c>
    </row>
    <row r="97" spans="1:17" x14ac:dyDescent="0.3">
      <c r="A97" s="70" t="s">
        <v>10</v>
      </c>
      <c r="B97" s="70" t="s">
        <v>30</v>
      </c>
      <c r="C97" s="70" t="s">
        <v>194</v>
      </c>
      <c r="D97" s="70" t="s">
        <v>355</v>
      </c>
      <c r="E97" s="70">
        <v>3</v>
      </c>
      <c r="F97" s="70" t="s">
        <v>429</v>
      </c>
      <c r="G97" s="70" t="s">
        <v>201</v>
      </c>
      <c r="H97" s="70" t="s">
        <v>415</v>
      </c>
      <c r="I97" s="43" t="s">
        <v>416</v>
      </c>
      <c r="J97" s="43" t="s">
        <v>415</v>
      </c>
      <c r="K97" s="70" t="s">
        <v>2</v>
      </c>
      <c r="L97" s="43">
        <v>2</v>
      </c>
      <c r="M97" s="43" t="s">
        <v>417</v>
      </c>
      <c r="N97" s="76"/>
      <c r="O97" s="76">
        <v>0.99</v>
      </c>
      <c r="P97" s="76"/>
      <c r="Q97" s="117">
        <v>0.99</v>
      </c>
    </row>
    <row r="98" spans="1:17" x14ac:dyDescent="0.3">
      <c r="A98" s="70" t="s">
        <v>125</v>
      </c>
      <c r="B98" s="70" t="s">
        <v>30</v>
      </c>
      <c r="C98" s="70" t="s">
        <v>194</v>
      </c>
      <c r="D98" s="70" t="s">
        <v>367</v>
      </c>
      <c r="E98" s="70">
        <v>1</v>
      </c>
      <c r="F98" s="70" t="s">
        <v>14</v>
      </c>
      <c r="G98" s="70" t="s">
        <v>125</v>
      </c>
      <c r="H98" s="70" t="s">
        <v>61</v>
      </c>
      <c r="I98" s="43" t="s">
        <v>413</v>
      </c>
      <c r="J98" s="43" t="s">
        <v>62</v>
      </c>
      <c r="K98" s="70"/>
      <c r="L98" s="43"/>
      <c r="M98" s="43"/>
      <c r="N98" s="76"/>
      <c r="O98" s="76"/>
      <c r="P98" s="76"/>
      <c r="Q98" s="117">
        <v>1</v>
      </c>
    </row>
    <row r="99" spans="1:17" x14ac:dyDescent="0.3">
      <c r="A99" s="70" t="s">
        <v>125</v>
      </c>
      <c r="B99" s="70" t="s">
        <v>30</v>
      </c>
      <c r="C99" s="70" t="s">
        <v>194</v>
      </c>
      <c r="D99" s="70" t="s">
        <v>367</v>
      </c>
      <c r="E99" s="70">
        <v>2</v>
      </c>
      <c r="F99" s="70" t="s">
        <v>15</v>
      </c>
      <c r="G99" s="70" t="s">
        <v>400</v>
      </c>
      <c r="H99" s="70" t="s">
        <v>12</v>
      </c>
      <c r="I99" s="43" t="s">
        <v>891</v>
      </c>
      <c r="J99" s="43" t="s">
        <v>891</v>
      </c>
      <c r="K99" s="70" t="s">
        <v>2</v>
      </c>
      <c r="L99" s="43">
        <v>2</v>
      </c>
      <c r="M99" s="43" t="s">
        <v>419</v>
      </c>
      <c r="N99" s="76"/>
      <c r="O99" s="76">
        <v>0.71499999999999997</v>
      </c>
      <c r="P99" s="76"/>
      <c r="Q99" s="117">
        <v>0.71499999999999997</v>
      </c>
    </row>
    <row r="100" spans="1:17" x14ac:dyDescent="0.3">
      <c r="A100" s="70" t="s">
        <v>125</v>
      </c>
      <c r="B100" s="70" t="s">
        <v>30</v>
      </c>
      <c r="C100" s="70" t="s">
        <v>194</v>
      </c>
      <c r="D100" s="70" t="s">
        <v>367</v>
      </c>
      <c r="E100" s="70">
        <v>3</v>
      </c>
      <c r="F100" s="70" t="s">
        <v>429</v>
      </c>
      <c r="G100" s="70" t="s">
        <v>201</v>
      </c>
      <c r="H100" s="70" t="s">
        <v>415</v>
      </c>
      <c r="I100" s="43" t="s">
        <v>416</v>
      </c>
      <c r="J100" s="43" t="s">
        <v>415</v>
      </c>
      <c r="K100" s="70" t="s">
        <v>2</v>
      </c>
      <c r="L100" s="43">
        <v>2</v>
      </c>
      <c r="M100" s="43" t="s">
        <v>417</v>
      </c>
      <c r="N100" s="76"/>
      <c r="O100" s="76">
        <v>0.93</v>
      </c>
      <c r="P100" s="76"/>
      <c r="Q100" s="117">
        <v>0.93</v>
      </c>
    </row>
    <row r="101" spans="1:17" x14ac:dyDescent="0.3">
      <c r="A101" s="70" t="s">
        <v>125</v>
      </c>
      <c r="B101" s="70" t="s">
        <v>30</v>
      </c>
      <c r="C101" s="70" t="s">
        <v>194</v>
      </c>
      <c r="D101" s="70" t="s">
        <v>368</v>
      </c>
      <c r="E101" s="70">
        <v>1</v>
      </c>
      <c r="F101" s="70" t="s">
        <v>14</v>
      </c>
      <c r="G101" s="70" t="s">
        <v>125</v>
      </c>
      <c r="H101" s="70" t="s">
        <v>61</v>
      </c>
      <c r="I101" s="43" t="s">
        <v>413</v>
      </c>
      <c r="J101" s="43" t="s">
        <v>62</v>
      </c>
      <c r="K101" s="70"/>
      <c r="L101" s="43"/>
      <c r="M101" s="43"/>
      <c r="N101" s="76"/>
      <c r="O101" s="76"/>
      <c r="P101" s="76"/>
      <c r="Q101" s="117">
        <v>1</v>
      </c>
    </row>
    <row r="102" spans="1:17" x14ac:dyDescent="0.3">
      <c r="A102" s="70" t="s">
        <v>125</v>
      </c>
      <c r="B102" s="70" t="s">
        <v>30</v>
      </c>
      <c r="C102" s="70" t="s">
        <v>194</v>
      </c>
      <c r="D102" s="70" t="s">
        <v>368</v>
      </c>
      <c r="E102" s="70">
        <v>2</v>
      </c>
      <c r="F102" s="70" t="s">
        <v>15</v>
      </c>
      <c r="G102" s="70" t="s">
        <v>400</v>
      </c>
      <c r="H102" s="70" t="s">
        <v>12</v>
      </c>
      <c r="I102" s="43" t="s">
        <v>891</v>
      </c>
      <c r="J102" s="43" t="s">
        <v>891</v>
      </c>
      <c r="K102" s="70" t="s">
        <v>2</v>
      </c>
      <c r="L102" s="43">
        <v>2</v>
      </c>
      <c r="M102" s="43" t="s">
        <v>419</v>
      </c>
      <c r="N102" s="76"/>
      <c r="O102" s="76">
        <v>0.68899999999999995</v>
      </c>
      <c r="P102" s="76"/>
      <c r="Q102" s="117">
        <v>0.68899999999999995</v>
      </c>
    </row>
    <row r="103" spans="1:17" x14ac:dyDescent="0.3">
      <c r="A103" s="70" t="s">
        <v>125</v>
      </c>
      <c r="B103" s="70" t="s">
        <v>30</v>
      </c>
      <c r="C103" s="70" t="s">
        <v>194</v>
      </c>
      <c r="D103" s="70" t="s">
        <v>368</v>
      </c>
      <c r="E103" s="70">
        <v>3</v>
      </c>
      <c r="F103" s="70" t="s">
        <v>429</v>
      </c>
      <c r="G103" s="70" t="s">
        <v>201</v>
      </c>
      <c r="H103" s="70" t="s">
        <v>415</v>
      </c>
      <c r="I103" s="43" t="s">
        <v>416</v>
      </c>
      <c r="J103" s="43" t="s">
        <v>415</v>
      </c>
      <c r="K103" s="70" t="s">
        <v>2</v>
      </c>
      <c r="L103" s="43">
        <v>2</v>
      </c>
      <c r="M103" s="43" t="s">
        <v>417</v>
      </c>
      <c r="N103" s="76"/>
      <c r="O103" s="76">
        <v>0.99</v>
      </c>
      <c r="P103" s="76"/>
      <c r="Q103" s="117">
        <v>0.99</v>
      </c>
    </row>
    <row r="104" spans="1:17" x14ac:dyDescent="0.3">
      <c r="A104" s="70" t="s">
        <v>125</v>
      </c>
      <c r="B104" s="70" t="s">
        <v>30</v>
      </c>
      <c r="C104" s="70" t="s">
        <v>194</v>
      </c>
      <c r="D104" s="70" t="s">
        <v>370</v>
      </c>
      <c r="E104" s="70">
        <v>1</v>
      </c>
      <c r="F104" s="70" t="s">
        <v>14</v>
      </c>
      <c r="G104" s="70" t="s">
        <v>125</v>
      </c>
      <c r="H104" s="70" t="s">
        <v>61</v>
      </c>
      <c r="I104" s="43" t="s">
        <v>413</v>
      </c>
      <c r="J104" s="43" t="s">
        <v>62</v>
      </c>
      <c r="K104" s="70"/>
      <c r="L104" s="43"/>
      <c r="M104" s="43"/>
      <c r="N104" s="76"/>
      <c r="O104" s="76"/>
      <c r="P104" s="76"/>
      <c r="Q104" s="117">
        <v>1</v>
      </c>
    </row>
    <row r="105" spans="1:17" x14ac:dyDescent="0.3">
      <c r="A105" s="70" t="s">
        <v>125</v>
      </c>
      <c r="B105" s="70" t="s">
        <v>30</v>
      </c>
      <c r="C105" s="70" t="s">
        <v>194</v>
      </c>
      <c r="D105" s="70" t="s">
        <v>370</v>
      </c>
      <c r="E105" s="70">
        <v>2</v>
      </c>
      <c r="F105" s="70" t="s">
        <v>15</v>
      </c>
      <c r="G105" s="70" t="s">
        <v>400</v>
      </c>
      <c r="H105" s="70" t="s">
        <v>12</v>
      </c>
      <c r="I105" s="43" t="s">
        <v>891</v>
      </c>
      <c r="J105" s="43" t="s">
        <v>891</v>
      </c>
      <c r="K105" s="70" t="s">
        <v>2</v>
      </c>
      <c r="L105" s="43">
        <v>2</v>
      </c>
      <c r="M105" s="43" t="s">
        <v>419</v>
      </c>
      <c r="N105" s="76"/>
      <c r="O105" s="76">
        <v>0.72119999999999995</v>
      </c>
      <c r="P105" s="76"/>
      <c r="Q105" s="117">
        <v>0.72119999999999995</v>
      </c>
    </row>
    <row r="106" spans="1:17" x14ac:dyDescent="0.3">
      <c r="A106" s="70" t="s">
        <v>125</v>
      </c>
      <c r="B106" s="70" t="s">
        <v>30</v>
      </c>
      <c r="C106" s="70" t="s">
        <v>194</v>
      </c>
      <c r="D106" s="70" t="s">
        <v>370</v>
      </c>
      <c r="E106" s="70">
        <v>3</v>
      </c>
      <c r="F106" s="70" t="s">
        <v>429</v>
      </c>
      <c r="G106" s="70" t="s">
        <v>201</v>
      </c>
      <c r="H106" s="70" t="s">
        <v>415</v>
      </c>
      <c r="I106" s="43" t="s">
        <v>416</v>
      </c>
      <c r="J106" s="43" t="s">
        <v>415</v>
      </c>
      <c r="K106" s="70" t="s">
        <v>2</v>
      </c>
      <c r="L106" s="43">
        <v>2</v>
      </c>
      <c r="M106" s="43" t="s">
        <v>417</v>
      </c>
      <c r="N106" s="76"/>
      <c r="O106" s="76">
        <v>0.81399999999999995</v>
      </c>
      <c r="P106" s="76"/>
      <c r="Q106" s="117">
        <v>0.81399999999999995</v>
      </c>
    </row>
    <row r="107" spans="1:17" x14ac:dyDescent="0.3">
      <c r="A107" s="70" t="s">
        <v>125</v>
      </c>
      <c r="B107" s="70" t="s">
        <v>30</v>
      </c>
      <c r="C107" s="70" t="s">
        <v>194</v>
      </c>
      <c r="D107" s="70" t="s">
        <v>355</v>
      </c>
      <c r="E107" s="70">
        <v>1</v>
      </c>
      <c r="F107" s="70" t="s">
        <v>14</v>
      </c>
      <c r="G107" s="70" t="s">
        <v>125</v>
      </c>
      <c r="H107" s="70" t="s">
        <v>61</v>
      </c>
      <c r="I107" s="43" t="s">
        <v>413</v>
      </c>
      <c r="J107" s="43" t="s">
        <v>62</v>
      </c>
      <c r="K107" s="70"/>
      <c r="L107" s="43"/>
      <c r="M107" s="43"/>
      <c r="N107" s="76"/>
      <c r="O107" s="76"/>
      <c r="P107" s="76"/>
      <c r="Q107" s="117">
        <v>1</v>
      </c>
    </row>
    <row r="108" spans="1:17" x14ac:dyDescent="0.3">
      <c r="A108" s="70" t="s">
        <v>125</v>
      </c>
      <c r="B108" s="70" t="s">
        <v>30</v>
      </c>
      <c r="C108" s="70" t="s">
        <v>194</v>
      </c>
      <c r="D108" s="70" t="s">
        <v>355</v>
      </c>
      <c r="E108" s="70">
        <v>2</v>
      </c>
      <c r="F108" s="70" t="s">
        <v>15</v>
      </c>
      <c r="G108" s="70" t="s">
        <v>400</v>
      </c>
      <c r="H108" s="70" t="s">
        <v>12</v>
      </c>
      <c r="I108" s="43" t="s">
        <v>891</v>
      </c>
      <c r="J108" s="43" t="s">
        <v>891</v>
      </c>
      <c r="K108" s="70" t="s">
        <v>2</v>
      </c>
      <c r="L108" s="43">
        <v>2</v>
      </c>
      <c r="M108" s="43" t="s">
        <v>419</v>
      </c>
      <c r="N108" s="76"/>
      <c r="O108" s="76">
        <v>0.70399999999999996</v>
      </c>
      <c r="P108" s="76"/>
      <c r="Q108" s="117">
        <v>0.70399999999999996</v>
      </c>
    </row>
    <row r="109" spans="1:17" x14ac:dyDescent="0.3">
      <c r="A109" s="70" t="s">
        <v>125</v>
      </c>
      <c r="B109" s="70" t="s">
        <v>30</v>
      </c>
      <c r="C109" s="70" t="s">
        <v>194</v>
      </c>
      <c r="D109" s="70" t="s">
        <v>355</v>
      </c>
      <c r="E109" s="70">
        <v>3</v>
      </c>
      <c r="F109" s="70" t="s">
        <v>429</v>
      </c>
      <c r="G109" s="70" t="s">
        <v>201</v>
      </c>
      <c r="H109" s="70" t="s">
        <v>415</v>
      </c>
      <c r="I109" s="43" t="s">
        <v>416</v>
      </c>
      <c r="J109" s="43" t="s">
        <v>415</v>
      </c>
      <c r="K109" s="70" t="s">
        <v>2</v>
      </c>
      <c r="L109" s="43">
        <v>2</v>
      </c>
      <c r="M109" s="43" t="s">
        <v>417</v>
      </c>
      <c r="N109" s="76"/>
      <c r="O109" s="76">
        <v>0.99</v>
      </c>
      <c r="P109" s="76"/>
      <c r="Q109" s="117">
        <v>0.99</v>
      </c>
    </row>
    <row r="110" spans="1:17" x14ac:dyDescent="0.3">
      <c r="A110" s="70" t="s">
        <v>127</v>
      </c>
      <c r="B110" s="70" t="s">
        <v>30</v>
      </c>
      <c r="C110" s="70" t="s">
        <v>194</v>
      </c>
      <c r="D110" s="70" t="s">
        <v>367</v>
      </c>
      <c r="E110" s="70">
        <v>1</v>
      </c>
      <c r="F110" s="70" t="s">
        <v>14</v>
      </c>
      <c r="G110" s="70" t="s">
        <v>127</v>
      </c>
      <c r="H110" s="70" t="s">
        <v>61</v>
      </c>
      <c r="I110" s="43" t="s">
        <v>413</v>
      </c>
      <c r="J110" s="43" t="s">
        <v>901</v>
      </c>
      <c r="K110" s="70"/>
      <c r="L110" s="43"/>
      <c r="M110" s="43"/>
      <c r="N110" s="76"/>
      <c r="O110" s="76"/>
      <c r="P110" s="76"/>
      <c r="Q110" s="117">
        <v>1</v>
      </c>
    </row>
    <row r="111" spans="1:17" x14ac:dyDescent="0.3">
      <c r="A111" s="70" t="s">
        <v>127</v>
      </c>
      <c r="B111" s="70" t="s">
        <v>30</v>
      </c>
      <c r="C111" s="70" t="s">
        <v>194</v>
      </c>
      <c r="D111" s="70" t="s">
        <v>367</v>
      </c>
      <c r="E111" s="70">
        <v>2</v>
      </c>
      <c r="F111" s="70" t="s">
        <v>15</v>
      </c>
      <c r="G111" s="70" t="s">
        <v>380</v>
      </c>
      <c r="H111" s="70" t="s">
        <v>12</v>
      </c>
      <c r="I111" s="43" t="s">
        <v>891</v>
      </c>
      <c r="J111" s="43" t="s">
        <v>891</v>
      </c>
      <c r="K111" s="70" t="s">
        <v>2</v>
      </c>
      <c r="L111" s="43">
        <v>2</v>
      </c>
      <c r="M111" s="43" t="s">
        <v>421</v>
      </c>
      <c r="N111" s="76"/>
      <c r="O111" s="76">
        <v>0.65800000000000003</v>
      </c>
      <c r="P111" s="76"/>
      <c r="Q111" s="117">
        <v>0.65800000000000003</v>
      </c>
    </row>
    <row r="112" spans="1:17" x14ac:dyDescent="0.3">
      <c r="A112" s="70" t="s">
        <v>127</v>
      </c>
      <c r="B112" s="70" t="s">
        <v>30</v>
      </c>
      <c r="C112" s="70" t="s">
        <v>194</v>
      </c>
      <c r="D112" s="70" t="s">
        <v>367</v>
      </c>
      <c r="E112" s="70">
        <v>3</v>
      </c>
      <c r="F112" s="70" t="s">
        <v>429</v>
      </c>
      <c r="G112" s="70" t="s">
        <v>201</v>
      </c>
      <c r="H112" s="70" t="s">
        <v>415</v>
      </c>
      <c r="I112" s="43" t="s">
        <v>416</v>
      </c>
      <c r="J112" s="43" t="s">
        <v>415</v>
      </c>
      <c r="K112" s="70" t="s">
        <v>2</v>
      </c>
      <c r="L112" s="43">
        <v>2</v>
      </c>
      <c r="M112" s="43" t="s">
        <v>417</v>
      </c>
      <c r="N112" s="76"/>
      <c r="O112" s="76">
        <v>0.93</v>
      </c>
      <c r="P112" s="76"/>
      <c r="Q112" s="117">
        <v>0.93</v>
      </c>
    </row>
    <row r="113" spans="1:17" x14ac:dyDescent="0.3">
      <c r="A113" s="70" t="s">
        <v>127</v>
      </c>
      <c r="B113" s="70" t="s">
        <v>30</v>
      </c>
      <c r="C113" s="70" t="s">
        <v>194</v>
      </c>
      <c r="D113" s="70" t="s">
        <v>370</v>
      </c>
      <c r="E113" s="70">
        <v>1</v>
      </c>
      <c r="F113" s="70" t="s">
        <v>14</v>
      </c>
      <c r="G113" s="70" t="s">
        <v>127</v>
      </c>
      <c r="H113" s="70" t="s">
        <v>61</v>
      </c>
      <c r="I113" s="43" t="s">
        <v>413</v>
      </c>
      <c r="J113" s="43" t="s">
        <v>901</v>
      </c>
      <c r="K113" s="70"/>
      <c r="L113" s="43"/>
      <c r="M113" s="43"/>
      <c r="N113" s="76"/>
      <c r="O113" s="76"/>
      <c r="P113" s="76"/>
      <c r="Q113" s="117">
        <v>1</v>
      </c>
    </row>
    <row r="114" spans="1:17" x14ac:dyDescent="0.3">
      <c r="A114" s="70" t="s">
        <v>127</v>
      </c>
      <c r="B114" s="70" t="s">
        <v>30</v>
      </c>
      <c r="C114" s="70" t="s">
        <v>194</v>
      </c>
      <c r="D114" s="70" t="s">
        <v>370</v>
      </c>
      <c r="E114" s="70">
        <v>2</v>
      </c>
      <c r="F114" s="70" t="s">
        <v>15</v>
      </c>
      <c r="G114" s="70" t="s">
        <v>380</v>
      </c>
      <c r="H114" s="70" t="s">
        <v>12</v>
      </c>
      <c r="I114" s="43" t="s">
        <v>891</v>
      </c>
      <c r="J114" s="43" t="s">
        <v>891</v>
      </c>
      <c r="K114" s="70" t="s">
        <v>2</v>
      </c>
      <c r="L114" s="43">
        <v>2</v>
      </c>
      <c r="M114" s="43" t="s">
        <v>421</v>
      </c>
      <c r="N114" s="76"/>
      <c r="O114" s="76">
        <v>0.65800000000000003</v>
      </c>
      <c r="P114" s="76"/>
      <c r="Q114" s="117">
        <v>0.65800000000000003</v>
      </c>
    </row>
    <row r="115" spans="1:17" x14ac:dyDescent="0.3">
      <c r="A115" s="70" t="s">
        <v>127</v>
      </c>
      <c r="B115" s="70" t="s">
        <v>30</v>
      </c>
      <c r="C115" s="70" t="s">
        <v>194</v>
      </c>
      <c r="D115" s="70" t="s">
        <v>370</v>
      </c>
      <c r="E115" s="70">
        <v>3</v>
      </c>
      <c r="F115" s="70" t="s">
        <v>429</v>
      </c>
      <c r="G115" s="70" t="s">
        <v>201</v>
      </c>
      <c r="H115" s="70" t="s">
        <v>415</v>
      </c>
      <c r="I115" s="43" t="s">
        <v>416</v>
      </c>
      <c r="J115" s="43" t="s">
        <v>415</v>
      </c>
      <c r="K115" s="70" t="s">
        <v>2</v>
      </c>
      <c r="L115" s="43">
        <v>2</v>
      </c>
      <c r="M115" s="43" t="s">
        <v>417</v>
      </c>
      <c r="N115" s="76"/>
      <c r="O115" s="76">
        <v>0.81200000000000006</v>
      </c>
      <c r="P115" s="76"/>
      <c r="Q115" s="117">
        <v>0.81200000000000006</v>
      </c>
    </row>
    <row r="116" spans="1:17" x14ac:dyDescent="0.3">
      <c r="A116" s="70" t="s">
        <v>127</v>
      </c>
      <c r="B116" s="70" t="s">
        <v>30</v>
      </c>
      <c r="C116" s="70" t="s">
        <v>194</v>
      </c>
      <c r="D116" s="70" t="s">
        <v>355</v>
      </c>
      <c r="E116" s="70">
        <v>1</v>
      </c>
      <c r="F116" s="70" t="s">
        <v>14</v>
      </c>
      <c r="G116" s="70" t="s">
        <v>127</v>
      </c>
      <c r="H116" s="70" t="s">
        <v>61</v>
      </c>
      <c r="I116" s="43" t="s">
        <v>413</v>
      </c>
      <c r="J116" s="43" t="s">
        <v>901</v>
      </c>
      <c r="K116" s="70"/>
      <c r="L116" s="43"/>
      <c r="M116" s="43"/>
      <c r="N116" s="76"/>
      <c r="O116" s="76"/>
      <c r="P116" s="76"/>
      <c r="Q116" s="117">
        <v>1</v>
      </c>
    </row>
    <row r="117" spans="1:17" x14ac:dyDescent="0.3">
      <c r="A117" s="70" t="s">
        <v>127</v>
      </c>
      <c r="B117" s="70" t="s">
        <v>30</v>
      </c>
      <c r="C117" s="70" t="s">
        <v>194</v>
      </c>
      <c r="D117" s="70" t="s">
        <v>355</v>
      </c>
      <c r="E117" s="70">
        <v>2</v>
      </c>
      <c r="F117" s="70" t="s">
        <v>15</v>
      </c>
      <c r="G117" s="70" t="s">
        <v>380</v>
      </c>
      <c r="H117" s="70" t="s">
        <v>12</v>
      </c>
      <c r="I117" s="43" t="s">
        <v>891</v>
      </c>
      <c r="J117" s="43" t="s">
        <v>891</v>
      </c>
      <c r="K117" s="70" t="s">
        <v>2</v>
      </c>
      <c r="L117" s="43">
        <v>2</v>
      </c>
      <c r="M117" s="43" t="s">
        <v>421</v>
      </c>
      <c r="N117" s="76"/>
      <c r="O117" s="76">
        <v>0.68899999999999995</v>
      </c>
      <c r="P117" s="76"/>
      <c r="Q117" s="117">
        <v>0.68899999999999995</v>
      </c>
    </row>
    <row r="118" spans="1:17" x14ac:dyDescent="0.3">
      <c r="A118" s="70" t="s">
        <v>127</v>
      </c>
      <c r="B118" s="70" t="s">
        <v>30</v>
      </c>
      <c r="C118" s="70" t="s">
        <v>194</v>
      </c>
      <c r="D118" s="70" t="s">
        <v>355</v>
      </c>
      <c r="E118" s="70">
        <v>3</v>
      </c>
      <c r="F118" s="70" t="s">
        <v>429</v>
      </c>
      <c r="G118" s="70" t="s">
        <v>201</v>
      </c>
      <c r="H118" s="70" t="s">
        <v>415</v>
      </c>
      <c r="I118" s="43" t="s">
        <v>416</v>
      </c>
      <c r="J118" s="43" t="s">
        <v>415</v>
      </c>
      <c r="K118" s="70" t="s">
        <v>2</v>
      </c>
      <c r="L118" s="43">
        <v>2</v>
      </c>
      <c r="M118" s="43" t="s">
        <v>417</v>
      </c>
      <c r="N118" s="76"/>
      <c r="O118" s="76">
        <v>0.99</v>
      </c>
      <c r="P118" s="76"/>
      <c r="Q118" s="117">
        <v>0.99</v>
      </c>
    </row>
    <row r="119" spans="1:17" x14ac:dyDescent="0.3">
      <c r="A119" s="70" t="s">
        <v>122</v>
      </c>
      <c r="B119" s="70" t="s">
        <v>30</v>
      </c>
      <c r="C119" s="70" t="s">
        <v>194</v>
      </c>
      <c r="D119" s="70" t="s">
        <v>371</v>
      </c>
      <c r="E119" s="70">
        <v>1</v>
      </c>
      <c r="F119" s="70" t="s">
        <v>14</v>
      </c>
      <c r="G119" s="70" t="s">
        <v>358</v>
      </c>
      <c r="H119" s="70" t="s">
        <v>61</v>
      </c>
      <c r="I119" s="43" t="s">
        <v>413</v>
      </c>
      <c r="J119" s="43" t="s">
        <v>895</v>
      </c>
      <c r="K119" s="70"/>
      <c r="L119" s="43"/>
      <c r="M119" s="43"/>
      <c r="N119" s="76"/>
      <c r="O119" s="76"/>
      <c r="P119" s="76"/>
      <c r="Q119" s="117">
        <v>1</v>
      </c>
    </row>
    <row r="120" spans="1:17" x14ac:dyDescent="0.3">
      <c r="A120" s="70" t="s">
        <v>122</v>
      </c>
      <c r="B120" s="70" t="s">
        <v>30</v>
      </c>
      <c r="C120" s="70" t="s">
        <v>194</v>
      </c>
      <c r="D120" s="70" t="s">
        <v>371</v>
      </c>
      <c r="E120" s="70">
        <v>2</v>
      </c>
      <c r="F120" s="70" t="s">
        <v>15</v>
      </c>
      <c r="G120" s="70" t="s">
        <v>360</v>
      </c>
      <c r="H120" s="70" t="s">
        <v>12</v>
      </c>
      <c r="I120" s="43" t="s">
        <v>891</v>
      </c>
      <c r="J120" s="43" t="s">
        <v>891</v>
      </c>
      <c r="K120" s="70" t="s">
        <v>2</v>
      </c>
      <c r="L120" s="43">
        <v>2</v>
      </c>
      <c r="M120" s="43" t="s">
        <v>418</v>
      </c>
      <c r="N120" s="76"/>
      <c r="O120" s="76">
        <v>0.93899999999999995</v>
      </c>
      <c r="P120" s="76"/>
      <c r="Q120" s="117">
        <v>0.93899999999999995</v>
      </c>
    </row>
    <row r="121" spans="1:17" x14ac:dyDescent="0.3">
      <c r="A121" s="70" t="s">
        <v>122</v>
      </c>
      <c r="B121" s="70" t="s">
        <v>30</v>
      </c>
      <c r="C121" s="70" t="s">
        <v>194</v>
      </c>
      <c r="D121" s="70" t="s">
        <v>371</v>
      </c>
      <c r="E121" s="70">
        <v>3</v>
      </c>
      <c r="F121" s="70" t="s">
        <v>429</v>
      </c>
      <c r="G121" s="70" t="s">
        <v>201</v>
      </c>
      <c r="H121" s="70" t="s">
        <v>415</v>
      </c>
      <c r="I121" s="43" t="s">
        <v>416</v>
      </c>
      <c r="J121" s="43" t="s">
        <v>415</v>
      </c>
      <c r="K121" s="70" t="s">
        <v>2</v>
      </c>
      <c r="L121" s="43">
        <v>2</v>
      </c>
      <c r="M121" s="43" t="s">
        <v>417</v>
      </c>
      <c r="N121" s="76"/>
      <c r="O121" s="76">
        <v>0.93</v>
      </c>
      <c r="P121" s="76"/>
      <c r="Q121" s="117">
        <v>0.93</v>
      </c>
    </row>
    <row r="122" spans="1:17" x14ac:dyDescent="0.3">
      <c r="A122" s="70" t="s">
        <v>122</v>
      </c>
      <c r="B122" s="70" t="s">
        <v>30</v>
      </c>
      <c r="C122" s="70" t="s">
        <v>194</v>
      </c>
      <c r="D122" s="70" t="s">
        <v>372</v>
      </c>
      <c r="E122" s="70">
        <v>1</v>
      </c>
      <c r="F122" s="70" t="s">
        <v>14</v>
      </c>
      <c r="G122" s="70" t="s">
        <v>358</v>
      </c>
      <c r="H122" s="70" t="s">
        <v>61</v>
      </c>
      <c r="I122" s="43" t="s">
        <v>413</v>
      </c>
      <c r="J122" s="43" t="s">
        <v>895</v>
      </c>
      <c r="K122" s="70"/>
      <c r="L122" s="43"/>
      <c r="M122" s="43"/>
      <c r="N122" s="76"/>
      <c r="O122" s="76"/>
      <c r="P122" s="76"/>
      <c r="Q122" s="117">
        <v>1</v>
      </c>
    </row>
    <row r="123" spans="1:17" x14ac:dyDescent="0.3">
      <c r="A123" s="70" t="s">
        <v>122</v>
      </c>
      <c r="B123" s="70" t="s">
        <v>30</v>
      </c>
      <c r="C123" s="70" t="s">
        <v>194</v>
      </c>
      <c r="D123" s="70" t="s">
        <v>372</v>
      </c>
      <c r="E123" s="70">
        <v>2</v>
      </c>
      <c r="F123" s="70" t="s">
        <v>15</v>
      </c>
      <c r="G123" s="70" t="s">
        <v>360</v>
      </c>
      <c r="H123" s="70" t="s">
        <v>12</v>
      </c>
      <c r="I123" s="43" t="s">
        <v>891</v>
      </c>
      <c r="J123" s="43" t="s">
        <v>891</v>
      </c>
      <c r="K123" s="70" t="s">
        <v>2</v>
      </c>
      <c r="L123" s="43">
        <v>2</v>
      </c>
      <c r="M123" s="43" t="s">
        <v>418</v>
      </c>
      <c r="N123" s="76"/>
      <c r="O123" s="76">
        <v>0.93899999999999995</v>
      </c>
      <c r="P123" s="76"/>
      <c r="Q123" s="117">
        <v>0.93899999999999995</v>
      </c>
    </row>
    <row r="124" spans="1:17" x14ac:dyDescent="0.3">
      <c r="A124" s="70" t="s">
        <v>122</v>
      </c>
      <c r="B124" s="70" t="s">
        <v>30</v>
      </c>
      <c r="C124" s="70" t="s">
        <v>194</v>
      </c>
      <c r="D124" s="70" t="s">
        <v>372</v>
      </c>
      <c r="E124" s="70">
        <v>3</v>
      </c>
      <c r="F124" s="70" t="s">
        <v>429</v>
      </c>
      <c r="G124" s="70" t="s">
        <v>201</v>
      </c>
      <c r="H124" s="70" t="s">
        <v>415</v>
      </c>
      <c r="I124" s="43" t="s">
        <v>416</v>
      </c>
      <c r="J124" s="43" t="s">
        <v>415</v>
      </c>
      <c r="K124" s="70" t="s">
        <v>2</v>
      </c>
      <c r="L124" s="43">
        <v>2</v>
      </c>
      <c r="M124" s="43" t="s">
        <v>417</v>
      </c>
      <c r="N124" s="76"/>
      <c r="O124" s="76">
        <v>0.93</v>
      </c>
      <c r="P124" s="76"/>
      <c r="Q124" s="117">
        <v>0.93</v>
      </c>
    </row>
    <row r="125" spans="1:17" x14ac:dyDescent="0.3">
      <c r="A125" s="70" t="s">
        <v>128</v>
      </c>
      <c r="B125" s="70" t="s">
        <v>30</v>
      </c>
      <c r="C125" s="70" t="s">
        <v>194</v>
      </c>
      <c r="D125" s="70" t="s">
        <v>373</v>
      </c>
      <c r="E125" s="70">
        <v>1</v>
      </c>
      <c r="F125" s="70" t="s">
        <v>14</v>
      </c>
      <c r="G125" s="70" t="s">
        <v>128</v>
      </c>
      <c r="H125" s="70" t="s">
        <v>61</v>
      </c>
      <c r="I125" s="43" t="s">
        <v>413</v>
      </c>
      <c r="J125" s="43" t="s">
        <v>901</v>
      </c>
      <c r="K125" s="70"/>
      <c r="L125" s="43"/>
      <c r="M125" s="43"/>
      <c r="N125" s="76"/>
      <c r="O125" s="76"/>
      <c r="P125" s="76"/>
      <c r="Q125" s="117">
        <v>1</v>
      </c>
    </row>
    <row r="126" spans="1:17" x14ac:dyDescent="0.3">
      <c r="A126" s="70" t="s">
        <v>128</v>
      </c>
      <c r="B126" s="70" t="s">
        <v>30</v>
      </c>
      <c r="C126" s="70" t="s">
        <v>194</v>
      </c>
      <c r="D126" s="70" t="s">
        <v>373</v>
      </c>
      <c r="E126" s="70">
        <v>2</v>
      </c>
      <c r="F126" s="70" t="s">
        <v>15</v>
      </c>
      <c r="G126" s="70" t="s">
        <v>381</v>
      </c>
      <c r="H126" s="70" t="s">
        <v>12</v>
      </c>
      <c r="I126" s="43" t="s">
        <v>891</v>
      </c>
      <c r="J126" s="43" t="s">
        <v>891</v>
      </c>
      <c r="K126" s="70" t="s">
        <v>2</v>
      </c>
      <c r="L126" s="43">
        <v>2</v>
      </c>
      <c r="M126" s="43" t="s">
        <v>422</v>
      </c>
      <c r="N126" s="76"/>
      <c r="O126" s="76">
        <v>0.624</v>
      </c>
      <c r="P126" s="76"/>
      <c r="Q126" s="117">
        <v>0.624</v>
      </c>
    </row>
    <row r="127" spans="1:17" x14ac:dyDescent="0.3">
      <c r="A127" s="70" t="s">
        <v>128</v>
      </c>
      <c r="B127" s="70" t="s">
        <v>30</v>
      </c>
      <c r="C127" s="70" t="s">
        <v>194</v>
      </c>
      <c r="D127" s="70" t="s">
        <v>373</v>
      </c>
      <c r="E127" s="70">
        <v>3</v>
      </c>
      <c r="F127" s="70" t="s">
        <v>429</v>
      </c>
      <c r="G127" s="70" t="s">
        <v>201</v>
      </c>
      <c r="H127" s="70" t="s">
        <v>415</v>
      </c>
      <c r="I127" s="43" t="s">
        <v>416</v>
      </c>
      <c r="J127" s="43" t="s">
        <v>415</v>
      </c>
      <c r="K127" s="70" t="s">
        <v>2</v>
      </c>
      <c r="L127" s="43">
        <v>2</v>
      </c>
      <c r="M127" s="43" t="s">
        <v>417</v>
      </c>
      <c r="N127" s="76"/>
      <c r="O127" s="76">
        <v>0.93</v>
      </c>
      <c r="P127" s="76"/>
      <c r="Q127" s="117">
        <v>0.93</v>
      </c>
    </row>
    <row r="128" spans="1:17" x14ac:dyDescent="0.3">
      <c r="A128" s="70" t="s">
        <v>374</v>
      </c>
      <c r="B128" s="70" t="s">
        <v>30</v>
      </c>
      <c r="C128" s="70" t="s">
        <v>194</v>
      </c>
      <c r="D128" s="70" t="s">
        <v>367</v>
      </c>
      <c r="E128" s="70">
        <v>1</v>
      </c>
      <c r="F128" s="70" t="s">
        <v>429</v>
      </c>
      <c r="G128" s="70" t="s">
        <v>201</v>
      </c>
      <c r="H128" s="70" t="s">
        <v>415</v>
      </c>
      <c r="I128" s="43" t="s">
        <v>416</v>
      </c>
      <c r="J128" s="43" t="s">
        <v>415</v>
      </c>
      <c r="K128" s="70" t="s">
        <v>2</v>
      </c>
      <c r="L128" s="43">
        <v>2</v>
      </c>
      <c r="M128" s="43" t="s">
        <v>417</v>
      </c>
      <c r="N128" s="76"/>
      <c r="O128" s="76">
        <v>0.93</v>
      </c>
      <c r="P128" s="76"/>
      <c r="Q128" s="117">
        <v>0.93</v>
      </c>
    </row>
    <row r="129" spans="1:17" x14ac:dyDescent="0.3">
      <c r="A129" s="70" t="s">
        <v>133</v>
      </c>
      <c r="B129" s="70" t="s">
        <v>129</v>
      </c>
      <c r="C129" s="70" t="s">
        <v>194</v>
      </c>
      <c r="D129" s="70" t="s">
        <v>375</v>
      </c>
      <c r="E129" s="70">
        <v>1</v>
      </c>
      <c r="F129" s="70" t="s">
        <v>14</v>
      </c>
      <c r="G129" s="70" t="s">
        <v>133</v>
      </c>
      <c r="H129" s="70" t="s">
        <v>61</v>
      </c>
      <c r="I129" s="43" t="s">
        <v>413</v>
      </c>
      <c r="J129" s="43" t="s">
        <v>895</v>
      </c>
      <c r="K129" s="70"/>
      <c r="L129" s="43"/>
      <c r="M129" s="43"/>
      <c r="N129" s="76"/>
      <c r="O129" s="76"/>
      <c r="P129" s="76"/>
      <c r="Q129" s="117">
        <v>1</v>
      </c>
    </row>
    <row r="130" spans="1:17" x14ac:dyDescent="0.3">
      <c r="A130" s="70" t="s">
        <v>133</v>
      </c>
      <c r="B130" s="70" t="s">
        <v>129</v>
      </c>
      <c r="C130" s="70" t="s">
        <v>194</v>
      </c>
      <c r="D130" s="70" t="s">
        <v>375</v>
      </c>
      <c r="E130" s="70">
        <v>2</v>
      </c>
      <c r="F130" s="70" t="s">
        <v>429</v>
      </c>
      <c r="G130" s="70" t="s">
        <v>201</v>
      </c>
      <c r="H130" s="70" t="s">
        <v>423</v>
      </c>
      <c r="I130" s="43" t="s">
        <v>416</v>
      </c>
      <c r="J130" s="43" t="s">
        <v>423</v>
      </c>
      <c r="K130" s="70"/>
      <c r="L130" s="43"/>
      <c r="M130" s="43"/>
      <c r="N130" s="76"/>
      <c r="O130" s="76"/>
      <c r="P130" s="76"/>
      <c r="Q130" s="117">
        <v>1</v>
      </c>
    </row>
    <row r="131" spans="1:17" x14ac:dyDescent="0.3">
      <c r="A131" s="70" t="s">
        <v>133</v>
      </c>
      <c r="B131" s="70" t="s">
        <v>129</v>
      </c>
      <c r="C131" s="70" t="s">
        <v>194</v>
      </c>
      <c r="D131" s="70" t="s">
        <v>376</v>
      </c>
      <c r="E131" s="70">
        <v>1</v>
      </c>
      <c r="F131" s="70" t="s">
        <v>14</v>
      </c>
      <c r="G131" s="70" t="s">
        <v>133</v>
      </c>
      <c r="H131" s="70" t="s">
        <v>61</v>
      </c>
      <c r="I131" s="43" t="s">
        <v>413</v>
      </c>
      <c r="J131" s="43" t="s">
        <v>895</v>
      </c>
      <c r="K131" s="70"/>
      <c r="L131" s="43"/>
      <c r="M131" s="43"/>
      <c r="N131" s="76"/>
      <c r="O131" s="76"/>
      <c r="P131" s="76"/>
      <c r="Q131" s="117">
        <v>1</v>
      </c>
    </row>
    <row r="132" spans="1:17" x14ac:dyDescent="0.3">
      <c r="A132" s="70" t="s">
        <v>133</v>
      </c>
      <c r="B132" s="70" t="s">
        <v>129</v>
      </c>
      <c r="C132" s="70" t="s">
        <v>194</v>
      </c>
      <c r="D132" s="70" t="s">
        <v>376</v>
      </c>
      <c r="E132" s="70">
        <v>2</v>
      </c>
      <c r="F132" s="70" t="s">
        <v>429</v>
      </c>
      <c r="G132" s="70" t="s">
        <v>201</v>
      </c>
      <c r="H132" s="70" t="s">
        <v>423</v>
      </c>
      <c r="I132" s="43" t="s">
        <v>416</v>
      </c>
      <c r="J132" s="43" t="s">
        <v>423</v>
      </c>
      <c r="K132" s="70"/>
      <c r="L132" s="43"/>
      <c r="M132" s="43"/>
      <c r="N132" s="76"/>
      <c r="O132" s="76"/>
      <c r="P132" s="76"/>
      <c r="Q132" s="117">
        <v>1</v>
      </c>
    </row>
    <row r="133" spans="1:17" x14ac:dyDescent="0.3">
      <c r="A133" s="70" t="s">
        <v>133</v>
      </c>
      <c r="B133" s="70" t="s">
        <v>129</v>
      </c>
      <c r="C133" s="70" t="s">
        <v>194</v>
      </c>
      <c r="D133" s="70" t="s">
        <v>355</v>
      </c>
      <c r="E133" s="70">
        <v>1</v>
      </c>
      <c r="F133" s="70" t="s">
        <v>14</v>
      </c>
      <c r="G133" s="70" t="s">
        <v>133</v>
      </c>
      <c r="H133" s="70" t="s">
        <v>61</v>
      </c>
      <c r="I133" s="43" t="s">
        <v>413</v>
      </c>
      <c r="J133" s="43" t="s">
        <v>895</v>
      </c>
      <c r="K133" s="70"/>
      <c r="L133" s="43"/>
      <c r="M133" s="43"/>
      <c r="N133" s="76"/>
      <c r="O133" s="76"/>
      <c r="P133" s="76"/>
      <c r="Q133" s="117">
        <v>1</v>
      </c>
    </row>
    <row r="134" spans="1:17" x14ac:dyDescent="0.3">
      <c r="A134" s="70" t="s">
        <v>133</v>
      </c>
      <c r="B134" s="70" t="s">
        <v>129</v>
      </c>
      <c r="C134" s="70" t="s">
        <v>194</v>
      </c>
      <c r="D134" s="70" t="s">
        <v>355</v>
      </c>
      <c r="E134" s="70">
        <v>2</v>
      </c>
      <c r="F134" s="70" t="s">
        <v>429</v>
      </c>
      <c r="G134" s="70" t="s">
        <v>201</v>
      </c>
      <c r="H134" s="70" t="s">
        <v>423</v>
      </c>
      <c r="I134" s="43" t="s">
        <v>416</v>
      </c>
      <c r="J134" s="43" t="s">
        <v>423</v>
      </c>
      <c r="K134" s="70"/>
      <c r="L134" s="43"/>
      <c r="M134" s="43"/>
      <c r="N134" s="76"/>
      <c r="O134" s="76"/>
      <c r="P134" s="76"/>
      <c r="Q134" s="117">
        <v>1</v>
      </c>
    </row>
    <row r="135" spans="1:17" x14ac:dyDescent="0.3">
      <c r="A135" s="70" t="s">
        <v>134</v>
      </c>
      <c r="B135" s="70" t="s">
        <v>129</v>
      </c>
      <c r="C135" s="70" t="s">
        <v>194</v>
      </c>
      <c r="D135" s="70" t="s">
        <v>375</v>
      </c>
      <c r="E135" s="70">
        <v>1</v>
      </c>
      <c r="F135" s="70" t="s">
        <v>14</v>
      </c>
      <c r="G135" s="70" t="s">
        <v>134</v>
      </c>
      <c r="H135" s="70" t="s">
        <v>61</v>
      </c>
      <c r="I135" s="43" t="s">
        <v>413</v>
      </c>
      <c r="J135" s="43" t="s">
        <v>895</v>
      </c>
      <c r="K135" s="70"/>
      <c r="L135" s="43"/>
      <c r="M135" s="43"/>
      <c r="N135" s="76"/>
      <c r="O135" s="76"/>
      <c r="P135" s="76"/>
      <c r="Q135" s="117">
        <v>1</v>
      </c>
    </row>
    <row r="136" spans="1:17" x14ac:dyDescent="0.3">
      <c r="A136" s="70" t="s">
        <v>134</v>
      </c>
      <c r="B136" s="70" t="s">
        <v>129</v>
      </c>
      <c r="C136" s="70" t="s">
        <v>194</v>
      </c>
      <c r="D136" s="70" t="s">
        <v>375</v>
      </c>
      <c r="E136" s="70">
        <v>2</v>
      </c>
      <c r="F136" s="70" t="s">
        <v>429</v>
      </c>
      <c r="G136" s="70" t="s">
        <v>201</v>
      </c>
      <c r="H136" s="70" t="s">
        <v>423</v>
      </c>
      <c r="I136" s="43" t="s">
        <v>416</v>
      </c>
      <c r="J136" s="43" t="s">
        <v>423</v>
      </c>
      <c r="K136" s="70"/>
      <c r="L136" s="43"/>
      <c r="M136" s="43"/>
      <c r="N136" s="76"/>
      <c r="O136" s="76"/>
      <c r="P136" s="76"/>
      <c r="Q136" s="117">
        <v>1</v>
      </c>
    </row>
    <row r="137" spans="1:17" x14ac:dyDescent="0.3">
      <c r="A137" s="70" t="s">
        <v>134</v>
      </c>
      <c r="B137" s="70" t="s">
        <v>129</v>
      </c>
      <c r="C137" s="70" t="s">
        <v>194</v>
      </c>
      <c r="D137" s="70" t="s">
        <v>376</v>
      </c>
      <c r="E137" s="70">
        <v>1</v>
      </c>
      <c r="F137" s="70" t="s">
        <v>14</v>
      </c>
      <c r="G137" s="70" t="s">
        <v>134</v>
      </c>
      <c r="H137" s="70" t="s">
        <v>61</v>
      </c>
      <c r="I137" s="43" t="s">
        <v>413</v>
      </c>
      <c r="J137" s="43" t="s">
        <v>895</v>
      </c>
      <c r="K137" s="70"/>
      <c r="L137" s="43"/>
      <c r="M137" s="43"/>
      <c r="N137" s="76"/>
      <c r="O137" s="76"/>
      <c r="P137" s="76"/>
      <c r="Q137" s="117">
        <v>1</v>
      </c>
    </row>
    <row r="138" spans="1:17" x14ac:dyDescent="0.3">
      <c r="A138" s="70" t="s">
        <v>134</v>
      </c>
      <c r="B138" s="70" t="s">
        <v>129</v>
      </c>
      <c r="C138" s="70" t="s">
        <v>194</v>
      </c>
      <c r="D138" s="70" t="s">
        <v>376</v>
      </c>
      <c r="E138" s="70">
        <v>2</v>
      </c>
      <c r="F138" s="70" t="s">
        <v>429</v>
      </c>
      <c r="G138" s="70" t="s">
        <v>201</v>
      </c>
      <c r="H138" s="70" t="s">
        <v>423</v>
      </c>
      <c r="I138" s="43" t="s">
        <v>416</v>
      </c>
      <c r="J138" s="43" t="s">
        <v>423</v>
      </c>
      <c r="K138" s="70"/>
      <c r="L138" s="43"/>
      <c r="M138" s="43"/>
      <c r="N138" s="76"/>
      <c r="O138" s="76"/>
      <c r="P138" s="76"/>
      <c r="Q138" s="117">
        <v>1</v>
      </c>
    </row>
    <row r="139" spans="1:17" x14ac:dyDescent="0.3">
      <c r="A139" s="70" t="s">
        <v>132</v>
      </c>
      <c r="B139" s="70" t="s">
        <v>129</v>
      </c>
      <c r="C139" s="70" t="s">
        <v>194</v>
      </c>
      <c r="D139" s="70" t="s">
        <v>375</v>
      </c>
      <c r="E139" s="70">
        <v>1</v>
      </c>
      <c r="F139" s="70" t="s">
        <v>14</v>
      </c>
      <c r="G139" s="70" t="s">
        <v>132</v>
      </c>
      <c r="H139" s="70" t="s">
        <v>61</v>
      </c>
      <c r="I139" s="43" t="s">
        <v>413</v>
      </c>
      <c r="J139" s="43" t="s">
        <v>895</v>
      </c>
      <c r="K139" s="70"/>
      <c r="L139" s="43"/>
      <c r="M139" s="43"/>
      <c r="N139" s="76"/>
      <c r="O139" s="76"/>
      <c r="P139" s="76"/>
      <c r="Q139" s="117">
        <v>1</v>
      </c>
    </row>
    <row r="140" spans="1:17" x14ac:dyDescent="0.3">
      <c r="A140" s="70" t="s">
        <v>132</v>
      </c>
      <c r="B140" s="70" t="s">
        <v>129</v>
      </c>
      <c r="C140" s="70" t="s">
        <v>194</v>
      </c>
      <c r="D140" s="70" t="s">
        <v>375</v>
      </c>
      <c r="E140" s="70">
        <v>2</v>
      </c>
      <c r="F140" s="70" t="s">
        <v>429</v>
      </c>
      <c r="G140" s="70" t="s">
        <v>201</v>
      </c>
      <c r="H140" s="70" t="s">
        <v>423</v>
      </c>
      <c r="I140" s="43" t="s">
        <v>416</v>
      </c>
      <c r="J140" s="43" t="s">
        <v>423</v>
      </c>
      <c r="K140" s="70"/>
      <c r="L140" s="43"/>
      <c r="M140" s="43"/>
      <c r="N140" s="76"/>
      <c r="O140" s="76"/>
      <c r="P140" s="76"/>
      <c r="Q140" s="117">
        <v>1</v>
      </c>
    </row>
    <row r="141" spans="1:17" x14ac:dyDescent="0.3">
      <c r="A141" s="70" t="s">
        <v>132</v>
      </c>
      <c r="B141" s="70" t="s">
        <v>129</v>
      </c>
      <c r="C141" s="70" t="s">
        <v>194</v>
      </c>
      <c r="D141" s="70" t="s">
        <v>376</v>
      </c>
      <c r="E141" s="70">
        <v>1</v>
      </c>
      <c r="F141" s="70" t="s">
        <v>14</v>
      </c>
      <c r="G141" s="70" t="s">
        <v>132</v>
      </c>
      <c r="H141" s="70" t="s">
        <v>61</v>
      </c>
      <c r="I141" s="43" t="s">
        <v>413</v>
      </c>
      <c r="J141" s="43" t="s">
        <v>895</v>
      </c>
      <c r="K141" s="70"/>
      <c r="L141" s="43"/>
      <c r="M141" s="43"/>
      <c r="N141" s="76"/>
      <c r="O141" s="76"/>
      <c r="P141" s="76"/>
      <c r="Q141" s="117">
        <v>1</v>
      </c>
    </row>
    <row r="142" spans="1:17" x14ac:dyDescent="0.3">
      <c r="A142" s="70" t="s">
        <v>132</v>
      </c>
      <c r="B142" s="70" t="s">
        <v>129</v>
      </c>
      <c r="C142" s="70" t="s">
        <v>194</v>
      </c>
      <c r="D142" s="70" t="s">
        <v>376</v>
      </c>
      <c r="E142" s="70">
        <v>2</v>
      </c>
      <c r="F142" s="70" t="s">
        <v>429</v>
      </c>
      <c r="G142" s="70" t="s">
        <v>201</v>
      </c>
      <c r="H142" s="70" t="s">
        <v>423</v>
      </c>
      <c r="I142" s="43" t="s">
        <v>416</v>
      </c>
      <c r="J142" s="43" t="s">
        <v>423</v>
      </c>
      <c r="K142" s="70"/>
      <c r="L142" s="43"/>
      <c r="M142" s="43"/>
      <c r="N142" s="76"/>
      <c r="O142" s="76"/>
      <c r="P142" s="76"/>
      <c r="Q142" s="117">
        <v>1</v>
      </c>
    </row>
    <row r="143" spans="1:17" x14ac:dyDescent="0.3">
      <c r="A143" s="70" t="s">
        <v>132</v>
      </c>
      <c r="B143" s="70" t="s">
        <v>129</v>
      </c>
      <c r="C143" s="70" t="s">
        <v>194</v>
      </c>
      <c r="D143" s="70" t="s">
        <v>355</v>
      </c>
      <c r="E143" s="70">
        <v>1</v>
      </c>
      <c r="F143" s="70" t="s">
        <v>14</v>
      </c>
      <c r="G143" s="70" t="s">
        <v>132</v>
      </c>
      <c r="H143" s="70" t="s">
        <v>61</v>
      </c>
      <c r="I143" s="43" t="s">
        <v>413</v>
      </c>
      <c r="J143" s="43" t="s">
        <v>895</v>
      </c>
      <c r="K143" s="70"/>
      <c r="L143" s="43"/>
      <c r="M143" s="43"/>
      <c r="N143" s="76"/>
      <c r="O143" s="76"/>
      <c r="P143" s="76"/>
      <c r="Q143" s="117">
        <v>1</v>
      </c>
    </row>
    <row r="144" spans="1:17" x14ac:dyDescent="0.3">
      <c r="A144" s="70" t="s">
        <v>132</v>
      </c>
      <c r="B144" s="70" t="s">
        <v>129</v>
      </c>
      <c r="C144" s="70" t="s">
        <v>194</v>
      </c>
      <c r="D144" s="70" t="s">
        <v>355</v>
      </c>
      <c r="E144" s="70">
        <v>2</v>
      </c>
      <c r="F144" s="70" t="s">
        <v>429</v>
      </c>
      <c r="G144" s="70" t="s">
        <v>201</v>
      </c>
      <c r="H144" s="70" t="s">
        <v>423</v>
      </c>
      <c r="I144" s="43" t="s">
        <v>416</v>
      </c>
      <c r="J144" s="43" t="s">
        <v>423</v>
      </c>
      <c r="K144" s="70"/>
      <c r="L144" s="43"/>
      <c r="M144" s="43"/>
      <c r="N144" s="76"/>
      <c r="O144" s="76"/>
      <c r="P144" s="76"/>
      <c r="Q144" s="117">
        <v>1</v>
      </c>
    </row>
    <row r="145" spans="1:17" x14ac:dyDescent="0.3">
      <c r="A145" s="70" t="s">
        <v>131</v>
      </c>
      <c r="B145" s="70" t="s">
        <v>129</v>
      </c>
      <c r="C145" s="70" t="s">
        <v>194</v>
      </c>
      <c r="D145" s="70" t="s">
        <v>375</v>
      </c>
      <c r="E145" s="70">
        <v>1</v>
      </c>
      <c r="F145" s="70" t="s">
        <v>14</v>
      </c>
      <c r="G145" s="70" t="s">
        <v>131</v>
      </c>
      <c r="H145" s="70" t="s">
        <v>61</v>
      </c>
      <c r="I145" s="43" t="s">
        <v>413</v>
      </c>
      <c r="J145" s="43" t="s">
        <v>895</v>
      </c>
      <c r="K145" s="70"/>
      <c r="L145" s="43"/>
      <c r="M145" s="43"/>
      <c r="N145" s="76"/>
      <c r="O145" s="76"/>
      <c r="P145" s="76"/>
      <c r="Q145" s="117">
        <v>1</v>
      </c>
    </row>
    <row r="146" spans="1:17" x14ac:dyDescent="0.3">
      <c r="A146" s="70" t="s">
        <v>131</v>
      </c>
      <c r="B146" s="70" t="s">
        <v>129</v>
      </c>
      <c r="C146" s="70" t="s">
        <v>194</v>
      </c>
      <c r="D146" s="70" t="s">
        <v>375</v>
      </c>
      <c r="E146" s="70">
        <v>2</v>
      </c>
      <c r="F146" s="70" t="s">
        <v>429</v>
      </c>
      <c r="G146" s="70" t="s">
        <v>201</v>
      </c>
      <c r="H146" s="70" t="s">
        <v>423</v>
      </c>
      <c r="I146" s="43" t="s">
        <v>416</v>
      </c>
      <c r="J146" s="43" t="s">
        <v>423</v>
      </c>
      <c r="K146" s="70"/>
      <c r="L146" s="43"/>
      <c r="M146" s="43"/>
      <c r="N146" s="76"/>
      <c r="O146" s="76"/>
      <c r="P146" s="76"/>
      <c r="Q146" s="117">
        <v>1</v>
      </c>
    </row>
    <row r="147" spans="1:17" x14ac:dyDescent="0.3">
      <c r="A147" s="70" t="s">
        <v>131</v>
      </c>
      <c r="B147" s="70" t="s">
        <v>129</v>
      </c>
      <c r="C147" s="70" t="s">
        <v>194</v>
      </c>
      <c r="D147" s="70" t="s">
        <v>376</v>
      </c>
      <c r="E147" s="70">
        <v>1</v>
      </c>
      <c r="F147" s="70" t="s">
        <v>14</v>
      </c>
      <c r="G147" s="70" t="s">
        <v>131</v>
      </c>
      <c r="H147" s="70" t="s">
        <v>61</v>
      </c>
      <c r="I147" s="43" t="s">
        <v>413</v>
      </c>
      <c r="J147" s="43" t="s">
        <v>895</v>
      </c>
      <c r="K147" s="70"/>
      <c r="L147" s="43"/>
      <c r="M147" s="43"/>
      <c r="N147" s="76"/>
      <c r="O147" s="76"/>
      <c r="P147" s="76"/>
      <c r="Q147" s="117">
        <v>1</v>
      </c>
    </row>
    <row r="148" spans="1:17" x14ac:dyDescent="0.3">
      <c r="A148" s="70" t="s">
        <v>131</v>
      </c>
      <c r="B148" s="70" t="s">
        <v>129</v>
      </c>
      <c r="C148" s="70" t="s">
        <v>194</v>
      </c>
      <c r="D148" s="70" t="s">
        <v>376</v>
      </c>
      <c r="E148" s="70">
        <v>2</v>
      </c>
      <c r="F148" s="70" t="s">
        <v>429</v>
      </c>
      <c r="G148" s="70" t="s">
        <v>201</v>
      </c>
      <c r="H148" s="70" t="s">
        <v>423</v>
      </c>
      <c r="I148" s="43" t="s">
        <v>416</v>
      </c>
      <c r="J148" s="43" t="s">
        <v>423</v>
      </c>
      <c r="K148" s="70"/>
      <c r="L148" s="43"/>
      <c r="M148" s="43"/>
      <c r="N148" s="76"/>
      <c r="O148" s="76"/>
      <c r="P148" s="76"/>
      <c r="Q148" s="117">
        <v>1</v>
      </c>
    </row>
    <row r="149" spans="1:17" x14ac:dyDescent="0.3">
      <c r="A149" s="70" t="s">
        <v>135</v>
      </c>
      <c r="B149" s="70" t="s">
        <v>129</v>
      </c>
      <c r="C149" s="70" t="s">
        <v>194</v>
      </c>
      <c r="D149" s="70" t="s">
        <v>377</v>
      </c>
      <c r="E149" s="70">
        <v>1</v>
      </c>
      <c r="F149" s="70" t="s">
        <v>147</v>
      </c>
      <c r="G149" s="70" t="s">
        <v>135</v>
      </c>
      <c r="H149" s="70" t="s">
        <v>61</v>
      </c>
      <c r="I149" s="43" t="s">
        <v>413</v>
      </c>
      <c r="J149" s="43" t="s">
        <v>896</v>
      </c>
      <c r="K149" s="70"/>
      <c r="L149" s="43"/>
      <c r="M149" s="43"/>
      <c r="N149" s="76"/>
      <c r="O149" s="76"/>
      <c r="P149" s="76"/>
      <c r="Q149" s="117">
        <v>1</v>
      </c>
    </row>
    <row r="150" spans="1:17" x14ac:dyDescent="0.3">
      <c r="A150" s="70" t="s">
        <v>135</v>
      </c>
      <c r="B150" s="70" t="s">
        <v>129</v>
      </c>
      <c r="C150" s="70" t="s">
        <v>194</v>
      </c>
      <c r="D150" s="70" t="s">
        <v>377</v>
      </c>
      <c r="E150" s="70">
        <v>2</v>
      </c>
      <c r="F150" s="70" t="s">
        <v>429</v>
      </c>
      <c r="G150" s="70" t="s">
        <v>201</v>
      </c>
      <c r="H150" s="70" t="s">
        <v>423</v>
      </c>
      <c r="I150" s="43" t="s">
        <v>416</v>
      </c>
      <c r="J150" s="43" t="s">
        <v>423</v>
      </c>
      <c r="K150" s="70"/>
      <c r="L150" s="43"/>
      <c r="M150" s="43"/>
      <c r="N150" s="76"/>
      <c r="O150" s="76"/>
      <c r="P150" s="76"/>
      <c r="Q150" s="117">
        <v>1</v>
      </c>
    </row>
    <row r="151" spans="1:17" x14ac:dyDescent="0.3">
      <c r="A151" s="70" t="s">
        <v>135</v>
      </c>
      <c r="B151" s="70" t="s">
        <v>129</v>
      </c>
      <c r="C151" s="70" t="s">
        <v>194</v>
      </c>
      <c r="D151" s="70" t="s">
        <v>355</v>
      </c>
      <c r="E151" s="70">
        <v>1</v>
      </c>
      <c r="F151" s="70" t="s">
        <v>147</v>
      </c>
      <c r="G151" s="70" t="s">
        <v>135</v>
      </c>
      <c r="H151" s="70" t="s">
        <v>61</v>
      </c>
      <c r="I151" s="43" t="s">
        <v>413</v>
      </c>
      <c r="J151" s="43" t="s">
        <v>896</v>
      </c>
      <c r="K151" s="70"/>
      <c r="L151" s="43"/>
      <c r="M151" s="43"/>
      <c r="N151" s="76"/>
      <c r="O151" s="76"/>
      <c r="P151" s="76"/>
      <c r="Q151" s="117">
        <v>1</v>
      </c>
    </row>
    <row r="152" spans="1:17" x14ac:dyDescent="0.3">
      <c r="A152" s="70" t="s">
        <v>135</v>
      </c>
      <c r="B152" s="70" t="s">
        <v>129</v>
      </c>
      <c r="C152" s="70" t="s">
        <v>194</v>
      </c>
      <c r="D152" s="70" t="s">
        <v>355</v>
      </c>
      <c r="E152" s="70">
        <v>2</v>
      </c>
      <c r="F152" s="70" t="s">
        <v>429</v>
      </c>
      <c r="G152" s="70" t="s">
        <v>201</v>
      </c>
      <c r="H152" s="70" t="s">
        <v>423</v>
      </c>
      <c r="I152" s="43" t="s">
        <v>416</v>
      </c>
      <c r="J152" s="43" t="s">
        <v>423</v>
      </c>
      <c r="K152" s="70"/>
      <c r="L152" s="43"/>
      <c r="M152" s="43"/>
      <c r="N152" s="76"/>
      <c r="O152" s="76"/>
      <c r="P152" s="76"/>
      <c r="Q152" s="117">
        <v>1</v>
      </c>
    </row>
    <row r="153" spans="1:17" x14ac:dyDescent="0.3">
      <c r="A153" s="70" t="s">
        <v>316</v>
      </c>
      <c r="B153" s="70" t="s">
        <v>129</v>
      </c>
      <c r="C153" s="70" t="s">
        <v>194</v>
      </c>
      <c r="D153" s="70" t="s">
        <v>367</v>
      </c>
      <c r="E153" s="70">
        <v>1</v>
      </c>
      <c r="F153" s="70" t="s">
        <v>147</v>
      </c>
      <c r="G153" s="70" t="s">
        <v>316</v>
      </c>
      <c r="H153" s="70" t="s">
        <v>61</v>
      </c>
      <c r="I153" s="43" t="s">
        <v>413</v>
      </c>
      <c r="J153" s="43" t="s">
        <v>896</v>
      </c>
      <c r="K153" s="70"/>
      <c r="L153" s="43"/>
      <c r="M153" s="43"/>
      <c r="N153" s="76"/>
      <c r="O153" s="76"/>
      <c r="P153" s="76"/>
      <c r="Q153" s="117">
        <v>1</v>
      </c>
    </row>
    <row r="154" spans="1:17" x14ac:dyDescent="0.3">
      <c r="A154" s="70" t="s">
        <v>316</v>
      </c>
      <c r="B154" s="70" t="s">
        <v>129</v>
      </c>
      <c r="C154" s="70" t="s">
        <v>194</v>
      </c>
      <c r="D154" s="70" t="s">
        <v>367</v>
      </c>
      <c r="E154" s="70">
        <v>2</v>
      </c>
      <c r="F154" s="70" t="s">
        <v>429</v>
      </c>
      <c r="G154" s="70" t="s">
        <v>201</v>
      </c>
      <c r="H154" s="70" t="s">
        <v>423</v>
      </c>
      <c r="I154" s="43" t="s">
        <v>416</v>
      </c>
      <c r="J154" s="43" t="s">
        <v>423</v>
      </c>
      <c r="K154" s="70"/>
      <c r="L154" s="43"/>
      <c r="M154" s="43"/>
      <c r="N154" s="76"/>
      <c r="O154" s="76"/>
      <c r="P154" s="76"/>
      <c r="Q154" s="117">
        <v>1</v>
      </c>
    </row>
    <row r="155" spans="1:17" x14ac:dyDescent="0.3">
      <c r="A155" s="70" t="s">
        <v>316</v>
      </c>
      <c r="B155" s="70" t="s">
        <v>129</v>
      </c>
      <c r="C155" s="70" t="s">
        <v>194</v>
      </c>
      <c r="D155" s="70" t="s">
        <v>355</v>
      </c>
      <c r="E155" s="70">
        <v>1</v>
      </c>
      <c r="F155" s="70" t="s">
        <v>147</v>
      </c>
      <c r="G155" s="70" t="s">
        <v>316</v>
      </c>
      <c r="H155" s="70" t="s">
        <v>61</v>
      </c>
      <c r="I155" s="43" t="s">
        <v>413</v>
      </c>
      <c r="J155" s="43" t="s">
        <v>896</v>
      </c>
      <c r="K155" s="70"/>
      <c r="L155" s="43"/>
      <c r="M155" s="43"/>
      <c r="N155" s="76"/>
      <c r="O155" s="76"/>
      <c r="P155" s="76"/>
      <c r="Q155" s="117">
        <v>1</v>
      </c>
    </row>
    <row r="156" spans="1:17" x14ac:dyDescent="0.3">
      <c r="A156" s="70" t="s">
        <v>316</v>
      </c>
      <c r="B156" s="70" t="s">
        <v>129</v>
      </c>
      <c r="C156" s="70" t="s">
        <v>194</v>
      </c>
      <c r="D156" s="70" t="s">
        <v>355</v>
      </c>
      <c r="E156" s="70">
        <v>2</v>
      </c>
      <c r="F156" s="70" t="s">
        <v>429</v>
      </c>
      <c r="G156" s="70" t="s">
        <v>201</v>
      </c>
      <c r="H156" s="70" t="s">
        <v>423</v>
      </c>
      <c r="I156" s="43" t="s">
        <v>416</v>
      </c>
      <c r="J156" s="43" t="s">
        <v>423</v>
      </c>
      <c r="K156" s="70"/>
      <c r="L156" s="43"/>
      <c r="M156" s="43"/>
      <c r="N156" s="76"/>
      <c r="O156" s="76"/>
      <c r="P156" s="76"/>
      <c r="Q156" s="117">
        <v>1</v>
      </c>
    </row>
    <row r="157" spans="1:17" x14ac:dyDescent="0.3">
      <c r="A157" s="309" t="s">
        <v>136</v>
      </c>
      <c r="B157" s="309" t="s">
        <v>1964</v>
      </c>
      <c r="C157" s="309" t="s">
        <v>194</v>
      </c>
      <c r="D157" s="309" t="s">
        <v>377</v>
      </c>
      <c r="E157" s="309">
        <v>1</v>
      </c>
      <c r="F157" s="309" t="s">
        <v>14</v>
      </c>
      <c r="G157" s="309" t="s">
        <v>136</v>
      </c>
      <c r="H157" s="309" t="s">
        <v>61</v>
      </c>
      <c r="I157" s="43" t="s">
        <v>413</v>
      </c>
      <c r="J157" s="43" t="s">
        <v>70</v>
      </c>
      <c r="K157" s="70"/>
      <c r="L157" s="43"/>
      <c r="M157" s="43"/>
      <c r="N157" s="76"/>
      <c r="O157" s="76"/>
      <c r="P157" s="76"/>
      <c r="Q157" s="117">
        <v>1</v>
      </c>
    </row>
    <row r="158" spans="1:17" s="118" customFormat="1" x14ac:dyDescent="0.3">
      <c r="A158" s="309" t="s">
        <v>136</v>
      </c>
      <c r="B158" s="309" t="s">
        <v>1964</v>
      </c>
      <c r="C158" s="309" t="s">
        <v>194</v>
      </c>
      <c r="D158" s="309" t="s">
        <v>377</v>
      </c>
      <c r="E158" s="309">
        <v>2</v>
      </c>
      <c r="F158" s="309" t="s">
        <v>429</v>
      </c>
      <c r="G158" s="309" t="s">
        <v>201</v>
      </c>
      <c r="H158" s="309" t="s">
        <v>424</v>
      </c>
      <c r="I158" s="119" t="s">
        <v>416</v>
      </c>
      <c r="J158" s="119" t="s">
        <v>424</v>
      </c>
      <c r="K158" s="118" t="s">
        <v>2</v>
      </c>
      <c r="L158" s="119">
        <v>1</v>
      </c>
      <c r="M158" s="129" t="s">
        <v>425</v>
      </c>
      <c r="N158" s="120"/>
      <c r="O158" s="120">
        <v>0.59199999999999997</v>
      </c>
      <c r="P158" s="120"/>
      <c r="Q158" s="120">
        <v>0.59199999999999997</v>
      </c>
    </row>
    <row r="159" spans="1:17" x14ac:dyDescent="0.3">
      <c r="A159" s="309" t="s">
        <v>135</v>
      </c>
      <c r="B159" s="309" t="s">
        <v>1964</v>
      </c>
      <c r="C159" s="309" t="s">
        <v>194</v>
      </c>
      <c r="D159" s="309" t="s">
        <v>378</v>
      </c>
      <c r="E159" s="309">
        <v>1</v>
      </c>
      <c r="F159" s="309" t="s">
        <v>147</v>
      </c>
      <c r="G159" s="309" t="s">
        <v>135</v>
      </c>
      <c r="H159" s="309" t="s">
        <v>61</v>
      </c>
      <c r="I159" s="43" t="s">
        <v>413</v>
      </c>
      <c r="J159" s="43" t="s">
        <v>896</v>
      </c>
      <c r="K159" s="70"/>
      <c r="L159" s="43"/>
      <c r="M159" s="43"/>
      <c r="N159" s="76"/>
      <c r="O159" s="121"/>
      <c r="P159" s="76"/>
      <c r="Q159" s="117">
        <v>1</v>
      </c>
    </row>
    <row r="160" spans="1:17" s="118" customFormat="1" x14ac:dyDescent="0.3">
      <c r="A160" s="309" t="s">
        <v>135</v>
      </c>
      <c r="B160" s="309" t="s">
        <v>1964</v>
      </c>
      <c r="C160" s="309" t="s">
        <v>194</v>
      </c>
      <c r="D160" s="309" t="s">
        <v>378</v>
      </c>
      <c r="E160" s="309">
        <v>2</v>
      </c>
      <c r="F160" s="309" t="s">
        <v>429</v>
      </c>
      <c r="G160" s="309" t="s">
        <v>201</v>
      </c>
      <c r="H160" s="309" t="s">
        <v>424</v>
      </c>
      <c r="I160" s="119" t="s">
        <v>416</v>
      </c>
      <c r="J160" s="119" t="s">
        <v>424</v>
      </c>
      <c r="K160" s="118" t="s">
        <v>2</v>
      </c>
      <c r="L160" s="119"/>
      <c r="M160" s="119"/>
      <c r="N160" s="120"/>
      <c r="O160" s="120">
        <v>0.92</v>
      </c>
      <c r="P160" s="120"/>
      <c r="Q160" s="120">
        <v>0.92</v>
      </c>
    </row>
    <row r="161" spans="1:17" x14ac:dyDescent="0.3">
      <c r="A161" s="309" t="s">
        <v>135</v>
      </c>
      <c r="B161" s="309" t="s">
        <v>1964</v>
      </c>
      <c r="C161" s="309" t="s">
        <v>194</v>
      </c>
      <c r="D161" s="309" t="s">
        <v>379</v>
      </c>
      <c r="E161" s="309">
        <v>1</v>
      </c>
      <c r="F161" s="309" t="s">
        <v>147</v>
      </c>
      <c r="G161" s="309" t="s">
        <v>135</v>
      </c>
      <c r="H161" s="309" t="s">
        <v>61</v>
      </c>
      <c r="I161" s="43" t="s">
        <v>413</v>
      </c>
      <c r="J161" s="43" t="s">
        <v>896</v>
      </c>
      <c r="K161" s="70"/>
      <c r="L161" s="43"/>
      <c r="M161" s="43"/>
      <c r="N161" s="76"/>
      <c r="O161" s="76"/>
      <c r="P161" s="76"/>
      <c r="Q161" s="117">
        <v>1</v>
      </c>
    </row>
    <row r="162" spans="1:17" x14ac:dyDescent="0.3">
      <c r="A162" s="309" t="s">
        <v>135</v>
      </c>
      <c r="B162" s="309" t="s">
        <v>1964</v>
      </c>
      <c r="C162" s="309" t="s">
        <v>194</v>
      </c>
      <c r="D162" s="309" t="s">
        <v>379</v>
      </c>
      <c r="E162" s="309">
        <v>2</v>
      </c>
      <c r="F162" s="309" t="s">
        <v>428</v>
      </c>
      <c r="G162" s="309" t="s">
        <v>138</v>
      </c>
      <c r="H162" s="309" t="s">
        <v>1136</v>
      </c>
      <c r="I162" s="43" t="s">
        <v>892</v>
      </c>
      <c r="J162" s="43" t="s">
        <v>892</v>
      </c>
      <c r="K162" s="70" t="s">
        <v>2</v>
      </c>
      <c r="L162" s="43">
        <v>2</v>
      </c>
      <c r="M162" s="128" t="s">
        <v>931</v>
      </c>
      <c r="N162" s="76"/>
      <c r="O162" s="76">
        <v>0.9</v>
      </c>
      <c r="P162" s="76"/>
      <c r="Q162" s="117">
        <v>0.9</v>
      </c>
    </row>
    <row r="163" spans="1:17" x14ac:dyDescent="0.3">
      <c r="A163" s="309" t="s">
        <v>135</v>
      </c>
      <c r="B163" s="309" t="s">
        <v>1964</v>
      </c>
      <c r="C163" s="309" t="s">
        <v>194</v>
      </c>
      <c r="D163" s="309" t="s">
        <v>379</v>
      </c>
      <c r="E163" s="309">
        <v>3</v>
      </c>
      <c r="F163" s="309" t="s">
        <v>429</v>
      </c>
      <c r="G163" s="309" t="s">
        <v>201</v>
      </c>
      <c r="H163" s="309" t="s">
        <v>424</v>
      </c>
      <c r="I163" s="43" t="s">
        <v>416</v>
      </c>
      <c r="J163" s="43" t="s">
        <v>424</v>
      </c>
      <c r="K163" s="70" t="s">
        <v>2</v>
      </c>
      <c r="L163" s="43"/>
      <c r="M163" s="43"/>
      <c r="N163" s="76"/>
      <c r="O163" s="76">
        <v>1</v>
      </c>
      <c r="P163" s="76"/>
      <c r="Q163" s="117">
        <v>1</v>
      </c>
    </row>
    <row r="164" spans="1:17" x14ac:dyDescent="0.3">
      <c r="A164" s="309" t="s">
        <v>316</v>
      </c>
      <c r="B164" s="309" t="s">
        <v>1964</v>
      </c>
      <c r="C164" s="309" t="s">
        <v>194</v>
      </c>
      <c r="D164" s="309" t="s">
        <v>378</v>
      </c>
      <c r="E164" s="309">
        <v>1</v>
      </c>
      <c r="F164" s="309" t="s">
        <v>147</v>
      </c>
      <c r="G164" s="309" t="s">
        <v>316</v>
      </c>
      <c r="H164" s="309" t="s">
        <v>61</v>
      </c>
      <c r="I164" s="43" t="s">
        <v>413</v>
      </c>
      <c r="J164" s="43" t="s">
        <v>896</v>
      </c>
      <c r="K164" s="70"/>
      <c r="L164" s="43"/>
      <c r="M164" s="43"/>
      <c r="N164" s="76"/>
      <c r="O164" s="76"/>
      <c r="P164" s="76"/>
      <c r="Q164" s="117">
        <v>1</v>
      </c>
    </row>
    <row r="165" spans="1:17" s="118" customFormat="1" x14ac:dyDescent="0.3">
      <c r="A165" s="309" t="s">
        <v>316</v>
      </c>
      <c r="B165" s="309" t="s">
        <v>1964</v>
      </c>
      <c r="C165" s="309" t="s">
        <v>194</v>
      </c>
      <c r="D165" s="309" t="s">
        <v>378</v>
      </c>
      <c r="E165" s="309">
        <v>2</v>
      </c>
      <c r="F165" s="309" t="s">
        <v>429</v>
      </c>
      <c r="G165" s="309" t="s">
        <v>201</v>
      </c>
      <c r="H165" s="309" t="s">
        <v>424</v>
      </c>
      <c r="I165" s="119" t="s">
        <v>416</v>
      </c>
      <c r="J165" s="119" t="s">
        <v>424</v>
      </c>
      <c r="K165" s="118" t="s">
        <v>2</v>
      </c>
      <c r="L165" s="119"/>
      <c r="M165" s="119"/>
      <c r="N165" s="120"/>
      <c r="O165" s="120">
        <v>0.92</v>
      </c>
      <c r="P165" s="120"/>
      <c r="Q165" s="120">
        <v>0.92</v>
      </c>
    </row>
    <row r="166" spans="1:17" x14ac:dyDescent="0.3">
      <c r="A166" s="309" t="s">
        <v>316</v>
      </c>
      <c r="B166" s="309" t="s">
        <v>1964</v>
      </c>
      <c r="C166" s="309" t="s">
        <v>194</v>
      </c>
      <c r="D166" s="309" t="s">
        <v>379</v>
      </c>
      <c r="E166" s="309">
        <v>1</v>
      </c>
      <c r="F166" s="309" t="s">
        <v>147</v>
      </c>
      <c r="G166" s="309" t="s">
        <v>316</v>
      </c>
      <c r="H166" s="309" t="s">
        <v>61</v>
      </c>
      <c r="I166" s="43" t="s">
        <v>413</v>
      </c>
      <c r="J166" s="43" t="s">
        <v>896</v>
      </c>
      <c r="K166" s="70"/>
      <c r="L166" s="43"/>
      <c r="M166" s="43"/>
      <c r="N166" s="76"/>
      <c r="O166" s="76"/>
      <c r="P166" s="76"/>
      <c r="Q166" s="117">
        <v>1</v>
      </c>
    </row>
    <row r="167" spans="1:17" x14ac:dyDescent="0.3">
      <c r="A167" s="309" t="s">
        <v>316</v>
      </c>
      <c r="B167" s="309" t="s">
        <v>1964</v>
      </c>
      <c r="C167" s="309" t="s">
        <v>194</v>
      </c>
      <c r="D167" s="309" t="s">
        <v>379</v>
      </c>
      <c r="E167" s="309">
        <v>2</v>
      </c>
      <c r="F167" s="309" t="s">
        <v>428</v>
      </c>
      <c r="G167" s="309" t="s">
        <v>138</v>
      </c>
      <c r="H167" s="309" t="s">
        <v>1136</v>
      </c>
      <c r="I167" s="43" t="s">
        <v>892</v>
      </c>
      <c r="J167" s="43" t="s">
        <v>892</v>
      </c>
      <c r="K167" s="70" t="s">
        <v>2</v>
      </c>
      <c r="L167" s="43">
        <v>2</v>
      </c>
      <c r="M167" s="128" t="s">
        <v>932</v>
      </c>
      <c r="N167" s="76"/>
      <c r="O167" s="76">
        <v>0.9</v>
      </c>
      <c r="P167" s="76"/>
      <c r="Q167" s="117">
        <v>0.9</v>
      </c>
    </row>
    <row r="168" spans="1:17" x14ac:dyDescent="0.3">
      <c r="A168" s="309" t="s">
        <v>316</v>
      </c>
      <c r="B168" s="309" t="s">
        <v>1964</v>
      </c>
      <c r="C168" s="309" t="s">
        <v>194</v>
      </c>
      <c r="D168" s="309" t="s">
        <v>379</v>
      </c>
      <c r="E168" s="309">
        <v>3</v>
      </c>
      <c r="F168" s="309" t="s">
        <v>429</v>
      </c>
      <c r="G168" s="309" t="s">
        <v>201</v>
      </c>
      <c r="H168" s="309" t="s">
        <v>424</v>
      </c>
      <c r="I168" s="43" t="s">
        <v>416</v>
      </c>
      <c r="J168" s="43" t="s">
        <v>424</v>
      </c>
      <c r="K168" s="70" t="s">
        <v>2</v>
      </c>
      <c r="L168" s="43"/>
      <c r="M168" s="43"/>
      <c r="N168" s="76"/>
      <c r="O168" s="76">
        <v>1</v>
      </c>
      <c r="P168" s="76"/>
      <c r="Q168" s="117">
        <v>1</v>
      </c>
    </row>
    <row r="169" spans="1:17" x14ac:dyDescent="0.3">
      <c r="A169" s="309" t="s">
        <v>134</v>
      </c>
      <c r="B169" s="309" t="s">
        <v>1964</v>
      </c>
      <c r="C169" s="309" t="s">
        <v>194</v>
      </c>
      <c r="D169" s="309" t="s">
        <v>378</v>
      </c>
      <c r="E169" s="309">
        <v>1</v>
      </c>
      <c r="F169" s="309" t="s">
        <v>14</v>
      </c>
      <c r="G169" s="309" t="s">
        <v>134</v>
      </c>
      <c r="H169" s="309" t="s">
        <v>61</v>
      </c>
      <c r="I169" s="43" t="s">
        <v>413</v>
      </c>
      <c r="J169" s="43" t="s">
        <v>895</v>
      </c>
      <c r="K169" s="70"/>
      <c r="L169" s="43"/>
      <c r="M169" s="43"/>
      <c r="N169" s="76"/>
      <c r="O169" s="76"/>
      <c r="P169" s="76"/>
      <c r="Q169" s="117">
        <v>1</v>
      </c>
    </row>
    <row r="170" spans="1:17" s="118" customFormat="1" x14ac:dyDescent="0.3">
      <c r="A170" s="309" t="s">
        <v>134</v>
      </c>
      <c r="B170" s="309" t="s">
        <v>1964</v>
      </c>
      <c r="C170" s="309" t="s">
        <v>194</v>
      </c>
      <c r="D170" s="309" t="s">
        <v>378</v>
      </c>
      <c r="E170" s="309">
        <v>2</v>
      </c>
      <c r="F170" s="309" t="s">
        <v>429</v>
      </c>
      <c r="G170" s="309" t="s">
        <v>201</v>
      </c>
      <c r="H170" s="309" t="s">
        <v>424</v>
      </c>
      <c r="I170" s="119" t="s">
        <v>416</v>
      </c>
      <c r="J170" s="119" t="s">
        <v>424</v>
      </c>
      <c r="K170" s="118" t="s">
        <v>2</v>
      </c>
      <c r="L170" s="119"/>
      <c r="M170" s="119"/>
      <c r="N170" s="120"/>
      <c r="O170" s="120">
        <v>0.92</v>
      </c>
      <c r="P170" s="120"/>
      <c r="Q170" s="120">
        <v>0.92</v>
      </c>
    </row>
    <row r="171" spans="1:17" x14ac:dyDescent="0.3">
      <c r="A171" s="309" t="s">
        <v>134</v>
      </c>
      <c r="B171" s="309" t="s">
        <v>1964</v>
      </c>
      <c r="C171" s="309" t="s">
        <v>194</v>
      </c>
      <c r="D171" s="309" t="s">
        <v>379</v>
      </c>
      <c r="E171" s="309">
        <v>1</v>
      </c>
      <c r="F171" s="309" t="s">
        <v>14</v>
      </c>
      <c r="G171" s="309" t="s">
        <v>134</v>
      </c>
      <c r="H171" s="309" t="s">
        <v>61</v>
      </c>
      <c r="I171" s="43" t="s">
        <v>413</v>
      </c>
      <c r="J171" s="43" t="s">
        <v>895</v>
      </c>
      <c r="K171" s="70"/>
      <c r="L171" s="43"/>
      <c r="M171" s="43"/>
      <c r="N171" s="76"/>
      <c r="O171" s="76"/>
      <c r="P171" s="76"/>
      <c r="Q171" s="117">
        <v>1</v>
      </c>
    </row>
    <row r="172" spans="1:17" x14ac:dyDescent="0.3">
      <c r="A172" s="309" t="s">
        <v>134</v>
      </c>
      <c r="B172" s="309" t="s">
        <v>1964</v>
      </c>
      <c r="C172" s="309" t="s">
        <v>194</v>
      </c>
      <c r="D172" s="309" t="s">
        <v>379</v>
      </c>
      <c r="E172" s="309">
        <v>2</v>
      </c>
      <c r="F172" s="309" t="s">
        <v>428</v>
      </c>
      <c r="G172" s="309" t="s">
        <v>138</v>
      </c>
      <c r="H172" s="309" t="s">
        <v>1136</v>
      </c>
      <c r="I172" s="43" t="s">
        <v>892</v>
      </c>
      <c r="J172" s="43" t="s">
        <v>892</v>
      </c>
      <c r="K172" s="70" t="s">
        <v>2</v>
      </c>
      <c r="L172" s="43">
        <v>2</v>
      </c>
      <c r="M172" s="128" t="s">
        <v>930</v>
      </c>
      <c r="N172" s="76"/>
      <c r="O172" s="76">
        <v>0.9</v>
      </c>
      <c r="P172" s="76"/>
      <c r="Q172" s="117">
        <v>0.9</v>
      </c>
    </row>
    <row r="173" spans="1:17" x14ac:dyDescent="0.3">
      <c r="A173" s="309" t="s">
        <v>134</v>
      </c>
      <c r="B173" s="309" t="s">
        <v>1964</v>
      </c>
      <c r="C173" s="309" t="s">
        <v>194</v>
      </c>
      <c r="D173" s="309" t="s">
        <v>379</v>
      </c>
      <c r="E173" s="309">
        <v>3</v>
      </c>
      <c r="F173" s="309" t="s">
        <v>429</v>
      </c>
      <c r="G173" s="309" t="s">
        <v>201</v>
      </c>
      <c r="H173" s="309" t="s">
        <v>424</v>
      </c>
      <c r="I173" s="43" t="s">
        <v>416</v>
      </c>
      <c r="J173" s="43" t="s">
        <v>424</v>
      </c>
      <c r="K173" s="70" t="s">
        <v>2</v>
      </c>
      <c r="L173" s="43"/>
      <c r="M173" s="43"/>
      <c r="N173" s="76"/>
      <c r="O173" s="76">
        <v>1</v>
      </c>
      <c r="P173" s="76"/>
      <c r="Q173" s="117">
        <v>1</v>
      </c>
    </row>
    <row r="174" spans="1:17" x14ac:dyDescent="0.3">
      <c r="A174" s="309" t="s">
        <v>133</v>
      </c>
      <c r="B174" s="309" t="s">
        <v>1964</v>
      </c>
      <c r="C174" s="309" t="s">
        <v>194</v>
      </c>
      <c r="D174" s="309" t="s">
        <v>378</v>
      </c>
      <c r="E174" s="309">
        <v>1</v>
      </c>
      <c r="F174" s="309" t="s">
        <v>14</v>
      </c>
      <c r="G174" s="309" t="s">
        <v>133</v>
      </c>
      <c r="H174" s="309" t="s">
        <v>61</v>
      </c>
      <c r="I174" s="43" t="s">
        <v>413</v>
      </c>
      <c r="J174" s="43" t="s">
        <v>895</v>
      </c>
      <c r="K174" s="70"/>
      <c r="L174" s="43"/>
      <c r="M174" s="43"/>
      <c r="N174" s="76"/>
      <c r="O174" s="76"/>
      <c r="P174" s="76"/>
      <c r="Q174" s="117">
        <v>1</v>
      </c>
    </row>
    <row r="175" spans="1:17" s="118" customFormat="1" x14ac:dyDescent="0.3">
      <c r="A175" s="309" t="s">
        <v>133</v>
      </c>
      <c r="B175" s="309" t="s">
        <v>1964</v>
      </c>
      <c r="C175" s="309" t="s">
        <v>194</v>
      </c>
      <c r="D175" s="309" t="s">
        <v>378</v>
      </c>
      <c r="E175" s="309">
        <v>2</v>
      </c>
      <c r="F175" s="309" t="s">
        <v>429</v>
      </c>
      <c r="G175" s="309" t="s">
        <v>201</v>
      </c>
      <c r="H175" s="309" t="s">
        <v>424</v>
      </c>
      <c r="I175" s="119" t="s">
        <v>416</v>
      </c>
      <c r="J175" s="119" t="s">
        <v>424</v>
      </c>
      <c r="K175" s="118" t="s">
        <v>2</v>
      </c>
      <c r="L175" s="119"/>
      <c r="M175" s="119"/>
      <c r="N175" s="120"/>
      <c r="O175" s="120">
        <v>0.92</v>
      </c>
      <c r="P175" s="120"/>
      <c r="Q175" s="120">
        <v>0.92</v>
      </c>
    </row>
    <row r="176" spans="1:17" x14ac:dyDescent="0.3">
      <c r="A176" s="309" t="s">
        <v>133</v>
      </c>
      <c r="B176" s="309" t="s">
        <v>1964</v>
      </c>
      <c r="C176" s="309" t="s">
        <v>194</v>
      </c>
      <c r="D176" s="309" t="s">
        <v>379</v>
      </c>
      <c r="E176" s="309">
        <v>1</v>
      </c>
      <c r="F176" s="309" t="s">
        <v>14</v>
      </c>
      <c r="G176" s="309" t="s">
        <v>133</v>
      </c>
      <c r="H176" s="309" t="s">
        <v>61</v>
      </c>
      <c r="I176" s="43" t="s">
        <v>413</v>
      </c>
      <c r="J176" s="43" t="s">
        <v>895</v>
      </c>
      <c r="K176" s="70"/>
      <c r="L176" s="43"/>
      <c r="M176" s="43"/>
      <c r="N176" s="76"/>
      <c r="O176" s="76"/>
      <c r="P176" s="76"/>
      <c r="Q176" s="117">
        <v>1</v>
      </c>
    </row>
    <row r="177" spans="1:17" x14ac:dyDescent="0.3">
      <c r="A177" s="70" t="s">
        <v>133</v>
      </c>
      <c r="B177" s="70" t="s">
        <v>1964</v>
      </c>
      <c r="C177" s="70" t="s">
        <v>194</v>
      </c>
      <c r="D177" s="70" t="s">
        <v>379</v>
      </c>
      <c r="E177" s="70">
        <v>2</v>
      </c>
      <c r="F177" s="70" t="s">
        <v>428</v>
      </c>
      <c r="G177" s="70" t="s">
        <v>138</v>
      </c>
      <c r="H177" s="70" t="s">
        <v>1136</v>
      </c>
      <c r="I177" s="43" t="s">
        <v>892</v>
      </c>
      <c r="J177" s="43" t="s">
        <v>892</v>
      </c>
      <c r="K177" s="70" t="s">
        <v>2</v>
      </c>
      <c r="L177" s="43">
        <v>2</v>
      </c>
      <c r="M177" s="128" t="s">
        <v>929</v>
      </c>
      <c r="N177" s="76"/>
      <c r="O177" s="76">
        <v>0.9</v>
      </c>
      <c r="P177" s="76"/>
      <c r="Q177" s="117">
        <v>0.9</v>
      </c>
    </row>
    <row r="178" spans="1:17" x14ac:dyDescent="0.3">
      <c r="A178" s="70" t="s">
        <v>133</v>
      </c>
      <c r="B178" s="70" t="s">
        <v>1964</v>
      </c>
      <c r="C178" s="70" t="s">
        <v>194</v>
      </c>
      <c r="D178" s="70" t="s">
        <v>379</v>
      </c>
      <c r="E178" s="70">
        <v>3</v>
      </c>
      <c r="F178" s="70" t="s">
        <v>429</v>
      </c>
      <c r="G178" s="70" t="s">
        <v>201</v>
      </c>
      <c r="H178" s="70" t="s">
        <v>424</v>
      </c>
      <c r="I178" s="43" t="s">
        <v>416</v>
      </c>
      <c r="J178" s="43" t="s">
        <v>424</v>
      </c>
      <c r="K178" s="70" t="s">
        <v>2</v>
      </c>
      <c r="L178" s="43"/>
      <c r="M178" s="43"/>
      <c r="N178" s="76"/>
      <c r="O178" s="76">
        <v>1</v>
      </c>
      <c r="P178" s="76"/>
      <c r="Q178" s="117">
        <v>1</v>
      </c>
    </row>
    <row r="179" spans="1:17" x14ac:dyDescent="0.3">
      <c r="A179" s="21" t="s">
        <v>874</v>
      </c>
      <c r="B179" s="21" t="s">
        <v>30</v>
      </c>
      <c r="C179" s="21" t="s">
        <v>194</v>
      </c>
      <c r="D179" s="122" t="s">
        <v>912</v>
      </c>
      <c r="E179" s="21">
        <v>1</v>
      </c>
      <c r="F179" s="21" t="s">
        <v>887</v>
      </c>
      <c r="G179" s="21" t="s">
        <v>888</v>
      </c>
      <c r="H179" s="21" t="s">
        <v>61</v>
      </c>
      <c r="I179" s="43" t="s">
        <v>890</v>
      </c>
      <c r="J179" s="43" t="s">
        <v>890</v>
      </c>
      <c r="K179" s="21" t="s">
        <v>2</v>
      </c>
      <c r="L179" s="43"/>
      <c r="M179" s="43"/>
      <c r="N179" s="93"/>
      <c r="O179" s="93"/>
      <c r="P179" s="93"/>
      <c r="Q179" s="93"/>
    </row>
    <row r="180" spans="1:17" x14ac:dyDescent="0.3">
      <c r="A180" s="21" t="s">
        <v>874</v>
      </c>
      <c r="B180" s="21" t="s">
        <v>30</v>
      </c>
      <c r="C180" s="21" t="s">
        <v>194</v>
      </c>
      <c r="D180" s="122" t="s">
        <v>912</v>
      </c>
      <c r="E180" s="21">
        <v>2</v>
      </c>
      <c r="F180" s="21" t="s">
        <v>429</v>
      </c>
      <c r="G180" s="21" t="s">
        <v>201</v>
      </c>
      <c r="H180" s="21" t="s">
        <v>893</v>
      </c>
      <c r="I180" s="43" t="s">
        <v>416</v>
      </c>
      <c r="J180" s="43" t="s">
        <v>415</v>
      </c>
      <c r="K180" s="21" t="s">
        <v>2</v>
      </c>
      <c r="L180" s="43">
        <v>2</v>
      </c>
      <c r="M180" s="43" t="s">
        <v>417</v>
      </c>
      <c r="N180" s="93"/>
      <c r="O180" s="93">
        <v>1</v>
      </c>
      <c r="P180" s="93"/>
      <c r="Q180" s="93"/>
    </row>
    <row r="181" spans="1:17" s="122" customFormat="1" ht="15" thickBot="1" x14ac:dyDescent="0.35">
      <c r="I181" s="129"/>
      <c r="J181" s="129"/>
      <c r="L181" s="129"/>
      <c r="M181" s="129"/>
      <c r="N181" s="130"/>
      <c r="O181" s="130"/>
      <c r="P181" s="130"/>
      <c r="Q181" s="130"/>
    </row>
    <row r="182" spans="1:17" s="122" customFormat="1" ht="15.6" thickTop="1" thickBot="1" x14ac:dyDescent="0.35">
      <c r="I182" s="129"/>
      <c r="J182" s="129"/>
      <c r="L182" s="129"/>
      <c r="M182" s="129"/>
      <c r="N182" s="130"/>
      <c r="O182" s="131"/>
      <c r="P182" s="130"/>
      <c r="Q182" s="130"/>
    </row>
    <row r="183" spans="1:17" ht="15" thickTop="1" x14ac:dyDescent="0.3">
      <c r="A183" s="21" t="s">
        <v>875</v>
      </c>
      <c r="B183" s="21" t="s">
        <v>30</v>
      </c>
      <c r="C183" s="21" t="s">
        <v>194</v>
      </c>
      <c r="D183" s="122" t="s">
        <v>912</v>
      </c>
      <c r="E183" s="21">
        <v>1</v>
      </c>
      <c r="F183" s="21" t="s">
        <v>887</v>
      </c>
      <c r="G183" s="21" t="s">
        <v>889</v>
      </c>
      <c r="H183" s="21" t="s">
        <v>61</v>
      </c>
      <c r="I183" s="43" t="s">
        <v>891</v>
      </c>
      <c r="J183" s="43" t="s">
        <v>891</v>
      </c>
      <c r="K183" s="21" t="s">
        <v>2</v>
      </c>
      <c r="L183" s="43"/>
      <c r="M183" s="43"/>
      <c r="N183" s="93"/>
      <c r="O183" s="93"/>
      <c r="P183" s="93"/>
      <c r="Q183" s="93"/>
    </row>
    <row r="184" spans="1:17" x14ac:dyDescent="0.3">
      <c r="A184" s="21" t="s">
        <v>875</v>
      </c>
      <c r="B184" s="21" t="s">
        <v>30</v>
      </c>
      <c r="C184" s="21" t="s">
        <v>194</v>
      </c>
      <c r="D184" s="122" t="s">
        <v>912</v>
      </c>
      <c r="E184" s="21">
        <v>2</v>
      </c>
      <c r="F184" s="21" t="s">
        <v>429</v>
      </c>
      <c r="G184" s="21" t="s">
        <v>201</v>
      </c>
      <c r="H184" s="21" t="s">
        <v>893</v>
      </c>
      <c r="I184" s="43" t="s">
        <v>416</v>
      </c>
      <c r="J184" s="43" t="s">
        <v>415</v>
      </c>
      <c r="K184" s="21" t="s">
        <v>2</v>
      </c>
      <c r="L184" s="43">
        <v>2</v>
      </c>
      <c r="M184" s="43" t="s">
        <v>417</v>
      </c>
      <c r="N184" s="93"/>
      <c r="O184" s="93">
        <v>1</v>
      </c>
      <c r="P184" s="93"/>
      <c r="Q184" s="93"/>
    </row>
    <row r="185" spans="1:17" s="122" customFormat="1" ht="15" thickBot="1" x14ac:dyDescent="0.35">
      <c r="I185" s="129"/>
      <c r="J185" s="129"/>
      <c r="L185" s="129"/>
      <c r="M185" s="129"/>
      <c r="N185" s="130"/>
      <c r="O185" s="130"/>
      <c r="P185" s="130"/>
      <c r="Q185" s="130"/>
    </row>
    <row r="186" spans="1:17" s="122" customFormat="1" ht="15.6" thickTop="1" thickBot="1" x14ac:dyDescent="0.35">
      <c r="I186" s="129"/>
      <c r="J186" s="129"/>
      <c r="L186" s="129"/>
      <c r="M186" s="129"/>
      <c r="N186" s="130"/>
      <c r="O186" s="131"/>
      <c r="P186" s="130"/>
      <c r="Q186" s="130"/>
    </row>
    <row r="187" spans="1:17" ht="15" thickTop="1" x14ac:dyDescent="0.3">
      <c r="A187" s="21" t="s">
        <v>876</v>
      </c>
      <c r="B187" s="21" t="s">
        <v>30</v>
      </c>
      <c r="C187" s="21" t="s">
        <v>194</v>
      </c>
      <c r="D187" s="21" t="s">
        <v>367</v>
      </c>
      <c r="E187" s="21">
        <v>1</v>
      </c>
      <c r="F187" s="21" t="s">
        <v>429</v>
      </c>
      <c r="G187" s="21" t="s">
        <v>201</v>
      </c>
      <c r="H187" s="21" t="s">
        <v>415</v>
      </c>
      <c r="I187" s="43" t="s">
        <v>416</v>
      </c>
      <c r="J187" s="43" t="s">
        <v>415</v>
      </c>
      <c r="K187" s="21" t="s">
        <v>2</v>
      </c>
      <c r="L187" s="43">
        <v>2</v>
      </c>
      <c r="M187" s="43" t="s">
        <v>417</v>
      </c>
      <c r="N187" s="93"/>
      <c r="O187" s="93">
        <v>0.93</v>
      </c>
      <c r="P187" s="93"/>
      <c r="Q187" s="93"/>
    </row>
    <row r="188" spans="1:17" x14ac:dyDescent="0.3">
      <c r="A188" s="21" t="s">
        <v>881</v>
      </c>
      <c r="B188" s="21" t="s">
        <v>129</v>
      </c>
      <c r="C188" s="21" t="s">
        <v>194</v>
      </c>
      <c r="D188" s="21" t="s">
        <v>894</v>
      </c>
      <c r="E188" s="21">
        <v>1</v>
      </c>
      <c r="F188" s="21" t="s">
        <v>14</v>
      </c>
      <c r="G188" s="21" t="s">
        <v>881</v>
      </c>
      <c r="H188" s="21" t="s">
        <v>61</v>
      </c>
      <c r="I188" s="43" t="s">
        <v>413</v>
      </c>
      <c r="J188" s="43" t="s">
        <v>895</v>
      </c>
      <c r="K188" s="21"/>
      <c r="L188" s="43"/>
      <c r="M188" s="43"/>
      <c r="N188" s="93"/>
      <c r="O188" s="93"/>
      <c r="P188" s="93"/>
      <c r="Q188" s="93"/>
    </row>
    <row r="189" spans="1:17" x14ac:dyDescent="0.3">
      <c r="A189" s="21" t="s">
        <v>881</v>
      </c>
      <c r="B189" s="21" t="s">
        <v>129</v>
      </c>
      <c r="C189" s="21" t="s">
        <v>194</v>
      </c>
      <c r="D189" s="21" t="s">
        <v>894</v>
      </c>
      <c r="E189" s="21">
        <v>2</v>
      </c>
      <c r="F189" s="21" t="s">
        <v>429</v>
      </c>
      <c r="G189" s="21" t="s">
        <v>201</v>
      </c>
      <c r="H189" s="21" t="s">
        <v>423</v>
      </c>
      <c r="I189" s="43" t="s">
        <v>416</v>
      </c>
      <c r="J189" s="43" t="s">
        <v>423</v>
      </c>
      <c r="K189" s="21"/>
      <c r="L189" s="43"/>
      <c r="M189" s="43"/>
      <c r="N189" s="93"/>
      <c r="O189" s="93"/>
      <c r="P189" s="93"/>
      <c r="Q189" s="93"/>
    </row>
    <row r="190" spans="1:17" x14ac:dyDescent="0.3">
      <c r="A190" s="21" t="s">
        <v>881</v>
      </c>
      <c r="B190" s="21" t="s">
        <v>129</v>
      </c>
      <c r="C190" s="21" t="s">
        <v>194</v>
      </c>
      <c r="D190" s="21" t="s">
        <v>355</v>
      </c>
      <c r="E190" s="21">
        <v>1</v>
      </c>
      <c r="F190" s="21" t="s">
        <v>14</v>
      </c>
      <c r="G190" s="21" t="s">
        <v>881</v>
      </c>
      <c r="H190" s="21" t="s">
        <v>61</v>
      </c>
      <c r="I190" s="43" t="s">
        <v>413</v>
      </c>
      <c r="J190" s="43" t="s">
        <v>895</v>
      </c>
      <c r="K190" s="21"/>
      <c r="L190" s="43"/>
      <c r="M190" s="43"/>
      <c r="N190" s="93"/>
      <c r="O190" s="93"/>
      <c r="P190" s="93"/>
      <c r="Q190" s="93"/>
    </row>
    <row r="191" spans="1:17" x14ac:dyDescent="0.3">
      <c r="A191" s="21" t="s">
        <v>881</v>
      </c>
      <c r="B191" s="21" t="s">
        <v>129</v>
      </c>
      <c r="C191" s="21" t="s">
        <v>194</v>
      </c>
      <c r="D191" s="21" t="s">
        <v>355</v>
      </c>
      <c r="E191" s="21">
        <v>2</v>
      </c>
      <c r="F191" s="21" t="s">
        <v>429</v>
      </c>
      <c r="G191" s="21" t="s">
        <v>201</v>
      </c>
      <c r="H191" s="21" t="s">
        <v>423</v>
      </c>
      <c r="I191" s="43" t="s">
        <v>416</v>
      </c>
      <c r="J191" s="43" t="s">
        <v>423</v>
      </c>
      <c r="K191" s="21"/>
      <c r="L191" s="43"/>
      <c r="M191" s="43"/>
      <c r="N191" s="93"/>
      <c r="O191" s="93"/>
      <c r="P191" s="93"/>
      <c r="Q191" s="93"/>
    </row>
    <row r="192" spans="1:17" x14ac:dyDescent="0.3">
      <c r="A192" s="21" t="s">
        <v>878</v>
      </c>
      <c r="B192" s="21" t="s">
        <v>129</v>
      </c>
      <c r="C192" s="21" t="s">
        <v>194</v>
      </c>
      <c r="D192" s="122" t="s">
        <v>894</v>
      </c>
      <c r="E192" s="21">
        <v>1</v>
      </c>
      <c r="F192" s="21" t="s">
        <v>429</v>
      </c>
      <c r="G192" s="21" t="s">
        <v>201</v>
      </c>
      <c r="H192" s="21" t="s">
        <v>424</v>
      </c>
      <c r="I192" s="43" t="s">
        <v>416</v>
      </c>
      <c r="J192" s="43" t="s">
        <v>423</v>
      </c>
      <c r="K192" s="21"/>
      <c r="L192" s="43"/>
      <c r="M192" s="43"/>
      <c r="N192" s="93"/>
      <c r="O192" s="93"/>
      <c r="P192" s="93"/>
      <c r="Q192" s="93"/>
    </row>
    <row r="193" spans="1:20" x14ac:dyDescent="0.3">
      <c r="A193" s="21" t="s">
        <v>447</v>
      </c>
      <c r="B193" s="21" t="s">
        <v>1964</v>
      </c>
      <c r="C193" s="21" t="s">
        <v>194</v>
      </c>
      <c r="D193" s="21" t="s">
        <v>377</v>
      </c>
      <c r="E193" s="21">
        <v>1</v>
      </c>
      <c r="F193" s="21" t="s">
        <v>14</v>
      </c>
      <c r="G193" s="21" t="s">
        <v>447</v>
      </c>
      <c r="H193" s="21" t="s">
        <v>61</v>
      </c>
      <c r="I193" s="43" t="s">
        <v>413</v>
      </c>
      <c r="J193" s="43" t="s">
        <v>62</v>
      </c>
      <c r="K193" s="21"/>
      <c r="L193" s="43"/>
      <c r="M193" s="43"/>
      <c r="N193" s="93"/>
      <c r="O193" s="93"/>
      <c r="P193" s="93"/>
      <c r="Q193" s="93"/>
    </row>
    <row r="194" spans="1:20" s="118" customFormat="1" x14ac:dyDescent="0.3">
      <c r="A194" s="118" t="s">
        <v>447</v>
      </c>
      <c r="B194" s="118" t="s">
        <v>1964</v>
      </c>
      <c r="C194" s="118" t="s">
        <v>194</v>
      </c>
      <c r="D194" s="118" t="s">
        <v>377</v>
      </c>
      <c r="E194" s="118">
        <v>2</v>
      </c>
      <c r="F194" s="118" t="s">
        <v>429</v>
      </c>
      <c r="G194" s="118" t="s">
        <v>201</v>
      </c>
      <c r="H194" s="118" t="s">
        <v>424</v>
      </c>
      <c r="I194" s="119" t="s">
        <v>416</v>
      </c>
      <c r="J194" s="119" t="s">
        <v>424</v>
      </c>
      <c r="K194" s="118" t="s">
        <v>2</v>
      </c>
      <c r="L194" s="119"/>
      <c r="M194" s="119"/>
      <c r="N194" s="120"/>
      <c r="O194" s="120">
        <v>0.59</v>
      </c>
      <c r="P194" s="120"/>
      <c r="Q194" s="120"/>
      <c r="S194" s="120">
        <v>0.84</v>
      </c>
      <c r="T194" s="120">
        <v>0.59</v>
      </c>
    </row>
    <row r="195" spans="1:20" x14ac:dyDescent="0.3">
      <c r="A195" s="21" t="s">
        <v>447</v>
      </c>
      <c r="B195" s="21" t="s">
        <v>1964</v>
      </c>
      <c r="C195" s="21" t="s">
        <v>194</v>
      </c>
      <c r="D195" s="21" t="s">
        <v>355</v>
      </c>
      <c r="E195" s="21">
        <v>1</v>
      </c>
      <c r="F195" s="21" t="s">
        <v>14</v>
      </c>
      <c r="G195" s="21" t="s">
        <v>447</v>
      </c>
      <c r="H195" s="21" t="s">
        <v>61</v>
      </c>
      <c r="I195" s="43" t="s">
        <v>413</v>
      </c>
      <c r="J195" s="43" t="s">
        <v>62</v>
      </c>
      <c r="K195" s="21"/>
      <c r="L195" s="43"/>
      <c r="M195" s="43"/>
      <c r="N195" s="93"/>
      <c r="O195" s="93">
        <v>1</v>
      </c>
      <c r="P195" s="93"/>
      <c r="Q195" s="93"/>
    </row>
    <row r="196" spans="1:20" s="118" customFormat="1" x14ac:dyDescent="0.3">
      <c r="A196" s="118" t="s">
        <v>447</v>
      </c>
      <c r="B196" s="118" t="s">
        <v>1964</v>
      </c>
      <c r="C196" s="118" t="s">
        <v>194</v>
      </c>
      <c r="D196" s="118" t="s">
        <v>355</v>
      </c>
      <c r="E196" s="118">
        <v>2</v>
      </c>
      <c r="F196" s="118" t="s">
        <v>429</v>
      </c>
      <c r="G196" s="118" t="s">
        <v>201</v>
      </c>
      <c r="H196" s="118" t="s">
        <v>424</v>
      </c>
      <c r="I196" s="119" t="s">
        <v>416</v>
      </c>
      <c r="J196" s="119" t="s">
        <v>424</v>
      </c>
      <c r="K196" s="118" t="s">
        <v>2</v>
      </c>
      <c r="L196" s="119"/>
      <c r="M196" s="119"/>
      <c r="N196" s="120"/>
      <c r="O196" s="120">
        <v>1</v>
      </c>
      <c r="P196" s="120"/>
      <c r="Q196" s="120"/>
    </row>
    <row r="197" spans="1:20" ht="15" thickBot="1" x14ac:dyDescent="0.35">
      <c r="A197" s="21" t="s">
        <v>447</v>
      </c>
      <c r="B197" s="21" t="s">
        <v>1964</v>
      </c>
      <c r="C197" s="21" t="s">
        <v>194</v>
      </c>
      <c r="D197" s="21" t="s">
        <v>882</v>
      </c>
      <c r="E197" s="21">
        <v>1</v>
      </c>
      <c r="F197" s="21" t="s">
        <v>14</v>
      </c>
      <c r="G197" s="21" t="s">
        <v>447</v>
      </c>
      <c r="H197" s="21" t="s">
        <v>61</v>
      </c>
      <c r="I197" s="43" t="s">
        <v>413</v>
      </c>
      <c r="J197" s="43" t="s">
        <v>62</v>
      </c>
      <c r="K197" s="21"/>
      <c r="L197" s="43"/>
      <c r="M197" s="43"/>
      <c r="N197" s="93"/>
      <c r="O197" s="97">
        <v>1</v>
      </c>
      <c r="P197" s="93"/>
      <c r="Q197" s="93"/>
    </row>
    <row r="198" spans="1:20" s="118" customFormat="1" ht="15.6" thickTop="1" thickBot="1" x14ac:dyDescent="0.35">
      <c r="A198" s="118" t="s">
        <v>447</v>
      </c>
      <c r="B198" s="118" t="s">
        <v>1964</v>
      </c>
      <c r="C198" s="118" t="s">
        <v>194</v>
      </c>
      <c r="D198" s="118" t="s">
        <v>882</v>
      </c>
      <c r="E198" s="118">
        <v>2</v>
      </c>
      <c r="F198" s="118" t="s">
        <v>429</v>
      </c>
      <c r="G198" s="118" t="s">
        <v>201</v>
      </c>
      <c r="H198" s="118" t="s">
        <v>424</v>
      </c>
      <c r="I198" s="119" t="s">
        <v>416</v>
      </c>
      <c r="J198" s="119" t="s">
        <v>424</v>
      </c>
      <c r="K198" s="118" t="s">
        <v>2</v>
      </c>
      <c r="L198" s="119"/>
      <c r="M198" s="119"/>
      <c r="N198" s="120"/>
      <c r="O198" s="132">
        <v>0.64808813998703829</v>
      </c>
      <c r="P198" s="120"/>
      <c r="Q198" s="120"/>
    </row>
    <row r="199" spans="1:20" ht="15" thickTop="1" x14ac:dyDescent="0.3">
      <c r="A199" s="21" t="s">
        <v>447</v>
      </c>
      <c r="B199" s="21" t="s">
        <v>448</v>
      </c>
      <c r="C199" s="21" t="s">
        <v>194</v>
      </c>
      <c r="D199" s="21" t="s">
        <v>377</v>
      </c>
      <c r="E199" s="21">
        <v>1</v>
      </c>
      <c r="F199" s="21" t="s">
        <v>14</v>
      </c>
      <c r="G199" s="21" t="s">
        <v>447</v>
      </c>
      <c r="H199" s="21" t="s">
        <v>61</v>
      </c>
      <c r="I199" s="43" t="s">
        <v>413</v>
      </c>
      <c r="J199" s="43" t="s">
        <v>62</v>
      </c>
      <c r="K199" s="21"/>
      <c r="L199" s="43"/>
      <c r="M199" s="43"/>
      <c r="N199" s="93"/>
      <c r="O199" s="93"/>
      <c r="P199" s="93"/>
      <c r="Q199" s="93"/>
    </row>
    <row r="200" spans="1:20" x14ac:dyDescent="0.3">
      <c r="A200" s="21" t="s">
        <v>447</v>
      </c>
      <c r="B200" s="21" t="s">
        <v>448</v>
      </c>
      <c r="C200" s="21" t="s">
        <v>194</v>
      </c>
      <c r="D200" s="21" t="s">
        <v>377</v>
      </c>
      <c r="E200" s="21">
        <v>2</v>
      </c>
      <c r="F200" s="21" t="s">
        <v>429</v>
      </c>
      <c r="G200" s="21" t="s">
        <v>201</v>
      </c>
      <c r="H200" s="21" t="s">
        <v>424</v>
      </c>
      <c r="I200" s="43" t="s">
        <v>416</v>
      </c>
      <c r="J200" s="43" t="s">
        <v>424</v>
      </c>
      <c r="K200" s="21"/>
      <c r="L200" s="43"/>
      <c r="M200" s="43"/>
      <c r="N200" s="93"/>
      <c r="O200" s="93">
        <v>1</v>
      </c>
      <c r="P200" s="93"/>
      <c r="Q200" s="93"/>
    </row>
    <row r="201" spans="1:20" x14ac:dyDescent="0.3">
      <c r="A201" s="21" t="s">
        <v>447</v>
      </c>
      <c r="B201" s="21" t="s">
        <v>448</v>
      </c>
      <c r="C201" s="21" t="s">
        <v>194</v>
      </c>
      <c r="D201" s="21" t="s">
        <v>355</v>
      </c>
      <c r="E201" s="21">
        <v>1</v>
      </c>
      <c r="F201" s="21" t="s">
        <v>14</v>
      </c>
      <c r="G201" s="21" t="s">
        <v>447</v>
      </c>
      <c r="H201" s="21" t="s">
        <v>61</v>
      </c>
      <c r="I201" s="43" t="s">
        <v>413</v>
      </c>
      <c r="J201" s="43" t="s">
        <v>62</v>
      </c>
      <c r="K201" s="21"/>
      <c r="L201" s="43"/>
      <c r="M201" s="43"/>
      <c r="N201" s="93"/>
      <c r="O201" s="93"/>
      <c r="P201" s="93"/>
      <c r="Q201" s="93"/>
    </row>
    <row r="202" spans="1:20" x14ac:dyDescent="0.3">
      <c r="A202" s="21" t="s">
        <v>447</v>
      </c>
      <c r="B202" s="21" t="s">
        <v>448</v>
      </c>
      <c r="C202" s="21" t="s">
        <v>194</v>
      </c>
      <c r="D202" s="21" t="s">
        <v>355</v>
      </c>
      <c r="E202" s="21">
        <v>2</v>
      </c>
      <c r="F202" s="21" t="s">
        <v>429</v>
      </c>
      <c r="G202" s="21" t="s">
        <v>201</v>
      </c>
      <c r="H202" s="21" t="s">
        <v>424</v>
      </c>
      <c r="I202" s="43" t="s">
        <v>416</v>
      </c>
      <c r="J202" s="43" t="s">
        <v>424</v>
      </c>
      <c r="K202" s="21" t="s">
        <v>2</v>
      </c>
      <c r="L202" s="43"/>
      <c r="M202" s="43"/>
      <c r="N202" s="93"/>
      <c r="O202" s="93">
        <v>1</v>
      </c>
      <c r="P202" s="93"/>
      <c r="Q202" s="93"/>
    </row>
    <row r="203" spans="1:20" x14ac:dyDescent="0.3">
      <c r="A203" s="21" t="s">
        <v>449</v>
      </c>
      <c r="B203" s="21" t="s">
        <v>448</v>
      </c>
      <c r="C203" s="21" t="s">
        <v>194</v>
      </c>
      <c r="D203" s="21" t="s">
        <v>377</v>
      </c>
      <c r="E203" s="21">
        <v>1</v>
      </c>
      <c r="F203" s="21" t="s">
        <v>14</v>
      </c>
      <c r="G203" s="21" t="s">
        <v>449</v>
      </c>
      <c r="H203" s="21" t="s">
        <v>61</v>
      </c>
      <c r="I203" s="43" t="s">
        <v>413</v>
      </c>
      <c r="J203" s="43" t="s">
        <v>55</v>
      </c>
      <c r="K203" s="21"/>
      <c r="L203" s="43"/>
      <c r="M203" s="43"/>
      <c r="N203" s="93"/>
      <c r="O203" s="93"/>
      <c r="P203" s="93"/>
      <c r="Q203" s="93"/>
    </row>
    <row r="204" spans="1:20" x14ac:dyDescent="0.3">
      <c r="A204" s="21" t="s">
        <v>449</v>
      </c>
      <c r="B204" s="21" t="s">
        <v>448</v>
      </c>
      <c r="C204" s="21" t="s">
        <v>194</v>
      </c>
      <c r="D204" s="21" t="s">
        <v>377</v>
      </c>
      <c r="E204" s="21">
        <v>2</v>
      </c>
      <c r="F204" s="21" t="s">
        <v>429</v>
      </c>
      <c r="G204" s="21" t="s">
        <v>201</v>
      </c>
      <c r="H204" s="21" t="s">
        <v>424</v>
      </c>
      <c r="I204" s="43" t="s">
        <v>416</v>
      </c>
      <c r="J204" s="43" t="s">
        <v>424</v>
      </c>
      <c r="K204" s="21" t="s">
        <v>2</v>
      </c>
      <c r="L204" s="43"/>
      <c r="M204" s="43"/>
      <c r="N204" s="93"/>
      <c r="O204" s="93">
        <v>1</v>
      </c>
      <c r="P204" s="93"/>
      <c r="Q204" s="93"/>
    </row>
    <row r="205" spans="1:20" x14ac:dyDescent="0.3">
      <c r="A205" s="21" t="s">
        <v>449</v>
      </c>
      <c r="B205" s="21" t="s">
        <v>448</v>
      </c>
      <c r="C205" s="21" t="s">
        <v>194</v>
      </c>
      <c r="D205" s="21" t="s">
        <v>355</v>
      </c>
      <c r="E205" s="21">
        <v>1</v>
      </c>
      <c r="F205" s="21" t="s">
        <v>14</v>
      </c>
      <c r="G205" s="21" t="s">
        <v>449</v>
      </c>
      <c r="H205" s="21" t="s">
        <v>61</v>
      </c>
      <c r="I205" s="43" t="s">
        <v>413</v>
      </c>
      <c r="J205" s="43" t="s">
        <v>55</v>
      </c>
      <c r="K205" s="21"/>
      <c r="L205" s="43"/>
      <c r="M205" s="43"/>
      <c r="N205" s="93"/>
      <c r="O205" s="93"/>
      <c r="P205" s="93"/>
      <c r="Q205" s="93"/>
    </row>
    <row r="206" spans="1:20" x14ac:dyDescent="0.3">
      <c r="A206" s="21" t="s">
        <v>449</v>
      </c>
      <c r="B206" s="21" t="s">
        <v>448</v>
      </c>
      <c r="C206" s="21" t="s">
        <v>194</v>
      </c>
      <c r="D206" s="21" t="s">
        <v>355</v>
      </c>
      <c r="E206" s="21">
        <v>2</v>
      </c>
      <c r="F206" s="21" t="s">
        <v>429</v>
      </c>
      <c r="G206" s="21" t="s">
        <v>201</v>
      </c>
      <c r="H206" s="21" t="s">
        <v>424</v>
      </c>
      <c r="I206" s="43" t="s">
        <v>416</v>
      </c>
      <c r="J206" s="43" t="s">
        <v>424</v>
      </c>
      <c r="K206" s="21"/>
      <c r="L206" s="43"/>
      <c r="M206" s="43"/>
      <c r="N206" s="93"/>
      <c r="O206" s="93">
        <v>1</v>
      </c>
      <c r="P206" s="93"/>
      <c r="Q206" s="93"/>
    </row>
    <row r="207" spans="1:20" x14ac:dyDescent="0.3">
      <c r="A207" s="21" t="s">
        <v>447</v>
      </c>
      <c r="B207" s="21" t="s">
        <v>883</v>
      </c>
      <c r="C207" s="21" t="s">
        <v>194</v>
      </c>
      <c r="D207" s="21" t="s">
        <v>377</v>
      </c>
      <c r="E207" s="21">
        <v>1</v>
      </c>
      <c r="F207" s="21" t="s">
        <v>14</v>
      </c>
      <c r="G207" s="21" t="s">
        <v>447</v>
      </c>
      <c r="H207" s="21" t="s">
        <v>61</v>
      </c>
      <c r="I207" s="43" t="s">
        <v>413</v>
      </c>
      <c r="J207" s="43" t="s">
        <v>62</v>
      </c>
      <c r="K207" s="21"/>
      <c r="L207" s="43"/>
      <c r="M207" s="43"/>
      <c r="N207" s="93"/>
      <c r="O207" s="93"/>
      <c r="P207" s="93"/>
      <c r="Q207" s="93"/>
    </row>
    <row r="208" spans="1:20" x14ac:dyDescent="0.3">
      <c r="A208" s="21" t="s">
        <v>447</v>
      </c>
      <c r="B208" s="21" t="s">
        <v>883</v>
      </c>
      <c r="C208" s="21" t="s">
        <v>194</v>
      </c>
      <c r="D208" s="21" t="s">
        <v>377</v>
      </c>
      <c r="E208" s="21">
        <v>2</v>
      </c>
      <c r="F208" s="21" t="s">
        <v>429</v>
      </c>
      <c r="G208" s="21" t="s">
        <v>201</v>
      </c>
      <c r="H208" s="21" t="s">
        <v>893</v>
      </c>
      <c r="I208" s="43" t="s">
        <v>416</v>
      </c>
      <c r="J208" s="43" t="s">
        <v>424</v>
      </c>
      <c r="K208" s="21" t="s">
        <v>2</v>
      </c>
      <c r="L208" s="133"/>
      <c r="M208" s="129"/>
      <c r="N208" s="93"/>
      <c r="O208" s="93">
        <v>0.83</v>
      </c>
      <c r="P208" s="93"/>
      <c r="Q208" s="93"/>
      <c r="R208" t="s">
        <v>1137</v>
      </c>
    </row>
    <row r="209" spans="1:17" x14ac:dyDescent="0.3">
      <c r="A209" s="21" t="s">
        <v>447</v>
      </c>
      <c r="B209" s="21" t="s">
        <v>883</v>
      </c>
      <c r="C209" s="21" t="s">
        <v>194</v>
      </c>
      <c r="D209" s="21" t="s">
        <v>355</v>
      </c>
      <c r="E209" s="21">
        <v>1</v>
      </c>
      <c r="F209" s="21" t="s">
        <v>14</v>
      </c>
      <c r="G209" s="21" t="s">
        <v>447</v>
      </c>
      <c r="H209" s="21" t="s">
        <v>61</v>
      </c>
      <c r="I209" s="43" t="s">
        <v>413</v>
      </c>
      <c r="J209" s="43" t="s">
        <v>62</v>
      </c>
      <c r="K209" s="21"/>
      <c r="L209" s="133"/>
      <c r="M209" s="129"/>
      <c r="N209" s="93"/>
      <c r="O209" s="93"/>
      <c r="P209" s="93"/>
      <c r="Q209" s="93"/>
    </row>
    <row r="210" spans="1:17" x14ac:dyDescent="0.3">
      <c r="A210" s="21" t="s">
        <v>447</v>
      </c>
      <c r="B210" s="21" t="s">
        <v>883</v>
      </c>
      <c r="C210" s="21" t="s">
        <v>194</v>
      </c>
      <c r="D210" s="21" t="s">
        <v>355</v>
      </c>
      <c r="E210" s="21">
        <v>2</v>
      </c>
      <c r="F210" s="21" t="s">
        <v>429</v>
      </c>
      <c r="G210" s="21" t="s">
        <v>201</v>
      </c>
      <c r="H210" s="21" t="s">
        <v>893</v>
      </c>
      <c r="I210" s="43" t="s">
        <v>416</v>
      </c>
      <c r="J210" s="43" t="s">
        <v>424</v>
      </c>
      <c r="K210" s="21"/>
      <c r="L210" s="133"/>
      <c r="M210" s="129"/>
      <c r="N210" s="93"/>
      <c r="O210" s="93">
        <v>1</v>
      </c>
      <c r="P210" s="93"/>
      <c r="Q210" s="93"/>
    </row>
    <row r="211" spans="1:17" x14ac:dyDescent="0.3">
      <c r="A211" s="21" t="s">
        <v>447</v>
      </c>
      <c r="B211" s="21" t="s">
        <v>883</v>
      </c>
      <c r="C211" s="21" t="s">
        <v>194</v>
      </c>
      <c r="D211" s="21" t="s">
        <v>882</v>
      </c>
      <c r="E211" s="21">
        <v>1</v>
      </c>
      <c r="F211" s="21" t="s">
        <v>14</v>
      </c>
      <c r="G211" s="21" t="s">
        <v>447</v>
      </c>
      <c r="H211" s="21" t="s">
        <v>61</v>
      </c>
      <c r="I211" s="43" t="s">
        <v>413</v>
      </c>
      <c r="J211" s="43" t="s">
        <v>62</v>
      </c>
      <c r="K211" s="21"/>
      <c r="L211" s="133"/>
      <c r="M211" s="129"/>
      <c r="N211" s="93"/>
      <c r="O211" s="21"/>
      <c r="P211" s="93"/>
      <c r="Q211" s="93"/>
    </row>
    <row r="212" spans="1:17" x14ac:dyDescent="0.3">
      <c r="A212" s="21" t="s">
        <v>447</v>
      </c>
      <c r="B212" s="21" t="s">
        <v>883</v>
      </c>
      <c r="C212" s="21" t="s">
        <v>194</v>
      </c>
      <c r="D212" s="21" t="s">
        <v>882</v>
      </c>
      <c r="E212" s="21">
        <v>2</v>
      </c>
      <c r="F212" s="21" t="s">
        <v>429</v>
      </c>
      <c r="G212" s="21" t="s">
        <v>201</v>
      </c>
      <c r="H212" s="21" t="s">
        <v>893</v>
      </c>
      <c r="I212" s="43" t="s">
        <v>416</v>
      </c>
      <c r="J212" s="43" t="s">
        <v>424</v>
      </c>
      <c r="K212" s="21"/>
      <c r="L212" s="133"/>
      <c r="M212" s="129"/>
      <c r="N212" s="93"/>
      <c r="O212" s="93">
        <v>1</v>
      </c>
      <c r="P212" s="93"/>
      <c r="Q212" s="93"/>
    </row>
    <row r="213" spans="1:17" x14ac:dyDescent="0.3">
      <c r="A213" s="21" t="s">
        <v>135</v>
      </c>
      <c r="B213" s="21" t="s">
        <v>883</v>
      </c>
      <c r="C213" s="21" t="s">
        <v>194</v>
      </c>
      <c r="D213" s="21" t="s">
        <v>377</v>
      </c>
      <c r="E213" s="21">
        <v>1</v>
      </c>
      <c r="F213" s="21" t="s">
        <v>147</v>
      </c>
      <c r="G213" s="21" t="s">
        <v>135</v>
      </c>
      <c r="H213" s="21" t="s">
        <v>61</v>
      </c>
      <c r="I213" s="43" t="s">
        <v>413</v>
      </c>
      <c r="J213" s="43" t="s">
        <v>896</v>
      </c>
      <c r="K213" s="21"/>
      <c r="L213" s="133"/>
      <c r="M213" s="129"/>
      <c r="N213" s="93"/>
      <c r="O213" s="21"/>
      <c r="P213" s="93"/>
      <c r="Q213" s="93"/>
    </row>
    <row r="214" spans="1:17" x14ac:dyDescent="0.3">
      <c r="A214" s="21" t="s">
        <v>135</v>
      </c>
      <c r="B214" s="21" t="s">
        <v>883</v>
      </c>
      <c r="C214" s="21" t="s">
        <v>194</v>
      </c>
      <c r="D214" s="21" t="s">
        <v>377</v>
      </c>
      <c r="E214" s="21">
        <v>2</v>
      </c>
      <c r="F214" s="21" t="s">
        <v>429</v>
      </c>
      <c r="G214" s="21" t="s">
        <v>201</v>
      </c>
      <c r="H214" s="21" t="s">
        <v>424</v>
      </c>
      <c r="I214" s="43" t="s">
        <v>416</v>
      </c>
      <c r="J214" s="43" t="s">
        <v>424</v>
      </c>
      <c r="K214" s="21" t="s">
        <v>2</v>
      </c>
      <c r="L214" s="133"/>
      <c r="M214" s="129"/>
      <c r="N214" s="93"/>
      <c r="O214" s="93">
        <v>0.96</v>
      </c>
      <c r="P214" s="93"/>
      <c r="Q214" s="93"/>
    </row>
    <row r="215" spans="1:17" x14ac:dyDescent="0.3">
      <c r="A215" s="21" t="s">
        <v>135</v>
      </c>
      <c r="B215" s="21" t="s">
        <v>883</v>
      </c>
      <c r="C215" s="21" t="s">
        <v>194</v>
      </c>
      <c r="D215" s="21" t="s">
        <v>355</v>
      </c>
      <c r="E215" s="21">
        <v>1</v>
      </c>
      <c r="F215" s="21" t="s">
        <v>147</v>
      </c>
      <c r="G215" s="21" t="s">
        <v>135</v>
      </c>
      <c r="H215" s="21" t="s">
        <v>61</v>
      </c>
      <c r="I215" s="43" t="s">
        <v>413</v>
      </c>
      <c r="J215" s="43" t="s">
        <v>896</v>
      </c>
      <c r="K215" s="21"/>
      <c r="L215" s="133"/>
      <c r="M215" s="129"/>
      <c r="N215" s="93"/>
      <c r="O215" s="93"/>
      <c r="P215" s="93"/>
      <c r="Q215" s="93"/>
    </row>
    <row r="216" spans="1:17" x14ac:dyDescent="0.3">
      <c r="A216" s="21" t="s">
        <v>135</v>
      </c>
      <c r="B216" s="21" t="s">
        <v>883</v>
      </c>
      <c r="C216" s="21" t="s">
        <v>194</v>
      </c>
      <c r="D216" s="21" t="s">
        <v>355</v>
      </c>
      <c r="E216" s="21">
        <v>2</v>
      </c>
      <c r="F216" s="21" t="s">
        <v>429</v>
      </c>
      <c r="G216" s="21" t="s">
        <v>201</v>
      </c>
      <c r="H216" s="21" t="s">
        <v>424</v>
      </c>
      <c r="I216" s="43" t="s">
        <v>416</v>
      </c>
      <c r="J216" s="43" t="s">
        <v>424</v>
      </c>
      <c r="K216" s="21" t="s">
        <v>2</v>
      </c>
      <c r="L216" s="133"/>
      <c r="M216" s="129"/>
      <c r="N216" s="93"/>
      <c r="O216" s="93">
        <v>0.77080000000000004</v>
      </c>
      <c r="P216" s="93"/>
      <c r="Q216" s="93"/>
    </row>
    <row r="217" spans="1:17" x14ac:dyDescent="0.3">
      <c r="A217" s="21" t="s">
        <v>316</v>
      </c>
      <c r="B217" s="21" t="s">
        <v>883</v>
      </c>
      <c r="C217" s="21" t="s">
        <v>194</v>
      </c>
      <c r="D217" s="21" t="s">
        <v>377</v>
      </c>
      <c r="E217" s="21">
        <v>1</v>
      </c>
      <c r="F217" s="21" t="s">
        <v>147</v>
      </c>
      <c r="G217" s="21" t="s">
        <v>316</v>
      </c>
      <c r="H217" s="21" t="s">
        <v>61</v>
      </c>
      <c r="I217" s="43" t="s">
        <v>413</v>
      </c>
      <c r="J217" s="43" t="s">
        <v>896</v>
      </c>
      <c r="K217" s="21"/>
      <c r="L217" s="133"/>
      <c r="M217" s="129"/>
      <c r="N217" s="93"/>
      <c r="O217" s="93"/>
      <c r="P217" s="93"/>
      <c r="Q217" s="93"/>
    </row>
    <row r="218" spans="1:17" x14ac:dyDescent="0.3">
      <c r="A218" s="21" t="s">
        <v>316</v>
      </c>
      <c r="B218" s="21" t="s">
        <v>883</v>
      </c>
      <c r="C218" s="21" t="s">
        <v>194</v>
      </c>
      <c r="D218" s="21" t="s">
        <v>377</v>
      </c>
      <c r="E218" s="21">
        <v>2</v>
      </c>
      <c r="F218" s="21" t="s">
        <v>429</v>
      </c>
      <c r="G218" s="21" t="s">
        <v>201</v>
      </c>
      <c r="H218" s="21" t="s">
        <v>424</v>
      </c>
      <c r="I218" s="43" t="s">
        <v>416</v>
      </c>
      <c r="J218" s="43" t="s">
        <v>424</v>
      </c>
      <c r="K218" s="21" t="s">
        <v>2</v>
      </c>
      <c r="L218" s="133"/>
      <c r="M218" s="129"/>
      <c r="N218" s="93"/>
      <c r="O218" s="93">
        <v>0.92</v>
      </c>
      <c r="P218" s="93"/>
      <c r="Q218" s="93"/>
    </row>
    <row r="219" spans="1:17" x14ac:dyDescent="0.3">
      <c r="A219" s="21" t="s">
        <v>316</v>
      </c>
      <c r="B219" s="21" t="s">
        <v>883</v>
      </c>
      <c r="C219" s="21" t="s">
        <v>194</v>
      </c>
      <c r="D219" s="21" t="s">
        <v>355</v>
      </c>
      <c r="E219" s="21">
        <v>1</v>
      </c>
      <c r="F219" s="21" t="s">
        <v>147</v>
      </c>
      <c r="G219" s="21" t="s">
        <v>316</v>
      </c>
      <c r="H219" s="21" t="s">
        <v>61</v>
      </c>
      <c r="I219" s="43" t="s">
        <v>413</v>
      </c>
      <c r="J219" s="43" t="s">
        <v>896</v>
      </c>
      <c r="K219" s="21"/>
      <c r="L219" s="133"/>
      <c r="M219" s="129"/>
      <c r="N219" s="93"/>
      <c r="O219" s="93"/>
      <c r="P219" s="93"/>
      <c r="Q219" s="93"/>
    </row>
    <row r="220" spans="1:17" x14ac:dyDescent="0.3">
      <c r="A220" s="21" t="s">
        <v>316</v>
      </c>
      <c r="B220" s="21" t="s">
        <v>883</v>
      </c>
      <c r="C220" s="21" t="s">
        <v>194</v>
      </c>
      <c r="D220" s="21" t="s">
        <v>355</v>
      </c>
      <c r="E220" s="21">
        <v>2</v>
      </c>
      <c r="F220" s="21" t="s">
        <v>429</v>
      </c>
      <c r="G220" s="21" t="s">
        <v>201</v>
      </c>
      <c r="H220" s="21" t="s">
        <v>424</v>
      </c>
      <c r="I220" s="43" t="s">
        <v>416</v>
      </c>
      <c r="J220" s="43" t="s">
        <v>424</v>
      </c>
      <c r="K220" s="21" t="s">
        <v>2</v>
      </c>
      <c r="L220" s="133"/>
      <c r="M220" s="129"/>
      <c r="N220" s="93"/>
      <c r="O220" s="93">
        <v>0.77080000000000004</v>
      </c>
      <c r="P220" s="93"/>
      <c r="Q220" s="93"/>
    </row>
    <row r="221" spans="1:17" x14ac:dyDescent="0.3">
      <c r="A221" s="21" t="s">
        <v>136</v>
      </c>
      <c r="B221" s="21" t="s">
        <v>883</v>
      </c>
      <c r="C221" s="21" t="s">
        <v>194</v>
      </c>
      <c r="D221" s="21" t="s">
        <v>377</v>
      </c>
      <c r="E221" s="21">
        <v>1</v>
      </c>
      <c r="F221" s="21" t="s">
        <v>14</v>
      </c>
      <c r="G221" s="21" t="s">
        <v>136</v>
      </c>
      <c r="H221" s="21" t="s">
        <v>61</v>
      </c>
      <c r="I221" s="43" t="s">
        <v>413</v>
      </c>
      <c r="J221" s="43" t="s">
        <v>70</v>
      </c>
      <c r="K221" s="21"/>
      <c r="L221" s="133"/>
      <c r="M221" s="129"/>
      <c r="N221" s="93"/>
      <c r="O221" s="93"/>
      <c r="P221" s="93"/>
      <c r="Q221" s="93"/>
    </row>
    <row r="222" spans="1:17" x14ac:dyDescent="0.3">
      <c r="A222" s="21" t="s">
        <v>136</v>
      </c>
      <c r="B222" s="21" t="s">
        <v>883</v>
      </c>
      <c r="C222" s="21" t="s">
        <v>194</v>
      </c>
      <c r="D222" s="21" t="s">
        <v>377</v>
      </c>
      <c r="E222" s="21">
        <v>2</v>
      </c>
      <c r="F222" s="21" t="s">
        <v>429</v>
      </c>
      <c r="G222" s="21" t="s">
        <v>201</v>
      </c>
      <c r="H222" s="21" t="s">
        <v>893</v>
      </c>
      <c r="I222" s="43" t="s">
        <v>416</v>
      </c>
      <c r="J222" s="43" t="s">
        <v>424</v>
      </c>
      <c r="K222" s="21" t="s">
        <v>2</v>
      </c>
      <c r="L222" s="133"/>
      <c r="M222" s="129"/>
      <c r="N222" s="93"/>
      <c r="O222" s="93">
        <v>1</v>
      </c>
      <c r="P222" s="93"/>
      <c r="Q222" s="93"/>
    </row>
    <row r="223" spans="1:17" x14ac:dyDescent="0.3">
      <c r="A223" s="21" t="s">
        <v>133</v>
      </c>
      <c r="B223" s="21" t="s">
        <v>883</v>
      </c>
      <c r="C223" s="21" t="s">
        <v>194</v>
      </c>
      <c r="D223" s="21" t="s">
        <v>377</v>
      </c>
      <c r="E223" s="21">
        <v>1</v>
      </c>
      <c r="F223" s="21" t="s">
        <v>14</v>
      </c>
      <c r="G223" s="21" t="s">
        <v>133</v>
      </c>
      <c r="H223" s="21" t="s">
        <v>61</v>
      </c>
      <c r="I223" s="43" t="s">
        <v>413</v>
      </c>
      <c r="J223" s="43" t="s">
        <v>895</v>
      </c>
      <c r="K223" s="21"/>
      <c r="L223" s="133"/>
      <c r="M223" s="129"/>
      <c r="N223" s="93"/>
      <c r="O223" s="93"/>
      <c r="P223" s="93"/>
      <c r="Q223" s="93"/>
    </row>
    <row r="224" spans="1:17" x14ac:dyDescent="0.3">
      <c r="A224" s="21" t="s">
        <v>133</v>
      </c>
      <c r="B224" s="21" t="s">
        <v>883</v>
      </c>
      <c r="C224" s="21" t="s">
        <v>194</v>
      </c>
      <c r="D224" s="21" t="s">
        <v>377</v>
      </c>
      <c r="E224" s="21">
        <v>2</v>
      </c>
      <c r="F224" s="21" t="s">
        <v>429</v>
      </c>
      <c r="G224" s="21" t="s">
        <v>201</v>
      </c>
      <c r="H224" s="21" t="s">
        <v>893</v>
      </c>
      <c r="I224" s="43" t="s">
        <v>416</v>
      </c>
      <c r="J224" s="43" t="s">
        <v>424</v>
      </c>
      <c r="K224" s="21" t="s">
        <v>2</v>
      </c>
      <c r="L224" s="133"/>
      <c r="M224" s="129"/>
      <c r="N224" s="93"/>
      <c r="O224" s="93">
        <v>1</v>
      </c>
      <c r="P224" s="93"/>
      <c r="Q224" s="93"/>
    </row>
    <row r="225" spans="1:17" x14ac:dyDescent="0.3">
      <c r="A225" s="21" t="s">
        <v>134</v>
      </c>
      <c r="B225" s="21" t="s">
        <v>883</v>
      </c>
      <c r="C225" s="21" t="s">
        <v>194</v>
      </c>
      <c r="D225" s="21" t="s">
        <v>376</v>
      </c>
      <c r="E225" s="21">
        <v>1</v>
      </c>
      <c r="F225" s="21" t="s">
        <v>14</v>
      </c>
      <c r="G225" s="21" t="s">
        <v>134</v>
      </c>
      <c r="H225" s="21" t="s">
        <v>61</v>
      </c>
      <c r="I225" s="43" t="s">
        <v>413</v>
      </c>
      <c r="J225" s="43" t="s">
        <v>895</v>
      </c>
      <c r="K225" s="21"/>
      <c r="L225" s="133"/>
      <c r="M225" s="129"/>
      <c r="N225" s="93"/>
      <c r="O225" s="93"/>
      <c r="P225" s="93"/>
      <c r="Q225" s="93"/>
    </row>
    <row r="226" spans="1:17" x14ac:dyDescent="0.3">
      <c r="A226" s="21" t="s">
        <v>134</v>
      </c>
      <c r="B226" s="21" t="s">
        <v>883</v>
      </c>
      <c r="C226" s="21" t="s">
        <v>194</v>
      </c>
      <c r="D226" s="21" t="s">
        <v>376</v>
      </c>
      <c r="E226" s="21">
        <v>2</v>
      </c>
      <c r="F226" s="21" t="s">
        <v>429</v>
      </c>
      <c r="G226" s="21" t="s">
        <v>201</v>
      </c>
      <c r="H226" s="21" t="s">
        <v>893</v>
      </c>
      <c r="I226" s="43" t="s">
        <v>416</v>
      </c>
      <c r="J226" s="43" t="s">
        <v>424</v>
      </c>
      <c r="K226" s="21" t="s">
        <v>2</v>
      </c>
      <c r="L226" s="133"/>
      <c r="M226" s="129"/>
      <c r="N226" s="93"/>
      <c r="O226" s="93">
        <v>1</v>
      </c>
      <c r="P226" s="93"/>
      <c r="Q226" s="93"/>
    </row>
    <row r="227" spans="1:17" x14ac:dyDescent="0.3">
      <c r="A227" s="21"/>
      <c r="B227" s="21"/>
      <c r="C227" s="21"/>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3CFCA-DF0D-4421-97ED-DD7C07BD7A8B}">
  <sheetPr codeName="Results"/>
  <dimension ref="A1:BF110"/>
  <sheetViews>
    <sheetView zoomScaleNormal="100" workbookViewId="0">
      <selection sqref="A1:XFD1"/>
    </sheetView>
  </sheetViews>
  <sheetFormatPr defaultRowHeight="14.4" x14ac:dyDescent="0.3"/>
  <cols>
    <col min="1" max="2" width="15" style="29" customWidth="1"/>
    <col min="3" max="6" width="20.6640625" style="29" customWidth="1"/>
    <col min="7" max="7" width="28" customWidth="1"/>
    <col min="8" max="8" width="28.44140625" customWidth="1"/>
    <col min="9" max="40" width="20.6640625" customWidth="1"/>
    <col min="41" max="55" width="15.88671875" customWidth="1"/>
    <col min="104" max="104" width="9.109375" customWidth="1"/>
  </cols>
  <sheetData>
    <row r="1" spans="1:58" ht="66.599999999999994" x14ac:dyDescent="0.3">
      <c r="A1" s="83" t="s">
        <v>445</v>
      </c>
      <c r="B1" s="77" t="s">
        <v>150</v>
      </c>
      <c r="C1" s="78" t="s">
        <v>879</v>
      </c>
      <c r="D1" s="79" t="s">
        <v>186</v>
      </c>
      <c r="E1" s="80" t="s">
        <v>187</v>
      </c>
      <c r="F1" s="80" t="s">
        <v>188</v>
      </c>
      <c r="G1" s="80" t="s">
        <v>189</v>
      </c>
      <c r="H1" s="80" t="s">
        <v>190</v>
      </c>
      <c r="I1" s="81" t="s">
        <v>191</v>
      </c>
      <c r="J1" s="79" t="s">
        <v>858</v>
      </c>
      <c r="K1" s="80" t="s">
        <v>859</v>
      </c>
      <c r="L1" s="80" t="s">
        <v>192</v>
      </c>
      <c r="M1" s="80" t="s">
        <v>175</v>
      </c>
      <c r="N1" s="80" t="s">
        <v>176</v>
      </c>
      <c r="O1" s="80" t="s">
        <v>177</v>
      </c>
      <c r="P1" s="80" t="s">
        <v>178</v>
      </c>
      <c r="Q1" s="81" t="s">
        <v>2224</v>
      </c>
      <c r="R1" s="79" t="s">
        <v>179</v>
      </c>
      <c r="S1" s="80" t="s">
        <v>860</v>
      </c>
      <c r="T1" s="80" t="s">
        <v>861</v>
      </c>
      <c r="U1" s="80" t="s">
        <v>862</v>
      </c>
      <c r="V1" s="80" t="s">
        <v>2225</v>
      </c>
      <c r="W1" s="80" t="s">
        <v>2227</v>
      </c>
      <c r="X1" s="80" t="s">
        <v>2228</v>
      </c>
      <c r="Y1" s="79" t="s">
        <v>2229</v>
      </c>
      <c r="Z1" s="80" t="s">
        <v>2230</v>
      </c>
      <c r="AA1" s="80" t="s">
        <v>2226</v>
      </c>
      <c r="AB1" s="80" t="s">
        <v>2231</v>
      </c>
      <c r="AC1" s="80" t="s">
        <v>2246</v>
      </c>
      <c r="AD1" s="80" t="s">
        <v>2233</v>
      </c>
      <c r="AE1" s="80" t="s">
        <v>2232</v>
      </c>
      <c r="AF1" s="80" t="s">
        <v>2234</v>
      </c>
      <c r="AG1" s="80" t="s">
        <v>2235</v>
      </c>
      <c r="AH1" s="80" t="s">
        <v>2236</v>
      </c>
      <c r="AI1" s="80" t="s">
        <v>2237</v>
      </c>
      <c r="AJ1" s="79" t="s">
        <v>2238</v>
      </c>
      <c r="AK1" s="80" t="s">
        <v>2239</v>
      </c>
      <c r="AL1" s="80" t="s">
        <v>2240</v>
      </c>
      <c r="AM1" s="80" t="s">
        <v>2241</v>
      </c>
      <c r="AN1" s="80" t="s">
        <v>2242</v>
      </c>
      <c r="AO1" s="81" t="s">
        <v>180</v>
      </c>
      <c r="AP1" s="96" t="s">
        <v>181</v>
      </c>
      <c r="AQ1" s="96" t="s">
        <v>182</v>
      </c>
      <c r="AR1" s="96" t="s">
        <v>183</v>
      </c>
      <c r="AS1" s="96" t="s">
        <v>184</v>
      </c>
      <c r="AT1" s="96" t="s">
        <v>185</v>
      </c>
      <c r="AU1" s="96" t="s">
        <v>863</v>
      </c>
      <c r="AV1" s="96" t="s">
        <v>864</v>
      </c>
      <c r="AW1" s="96" t="s">
        <v>865</v>
      </c>
      <c r="AX1" s="96" t="s">
        <v>866</v>
      </c>
      <c r="AY1" s="96" t="s">
        <v>867</v>
      </c>
      <c r="AZ1" s="96" t="s">
        <v>868</v>
      </c>
      <c r="BA1" s="96" t="s">
        <v>869</v>
      </c>
      <c r="BB1" s="96" t="s">
        <v>870</v>
      </c>
      <c r="BC1" s="96" t="s">
        <v>871</v>
      </c>
      <c r="BD1" s="80" t="s">
        <v>2243</v>
      </c>
      <c r="BE1" s="80" t="s">
        <v>2244</v>
      </c>
      <c r="BF1" s="80" t="s">
        <v>2245</v>
      </c>
    </row>
    <row r="2" spans="1:58" x14ac:dyDescent="0.3">
      <c r="A2" s="34" t="s">
        <v>17</v>
      </c>
      <c r="B2" s="34" t="s">
        <v>151</v>
      </c>
      <c r="C2" s="35" t="s">
        <v>434</v>
      </c>
      <c r="D2" s="36">
        <v>30525.033801456888</v>
      </c>
      <c r="E2" s="37">
        <v>38323.805536337779</v>
      </c>
      <c r="F2" s="37">
        <v>297965.67940642621</v>
      </c>
      <c r="G2" s="37">
        <v>288830.77488490613</v>
      </c>
      <c r="H2" s="37">
        <v>186989.00498164375</v>
      </c>
      <c r="I2" s="38">
        <v>24410.744897247438</v>
      </c>
      <c r="J2" s="36">
        <v>39792.425983150701</v>
      </c>
      <c r="K2" s="37">
        <v>106343.99516752544</v>
      </c>
      <c r="L2" s="37">
        <v>102755.41394852519</v>
      </c>
      <c r="M2" s="37">
        <v>143211.36370996153</v>
      </c>
      <c r="N2" s="37">
        <v>176315.21220836748</v>
      </c>
      <c r="O2" s="37">
        <v>307547.03472358093</v>
      </c>
      <c r="P2" s="37">
        <v>148182.63619576726</v>
      </c>
      <c r="Q2" s="38">
        <v>1001831.1977074057</v>
      </c>
      <c r="R2" s="36">
        <v>184438.85684166907</v>
      </c>
      <c r="S2" s="37">
        <v>113584.32168386949</v>
      </c>
      <c r="T2" s="37">
        <v>18576.328528263504</v>
      </c>
      <c r="U2" s="37">
        <v>98833.290561079761</v>
      </c>
      <c r="V2" s="37">
        <v>994203.71411996917</v>
      </c>
      <c r="W2" s="37">
        <v>1948643.1212119951</v>
      </c>
      <c r="X2" s="38">
        <v>2073811.3921400926</v>
      </c>
      <c r="Y2" s="36">
        <v>2484927.3612167244</v>
      </c>
      <c r="Z2" s="37">
        <v>2674778.1440808615</v>
      </c>
      <c r="AA2" s="37">
        <v>2246312.5353864697</v>
      </c>
      <c r="AB2" s="37">
        <v>2291550.8939550626</v>
      </c>
      <c r="AC2" s="37">
        <v>902934.39317077631</v>
      </c>
      <c r="AD2" s="37">
        <v>878088.57624989131</v>
      </c>
      <c r="AE2" s="37">
        <v>939741.95010834909</v>
      </c>
      <c r="AF2" s="37">
        <v>599899.76054114616</v>
      </c>
      <c r="AG2" s="37">
        <v>1733153.4199506296</v>
      </c>
      <c r="AH2" s="37">
        <v>1844610.10308775</v>
      </c>
      <c r="AI2" s="38">
        <v>2313916.301870584</v>
      </c>
      <c r="AJ2" s="36">
        <v>2482969.8359022075</v>
      </c>
      <c r="AK2" s="37">
        <v>2101440.593472729</v>
      </c>
      <c r="AL2" s="37">
        <v>2141723.305371176</v>
      </c>
      <c r="AM2" s="37">
        <v>702884.96483994171</v>
      </c>
      <c r="AN2" s="37">
        <v>167.3539487325138</v>
      </c>
      <c r="AO2" s="37">
        <v>3171553.8188072615</v>
      </c>
      <c r="AP2" s="37">
        <v>3348633.1731162472</v>
      </c>
      <c r="AQ2" s="37">
        <v>3930251.4203797444</v>
      </c>
      <c r="AR2" s="37">
        <v>4198839.0887669576</v>
      </c>
      <c r="AS2" s="37">
        <v>3592675.7794184256</v>
      </c>
      <c r="AT2" s="37">
        <v>3656675.8591984417</v>
      </c>
      <c r="AU2" s="37">
        <v>243985.68084095008</v>
      </c>
      <c r="AV2" s="37">
        <v>269782.81091274339</v>
      </c>
      <c r="AW2" s="37">
        <v>172559.41533299984</v>
      </c>
      <c r="AX2" s="37">
        <v>422794.93065483606</v>
      </c>
      <c r="AY2" s="37">
        <v>61929.711907364304</v>
      </c>
      <c r="AZ2" s="37">
        <v>131798.83505526537</v>
      </c>
      <c r="BA2" s="37">
        <v>830338.52150057186</v>
      </c>
      <c r="BB2" s="37">
        <v>816291.23461429693</v>
      </c>
      <c r="BC2" s="37">
        <v>230759.98138270067</v>
      </c>
      <c r="BD2" s="143">
        <v>0</v>
      </c>
      <c r="BE2" s="143">
        <v>0</v>
      </c>
      <c r="BF2" s="143">
        <v>2916087.5823789956</v>
      </c>
    </row>
    <row r="3" spans="1:58" x14ac:dyDescent="0.3">
      <c r="A3" s="34" t="s">
        <v>17</v>
      </c>
      <c r="B3" s="39" t="s">
        <v>152</v>
      </c>
      <c r="C3" s="40" t="s">
        <v>434</v>
      </c>
      <c r="D3" s="36">
        <v>30198.373716929687</v>
      </c>
      <c r="E3" s="37">
        <v>37894.449721287354</v>
      </c>
      <c r="F3" s="37">
        <v>38253.894819950474</v>
      </c>
      <c r="G3" s="37">
        <v>29388.884254511995</v>
      </c>
      <c r="H3" s="37">
        <v>49001.306742934961</v>
      </c>
      <c r="I3" s="38">
        <v>24288.292647826223</v>
      </c>
      <c r="J3" s="36">
        <v>39335.826777294496</v>
      </c>
      <c r="K3" s="37">
        <v>105861.85514110178</v>
      </c>
      <c r="L3" s="37">
        <v>97360.40457181097</v>
      </c>
      <c r="M3" s="37">
        <v>139423.06557765114</v>
      </c>
      <c r="N3" s="37">
        <v>171340.19345330793</v>
      </c>
      <c r="O3" s="37">
        <v>302663.36649273819</v>
      </c>
      <c r="P3" s="37">
        <v>145856.35445660353</v>
      </c>
      <c r="Q3" s="38">
        <v>22004.587270901877</v>
      </c>
      <c r="R3" s="36">
        <v>176700.05975704695</v>
      </c>
      <c r="S3" s="37">
        <v>105313.05977773486</v>
      </c>
      <c r="T3" s="37">
        <v>18072.810705410662</v>
      </c>
      <c r="U3" s="37">
        <v>95826.054229680638</v>
      </c>
      <c r="V3" s="37">
        <v>219144.96320921011</v>
      </c>
      <c r="W3" s="37">
        <v>86404.182613764293</v>
      </c>
      <c r="X3" s="38">
        <v>112177.93095412984</v>
      </c>
      <c r="Y3" s="36">
        <v>102706.19511861505</v>
      </c>
      <c r="Z3" s="37">
        <v>83793.124569161359</v>
      </c>
      <c r="AA3" s="37">
        <v>134011.09296172272</v>
      </c>
      <c r="AB3" s="37">
        <v>78038.72578726834</v>
      </c>
      <c r="AC3" s="37">
        <v>565337.80938701972</v>
      </c>
      <c r="AD3" s="37">
        <v>542795.23645117006</v>
      </c>
      <c r="AE3" s="37">
        <v>538093.55228052672</v>
      </c>
      <c r="AF3" s="37">
        <v>808587.22459468723</v>
      </c>
      <c r="AG3" s="37">
        <v>61967.035101072222</v>
      </c>
      <c r="AH3" s="37">
        <v>84917.392094325041</v>
      </c>
      <c r="AI3" s="38">
        <v>98290.588617734567</v>
      </c>
      <c r="AJ3" s="36">
        <v>81449.35484698604</v>
      </c>
      <c r="AK3" s="37">
        <v>126166.18403555035</v>
      </c>
      <c r="AL3" s="37">
        <v>76325.323038265822</v>
      </c>
      <c r="AM3" s="37">
        <v>140888.37963305615</v>
      </c>
      <c r="AN3" s="37">
        <v>147.5558829812926</v>
      </c>
      <c r="AO3" s="37">
        <v>122238.6212847046</v>
      </c>
      <c r="AP3" s="37">
        <v>158701.5258242742</v>
      </c>
      <c r="AQ3" s="37">
        <v>145301.57347611306</v>
      </c>
      <c r="AR3" s="37">
        <v>118544.67816978235</v>
      </c>
      <c r="AS3" s="37">
        <v>189589.56320116611</v>
      </c>
      <c r="AT3" s="37">
        <v>110403.75544888468</v>
      </c>
      <c r="AU3" s="37">
        <v>215122.03831425821</v>
      </c>
      <c r="AV3" s="37">
        <v>251082.80752444995</v>
      </c>
      <c r="AW3" s="37">
        <v>152145.53997105398</v>
      </c>
      <c r="AX3" s="37">
        <v>110795.30632514636</v>
      </c>
      <c r="AY3" s="37">
        <v>61619.052295747133</v>
      </c>
      <c r="AZ3" s="37">
        <v>127138.9942805527</v>
      </c>
      <c r="BA3" s="37">
        <v>106601.8157853351</v>
      </c>
      <c r="BB3" s="37">
        <v>83058.630513357886</v>
      </c>
      <c r="BC3" s="37">
        <v>203460.94650024682</v>
      </c>
      <c r="BD3" s="37">
        <v>0</v>
      </c>
      <c r="BE3" s="37">
        <v>0</v>
      </c>
      <c r="BF3" s="37">
        <v>266169.1870719975</v>
      </c>
    </row>
    <row r="4" spans="1:58" x14ac:dyDescent="0.3">
      <c r="A4" s="34" t="s">
        <v>17</v>
      </c>
      <c r="B4" s="39" t="s">
        <v>9</v>
      </c>
      <c r="C4" s="40" t="s">
        <v>434</v>
      </c>
      <c r="D4" s="36">
        <v>462.59675388248144</v>
      </c>
      <c r="E4" s="37">
        <v>614.03588296228713</v>
      </c>
      <c r="F4" s="37">
        <v>1395.0788041758865</v>
      </c>
      <c r="G4" s="37">
        <v>1009.109346309646</v>
      </c>
      <c r="H4" s="37">
        <v>1805.3205170725023</v>
      </c>
      <c r="I4" s="38">
        <v>169.94009922042835</v>
      </c>
      <c r="J4" s="36">
        <v>648.93126584012532</v>
      </c>
      <c r="K4" s="37">
        <v>665.97154251605173</v>
      </c>
      <c r="L4" s="37">
        <v>18413.046723398897</v>
      </c>
      <c r="M4" s="37">
        <v>8871.8744005528097</v>
      </c>
      <c r="N4" s="37">
        <v>7121.5251875260155</v>
      </c>
      <c r="O4" s="37">
        <v>6967.983481123506</v>
      </c>
      <c r="P4" s="37">
        <v>3319.6888877252559</v>
      </c>
      <c r="Q4" s="38">
        <v>7041.9330485651335</v>
      </c>
      <c r="R4" s="36">
        <v>11075.440189104413</v>
      </c>
      <c r="S4" s="37">
        <v>11854.657144608211</v>
      </c>
      <c r="T4" s="37">
        <v>2259.7545437132389</v>
      </c>
      <c r="U4" s="37">
        <v>4304.9274361478383</v>
      </c>
      <c r="V4" s="37">
        <v>11526.605013036153</v>
      </c>
      <c r="W4" s="37">
        <v>1323.5909580319062</v>
      </c>
      <c r="X4" s="38">
        <v>1817.714081848965</v>
      </c>
      <c r="Y4" s="36">
        <v>3745.5855551944105</v>
      </c>
      <c r="Z4" s="37">
        <v>2877.15669730631</v>
      </c>
      <c r="AA4" s="37">
        <v>4937.2759977261312</v>
      </c>
      <c r="AB4" s="37">
        <v>546.02062794690141</v>
      </c>
      <c r="AC4" s="37">
        <v>36517.477545401423</v>
      </c>
      <c r="AD4" s="37">
        <v>20496.391514756564</v>
      </c>
      <c r="AE4" s="37">
        <v>20588.903663581455</v>
      </c>
      <c r="AF4" s="37">
        <v>179923.44359559022</v>
      </c>
      <c r="AG4" s="37">
        <v>-34881.881893506572</v>
      </c>
      <c r="AH4" s="37">
        <v>-34441.887603950243</v>
      </c>
      <c r="AI4" s="38">
        <v>-31679.755167432086</v>
      </c>
      <c r="AJ4" s="36">
        <v>-32453.051781047274</v>
      </c>
      <c r="AK4" s="37">
        <v>-30618.608735784946</v>
      </c>
      <c r="AL4" s="37">
        <v>-34528.822999308795</v>
      </c>
      <c r="AM4" s="37">
        <v>-15541.797736408582</v>
      </c>
      <c r="AN4" s="37">
        <v>1.3239314150750803</v>
      </c>
      <c r="AO4" s="37">
        <v>1872.5243264895785</v>
      </c>
      <c r="AP4" s="37">
        <v>2571.5753165358256</v>
      </c>
      <c r="AQ4" s="37">
        <v>5298.9936403603297</v>
      </c>
      <c r="AR4" s="37">
        <v>4070.4009604594221</v>
      </c>
      <c r="AS4" s="37">
        <v>6984.9143016829403</v>
      </c>
      <c r="AT4" s="37">
        <v>772.47196529355699</v>
      </c>
      <c r="AU4" s="37">
        <v>1930.162449946776</v>
      </c>
      <c r="AV4" s="37">
        <v>18044.5359405608</v>
      </c>
      <c r="AW4" s="37">
        <v>1365.1116848846846</v>
      </c>
      <c r="AX4" s="37">
        <v>4081.953176339704</v>
      </c>
      <c r="AY4" s="37">
        <v>431.13560977062849</v>
      </c>
      <c r="AZ4" s="37">
        <v>6687.267402206041</v>
      </c>
      <c r="BA4" s="37">
        <v>3887.6546921236081</v>
      </c>
      <c r="BB4" s="37">
        <v>2851.9367940904749</v>
      </c>
      <c r="BC4" s="37">
        <v>1825.5343898876465</v>
      </c>
      <c r="BD4" s="37">
        <v>0</v>
      </c>
      <c r="BE4" s="37">
        <v>0</v>
      </c>
      <c r="BF4" s="37">
        <v>4505.5885805509351</v>
      </c>
    </row>
    <row r="5" spans="1:58" x14ac:dyDescent="0.3">
      <c r="A5" s="34" t="s">
        <v>17</v>
      </c>
      <c r="B5" s="39" t="s">
        <v>108</v>
      </c>
      <c r="C5" s="40" t="s">
        <v>434</v>
      </c>
      <c r="D5" s="36">
        <v>7928.4414461616116</v>
      </c>
      <c r="E5" s="37">
        <v>10234.523330045931</v>
      </c>
      <c r="F5" s="37">
        <v>22651.592528437246</v>
      </c>
      <c r="G5" s="37">
        <v>18615.202164264738</v>
      </c>
      <c r="H5" s="37">
        <v>19607.589365382151</v>
      </c>
      <c r="I5" s="38">
        <v>2496.8443191975266</v>
      </c>
      <c r="J5" s="36">
        <v>13473.471538468704</v>
      </c>
      <c r="K5" s="37">
        <v>7871.917550523538</v>
      </c>
      <c r="L5" s="37">
        <v>49752.487820356764</v>
      </c>
      <c r="M5" s="37">
        <v>53985.658731749099</v>
      </c>
      <c r="N5" s="37">
        <v>127407.67468489948</v>
      </c>
      <c r="O5" s="37">
        <v>171283.92114227379</v>
      </c>
      <c r="P5" s="37">
        <v>85470.055536291911</v>
      </c>
      <c r="Q5" s="38">
        <v>10479.00613236627</v>
      </c>
      <c r="R5" s="36">
        <v>99388.643507416171</v>
      </c>
      <c r="S5" s="37">
        <v>89238.50840272069</v>
      </c>
      <c r="T5" s="37">
        <v>1799.9628162933354</v>
      </c>
      <c r="U5" s="37">
        <v>70038.316475903877</v>
      </c>
      <c r="V5" s="37">
        <v>143022.71797602379</v>
      </c>
      <c r="W5" s="37">
        <v>22685.013073158814</v>
      </c>
      <c r="X5" s="38">
        <v>30296.987023442132</v>
      </c>
      <c r="Y5" s="36">
        <v>60816.26179302729</v>
      </c>
      <c r="Z5" s="37">
        <v>53075.371637862751</v>
      </c>
      <c r="AA5" s="37">
        <v>53623.763443377313</v>
      </c>
      <c r="AB5" s="37">
        <v>8022.4061849317713</v>
      </c>
      <c r="AC5" s="37">
        <v>472693.62488514726</v>
      </c>
      <c r="AD5" s="37">
        <v>465300.82888380194</v>
      </c>
      <c r="AE5" s="37">
        <v>460149.16674512543</v>
      </c>
      <c r="AF5" s="37">
        <v>583427.40693961724</v>
      </c>
      <c r="AG5" s="37">
        <v>17372.396183075463</v>
      </c>
      <c r="AH5" s="37">
        <v>24150.514649792269</v>
      </c>
      <c r="AI5" s="38">
        <v>71222.540829341393</v>
      </c>
      <c r="AJ5" s="36">
        <v>64329.628313844165</v>
      </c>
      <c r="AK5" s="37">
        <v>64817.946409548626</v>
      </c>
      <c r="AL5" s="37">
        <v>24212.000598434162</v>
      </c>
      <c r="AM5" s="37">
        <v>175674.69927131303</v>
      </c>
      <c r="AN5" s="37">
        <v>50.231615576563257</v>
      </c>
      <c r="AO5" s="37">
        <v>32093.176950518286</v>
      </c>
      <c r="AP5" s="37">
        <v>42862.067677684252</v>
      </c>
      <c r="AQ5" s="37">
        <v>86038.612580834204</v>
      </c>
      <c r="AR5" s="37">
        <v>75087.340183369</v>
      </c>
      <c r="AS5" s="37">
        <v>75863.166725581425</v>
      </c>
      <c r="AT5" s="37">
        <v>11349.541674568534</v>
      </c>
      <c r="AU5" s="37">
        <v>73232.780098767907</v>
      </c>
      <c r="AV5" s="37">
        <v>98544.937710438506</v>
      </c>
      <c r="AW5" s="37">
        <v>51794.046574771644</v>
      </c>
      <c r="AX5" s="37">
        <v>44334.100750250291</v>
      </c>
      <c r="AY5" s="37">
        <v>6334.4584532886447</v>
      </c>
      <c r="AZ5" s="37">
        <v>82975.963747719696</v>
      </c>
      <c r="BA5" s="37">
        <v>63123.007613373949</v>
      </c>
      <c r="BB5" s="37">
        <v>52610.136033175462</v>
      </c>
      <c r="BC5" s="37">
        <v>69263.060495797617</v>
      </c>
      <c r="BD5" s="37">
        <v>0</v>
      </c>
      <c r="BE5" s="37">
        <v>0</v>
      </c>
      <c r="BF5" s="37">
        <v>67054.828544374381</v>
      </c>
    </row>
    <row r="6" spans="1:58" x14ac:dyDescent="0.3">
      <c r="A6" s="34" t="s">
        <v>17</v>
      </c>
      <c r="B6" s="41" t="s">
        <v>74</v>
      </c>
      <c r="C6" s="40" t="s">
        <v>434</v>
      </c>
      <c r="D6" s="36">
        <v>21807.335516885596</v>
      </c>
      <c r="E6" s="37">
        <v>27045.890508279132</v>
      </c>
      <c r="F6" s="37">
        <v>14207.223487337344</v>
      </c>
      <c r="G6" s="37">
        <v>9764.5727439376133</v>
      </c>
      <c r="H6" s="37">
        <v>27588.396860480305</v>
      </c>
      <c r="I6" s="38">
        <v>21621.508229408268</v>
      </c>
      <c r="J6" s="36">
        <v>25213.423972985674</v>
      </c>
      <c r="K6" s="37">
        <v>97323.966048062197</v>
      </c>
      <c r="L6" s="37">
        <v>29194.870028055298</v>
      </c>
      <c r="M6" s="37">
        <v>76565.532445349236</v>
      </c>
      <c r="N6" s="37">
        <v>36810.993580882357</v>
      </c>
      <c r="O6" s="37">
        <v>124411.4618693408</v>
      </c>
      <c r="P6" s="37">
        <v>57066.610032586359</v>
      </c>
      <c r="Q6" s="38">
        <v>4042.1199363124647</v>
      </c>
      <c r="R6" s="36">
        <v>66235.976060526402</v>
      </c>
      <c r="S6" s="37">
        <v>4219.894230405951</v>
      </c>
      <c r="T6" s="37">
        <v>14013.093345404091</v>
      </c>
      <c r="U6" s="37">
        <v>21482.810317628897</v>
      </c>
      <c r="V6" s="37">
        <v>64595.640220150199</v>
      </c>
      <c r="W6" s="37">
        <v>62395.578582573573</v>
      </c>
      <c r="X6" s="38">
        <v>80063.229848838731</v>
      </c>
      <c r="Y6" s="36">
        <v>38144.34777039336</v>
      </c>
      <c r="Z6" s="37">
        <v>27840.596233992303</v>
      </c>
      <c r="AA6" s="37">
        <v>75450.053520619287</v>
      </c>
      <c r="AB6" s="37">
        <v>69470.298974389661</v>
      </c>
      <c r="AC6" s="37">
        <v>56126.706956471033</v>
      </c>
      <c r="AD6" s="37">
        <v>56998.016052611572</v>
      </c>
      <c r="AE6" s="37">
        <v>57355.481871819844</v>
      </c>
      <c r="AF6" s="37">
        <v>45236.374059479895</v>
      </c>
      <c r="AG6" s="37">
        <v>79476.520811503331</v>
      </c>
      <c r="AH6" s="37">
        <v>95208.765048483008</v>
      </c>
      <c r="AI6" s="38">
        <v>58747.80295582526</v>
      </c>
      <c r="AJ6" s="36">
        <v>49572.778314189156</v>
      </c>
      <c r="AK6" s="37">
        <v>91966.846361786666</v>
      </c>
      <c r="AL6" s="37">
        <v>86642.14543914044</v>
      </c>
      <c r="AM6" s="37">
        <v>-19244.521901848275</v>
      </c>
      <c r="AN6" s="37">
        <v>96.000335989654246</v>
      </c>
      <c r="AO6" s="37">
        <v>88272.920007696739</v>
      </c>
      <c r="AP6" s="37">
        <v>113267.88283005412</v>
      </c>
      <c r="AQ6" s="37">
        <v>53963.967254918563</v>
      </c>
      <c r="AR6" s="37">
        <v>39386.937025953928</v>
      </c>
      <c r="AS6" s="37">
        <v>106741.48217390175</v>
      </c>
      <c r="AT6" s="37">
        <v>98281.741809022584</v>
      </c>
      <c r="AU6" s="37">
        <v>139959.09576554352</v>
      </c>
      <c r="AV6" s="37">
        <v>134493.33387345061</v>
      </c>
      <c r="AW6" s="37">
        <v>98986.38171139764</v>
      </c>
      <c r="AX6" s="37">
        <v>62379.25239855636</v>
      </c>
      <c r="AY6" s="37">
        <v>54853.458232687866</v>
      </c>
      <c r="AZ6" s="37">
        <v>37475.763130626947</v>
      </c>
      <c r="BA6" s="37">
        <v>39591.153479837551</v>
      </c>
      <c r="BB6" s="37">
        <v>27596.557686091935</v>
      </c>
      <c r="BC6" s="37">
        <v>132372.35161456154</v>
      </c>
      <c r="BD6" s="37">
        <v>0</v>
      </c>
      <c r="BE6" s="37">
        <v>0</v>
      </c>
      <c r="BF6" s="37">
        <v>194608.76994707214</v>
      </c>
    </row>
    <row r="7" spans="1:58" x14ac:dyDescent="0.3">
      <c r="A7" s="34" t="s">
        <v>17</v>
      </c>
      <c r="B7" s="39" t="s">
        <v>153</v>
      </c>
      <c r="C7" s="40" t="s">
        <v>431</v>
      </c>
      <c r="D7" s="36">
        <v>1.2387581312407448E-3</v>
      </c>
      <c r="E7" s="37">
        <v>1.456919815280862E-3</v>
      </c>
      <c r="F7" s="37">
        <v>3.2368525565142506E-3</v>
      </c>
      <c r="G7" s="37">
        <v>2.191425418021511E-3</v>
      </c>
      <c r="H7" s="37">
        <v>3.5618784574086518E-3</v>
      </c>
      <c r="I7" s="38">
        <v>4.5679583290095141E-4</v>
      </c>
      <c r="J7" s="36">
        <v>2.4225045093371925E-3</v>
      </c>
      <c r="K7" s="37">
        <v>1.9234056766554211E-3</v>
      </c>
      <c r="L7" s="37">
        <v>0.59578634332109492</v>
      </c>
      <c r="M7" s="37">
        <v>9.8058336068365705E-3</v>
      </c>
      <c r="N7" s="37">
        <v>1.2121148601166292E-2</v>
      </c>
      <c r="O7" s="37">
        <v>1.951831332603007E-2</v>
      </c>
      <c r="P7" s="37">
        <v>1.025023985791202E-2</v>
      </c>
      <c r="Q7" s="37">
        <v>3.4571286598859829E-2</v>
      </c>
      <c r="R7" s="37">
        <v>7.6341181973498783E-3</v>
      </c>
      <c r="S7" s="37">
        <v>3.3191986106115962E-3</v>
      </c>
      <c r="T7" s="37">
        <v>7.9988039937403102E-4</v>
      </c>
      <c r="U7" s="37">
        <v>1.683800857070457E-3</v>
      </c>
      <c r="V7" s="37">
        <v>0.7661116121067546</v>
      </c>
      <c r="W7" s="37">
        <v>3.5443592025621506E-3</v>
      </c>
      <c r="X7" s="37">
        <v>4.3128809534466036E-3</v>
      </c>
      <c r="Y7" s="37">
        <v>8.6904826764505408E-3</v>
      </c>
      <c r="Z7" s="37">
        <v>6.2481576859492842E-3</v>
      </c>
      <c r="AA7" s="37">
        <v>9.7411937926118724E-3</v>
      </c>
      <c r="AB7" s="37">
        <v>1.4676933146931036E-3</v>
      </c>
      <c r="AC7" s="37">
        <v>0.3916542401837062</v>
      </c>
      <c r="AD7" s="37">
        <v>0.38389895613634573</v>
      </c>
      <c r="AE7" s="37">
        <v>0.3943893112836393</v>
      </c>
      <c r="AF7" s="37">
        <v>0.37177612799805215</v>
      </c>
      <c r="AG7" s="37">
        <v>0.12151646544331834</v>
      </c>
      <c r="AH7" s="37">
        <v>0.12220079929755459</v>
      </c>
      <c r="AI7" s="37">
        <v>0.15624231214458023</v>
      </c>
      <c r="AJ7" s="37">
        <v>0.15406753222179501</v>
      </c>
      <c r="AK7" s="37">
        <v>0.15717792286344939</v>
      </c>
      <c r="AL7" s="37">
        <v>0.14981074494875304</v>
      </c>
      <c r="AM7" s="37">
        <v>0.13096473865808894</v>
      </c>
      <c r="AN7" s="37">
        <v>1.8938277029095962E-2</v>
      </c>
      <c r="AO7" s="37">
        <v>5.0143126079400446E-3</v>
      </c>
      <c r="AP7" s="37">
        <v>6.1015636693308797E-3</v>
      </c>
      <c r="AQ7" s="37">
        <v>1.2294689776958736E-2</v>
      </c>
      <c r="AR7" s="37">
        <v>8.8394584381867869E-3</v>
      </c>
      <c r="AS7" s="37">
        <v>1.3781162703647985E-2</v>
      </c>
      <c r="AT7" s="37">
        <v>2.0763903069234407E-3</v>
      </c>
      <c r="AU7" s="37">
        <v>2.6169377388324415E-2</v>
      </c>
      <c r="AV7" s="37">
        <v>2.6542522829598937E-2</v>
      </c>
      <c r="AW7" s="37">
        <v>1.8508350351517714E-2</v>
      </c>
      <c r="AX7" s="37">
        <v>8.0536508312287133E-3</v>
      </c>
      <c r="AY7" s="37">
        <v>1.1588845179087649E-3</v>
      </c>
      <c r="AZ7" s="37">
        <v>0.44446679697091057</v>
      </c>
      <c r="BA7" s="37">
        <v>9.0201105424137801E-3</v>
      </c>
      <c r="BB7" s="37">
        <v>6.1933890554244147E-3</v>
      </c>
      <c r="BC7" s="37">
        <v>2.4750817417286158E-2</v>
      </c>
      <c r="BD7" s="86">
        <v>0</v>
      </c>
      <c r="BE7" s="86">
        <v>0</v>
      </c>
      <c r="BF7" s="86">
        <v>2.5662204888158673E-2</v>
      </c>
    </row>
    <row r="8" spans="1:58" x14ac:dyDescent="0.3">
      <c r="A8" s="34" t="s">
        <v>17</v>
      </c>
      <c r="B8" s="39" t="s">
        <v>154</v>
      </c>
      <c r="C8" s="40" t="s">
        <v>432</v>
      </c>
      <c r="D8" s="36">
        <v>1.2116916598017462E-3</v>
      </c>
      <c r="E8" s="37">
        <v>1.6562618024614421E-3</v>
      </c>
      <c r="F8" s="37">
        <v>2.6190211111003984E-3</v>
      </c>
      <c r="G8" s="37">
        <v>2.1574303656012564E-3</v>
      </c>
      <c r="H8" s="37">
        <v>2.3368944233845067E-3</v>
      </c>
      <c r="I8" s="38">
        <v>5.1335573855751187E-4</v>
      </c>
      <c r="J8" s="36">
        <v>1.9254039826676376E-3</v>
      </c>
      <c r="K8" s="37">
        <v>5.4720529365160937E-4</v>
      </c>
      <c r="L8" s="37">
        <v>1.7302918453018418E-2</v>
      </c>
      <c r="M8" s="37">
        <v>8.0326356066019594E-3</v>
      </c>
      <c r="N8" s="37">
        <v>7.3207124910903434E-2</v>
      </c>
      <c r="O8" s="37">
        <v>9.8036149318313448E-2</v>
      </c>
      <c r="P8" s="37">
        <v>3.3716605784878444E-2</v>
      </c>
      <c r="Q8" s="37">
        <v>2.173767444176471E-4</v>
      </c>
      <c r="R8" s="37">
        <v>3.298716810394902E-2</v>
      </c>
      <c r="S8" s="37">
        <v>1.151670649761782E-3</v>
      </c>
      <c r="T8" s="37">
        <v>2.3074448500299006E-5</v>
      </c>
      <c r="U8" s="37">
        <v>1.086331390352859E-3</v>
      </c>
      <c r="V8" s="37">
        <v>1.7119942298135637E-2</v>
      </c>
      <c r="W8" s="37">
        <v>3.4669160805302392E-3</v>
      </c>
      <c r="X8" s="37">
        <v>4.902987732636495E-3</v>
      </c>
      <c r="Y8" s="37">
        <v>7.0316942764260416E-3</v>
      </c>
      <c r="Z8" s="37">
        <v>6.1512315271500346E-3</v>
      </c>
      <c r="AA8" s="37">
        <v>6.3910494766359592E-3</v>
      </c>
      <c r="AB8" s="37">
        <v>1.6494213197071209E-3</v>
      </c>
      <c r="AC8" s="37">
        <v>5.8175329184345544E-2</v>
      </c>
      <c r="AD8" s="37">
        <v>5.7655250417478252E-2</v>
      </c>
      <c r="AE8" s="37">
        <v>5.7956782019881532E-2</v>
      </c>
      <c r="AF8" s="37">
        <v>6.0298557189357942E-2</v>
      </c>
      <c r="AG8" s="37">
        <v>3.5833887094655466E-2</v>
      </c>
      <c r="AH8" s="37">
        <v>3.7134403692400036E-2</v>
      </c>
      <c r="AI8" s="37">
        <v>3.9731040921225841E-2</v>
      </c>
      <c r="AJ8" s="37">
        <v>3.8975574222174451E-2</v>
      </c>
      <c r="AK8" s="37">
        <v>3.9167442437109429E-2</v>
      </c>
      <c r="AL8" s="37">
        <v>3.5021885849214188E-2</v>
      </c>
      <c r="AM8" s="37">
        <v>3.6334346985616162E-2</v>
      </c>
      <c r="AN8" s="37">
        <v>0.15161036405649775</v>
      </c>
      <c r="AO8" s="37">
        <v>4.9047514712126667E-3</v>
      </c>
      <c r="AP8" s="37">
        <v>6.9364056517077707E-3</v>
      </c>
      <c r="AQ8" s="37">
        <v>9.9479514491575237E-3</v>
      </c>
      <c r="AR8" s="37">
        <v>8.7023340576344605E-3</v>
      </c>
      <c r="AS8" s="37">
        <v>9.0416117941709579E-3</v>
      </c>
      <c r="AT8" s="37">
        <v>2.3334864347930029E-3</v>
      </c>
      <c r="AU8" s="37">
        <v>0.20949893313315521</v>
      </c>
      <c r="AV8" s="37">
        <v>1.4734461182428582E-2</v>
      </c>
      <c r="AW8" s="37">
        <v>0.14816858632745214</v>
      </c>
      <c r="AX8" s="37">
        <v>5.2838781391425548E-3</v>
      </c>
      <c r="AY8" s="37">
        <v>1.3023761924792312E-3</v>
      </c>
      <c r="AZ8" s="37">
        <v>9.9322941949075167E-3</v>
      </c>
      <c r="BA8" s="37">
        <v>7.298404707220079E-3</v>
      </c>
      <c r="BB8" s="37">
        <v>6.0973125091423738E-3</v>
      </c>
      <c r="BC8" s="37">
        <v>0.19814265223628891</v>
      </c>
      <c r="BD8" s="37">
        <v>0</v>
      </c>
      <c r="BE8" s="37">
        <v>0</v>
      </c>
      <c r="BF8" s="37">
        <v>0.22103254148208215</v>
      </c>
    </row>
    <row r="9" spans="1:58" x14ac:dyDescent="0.3">
      <c r="A9" s="34" t="s">
        <v>17</v>
      </c>
      <c r="B9" s="39" t="s">
        <v>155</v>
      </c>
      <c r="C9" s="40" t="s">
        <v>432</v>
      </c>
      <c r="D9" s="36">
        <v>5.5049785484384177E-3</v>
      </c>
      <c r="E9" s="37">
        <v>7.1582530031362368E-3</v>
      </c>
      <c r="F9" s="37">
        <v>5.3287398139823545E-3</v>
      </c>
      <c r="G9" s="37">
        <v>3.8039148500841184E-3</v>
      </c>
      <c r="H9" s="37">
        <v>6.6120242713112766E-3</v>
      </c>
      <c r="I9" s="38">
        <v>4.0131634847833837E-3</v>
      </c>
      <c r="J9" s="36">
        <v>6.8812410106027649E-3</v>
      </c>
      <c r="K9" s="37">
        <v>3.2283248172879147E-3</v>
      </c>
      <c r="L9" s="37">
        <v>1.2262954174589018E-2</v>
      </c>
      <c r="M9" s="37">
        <v>1.8998531121381956E-2</v>
      </c>
      <c r="N9" s="37">
        <v>1.9619119085354731E-2</v>
      </c>
      <c r="O9" s="37">
        <v>0.12292501210696519</v>
      </c>
      <c r="P9" s="37">
        <v>2.0368370415251039E-2</v>
      </c>
      <c r="Q9" s="37">
        <v>1.1575629439180563E-3</v>
      </c>
      <c r="R9" s="37">
        <v>2.5674750160420659E-2</v>
      </c>
      <c r="S9" s="37">
        <v>5.0920622231279871E-3</v>
      </c>
      <c r="T9" s="37">
        <v>7.1081586166907838E-5</v>
      </c>
      <c r="U9" s="37">
        <v>7.2600791604136173E-3</v>
      </c>
      <c r="V9" s="37">
        <v>3.5871181936905125E-2</v>
      </c>
      <c r="W9" s="37">
        <v>1.5750953221612376E-2</v>
      </c>
      <c r="X9" s="37">
        <v>2.1190385849221664E-2</v>
      </c>
      <c r="Y9" s="37">
        <v>1.430689851705701E-2</v>
      </c>
      <c r="Z9" s="37">
        <v>1.0845662194019693E-2</v>
      </c>
      <c r="AA9" s="37">
        <v>1.8082876930942637E-2</v>
      </c>
      <c r="AB9" s="37">
        <v>1.2894367227435326E-2</v>
      </c>
      <c r="AC9" s="37">
        <v>4.1683659968208067E-2</v>
      </c>
      <c r="AD9" s="37">
        <v>4.0936637479055862E-2</v>
      </c>
      <c r="AE9" s="37">
        <v>4.0913712627494929E-2</v>
      </c>
      <c r="AF9" s="37">
        <v>4.8611168711553354E-2</v>
      </c>
      <c r="AG9" s="37">
        <v>0.16292992479721383</v>
      </c>
      <c r="AH9" s="37">
        <v>0.16811852029804761</v>
      </c>
      <c r="AI9" s="37">
        <v>0.16176656299165262</v>
      </c>
      <c r="AJ9" s="37">
        <v>0.15913711230880001</v>
      </c>
      <c r="AK9" s="37">
        <v>0.16523778113577914</v>
      </c>
      <c r="AL9" s="37">
        <v>0.16183300582738147</v>
      </c>
      <c r="AM9" s="37">
        <v>0.1519318320778997</v>
      </c>
      <c r="AN9" s="37">
        <v>1.8932827283750051</v>
      </c>
      <c r="AO9" s="37">
        <v>2.2283351887447383E-2</v>
      </c>
      <c r="AP9" s="37">
        <v>2.9978682424190137E-2</v>
      </c>
      <c r="AQ9" s="37">
        <v>2.0240403840202974E-2</v>
      </c>
      <c r="AR9" s="37">
        <v>1.5343687694412802E-2</v>
      </c>
      <c r="AS9" s="37">
        <v>2.5582395180801059E-2</v>
      </c>
      <c r="AT9" s="37">
        <v>1.824205292544813E-2</v>
      </c>
      <c r="AU9" s="37">
        <v>2.6161846796053094</v>
      </c>
      <c r="AV9" s="37">
        <v>3.8219988774706629E-2</v>
      </c>
      <c r="AW9" s="37">
        <v>1.850302432338782</v>
      </c>
      <c r="AX9" s="37">
        <v>1.4950239152037708E-2</v>
      </c>
      <c r="AY9" s="37">
        <v>1.0181338566108809E-2</v>
      </c>
      <c r="AZ9" s="37">
        <v>2.0811000756421547E-2</v>
      </c>
      <c r="BA9" s="37">
        <v>1.484955565156916E-2</v>
      </c>
      <c r="BB9" s="37">
        <v>1.0750593840217168E-2</v>
      </c>
      <c r="BC9" s="37">
        <v>2.4743695034831825</v>
      </c>
      <c r="BD9" s="37">
        <v>0</v>
      </c>
      <c r="BE9" s="37">
        <v>0</v>
      </c>
      <c r="BF9" s="37">
        <v>2.1377693248804706</v>
      </c>
    </row>
    <row r="10" spans="1:58" x14ac:dyDescent="0.3">
      <c r="A10" s="34" t="s">
        <v>17</v>
      </c>
      <c r="B10" s="39" t="s">
        <v>156</v>
      </c>
      <c r="C10" s="40" t="s">
        <v>432</v>
      </c>
      <c r="D10" s="36">
        <v>7.9572503222587639E-3</v>
      </c>
      <c r="E10" s="37">
        <v>1.0425826998576922E-2</v>
      </c>
      <c r="F10" s="37">
        <v>1.0833386598265217E-2</v>
      </c>
      <c r="G10" s="37">
        <v>8.8621841539685275E-3</v>
      </c>
      <c r="H10" s="37">
        <v>6.1300479772196416E-3</v>
      </c>
      <c r="I10" s="38">
        <v>4.9587700297670139E-3</v>
      </c>
      <c r="J10" s="36">
        <v>1.1242836193951156E-2</v>
      </c>
      <c r="K10" s="37">
        <v>2.4646210146333481E-3</v>
      </c>
      <c r="L10" s="37">
        <v>1.5433287516616856E-2</v>
      </c>
      <c r="M10" s="37">
        <v>7.6114696347867244E-2</v>
      </c>
      <c r="N10" s="37">
        <v>4.4535313278170216E-2</v>
      </c>
      <c r="O10" s="37">
        <v>0.13251046802493535</v>
      </c>
      <c r="P10" s="37">
        <v>4.2810900234376593E-2</v>
      </c>
      <c r="Q10" s="37">
        <v>1.6335075623990789E-3</v>
      </c>
      <c r="R10" s="37">
        <v>3.9150288409512221E-2</v>
      </c>
      <c r="S10" s="37">
        <v>7.1508052614253298E-3</v>
      </c>
      <c r="T10" s="37">
        <v>3.899940765176446E-4</v>
      </c>
      <c r="U10" s="37">
        <v>7.4696420568242348E-3</v>
      </c>
      <c r="V10" s="37">
        <v>8.1662800637291103E-2</v>
      </c>
      <c r="W10" s="37">
        <v>2.276744159777172E-2</v>
      </c>
      <c r="X10" s="37">
        <v>3.0863298181872445E-2</v>
      </c>
      <c r="Y10" s="37">
        <v>2.9086081900777747E-2</v>
      </c>
      <c r="Z10" s="37">
        <v>2.5267720078700328E-2</v>
      </c>
      <c r="AA10" s="37">
        <v>1.6764745349437955E-2</v>
      </c>
      <c r="AB10" s="37">
        <v>1.5932618245595227E-2</v>
      </c>
      <c r="AC10" s="37">
        <v>8.7515305622562045E-2</v>
      </c>
      <c r="AD10" s="37">
        <v>8.5781568474157868E-2</v>
      </c>
      <c r="AE10" s="37">
        <v>8.5643731228130154E-2</v>
      </c>
      <c r="AF10" s="37">
        <v>0.1043105689243308</v>
      </c>
      <c r="AG10" s="37">
        <v>0.23870656787387781</v>
      </c>
      <c r="AH10" s="37">
        <v>0.24818759269161239</v>
      </c>
      <c r="AI10" s="37">
        <v>0.23688899365670135</v>
      </c>
      <c r="AJ10" s="37">
        <v>0.23646948054667205</v>
      </c>
      <c r="AK10" s="37">
        <v>0.22663438602224056</v>
      </c>
      <c r="AL10" s="37">
        <v>0.23389664910154995</v>
      </c>
      <c r="AM10" s="37">
        <v>0.25681502592608163</v>
      </c>
      <c r="AN10" s="37">
        <v>0.12496381640849448</v>
      </c>
      <c r="AO10" s="37">
        <v>3.2209791087686325E-2</v>
      </c>
      <c r="AP10" s="37">
        <v>4.3663245272686883E-2</v>
      </c>
      <c r="AQ10" s="37">
        <v>4.1148963424817879E-2</v>
      </c>
      <c r="AR10" s="37">
        <v>3.5747010989444203E-2</v>
      </c>
      <c r="AS10" s="37">
        <v>2.3717594400088717E-2</v>
      </c>
      <c r="AT10" s="37">
        <v>2.2540358914139393E-2</v>
      </c>
      <c r="AU10" s="37">
        <v>0.17267807765484389</v>
      </c>
      <c r="AV10" s="37">
        <v>4.2802603849399379E-2</v>
      </c>
      <c r="AW10" s="37">
        <v>0.12212695441078153</v>
      </c>
      <c r="AX10" s="37">
        <v>1.3860457783032869E-2</v>
      </c>
      <c r="AY10" s="37">
        <v>1.2580328894140859E-2</v>
      </c>
      <c r="AZ10" s="37">
        <v>4.7377435425000523E-2</v>
      </c>
      <c r="BA10" s="37">
        <v>3.0189309818389944E-2</v>
      </c>
      <c r="BB10" s="37">
        <v>2.5046234243234277E-2</v>
      </c>
      <c r="BC10" s="37">
        <v>0.16331773998986435</v>
      </c>
      <c r="BD10" s="37">
        <v>0</v>
      </c>
      <c r="BE10" s="37">
        <v>0</v>
      </c>
      <c r="BF10" s="37">
        <v>0.32310869215796112</v>
      </c>
    </row>
    <row r="11" spans="1:58" x14ac:dyDescent="0.3">
      <c r="A11" s="34" t="s">
        <v>17</v>
      </c>
      <c r="B11" s="39" t="s">
        <v>157</v>
      </c>
      <c r="C11" s="40" t="s">
        <v>432</v>
      </c>
      <c r="D11" s="36">
        <v>5.6727263375784781E-4</v>
      </c>
      <c r="E11" s="37">
        <v>7.4791336500497027E-4</v>
      </c>
      <c r="F11" s="37">
        <v>7.7178477171279108E-4</v>
      </c>
      <c r="G11" s="37">
        <v>5.7103554680543059E-4</v>
      </c>
      <c r="H11" s="37">
        <v>9.9066621047734396E-4</v>
      </c>
      <c r="I11" s="38">
        <v>3.2556484457708706E-4</v>
      </c>
      <c r="J11" s="36">
        <v>8.4842232740746327E-4</v>
      </c>
      <c r="K11" s="37">
        <v>2.5579278334798134E-4</v>
      </c>
      <c r="L11" s="37">
        <v>1.2283083759141477E-3</v>
      </c>
      <c r="M11" s="37">
        <v>6.4421264608613363E-3</v>
      </c>
      <c r="N11" s="37">
        <v>3.1159386283648441E-3</v>
      </c>
      <c r="O11" s="37">
        <v>1.1138307579391826E-2</v>
      </c>
      <c r="P11" s="37">
        <v>3.0956890422458561E-3</v>
      </c>
      <c r="Q11" s="37">
        <v>1.6726359080317826E-4</v>
      </c>
      <c r="R11" s="37">
        <v>2.8732335410423119E-3</v>
      </c>
      <c r="S11" s="37">
        <v>5.0040210021065677E-4</v>
      </c>
      <c r="T11" s="37">
        <v>4.9167423130043324E-5</v>
      </c>
      <c r="U11" s="37">
        <v>4.3529278993590704E-4</v>
      </c>
      <c r="V11" s="37">
        <v>4.5673457984982879E-3</v>
      </c>
      <c r="W11" s="37">
        <v>1.6230916505124806E-3</v>
      </c>
      <c r="X11" s="37">
        <v>2.2140280288083375E-3</v>
      </c>
      <c r="Y11" s="37">
        <v>2.0721308961138699E-3</v>
      </c>
      <c r="Z11" s="37">
        <v>1.6281275700196246E-3</v>
      </c>
      <c r="AA11" s="37">
        <v>2.7093208416418073E-3</v>
      </c>
      <c r="AB11" s="37">
        <v>1.0460457637066476E-3</v>
      </c>
      <c r="AC11" s="37">
        <v>1.5452232858007899E-2</v>
      </c>
      <c r="AD11" s="37">
        <v>1.5304532815129633E-2</v>
      </c>
      <c r="AE11" s="37">
        <v>1.5307182920847701E-2</v>
      </c>
      <c r="AF11" s="37">
        <v>1.6763769473243848E-2</v>
      </c>
      <c r="AG11" s="37">
        <v>1.393946166775324E-2</v>
      </c>
      <c r="AH11" s="37">
        <v>1.4516427002597311E-2</v>
      </c>
      <c r="AI11" s="37">
        <v>1.4286637548099567E-2</v>
      </c>
      <c r="AJ11" s="37">
        <v>1.3957866444133736E-2</v>
      </c>
      <c r="AK11" s="37">
        <v>1.487004573050979E-2</v>
      </c>
      <c r="AL11" s="37">
        <v>1.3567788102409717E-2</v>
      </c>
      <c r="AM11" s="37">
        <v>1.4289545389216913E-2</v>
      </c>
      <c r="AN11" s="37">
        <v>0.16250419836214858</v>
      </c>
      <c r="AO11" s="37">
        <v>2.2962370521372785E-3</v>
      </c>
      <c r="AP11" s="37">
        <v>3.1322526935647459E-3</v>
      </c>
      <c r="AQ11" s="37">
        <v>2.9315065104504423E-3</v>
      </c>
      <c r="AR11" s="37">
        <v>2.303361520407591E-3</v>
      </c>
      <c r="AS11" s="37">
        <v>3.832958478186588E-3</v>
      </c>
      <c r="AT11" s="37">
        <v>1.4798727108823676E-3</v>
      </c>
      <c r="AU11" s="37">
        <v>0.22455230154214295</v>
      </c>
      <c r="AV11" s="37">
        <v>3.5537894545505616E-3</v>
      </c>
      <c r="AW11" s="37">
        <v>0.15881511460933317</v>
      </c>
      <c r="AX11" s="37">
        <v>2.2399640652773956E-3</v>
      </c>
      <c r="AY11" s="37">
        <v>8.2595337080837406E-4</v>
      </c>
      <c r="AZ11" s="37">
        <v>2.6497882627501577E-3</v>
      </c>
      <c r="BA11" s="37">
        <v>2.1507263102826814E-3</v>
      </c>
      <c r="BB11" s="37">
        <v>1.6138561124457737E-3</v>
      </c>
      <c r="BC11" s="37">
        <v>0.21238002469942702</v>
      </c>
      <c r="BD11" s="37">
        <v>0</v>
      </c>
      <c r="BE11" s="37">
        <v>0</v>
      </c>
      <c r="BF11" s="37">
        <v>0.29978198932591876</v>
      </c>
    </row>
    <row r="12" spans="1:58" x14ac:dyDescent="0.3">
      <c r="A12" s="34" t="s">
        <v>17</v>
      </c>
      <c r="B12" s="39" t="s">
        <v>158</v>
      </c>
      <c r="C12" s="40" t="s">
        <v>432</v>
      </c>
      <c r="D12" s="36">
        <v>4.8467766989430147E-4</v>
      </c>
      <c r="E12" s="37">
        <v>6.5263276012397092E-4</v>
      </c>
      <c r="F12" s="37">
        <v>6.246468787342688E-4</v>
      </c>
      <c r="G12" s="37">
        <v>4.6421962876431951E-4</v>
      </c>
      <c r="H12" s="37">
        <v>8.4416054156444471E-4</v>
      </c>
      <c r="I12" s="38">
        <v>2.4984463825906787E-4</v>
      </c>
      <c r="J12" s="36">
        <v>7.2626783250119282E-4</v>
      </c>
      <c r="K12" s="37">
        <v>7.2832164412971637E-5</v>
      </c>
      <c r="L12" s="37">
        <v>9.7618891619683055E-4</v>
      </c>
      <c r="M12" s="37">
        <v>5.6783731915114426E-3</v>
      </c>
      <c r="N12" s="37">
        <v>2.6063830907379505E-3</v>
      </c>
      <c r="O12" s="37">
        <v>1.0029815256334867E-2</v>
      </c>
      <c r="P12" s="37">
        <v>2.6317769077718448E-3</v>
      </c>
      <c r="Q12" s="37">
        <v>9.0384533121599608E-5</v>
      </c>
      <c r="R12" s="37">
        <v>2.5372569929358489E-3</v>
      </c>
      <c r="S12" s="37">
        <v>3.8075072652834206E-4</v>
      </c>
      <c r="T12" s="37">
        <v>3.3920282716769965E-5</v>
      </c>
      <c r="U12" s="37">
        <v>2.9367400853014209E-4</v>
      </c>
      <c r="V12" s="37">
        <v>3.7899843035295857E-3</v>
      </c>
      <c r="W12" s="37">
        <v>1.3867693105236133E-3</v>
      </c>
      <c r="X12" s="37">
        <v>1.9319713900598865E-3</v>
      </c>
      <c r="Y12" s="37">
        <v>1.6770868563704274E-3</v>
      </c>
      <c r="Z12" s="37">
        <v>1.3235757044613391E-3</v>
      </c>
      <c r="AA12" s="37">
        <v>2.3086502040381139E-3</v>
      </c>
      <c r="AB12" s="37">
        <v>8.0275536437361174E-4</v>
      </c>
      <c r="AC12" s="37">
        <v>5.7898072425400749E-3</v>
      </c>
      <c r="AD12" s="37">
        <v>5.7467283691073979E-3</v>
      </c>
      <c r="AE12" s="37">
        <v>5.7454341612676848E-3</v>
      </c>
      <c r="AF12" s="37">
        <v>6.1899371967907074E-3</v>
      </c>
      <c r="AG12" s="37">
        <v>4.8027022795479341E-3</v>
      </c>
      <c r="AH12" s="37">
        <v>5.3330134107839391E-3</v>
      </c>
      <c r="AI12" s="37">
        <v>5.0138012593658361E-3</v>
      </c>
      <c r="AJ12" s="37">
        <v>4.7578302259544099E-3</v>
      </c>
      <c r="AK12" s="37">
        <v>5.5903279176886481E-3</v>
      </c>
      <c r="AL12" s="37">
        <v>4.407322255883187E-3</v>
      </c>
      <c r="AM12" s="37">
        <v>5.0774801468878106E-3</v>
      </c>
      <c r="AN12" s="37">
        <v>5.6690724324121276E-2</v>
      </c>
      <c r="AO12" s="37">
        <v>1.9619046605197864E-3</v>
      </c>
      <c r="AP12" s="37">
        <v>2.733218600517077E-3</v>
      </c>
      <c r="AQ12" s="37">
        <v>2.3726257097276553E-3</v>
      </c>
      <c r="AR12" s="37">
        <v>1.8725027468000381E-3</v>
      </c>
      <c r="AS12" s="37">
        <v>3.2661175585881326E-3</v>
      </c>
      <c r="AT12" s="37">
        <v>1.1356823940870092E-3</v>
      </c>
      <c r="AU12" s="37">
        <v>7.8336638384585475E-2</v>
      </c>
      <c r="AV12" s="37">
        <v>2.6807959735660452E-3</v>
      </c>
      <c r="AW12" s="37">
        <v>5.5403761697018057E-2</v>
      </c>
      <c r="AX12" s="37">
        <v>1.908704726608524E-3</v>
      </c>
      <c r="AY12" s="37">
        <v>6.3385228652848037E-4</v>
      </c>
      <c r="AZ12" s="37">
        <v>2.1987947413138684E-3</v>
      </c>
      <c r="BA12" s="37">
        <v>1.7406983474787864E-3</v>
      </c>
      <c r="BB12" s="37">
        <v>1.3119738159730972E-3</v>
      </c>
      <c r="BC12" s="37">
        <v>7.4090254612090733E-2</v>
      </c>
      <c r="BD12" s="37">
        <v>0</v>
      </c>
      <c r="BE12" s="37">
        <v>0</v>
      </c>
      <c r="BF12" s="37">
        <v>0.12204487265777703</v>
      </c>
    </row>
    <row r="13" spans="1:58" x14ac:dyDescent="0.3">
      <c r="A13" s="34" t="s">
        <v>17</v>
      </c>
      <c r="B13" s="39" t="s">
        <v>159</v>
      </c>
      <c r="C13" s="40" t="s">
        <v>432</v>
      </c>
      <c r="D13" s="36">
        <v>1.0045991499442063E-3</v>
      </c>
      <c r="E13" s="37">
        <v>1.1141676512205414E-3</v>
      </c>
      <c r="F13" s="37">
        <v>3.4178870403104304E-3</v>
      </c>
      <c r="G13" s="37">
        <v>2.1961256401531828E-3</v>
      </c>
      <c r="H13" s="37">
        <v>3.0028243132438535E-3</v>
      </c>
      <c r="I13" s="38">
        <v>1.0332444964837781E-4</v>
      </c>
      <c r="J13" s="36">
        <v>2.5010368345304997E-3</v>
      </c>
      <c r="K13" s="37">
        <v>1.4040573001518594E-4</v>
      </c>
      <c r="L13" s="37">
        <v>6.7297542489316298E-3</v>
      </c>
      <c r="M13" s="37">
        <v>4.2369004926142151E-2</v>
      </c>
      <c r="N13" s="37">
        <v>1.3341292038085399E-2</v>
      </c>
      <c r="O13" s="37">
        <v>6.4896429151266824E-2</v>
      </c>
      <c r="P13" s="37">
        <v>1.1179855609876848E-2</v>
      </c>
      <c r="Q13" s="37">
        <v>8.306100828701713E-4</v>
      </c>
      <c r="R13" s="37">
        <v>6.2319172379200205E-3</v>
      </c>
      <c r="S13" s="37">
        <v>2.0792724913930491E-3</v>
      </c>
      <c r="T13" s="37">
        <v>4.9059944624926354E-4</v>
      </c>
      <c r="U13" s="37">
        <v>1.1784166380854717E-3</v>
      </c>
      <c r="V13" s="37">
        <v>1.8718494318022916E-2</v>
      </c>
      <c r="W13" s="37">
        <v>2.874378905932581E-3</v>
      </c>
      <c r="X13" s="37">
        <v>3.2982408444826184E-3</v>
      </c>
      <c r="Y13" s="37">
        <v>9.1765341779638243E-3</v>
      </c>
      <c r="Z13" s="37">
        <v>6.2615588853677821E-3</v>
      </c>
      <c r="AA13" s="37">
        <v>8.2122660585549224E-3</v>
      </c>
      <c r="AB13" s="37">
        <v>3.3198333494025278E-4</v>
      </c>
      <c r="AC13" s="37">
        <v>2.1723608319930227E-2</v>
      </c>
      <c r="AD13" s="37">
        <v>1.8378632904534373E-2</v>
      </c>
      <c r="AE13" s="37">
        <v>1.8414871069570179E-2</v>
      </c>
      <c r="AF13" s="37">
        <v>5.1521598427162765E-2</v>
      </c>
      <c r="AG13" s="37">
        <v>0.13042888971577485</v>
      </c>
      <c r="AH13" s="37">
        <v>9.2386178776506095E-2</v>
      </c>
      <c r="AI13" s="37">
        <v>0.19815522936296712</v>
      </c>
      <c r="AJ13" s="37">
        <v>0.16140833944107874</v>
      </c>
      <c r="AK13" s="37">
        <v>0.18591284679371414</v>
      </c>
      <c r="AL13" s="37">
        <v>0.11059333892970045</v>
      </c>
      <c r="AM13" s="37">
        <v>0.15271106974546497</v>
      </c>
      <c r="AN13" s="37">
        <v>1.4691493378512579E-2</v>
      </c>
      <c r="AO13" s="37">
        <v>4.0664711346400052E-3</v>
      </c>
      <c r="AP13" s="37">
        <v>4.6661214920194058E-3</v>
      </c>
      <c r="AQ13" s="37">
        <v>1.2982321597792367E-2</v>
      </c>
      <c r="AR13" s="37">
        <v>8.8584175220056943E-3</v>
      </c>
      <c r="AS13" s="37">
        <v>1.1618142203928603E-2</v>
      </c>
      <c r="AT13" s="37">
        <v>4.6966690645054677E-4</v>
      </c>
      <c r="AU13" s="37">
        <v>2.0301067200024892E-2</v>
      </c>
      <c r="AV13" s="37">
        <v>1.2510594236649086E-2</v>
      </c>
      <c r="AW13" s="37">
        <v>1.4357974921306429E-2</v>
      </c>
      <c r="AX13" s="37">
        <v>6.7895911709419613E-3</v>
      </c>
      <c r="AY13" s="37">
        <v>2.6213265619897335E-4</v>
      </c>
      <c r="AZ13" s="37">
        <v>1.0859709058280808E-2</v>
      </c>
      <c r="BA13" s="37">
        <v>9.5245978575817201E-3</v>
      </c>
      <c r="BB13" s="37">
        <v>6.2066727857621974E-3</v>
      </c>
      <c r="BC13" s="37">
        <v>1.9200609941452073E-2</v>
      </c>
      <c r="BD13" s="37">
        <v>0</v>
      </c>
      <c r="BE13" s="37">
        <v>0</v>
      </c>
      <c r="BF13" s="37">
        <v>8.1152188985196563E-2</v>
      </c>
    </row>
    <row r="14" spans="1:58" x14ac:dyDescent="0.3">
      <c r="A14" s="34" t="s">
        <v>17</v>
      </c>
      <c r="B14" s="39" t="s">
        <v>160</v>
      </c>
      <c r="C14" s="40" t="s">
        <v>432</v>
      </c>
      <c r="D14" s="36">
        <v>2.6166433633814201E-4</v>
      </c>
      <c r="E14" s="37">
        <v>3.6550756147335229E-4</v>
      </c>
      <c r="F14" s="37">
        <v>1.229421715524179E-4</v>
      </c>
      <c r="G14" s="37">
        <v>9.0603907397185154E-5</v>
      </c>
      <c r="H14" s="37">
        <v>3.6184651371834627E-4</v>
      </c>
      <c r="I14" s="38">
        <v>1.695464324038533E-4</v>
      </c>
      <c r="J14" s="36">
        <v>3.2759809664614922E-4</v>
      </c>
      <c r="K14" s="37">
        <v>6.6167886596869001E-6</v>
      </c>
      <c r="L14" s="37">
        <v>2.9372123281094027E-4</v>
      </c>
      <c r="M14" s="37">
        <v>1.1015735233047439E-3</v>
      </c>
      <c r="N14" s="37">
        <v>4.6956364232724894E-4</v>
      </c>
      <c r="O14" s="37">
        <v>2.5834405694011454E-3</v>
      </c>
      <c r="P14" s="37">
        <v>8.0657039801180976E-4</v>
      </c>
      <c r="Q14" s="37">
        <v>5.2631745028098811E-6</v>
      </c>
      <c r="R14" s="37">
        <v>1.0622469816702128E-3</v>
      </c>
      <c r="S14" s="37">
        <v>4.8008548857454886E-5</v>
      </c>
      <c r="T14" s="37">
        <v>3.6253482563539797E-6</v>
      </c>
      <c r="U14" s="37">
        <v>4.0927697603884276E-5</v>
      </c>
      <c r="V14" s="37">
        <v>7.8473447731229823E-4</v>
      </c>
      <c r="W14" s="37">
        <v>7.4867916108327902E-4</v>
      </c>
      <c r="X14" s="37">
        <v>1.0820023062938721E-3</v>
      </c>
      <c r="Y14" s="37">
        <v>3.3008201437265388E-4</v>
      </c>
      <c r="Z14" s="37">
        <v>2.583284357867217E-4</v>
      </c>
      <c r="AA14" s="37">
        <v>9.8959497227645086E-4</v>
      </c>
      <c r="AB14" s="37">
        <v>5.4475576930921557E-4</v>
      </c>
      <c r="AC14" s="37">
        <v>6.8805142309220837E-4</v>
      </c>
      <c r="AD14" s="37">
        <v>6.8330338125554071E-4</v>
      </c>
      <c r="AE14" s="37">
        <v>6.8538876077426107E-4</v>
      </c>
      <c r="AF14" s="37">
        <v>7.1304454093127723E-4</v>
      </c>
      <c r="AG14" s="37">
        <v>9.7359992311599382E-4</v>
      </c>
      <c r="AH14" s="37">
        <v>1.276596106914058E-3</v>
      </c>
      <c r="AI14" s="37">
        <v>5.9586084105880456E-4</v>
      </c>
      <c r="AJ14" s="37">
        <v>5.4008394769397127E-4</v>
      </c>
      <c r="AK14" s="37">
        <v>1.185079729481218E-3</v>
      </c>
      <c r="AL14" s="37">
        <v>8.1076427098008912E-4</v>
      </c>
      <c r="AM14" s="37">
        <v>-5.3852858560133818E-4</v>
      </c>
      <c r="AN14" s="37">
        <v>8.5659826702048827E-3</v>
      </c>
      <c r="AO14" s="37">
        <v>1.0591791469691011E-3</v>
      </c>
      <c r="AP14" s="37">
        <v>1.5307415236998491E-3</v>
      </c>
      <c r="AQ14" s="37">
        <v>4.6697705049944706E-4</v>
      </c>
      <c r="AR14" s="37">
        <v>3.6546508367955828E-4</v>
      </c>
      <c r="AS14" s="37">
        <v>1.400010061805488E-3</v>
      </c>
      <c r="AT14" s="37">
        <v>7.7068253136439266E-4</v>
      </c>
      <c r="AU14" s="37">
        <v>1.1836685716131338E-2</v>
      </c>
      <c r="AV14" s="37">
        <v>2.0929662152632277E-4</v>
      </c>
      <c r="AW14" s="37">
        <v>8.3715222943250688E-3</v>
      </c>
      <c r="AX14" s="37">
        <v>8.181597184832378E-4</v>
      </c>
      <c r="AY14" s="37">
        <v>4.3013688266743672E-4</v>
      </c>
      <c r="AZ14" s="37">
        <v>4.5527102590769324E-4</v>
      </c>
      <c r="BA14" s="37">
        <v>3.4260194382206672E-4</v>
      </c>
      <c r="BB14" s="37">
        <v>2.5606404116597028E-4</v>
      </c>
      <c r="BC14" s="37">
        <v>1.1195056062605246E-2</v>
      </c>
      <c r="BD14" s="37">
        <v>0</v>
      </c>
      <c r="BE14" s="37">
        <v>0</v>
      </c>
      <c r="BF14" s="37">
        <v>1.7501119606204214E-2</v>
      </c>
    </row>
    <row r="15" spans="1:58" x14ac:dyDescent="0.3">
      <c r="A15" s="34" t="s">
        <v>17</v>
      </c>
      <c r="B15" s="39" t="s">
        <v>161</v>
      </c>
      <c r="C15" s="40" t="s">
        <v>432</v>
      </c>
      <c r="D15" s="36">
        <v>9.3158228941384993E-5</v>
      </c>
      <c r="E15" s="37">
        <v>1.2722614424134671E-4</v>
      </c>
      <c r="F15" s="37">
        <v>1.0440771632718785E-4</v>
      </c>
      <c r="G15" s="37">
        <v>7.4771962241083586E-5</v>
      </c>
      <c r="H15" s="37">
        <v>1.6267224805766118E-4</v>
      </c>
      <c r="I15" s="38">
        <v>5.1937422152021444E-5</v>
      </c>
      <c r="J15" s="36">
        <v>1.3501440564568873E-4</v>
      </c>
      <c r="K15" s="37">
        <v>1.1636643646102879E-5</v>
      </c>
      <c r="L15" s="37">
        <v>2.4911898262482672E-4</v>
      </c>
      <c r="M15" s="37">
        <v>1.8294020211143288E-3</v>
      </c>
      <c r="N15" s="37">
        <v>4.5511974673693648E-4</v>
      </c>
      <c r="O15" s="37">
        <v>2.5199436970217686E-3</v>
      </c>
      <c r="P15" s="37">
        <v>4.682179227179275E-4</v>
      </c>
      <c r="Q15" s="37">
        <v>2.7052142634104111E-5</v>
      </c>
      <c r="R15" s="37">
        <v>5.3751961806378372E-4</v>
      </c>
      <c r="S15" s="37">
        <v>1.4316776558457681E-4</v>
      </c>
      <c r="T15" s="37">
        <v>7.8002233774016095E-6</v>
      </c>
      <c r="U15" s="37">
        <v>1.0835222148225107E-4</v>
      </c>
      <c r="V15" s="37">
        <v>6.6474372146145468E-4</v>
      </c>
      <c r="W15" s="37">
        <v>2.6654616241515505E-4</v>
      </c>
      <c r="X15" s="37">
        <v>3.7662416869055696E-4</v>
      </c>
      <c r="Y15" s="37">
        <v>2.803196729499203E-4</v>
      </c>
      <c r="Z15" s="37">
        <v>2.1318864275651566E-4</v>
      </c>
      <c r="AA15" s="37">
        <v>4.4488376342924303E-4</v>
      </c>
      <c r="AB15" s="37">
        <v>1.6687588148695784E-4</v>
      </c>
      <c r="AC15" s="37">
        <v>1.0482814862251635E-3</v>
      </c>
      <c r="AD15" s="37">
        <v>1.0402035152180598E-3</v>
      </c>
      <c r="AE15" s="37">
        <v>1.0352214071247313E-3</v>
      </c>
      <c r="AF15" s="37">
        <v>1.1638369741397115E-3</v>
      </c>
      <c r="AG15" s="37">
        <v>7.8629051098727228E-4</v>
      </c>
      <c r="AH15" s="37">
        <v>8.9892566564104615E-4</v>
      </c>
      <c r="AI15" s="37">
        <v>7.6779857792840184E-4</v>
      </c>
      <c r="AJ15" s="37">
        <v>7.2719501010987976E-4</v>
      </c>
      <c r="AK15" s="37">
        <v>9.1894772600268444E-4</v>
      </c>
      <c r="AL15" s="37">
        <v>7.2287801963217613E-4</v>
      </c>
      <c r="AM15" s="37">
        <v>-1.1452866228940713E-3</v>
      </c>
      <c r="AN15" s="37">
        <v>1.8676222384163506E-2</v>
      </c>
      <c r="AO15" s="37">
        <v>3.7709095111753435E-4</v>
      </c>
      <c r="AP15" s="37">
        <v>5.3282164972298196E-4</v>
      </c>
      <c r="AQ15" s="37">
        <v>3.9657675477991228E-4</v>
      </c>
      <c r="AR15" s="37">
        <v>3.0160444756018707E-4</v>
      </c>
      <c r="AS15" s="37">
        <v>6.2939057148002277E-4</v>
      </c>
      <c r="AT15" s="37">
        <v>2.3608437764893517E-4</v>
      </c>
      <c r="AU15" s="37">
        <v>2.5807263829151911E-2</v>
      </c>
      <c r="AV15" s="37">
        <v>5.1548211281845949E-4</v>
      </c>
      <c r="AW15" s="37">
        <v>1.8252244731550234E-2</v>
      </c>
      <c r="AX15" s="37">
        <v>3.6781307993888107E-4</v>
      </c>
      <c r="AY15" s="37">
        <v>1.3176449979814171E-4</v>
      </c>
      <c r="AZ15" s="37">
        <v>3.8565726979651263E-4</v>
      </c>
      <c r="BA15" s="37">
        <v>2.9095212905415769E-4</v>
      </c>
      <c r="BB15" s="37">
        <v>2.1131992391264164E-4</v>
      </c>
      <c r="BC15" s="37">
        <v>2.440833289981342E-2</v>
      </c>
      <c r="BD15" s="37">
        <v>0</v>
      </c>
      <c r="BE15" s="37">
        <v>0</v>
      </c>
      <c r="BF15" s="37">
        <v>3.9859709423033303E-2</v>
      </c>
    </row>
    <row r="16" spans="1:58" x14ac:dyDescent="0.3">
      <c r="A16" s="34" t="s">
        <v>17</v>
      </c>
      <c r="B16" s="39" t="s">
        <v>35</v>
      </c>
      <c r="C16" s="40" t="s">
        <v>432</v>
      </c>
      <c r="D16" s="36">
        <v>3.1655344866053331E-3</v>
      </c>
      <c r="E16" s="37">
        <v>4.0043490673555967E-3</v>
      </c>
      <c r="F16" s="37">
        <v>5.1378621671704598E-3</v>
      </c>
      <c r="G16" s="37">
        <v>4.0397913949934642E-3</v>
      </c>
      <c r="H16" s="37">
        <v>5.7416403662141572E-3</v>
      </c>
      <c r="I16" s="38">
        <v>2.170622275837066E-3</v>
      </c>
      <c r="J16" s="36">
        <v>4.4163144138947251E-3</v>
      </c>
      <c r="K16" s="37">
        <v>2.9735332802624482E-3</v>
      </c>
      <c r="L16" s="37">
        <v>1.3723805161211518E-2</v>
      </c>
      <c r="M16" s="37">
        <v>0.12138146197061249</v>
      </c>
      <c r="N16" s="37">
        <v>2.6125082115440453E-2</v>
      </c>
      <c r="O16" s="37">
        <v>4.8344262998878181E-2</v>
      </c>
      <c r="P16" s="37">
        <v>1.9807405554770886E-2</v>
      </c>
      <c r="Q16" s="37">
        <v>3.0629798164674483E-3</v>
      </c>
      <c r="R16" s="37">
        <v>2.4127777461155003E-2</v>
      </c>
      <c r="S16" s="37">
        <v>1.7759575009780915E-2</v>
      </c>
      <c r="T16" s="37">
        <v>1.7596399594353132E-4</v>
      </c>
      <c r="U16" s="37">
        <v>1.4815463521133118E-2</v>
      </c>
      <c r="V16" s="37">
        <v>3.1950884079937854E-2</v>
      </c>
      <c r="W16" s="37">
        <v>9.057289720786477E-3</v>
      </c>
      <c r="X16" s="37">
        <v>1.1853967968868824E-2</v>
      </c>
      <c r="Y16" s="37">
        <v>1.3794419541268631E-2</v>
      </c>
      <c r="Z16" s="37">
        <v>1.1518189689087755E-2</v>
      </c>
      <c r="AA16" s="37">
        <v>1.5702509831137187E-2</v>
      </c>
      <c r="AB16" s="37">
        <v>6.9742488295876839E-3</v>
      </c>
      <c r="AC16" s="37">
        <v>9.3657696424408576E-2</v>
      </c>
      <c r="AD16" s="37">
        <v>9.0049612699954498E-2</v>
      </c>
      <c r="AE16" s="37">
        <v>8.9164085610726806E-2</v>
      </c>
      <c r="AF16" s="37">
        <v>0.13373032494295928</v>
      </c>
      <c r="AG16" s="37">
        <v>1.6128695124480792E-2</v>
      </c>
      <c r="AH16" s="37">
        <v>1.8990149312521805E-2</v>
      </c>
      <c r="AI16" s="37">
        <v>2.233468308310654E-2</v>
      </c>
      <c r="AJ16" s="37">
        <v>2.0861764849176123E-2</v>
      </c>
      <c r="AK16" s="37">
        <v>2.4200249091863517E-2</v>
      </c>
      <c r="AL16" s="37">
        <v>1.8020689393364792E-2</v>
      </c>
      <c r="AM16" s="37">
        <v>-1.4781321193025887</v>
      </c>
      <c r="AN16" s="37">
        <v>8.9369472582297979E-2</v>
      </c>
      <c r="AO16" s="37">
        <v>1.2813622842705945E-2</v>
      </c>
      <c r="AP16" s="37">
        <v>1.6770168496874894E-2</v>
      </c>
      <c r="AQ16" s="37">
        <v>1.9515384268895906E-2</v>
      </c>
      <c r="AR16" s="37">
        <v>1.6295132766703548E-2</v>
      </c>
      <c r="AS16" s="37">
        <v>2.2214817551690583E-2</v>
      </c>
      <c r="AT16" s="37">
        <v>9.866681630866507E-3</v>
      </c>
      <c r="AU16" s="37">
        <v>0.12349293715624296</v>
      </c>
      <c r="AV16" s="37">
        <v>3.0200958090699854E-2</v>
      </c>
      <c r="AW16" s="37">
        <v>8.7340654418681649E-2</v>
      </c>
      <c r="AX16" s="37">
        <v>1.2982241606755584E-2</v>
      </c>
      <c r="AY16" s="37">
        <v>5.5068377785331274E-3</v>
      </c>
      <c r="AZ16" s="37">
        <v>1.8536603391700018E-2</v>
      </c>
      <c r="BA16" s="37">
        <v>1.4317638474540487E-2</v>
      </c>
      <c r="BB16" s="37">
        <v>1.1417226252006835E-2</v>
      </c>
      <c r="BC16" s="37">
        <v>0.11679877188221746</v>
      </c>
      <c r="BD16" s="37">
        <v>0</v>
      </c>
      <c r="BE16" s="37">
        <v>0</v>
      </c>
      <c r="BF16" s="37">
        <v>0.14407273314946636</v>
      </c>
    </row>
    <row r="17" spans="1:58" x14ac:dyDescent="0.3">
      <c r="A17" s="34" t="s">
        <v>17</v>
      </c>
      <c r="B17" s="39" t="s">
        <v>7</v>
      </c>
      <c r="C17" s="40" t="s">
        <v>432</v>
      </c>
      <c r="D17" s="36">
        <v>2.150293597196352E-3</v>
      </c>
      <c r="E17" s="37">
        <v>2.8018683278689342E-3</v>
      </c>
      <c r="F17" s="37">
        <v>8.7271668090887523E-3</v>
      </c>
      <c r="G17" s="37">
        <v>8.085814665950113E-3</v>
      </c>
      <c r="H17" s="37">
        <v>-4.6328143153490254E-3</v>
      </c>
      <c r="I17" s="38">
        <v>2.0767671850142681E-5</v>
      </c>
      <c r="J17" s="36">
        <v>4.0430725952945229E-3</v>
      </c>
      <c r="K17" s="37">
        <v>1.5709269431989918E-5</v>
      </c>
      <c r="L17" s="37">
        <v>2.1931417560558889E-2</v>
      </c>
      <c r="M17" s="37">
        <v>4.1025908728173299E-2</v>
      </c>
      <c r="N17" s="37">
        <v>3.8263468226738283E-2</v>
      </c>
      <c r="O17" s="37">
        <v>9.3089283063291978E-2</v>
      </c>
      <c r="P17" s="37">
        <v>6.7300902516652217E-2</v>
      </c>
      <c r="Q17" s="37">
        <v>2.7914657285709073E-5</v>
      </c>
      <c r="R17" s="37">
        <v>2.8713268793703523E-2</v>
      </c>
      <c r="S17" s="37">
        <v>1.6474107173892856E-4</v>
      </c>
      <c r="T17" s="37">
        <v>2.9908186293279876E-6</v>
      </c>
      <c r="U17" s="37">
        <v>1.2537718730057897E-4</v>
      </c>
      <c r="V17" s="37">
        <v>6.2441384433063719E-2</v>
      </c>
      <c r="W17" s="37">
        <v>6.1524624599636106E-3</v>
      </c>
      <c r="X17" s="37">
        <v>8.2942962396332399E-3</v>
      </c>
      <c r="Y17" s="37">
        <v>2.3431185277884632E-2</v>
      </c>
      <c r="Z17" s="37">
        <v>2.3054147604909148E-2</v>
      </c>
      <c r="AA17" s="37">
        <v>-1.2670039865378742E-2</v>
      </c>
      <c r="AB17" s="37">
        <v>6.6726907166869386E-5</v>
      </c>
      <c r="AC17" s="37">
        <v>3.7038443466350046E-2</v>
      </c>
      <c r="AD17" s="37">
        <v>3.7115026079941417E-2</v>
      </c>
      <c r="AE17" s="37">
        <v>3.7540334659763482E-2</v>
      </c>
      <c r="AF17" s="37">
        <v>3.2713098034969419E-2</v>
      </c>
      <c r="AG17" s="37">
        <v>1.6620862115330804E-2</v>
      </c>
      <c r="AH17" s="37">
        <v>1.8757824331241655E-2</v>
      </c>
      <c r="AI17" s="37">
        <v>3.337300905775592E-2</v>
      </c>
      <c r="AJ17" s="37">
        <v>3.3380207949982921E-2</v>
      </c>
      <c r="AK17" s="37">
        <v>1.3295728947551519E-3</v>
      </c>
      <c r="AL17" s="37">
        <v>1.3656974565621677E-2</v>
      </c>
      <c r="AM17" s="37">
        <v>-4.9141260846028503E-3</v>
      </c>
      <c r="AN17" s="37">
        <v>3.4415744428852105E-2</v>
      </c>
      <c r="AO17" s="37">
        <v>8.7040754956699117E-3</v>
      </c>
      <c r="AP17" s="37">
        <v>1.1734192792400355E-2</v>
      </c>
      <c r="AQ17" s="37">
        <v>3.3148809430190884E-2</v>
      </c>
      <c r="AR17" s="37">
        <v>3.2615402783397675E-2</v>
      </c>
      <c r="AS17" s="37">
        <v>-1.7924690193405306E-2</v>
      </c>
      <c r="AT17" s="37">
        <v>9.4400582100654358E-5</v>
      </c>
      <c r="AU17" s="37">
        <v>4.7556522838643214E-2</v>
      </c>
      <c r="AV17" s="37">
        <v>2.5225304336537229E-2</v>
      </c>
      <c r="AW17" s="37">
        <v>3.3634456530489118E-2</v>
      </c>
      <c r="AX17" s="37">
        <v>-1.0475110060011322E-2</v>
      </c>
      <c r="AY17" s="37">
        <v>5.2687287507192809E-5</v>
      </c>
      <c r="AZ17" s="37">
        <v>3.622595154389309E-2</v>
      </c>
      <c r="BA17" s="37">
        <v>2.4319924360360189E-2</v>
      </c>
      <c r="BB17" s="37">
        <v>2.2852064982206065E-2</v>
      </c>
      <c r="BC17" s="37">
        <v>4.4978632709290561E-2</v>
      </c>
      <c r="BD17" s="37">
        <v>0</v>
      </c>
      <c r="BE17" s="37">
        <v>0</v>
      </c>
      <c r="BF17" s="37">
        <v>4.3316388819823484E-2</v>
      </c>
    </row>
    <row r="18" spans="1:58" x14ac:dyDescent="0.3">
      <c r="A18" s="34" t="s">
        <v>17</v>
      </c>
      <c r="B18" s="39" t="s">
        <v>8</v>
      </c>
      <c r="C18" s="40" t="s">
        <v>432</v>
      </c>
      <c r="D18" s="36">
        <v>2.1319983936192304</v>
      </c>
      <c r="E18" s="37">
        <v>2.9691523712676324</v>
      </c>
      <c r="F18" s="37">
        <v>2.5319568369375349</v>
      </c>
      <c r="G18" s="37">
        <v>1.9193897315598174</v>
      </c>
      <c r="H18" s="37">
        <v>3.3076494871045439</v>
      </c>
      <c r="I18" s="38">
        <v>1.7751629462550376</v>
      </c>
      <c r="J18" s="36">
        <v>2.7798782523425181</v>
      </c>
      <c r="K18" s="37">
        <v>2.4007145189964358</v>
      </c>
      <c r="L18" s="37">
        <v>6.6959967945137082</v>
      </c>
      <c r="M18" s="37">
        <v>9.8521506442201776</v>
      </c>
      <c r="N18" s="37">
        <v>10.574527502804825</v>
      </c>
      <c r="O18" s="37">
        <v>19.434121120775327</v>
      </c>
      <c r="P18" s="37">
        <v>9.4529554642681486</v>
      </c>
      <c r="Q18" s="37">
        <v>1.5871223803287327</v>
      </c>
      <c r="R18" s="37">
        <v>11.585839223711639</v>
      </c>
      <c r="S18" s="37">
        <v>6.4627668068043658</v>
      </c>
      <c r="T18" s="37">
        <v>0.14520869191070487</v>
      </c>
      <c r="U18" s="37">
        <v>5.9574516382852476</v>
      </c>
      <c r="V18" s="37">
        <v>15.863447887717674</v>
      </c>
      <c r="W18" s="37">
        <v>6.1001158625722631</v>
      </c>
      <c r="X18" s="37">
        <v>8.7895027410635844</v>
      </c>
      <c r="Y18" s="37">
        <v>6.7979392464580046</v>
      </c>
      <c r="Z18" s="37">
        <v>5.4725338151845273</v>
      </c>
      <c r="AA18" s="37">
        <v>9.0459163717112769</v>
      </c>
      <c r="AB18" s="37">
        <v>5.7036308150262141</v>
      </c>
      <c r="AC18" s="37">
        <v>34.209214079180811</v>
      </c>
      <c r="AD18" s="37">
        <v>32.170288822722291</v>
      </c>
      <c r="AE18" s="37">
        <v>31.895087230577811</v>
      </c>
      <c r="AF18" s="37">
        <v>54.922397852018257</v>
      </c>
      <c r="AG18" s="37">
        <v>4.4579239565945645</v>
      </c>
      <c r="AH18" s="37">
        <v>6.8510706801635521</v>
      </c>
      <c r="AI18" s="37">
        <v>6.444194822789882</v>
      </c>
      <c r="AJ18" s="37">
        <v>5.2616576155739185</v>
      </c>
      <c r="AK18" s="37">
        <v>8.445266395101525</v>
      </c>
      <c r="AL18" s="37">
        <v>5.4625840168080835</v>
      </c>
      <c r="AM18" s="37">
        <v>32.227554250215974</v>
      </c>
      <c r="AN18" s="37">
        <v>8.5431900008555921</v>
      </c>
      <c r="AO18" s="37">
        <v>8.6300191745463462</v>
      </c>
      <c r="AP18" s="37">
        <v>12.434776469658873</v>
      </c>
      <c r="AQ18" s="37">
        <v>9.6172511089970705</v>
      </c>
      <c r="AR18" s="37">
        <v>7.7421597921061247</v>
      </c>
      <c r="AS18" s="37">
        <v>12.797532620354595</v>
      </c>
      <c r="AT18" s="37">
        <v>8.0690997363210393</v>
      </c>
      <c r="AU18" s="37">
        <v>11.805190244554252</v>
      </c>
      <c r="AV18" s="37">
        <v>17.78882739415749</v>
      </c>
      <c r="AW18" s="37">
        <v>8.3492470520147553</v>
      </c>
      <c r="AX18" s="37">
        <v>7.478821739642675</v>
      </c>
      <c r="AY18" s="37">
        <v>4.503563095389147</v>
      </c>
      <c r="AZ18" s="37">
        <v>9.2033272438981566</v>
      </c>
      <c r="BA18" s="37">
        <v>7.05578340657926</v>
      </c>
      <c r="BB18" s="37">
        <v>5.4245639658907585</v>
      </c>
      <c r="BC18" s="37">
        <v>11.165267861880853</v>
      </c>
      <c r="BD18" s="37">
        <v>0</v>
      </c>
      <c r="BE18" s="37">
        <v>0</v>
      </c>
      <c r="BF18" s="37">
        <v>16.90472148961538</v>
      </c>
    </row>
    <row r="19" spans="1:58" x14ac:dyDescent="0.3">
      <c r="A19" s="34" t="s">
        <v>17</v>
      </c>
      <c r="B19" s="39" t="s">
        <v>162</v>
      </c>
      <c r="C19" s="40" t="s">
        <v>432</v>
      </c>
      <c r="D19" s="36">
        <v>2.14442551320173</v>
      </c>
      <c r="E19" s="37">
        <v>2.9855630705092797</v>
      </c>
      <c r="F19" s="37">
        <v>2.5484931867271987</v>
      </c>
      <c r="G19" s="37">
        <v>1.932091303344645</v>
      </c>
      <c r="H19" s="37">
        <v>3.3253231319123433</v>
      </c>
      <c r="I19" s="38">
        <v>1.7830693047353443</v>
      </c>
      <c r="J19" s="36">
        <v>2.7966924734861123</v>
      </c>
      <c r="K19" s="37">
        <v>2.4074930573507216</v>
      </c>
      <c r="L19" s="37">
        <v>6.7691945802523508</v>
      </c>
      <c r="M19" s="37">
        <v>9.9070405264800687</v>
      </c>
      <c r="N19" s="37">
        <v>10.833519753054127</v>
      </c>
      <c r="O19" s="37">
        <v>19.932834995652158</v>
      </c>
      <c r="P19" s="37">
        <v>9.5900463248549848</v>
      </c>
      <c r="Q19" s="37">
        <v>1.5896188986654676</v>
      </c>
      <c r="R19" s="37">
        <v>11.728995266935323</v>
      </c>
      <c r="S19" s="37">
        <v>6.4743579923943724</v>
      </c>
      <c r="T19" s="37">
        <v>0.14539230691060262</v>
      </c>
      <c r="U19" s="37">
        <v>5.9722460669420228</v>
      </c>
      <c r="V19" s="37">
        <v>15.973174041400096</v>
      </c>
      <c r="W19" s="37">
        <v>6.1356725822762588</v>
      </c>
      <c r="X19" s="37">
        <v>8.8380828972600298</v>
      </c>
      <c r="Y19" s="37">
        <v>6.8423369627177655</v>
      </c>
      <c r="Z19" s="37">
        <v>5.5087483368918901</v>
      </c>
      <c r="AA19" s="37">
        <v>9.0942510920430344</v>
      </c>
      <c r="AB19" s="37">
        <v>5.7290340885443189</v>
      </c>
      <c r="AC19" s="37">
        <v>34.456030082707777</v>
      </c>
      <c r="AD19" s="37">
        <v>32.414310021609566</v>
      </c>
      <c r="AE19" s="37">
        <v>32.140012178192499</v>
      </c>
      <c r="AF19" s="37">
        <v>55.186717334662291</v>
      </c>
      <c r="AG19" s="37">
        <v>4.8256389770066246</v>
      </c>
      <c r="AH19" s="37">
        <v>7.2309924845208453</v>
      </c>
      <c r="AI19" s="37">
        <v>6.8222278326479184</v>
      </c>
      <c r="AJ19" s="37">
        <v>5.6332040936230481</v>
      </c>
      <c r="AK19" s="37">
        <v>8.8269976277200737</v>
      </c>
      <c r="AL19" s="37">
        <v>5.8260445701954486</v>
      </c>
      <c r="AM19" s="37">
        <v>32.579546320157846</v>
      </c>
      <c r="AN19" s="37">
        <v>11.990867541992401</v>
      </c>
      <c r="AO19" s="37">
        <v>8.68032234578809</v>
      </c>
      <c r="AP19" s="37">
        <v>12.503504292035185</v>
      </c>
      <c r="AQ19" s="37">
        <v>9.6800619065720248</v>
      </c>
      <c r="AR19" s="37">
        <v>7.7933935758198301</v>
      </c>
      <c r="AS19" s="37">
        <v>12.865913217159115</v>
      </c>
      <c r="AT19" s="37">
        <v>8.1050385188780378</v>
      </c>
      <c r="AU19" s="37">
        <v>16.569275939818073</v>
      </c>
      <c r="AV19" s="37">
        <v>17.894809780536313</v>
      </c>
      <c r="AW19" s="37">
        <v>11.718657254029591</v>
      </c>
      <c r="AX19" s="37">
        <v>7.518783059462872</v>
      </c>
      <c r="AY19" s="37">
        <v>4.5236214141738786</v>
      </c>
      <c r="AZ19" s="37">
        <v>9.266985895327613</v>
      </c>
      <c r="BA19" s="37">
        <v>7.1018651172739906</v>
      </c>
      <c r="BB19" s="37">
        <v>5.4604610468645927</v>
      </c>
      <c r="BC19" s="37">
        <v>15.671107395395621</v>
      </c>
      <c r="BD19" s="144">
        <v>0</v>
      </c>
      <c r="BE19" s="144">
        <v>0</v>
      </c>
      <c r="BF19" s="144">
        <v>20.952958040141944</v>
      </c>
    </row>
    <row r="20" spans="1:58" x14ac:dyDescent="0.3">
      <c r="A20" s="34" t="s">
        <v>17</v>
      </c>
      <c r="B20" s="39" t="s">
        <v>163</v>
      </c>
      <c r="C20" s="40" t="s">
        <v>433</v>
      </c>
      <c r="D20" s="36">
        <v>2.8092193510569232</v>
      </c>
      <c r="E20" s="37">
        <v>3.8481886494152153</v>
      </c>
      <c r="F20" s="37">
        <v>5.0153282561508323</v>
      </c>
      <c r="G20" s="37">
        <v>4.1960259316712287</v>
      </c>
      <c r="H20" s="37">
        <v>2.2698765493312765</v>
      </c>
      <c r="I20" s="38">
        <v>1.8536914060507441</v>
      </c>
      <c r="J20" s="36">
        <v>4.0005961436560034</v>
      </c>
      <c r="K20" s="37">
        <v>2.5008620121580725</v>
      </c>
      <c r="L20" s="37">
        <v>12.992734388636801</v>
      </c>
      <c r="M20" s="37">
        <v>24.420350198564368</v>
      </c>
      <c r="N20" s="37">
        <v>21.757091296602987</v>
      </c>
      <c r="O20" s="37">
        <v>46.051822897390878</v>
      </c>
      <c r="P20" s="37">
        <v>28.019007658410949</v>
      </c>
      <c r="Q20" s="37">
        <v>1.688905677340204</v>
      </c>
      <c r="R20" s="37">
        <v>20.061844821101406</v>
      </c>
      <c r="S20" s="37">
        <v>7.0508016266986155</v>
      </c>
      <c r="T20" s="37">
        <v>0.15146379372568047</v>
      </c>
      <c r="U20" s="37">
        <v>6.449934927210669</v>
      </c>
      <c r="V20" s="37">
        <v>33.478667438560116</v>
      </c>
      <c r="W20" s="37">
        <v>8.0377938257902102</v>
      </c>
      <c r="X20" s="37">
        <v>11.391690439828903</v>
      </c>
      <c r="Y20" s="37">
        <v>13.465433647595251</v>
      </c>
      <c r="Z20" s="37">
        <v>11.963643142865447</v>
      </c>
      <c r="AA20" s="37">
        <v>6.2077658226517833</v>
      </c>
      <c r="AB20" s="37">
        <v>5.9559441838311695</v>
      </c>
      <c r="AC20" s="37">
        <v>47.080948494022792</v>
      </c>
      <c r="AD20" s="37">
        <v>44.95128031379268</v>
      </c>
      <c r="AE20" s="37">
        <v>44.76312343135163</v>
      </c>
      <c r="AF20" s="37">
        <v>67.867598062217965</v>
      </c>
      <c r="AG20" s="37">
        <v>9.7140282913037108</v>
      </c>
      <c r="AH20" s="37">
        <v>12.771520411675539</v>
      </c>
      <c r="AI20" s="37">
        <v>16.336115725446433</v>
      </c>
      <c r="AJ20" s="37">
        <v>15.104812145843805</v>
      </c>
      <c r="AK20" s="37">
        <v>9.9053419175860942</v>
      </c>
      <c r="AL20" s="37">
        <v>9.9857635118861374</v>
      </c>
      <c r="AM20" s="37">
        <v>-13.066660671339569</v>
      </c>
      <c r="AN20" s="37">
        <v>23.792123993107147</v>
      </c>
      <c r="AO20" s="37">
        <v>11.371311037421794</v>
      </c>
      <c r="AP20" s="37">
        <v>16.116170436927526</v>
      </c>
      <c r="AQ20" s="37">
        <v>19.049957933639487</v>
      </c>
      <c r="AR20" s="37">
        <v>16.925329296421321</v>
      </c>
      <c r="AS20" s="37">
        <v>8.782314842457426</v>
      </c>
      <c r="AT20" s="37">
        <v>8.4260551220607063</v>
      </c>
      <c r="AU20" s="37">
        <v>32.876542606745808</v>
      </c>
      <c r="AV20" s="37">
        <v>25.485544172439678</v>
      </c>
      <c r="AW20" s="37">
        <v>23.25200786716966</v>
      </c>
      <c r="AX20" s="37">
        <v>5.1323461417625387</v>
      </c>
      <c r="AY20" s="37">
        <v>4.702788678719279</v>
      </c>
      <c r="AZ20" s="37">
        <v>19.422961156210281</v>
      </c>
      <c r="BA20" s="37">
        <v>13.976174227005654</v>
      </c>
      <c r="BB20" s="37">
        <v>11.858775054709406</v>
      </c>
      <c r="BC20" s="37">
        <v>31.094408219824142</v>
      </c>
      <c r="BD20" s="145">
        <v>0</v>
      </c>
      <c r="BE20" s="145">
        <v>0</v>
      </c>
      <c r="BF20" s="145">
        <v>36.753983071879162</v>
      </c>
    </row>
    <row r="21" spans="1:58" x14ac:dyDescent="0.3">
      <c r="A21" s="34" t="s">
        <v>17</v>
      </c>
      <c r="B21" s="39" t="s">
        <v>164</v>
      </c>
      <c r="C21" s="40" t="s">
        <v>432</v>
      </c>
      <c r="D21" s="36">
        <v>6.1717578863233611E-5</v>
      </c>
      <c r="E21" s="37">
        <v>7.7838811385980453E-5</v>
      </c>
      <c r="F21" s="37">
        <v>5.9345462349855601E-5</v>
      </c>
      <c r="G21" s="37">
        <v>4.294453312906991E-5</v>
      </c>
      <c r="H21" s="37">
        <v>8.8463586096265457E-5</v>
      </c>
      <c r="I21" s="38">
        <v>5.8479479504988105E-5</v>
      </c>
      <c r="J21" s="36">
        <v>0</v>
      </c>
      <c r="K21" s="37">
        <v>0</v>
      </c>
      <c r="L21" s="37">
        <v>1.5601477357332695E-4</v>
      </c>
      <c r="M21" s="37">
        <v>3.1347695275070605E-4</v>
      </c>
      <c r="N21" s="37">
        <v>1.8222592887175387E-4</v>
      </c>
      <c r="O21" s="37">
        <v>4.2283825290427573E-4</v>
      </c>
      <c r="P21" s="37">
        <v>2.0077335546890213E-4</v>
      </c>
      <c r="Q21" s="37">
        <v>2.3750443100774105E-5</v>
      </c>
      <c r="R21" s="37">
        <v>2.7531075360374431E-4</v>
      </c>
      <c r="S21" s="37">
        <v>0</v>
      </c>
      <c r="T21" s="37">
        <v>0</v>
      </c>
      <c r="U21" s="37">
        <v>0</v>
      </c>
      <c r="V21" s="37">
        <v>3.3784601579144881E-4</v>
      </c>
      <c r="W21" s="37">
        <v>1.765875541698017E-4</v>
      </c>
      <c r="X21" s="37">
        <v>2.3042416167618688E-4</v>
      </c>
      <c r="Y21" s="37">
        <v>1.59334014593722E-4</v>
      </c>
      <c r="Z21" s="37">
        <v>1.2244277744216067E-4</v>
      </c>
      <c r="AA21" s="37">
        <v>2.4193440232659242E-4</v>
      </c>
      <c r="AB21" s="37">
        <v>1.8789563068280924E-4</v>
      </c>
      <c r="AC21" s="37">
        <v>1.3132230154810791E-2</v>
      </c>
      <c r="AD21" s="37">
        <v>1.3130712145666617E-2</v>
      </c>
      <c r="AE21" s="37">
        <v>1.8563619699669598E-4</v>
      </c>
      <c r="AF21" s="37">
        <v>1.3153314758903974E-2</v>
      </c>
      <c r="AG21" s="37">
        <v>1.2894809694138277E-2</v>
      </c>
      <c r="AH21" s="37">
        <v>1.2942748757764584E-2</v>
      </c>
      <c r="AI21" s="37">
        <v>1.2896217612404202E-2</v>
      </c>
      <c r="AJ21" s="37">
        <v>1.2863367634536407E-2</v>
      </c>
      <c r="AK21" s="37">
        <v>1.2969769521160971E-2</v>
      </c>
      <c r="AL21" s="37">
        <v>1.2921650439515424E-2</v>
      </c>
      <c r="AM21" s="37">
        <v>1.188842318760557E-2</v>
      </c>
      <c r="AN21" s="37">
        <v>0</v>
      </c>
      <c r="AO21" s="37">
        <v>2.4982377594202253E-4</v>
      </c>
      <c r="AP21" s="37">
        <v>3.2598805962772863E-4</v>
      </c>
      <c r="AQ21" s="37">
        <v>2.2541466950456291E-4</v>
      </c>
      <c r="AR21" s="37">
        <v>1.7322351589974246E-4</v>
      </c>
      <c r="AS21" s="37">
        <v>3.4227194664799199E-4</v>
      </c>
      <c r="AT21" s="37">
        <v>2.6582165521727645E-4</v>
      </c>
      <c r="AU21" s="37">
        <v>0</v>
      </c>
      <c r="AV21" s="37">
        <v>0</v>
      </c>
      <c r="AW21" s="37">
        <v>0</v>
      </c>
      <c r="AX21" s="37">
        <v>0</v>
      </c>
      <c r="AY21" s="37">
        <v>0</v>
      </c>
      <c r="AZ21" s="37">
        <v>0</v>
      </c>
      <c r="BA21" s="37">
        <v>0</v>
      </c>
      <c r="BB21" s="37">
        <v>0</v>
      </c>
      <c r="BC21" s="37">
        <v>0</v>
      </c>
      <c r="BD21" s="143">
        <v>0</v>
      </c>
      <c r="BE21" s="143">
        <v>0</v>
      </c>
      <c r="BF21" s="143">
        <v>7.9498442330530746E-4</v>
      </c>
    </row>
    <row r="22" spans="1:58" x14ac:dyDescent="0.3">
      <c r="A22" s="34" t="s">
        <v>17</v>
      </c>
      <c r="B22" s="39" t="s">
        <v>165</v>
      </c>
      <c r="C22" s="40" t="s">
        <v>432</v>
      </c>
      <c r="D22" s="36">
        <v>1.2890760275331305E-4</v>
      </c>
      <c r="E22" s="37">
        <v>1.4111365409477786E-4</v>
      </c>
      <c r="F22" s="37">
        <v>1.5963158311146886E-4</v>
      </c>
      <c r="G22" s="37">
        <v>1.1621812619813833E-4</v>
      </c>
      <c r="H22" s="37">
        <v>1.8826402516565992E-4</v>
      </c>
      <c r="I22" s="38">
        <v>1.5385286670223573E-4</v>
      </c>
      <c r="J22" s="36">
        <v>0</v>
      </c>
      <c r="K22" s="37">
        <v>0</v>
      </c>
      <c r="L22" s="37">
        <v>3.82330380173594E-4</v>
      </c>
      <c r="M22" s="37">
        <v>6.6155982654966111E-4</v>
      </c>
      <c r="N22" s="37">
        <v>5.5389322435941133E-4</v>
      </c>
      <c r="O22" s="37">
        <v>9.0085694799219268E-4</v>
      </c>
      <c r="P22" s="37">
        <v>4.2587222218339331E-4</v>
      </c>
      <c r="Q22" s="37">
        <v>1.8135988520180405E-4</v>
      </c>
      <c r="R22" s="37">
        <v>5.6476967798731301E-4</v>
      </c>
      <c r="S22" s="37">
        <v>0</v>
      </c>
      <c r="T22" s="37">
        <v>0</v>
      </c>
      <c r="U22" s="37">
        <v>0</v>
      </c>
      <c r="V22" s="37">
        <v>7.0585650136075937E-4</v>
      </c>
      <c r="W22" s="37">
        <v>3.6883297600743371E-4</v>
      </c>
      <c r="X22" s="37">
        <v>4.1773499449542038E-4</v>
      </c>
      <c r="Y22" s="37">
        <v>4.2858779738133774E-4</v>
      </c>
      <c r="Z22" s="37">
        <v>3.3135929358121276E-4</v>
      </c>
      <c r="AA22" s="37">
        <v>5.1487336674875431E-4</v>
      </c>
      <c r="AB22" s="37">
        <v>4.9433205743407789E-4</v>
      </c>
      <c r="AC22" s="37">
        <v>1.6818476083999361E-3</v>
      </c>
      <c r="AD22" s="37">
        <v>1.686255198942195E-3</v>
      </c>
      <c r="AE22" s="37">
        <v>3.6374795923698844E-4</v>
      </c>
      <c r="AF22" s="37">
        <v>1.7517800600601935E-3</v>
      </c>
      <c r="AG22" s="37">
        <v>1.0363293153228618E-4</v>
      </c>
      <c r="AH22" s="37">
        <v>1.4717796685926742E-4</v>
      </c>
      <c r="AI22" s="37">
        <v>2.2542378309442157E-4</v>
      </c>
      <c r="AJ22" s="37">
        <v>1.3884619869867609E-4</v>
      </c>
      <c r="AK22" s="37">
        <v>3.0225717939351052E-4</v>
      </c>
      <c r="AL22" s="37">
        <v>2.8396607265750173E-4</v>
      </c>
      <c r="AM22" s="37">
        <v>-3.4779773501946564E-3</v>
      </c>
      <c r="AN22" s="37">
        <v>0</v>
      </c>
      <c r="AO22" s="37">
        <v>5.217992128114992E-4</v>
      </c>
      <c r="AP22" s="37">
        <v>5.9098238354678221E-4</v>
      </c>
      <c r="AQ22" s="37">
        <v>6.0633617339488912E-4</v>
      </c>
      <c r="AR22" s="37">
        <v>4.687840561874447E-4</v>
      </c>
      <c r="AS22" s="37">
        <v>7.2840698891763823E-4</v>
      </c>
      <c r="AT22" s="37">
        <v>6.9934657477966895E-4</v>
      </c>
      <c r="AU22" s="37">
        <v>0</v>
      </c>
      <c r="AV22" s="37">
        <v>0</v>
      </c>
      <c r="AW22" s="37">
        <v>0</v>
      </c>
      <c r="AX22" s="37">
        <v>0</v>
      </c>
      <c r="AY22" s="37">
        <v>0</v>
      </c>
      <c r="AZ22" s="37">
        <v>0</v>
      </c>
      <c r="BA22" s="37">
        <v>0</v>
      </c>
      <c r="BB22" s="37">
        <v>0</v>
      </c>
      <c r="BC22" s="37">
        <v>0</v>
      </c>
      <c r="BD22" s="37">
        <v>0</v>
      </c>
      <c r="BE22" s="37">
        <v>0</v>
      </c>
      <c r="BF22" s="37">
        <v>3.7652427901291889E-3</v>
      </c>
    </row>
    <row r="23" spans="1:58" x14ac:dyDescent="0.3">
      <c r="A23" s="34" t="s">
        <v>17</v>
      </c>
      <c r="B23" s="39" t="s">
        <v>166</v>
      </c>
      <c r="C23" s="40" t="s">
        <v>432</v>
      </c>
      <c r="D23" s="36">
        <v>1.5142294303902696E-4</v>
      </c>
      <c r="E23" s="37">
        <v>1.7421029363114411E-4</v>
      </c>
      <c r="F23" s="37">
        <v>2.6775275571603961E-4</v>
      </c>
      <c r="G23" s="37">
        <v>1.9357446153394844E-4</v>
      </c>
      <c r="H23" s="37">
        <v>2.9553856782746525E-4</v>
      </c>
      <c r="I23" s="38">
        <v>1.2975132201844348E-4</v>
      </c>
      <c r="J23" s="36">
        <v>7.3712179076209009E-5</v>
      </c>
      <c r="K23" s="37">
        <v>9.076333138477006E-5</v>
      </c>
      <c r="L23" s="37">
        <v>8.0404222158301706E-4</v>
      </c>
      <c r="M23" s="37">
        <v>3.2301531400744238E-3</v>
      </c>
      <c r="N23" s="37">
        <v>1.1227009760205458E-3</v>
      </c>
      <c r="O23" s="37">
        <v>1.8189918291055601E-3</v>
      </c>
      <c r="P23" s="37">
        <v>8.7569557598557175E-4</v>
      </c>
      <c r="Q23" s="37">
        <v>3.1584148476008871E-4</v>
      </c>
      <c r="R23" s="37">
        <v>1.013262615777318E-3</v>
      </c>
      <c r="S23" s="37">
        <v>6.691981492987113E-5</v>
      </c>
      <c r="T23" s="37">
        <v>3.1745060138670445E-6</v>
      </c>
      <c r="U23" s="37">
        <v>9.757273020161969E-5</v>
      </c>
      <c r="V23" s="37">
        <v>1.4326529139019042E-3</v>
      </c>
      <c r="W23" s="37">
        <v>4.3325431180166012E-4</v>
      </c>
      <c r="X23" s="37">
        <v>5.1571009565221549E-4</v>
      </c>
      <c r="Y23" s="37">
        <v>7.1887756531856435E-4</v>
      </c>
      <c r="Z23" s="37">
        <v>5.5191646025936605E-4</v>
      </c>
      <c r="AA23" s="37">
        <v>8.0825286343228354E-4</v>
      </c>
      <c r="AB23" s="37">
        <v>4.1689335624993374E-4</v>
      </c>
      <c r="AC23" s="37">
        <v>2.9367167992808163E-3</v>
      </c>
      <c r="AD23" s="37">
        <v>2.9670473849496095E-3</v>
      </c>
      <c r="AE23" s="37">
        <v>7.7303253187261387E-4</v>
      </c>
      <c r="AF23" s="37">
        <v>2.7855429258260077E-3</v>
      </c>
      <c r="AG23" s="37">
        <v>-1.475050072441075E-4</v>
      </c>
      <c r="AH23" s="37">
        <v>-7.4081861703225048E-5</v>
      </c>
      <c r="AI23" s="37">
        <v>2.1945369675760681E-4</v>
      </c>
      <c r="AJ23" s="37">
        <v>7.0782385371540805E-5</v>
      </c>
      <c r="AK23" s="37">
        <v>2.9903835673800129E-4</v>
      </c>
      <c r="AL23" s="37">
        <v>-4.9449580830299812E-5</v>
      </c>
      <c r="AM23" s="37">
        <v>-3.5964792673507167E-3</v>
      </c>
      <c r="AN23" s="37">
        <v>3.0720213832369778E-4</v>
      </c>
      <c r="AO23" s="37">
        <v>6.1293803306984574E-4</v>
      </c>
      <c r="AP23" s="37">
        <v>7.2959073470926685E-4</v>
      </c>
      <c r="AQ23" s="37">
        <v>1.0170179243504346E-3</v>
      </c>
      <c r="AR23" s="37">
        <v>7.8081297832556572E-4</v>
      </c>
      <c r="AS23" s="37">
        <v>1.1434598729672845E-3</v>
      </c>
      <c r="AT23" s="37">
        <v>5.8979169235989066E-4</v>
      </c>
      <c r="AU23" s="37">
        <v>4.2449947690288107E-4</v>
      </c>
      <c r="AV23" s="37">
        <v>5.3129829761338796E-4</v>
      </c>
      <c r="AW23" s="37">
        <v>3.0022819901171454E-4</v>
      </c>
      <c r="AX23" s="37">
        <v>2.0002221923540552E-4</v>
      </c>
      <c r="AY23" s="37">
        <v>1.4836160606655242E-4</v>
      </c>
      <c r="AZ23" s="37">
        <v>4.9787445905199931E-6</v>
      </c>
      <c r="BA23" s="37">
        <v>1.6537751449600073E-4</v>
      </c>
      <c r="BB23" s="37">
        <v>1.2136949735301558E-4</v>
      </c>
      <c r="BC23" s="37">
        <v>4.0148869003067336E-4</v>
      </c>
      <c r="BD23" s="37">
        <v>0</v>
      </c>
      <c r="BE23" s="37">
        <v>0</v>
      </c>
      <c r="BF23" s="37">
        <v>7.2639287559190116E-3</v>
      </c>
    </row>
    <row r="24" spans="1:58" x14ac:dyDescent="0.3">
      <c r="A24" s="34" t="s">
        <v>17</v>
      </c>
      <c r="B24" s="39" t="s">
        <v>167</v>
      </c>
      <c r="C24" s="40" t="s">
        <v>432</v>
      </c>
      <c r="D24" s="36">
        <v>1.5553570756451604E-5</v>
      </c>
      <c r="E24" s="37">
        <v>1.8545260722681796E-5</v>
      </c>
      <c r="F24" s="37">
        <v>2.2139006419472277E-5</v>
      </c>
      <c r="G24" s="37">
        <v>1.5576587817197821E-5</v>
      </c>
      <c r="H24" s="37">
        <v>2.850411457058231E-5</v>
      </c>
      <c r="I24" s="38">
        <v>1.3659098855719196E-5</v>
      </c>
      <c r="J24" s="36">
        <v>1.5109560585392192E-4</v>
      </c>
      <c r="K24" s="37">
        <v>1.9525883383395156E-4</v>
      </c>
      <c r="L24" s="37">
        <v>5.8567144202987906E-5</v>
      </c>
      <c r="M24" s="37">
        <v>2.9274372897831151E-4</v>
      </c>
      <c r="N24" s="37">
        <v>7.9189076189486893E-5</v>
      </c>
      <c r="O24" s="37">
        <v>1.390217753418942E-4</v>
      </c>
      <c r="P24" s="37">
        <v>6.7013117514539038E-5</v>
      </c>
      <c r="Q24" s="37">
        <v>3.1924574983796186E-5</v>
      </c>
      <c r="R24" s="37">
        <v>8.9036528993942095E-5</v>
      </c>
      <c r="S24" s="37">
        <v>4.384095381196966E-4</v>
      </c>
      <c r="T24" s="37">
        <v>5.7878273563535494E-6</v>
      </c>
      <c r="U24" s="37">
        <v>4.3958130045315626E-4</v>
      </c>
      <c r="V24" s="37">
        <v>1.2220212557930818E-4</v>
      </c>
      <c r="W24" s="37">
        <v>4.4502183479607059E-5</v>
      </c>
      <c r="X24" s="37">
        <v>5.4899041737679059E-5</v>
      </c>
      <c r="Y24" s="37">
        <v>5.9440041955276533E-5</v>
      </c>
      <c r="Z24" s="37">
        <v>4.4411722201687646E-5</v>
      </c>
      <c r="AA24" s="37">
        <v>7.7954401656046699E-5</v>
      </c>
      <c r="AB24" s="37">
        <v>4.3886932916960785E-5</v>
      </c>
      <c r="AC24" s="37">
        <v>1.6313726838043251E-4</v>
      </c>
      <c r="AD24" s="37">
        <v>1.7109390552625143E-4</v>
      </c>
      <c r="AE24" s="37">
        <v>6.7726179609209431E-5</v>
      </c>
      <c r="AF24" s="37">
        <v>9.2128900229547519E-5</v>
      </c>
      <c r="AG24" s="37">
        <v>-8.3794595624675427E-5</v>
      </c>
      <c r="AH24" s="37">
        <v>-7.4536663659176245E-5</v>
      </c>
      <c r="AI24" s="37">
        <v>-6.3948674412299937E-5</v>
      </c>
      <c r="AJ24" s="37">
        <v>-7.7330713330304134E-5</v>
      </c>
      <c r="AK24" s="37">
        <v>-4.7462474616180484E-5</v>
      </c>
      <c r="AL24" s="37">
        <v>-7.7798014448933142E-5</v>
      </c>
      <c r="AM24" s="37">
        <v>-2.3332709130384122E-4</v>
      </c>
      <c r="AN24" s="37">
        <v>3.0276190382968755E-4</v>
      </c>
      <c r="AO24" s="37">
        <v>6.2958590523597458E-5</v>
      </c>
      <c r="AP24" s="37">
        <v>7.766734165941067E-5</v>
      </c>
      <c r="AQ24" s="37">
        <v>8.4091632579839224E-5</v>
      </c>
      <c r="AR24" s="37">
        <v>6.2830612206367706E-5</v>
      </c>
      <c r="AS24" s="37">
        <v>1.1028445953947667E-4</v>
      </c>
      <c r="AT24" s="37">
        <v>6.2088176867134741E-5</v>
      </c>
      <c r="AU24" s="37">
        <v>4.1836385157709838E-4</v>
      </c>
      <c r="AV24" s="37">
        <v>1.2025715364563823E-3</v>
      </c>
      <c r="AW24" s="37">
        <v>2.9588876435608164E-4</v>
      </c>
      <c r="AX24" s="37">
        <v>4.2567783850461883E-4</v>
      </c>
      <c r="AY24" s="37">
        <v>3.9032253014392715E-4</v>
      </c>
      <c r="AZ24" s="37">
        <v>1.0402014745092044E-5</v>
      </c>
      <c r="BA24" s="37">
        <v>4.4484402690142197E-4</v>
      </c>
      <c r="BB24" s="37">
        <v>3.2845474225051544E-4</v>
      </c>
      <c r="BC24" s="37">
        <v>3.9568565773357795E-4</v>
      </c>
      <c r="BD24" s="37">
        <v>0</v>
      </c>
      <c r="BE24" s="37">
        <v>0</v>
      </c>
      <c r="BF24" s="37">
        <v>6.0824258705110331E-4</v>
      </c>
    </row>
    <row r="25" spans="1:58" x14ac:dyDescent="0.3">
      <c r="A25" s="34" t="s">
        <v>17</v>
      </c>
      <c r="B25" s="39" t="s">
        <v>168</v>
      </c>
      <c r="C25" s="40" t="s">
        <v>432</v>
      </c>
      <c r="D25" s="36">
        <v>1.1767167805501153E-5</v>
      </c>
      <c r="E25" s="37">
        <v>1.4399326666001694E-5</v>
      </c>
      <c r="F25" s="37">
        <v>1.8025680140393381E-5</v>
      </c>
      <c r="G25" s="37">
        <v>1.2737592460802582E-5</v>
      </c>
      <c r="H25" s="37">
        <v>2.3091692997389257E-5</v>
      </c>
      <c r="I25" s="38">
        <v>9.0349796132231834E-6</v>
      </c>
      <c r="J25" s="36">
        <v>2.164544499090018E-4</v>
      </c>
      <c r="K25" s="37">
        <v>1.7506995832533307E-4</v>
      </c>
      <c r="L25" s="37">
        <v>4.9494402379435148E-5</v>
      </c>
      <c r="M25" s="37">
        <v>2.6042370889708857E-4</v>
      </c>
      <c r="N25" s="37">
        <v>6.751042606835411E-5</v>
      </c>
      <c r="O25" s="37">
        <v>1.1884899264692848E-4</v>
      </c>
      <c r="P25" s="37">
        <v>5.7073252767782251E-5</v>
      </c>
      <c r="Q25" s="37">
        <v>2.5608949829166256E-5</v>
      </c>
      <c r="R25" s="37">
        <v>7.4634987027186197E-5</v>
      </c>
      <c r="S25" s="37">
        <v>6.92212951113214E-4</v>
      </c>
      <c r="T25" s="37">
        <v>1.9588898924921465E-5</v>
      </c>
      <c r="U25" s="37">
        <v>4.9763457591616193E-4</v>
      </c>
      <c r="V25" s="37">
        <v>1.0333758810809334E-4</v>
      </c>
      <c r="W25" s="37">
        <v>3.3668452660526335E-5</v>
      </c>
      <c r="X25" s="37">
        <v>4.2625943493178786E-5</v>
      </c>
      <c r="Y25" s="37">
        <v>4.8396353635589984E-5</v>
      </c>
      <c r="Z25" s="37">
        <v>3.6317223292183278E-5</v>
      </c>
      <c r="AA25" s="37">
        <v>6.3152254962320307E-5</v>
      </c>
      <c r="AB25" s="37">
        <v>2.9029553734110979E-5</v>
      </c>
      <c r="AC25" s="37">
        <v>1.4100764616933046E-4</v>
      </c>
      <c r="AD25" s="37">
        <v>1.4794368555485823E-4</v>
      </c>
      <c r="AE25" s="37">
        <v>5.7350825805184785E-5</v>
      </c>
      <c r="AF25" s="37">
        <v>7.9390855430208775E-5</v>
      </c>
      <c r="AG25" s="37">
        <v>-7.5776224531345394E-5</v>
      </c>
      <c r="AH25" s="37">
        <v>-6.7799984146814355E-5</v>
      </c>
      <c r="AI25" s="37">
        <v>-5.7146494064472309E-5</v>
      </c>
      <c r="AJ25" s="37">
        <v>-6.7902413222534696E-5</v>
      </c>
      <c r="AK25" s="37">
        <v>-4.4007031432438623E-5</v>
      </c>
      <c r="AL25" s="37">
        <v>-7.4391753298253297E-5</v>
      </c>
      <c r="AM25" s="37">
        <v>-2.1672234251157791E-4</v>
      </c>
      <c r="AN25" s="37">
        <v>6.1645307818924023E-4</v>
      </c>
      <c r="AO25" s="37">
        <v>4.7631782507673016E-5</v>
      </c>
      <c r="AP25" s="37">
        <v>6.0304216832390412E-5</v>
      </c>
      <c r="AQ25" s="37">
        <v>6.8467791311286713E-5</v>
      </c>
      <c r="AR25" s="37">
        <v>5.1379078764851924E-5</v>
      </c>
      <c r="AS25" s="37">
        <v>8.9343413062788809E-5</v>
      </c>
      <c r="AT25" s="37">
        <v>4.1068991310643897E-5</v>
      </c>
      <c r="AU25" s="37">
        <v>8.5183003821011111E-4</v>
      </c>
      <c r="AV25" s="37">
        <v>1.4534570360537102E-3</v>
      </c>
      <c r="AW25" s="37">
        <v>6.0245868876397169E-4</v>
      </c>
      <c r="AX25" s="37">
        <v>6.6823291723868469E-4</v>
      </c>
      <c r="AY25" s="37">
        <v>3.2917725477144038E-4</v>
      </c>
      <c r="AZ25" s="37">
        <v>2.1112615250093325E-5</v>
      </c>
      <c r="BA25" s="37">
        <v>7.4614441418841232E-4</v>
      </c>
      <c r="BB25" s="37">
        <v>5.4707860081153019E-4</v>
      </c>
      <c r="BC25" s="37">
        <v>8.0565500024868178E-4</v>
      </c>
      <c r="BD25" s="37">
        <v>0</v>
      </c>
      <c r="BE25" s="37">
        <v>0</v>
      </c>
      <c r="BF25" s="37">
        <v>4.8134126514616851E-4</v>
      </c>
    </row>
    <row r="26" spans="1:58" x14ac:dyDescent="0.3">
      <c r="A26" s="34" t="s">
        <v>17</v>
      </c>
      <c r="B26" s="39" t="s">
        <v>169</v>
      </c>
      <c r="C26" s="40" t="s">
        <v>432</v>
      </c>
      <c r="D26" s="36">
        <v>4.7333067110318586E-5</v>
      </c>
      <c r="E26" s="37">
        <v>5.7869078464106568E-5</v>
      </c>
      <c r="F26" s="37">
        <v>1.1953304269294965E-4</v>
      </c>
      <c r="G26" s="37">
        <v>8.4078446779949981E-5</v>
      </c>
      <c r="H26" s="37">
        <v>1.325631430582788E-4</v>
      </c>
      <c r="I26" s="38">
        <v>2.0511576142609672E-5</v>
      </c>
      <c r="J26" s="36">
        <v>2.0852342964417824E-5</v>
      </c>
      <c r="K26" s="37">
        <v>2.4217194370790817E-5</v>
      </c>
      <c r="L26" s="37">
        <v>3.2645340673674041E-4</v>
      </c>
      <c r="M26" s="37">
        <v>2.1552537725059236E-3</v>
      </c>
      <c r="N26" s="37">
        <v>5.1831944340118615E-4</v>
      </c>
      <c r="O26" s="37">
        <v>6.8587026419858357E-4</v>
      </c>
      <c r="P26" s="37">
        <v>3.5766247958232347E-4</v>
      </c>
      <c r="Q26" s="37">
        <v>2.4872809352489517E-4</v>
      </c>
      <c r="R26" s="37">
        <v>5.2791815096597707E-4</v>
      </c>
      <c r="S26" s="37">
        <v>5.1630215936596185E-5</v>
      </c>
      <c r="T26" s="37">
        <v>2.0979572525758494E-6</v>
      </c>
      <c r="U26" s="37">
        <v>3.2694927531917065E-5</v>
      </c>
      <c r="V26" s="37">
        <v>7.8256540381728065E-4</v>
      </c>
      <c r="W26" s="37">
        <v>1.354303053735882E-4</v>
      </c>
      <c r="X26" s="37">
        <v>1.713082927993798E-4</v>
      </c>
      <c r="Y26" s="37">
        <v>3.2092899464817746E-4</v>
      </c>
      <c r="Z26" s="37">
        <v>2.3972314510484777E-4</v>
      </c>
      <c r="AA26" s="37">
        <v>3.6253995798270238E-4</v>
      </c>
      <c r="AB26" s="37">
        <v>6.5904067003287397E-5</v>
      </c>
      <c r="AC26" s="37">
        <v>1.0226541963186749E-3</v>
      </c>
      <c r="AD26" s="37">
        <v>1.0746215272940162E-3</v>
      </c>
      <c r="AE26" s="37">
        <v>4.242486638055728E-4</v>
      </c>
      <c r="AF26" s="37">
        <v>5.6101844525805898E-4</v>
      </c>
      <c r="AG26" s="37">
        <v>-1.1802021418080737E-3</v>
      </c>
      <c r="AH26" s="37">
        <v>-1.1482544169856127E-3</v>
      </c>
      <c r="AI26" s="37">
        <v>-9.6343894467972567E-4</v>
      </c>
      <c r="AJ26" s="37">
        <v>-1.0357490802621761E-3</v>
      </c>
      <c r="AK26" s="37">
        <v>-9.2638626414800638E-4</v>
      </c>
      <c r="AL26" s="37">
        <v>-1.1905271064145153E-3</v>
      </c>
      <c r="AM26" s="37">
        <v>-1.1068714700649552E-3</v>
      </c>
      <c r="AN26" s="37">
        <v>6.7074383104490665E-5</v>
      </c>
      <c r="AO26" s="37">
        <v>1.9159736610246852E-4</v>
      </c>
      <c r="AP26" s="37">
        <v>2.4235504454730913E-4</v>
      </c>
      <c r="AQ26" s="37">
        <v>4.5402799551314991E-4</v>
      </c>
      <c r="AR26" s="37">
        <v>3.3914361389933108E-4</v>
      </c>
      <c r="AS26" s="37">
        <v>5.12896289089605E-4</v>
      </c>
      <c r="AT26" s="37">
        <v>9.3236485131141205E-5</v>
      </c>
      <c r="AU26" s="37">
        <v>9.2685033694126819E-5</v>
      </c>
      <c r="AV26" s="37">
        <v>1.2931996862113965E-4</v>
      </c>
      <c r="AW26" s="37">
        <v>6.5551696186645912E-5</v>
      </c>
      <c r="AX26" s="37">
        <v>6.4449752777870047E-5</v>
      </c>
      <c r="AY26" s="37">
        <v>3.4652939130271426E-5</v>
      </c>
      <c r="AZ26" s="37">
        <v>1.8008593952269574E-6</v>
      </c>
      <c r="BA26" s="37">
        <v>6.1694588096375982E-5</v>
      </c>
      <c r="BB26" s="37">
        <v>4.4022428376772307E-5</v>
      </c>
      <c r="BC26" s="37">
        <v>8.7660868359131872E-5</v>
      </c>
      <c r="BD26" s="37">
        <v>0</v>
      </c>
      <c r="BE26" s="37">
        <v>0</v>
      </c>
      <c r="BF26" s="37">
        <v>3.5827349806877057E-3</v>
      </c>
    </row>
    <row r="27" spans="1:58" x14ac:dyDescent="0.3">
      <c r="A27" s="34" t="s">
        <v>17</v>
      </c>
      <c r="B27" s="39" t="s">
        <v>170</v>
      </c>
      <c r="C27" s="40" t="s">
        <v>432</v>
      </c>
      <c r="D27" s="36">
        <v>1.41478337585246E-6</v>
      </c>
      <c r="E27" s="37">
        <v>1.7247259139012393E-6</v>
      </c>
      <c r="F27" s="37">
        <v>2.0106303678078958E-6</v>
      </c>
      <c r="G27" s="37">
        <v>1.4017610116753529E-6</v>
      </c>
      <c r="H27" s="37">
        <v>2.5380751593613024E-6</v>
      </c>
      <c r="I27" s="38">
        <v>1.0819316715627977E-6</v>
      </c>
      <c r="J27" s="36">
        <v>1.6510654441842372E-5</v>
      </c>
      <c r="K27" s="37">
        <v>1.3488419616138118E-5</v>
      </c>
      <c r="L27" s="37">
        <v>4.2102965262704844E-6</v>
      </c>
      <c r="M27" s="37">
        <v>3.5645178755390808E-5</v>
      </c>
      <c r="N27" s="37">
        <v>7.1448534533599132E-6</v>
      </c>
      <c r="O27" s="37">
        <v>1.4279466793936045E-5</v>
      </c>
      <c r="P27" s="37">
        <v>6.8447712736476325E-6</v>
      </c>
      <c r="Q27" s="37">
        <v>1.3163171234245668E-6</v>
      </c>
      <c r="R27" s="37">
        <v>6.7057770356185628E-6</v>
      </c>
      <c r="S27" s="37">
        <v>4.2170881955959292E-5</v>
      </c>
      <c r="T27" s="37">
        <v>1.81276911257073E-6</v>
      </c>
      <c r="U27" s="37">
        <v>2.3595162113664124E-5</v>
      </c>
      <c r="V27" s="37">
        <v>1.0834917855434831E-5</v>
      </c>
      <c r="W27" s="37">
        <v>4.0480061049626124E-6</v>
      </c>
      <c r="X27" s="37">
        <v>5.1056602195684005E-6</v>
      </c>
      <c r="Y27" s="37">
        <v>5.3982528011707939E-6</v>
      </c>
      <c r="Z27" s="37">
        <v>3.9966789501194997E-6</v>
      </c>
      <c r="AA27" s="37">
        <v>6.9412480754719241E-6</v>
      </c>
      <c r="AB27" s="37">
        <v>3.4762661279613126E-6</v>
      </c>
      <c r="AC27" s="37">
        <v>1.1773339057394344E-5</v>
      </c>
      <c r="AD27" s="37">
        <v>1.2140313553507076E-5</v>
      </c>
      <c r="AE27" s="37">
        <v>6.3935310944911997E-6</v>
      </c>
      <c r="AF27" s="37">
        <v>8.3236308115862564E-6</v>
      </c>
      <c r="AG27" s="37">
        <v>9.8226978944177988E-7</v>
      </c>
      <c r="AH27" s="37">
        <v>1.9240629343515394E-6</v>
      </c>
      <c r="AI27" s="37">
        <v>2.6391091850543368E-6</v>
      </c>
      <c r="AJ27" s="37">
        <v>1.391071072427251E-6</v>
      </c>
      <c r="AK27" s="37">
        <v>4.0130766777318396E-6</v>
      </c>
      <c r="AL27" s="37">
        <v>9.27666995741554E-7</v>
      </c>
      <c r="AM27" s="37">
        <v>-5.1667888860790201E-4</v>
      </c>
      <c r="AN27" s="37">
        <v>5.8624558769835963E-5</v>
      </c>
      <c r="AO27" s="37">
        <v>5.7268371767904581E-6</v>
      </c>
      <c r="AP27" s="37">
        <v>7.2231325742416324E-6</v>
      </c>
      <c r="AQ27" s="37">
        <v>7.6370721856269656E-6</v>
      </c>
      <c r="AR27" s="37">
        <v>5.6542230920008948E-6</v>
      </c>
      <c r="AS27" s="37">
        <v>9.8199944617684742E-6</v>
      </c>
      <c r="AT27" s="37">
        <v>4.9179792672793231E-6</v>
      </c>
      <c r="AU27" s="37">
        <v>8.1008858425442296E-5</v>
      </c>
      <c r="AV27" s="37">
        <v>9.6539634470589787E-5</v>
      </c>
      <c r="AW27" s="37">
        <v>5.7293695263209474E-5</v>
      </c>
      <c r="AX27" s="37">
        <v>5.221189738130523E-5</v>
      </c>
      <c r="AY27" s="37">
        <v>2.2921614514062401E-5</v>
      </c>
      <c r="AZ27" s="37">
        <v>1.5228578516318717E-6</v>
      </c>
      <c r="BA27" s="37">
        <v>5.0232015400675909E-5</v>
      </c>
      <c r="BB27" s="37">
        <v>3.5998882321267707E-5</v>
      </c>
      <c r="BC27" s="37">
        <v>7.6617621975426188E-5</v>
      </c>
      <c r="BD27" s="37">
        <v>0</v>
      </c>
      <c r="BE27" s="37">
        <v>0</v>
      </c>
      <c r="BF27" s="37">
        <v>6.7832831961314413E-5</v>
      </c>
    </row>
    <row r="28" spans="1:58" x14ac:dyDescent="0.3">
      <c r="A28" s="34" t="s">
        <v>17</v>
      </c>
      <c r="B28" s="39" t="s">
        <v>171</v>
      </c>
      <c r="C28" s="40" t="s">
        <v>432</v>
      </c>
      <c r="D28" s="36">
        <v>2.5651878793126248E-6</v>
      </c>
      <c r="E28" s="37">
        <v>3.1124351220343944E-6</v>
      </c>
      <c r="F28" s="37">
        <v>5.2617964014436557E-6</v>
      </c>
      <c r="G28" s="37">
        <v>3.7260701780768431E-6</v>
      </c>
      <c r="H28" s="37">
        <v>6.02374244013869E-6</v>
      </c>
      <c r="I28" s="38">
        <v>1.5292272971254925E-6</v>
      </c>
      <c r="J28" s="36">
        <v>8.1098194150092841E-5</v>
      </c>
      <c r="K28" s="37">
        <v>2.7962488345193308E-5</v>
      </c>
      <c r="L28" s="37">
        <v>1.4319366387765318E-5</v>
      </c>
      <c r="M28" s="37">
        <v>9.133428856209779E-5</v>
      </c>
      <c r="N28" s="37">
        <v>2.1035314876662841E-5</v>
      </c>
      <c r="O28" s="37">
        <v>3.3939292868569932E-5</v>
      </c>
      <c r="P28" s="37">
        <v>1.7025361547262124E-5</v>
      </c>
      <c r="Q28" s="37">
        <v>7.0969015632945452E-6</v>
      </c>
      <c r="R28" s="37">
        <v>1.9758933711726341E-5</v>
      </c>
      <c r="S28" s="37">
        <v>4.2369326990164964E-4</v>
      </c>
      <c r="T28" s="37">
        <v>1.5931839824385301E-5</v>
      </c>
      <c r="U28" s="37">
        <v>1.7086305648139781E-4</v>
      </c>
      <c r="V28" s="37">
        <v>3.0270785411222899E-5</v>
      </c>
      <c r="W28" s="37">
        <v>7.3395661647331092E-6</v>
      </c>
      <c r="X28" s="37">
        <v>9.2136588547068571E-6</v>
      </c>
      <c r="Y28" s="37">
        <v>1.4127165101088088E-5</v>
      </c>
      <c r="Z28" s="37">
        <v>1.062371268950423E-5</v>
      </c>
      <c r="AA28" s="37">
        <v>1.6474015935080958E-5</v>
      </c>
      <c r="AB28" s="37">
        <v>4.9134351037829153E-6</v>
      </c>
      <c r="AC28" s="37">
        <v>4.8319787421151716E-5</v>
      </c>
      <c r="AD28" s="37">
        <v>5.0829450424028863E-5</v>
      </c>
      <c r="AE28" s="37">
        <v>1.6983307327822018E-5</v>
      </c>
      <c r="AF28" s="37">
        <v>2.6586806005415109E-5</v>
      </c>
      <c r="AG28" s="37">
        <v>-1.9214267143665698E-5</v>
      </c>
      <c r="AH28" s="37">
        <v>-1.7545472379887352E-5</v>
      </c>
      <c r="AI28" s="37">
        <v>-1.1502929327139122E-5</v>
      </c>
      <c r="AJ28" s="37">
        <v>-1.4622595217132894E-5</v>
      </c>
      <c r="AK28" s="37">
        <v>-9.4131648218461581E-6</v>
      </c>
      <c r="AL28" s="37">
        <v>-1.9707339096533059E-5</v>
      </c>
      <c r="AM28" s="37">
        <v>-1.1138407585121121E-3</v>
      </c>
      <c r="AN28" s="37">
        <v>2.5798696699970723E-4</v>
      </c>
      <c r="AO28" s="37">
        <v>1.0383507159778638E-5</v>
      </c>
      <c r="AP28" s="37">
        <v>1.3034843005476927E-5</v>
      </c>
      <c r="AQ28" s="37">
        <v>1.9986129518032236E-5</v>
      </c>
      <c r="AR28" s="37">
        <v>1.5029688989650199E-5</v>
      </c>
      <c r="AS28" s="37">
        <v>2.3306290667990823E-5</v>
      </c>
      <c r="AT28" s="37">
        <v>6.9511858649608352E-6</v>
      </c>
      <c r="AU28" s="37">
        <v>3.5649274167402003E-4</v>
      </c>
      <c r="AV28" s="37">
        <v>4.7655771062678676E-4</v>
      </c>
      <c r="AW28" s="37">
        <v>2.5213028429249643E-4</v>
      </c>
      <c r="AX28" s="37">
        <v>2.9973433401720117E-4</v>
      </c>
      <c r="AY28" s="37">
        <v>5.2037576347005308E-5</v>
      </c>
      <c r="AZ28" s="37">
        <v>1.1532452918990429E-5</v>
      </c>
      <c r="BA28" s="37">
        <v>3.3310175231539762E-4</v>
      </c>
      <c r="BB28" s="37">
        <v>2.3762183636354763E-4</v>
      </c>
      <c r="BC28" s="37">
        <v>3.3716838688329162E-4</v>
      </c>
      <c r="BD28" s="146">
        <v>0</v>
      </c>
      <c r="BE28" s="146">
        <v>0</v>
      </c>
      <c r="BF28" s="146">
        <v>1.6643831118146513E-4</v>
      </c>
    </row>
    <row r="29" spans="1:58" x14ac:dyDescent="0.3">
      <c r="A29" s="37" t="s">
        <v>209</v>
      </c>
      <c r="B29" s="39" t="s">
        <v>151</v>
      </c>
      <c r="C29" s="40" t="s">
        <v>434</v>
      </c>
      <c r="D29" s="36">
        <v>1039804.4428571742</v>
      </c>
      <c r="E29" s="37">
        <v>1047603.2145920552</v>
      </c>
      <c r="F29" s="37">
        <v>1307245.0884621437</v>
      </c>
      <c r="G29" s="84">
        <v>1298110.1839406234</v>
      </c>
      <c r="H29" s="84">
        <v>1196268.4140373613</v>
      </c>
      <c r="I29" s="88">
        <v>1033690.1539529648</v>
      </c>
      <c r="J29" s="36">
        <v>1049071.8350388682</v>
      </c>
      <c r="K29" s="37">
        <v>873612.710405563</v>
      </c>
      <c r="L29" s="37">
        <v>320765.32258776604</v>
      </c>
      <c r="M29" s="37">
        <v>196150.38524819279</v>
      </c>
      <c r="N29" s="37">
        <v>238240.62091805437</v>
      </c>
      <c r="O29" s="37">
        <v>176022.31342781227</v>
      </c>
      <c r="P29" s="37">
        <v>565053.78396003926</v>
      </c>
      <c r="Q29" s="37">
        <v>46424.905801663372</v>
      </c>
      <c r="R29" s="37">
        <v>608144.19526368147</v>
      </c>
      <c r="S29" s="37">
        <v>32150.457786745748</v>
      </c>
      <c r="T29" s="37">
        <v>38103.37692075214</v>
      </c>
      <c r="U29" s="37">
        <v>23031.625641692925</v>
      </c>
      <c r="V29" s="37">
        <v>-235263.18384399521</v>
      </c>
      <c r="W29" s="37">
        <v>278760.54982241499</v>
      </c>
      <c r="X29" s="37">
        <v>278760.54982241499</v>
      </c>
      <c r="Y29" s="37">
        <v>278760.54982241499</v>
      </c>
      <c r="Z29" s="37">
        <v>278760.54982241499</v>
      </c>
      <c r="AA29" s="37">
        <v>278760.54982241499</v>
      </c>
      <c r="AB29" s="37">
        <v>278760.54982241499</v>
      </c>
      <c r="AC29" s="37">
        <v>267970.16273343592</v>
      </c>
      <c r="AD29" s="37">
        <v>267970.16273343592</v>
      </c>
      <c r="AE29" s="37">
        <v>267970.16273343592</v>
      </c>
      <c r="AF29" s="37">
        <v>267970.16273343592</v>
      </c>
      <c r="AG29" s="37">
        <v>267970.16273343592</v>
      </c>
      <c r="AH29" s="37">
        <v>267970.16273343592</v>
      </c>
      <c r="AI29" s="37">
        <v>267970.16273343592</v>
      </c>
      <c r="AJ29" s="37">
        <v>267970.16273343592</v>
      </c>
      <c r="AK29" s="37">
        <v>267970.16273343592</v>
      </c>
      <c r="AL29" s="37">
        <v>267970.16273343592</v>
      </c>
      <c r="AM29" s="37">
        <v>267970.16273343592</v>
      </c>
      <c r="AN29" s="37">
        <v>20908.85574557705</v>
      </c>
      <c r="AO29" s="37">
        <v>316574.50940052076</v>
      </c>
      <c r="AP29" s="37">
        <v>316574.50940052076</v>
      </c>
      <c r="AQ29" s="37">
        <v>316574.50940052076</v>
      </c>
      <c r="AR29" s="37">
        <v>316574.50940052076</v>
      </c>
      <c r="AS29" s="37">
        <v>316574.50940052076</v>
      </c>
      <c r="AT29" s="37">
        <v>316574.50940052076</v>
      </c>
      <c r="AU29" s="37">
        <v>36363.52243609936</v>
      </c>
      <c r="AV29" s="37">
        <v>38778.202302621707</v>
      </c>
      <c r="AW29" s="37">
        <v>38903.49315028928</v>
      </c>
      <c r="AX29" s="37">
        <v>564985.71685324959</v>
      </c>
      <c r="AY29" s="37">
        <v>494760.02297110029</v>
      </c>
      <c r="AZ29" s="37">
        <v>529167.18047425721</v>
      </c>
      <c r="BA29" s="37">
        <v>454117.56266842649</v>
      </c>
      <c r="BB29" s="37">
        <v>463549.90836740698</v>
      </c>
      <c r="BC29" s="37">
        <v>7597.672387273813</v>
      </c>
      <c r="BD29" s="134">
        <v>500978.18375379499</v>
      </c>
      <c r="BE29" s="134">
        <v>837052.14853407792</v>
      </c>
      <c r="BF29" s="37">
        <v>267970.16273343592</v>
      </c>
    </row>
    <row r="30" spans="1:58" x14ac:dyDescent="0.3">
      <c r="A30" s="37" t="s">
        <v>209</v>
      </c>
      <c r="B30" s="39" t="s">
        <v>152</v>
      </c>
      <c r="C30" s="40" t="s">
        <v>434</v>
      </c>
      <c r="D30" s="36">
        <v>38244.778633161295</v>
      </c>
      <c r="E30" s="37">
        <v>45940.854637518962</v>
      </c>
      <c r="F30" s="37">
        <v>46300.299736182082</v>
      </c>
      <c r="G30" s="85">
        <v>37435.289170743599</v>
      </c>
      <c r="H30" s="85">
        <v>57047.711659166569</v>
      </c>
      <c r="I30" s="38">
        <v>32334.697564057828</v>
      </c>
      <c r="J30" s="36">
        <v>47382.231693526104</v>
      </c>
      <c r="K30" s="37">
        <v>20337.34741308033</v>
      </c>
      <c r="L30" s="37">
        <v>69638.762173074079</v>
      </c>
      <c r="M30" s="37">
        <v>69638.762173074167</v>
      </c>
      <c r="N30" s="37">
        <v>69638.762173074079</v>
      </c>
      <c r="O30" s="37">
        <v>69638.762173074167</v>
      </c>
      <c r="P30" s="37">
        <v>69638.762173074167</v>
      </c>
      <c r="Q30" s="37">
        <v>69638.762173074079</v>
      </c>
      <c r="R30" s="37">
        <v>69638.762173074167</v>
      </c>
      <c r="S30" s="37">
        <v>69638.762173074079</v>
      </c>
      <c r="T30" s="37">
        <v>96667.78391563434</v>
      </c>
      <c r="U30" s="37">
        <v>69638.762173074094</v>
      </c>
      <c r="V30" s="37">
        <v>462477.2855081819</v>
      </c>
      <c r="W30" s="37">
        <v>-53844.819414384707</v>
      </c>
      <c r="X30" s="37">
        <v>-53844.819414384707</v>
      </c>
      <c r="Y30" s="37">
        <v>-53844.819414384707</v>
      </c>
      <c r="Z30" s="37">
        <v>-53844.819414384707</v>
      </c>
      <c r="AA30" s="37">
        <v>-53844.819414384707</v>
      </c>
      <c r="AB30" s="37">
        <v>-53844.819414384707</v>
      </c>
      <c r="AC30" s="37">
        <v>257105.88807140582</v>
      </c>
      <c r="AD30" s="37">
        <v>257105.88807140582</v>
      </c>
      <c r="AE30" s="37">
        <v>257105.88807140582</v>
      </c>
      <c r="AF30" s="37">
        <v>257105.88807140582</v>
      </c>
      <c r="AG30" s="37">
        <v>257105.88807140582</v>
      </c>
      <c r="AH30" s="37">
        <v>257105.88807140582</v>
      </c>
      <c r="AI30" s="37">
        <v>257105.88807140582</v>
      </c>
      <c r="AJ30" s="37">
        <v>257105.88807140582</v>
      </c>
      <c r="AK30" s="37">
        <v>257105.88807140582</v>
      </c>
      <c r="AL30" s="37">
        <v>257105.88807140582</v>
      </c>
      <c r="AM30" s="37">
        <v>257105.88807140582</v>
      </c>
      <c r="AN30" s="37">
        <v>19624.152731707898</v>
      </c>
      <c r="AO30" s="37">
        <v>-35377.421826036123</v>
      </c>
      <c r="AP30" s="37">
        <v>-35377.421826036123</v>
      </c>
      <c r="AQ30" s="37">
        <v>-35377.421826036123</v>
      </c>
      <c r="AR30" s="37">
        <v>-35377.421826036123</v>
      </c>
      <c r="AS30" s="37">
        <v>-35377.421826036123</v>
      </c>
      <c r="AT30" s="37">
        <v>-35377.421826036123</v>
      </c>
      <c r="AU30" s="37">
        <v>35995.789158009058</v>
      </c>
      <c r="AV30" s="37">
        <v>38029.318811510071</v>
      </c>
      <c r="AW30" s="37">
        <v>38764.835681281882</v>
      </c>
      <c r="AX30" s="37">
        <v>288864.93225065869</v>
      </c>
      <c r="AY30" s="37">
        <v>231074.64102562034</v>
      </c>
      <c r="AZ30" s="37">
        <v>516808.46591126465</v>
      </c>
      <c r="BA30" s="37">
        <v>345941.88777987979</v>
      </c>
      <c r="BB30" s="37">
        <v>359572.56919727544</v>
      </c>
      <c r="BC30" s="37">
        <v>7389.7959839288033</v>
      </c>
      <c r="BD30" s="135">
        <v>476229.38643271197</v>
      </c>
      <c r="BE30" s="135">
        <v>803065.79659154022</v>
      </c>
      <c r="BF30" s="37">
        <v>257105.88807140582</v>
      </c>
    </row>
    <row r="31" spans="1:58" x14ac:dyDescent="0.3">
      <c r="A31" s="37" t="s">
        <v>209</v>
      </c>
      <c r="B31" s="39" t="s">
        <v>9</v>
      </c>
      <c r="C31" s="40" t="s">
        <v>434</v>
      </c>
      <c r="D31" s="36">
        <v>2098.7642749257379</v>
      </c>
      <c r="E31" s="37">
        <v>2250.2034040055437</v>
      </c>
      <c r="F31" s="37">
        <v>3031.2463252191428</v>
      </c>
      <c r="G31" s="85">
        <v>2645.2768673529026</v>
      </c>
      <c r="H31" s="85">
        <v>3441.4880381157591</v>
      </c>
      <c r="I31" s="38">
        <v>1806.107620263685</v>
      </c>
      <c r="J31" s="36">
        <v>2285.0987868833818</v>
      </c>
      <c r="K31" s="37">
        <v>1916.0887425483199</v>
      </c>
      <c r="L31" s="37">
        <v>4593.9913061265433</v>
      </c>
      <c r="M31" s="37">
        <v>4593.9913061265479</v>
      </c>
      <c r="N31" s="37">
        <v>4593.9913061265433</v>
      </c>
      <c r="O31" s="37">
        <v>6016.958721021263</v>
      </c>
      <c r="P31" s="37">
        <v>6016.958721021263</v>
      </c>
      <c r="Q31" s="37">
        <v>6016.9587210212585</v>
      </c>
      <c r="R31" s="37">
        <v>6016.958721021263</v>
      </c>
      <c r="S31" s="37">
        <v>6016.9587210212585</v>
      </c>
      <c r="T31" s="37">
        <v>837.54055914775381</v>
      </c>
      <c r="U31" s="37">
        <v>6016.9587210212512</v>
      </c>
      <c r="V31" s="37">
        <v>29010.728097291863</v>
      </c>
      <c r="W31" s="37">
        <v>-27438.377603429384</v>
      </c>
      <c r="X31" s="37">
        <v>-27438.377603429384</v>
      </c>
      <c r="Y31" s="37">
        <v>-27438.377603429384</v>
      </c>
      <c r="Z31" s="37">
        <v>-27438.377603429384</v>
      </c>
      <c r="AA31" s="37">
        <v>-27438.377603429384</v>
      </c>
      <c r="AB31" s="37">
        <v>-27438.377603429384</v>
      </c>
      <c r="AC31" s="37">
        <v>26603.375121180121</v>
      </c>
      <c r="AD31" s="37">
        <v>26603.375121180121</v>
      </c>
      <c r="AE31" s="37">
        <v>26603.375121180121</v>
      </c>
      <c r="AF31" s="37">
        <v>26603.375121180121</v>
      </c>
      <c r="AG31" s="37">
        <v>26603.375121180121</v>
      </c>
      <c r="AH31" s="37">
        <v>26603.375121180121</v>
      </c>
      <c r="AI31" s="37">
        <v>26603.375121180121</v>
      </c>
      <c r="AJ31" s="37">
        <v>26603.375121180121</v>
      </c>
      <c r="AK31" s="37">
        <v>26603.375121180121</v>
      </c>
      <c r="AL31" s="37">
        <v>26603.375121180121</v>
      </c>
      <c r="AM31" s="37">
        <v>26603.375121180121</v>
      </c>
      <c r="AN31" s="37">
        <v>3968.4305646250014</v>
      </c>
      <c r="AO31" s="37">
        <v>-30559.191841227566</v>
      </c>
      <c r="AP31" s="37">
        <v>-30559.191841227566</v>
      </c>
      <c r="AQ31" s="37">
        <v>-30559.191841227566</v>
      </c>
      <c r="AR31" s="37">
        <v>-30559.191841227566</v>
      </c>
      <c r="AS31" s="37">
        <v>-30559.191841227566</v>
      </c>
      <c r="AT31" s="37">
        <v>-30559.191841227566</v>
      </c>
      <c r="AU31" s="37">
        <v>3378.1526302772672</v>
      </c>
      <c r="AV31" s="37">
        <v>1824.3356825413921</v>
      </c>
      <c r="AW31" s="37">
        <v>199.66996424356489</v>
      </c>
      <c r="AX31" s="37">
        <v>7216.4242284921756</v>
      </c>
      <c r="AY31" s="37">
        <v>6859.5285196181549</v>
      </c>
      <c r="AZ31" s="37">
        <v>27050.514079201053</v>
      </c>
      <c r="BA31" s="37">
        <v>8662.1080416462828</v>
      </c>
      <c r="BB31" s="37">
        <v>10485.655785025239</v>
      </c>
      <c r="BC31" s="37">
        <v>505.97426972559202</v>
      </c>
      <c r="BD31" s="135">
        <v>61723.127235665495</v>
      </c>
      <c r="BE31" s="135">
        <v>85296.694210272588</v>
      </c>
      <c r="BF31" s="37">
        <v>26603.375121180121</v>
      </c>
    </row>
    <row r="32" spans="1:58" x14ac:dyDescent="0.3">
      <c r="A32" s="37" t="s">
        <v>209</v>
      </c>
      <c r="B32" s="39" t="s">
        <v>108</v>
      </c>
      <c r="C32" s="40" t="s">
        <v>434</v>
      </c>
      <c r="D32" s="36">
        <v>10741.572344737462</v>
      </c>
      <c r="E32" s="37">
        <v>13047.654228621785</v>
      </c>
      <c r="F32" s="37">
        <v>25464.72342701309</v>
      </c>
      <c r="G32" s="85">
        <v>21428.333062840586</v>
      </c>
      <c r="H32" s="85">
        <v>22420.720263958006</v>
      </c>
      <c r="I32" s="38">
        <v>5309.9752177733717</v>
      </c>
      <c r="J32" s="36">
        <v>16286.602437044545</v>
      </c>
      <c r="K32" s="37">
        <v>3998.5134182189686</v>
      </c>
      <c r="L32" s="37">
        <v>57564.624776638477</v>
      </c>
      <c r="M32" s="37">
        <v>57564.62477663855</v>
      </c>
      <c r="N32" s="37">
        <v>57564.624776638477</v>
      </c>
      <c r="O32" s="37">
        <v>59041.088883707904</v>
      </c>
      <c r="P32" s="37">
        <v>59041.088883707904</v>
      </c>
      <c r="Q32" s="37">
        <v>59041.088883707904</v>
      </c>
      <c r="R32" s="37">
        <v>59041.088883707904</v>
      </c>
      <c r="S32" s="37">
        <v>59041.088883707838</v>
      </c>
      <c r="T32" s="37">
        <v>69103.891637677822</v>
      </c>
      <c r="U32" s="37">
        <v>59041.088883707846</v>
      </c>
      <c r="V32" s="37">
        <v>432768.22182463203</v>
      </c>
      <c r="W32" s="37">
        <v>-15749.75443775695</v>
      </c>
      <c r="X32" s="37">
        <v>-15749.75443775695</v>
      </c>
      <c r="Y32" s="37">
        <v>-15749.75443775695</v>
      </c>
      <c r="Z32" s="37">
        <v>-15749.75443775695</v>
      </c>
      <c r="AA32" s="37">
        <v>-15749.75443775695</v>
      </c>
      <c r="AB32" s="37">
        <v>-15749.75443775695</v>
      </c>
      <c r="AC32" s="37">
        <v>209095.31164058644</v>
      </c>
      <c r="AD32" s="37">
        <v>209095.31164058644</v>
      </c>
      <c r="AE32" s="37">
        <v>209095.31164058644</v>
      </c>
      <c r="AF32" s="37">
        <v>209095.31164058644</v>
      </c>
      <c r="AG32" s="37">
        <v>209095.31164058644</v>
      </c>
      <c r="AH32" s="37">
        <v>209095.31164058644</v>
      </c>
      <c r="AI32" s="37">
        <v>209095.31164058644</v>
      </c>
      <c r="AJ32" s="37">
        <v>209095.31164058644</v>
      </c>
      <c r="AK32" s="37">
        <v>209095.31164058644</v>
      </c>
      <c r="AL32" s="37">
        <v>209095.31164058644</v>
      </c>
      <c r="AM32" s="37">
        <v>209095.31164058644</v>
      </c>
      <c r="AN32" s="37">
        <v>11854.621800658471</v>
      </c>
      <c r="AO32" s="37">
        <v>3811.3858918740661</v>
      </c>
      <c r="AP32" s="37">
        <v>3811.3858918740661</v>
      </c>
      <c r="AQ32" s="37">
        <v>3811.3858918740661</v>
      </c>
      <c r="AR32" s="37">
        <v>3811.3858918740661</v>
      </c>
      <c r="AS32" s="37">
        <v>3811.3858918740661</v>
      </c>
      <c r="AT32" s="37">
        <v>3811.3858918740661</v>
      </c>
      <c r="AU32" s="37">
        <v>28029.839942445949</v>
      </c>
      <c r="AV32" s="37">
        <v>31591.784244920178</v>
      </c>
      <c r="AW32" s="37">
        <v>34140.225788453543</v>
      </c>
      <c r="AX32" s="37">
        <v>263901.71274714277</v>
      </c>
      <c r="AY32" s="37">
        <v>207089.21860848879</v>
      </c>
      <c r="AZ32" s="37">
        <v>467170.65806472354</v>
      </c>
      <c r="BA32" s="37">
        <v>325517.28744423843</v>
      </c>
      <c r="BB32" s="37">
        <v>336042.4167181853</v>
      </c>
      <c r="BC32" s="37">
        <v>2482.1116784165883</v>
      </c>
      <c r="BD32" s="135">
        <v>366570.60715693812</v>
      </c>
      <c r="BE32" s="135">
        <v>652569.64042772364</v>
      </c>
      <c r="BF32" s="37">
        <v>209095.31164058644</v>
      </c>
    </row>
    <row r="33" spans="1:58" x14ac:dyDescent="0.3">
      <c r="A33" s="37" t="s">
        <v>209</v>
      </c>
      <c r="B33" s="39" t="s">
        <v>74</v>
      </c>
      <c r="C33" s="40" t="s">
        <v>434</v>
      </c>
      <c r="D33" s="36">
        <v>25404.442013498097</v>
      </c>
      <c r="E33" s="37">
        <v>30642.997004891633</v>
      </c>
      <c r="F33" s="37">
        <v>17804.329983949847</v>
      </c>
      <c r="G33" s="85">
        <v>13361.679240550115</v>
      </c>
      <c r="H33" s="85">
        <v>31185.503357092806</v>
      </c>
      <c r="I33" s="38">
        <v>25218.614726020769</v>
      </c>
      <c r="J33" s="36">
        <v>28810.530469598176</v>
      </c>
      <c r="K33" s="37">
        <v>14422.745252313041</v>
      </c>
      <c r="L33" s="37">
        <v>7480.1460903090447</v>
      </c>
      <c r="M33" s="37">
        <v>7480.1460903090465</v>
      </c>
      <c r="N33" s="37">
        <v>7480.1460903090447</v>
      </c>
      <c r="O33" s="37">
        <v>4580.7145683449817</v>
      </c>
      <c r="P33" s="37">
        <v>4580.7145683449817</v>
      </c>
      <c r="Q33" s="37">
        <v>4580.7145683449817</v>
      </c>
      <c r="R33" s="37">
        <v>4580.7145683449817</v>
      </c>
      <c r="S33" s="37">
        <v>4580.7145683449817</v>
      </c>
      <c r="T33" s="37">
        <v>26726.351718808772</v>
      </c>
      <c r="U33" s="37">
        <v>4580.7145683449808</v>
      </c>
      <c r="V33" s="37">
        <v>698.33558625806165</v>
      </c>
      <c r="W33" s="37">
        <v>-10656.687373198372</v>
      </c>
      <c r="X33" s="37">
        <v>-10656.687373198372</v>
      </c>
      <c r="Y33" s="37">
        <v>-10656.687373198372</v>
      </c>
      <c r="Z33" s="37">
        <v>-10656.687373198372</v>
      </c>
      <c r="AA33" s="37">
        <v>-10656.687373198372</v>
      </c>
      <c r="AB33" s="37">
        <v>-10656.687373198372</v>
      </c>
      <c r="AC33" s="37">
        <v>21407.201309639266</v>
      </c>
      <c r="AD33" s="37">
        <v>21407.201309639266</v>
      </c>
      <c r="AE33" s="37">
        <v>21407.201309639266</v>
      </c>
      <c r="AF33" s="37">
        <v>21407.201309639266</v>
      </c>
      <c r="AG33" s="37">
        <v>21407.201309639266</v>
      </c>
      <c r="AH33" s="37">
        <v>21407.201309639266</v>
      </c>
      <c r="AI33" s="37">
        <v>21407.201309639266</v>
      </c>
      <c r="AJ33" s="37">
        <v>21407.201309639266</v>
      </c>
      <c r="AK33" s="37">
        <v>21407.201309639266</v>
      </c>
      <c r="AL33" s="37">
        <v>21407.201309639266</v>
      </c>
      <c r="AM33" s="37">
        <v>21407.201309639266</v>
      </c>
      <c r="AN33" s="37">
        <v>3801.1003664244249</v>
      </c>
      <c r="AO33" s="37">
        <v>-8629.6158766826229</v>
      </c>
      <c r="AP33" s="37">
        <v>-8629.6158766826229</v>
      </c>
      <c r="AQ33" s="37">
        <v>-8629.6158766826229</v>
      </c>
      <c r="AR33" s="37">
        <v>-8629.6158766826229</v>
      </c>
      <c r="AS33" s="37">
        <v>-8629.6158766826229</v>
      </c>
      <c r="AT33" s="37">
        <v>-8629.6158766826229</v>
      </c>
      <c r="AU33" s="37">
        <v>4587.796585285837</v>
      </c>
      <c r="AV33" s="37">
        <v>4613.1988840484983</v>
      </c>
      <c r="AW33" s="37">
        <v>4424.9399285847803</v>
      </c>
      <c r="AX33" s="37">
        <v>17746.795275023731</v>
      </c>
      <c r="AY33" s="37">
        <v>17125.89389751335</v>
      </c>
      <c r="AZ33" s="37">
        <v>22587.293767340052</v>
      </c>
      <c r="BA33" s="37">
        <v>11762.49229399499</v>
      </c>
      <c r="BB33" s="37">
        <v>13044.496694064981</v>
      </c>
      <c r="BC33" s="37">
        <v>4401.710035786622</v>
      </c>
      <c r="BD33" s="135">
        <v>47935.65204010834</v>
      </c>
      <c r="BE33" s="135">
        <v>65199.461953543949</v>
      </c>
      <c r="BF33" s="37">
        <v>21407.201309639266</v>
      </c>
    </row>
    <row r="34" spans="1:58" x14ac:dyDescent="0.3">
      <c r="A34" s="37" t="s">
        <v>209</v>
      </c>
      <c r="B34" s="39" t="s">
        <v>153</v>
      </c>
      <c r="C34" s="40" t="s">
        <v>431</v>
      </c>
      <c r="D34" s="36">
        <v>1.7276370696339962E-3</v>
      </c>
      <c r="E34" s="37">
        <v>1.9457987536741135E-3</v>
      </c>
      <c r="F34" s="37">
        <v>3.7257314949075016E-3</v>
      </c>
      <c r="G34" s="85">
        <v>2.6803043564147624E-3</v>
      </c>
      <c r="H34" s="85">
        <v>4.0507573958019029E-3</v>
      </c>
      <c r="I34" s="38">
        <v>9.4567477129420274E-4</v>
      </c>
      <c r="J34" s="36">
        <v>2.9113834477304439E-3</v>
      </c>
      <c r="K34" s="37">
        <v>7.5577614276678992E-4</v>
      </c>
      <c r="L34" s="37">
        <v>5.9833470283563832E-3</v>
      </c>
      <c r="M34" s="37">
        <v>5.9833470283563893E-3</v>
      </c>
      <c r="N34" s="37">
        <v>5.9833470283563832E-3</v>
      </c>
      <c r="O34" s="37">
        <v>5.9833470283563893E-3</v>
      </c>
      <c r="P34" s="37">
        <v>5.9833470283563893E-3</v>
      </c>
      <c r="Q34" s="37">
        <v>5.9833470283563832E-3</v>
      </c>
      <c r="R34" s="37">
        <v>5.9833470283563893E-3</v>
      </c>
      <c r="S34" s="37">
        <v>5.9833470283563832E-3</v>
      </c>
      <c r="T34" s="37">
        <v>4.8476587899410452E-3</v>
      </c>
      <c r="U34" s="37">
        <v>5.9833470283563806E-3</v>
      </c>
      <c r="V34" s="37">
        <v>-0.4285946034199225</v>
      </c>
      <c r="W34" s="37">
        <v>0.19289964905248727</v>
      </c>
      <c r="X34" s="37">
        <v>0.19289964905248727</v>
      </c>
      <c r="Y34" s="37">
        <v>0.19289964905248727</v>
      </c>
      <c r="Z34" s="37">
        <v>0.19289964905248727</v>
      </c>
      <c r="AA34" s="37">
        <v>0.19289964905248727</v>
      </c>
      <c r="AB34" s="37">
        <v>0.19289964905248727</v>
      </c>
      <c r="AC34" s="37">
        <v>2.8525625449110206E-2</v>
      </c>
      <c r="AD34" s="37">
        <v>2.8525625449110206E-2</v>
      </c>
      <c r="AE34" s="37">
        <v>2.8525625449110206E-2</v>
      </c>
      <c r="AF34" s="37">
        <v>2.8525625449110206E-2</v>
      </c>
      <c r="AG34" s="37">
        <v>2.8525625449110206E-2</v>
      </c>
      <c r="AH34" s="37">
        <v>2.8525625449110206E-2</v>
      </c>
      <c r="AI34" s="37">
        <v>2.8525625449110206E-2</v>
      </c>
      <c r="AJ34" s="37">
        <v>2.8525625449110206E-2</v>
      </c>
      <c r="AK34" s="37">
        <v>2.8525625449110206E-2</v>
      </c>
      <c r="AL34" s="37">
        <v>2.8525625449110206E-2</v>
      </c>
      <c r="AM34" s="37">
        <v>2.8525625449110206E-2</v>
      </c>
      <c r="AN34" s="37">
        <v>2.528798809321468E-3</v>
      </c>
      <c r="AO34" s="37">
        <v>0.24856979700984119</v>
      </c>
      <c r="AP34" s="37">
        <v>0.24856979700984119</v>
      </c>
      <c r="AQ34" s="37">
        <v>0.24856979700984119</v>
      </c>
      <c r="AR34" s="37">
        <v>0.24856979700984119</v>
      </c>
      <c r="AS34" s="37">
        <v>0.24856979700984119</v>
      </c>
      <c r="AT34" s="37">
        <v>0.24856979700984119</v>
      </c>
      <c r="AU34" s="37">
        <v>5.2471806531571635E-3</v>
      </c>
      <c r="AV34" s="37">
        <v>4.6514404945667597E-3</v>
      </c>
      <c r="AW34" s="37">
        <v>1.7697720762972701E-3</v>
      </c>
      <c r="AX34" s="37">
        <v>0.10868960056283143</v>
      </c>
      <c r="AY34" s="37">
        <v>0.10371380710425966</v>
      </c>
      <c r="AZ34" s="37">
        <v>1.5404922025824254E-2</v>
      </c>
      <c r="BA34" s="37">
        <v>4.6764646382020991E-2</v>
      </c>
      <c r="BB34" s="37">
        <v>4.5721874278548291E-2</v>
      </c>
      <c r="BC34" s="37">
        <v>4.2784727510928548E-4</v>
      </c>
      <c r="BD34" s="136">
        <v>3.0364385082719179E-2</v>
      </c>
      <c r="BE34" s="136">
        <v>4.1528221802861018E-2</v>
      </c>
      <c r="BF34" s="37">
        <v>2.8525625449110206E-2</v>
      </c>
    </row>
    <row r="35" spans="1:58" x14ac:dyDescent="0.3">
      <c r="A35" s="37" t="s">
        <v>209</v>
      </c>
      <c r="B35" s="39" t="s">
        <v>154</v>
      </c>
      <c r="C35" s="40" t="s">
        <v>432</v>
      </c>
      <c r="D35" s="36">
        <v>2.3482957685460291E-3</v>
      </c>
      <c r="E35" s="37">
        <v>2.7928659112057249E-3</v>
      </c>
      <c r="F35" s="37">
        <v>3.7556252198446809E-3</v>
      </c>
      <c r="G35" s="86">
        <v>3.2940344743455393E-3</v>
      </c>
      <c r="H35" s="86">
        <v>3.4734985321287892E-3</v>
      </c>
      <c r="I35" s="38">
        <v>1.6499598473017946E-3</v>
      </c>
      <c r="J35" s="36">
        <v>3.0620080914119199E-3</v>
      </c>
      <c r="K35" s="37">
        <v>1.2044106464367459E-3</v>
      </c>
      <c r="L35" s="37">
        <v>2.8397341845159013E-3</v>
      </c>
      <c r="M35" s="37">
        <v>2.8397341845159039E-3</v>
      </c>
      <c r="N35" s="37">
        <v>2.8397341845159013E-3</v>
      </c>
      <c r="O35" s="37">
        <v>2.8397341845159039E-3</v>
      </c>
      <c r="P35" s="37">
        <v>2.8397341845159039E-3</v>
      </c>
      <c r="Q35" s="37">
        <v>2.8397341845159013E-3</v>
      </c>
      <c r="R35" s="37">
        <v>2.8397341845159039E-3</v>
      </c>
      <c r="S35" s="37">
        <v>2.8397341845159013E-3</v>
      </c>
      <c r="T35" s="37">
        <v>4.5866080492364507E-3</v>
      </c>
      <c r="U35" s="37">
        <v>2.8397341845159013E-3</v>
      </c>
      <c r="V35" s="37">
        <v>-7.190033499793462E-3</v>
      </c>
      <c r="W35" s="37">
        <v>8.2848170164768285E-3</v>
      </c>
      <c r="X35" s="37">
        <v>8.2848170164768285E-3</v>
      </c>
      <c r="Y35" s="37">
        <v>8.2848170164768285E-3</v>
      </c>
      <c r="Z35" s="37">
        <v>8.2848170164768285E-3</v>
      </c>
      <c r="AA35" s="37">
        <v>8.2848170164768285E-3</v>
      </c>
      <c r="AB35" s="37">
        <v>8.2848170164768285E-3</v>
      </c>
      <c r="AC35" s="37">
        <v>4.2041943079476575E-3</v>
      </c>
      <c r="AD35" s="37">
        <v>4.2041943079476575E-3</v>
      </c>
      <c r="AE35" s="37">
        <v>4.2041943079476575E-3</v>
      </c>
      <c r="AF35" s="37">
        <v>4.2041943079476575E-3</v>
      </c>
      <c r="AG35" s="37">
        <v>4.2041943079476575E-3</v>
      </c>
      <c r="AH35" s="37">
        <v>4.2041943079476575E-3</v>
      </c>
      <c r="AI35" s="37">
        <v>4.2041943079476575E-3</v>
      </c>
      <c r="AJ35" s="37">
        <v>4.2041943079476575E-3</v>
      </c>
      <c r="AK35" s="37">
        <v>4.2041943079476575E-3</v>
      </c>
      <c r="AL35" s="37">
        <v>4.2041943079476575E-3</v>
      </c>
      <c r="AM35" s="37">
        <v>4.2041943079476575E-3</v>
      </c>
      <c r="AN35" s="37">
        <v>1.6493593103960504E-3</v>
      </c>
      <c r="AO35" s="37">
        <v>1.0485483333035188E-2</v>
      </c>
      <c r="AP35" s="37">
        <v>1.0485483333035188E-2</v>
      </c>
      <c r="AQ35" s="37">
        <v>1.0485483333035188E-2</v>
      </c>
      <c r="AR35" s="37">
        <v>1.0485483333035188E-2</v>
      </c>
      <c r="AS35" s="37">
        <v>1.0485483333035188E-2</v>
      </c>
      <c r="AT35" s="37">
        <v>1.0485483333035188E-2</v>
      </c>
      <c r="AU35" s="37">
        <v>1.5897520059001107E-3</v>
      </c>
      <c r="AV35" s="37">
        <v>1.5697722372360905E-3</v>
      </c>
      <c r="AW35" s="37">
        <v>9.0193836924370606E-4</v>
      </c>
      <c r="AX35" s="37">
        <v>1.8641152005890494E-2</v>
      </c>
      <c r="AY35" s="37">
        <v>1.7293644521682802E-2</v>
      </c>
      <c r="AZ35" s="37">
        <v>6.9095099721437859E-3</v>
      </c>
      <c r="BA35" s="37">
        <v>1.8108522660229887E-2</v>
      </c>
      <c r="BB35" s="37">
        <v>1.7635946524259722E-2</v>
      </c>
      <c r="BC35" s="37">
        <v>1.7368350702005669E-4</v>
      </c>
      <c r="BD35" s="137">
        <v>1.224294353981922E-2</v>
      </c>
      <c r="BE35" s="137">
        <v>1.4863056086968489E-2</v>
      </c>
      <c r="BF35" s="37">
        <v>4.2041943079476575E-3</v>
      </c>
    </row>
    <row r="36" spans="1:58" x14ac:dyDescent="0.3">
      <c r="A36" s="37" t="s">
        <v>209</v>
      </c>
      <c r="B36" s="39" t="s">
        <v>155</v>
      </c>
      <c r="C36" s="40" t="s">
        <v>432</v>
      </c>
      <c r="D36" s="36">
        <v>8.1779670797251444E-3</v>
      </c>
      <c r="E36" s="37">
        <v>9.8312415344229635E-3</v>
      </c>
      <c r="F36" s="37">
        <v>8.001728345269082E-3</v>
      </c>
      <c r="G36" s="85">
        <v>6.4769033813708455E-3</v>
      </c>
      <c r="H36" s="85">
        <v>9.2850128025980024E-3</v>
      </c>
      <c r="I36" s="38">
        <v>6.6861520160701104E-3</v>
      </c>
      <c r="J36" s="36">
        <v>9.5542295418894908E-3</v>
      </c>
      <c r="K36" s="37">
        <v>3.0576948939552637E-3</v>
      </c>
      <c r="L36" s="37">
        <v>5.6086009599293956E-3</v>
      </c>
      <c r="M36" s="37">
        <v>5.608600959929399E-3</v>
      </c>
      <c r="N36" s="37">
        <v>5.6086009599293956E-3</v>
      </c>
      <c r="O36" s="37">
        <v>5.608600959929399E-3</v>
      </c>
      <c r="P36" s="37">
        <v>5.608600959929399E-3</v>
      </c>
      <c r="Q36" s="37">
        <v>5.6086009599293956E-3</v>
      </c>
      <c r="R36" s="37">
        <v>5.608600959929399E-3</v>
      </c>
      <c r="S36" s="37">
        <v>5.6086009599293956E-3</v>
      </c>
      <c r="T36" s="37">
        <v>9.6103154062937464E-3</v>
      </c>
      <c r="U36" s="37">
        <v>5.6086009599293938E-3</v>
      </c>
      <c r="V36" s="37">
        <v>1.0677418362406595E-2</v>
      </c>
      <c r="W36" s="37">
        <v>9.7832776752842052E-3</v>
      </c>
      <c r="X36" s="37">
        <v>9.7832776752842052E-3</v>
      </c>
      <c r="Y36" s="37">
        <v>9.7832776752842052E-3</v>
      </c>
      <c r="Z36" s="37">
        <v>9.7832776752842052E-3</v>
      </c>
      <c r="AA36" s="37">
        <v>9.7832776752842052E-3</v>
      </c>
      <c r="AB36" s="37">
        <v>9.7832776752842052E-3</v>
      </c>
      <c r="AC36" s="37">
        <v>1.2208624269631395E-2</v>
      </c>
      <c r="AD36" s="37">
        <v>1.2208624269631395E-2</v>
      </c>
      <c r="AE36" s="37">
        <v>1.2208624269631395E-2</v>
      </c>
      <c r="AF36" s="37">
        <v>1.2208624269631395E-2</v>
      </c>
      <c r="AG36" s="37">
        <v>1.2208624269631395E-2</v>
      </c>
      <c r="AH36" s="37">
        <v>1.2208624269631395E-2</v>
      </c>
      <c r="AI36" s="37">
        <v>1.2208624269631395E-2</v>
      </c>
      <c r="AJ36" s="37">
        <v>1.2208624269631395E-2</v>
      </c>
      <c r="AK36" s="37">
        <v>1.2208624269631395E-2</v>
      </c>
      <c r="AL36" s="37">
        <v>1.2208624269631395E-2</v>
      </c>
      <c r="AM36" s="37">
        <v>1.2208624269631395E-2</v>
      </c>
      <c r="AN36" s="37">
        <v>2.1653221244664856E-3</v>
      </c>
      <c r="AO36" s="37">
        <v>0.15802657548533938</v>
      </c>
      <c r="AP36" s="37">
        <v>0.15802657548533938</v>
      </c>
      <c r="AQ36" s="37">
        <v>0.15802657548533938</v>
      </c>
      <c r="AR36" s="37">
        <v>0.15802657548533938</v>
      </c>
      <c r="AS36" s="37">
        <v>0.15802657548533938</v>
      </c>
      <c r="AT36" s="37">
        <v>0.15802657548533938</v>
      </c>
      <c r="AU36" s="37">
        <v>4.6080918515320158E-3</v>
      </c>
      <c r="AV36" s="37">
        <v>4.4529904890182378E-3</v>
      </c>
      <c r="AW36" s="37">
        <v>3.13808556079975E-3</v>
      </c>
      <c r="AX36" s="37">
        <v>2.8106533341511541E-2</v>
      </c>
      <c r="AY36" s="37">
        <v>2.4640346410952328E-2</v>
      </c>
      <c r="AZ36" s="37">
        <v>2.5661890994983391E-2</v>
      </c>
      <c r="BA36" s="37">
        <v>2.917370666634736E-2</v>
      </c>
      <c r="BB36" s="37">
        <v>2.9209246332411343E-2</v>
      </c>
      <c r="BC36" s="37">
        <v>7.8658818686051313E-4</v>
      </c>
      <c r="BD36" s="137">
        <v>2.3557818439210301E-2</v>
      </c>
      <c r="BE36" s="137">
        <v>3.5338176580630654E-2</v>
      </c>
      <c r="BF36" s="37">
        <v>1.2208624269631395E-2</v>
      </c>
    </row>
    <row r="37" spans="1:58" x14ac:dyDescent="0.3">
      <c r="A37" s="37" t="s">
        <v>209</v>
      </c>
      <c r="B37" s="39" t="s">
        <v>156</v>
      </c>
      <c r="C37" s="40" t="s">
        <v>432</v>
      </c>
      <c r="D37" s="36">
        <v>1.7187491251057157E-2</v>
      </c>
      <c r="E37" s="37">
        <v>1.9656067927375311E-2</v>
      </c>
      <c r="F37" s="37">
        <v>2.0063627527063609E-2</v>
      </c>
      <c r="G37" s="85">
        <v>1.8092425082766921E-2</v>
      </c>
      <c r="H37" s="85">
        <v>1.5360288906018031E-2</v>
      </c>
      <c r="I37" s="38">
        <v>1.4189010958565404E-2</v>
      </c>
      <c r="J37" s="36">
        <v>2.0473077122749549E-2</v>
      </c>
      <c r="K37" s="37">
        <v>9.5965971863029645E-3</v>
      </c>
      <c r="L37" s="37">
        <v>8.4512009443674339E-3</v>
      </c>
      <c r="M37" s="37">
        <v>8.4512009443674409E-3</v>
      </c>
      <c r="N37" s="37">
        <v>8.4512009443674339E-3</v>
      </c>
      <c r="O37" s="37">
        <v>8.4512009443674409E-3</v>
      </c>
      <c r="P37" s="37">
        <v>8.4512009443674409E-3</v>
      </c>
      <c r="Q37" s="37">
        <v>8.4512009443674339E-3</v>
      </c>
      <c r="R37" s="37">
        <v>8.4512009443674409E-3</v>
      </c>
      <c r="S37" s="37">
        <v>8.4512009443674339E-3</v>
      </c>
      <c r="T37" s="37">
        <v>4.9618686376099334E-2</v>
      </c>
      <c r="U37" s="37">
        <v>8.4512009443674339E-3</v>
      </c>
      <c r="V37" s="37">
        <v>1.712225334306592E-2</v>
      </c>
      <c r="W37" s="37">
        <v>7.4315914630516443E-3</v>
      </c>
      <c r="X37" s="37">
        <v>7.4315914630516443E-3</v>
      </c>
      <c r="Y37" s="37">
        <v>7.4315914630516443E-3</v>
      </c>
      <c r="Z37" s="37">
        <v>7.4315914630516443E-3</v>
      </c>
      <c r="AA37" s="37">
        <v>7.4315914630516443E-3</v>
      </c>
      <c r="AB37" s="37">
        <v>7.4315914630516443E-3</v>
      </c>
      <c r="AC37" s="37">
        <v>2.2144927501346563E-2</v>
      </c>
      <c r="AD37" s="37">
        <v>2.2144927501346563E-2</v>
      </c>
      <c r="AE37" s="37">
        <v>2.2144927501346563E-2</v>
      </c>
      <c r="AF37" s="37">
        <v>2.2144927501346563E-2</v>
      </c>
      <c r="AG37" s="37">
        <v>2.2144927501346563E-2</v>
      </c>
      <c r="AH37" s="37">
        <v>2.2144927501346563E-2</v>
      </c>
      <c r="AI37" s="37">
        <v>2.2144927501346563E-2</v>
      </c>
      <c r="AJ37" s="37">
        <v>2.2144927501346563E-2</v>
      </c>
      <c r="AK37" s="37">
        <v>2.2144927501346563E-2</v>
      </c>
      <c r="AL37" s="37">
        <v>2.2144927501346563E-2</v>
      </c>
      <c r="AM37" s="37">
        <v>2.2144927501346563E-2</v>
      </c>
      <c r="AN37" s="37">
        <v>3.4162879619867438E-3</v>
      </c>
      <c r="AO37" s="37">
        <v>0.58156448677010297</v>
      </c>
      <c r="AP37" s="37">
        <v>0.58156448677010297</v>
      </c>
      <c r="AQ37" s="37">
        <v>0.58156448677010297</v>
      </c>
      <c r="AR37" s="37">
        <v>0.58156448677010297</v>
      </c>
      <c r="AS37" s="37">
        <v>0.58156448677010297</v>
      </c>
      <c r="AT37" s="37">
        <v>0.58156448677010297</v>
      </c>
      <c r="AU37" s="37">
        <v>5.8929237473431323E-3</v>
      </c>
      <c r="AV37" s="37">
        <v>5.9341624421884349E-3</v>
      </c>
      <c r="AW37" s="37">
        <v>4.5364857784739943E-3</v>
      </c>
      <c r="AX37" s="37">
        <v>2.9829356354353451E-2</v>
      </c>
      <c r="AY37" s="37">
        <v>2.5500700219982454E-2</v>
      </c>
      <c r="AZ37" s="37">
        <v>3.9452405770559119E-2</v>
      </c>
      <c r="BA37" s="37">
        <v>2.7529073541672989E-2</v>
      </c>
      <c r="BB37" s="37">
        <v>2.858550729995088E-2</v>
      </c>
      <c r="BC37" s="37">
        <v>1.518873486523388E-3</v>
      </c>
      <c r="BD37" s="137">
        <v>3.7956254350220084E-2</v>
      </c>
      <c r="BE37" s="137">
        <v>5.9521889616209668E-2</v>
      </c>
      <c r="BF37" s="37">
        <v>2.2144927501346563E-2</v>
      </c>
    </row>
    <row r="38" spans="1:58" x14ac:dyDescent="0.3">
      <c r="A38" s="37" t="s">
        <v>209</v>
      </c>
      <c r="B38" s="39" t="s">
        <v>157</v>
      </c>
      <c r="C38" s="40" t="s">
        <v>432</v>
      </c>
      <c r="D38" s="36">
        <v>1.830527397027999E-3</v>
      </c>
      <c r="E38" s="37">
        <v>2.0111681282751217E-3</v>
      </c>
      <c r="F38" s="37">
        <v>2.0350395349829423E-3</v>
      </c>
      <c r="G38" s="85">
        <v>1.8342903100755817E-3</v>
      </c>
      <c r="H38" s="85">
        <v>2.2539209737474954E-3</v>
      </c>
      <c r="I38" s="38">
        <v>1.5888196078472383E-3</v>
      </c>
      <c r="J38" s="36">
        <v>2.1116770906776145E-3</v>
      </c>
      <c r="K38" s="37">
        <v>1.3014018061149111E-3</v>
      </c>
      <c r="L38" s="37">
        <v>4.6702942891242006E-4</v>
      </c>
      <c r="M38" s="37">
        <v>4.6702942891242038E-4</v>
      </c>
      <c r="N38" s="37">
        <v>4.6702942891242006E-4</v>
      </c>
      <c r="O38" s="37">
        <v>4.6702942891242038E-4</v>
      </c>
      <c r="P38" s="37">
        <v>4.6702942891242038E-4</v>
      </c>
      <c r="Q38" s="37">
        <v>4.6702942891242006E-4</v>
      </c>
      <c r="R38" s="37">
        <v>4.6702942891242038E-4</v>
      </c>
      <c r="S38" s="37">
        <v>4.6702942891242006E-4</v>
      </c>
      <c r="T38" s="37">
        <v>4.0620398235812491E-3</v>
      </c>
      <c r="U38" s="37">
        <v>4.6702942891241989E-4</v>
      </c>
      <c r="V38" s="37">
        <v>1.0809963385167499E-3</v>
      </c>
      <c r="W38" s="37">
        <v>1.3986462624837368E-4</v>
      </c>
      <c r="X38" s="37">
        <v>1.3986462624837368E-4</v>
      </c>
      <c r="Y38" s="37">
        <v>1.3986462624837368E-4</v>
      </c>
      <c r="Z38" s="37">
        <v>1.3986462624837368E-4</v>
      </c>
      <c r="AA38" s="37">
        <v>1.3986462624837368E-4</v>
      </c>
      <c r="AB38" s="37">
        <v>1.3986462624837368E-4</v>
      </c>
      <c r="AC38" s="37">
        <v>1.5539319262700094E-3</v>
      </c>
      <c r="AD38" s="37">
        <v>1.5539319262700094E-3</v>
      </c>
      <c r="AE38" s="37">
        <v>1.5539319262700094E-3</v>
      </c>
      <c r="AF38" s="37">
        <v>1.5539319262700094E-3</v>
      </c>
      <c r="AG38" s="37">
        <v>1.5539319262700094E-3</v>
      </c>
      <c r="AH38" s="37">
        <v>1.5539319262700094E-3</v>
      </c>
      <c r="AI38" s="37">
        <v>1.5539319262700094E-3</v>
      </c>
      <c r="AJ38" s="37">
        <v>1.5539319262700094E-3</v>
      </c>
      <c r="AK38" s="37">
        <v>1.5539319262700094E-3</v>
      </c>
      <c r="AL38" s="37">
        <v>1.5539319262700094E-3</v>
      </c>
      <c r="AM38" s="37">
        <v>1.5539319262700094E-3</v>
      </c>
      <c r="AN38" s="37">
        <v>2.3124632795871027E-4</v>
      </c>
      <c r="AO38" s="37">
        <v>1.4247105566327116E-4</v>
      </c>
      <c r="AP38" s="37">
        <v>1.4247105566327116E-4</v>
      </c>
      <c r="AQ38" s="37">
        <v>1.4247105566327116E-4</v>
      </c>
      <c r="AR38" s="37">
        <v>1.4247105566327116E-4</v>
      </c>
      <c r="AS38" s="37">
        <v>1.4247105566327116E-4</v>
      </c>
      <c r="AT38" s="37">
        <v>1.4247105566327116E-4</v>
      </c>
      <c r="AU38" s="37">
        <v>3.5386332382314169E-4</v>
      </c>
      <c r="AV38" s="37">
        <v>2.9646176956924929E-4</v>
      </c>
      <c r="AW38" s="37">
        <v>1.9888691461055226E-4</v>
      </c>
      <c r="AX38" s="37">
        <v>1.7335209676858209E-3</v>
      </c>
      <c r="AY38" s="37">
        <v>1.5082052818857882E-3</v>
      </c>
      <c r="AZ38" s="37">
        <v>2.3979480149155818E-3</v>
      </c>
      <c r="BA38" s="37">
        <v>1.4504661207497998E-3</v>
      </c>
      <c r="BB38" s="37">
        <v>1.5375269209645876E-3</v>
      </c>
      <c r="BC38" s="37">
        <v>6.8866492640635616E-5</v>
      </c>
      <c r="BD38" s="137">
        <v>3.0191014471282361E-3</v>
      </c>
      <c r="BE38" s="137">
        <v>4.6679609063649003E-3</v>
      </c>
      <c r="BF38" s="37">
        <v>1.5539319262700094E-3</v>
      </c>
    </row>
    <row r="39" spans="1:58" x14ac:dyDescent="0.3">
      <c r="A39" s="37" t="s">
        <v>209</v>
      </c>
      <c r="B39" s="39" t="s">
        <v>158</v>
      </c>
      <c r="C39" s="40" t="s">
        <v>432</v>
      </c>
      <c r="D39" s="36">
        <v>1.1389320519827151E-3</v>
      </c>
      <c r="E39" s="37">
        <v>1.3068871422123845E-3</v>
      </c>
      <c r="F39" s="37">
        <v>1.2789012608226823E-3</v>
      </c>
      <c r="G39" s="85">
        <v>1.1184740108527327E-3</v>
      </c>
      <c r="H39" s="85">
        <v>1.4984149236528582E-3</v>
      </c>
      <c r="I39" s="38">
        <v>9.0409902034748152E-4</v>
      </c>
      <c r="J39" s="36">
        <v>1.3805222145896062E-3</v>
      </c>
      <c r="K39" s="37">
        <v>6.6994697906886248E-4</v>
      </c>
      <c r="L39" s="37">
        <v>4.0263768497304417E-4</v>
      </c>
      <c r="M39" s="37">
        <v>4.0263768497304461E-4</v>
      </c>
      <c r="N39" s="37">
        <v>4.0263768497304417E-4</v>
      </c>
      <c r="O39" s="37">
        <v>4.0263768497304461E-4</v>
      </c>
      <c r="P39" s="37">
        <v>4.0263768497304461E-4</v>
      </c>
      <c r="Q39" s="37">
        <v>4.0263768497304417E-4</v>
      </c>
      <c r="R39" s="37">
        <v>4.0263768497304461E-4</v>
      </c>
      <c r="S39" s="37">
        <v>4.0263768497304417E-4</v>
      </c>
      <c r="T39" s="37">
        <v>3.7416530857871514E-3</v>
      </c>
      <c r="U39" s="37">
        <v>4.0263768497304417E-4</v>
      </c>
      <c r="V39" s="37">
        <v>9.8398165798251037E-4</v>
      </c>
      <c r="W39" s="37">
        <v>2.6871186740905223E-4</v>
      </c>
      <c r="X39" s="37">
        <v>2.6871186740905223E-4</v>
      </c>
      <c r="Y39" s="37">
        <v>2.6871186740905223E-4</v>
      </c>
      <c r="Z39" s="37">
        <v>2.6871186740905223E-4</v>
      </c>
      <c r="AA39" s="37">
        <v>2.6871186740905223E-4</v>
      </c>
      <c r="AB39" s="37">
        <v>2.6871186740905223E-4</v>
      </c>
      <c r="AC39" s="37">
        <v>1.2659291717668037E-3</v>
      </c>
      <c r="AD39" s="37">
        <v>1.2659291717668037E-3</v>
      </c>
      <c r="AE39" s="37">
        <v>1.2659291717668037E-3</v>
      </c>
      <c r="AF39" s="37">
        <v>1.2659291717668037E-3</v>
      </c>
      <c r="AG39" s="37">
        <v>1.2659291717668037E-3</v>
      </c>
      <c r="AH39" s="37">
        <v>1.2659291717668037E-3</v>
      </c>
      <c r="AI39" s="37">
        <v>1.2659291717668037E-3</v>
      </c>
      <c r="AJ39" s="37">
        <v>1.2659291717668037E-3</v>
      </c>
      <c r="AK39" s="37">
        <v>1.2659291717668037E-3</v>
      </c>
      <c r="AL39" s="37">
        <v>1.2659291717668037E-3</v>
      </c>
      <c r="AM39" s="37">
        <v>1.2659291717668037E-3</v>
      </c>
      <c r="AN39" s="37">
        <v>1.8922977572166725E-4</v>
      </c>
      <c r="AO39" s="37">
        <v>2.9154431279598928E-4</v>
      </c>
      <c r="AP39" s="37">
        <v>2.9154431279598928E-4</v>
      </c>
      <c r="AQ39" s="37">
        <v>2.9154431279598928E-4</v>
      </c>
      <c r="AR39" s="37">
        <v>2.9154431279598928E-4</v>
      </c>
      <c r="AS39" s="37">
        <v>2.9154431279598928E-4</v>
      </c>
      <c r="AT39" s="37">
        <v>2.9154431279598928E-4</v>
      </c>
      <c r="AU39" s="37">
        <v>3.0875095374876778E-4</v>
      </c>
      <c r="AV39" s="37">
        <v>2.6234957935798671E-4</v>
      </c>
      <c r="AW39" s="37">
        <v>1.8210428199698616E-4</v>
      </c>
      <c r="AX39" s="37">
        <v>1.4912903549947737E-3</v>
      </c>
      <c r="AY39" s="37">
        <v>1.2771211996037536E-3</v>
      </c>
      <c r="AZ39" s="37">
        <v>2.0975916221958879E-3</v>
      </c>
      <c r="BA39" s="37">
        <v>1.280848383867867E-3</v>
      </c>
      <c r="BB39" s="37">
        <v>1.3515935237773963E-3</v>
      </c>
      <c r="BC39" s="37">
        <v>4.866690384476742E-5</v>
      </c>
      <c r="BD39" s="137">
        <v>2.3621002687432458E-3</v>
      </c>
      <c r="BE39" s="137">
        <v>3.7624519812409331E-3</v>
      </c>
      <c r="BF39" s="37">
        <v>1.2659291717668037E-3</v>
      </c>
    </row>
    <row r="40" spans="1:58" x14ac:dyDescent="0.3">
      <c r="A40" s="37" t="s">
        <v>209</v>
      </c>
      <c r="B40" s="39" t="s">
        <v>159</v>
      </c>
      <c r="C40" s="40" t="s">
        <v>432</v>
      </c>
      <c r="D40" s="36">
        <v>6.299853838552482E-3</v>
      </c>
      <c r="E40" s="37">
        <v>6.4094223398288176E-3</v>
      </c>
      <c r="F40" s="37">
        <v>8.7131417289187055E-3</v>
      </c>
      <c r="G40" s="85">
        <v>7.4913803287614579E-3</v>
      </c>
      <c r="H40" s="85">
        <v>8.2980790018521277E-3</v>
      </c>
      <c r="I40" s="38">
        <v>5.3985791382566532E-3</v>
      </c>
      <c r="J40" s="36">
        <v>7.7962915231387757E-3</v>
      </c>
      <c r="K40" s="37">
        <v>5.3741502566357346E-3</v>
      </c>
      <c r="L40" s="37">
        <v>2.5657433410771202E-3</v>
      </c>
      <c r="M40" s="37">
        <v>2.5657433410771228E-3</v>
      </c>
      <c r="N40" s="37">
        <v>2.5657433410771202E-3</v>
      </c>
      <c r="O40" s="37">
        <v>2.5657433410771228E-3</v>
      </c>
      <c r="P40" s="37">
        <v>2.5657433410771228E-3</v>
      </c>
      <c r="Q40" s="37">
        <v>2.5657433410771202E-3</v>
      </c>
      <c r="R40" s="37">
        <v>2.5657433410771228E-3</v>
      </c>
      <c r="S40" s="37">
        <v>2.5657433410771202E-3</v>
      </c>
      <c r="T40" s="37">
        <v>3.1013118933753601E-2</v>
      </c>
      <c r="U40" s="37">
        <v>2.5657433410771193E-3</v>
      </c>
      <c r="V40" s="37">
        <v>6.6229405049334179E-3</v>
      </c>
      <c r="W40" s="37">
        <v>5.0100677566325344E-3</v>
      </c>
      <c r="X40" s="37">
        <v>5.0100677566325344E-3</v>
      </c>
      <c r="Y40" s="37">
        <v>5.0100677566325344E-3</v>
      </c>
      <c r="Z40" s="37">
        <v>5.0100677566325344E-3</v>
      </c>
      <c r="AA40" s="37">
        <v>5.0100677566325344E-3</v>
      </c>
      <c r="AB40" s="37">
        <v>5.0100677566325344E-3</v>
      </c>
      <c r="AC40" s="37">
        <v>8.6684179386161825E-3</v>
      </c>
      <c r="AD40" s="37">
        <v>8.6684179386161825E-3</v>
      </c>
      <c r="AE40" s="37">
        <v>8.6684179386161825E-3</v>
      </c>
      <c r="AF40" s="37">
        <v>8.6684179386161825E-3</v>
      </c>
      <c r="AG40" s="37">
        <v>8.6684179386161825E-3</v>
      </c>
      <c r="AH40" s="37">
        <v>8.6684179386161825E-3</v>
      </c>
      <c r="AI40" s="37">
        <v>8.6684179386161825E-3</v>
      </c>
      <c r="AJ40" s="37">
        <v>8.6684179386161825E-3</v>
      </c>
      <c r="AK40" s="37">
        <v>8.6684179386161825E-3</v>
      </c>
      <c r="AL40" s="37">
        <v>8.6684179386161825E-3</v>
      </c>
      <c r="AM40" s="37">
        <v>8.6684179386161825E-3</v>
      </c>
      <c r="AN40" s="37">
        <v>7.0774800154424597E-4</v>
      </c>
      <c r="AO40" s="37">
        <v>8.3737154947591593E-3</v>
      </c>
      <c r="AP40" s="37">
        <v>8.3737154947591593E-3</v>
      </c>
      <c r="AQ40" s="37">
        <v>8.3737154947591593E-3</v>
      </c>
      <c r="AR40" s="37">
        <v>8.3737154947591593E-3</v>
      </c>
      <c r="AS40" s="37">
        <v>8.3737154947591593E-3</v>
      </c>
      <c r="AT40" s="37">
        <v>8.3737154947591593E-3</v>
      </c>
      <c r="AU40" s="37">
        <v>1.4531137309272038E-3</v>
      </c>
      <c r="AV40" s="37">
        <v>1.5847728038268544E-3</v>
      </c>
      <c r="AW40" s="37">
        <v>7.4979654348358794E-4</v>
      </c>
      <c r="AX40" s="37">
        <v>1.6981650701040584E-2</v>
      </c>
      <c r="AY40" s="37">
        <v>1.5788290586203884E-2</v>
      </c>
      <c r="AZ40" s="37">
        <v>1.1155478350000294E-2</v>
      </c>
      <c r="BA40" s="37">
        <v>1.5464330882142703E-2</v>
      </c>
      <c r="BB40" s="37">
        <v>1.5562367688014564E-2</v>
      </c>
      <c r="BC40" s="37">
        <v>1.1709253151631536E-4</v>
      </c>
      <c r="BD40" s="137">
        <v>1.8166588994148827E-2</v>
      </c>
      <c r="BE40" s="137">
        <v>2.5674535014610787E-2</v>
      </c>
      <c r="BF40" s="37">
        <v>8.6684179386161825E-3</v>
      </c>
    </row>
    <row r="41" spans="1:58" x14ac:dyDescent="0.3">
      <c r="A41" s="37" t="s">
        <v>209</v>
      </c>
      <c r="B41" s="39" t="s">
        <v>160</v>
      </c>
      <c r="C41" s="40" t="s">
        <v>432</v>
      </c>
      <c r="D41" s="36">
        <v>2.6954614081203099E-4</v>
      </c>
      <c r="E41" s="37">
        <v>3.7338936594724127E-4</v>
      </c>
      <c r="F41" s="37">
        <v>1.3082397602630691E-4</v>
      </c>
      <c r="G41" s="85">
        <v>9.8485711871074136E-5</v>
      </c>
      <c r="H41" s="85">
        <v>3.6972831819223525E-4</v>
      </c>
      <c r="I41" s="38">
        <v>1.7742823687774231E-4</v>
      </c>
      <c r="J41" s="36">
        <v>3.3547990112003814E-4</v>
      </c>
      <c r="K41" s="37">
        <v>9.6734328716639984E-6</v>
      </c>
      <c r="L41" s="37">
        <v>4.0408625570256204E-5</v>
      </c>
      <c r="M41" s="37">
        <v>4.0408625570256238E-5</v>
      </c>
      <c r="N41" s="37">
        <v>4.0408625570256204E-5</v>
      </c>
      <c r="O41" s="37">
        <v>4.0408625570256238E-5</v>
      </c>
      <c r="P41" s="37">
        <v>4.0408625570256238E-5</v>
      </c>
      <c r="Q41" s="37">
        <v>4.0408625570256204E-5</v>
      </c>
      <c r="R41" s="37">
        <v>4.0408625570256238E-5</v>
      </c>
      <c r="S41" s="37">
        <v>4.0408625570256204E-5</v>
      </c>
      <c r="T41" s="37">
        <v>5.4646345150035584E-4</v>
      </c>
      <c r="U41" s="37">
        <v>4.0408625570256204E-5</v>
      </c>
      <c r="V41" s="37">
        <v>-4.1329311221913688E-5</v>
      </c>
      <c r="W41" s="37">
        <v>1.2616912442589835E-4</v>
      </c>
      <c r="X41" s="37">
        <v>1.2616912442589835E-4</v>
      </c>
      <c r="Y41" s="37">
        <v>1.2616912442589835E-4</v>
      </c>
      <c r="Z41" s="37">
        <v>1.2616912442589835E-4</v>
      </c>
      <c r="AA41" s="37">
        <v>1.2616912442589835E-4</v>
      </c>
      <c r="AB41" s="37">
        <v>1.2616912442589835E-4</v>
      </c>
      <c r="AC41" s="37">
        <v>1.3755001506416423E-4</v>
      </c>
      <c r="AD41" s="37">
        <v>1.3755001506416423E-4</v>
      </c>
      <c r="AE41" s="37">
        <v>1.3755001506416423E-4</v>
      </c>
      <c r="AF41" s="37">
        <v>1.3755001506416423E-4</v>
      </c>
      <c r="AG41" s="37">
        <v>1.3755001506416423E-4</v>
      </c>
      <c r="AH41" s="37">
        <v>1.3755001506416423E-4</v>
      </c>
      <c r="AI41" s="37">
        <v>1.3755001506416423E-4</v>
      </c>
      <c r="AJ41" s="37">
        <v>1.3755001506416423E-4</v>
      </c>
      <c r="AK41" s="37">
        <v>1.3755001506416423E-4</v>
      </c>
      <c r="AL41" s="37">
        <v>1.3755001506416423E-4</v>
      </c>
      <c r="AM41" s="37">
        <v>1.3755001506416423E-4</v>
      </c>
      <c r="AN41" s="37">
        <v>1.8554857858951815E-5</v>
      </c>
      <c r="AO41" s="37">
        <v>1.3022018203289582E-4</v>
      </c>
      <c r="AP41" s="37">
        <v>1.3022018203289582E-4</v>
      </c>
      <c r="AQ41" s="37">
        <v>1.3022018203289582E-4</v>
      </c>
      <c r="AR41" s="37">
        <v>1.3022018203289582E-4</v>
      </c>
      <c r="AS41" s="37">
        <v>1.3022018203289582E-4</v>
      </c>
      <c r="AT41" s="37">
        <v>1.3022018203289582E-4</v>
      </c>
      <c r="AU41" s="37">
        <v>2.8021558954096795E-5</v>
      </c>
      <c r="AV41" s="37">
        <v>2.4246893642402189E-5</v>
      </c>
      <c r="AW41" s="37">
        <v>2.3301740100517278E-5</v>
      </c>
      <c r="AX41" s="37">
        <v>2.3783912936471637E-4</v>
      </c>
      <c r="AY41" s="37">
        <v>2.0213525852489197E-4</v>
      </c>
      <c r="AZ41" s="37">
        <v>2.7721922950596923E-4</v>
      </c>
      <c r="BA41" s="37">
        <v>2.0234397123913744E-4</v>
      </c>
      <c r="BB41" s="37">
        <v>2.085619056011881E-4</v>
      </c>
      <c r="BC41" s="37">
        <v>4.7071317085567535E-6</v>
      </c>
      <c r="BD41" s="137">
        <v>2.2613015381157153E-4</v>
      </c>
      <c r="BE41" s="137">
        <v>3.9718024474185332E-4</v>
      </c>
      <c r="BF41" s="37">
        <v>1.3755001506416423E-4</v>
      </c>
    </row>
    <row r="42" spans="1:58" x14ac:dyDescent="0.3">
      <c r="A42" s="37" t="s">
        <v>209</v>
      </c>
      <c r="B42" s="39" t="s">
        <v>161</v>
      </c>
      <c r="C42" s="40" t="s">
        <v>432</v>
      </c>
      <c r="D42" s="36">
        <v>1.1742914443067626E-4</v>
      </c>
      <c r="E42" s="37">
        <v>1.5149705973063803E-4</v>
      </c>
      <c r="F42" s="37">
        <v>1.2867863181647912E-4</v>
      </c>
      <c r="G42" s="85">
        <v>9.9042877730374837E-5</v>
      </c>
      <c r="H42" s="85">
        <v>1.8694316354695245E-4</v>
      </c>
      <c r="I42" s="38">
        <v>7.6208337641312708E-5</v>
      </c>
      <c r="J42" s="36">
        <v>1.5928532113498002E-4</v>
      </c>
      <c r="K42" s="37">
        <v>2.8171372413600441E-5</v>
      </c>
      <c r="L42" s="37">
        <v>1.1770662041912725E-4</v>
      </c>
      <c r="M42" s="37">
        <v>1.1770662041912736E-4</v>
      </c>
      <c r="N42" s="37">
        <v>1.1770662041912725E-4</v>
      </c>
      <c r="O42" s="37">
        <v>1.1770662041912736E-4</v>
      </c>
      <c r="P42" s="37">
        <v>1.1770662041912736E-4</v>
      </c>
      <c r="Q42" s="37">
        <v>1.1770662041912725E-4</v>
      </c>
      <c r="R42" s="37">
        <v>1.1770662041912736E-4</v>
      </c>
      <c r="S42" s="37">
        <v>1.1770662041912725E-4</v>
      </c>
      <c r="T42" s="37">
        <v>1.4421491223406391E-3</v>
      </c>
      <c r="U42" s="37">
        <v>1.1770662041912725E-4</v>
      </c>
      <c r="V42" s="37">
        <v>5.9173700275006607E-4</v>
      </c>
      <c r="W42" s="37">
        <v>-1.3611181259896618E-5</v>
      </c>
      <c r="X42" s="37">
        <v>-1.3611181259896618E-5</v>
      </c>
      <c r="Y42" s="37">
        <v>-1.3611181259896618E-5</v>
      </c>
      <c r="Z42" s="37">
        <v>-1.3611181259896618E-5</v>
      </c>
      <c r="AA42" s="37">
        <v>-1.3611181259896618E-5</v>
      </c>
      <c r="AB42" s="37">
        <v>-1.3611181259896618E-5</v>
      </c>
      <c r="AC42" s="37">
        <v>4.1530669803126067E-4</v>
      </c>
      <c r="AD42" s="37">
        <v>4.1530669803126067E-4</v>
      </c>
      <c r="AE42" s="37">
        <v>4.1530669803126067E-4</v>
      </c>
      <c r="AF42" s="37">
        <v>4.1530669803126067E-4</v>
      </c>
      <c r="AG42" s="37">
        <v>4.1530669803126067E-4</v>
      </c>
      <c r="AH42" s="37">
        <v>4.1530669803126067E-4</v>
      </c>
      <c r="AI42" s="37">
        <v>4.1530669803126067E-4</v>
      </c>
      <c r="AJ42" s="37">
        <v>4.1530669803126067E-4</v>
      </c>
      <c r="AK42" s="37">
        <v>4.1530669803126067E-4</v>
      </c>
      <c r="AL42" s="37">
        <v>4.1530669803126067E-4</v>
      </c>
      <c r="AM42" s="37">
        <v>4.1530669803126067E-4</v>
      </c>
      <c r="AN42" s="37">
        <v>4.7495026921565466E-5</v>
      </c>
      <c r="AO42" s="37">
        <v>5.1423707836834867E-6</v>
      </c>
      <c r="AP42" s="37">
        <v>5.1423707836834867E-6</v>
      </c>
      <c r="AQ42" s="37">
        <v>5.1423707836834867E-6</v>
      </c>
      <c r="AR42" s="37">
        <v>5.1423707836834867E-6</v>
      </c>
      <c r="AS42" s="37">
        <v>5.1423707836834867E-6</v>
      </c>
      <c r="AT42" s="37">
        <v>5.1423707836834867E-6</v>
      </c>
      <c r="AU42" s="37">
        <v>7.0894340047417405E-5</v>
      </c>
      <c r="AV42" s="37">
        <v>6.5346959044934201E-5</v>
      </c>
      <c r="AW42" s="37">
        <v>6.4535610840110174E-5</v>
      </c>
      <c r="AX42" s="37">
        <v>4.4163026509555725E-4</v>
      </c>
      <c r="AY42" s="37">
        <v>3.5862437151248244E-4</v>
      </c>
      <c r="AZ42" s="37">
        <v>7.7475161588238584E-4</v>
      </c>
      <c r="BA42" s="37">
        <v>4.6591060813798581E-4</v>
      </c>
      <c r="BB42" s="37">
        <v>4.9008216203061698E-4</v>
      </c>
      <c r="BC42" s="37">
        <v>1.856234778137845E-5</v>
      </c>
      <c r="BD42" s="137">
        <v>7.3815481582872118E-4</v>
      </c>
      <c r="BE42" s="137">
        <v>1.2381664229106143E-3</v>
      </c>
      <c r="BF42" s="37">
        <v>4.1530669803126067E-4</v>
      </c>
    </row>
    <row r="43" spans="1:58" x14ac:dyDescent="0.3">
      <c r="A43" s="37" t="s">
        <v>209</v>
      </c>
      <c r="B43" s="39" t="s">
        <v>35</v>
      </c>
      <c r="C43" s="40" t="s">
        <v>432</v>
      </c>
      <c r="D43" s="36">
        <v>4.13644308748767E-3</v>
      </c>
      <c r="E43" s="37">
        <v>4.975257668237934E-3</v>
      </c>
      <c r="F43" s="37">
        <v>6.1087707680527971E-3</v>
      </c>
      <c r="G43" s="85">
        <v>5.0106999958758015E-3</v>
      </c>
      <c r="H43" s="85">
        <v>6.7125489670964945E-3</v>
      </c>
      <c r="I43" s="38">
        <v>3.1415308767194037E-3</v>
      </c>
      <c r="J43" s="36">
        <v>5.3872230147770624E-3</v>
      </c>
      <c r="K43" s="37">
        <v>1.3878834646266344E-3</v>
      </c>
      <c r="L43" s="37">
        <v>2.9258803346431668E-2</v>
      </c>
      <c r="M43" s="37">
        <v>2.9258803346431699E-2</v>
      </c>
      <c r="N43" s="37">
        <v>2.9258803346431668E-2</v>
      </c>
      <c r="O43" s="37">
        <v>2.9258803346431699E-2</v>
      </c>
      <c r="P43" s="37">
        <v>2.9258803346431699E-2</v>
      </c>
      <c r="Q43" s="37">
        <v>2.9258803346431668E-2</v>
      </c>
      <c r="R43" s="37">
        <v>2.9258803346431699E-2</v>
      </c>
      <c r="S43" s="37">
        <v>2.9258803346431668E-2</v>
      </c>
      <c r="T43" s="37">
        <v>3.1761885767723506E-2</v>
      </c>
      <c r="U43" s="37">
        <v>2.9258803346431668E-2</v>
      </c>
      <c r="V43" s="37">
        <v>9.0834151691168319E-2</v>
      </c>
      <c r="W43" s="37">
        <v>5.983089487648933E-3</v>
      </c>
      <c r="X43" s="37">
        <v>5.983089487648933E-3</v>
      </c>
      <c r="Y43" s="37">
        <v>5.983089487648933E-3</v>
      </c>
      <c r="Z43" s="37">
        <v>5.983089487648933E-3</v>
      </c>
      <c r="AA43" s="37">
        <v>5.983089487648933E-3</v>
      </c>
      <c r="AB43" s="37">
        <v>5.983089487648933E-3</v>
      </c>
      <c r="AC43" s="37">
        <v>4.8402480934094438E-2</v>
      </c>
      <c r="AD43" s="37">
        <v>4.8402480934094438E-2</v>
      </c>
      <c r="AE43" s="37">
        <v>4.8402480934094438E-2</v>
      </c>
      <c r="AF43" s="37">
        <v>4.8402480934094438E-2</v>
      </c>
      <c r="AG43" s="37">
        <v>4.8402480934094438E-2</v>
      </c>
      <c r="AH43" s="37">
        <v>4.8402480934094438E-2</v>
      </c>
      <c r="AI43" s="37">
        <v>4.8402480934094438E-2</v>
      </c>
      <c r="AJ43" s="37">
        <v>4.8402480934094438E-2</v>
      </c>
      <c r="AK43" s="37">
        <v>4.8402480934094438E-2</v>
      </c>
      <c r="AL43" s="37">
        <v>4.8402480934094438E-2</v>
      </c>
      <c r="AM43" s="37">
        <v>4.8402480934094438E-2</v>
      </c>
      <c r="AN43" s="37">
        <v>9.2680573094810325E-3</v>
      </c>
      <c r="AO43" s="37">
        <v>2.0112459357907651E-2</v>
      </c>
      <c r="AP43" s="37">
        <v>2.0112459357907651E-2</v>
      </c>
      <c r="AQ43" s="37">
        <v>2.0112459357907651E-2</v>
      </c>
      <c r="AR43" s="37">
        <v>2.0112459357907651E-2</v>
      </c>
      <c r="AS43" s="37">
        <v>2.0112459357907651E-2</v>
      </c>
      <c r="AT43" s="37">
        <v>2.0112459357907651E-2</v>
      </c>
      <c r="AU43" s="37">
        <v>2.5520704396284254E-2</v>
      </c>
      <c r="AV43" s="37">
        <v>2.5493938774345356E-2</v>
      </c>
      <c r="AW43" s="37">
        <v>1.3884987761346458E-2</v>
      </c>
      <c r="AX43" s="37">
        <v>5.2832274231732236E-2</v>
      </c>
      <c r="AY43" s="37">
        <v>4.2524963022439285E-2</v>
      </c>
      <c r="AZ43" s="37">
        <v>9.5240599720443742E-2</v>
      </c>
      <c r="BA43" s="37">
        <v>6.6864266624720864E-2</v>
      </c>
      <c r="BB43" s="37">
        <v>6.9010913384736666E-2</v>
      </c>
      <c r="BC43" s="37">
        <v>1.5194028986023833E-3</v>
      </c>
      <c r="BD43" s="137">
        <v>7.092712633361993E-2</v>
      </c>
      <c r="BE43" s="137">
        <v>0.10746668454411666</v>
      </c>
      <c r="BF43" s="37">
        <v>4.8402480934094438E-2</v>
      </c>
    </row>
    <row r="44" spans="1:58" x14ac:dyDescent="0.3">
      <c r="A44" s="37" t="s">
        <v>209</v>
      </c>
      <c r="B44" s="39" t="s">
        <v>7</v>
      </c>
      <c r="C44" s="40" t="s">
        <v>432</v>
      </c>
      <c r="D44" s="36">
        <v>2.2933810198701226E-3</v>
      </c>
      <c r="E44" s="37">
        <v>2.9449557505427048E-3</v>
      </c>
      <c r="F44" s="37">
        <v>8.8702542317625217E-3</v>
      </c>
      <c r="G44" s="85">
        <v>8.2289020886238823E-3</v>
      </c>
      <c r="H44" s="85">
        <v>-4.4897268926752543E-3</v>
      </c>
      <c r="I44" s="38">
        <v>1.638550945239133E-4</v>
      </c>
      <c r="J44" s="36">
        <v>4.1861600179682939E-3</v>
      </c>
      <c r="K44" s="37">
        <v>1.4570751297842552E-4</v>
      </c>
      <c r="L44" s="37">
        <v>2.2538362628177132E-4</v>
      </c>
      <c r="M44" s="37">
        <v>2.2538362628177154E-4</v>
      </c>
      <c r="N44" s="37">
        <v>2.2538362628177132E-4</v>
      </c>
      <c r="O44" s="37">
        <v>2.2538362628177154E-4</v>
      </c>
      <c r="P44" s="37">
        <v>2.2538362628177154E-4</v>
      </c>
      <c r="Q44" s="37">
        <v>2.2538362628177132E-4</v>
      </c>
      <c r="R44" s="37">
        <v>2.2538362628177154E-4</v>
      </c>
      <c r="S44" s="37">
        <v>2.2538362628177132E-4</v>
      </c>
      <c r="T44" s="37">
        <v>2.6855005150277974E-4</v>
      </c>
      <c r="U44" s="37">
        <v>2.2538362628177135E-4</v>
      </c>
      <c r="V44" s="37">
        <v>-2.6315234590132099E-2</v>
      </c>
      <c r="W44" s="37">
        <v>1.0400046584304412E-2</v>
      </c>
      <c r="X44" s="37">
        <v>1.0400046584304412E-2</v>
      </c>
      <c r="Y44" s="37">
        <v>1.0400046584304412E-2</v>
      </c>
      <c r="Z44" s="37">
        <v>1.0400046584304412E-2</v>
      </c>
      <c r="AA44" s="37">
        <v>1.0400046584304412E-2</v>
      </c>
      <c r="AB44" s="37">
        <v>1.0400046584304412E-2</v>
      </c>
      <c r="AC44" s="37">
        <v>4.2276528036274986E-4</v>
      </c>
      <c r="AD44" s="37">
        <v>4.2276528036274986E-4</v>
      </c>
      <c r="AE44" s="37">
        <v>4.2276528036274986E-4</v>
      </c>
      <c r="AF44" s="37">
        <v>4.2276528036274986E-4</v>
      </c>
      <c r="AG44" s="37">
        <v>4.2276528036274986E-4</v>
      </c>
      <c r="AH44" s="37">
        <v>4.2276528036274986E-4</v>
      </c>
      <c r="AI44" s="37">
        <v>4.2276528036274986E-4</v>
      </c>
      <c r="AJ44" s="37">
        <v>4.2276528036274986E-4</v>
      </c>
      <c r="AK44" s="37">
        <v>4.2276528036274986E-4</v>
      </c>
      <c r="AL44" s="37">
        <v>4.2276528036274986E-4</v>
      </c>
      <c r="AM44" s="37">
        <v>4.2276528036274986E-4</v>
      </c>
      <c r="AN44" s="37">
        <v>6.9361110550510222E-5</v>
      </c>
      <c r="AO44" s="37">
        <v>1.0751350808026311E-2</v>
      </c>
      <c r="AP44" s="37">
        <v>1.0751350808026311E-2</v>
      </c>
      <c r="AQ44" s="37">
        <v>1.0751350808026311E-2</v>
      </c>
      <c r="AR44" s="37">
        <v>1.0751350808026311E-2</v>
      </c>
      <c r="AS44" s="37">
        <v>1.0751350808026311E-2</v>
      </c>
      <c r="AT44" s="37">
        <v>1.0751350808026311E-2</v>
      </c>
      <c r="AU44" s="37">
        <v>1.8419566753532165E-4</v>
      </c>
      <c r="AV44" s="37">
        <v>1.8604864743995689E-4</v>
      </c>
      <c r="AW44" s="37">
        <v>1.1140271555644388E-4</v>
      </c>
      <c r="AX44" s="37">
        <v>8.6655312958316393E-3</v>
      </c>
      <c r="AY44" s="37">
        <v>8.2019243928729956E-3</v>
      </c>
      <c r="AZ44" s="37">
        <v>8.9104016063910668E-4</v>
      </c>
      <c r="BA44" s="37">
        <v>3.7234187720281346E-3</v>
      </c>
      <c r="BB44" s="37">
        <v>3.5959833719136883E-3</v>
      </c>
      <c r="BC44" s="37">
        <v>1.3544595557869399E-5</v>
      </c>
      <c r="BD44" s="137">
        <v>6.2723592789608437E-4</v>
      </c>
      <c r="BE44" s="137">
        <v>1.0092306639349464E-3</v>
      </c>
      <c r="BF44" s="37">
        <v>4.2276528036274986E-4</v>
      </c>
    </row>
    <row r="45" spans="1:58" x14ac:dyDescent="0.3">
      <c r="A45" s="37" t="s">
        <v>209</v>
      </c>
      <c r="B45" s="39" t="s">
        <v>8</v>
      </c>
      <c r="C45" s="40" t="s">
        <v>432</v>
      </c>
      <c r="D45" s="36">
        <v>2.7122570244626849</v>
      </c>
      <c r="E45" s="37">
        <v>3.549411002111087</v>
      </c>
      <c r="F45" s="37">
        <v>3.1122154677809895</v>
      </c>
      <c r="G45" s="85">
        <v>2.4996483624032719</v>
      </c>
      <c r="H45" s="85">
        <v>3.887908117947998</v>
      </c>
      <c r="I45" s="38">
        <v>2.3554215770984919</v>
      </c>
      <c r="J45" s="36">
        <v>3.3601368831859721</v>
      </c>
      <c r="K45" s="37">
        <v>19.945790477580715</v>
      </c>
      <c r="L45" s="37">
        <v>9.9561653088886288</v>
      </c>
      <c r="M45" s="37">
        <v>9.9561653088886413</v>
      </c>
      <c r="N45" s="37">
        <v>9.9561653088886288</v>
      </c>
      <c r="O45" s="37">
        <v>9.9561653088886413</v>
      </c>
      <c r="P45" s="37">
        <v>9.9561653088886413</v>
      </c>
      <c r="Q45" s="37">
        <v>9.9561653088886288</v>
      </c>
      <c r="R45" s="37">
        <v>9.9561653088886413</v>
      </c>
      <c r="S45" s="37">
        <v>9.9561653088886288</v>
      </c>
      <c r="T45" s="37">
        <v>11.673050584749893</v>
      </c>
      <c r="U45" s="37">
        <v>9.9561653088886288</v>
      </c>
      <c r="V45" s="37">
        <v>30.931515623459951</v>
      </c>
      <c r="W45" s="37">
        <v>0.58307164678080625</v>
      </c>
      <c r="X45" s="37">
        <v>0.58307164678080625</v>
      </c>
      <c r="Y45" s="37">
        <v>0.58307164678080625</v>
      </c>
      <c r="Z45" s="37">
        <v>0.58307164678080625</v>
      </c>
      <c r="AA45" s="37">
        <v>0.58307164678080625</v>
      </c>
      <c r="AB45" s="37">
        <v>0.58307164678080625</v>
      </c>
      <c r="AC45" s="37">
        <v>18.222496634672421</v>
      </c>
      <c r="AD45" s="37">
        <v>18.222496634672421</v>
      </c>
      <c r="AE45" s="37">
        <v>18.222496634672421</v>
      </c>
      <c r="AF45" s="37">
        <v>18.222496634672421</v>
      </c>
      <c r="AG45" s="37">
        <v>18.222496634672421</v>
      </c>
      <c r="AH45" s="37">
        <v>18.222496634672421</v>
      </c>
      <c r="AI45" s="37">
        <v>18.222496634672421</v>
      </c>
      <c r="AJ45" s="37">
        <v>18.222496634672421</v>
      </c>
      <c r="AK45" s="37">
        <v>18.222496634672421</v>
      </c>
      <c r="AL45" s="37">
        <v>18.222496634672421</v>
      </c>
      <c r="AM45" s="37">
        <v>18.222496634672421</v>
      </c>
      <c r="AN45" s="37">
        <v>3.7816119007062126</v>
      </c>
      <c r="AO45" s="37">
        <v>4.2743407867432541</v>
      </c>
      <c r="AP45" s="37">
        <v>4.2743407867432541</v>
      </c>
      <c r="AQ45" s="37">
        <v>4.2743407867432541</v>
      </c>
      <c r="AR45" s="37">
        <v>4.2743407867432541</v>
      </c>
      <c r="AS45" s="37">
        <v>4.2743407867432541</v>
      </c>
      <c r="AT45" s="37">
        <v>4.2743407867432541</v>
      </c>
      <c r="AU45" s="37">
        <v>9.0726044955353871</v>
      </c>
      <c r="AV45" s="37">
        <v>8.4797639064207715</v>
      </c>
      <c r="AW45" s="37">
        <v>4.600222987006668</v>
      </c>
      <c r="AX45" s="37">
        <v>18.621682065485139</v>
      </c>
      <c r="AY45" s="37">
        <v>15.324890601434662</v>
      </c>
      <c r="AZ45" s="37">
        <v>33.035129184179951</v>
      </c>
      <c r="BA45" s="37">
        <v>22.615371175275325</v>
      </c>
      <c r="BB45" s="37">
        <v>23.473259004455603</v>
      </c>
      <c r="BC45" s="37">
        <v>0.76291185869259026</v>
      </c>
      <c r="BD45" s="138">
        <v>32.754295880762577</v>
      </c>
      <c r="BE45" s="138">
        <v>52.485582613212507</v>
      </c>
      <c r="BF45" s="37">
        <v>18.222496634672421</v>
      </c>
    </row>
    <row r="46" spans="1:58" x14ac:dyDescent="0.3">
      <c r="A46" s="37" t="s">
        <v>209</v>
      </c>
      <c r="B46" s="39" t="s">
        <v>162</v>
      </c>
      <c r="C46" s="40" t="s">
        <v>432</v>
      </c>
      <c r="D46" s="36">
        <v>2.7324269707332691</v>
      </c>
      <c r="E46" s="37">
        <v>3.5735645280408188</v>
      </c>
      <c r="F46" s="37">
        <v>3.1364946442587378</v>
      </c>
      <c r="G46" s="85">
        <v>2.5200927608761838</v>
      </c>
      <c r="H46" s="85">
        <v>3.913324589443882</v>
      </c>
      <c r="I46" s="38">
        <v>2.371070762266883</v>
      </c>
      <c r="J46" s="36">
        <v>3.3846939310176518</v>
      </c>
      <c r="K46" s="37">
        <v>19.954349173214517</v>
      </c>
      <c r="L46" s="37">
        <v>9.9738293295578782</v>
      </c>
      <c r="M46" s="37">
        <v>9.9738293295578906</v>
      </c>
      <c r="N46" s="37">
        <v>9.9738293295578782</v>
      </c>
      <c r="O46" s="37">
        <v>9.9738293295578906</v>
      </c>
      <c r="P46" s="37">
        <v>9.9738293295578906</v>
      </c>
      <c r="Q46" s="37">
        <v>9.9738293295578782</v>
      </c>
      <c r="R46" s="37">
        <v>9.9738293295578906</v>
      </c>
      <c r="S46" s="37">
        <v>9.9738293295578782</v>
      </c>
      <c r="T46" s="37">
        <v>11.702447437379904</v>
      </c>
      <c r="U46" s="37">
        <v>9.9738293295578782</v>
      </c>
      <c r="V46" s="37">
        <v>30.925885486002709</v>
      </c>
      <c r="W46" s="37">
        <v>0.62426638187665329</v>
      </c>
      <c r="X46" s="37">
        <v>0.62426638187665329</v>
      </c>
      <c r="Y46" s="37">
        <v>0.62426638187665329</v>
      </c>
      <c r="Z46" s="37">
        <v>0.62426638187665329</v>
      </c>
      <c r="AA46" s="37">
        <v>0.62426638187665329</v>
      </c>
      <c r="AB46" s="37">
        <v>0.62426638187665329</v>
      </c>
      <c r="AC46" s="37">
        <v>18.254784687927327</v>
      </c>
      <c r="AD46" s="37">
        <v>18.254784687927327</v>
      </c>
      <c r="AE46" s="37">
        <v>18.254784687927327</v>
      </c>
      <c r="AF46" s="37">
        <v>18.254784687927327</v>
      </c>
      <c r="AG46" s="37">
        <v>18.254784687927327</v>
      </c>
      <c r="AH46" s="37">
        <v>18.254784687927327</v>
      </c>
      <c r="AI46" s="37">
        <v>18.254784687927327</v>
      </c>
      <c r="AJ46" s="37">
        <v>18.254784687927327</v>
      </c>
      <c r="AK46" s="37">
        <v>18.254784687927327</v>
      </c>
      <c r="AL46" s="37">
        <v>18.254784687927327</v>
      </c>
      <c r="AM46" s="37">
        <v>18.254784687927327</v>
      </c>
      <c r="AN46" s="37">
        <v>3.7901550529430135</v>
      </c>
      <c r="AO46" s="37">
        <v>4.5553480188938895</v>
      </c>
      <c r="AP46" s="37">
        <v>4.5553480188938895</v>
      </c>
      <c r="AQ46" s="37">
        <v>4.5553480188938895</v>
      </c>
      <c r="AR46" s="37">
        <v>4.5553480188938895</v>
      </c>
      <c r="AS46" s="37">
        <v>4.5553480188938895</v>
      </c>
      <c r="AT46" s="37">
        <v>4.5553480188938895</v>
      </c>
      <c r="AU46" s="37">
        <v>9.0848005098157074</v>
      </c>
      <c r="AV46" s="37">
        <v>8.4916539197095666</v>
      </c>
      <c r="AW46" s="37">
        <v>4.6079653055673058</v>
      </c>
      <c r="AX46" s="37">
        <v>18.723947732106826</v>
      </c>
      <c r="AY46" s="37">
        <v>15.417509671220641</v>
      </c>
      <c r="AZ46" s="37">
        <v>33.096989652299541</v>
      </c>
      <c r="BA46" s="37">
        <v>22.717653800423015</v>
      </c>
      <c r="BB46" s="37">
        <v>23.574124615359526</v>
      </c>
      <c r="BC46" s="37">
        <v>0.76468923944025025</v>
      </c>
      <c r="BD46" s="139">
        <v>32.829472483770914</v>
      </c>
      <c r="BE46" s="139">
        <v>52.587437225024551</v>
      </c>
      <c r="BF46" s="37">
        <v>18.254784687927327</v>
      </c>
    </row>
    <row r="47" spans="1:58" x14ac:dyDescent="0.3">
      <c r="A47" s="37" t="s">
        <v>209</v>
      </c>
      <c r="B47" s="39" t="s">
        <v>163</v>
      </c>
      <c r="C47" s="40" t="s">
        <v>433</v>
      </c>
      <c r="D47" s="36">
        <v>3.4642662336234817</v>
      </c>
      <c r="E47" s="37">
        <v>4.5032355319817734</v>
      </c>
      <c r="F47" s="37">
        <v>5.6703751387173895</v>
      </c>
      <c r="G47" s="85">
        <v>4.8510728142377868</v>
      </c>
      <c r="H47" s="85">
        <v>2.9249234318978345</v>
      </c>
      <c r="I47" s="38">
        <v>2.5087382886173022</v>
      </c>
      <c r="J47" s="36">
        <v>4.6556430262225614</v>
      </c>
      <c r="K47" s="37">
        <v>20.0345981680926</v>
      </c>
      <c r="L47" s="37">
        <v>10.911320090915497</v>
      </c>
      <c r="M47" s="37">
        <v>10.911320090915511</v>
      </c>
      <c r="N47" s="37">
        <v>10.911320090915497</v>
      </c>
      <c r="O47" s="37">
        <v>10.911320090915511</v>
      </c>
      <c r="P47" s="37">
        <v>10.911320090915511</v>
      </c>
      <c r="Q47" s="37">
        <v>10.911320090915497</v>
      </c>
      <c r="R47" s="37">
        <v>10.911320090915511</v>
      </c>
      <c r="S47" s="37">
        <v>10.911320090915497</v>
      </c>
      <c r="T47" s="37">
        <v>12.726469774059845</v>
      </c>
      <c r="U47" s="37">
        <v>10.911320090915497</v>
      </c>
      <c r="V47" s="37">
        <v>26.677372870352752</v>
      </c>
      <c r="W47" s="37">
        <v>3.5597714113467904</v>
      </c>
      <c r="X47" s="37">
        <v>3.5597714113467904</v>
      </c>
      <c r="Y47" s="37">
        <v>3.5597714113467904</v>
      </c>
      <c r="Z47" s="37">
        <v>3.5597714113467904</v>
      </c>
      <c r="AA47" s="37">
        <v>3.5597714113467904</v>
      </c>
      <c r="AB47" s="37">
        <v>3.5597714113467904</v>
      </c>
      <c r="AC47" s="37">
        <v>19.81889191524629</v>
      </c>
      <c r="AD47" s="37">
        <v>19.81889191524629</v>
      </c>
      <c r="AE47" s="37">
        <v>19.81889191524629</v>
      </c>
      <c r="AF47" s="37">
        <v>19.81889191524629</v>
      </c>
      <c r="AG47" s="37">
        <v>19.81889191524629</v>
      </c>
      <c r="AH47" s="37">
        <v>19.81889191524629</v>
      </c>
      <c r="AI47" s="37">
        <v>19.81889191524629</v>
      </c>
      <c r="AJ47" s="37">
        <v>19.81889191524629</v>
      </c>
      <c r="AK47" s="37">
        <v>19.81889191524629</v>
      </c>
      <c r="AL47" s="37">
        <v>19.81889191524629</v>
      </c>
      <c r="AM47" s="37">
        <v>19.81889191524629</v>
      </c>
      <c r="AN47" s="37">
        <v>4.0865774665233294</v>
      </c>
      <c r="AO47" s="37">
        <v>8.0078297637580906</v>
      </c>
      <c r="AP47" s="37">
        <v>8.0078297637580906</v>
      </c>
      <c r="AQ47" s="37">
        <v>8.0078297637580906</v>
      </c>
      <c r="AR47" s="37">
        <v>8.0078297637580906</v>
      </c>
      <c r="AS47" s="37">
        <v>8.0078297637580906</v>
      </c>
      <c r="AT47" s="37">
        <v>8.0078297637580906</v>
      </c>
      <c r="AU47" s="37">
        <v>9.8992334936010948</v>
      </c>
      <c r="AV47" s="37">
        <v>9.3057749745115164</v>
      </c>
      <c r="AW47" s="37">
        <v>5.0540366580301574</v>
      </c>
      <c r="AX47" s="37">
        <v>22.605281752454179</v>
      </c>
      <c r="AY47" s="37">
        <v>18.866768526005163</v>
      </c>
      <c r="AZ47" s="37">
        <v>36.190333286482215</v>
      </c>
      <c r="BA47" s="37">
        <v>25.710287773752096</v>
      </c>
      <c r="BB47" s="37">
        <v>26.597387610458753</v>
      </c>
      <c r="BC47" s="37">
        <v>0.81386064422115711</v>
      </c>
      <c r="BD47" s="140">
        <v>35.123503794671976</v>
      </c>
      <c r="BE47" s="140">
        <v>56.078883887290814</v>
      </c>
      <c r="BF47" s="37">
        <v>19.81889191524629</v>
      </c>
    </row>
    <row r="48" spans="1:58" x14ac:dyDescent="0.3">
      <c r="A48" s="37" t="s">
        <v>209</v>
      </c>
      <c r="B48" s="39" t="s">
        <v>164</v>
      </c>
      <c r="C48" s="40" t="s">
        <v>432</v>
      </c>
      <c r="D48" s="36">
        <v>7.7224056468958024E-4</v>
      </c>
      <c r="E48" s="37">
        <v>7.8836179721232709E-4</v>
      </c>
      <c r="F48" s="37">
        <v>7.6986844817620225E-4</v>
      </c>
      <c r="G48" s="85">
        <v>7.5346751895541658E-4</v>
      </c>
      <c r="H48" s="85">
        <v>7.9898657192261204E-4</v>
      </c>
      <c r="I48" s="38">
        <v>7.6900246533133474E-4</v>
      </c>
      <c r="J48" s="36">
        <v>0</v>
      </c>
      <c r="K48" s="37">
        <v>0</v>
      </c>
      <c r="L48" s="37">
        <v>3.6945039874340571E-4</v>
      </c>
      <c r="M48" s="37">
        <v>3.6945039874340582E-4</v>
      </c>
      <c r="N48" s="37">
        <v>3.6945039874340571E-4</v>
      </c>
      <c r="O48" s="37">
        <v>3.6945039874340582E-4</v>
      </c>
      <c r="P48" s="37">
        <v>3.6945039874340582E-4</v>
      </c>
      <c r="Q48" s="37">
        <v>3.6945039874340571E-4</v>
      </c>
      <c r="R48" s="37">
        <v>3.6945039874340582E-4</v>
      </c>
      <c r="S48" s="37">
        <v>0</v>
      </c>
      <c r="T48" s="37">
        <v>0</v>
      </c>
      <c r="U48" s="37">
        <v>0</v>
      </c>
      <c r="V48" s="37">
        <v>9.3760507265612644E-4</v>
      </c>
      <c r="W48" s="37">
        <v>7.2560198755878289E-4</v>
      </c>
      <c r="X48" s="37">
        <v>7.2560198755878289E-4</v>
      </c>
      <c r="Y48" s="37">
        <v>7.2560198755878289E-4</v>
      </c>
      <c r="Z48" s="37">
        <v>7.2560198755878289E-4</v>
      </c>
      <c r="AA48" s="37">
        <v>7.2560198755878289E-4</v>
      </c>
      <c r="AB48" s="37">
        <v>7.2560198755878289E-4</v>
      </c>
      <c r="AC48" s="37">
        <v>9.0679241280539362E-4</v>
      </c>
      <c r="AD48" s="37">
        <v>9.0679241280539362E-4</v>
      </c>
      <c r="AE48" s="37">
        <v>1.3851000230271153E-2</v>
      </c>
      <c r="AF48" s="37">
        <v>9.0679241280539362E-4</v>
      </c>
      <c r="AG48" s="37">
        <v>9.0679241280539362E-4</v>
      </c>
      <c r="AH48" s="37">
        <v>9.0679241280539362E-4</v>
      </c>
      <c r="AI48" s="37">
        <v>9.0679241280539362E-4</v>
      </c>
      <c r="AJ48" s="37">
        <v>9.0679241280539362E-4</v>
      </c>
      <c r="AK48" s="37">
        <v>9.0679241280539362E-4</v>
      </c>
      <c r="AL48" s="37">
        <v>9.0679241280539362E-4</v>
      </c>
      <c r="AM48" s="37">
        <v>9.0679241280539362E-4</v>
      </c>
      <c r="AN48" s="37">
        <v>0</v>
      </c>
      <c r="AO48" s="37">
        <v>7.8594496571449894E-4</v>
      </c>
      <c r="AP48" s="37">
        <v>7.8594496571449894E-4</v>
      </c>
      <c r="AQ48" s="37">
        <v>7.8594496571449894E-4</v>
      </c>
      <c r="AR48" s="37">
        <v>7.8594496571449894E-4</v>
      </c>
      <c r="AS48" s="37">
        <v>7.8594496571449894E-4</v>
      </c>
      <c r="AT48" s="37">
        <v>7.8594496571449894E-4</v>
      </c>
      <c r="AU48" s="37">
        <v>0</v>
      </c>
      <c r="AV48" s="37">
        <v>0</v>
      </c>
      <c r="AW48" s="37">
        <v>0</v>
      </c>
      <c r="AX48" s="37">
        <v>0</v>
      </c>
      <c r="AY48" s="37">
        <v>0</v>
      </c>
      <c r="AZ48" s="37">
        <v>0</v>
      </c>
      <c r="BA48" s="37">
        <v>0</v>
      </c>
      <c r="BB48" s="37">
        <v>0</v>
      </c>
      <c r="BC48" s="37">
        <v>0</v>
      </c>
      <c r="BD48" s="141">
        <v>1.0293874099522411E-3</v>
      </c>
      <c r="BE48" s="141">
        <v>1.1753392836205585E-3</v>
      </c>
      <c r="BF48" s="37">
        <v>9.0679241280539362E-4</v>
      </c>
    </row>
    <row r="49" spans="1:58" x14ac:dyDescent="0.3">
      <c r="A49" s="37" t="s">
        <v>209</v>
      </c>
      <c r="B49" s="39" t="s">
        <v>165</v>
      </c>
      <c r="C49" s="40" t="s">
        <v>432</v>
      </c>
      <c r="D49" s="36">
        <v>3.2647930218658767E-4</v>
      </c>
      <c r="E49" s="37">
        <v>3.3868535352805251E-4</v>
      </c>
      <c r="F49" s="37">
        <v>3.5720328254474352E-4</v>
      </c>
      <c r="G49" s="87">
        <v>3.1378982563141298E-4</v>
      </c>
      <c r="H49" s="87">
        <v>3.8583572459893452E-4</v>
      </c>
      <c r="I49" s="38">
        <v>3.5142456613551035E-4</v>
      </c>
      <c r="J49" s="36">
        <v>0</v>
      </c>
      <c r="K49" s="37">
        <v>0</v>
      </c>
      <c r="L49" s="37">
        <v>5.3795108125460672E-4</v>
      </c>
      <c r="M49" s="37">
        <v>5.3795108125460705E-4</v>
      </c>
      <c r="N49" s="37">
        <v>5.3795108125460672E-4</v>
      </c>
      <c r="O49" s="37">
        <v>5.3795108125460705E-4</v>
      </c>
      <c r="P49" s="37">
        <v>5.3795108125460705E-4</v>
      </c>
      <c r="Q49" s="37">
        <v>5.3795108125460672E-4</v>
      </c>
      <c r="R49" s="37">
        <v>5.3795108125460705E-4</v>
      </c>
      <c r="S49" s="37">
        <v>1.0000454352250641</v>
      </c>
      <c r="T49" s="37">
        <v>1.0000454352250641</v>
      </c>
      <c r="U49" s="37">
        <v>1.0000454352250641</v>
      </c>
      <c r="V49" s="37">
        <v>1.8186476821689661E-3</v>
      </c>
      <c r="W49" s="37">
        <v>-3.2713571413587824E-4</v>
      </c>
      <c r="X49" s="37">
        <v>-3.2713571413587824E-4</v>
      </c>
      <c r="Y49" s="37">
        <v>-3.2713571413587824E-4</v>
      </c>
      <c r="Z49" s="37">
        <v>-3.2713571413587824E-4</v>
      </c>
      <c r="AA49" s="37">
        <v>-3.2713571413587824E-4</v>
      </c>
      <c r="AB49" s="37">
        <v>-3.2713571413587824E-4</v>
      </c>
      <c r="AC49" s="37">
        <v>1.1759335365822321E-3</v>
      </c>
      <c r="AD49" s="37">
        <v>1.1759335365822321E-3</v>
      </c>
      <c r="AE49" s="37">
        <v>2.4856219731832765E-3</v>
      </c>
      <c r="AF49" s="37">
        <v>1.1759335365822321E-3</v>
      </c>
      <c r="AG49" s="37">
        <v>1.1759335365822321E-3</v>
      </c>
      <c r="AH49" s="37">
        <v>1.1759335365822321E-3</v>
      </c>
      <c r="AI49" s="37">
        <v>1.1759335365822321E-3</v>
      </c>
      <c r="AJ49" s="37">
        <v>1.1759335365822321E-3</v>
      </c>
      <c r="AK49" s="37">
        <v>1.1759335365822321E-3</v>
      </c>
      <c r="AL49" s="37">
        <v>1.1759335365822321E-3</v>
      </c>
      <c r="AM49" s="37">
        <v>1.1759335365822321E-3</v>
      </c>
      <c r="AN49" s="37">
        <v>0</v>
      </c>
      <c r="AO49" s="37">
        <v>-1.4038015426771829E-4</v>
      </c>
      <c r="AP49" s="37">
        <v>-1.4038015426771829E-4</v>
      </c>
      <c r="AQ49" s="37">
        <v>-1.4038015426771829E-4</v>
      </c>
      <c r="AR49" s="37">
        <v>-1.4038015426771829E-4</v>
      </c>
      <c r="AS49" s="37">
        <v>-1.4038015426771829E-4</v>
      </c>
      <c r="AT49" s="37">
        <v>-1.4038015426771829E-4</v>
      </c>
      <c r="AU49" s="37">
        <v>0</v>
      </c>
      <c r="AV49" s="37">
        <v>0</v>
      </c>
      <c r="AW49" s="37">
        <v>0</v>
      </c>
      <c r="AX49" s="37">
        <v>0</v>
      </c>
      <c r="AY49" s="37">
        <v>0</v>
      </c>
      <c r="AZ49" s="37">
        <v>0</v>
      </c>
      <c r="BA49" s="37">
        <v>0</v>
      </c>
      <c r="BB49" s="37">
        <v>0</v>
      </c>
      <c r="BC49" s="37">
        <v>0</v>
      </c>
      <c r="BD49" s="137">
        <v>2.0133569329911743E-3</v>
      </c>
      <c r="BE49" s="137">
        <v>2.8657492830758569E-3</v>
      </c>
      <c r="BF49" s="37">
        <v>1.1759335365822321E-3</v>
      </c>
    </row>
    <row r="50" spans="1:58" x14ac:dyDescent="0.3">
      <c r="A50" s="37" t="s">
        <v>209</v>
      </c>
      <c r="B50" s="39" t="s">
        <v>166</v>
      </c>
      <c r="C50" s="40" t="s">
        <v>432</v>
      </c>
      <c r="D50" s="36">
        <v>4.6298608957948714E-4</v>
      </c>
      <c r="E50" s="37">
        <v>4.857734401716043E-4</v>
      </c>
      <c r="F50" s="37">
        <v>5.7931590225649972E-4</v>
      </c>
      <c r="G50" s="85">
        <v>5.0513760807440865E-4</v>
      </c>
      <c r="H50" s="85">
        <v>6.0710171436792557E-4</v>
      </c>
      <c r="I50" s="38">
        <v>4.4131446855890364E-4</v>
      </c>
      <c r="J50" s="36">
        <v>7.8423516490255557E-4</v>
      </c>
      <c r="K50" s="37">
        <v>7.2050649867551808E-4</v>
      </c>
      <c r="L50" s="37">
        <v>7.4589563822587373E-4</v>
      </c>
      <c r="M50" s="37">
        <v>7.4589563822587438E-4</v>
      </c>
      <c r="N50" s="37">
        <v>7.4589563822587373E-4</v>
      </c>
      <c r="O50" s="37">
        <v>7.4589563822587438E-4</v>
      </c>
      <c r="P50" s="37">
        <v>7.4589563822587438E-4</v>
      </c>
      <c r="Q50" s="37">
        <v>7.4589563822587373E-4</v>
      </c>
      <c r="R50" s="37">
        <v>7.4589563822587438E-4</v>
      </c>
      <c r="S50" s="37">
        <v>3.6945039874340571E-4</v>
      </c>
      <c r="T50" s="37">
        <v>4.8671978560768924E-4</v>
      </c>
      <c r="U50" s="37">
        <v>3.6945039874340571E-4</v>
      </c>
      <c r="V50" s="37">
        <v>2.7107910534421519E-3</v>
      </c>
      <c r="W50" s="37">
        <v>-8.3388897564785447E-4</v>
      </c>
      <c r="X50" s="37">
        <v>-8.3388897564785447E-4</v>
      </c>
      <c r="Y50" s="37">
        <v>-8.3388897564785447E-4</v>
      </c>
      <c r="Z50" s="37">
        <v>-8.3388897564785447E-4</v>
      </c>
      <c r="AA50" s="37">
        <v>-8.3388897564785447E-4</v>
      </c>
      <c r="AB50" s="37">
        <v>-8.3388897564785447E-4</v>
      </c>
      <c r="AC50" s="37">
        <v>1.9456629484946506E-3</v>
      </c>
      <c r="AD50" s="37">
        <v>1.9456629484946506E-3</v>
      </c>
      <c r="AE50" s="37">
        <v>4.1254320240787408E-3</v>
      </c>
      <c r="AF50" s="37">
        <v>1.9456629484946506E-3</v>
      </c>
      <c r="AG50" s="37">
        <v>1.9456629484946506E-3</v>
      </c>
      <c r="AH50" s="37">
        <v>1.9456629484946506E-3</v>
      </c>
      <c r="AI50" s="37">
        <v>1.9456629484946506E-3</v>
      </c>
      <c r="AJ50" s="37">
        <v>1.9456629484946506E-3</v>
      </c>
      <c r="AK50" s="37">
        <v>1.9456629484946506E-3</v>
      </c>
      <c r="AL50" s="37">
        <v>1.9456629484946506E-3</v>
      </c>
      <c r="AM50" s="37">
        <v>1.9456629484946506E-3</v>
      </c>
      <c r="AN50" s="37">
        <v>7.4376648274960861E-4</v>
      </c>
      <c r="AO50" s="37">
        <v>-5.4661059534560235E-4</v>
      </c>
      <c r="AP50" s="37">
        <v>-5.4661059534560235E-4</v>
      </c>
      <c r="AQ50" s="37">
        <v>-5.4661059534560235E-4</v>
      </c>
      <c r="AR50" s="37">
        <v>-5.4661059534560235E-4</v>
      </c>
      <c r="AS50" s="37">
        <v>-5.4661059534560235E-4</v>
      </c>
      <c r="AT50" s="37">
        <v>-5.4661059534560235E-4</v>
      </c>
      <c r="AU50" s="37">
        <v>3.5333984895225245E-4</v>
      </c>
      <c r="AV50" s="37">
        <v>3.6235097812484376E-4</v>
      </c>
      <c r="AW50" s="37">
        <v>3.0106541648393213E-4</v>
      </c>
      <c r="AX50" s="37">
        <v>2.9548233735673355E-4</v>
      </c>
      <c r="AY50" s="37">
        <v>3.0537297614292955E-4</v>
      </c>
      <c r="AZ50" s="37">
        <v>5.6648207754032582E-4</v>
      </c>
      <c r="BA50" s="37">
        <v>3.7891052021405357E-4</v>
      </c>
      <c r="BB50" s="37">
        <v>3.9221869362392973E-4</v>
      </c>
      <c r="BC50" s="37">
        <v>2.5477932535245142E-4</v>
      </c>
      <c r="BD50" s="137">
        <v>3.6318643725557639E-3</v>
      </c>
      <c r="BE50" s="137">
        <v>5.0952586172413918E-3</v>
      </c>
      <c r="BF50" s="37">
        <v>1.9456629484946506E-3</v>
      </c>
    </row>
    <row r="51" spans="1:58" x14ac:dyDescent="0.3">
      <c r="A51" s="37" t="s">
        <v>209</v>
      </c>
      <c r="B51" s="39" t="s">
        <v>167</v>
      </c>
      <c r="C51" s="40" t="s">
        <v>432</v>
      </c>
      <c r="D51" s="36">
        <v>3.2888108078943508E-5</v>
      </c>
      <c r="E51" s="37">
        <v>3.58797980451737E-5</v>
      </c>
      <c r="F51" s="37">
        <v>3.9473543741964187E-5</v>
      </c>
      <c r="G51" s="85">
        <v>3.2911125139689725E-5</v>
      </c>
      <c r="H51" s="85">
        <v>4.5838651893074221E-5</v>
      </c>
      <c r="I51" s="38">
        <v>3.099363617821111E-5</v>
      </c>
      <c r="J51" s="36">
        <v>3.4866730528719655E-4</v>
      </c>
      <c r="K51" s="37">
        <v>2.1904919532014989E-4</v>
      </c>
      <c r="L51" s="37">
        <v>7.2470154676795219E-5</v>
      </c>
      <c r="M51" s="37">
        <v>7.24701546767953E-5</v>
      </c>
      <c r="N51" s="37">
        <v>7.2470154676795219E-5</v>
      </c>
      <c r="O51" s="37">
        <v>7.24701546767953E-5</v>
      </c>
      <c r="P51" s="37">
        <v>7.24701546767953E-5</v>
      </c>
      <c r="Q51" s="37">
        <v>7.2470154676795219E-5</v>
      </c>
      <c r="R51" s="37">
        <v>7.24701546767953E-5</v>
      </c>
      <c r="S51" s="37">
        <v>5.3795108125460672E-4</v>
      </c>
      <c r="T51" s="37">
        <v>7.3089596757581576E-4</v>
      </c>
      <c r="U51" s="37">
        <v>5.3795108125460661E-4</v>
      </c>
      <c r="V51" s="37">
        <v>1.9995183175413307E-4</v>
      </c>
      <c r="W51" s="37">
        <v>-1.4808732424589113E-4</v>
      </c>
      <c r="X51" s="37">
        <v>-1.4808732424589113E-4</v>
      </c>
      <c r="Y51" s="37">
        <v>-1.4808732424589113E-4</v>
      </c>
      <c r="Z51" s="37">
        <v>-1.4808732424589113E-4</v>
      </c>
      <c r="AA51" s="37">
        <v>-1.4808732424589113E-4</v>
      </c>
      <c r="AB51" s="37">
        <v>-1.4808732424589113E-4</v>
      </c>
      <c r="AC51" s="37">
        <v>1.7149531149616152E-4</v>
      </c>
      <c r="AD51" s="37">
        <v>1.7149531149616152E-4</v>
      </c>
      <c r="AE51" s="37">
        <v>2.7479270218963797E-4</v>
      </c>
      <c r="AF51" s="37">
        <v>1.7149531149616152E-4</v>
      </c>
      <c r="AG51" s="37">
        <v>1.7149531149616152E-4</v>
      </c>
      <c r="AH51" s="37">
        <v>1.7149531149616152E-4</v>
      </c>
      <c r="AI51" s="37">
        <v>1.7149531149616152E-4</v>
      </c>
      <c r="AJ51" s="37">
        <v>1.7149531149616152E-4</v>
      </c>
      <c r="AK51" s="37">
        <v>1.7149531149616152E-4</v>
      </c>
      <c r="AL51" s="37">
        <v>1.7149531149616152E-4</v>
      </c>
      <c r="AM51" s="37">
        <v>1.7149531149616152E-4</v>
      </c>
      <c r="AN51" s="37">
        <v>2.7895057709599429E-4</v>
      </c>
      <c r="AO51" s="37">
        <v>-1.0946163140405036E-4</v>
      </c>
      <c r="AP51" s="37">
        <v>-1.0946163140405036E-4</v>
      </c>
      <c r="AQ51" s="37">
        <v>-1.0946163140405036E-4</v>
      </c>
      <c r="AR51" s="37">
        <v>-1.0946163140405036E-4</v>
      </c>
      <c r="AS51" s="37">
        <v>-1.0946163140405036E-4</v>
      </c>
      <c r="AT51" s="37">
        <v>-1.0946163140405036E-4</v>
      </c>
      <c r="AU51" s="37">
        <v>4.1189979462913297E-4</v>
      </c>
      <c r="AV51" s="37">
        <v>4.2171441898728368E-4</v>
      </c>
      <c r="AW51" s="37">
        <v>3.1348150665790568E-4</v>
      </c>
      <c r="AX51" s="37">
        <v>1.6316433234205456E-5</v>
      </c>
      <c r="AY51" s="37">
        <v>3.5763125780981849E-4</v>
      </c>
      <c r="AZ51" s="37">
        <v>1.7552778484491967E-3</v>
      </c>
      <c r="BA51" s="37">
        <v>6.7368022931928357E-4</v>
      </c>
      <c r="BB51" s="37">
        <v>7.5277942226028443E-4</v>
      </c>
      <c r="BC51" s="37">
        <v>1.7157264468396565E-4</v>
      </c>
      <c r="BD51" s="137">
        <v>3.7527840321712516E-4</v>
      </c>
      <c r="BE51" s="137">
        <v>5.0999564791760538E-4</v>
      </c>
      <c r="BF51" s="37">
        <v>1.7149531149616152E-4</v>
      </c>
    </row>
    <row r="52" spans="1:58" x14ac:dyDescent="0.3">
      <c r="A52" s="37" t="s">
        <v>209</v>
      </c>
      <c r="B52" s="39" t="s">
        <v>168</v>
      </c>
      <c r="C52" s="40" t="s">
        <v>432</v>
      </c>
      <c r="D52" s="36">
        <v>2.4347536094010278E-5</v>
      </c>
      <c r="E52" s="37">
        <v>2.6979694954510819E-5</v>
      </c>
      <c r="F52" s="37">
        <v>3.0606048428902501E-5</v>
      </c>
      <c r="G52" s="85">
        <v>2.5317960749311706E-5</v>
      </c>
      <c r="H52" s="85">
        <v>3.5672061285898374E-5</v>
      </c>
      <c r="I52" s="38">
        <v>2.1615347901732307E-5</v>
      </c>
      <c r="J52" s="36">
        <v>5.2801759644946196E-4</v>
      </c>
      <c r="K52" s="37">
        <v>3.3081996701827437E-4</v>
      </c>
      <c r="L52" s="37">
        <v>6.3938832107856614E-5</v>
      </c>
      <c r="M52" s="37">
        <v>6.3938832107856655E-5</v>
      </c>
      <c r="N52" s="37">
        <v>6.3938832107856614E-5</v>
      </c>
      <c r="O52" s="37">
        <v>6.3938832107856655E-5</v>
      </c>
      <c r="P52" s="37">
        <v>6.3938832107856655E-5</v>
      </c>
      <c r="Q52" s="37">
        <v>6.3938832107856614E-5</v>
      </c>
      <c r="R52" s="37">
        <v>6.3938832107856655E-5</v>
      </c>
      <c r="S52" s="37">
        <v>7.4589563822587373E-4</v>
      </c>
      <c r="T52" s="37">
        <v>2.7904059086172497E-3</v>
      </c>
      <c r="U52" s="37">
        <v>7.4589563822587373E-4</v>
      </c>
      <c r="V52" s="37">
        <v>1.7564280566959299E-4</v>
      </c>
      <c r="W52" s="37">
        <v>-1.2970110168577305E-4</v>
      </c>
      <c r="X52" s="37">
        <v>-1.2970110168577305E-4</v>
      </c>
      <c r="Y52" s="37">
        <v>-1.2970110168577305E-4</v>
      </c>
      <c r="Z52" s="37">
        <v>-1.2970110168577305E-4</v>
      </c>
      <c r="AA52" s="37">
        <v>-1.2970110168577305E-4</v>
      </c>
      <c r="AB52" s="37">
        <v>-1.2970110168577305E-4</v>
      </c>
      <c r="AC52" s="37">
        <v>1.4855471959792897E-4</v>
      </c>
      <c r="AD52" s="37">
        <v>1.4855471959792897E-4</v>
      </c>
      <c r="AE52" s="37">
        <v>2.3905312744928331E-4</v>
      </c>
      <c r="AF52" s="37">
        <v>1.4855471959792897E-4</v>
      </c>
      <c r="AG52" s="37">
        <v>1.4855471959792897E-4</v>
      </c>
      <c r="AH52" s="37">
        <v>1.4855471959792897E-4</v>
      </c>
      <c r="AI52" s="37">
        <v>1.4855471959792897E-4</v>
      </c>
      <c r="AJ52" s="37">
        <v>1.4855471959792897E-4</v>
      </c>
      <c r="AK52" s="37">
        <v>1.4855471959792897E-4</v>
      </c>
      <c r="AL52" s="37">
        <v>1.4855471959792897E-4</v>
      </c>
      <c r="AM52" s="37">
        <v>1.4855471959792897E-4</v>
      </c>
      <c r="AN52" s="37">
        <v>4.1671486486635572E-4</v>
      </c>
      <c r="AO52" s="37">
        <v>-9.3604419609979609E-5</v>
      </c>
      <c r="AP52" s="37">
        <v>-9.3604419609979609E-5</v>
      </c>
      <c r="AQ52" s="37">
        <v>-9.3604419609979609E-5</v>
      </c>
      <c r="AR52" s="37">
        <v>-9.3604419609979609E-5</v>
      </c>
      <c r="AS52" s="37">
        <v>-9.3604419609979609E-5</v>
      </c>
      <c r="AT52" s="37">
        <v>-9.3604419609979609E-5</v>
      </c>
      <c r="AU52" s="37">
        <v>5.1978329932573207E-4</v>
      </c>
      <c r="AV52" s="37">
        <v>5.3930652475059641E-4</v>
      </c>
      <c r="AW52" s="37">
        <v>3.8725922781991055E-4</v>
      </c>
      <c r="AX52" s="37">
        <v>6.885726856982482E-6</v>
      </c>
      <c r="AY52" s="37">
        <v>4.897030747713269E-4</v>
      </c>
      <c r="AZ52" s="37">
        <v>2.5593679159682907E-3</v>
      </c>
      <c r="BA52" s="37">
        <v>8.7879016581229397E-4</v>
      </c>
      <c r="BB52" s="37">
        <v>1.0121289770304472E-3</v>
      </c>
      <c r="BC52" s="37">
        <v>2.119527549284896E-4</v>
      </c>
      <c r="BD52" s="137">
        <v>3.2613990429137022E-4</v>
      </c>
      <c r="BE52" s="137">
        <v>4.4366003106879225E-4</v>
      </c>
      <c r="BF52" s="37">
        <v>1.4855471959792897E-4</v>
      </c>
    </row>
    <row r="53" spans="1:58" x14ac:dyDescent="0.3">
      <c r="A53" s="37" t="s">
        <v>209</v>
      </c>
      <c r="B53" s="39" t="s">
        <v>169</v>
      </c>
      <c r="C53" s="40" t="s">
        <v>432</v>
      </c>
      <c r="D53" s="36">
        <v>1.0731943382989774E-4</v>
      </c>
      <c r="E53" s="37">
        <v>1.1785544518368572E-4</v>
      </c>
      <c r="F53" s="37">
        <v>1.7951940941252878E-4</v>
      </c>
      <c r="G53" s="85">
        <v>1.4406481349952914E-4</v>
      </c>
      <c r="H53" s="85">
        <v>1.9254950977785795E-4</v>
      </c>
      <c r="I53" s="38">
        <v>8.0497942862188822E-5</v>
      </c>
      <c r="J53" s="36">
        <v>3.8186880286909728E-5</v>
      </c>
      <c r="K53" s="37">
        <v>1.9998307674273446E-5</v>
      </c>
      <c r="L53" s="37">
        <v>1.8762929002968986E-4</v>
      </c>
      <c r="M53" s="37">
        <v>1.8762929002969002E-4</v>
      </c>
      <c r="N53" s="37">
        <v>1.8762929002968986E-4</v>
      </c>
      <c r="O53" s="37">
        <v>1.8762929002969002E-4</v>
      </c>
      <c r="P53" s="37">
        <v>1.8762929002969002E-4</v>
      </c>
      <c r="Q53" s="37">
        <v>1.8762929002968986E-4</v>
      </c>
      <c r="R53" s="37">
        <v>1.8762929002969002E-4</v>
      </c>
      <c r="S53" s="37">
        <v>7.2470154676795219E-5</v>
      </c>
      <c r="T53" s="37">
        <v>2.5431432853344904E-4</v>
      </c>
      <c r="U53" s="37">
        <v>7.2470154676795192E-5</v>
      </c>
      <c r="V53" s="37">
        <v>1.1579278609128987E-3</v>
      </c>
      <c r="W53" s="37">
        <v>-1.1544614542730166E-3</v>
      </c>
      <c r="X53" s="37">
        <v>-1.1544614542730166E-3</v>
      </c>
      <c r="Y53" s="37">
        <v>-1.1544614542730166E-3</v>
      </c>
      <c r="Z53" s="37">
        <v>-1.1544614542730166E-3</v>
      </c>
      <c r="AA53" s="37">
        <v>-1.1544614542730166E-3</v>
      </c>
      <c r="AB53" s="37">
        <v>-1.1544614542730166E-3</v>
      </c>
      <c r="AC53" s="37">
        <v>9.8270372325285531E-4</v>
      </c>
      <c r="AD53" s="37">
        <v>9.8270372325285531E-4</v>
      </c>
      <c r="AE53" s="37">
        <v>1.63236661858721E-3</v>
      </c>
      <c r="AF53" s="37">
        <v>9.8270372325285531E-4</v>
      </c>
      <c r="AG53" s="37">
        <v>9.8270372325285531E-4</v>
      </c>
      <c r="AH53" s="37">
        <v>9.8270372325285531E-4</v>
      </c>
      <c r="AI53" s="37">
        <v>9.8270372325285531E-4</v>
      </c>
      <c r="AJ53" s="37">
        <v>9.8270372325285531E-4</v>
      </c>
      <c r="AK53" s="37">
        <v>9.8270372325285531E-4</v>
      </c>
      <c r="AL53" s="37">
        <v>9.8270372325285531E-4</v>
      </c>
      <c r="AM53" s="37">
        <v>9.8270372325285531E-4</v>
      </c>
      <c r="AN53" s="37">
        <v>3.1670891234803981E-5</v>
      </c>
      <c r="AO53" s="37">
        <v>-1.0492066867932618E-3</v>
      </c>
      <c r="AP53" s="37">
        <v>-1.0492066867932618E-3</v>
      </c>
      <c r="AQ53" s="37">
        <v>-1.0492066867932618E-3</v>
      </c>
      <c r="AR53" s="37">
        <v>-1.0492066867932618E-3</v>
      </c>
      <c r="AS53" s="37">
        <v>-1.0492066867932618E-3</v>
      </c>
      <c r="AT53" s="37">
        <v>-1.0492066867932618E-3</v>
      </c>
      <c r="AU53" s="37">
        <v>5.264187645926353E-5</v>
      </c>
      <c r="AV53" s="37">
        <v>5.4398123282867195E-5</v>
      </c>
      <c r="AW53" s="37">
        <v>2.5285611730016187E-5</v>
      </c>
      <c r="AX53" s="37">
        <v>2.880829081840448E-5</v>
      </c>
      <c r="AY53" s="37">
        <v>2.3445011474453278E-5</v>
      </c>
      <c r="AZ53" s="37">
        <v>1.6523518280884433E-4</v>
      </c>
      <c r="BA53" s="37">
        <v>3.2657985850579742E-5</v>
      </c>
      <c r="BB53" s="37">
        <v>4.5020263781600308E-5</v>
      </c>
      <c r="BC53" s="37">
        <v>1.0364261759178219E-5</v>
      </c>
      <c r="BD53" s="137">
        <v>2.3234247467463711E-3</v>
      </c>
      <c r="BE53" s="137">
        <v>3.2144084223766117E-3</v>
      </c>
      <c r="BF53" s="37">
        <v>9.8270372325285531E-4</v>
      </c>
    </row>
    <row r="54" spans="1:58" x14ac:dyDescent="0.3">
      <c r="A54" s="37" t="s">
        <v>209</v>
      </c>
      <c r="B54" s="39" t="s">
        <v>170</v>
      </c>
      <c r="C54" s="40" t="s">
        <v>432</v>
      </c>
      <c r="D54" s="36">
        <v>2.6170012638932798E-6</v>
      </c>
      <c r="E54" s="37">
        <v>2.9269438019420593E-6</v>
      </c>
      <c r="F54" s="37">
        <v>3.2128482558487154E-6</v>
      </c>
      <c r="G54" s="85">
        <v>2.6039788997161725E-6</v>
      </c>
      <c r="H54" s="85">
        <v>3.7402930474021224E-6</v>
      </c>
      <c r="I54" s="38">
        <v>2.2841495596036179E-6</v>
      </c>
      <c r="J54" s="36">
        <v>2.9091022730351499E-5</v>
      </c>
      <c r="K54" s="37">
        <v>1.406402703591521E-5</v>
      </c>
      <c r="L54" s="37">
        <v>4.0327741091252276E-6</v>
      </c>
      <c r="M54" s="37">
        <v>4.0327741091252319E-6</v>
      </c>
      <c r="N54" s="37">
        <v>4.0327741091252276E-6</v>
      </c>
      <c r="O54" s="37">
        <v>4.0327741091252319E-6</v>
      </c>
      <c r="P54" s="37">
        <v>4.0327741091252319E-6</v>
      </c>
      <c r="Q54" s="37">
        <v>4.0327741091252276E-6</v>
      </c>
      <c r="R54" s="37">
        <v>4.0327741091252319E-6</v>
      </c>
      <c r="S54" s="37">
        <v>6.3938832107856614E-5</v>
      </c>
      <c r="T54" s="37">
        <v>2.3270744263221072E-4</v>
      </c>
      <c r="U54" s="37">
        <v>6.393883210785656E-5</v>
      </c>
      <c r="V54" s="37">
        <v>8.282249222682596E-6</v>
      </c>
      <c r="W54" s="37">
        <v>-3.9829273279071894E-6</v>
      </c>
      <c r="X54" s="37">
        <v>-3.9829273279071894E-6</v>
      </c>
      <c r="Y54" s="37">
        <v>-3.9829273279071894E-6</v>
      </c>
      <c r="Z54" s="37">
        <v>-3.9829273279071894E-6</v>
      </c>
      <c r="AA54" s="37">
        <v>-3.9829273279071894E-6</v>
      </c>
      <c r="AB54" s="37">
        <v>-3.9829273279071894E-6</v>
      </c>
      <c r="AC54" s="37">
        <v>8.5714139575227806E-6</v>
      </c>
      <c r="AD54" s="37">
        <v>8.5714139575227806E-6</v>
      </c>
      <c r="AE54" s="37">
        <v>1.433538212189462E-5</v>
      </c>
      <c r="AF54" s="37">
        <v>8.5714139575227806E-6</v>
      </c>
      <c r="AG54" s="37">
        <v>8.5714139575227806E-6</v>
      </c>
      <c r="AH54" s="37">
        <v>8.5714139575227806E-6</v>
      </c>
      <c r="AI54" s="37">
        <v>8.5714139575227806E-6</v>
      </c>
      <c r="AJ54" s="37">
        <v>8.5714139575227806E-6</v>
      </c>
      <c r="AK54" s="37">
        <v>8.5714139575227806E-6</v>
      </c>
      <c r="AL54" s="37">
        <v>8.5714139575227806E-6</v>
      </c>
      <c r="AM54" s="37">
        <v>8.5714139575227806E-6</v>
      </c>
      <c r="AN54" s="37">
        <v>2.6402946414285553E-5</v>
      </c>
      <c r="AO54" s="37">
        <v>-1.7846566574669227E-6</v>
      </c>
      <c r="AP54" s="37">
        <v>-1.7846566574669227E-6</v>
      </c>
      <c r="AQ54" s="37">
        <v>-1.7846566574669227E-6</v>
      </c>
      <c r="AR54" s="37">
        <v>-1.7846566574669227E-6</v>
      </c>
      <c r="AS54" s="37">
        <v>-1.7846566574669227E-6</v>
      </c>
      <c r="AT54" s="37">
        <v>-1.7846566574669227E-6</v>
      </c>
      <c r="AU54" s="37">
        <v>4.6979558146371276E-5</v>
      </c>
      <c r="AV54" s="37">
        <v>4.8373715848354192E-5</v>
      </c>
      <c r="AW54" s="37">
        <v>2.0568506304645579E-5</v>
      </c>
      <c r="AX54" s="37">
        <v>8.4468631935478109E-7</v>
      </c>
      <c r="AY54" s="37">
        <v>1.8458771780796876E-5</v>
      </c>
      <c r="AZ54" s="37">
        <v>1.4278324511337697E-4</v>
      </c>
      <c r="BA54" s="37">
        <v>2.7268269527752039E-5</v>
      </c>
      <c r="BB54" s="37">
        <v>3.8043523831160646E-5</v>
      </c>
      <c r="BC54" s="37">
        <v>6.1358118347832964E-6</v>
      </c>
      <c r="BD54" s="137">
        <v>1.7775306077689668E-5</v>
      </c>
      <c r="BE54" s="137">
        <v>2.3971691914286928E-5</v>
      </c>
      <c r="BF54" s="37">
        <v>8.5714139575227806E-6</v>
      </c>
    </row>
    <row r="55" spans="1:58" x14ac:dyDescent="0.3">
      <c r="A55" s="37" t="s">
        <v>209</v>
      </c>
      <c r="B55" s="39" t="s">
        <v>171</v>
      </c>
      <c r="C55" s="40" t="s">
        <v>432</v>
      </c>
      <c r="D55" s="36">
        <v>6.4673549285231497E-6</v>
      </c>
      <c r="E55" s="37">
        <v>7.0146021712449213E-6</v>
      </c>
      <c r="F55" s="37">
        <v>9.1639634506541805E-6</v>
      </c>
      <c r="G55" s="89">
        <v>7.6282372272873692E-6</v>
      </c>
      <c r="H55" s="89">
        <v>9.9259094893492166E-6</v>
      </c>
      <c r="I55" s="38">
        <v>5.4313943463360186E-6</v>
      </c>
      <c r="J55" s="36">
        <v>1.41084560869672E-4</v>
      </c>
      <c r="K55" s="37">
        <v>6.3062100690885195E-5</v>
      </c>
      <c r="L55" s="37">
        <v>1.570827528942727E-5</v>
      </c>
      <c r="M55" s="37">
        <v>1.570827528942728E-5</v>
      </c>
      <c r="N55" s="37">
        <v>1.570827528942727E-5</v>
      </c>
      <c r="O55" s="37">
        <v>1.570827528942728E-5</v>
      </c>
      <c r="P55" s="37">
        <v>1.570827528942728E-5</v>
      </c>
      <c r="Q55" s="37">
        <v>1.570827528942727E-5</v>
      </c>
      <c r="R55" s="37">
        <v>1.570827528942728E-5</v>
      </c>
      <c r="S55" s="37">
        <v>1.8762929002968986E-4</v>
      </c>
      <c r="T55" s="37">
        <v>1.526228156076387E-3</v>
      </c>
      <c r="U55" s="37">
        <v>1.8762929002968967E-4</v>
      </c>
      <c r="V55" s="37">
        <v>6.1029944046782982E-5</v>
      </c>
      <c r="W55" s="37">
        <v>-5.3857560175183742E-5</v>
      </c>
      <c r="X55" s="37">
        <v>-5.3857560175183742E-5</v>
      </c>
      <c r="Y55" s="37">
        <v>-5.3857560175183742E-5</v>
      </c>
      <c r="Z55" s="37">
        <v>-5.3857560175183742E-5</v>
      </c>
      <c r="AA55" s="37">
        <v>-5.3857560175183742E-5</v>
      </c>
      <c r="AB55" s="37">
        <v>-5.3857560175183742E-5</v>
      </c>
      <c r="AC55" s="37">
        <v>4.9835599184479986E-5</v>
      </c>
      <c r="AD55" s="37">
        <v>4.9835599184479986E-5</v>
      </c>
      <c r="AE55" s="37">
        <v>8.3581860922773635E-5</v>
      </c>
      <c r="AF55" s="37">
        <v>4.9835599184479986E-5</v>
      </c>
      <c r="AG55" s="37">
        <v>4.9835599184479986E-5</v>
      </c>
      <c r="AH55" s="37">
        <v>4.9835599184479986E-5</v>
      </c>
      <c r="AI55" s="37">
        <v>4.9835599184479986E-5</v>
      </c>
      <c r="AJ55" s="37">
        <v>4.9835599184479986E-5</v>
      </c>
      <c r="AK55" s="37">
        <v>4.9835599184479986E-5</v>
      </c>
      <c r="AL55" s="37">
        <v>4.9835599184479986E-5</v>
      </c>
      <c r="AM55" s="37">
        <v>4.9835599184479986E-5</v>
      </c>
      <c r="AN55" s="37">
        <v>7.1399619848365071E-5</v>
      </c>
      <c r="AO55" s="37">
        <v>-4.5078775821756418E-5</v>
      </c>
      <c r="AP55" s="37">
        <v>-4.5078775821756418E-5</v>
      </c>
      <c r="AQ55" s="37">
        <v>-4.5078775821756418E-5</v>
      </c>
      <c r="AR55" s="37">
        <v>-4.5078775821756418E-5</v>
      </c>
      <c r="AS55" s="37">
        <v>-4.5078775821756418E-5</v>
      </c>
      <c r="AT55" s="37">
        <v>-4.5078775821756418E-5</v>
      </c>
      <c r="AU55" s="37">
        <v>3.4808827247977615E-5</v>
      </c>
      <c r="AV55" s="37">
        <v>5.4332283258888466E-5</v>
      </c>
      <c r="AW55" s="37">
        <v>1.7334903124879498E-5</v>
      </c>
      <c r="AX55" s="37">
        <v>1.446331976674328E-6</v>
      </c>
      <c r="AY55" s="37">
        <v>5.1521116291237264E-5</v>
      </c>
      <c r="AZ55" s="37">
        <v>9.5709373917037997E-4</v>
      </c>
      <c r="BA55" s="37">
        <v>7.6827990211664145E-5</v>
      </c>
      <c r="BB55" s="37">
        <v>1.585089651382533E-4</v>
      </c>
      <c r="BC55" s="37">
        <v>5.699877469834998E-6</v>
      </c>
      <c r="BD55" s="142">
        <v>1.1421111760529388E-4</v>
      </c>
      <c r="BE55" s="142">
        <v>1.5671385718779915E-4</v>
      </c>
      <c r="BF55" s="37">
        <v>4.9835599184479986E-5</v>
      </c>
    </row>
    <row r="56" spans="1:58" x14ac:dyDescent="0.3">
      <c r="A56" s="37" t="s">
        <v>446</v>
      </c>
      <c r="B56" s="39" t="s">
        <v>151</v>
      </c>
      <c r="C56" s="40" t="s">
        <v>434</v>
      </c>
      <c r="D56" s="36">
        <v>1000000</v>
      </c>
      <c r="E56" s="37">
        <v>1000000</v>
      </c>
      <c r="F56" s="37">
        <v>1000000</v>
      </c>
      <c r="G56" s="37">
        <v>1000000</v>
      </c>
      <c r="H56" s="37">
        <v>1000000</v>
      </c>
      <c r="I56" s="38">
        <v>1000000</v>
      </c>
      <c r="J56" s="36">
        <v>1000000</v>
      </c>
      <c r="K56" s="37">
        <v>1000000</v>
      </c>
      <c r="L56" s="37">
        <v>1000000</v>
      </c>
      <c r="M56" s="37">
        <v>1000000</v>
      </c>
      <c r="N56" s="37">
        <v>1000000</v>
      </c>
      <c r="O56" s="37">
        <v>1000000</v>
      </c>
      <c r="P56" s="37">
        <v>1000000</v>
      </c>
      <c r="Q56" s="37">
        <v>1000000</v>
      </c>
      <c r="R56" s="37">
        <v>1000000</v>
      </c>
      <c r="S56" s="37">
        <v>1000000</v>
      </c>
      <c r="T56" s="37">
        <v>1000000</v>
      </c>
      <c r="U56" s="37">
        <v>1000000</v>
      </c>
      <c r="V56" s="37">
        <v>1000000</v>
      </c>
      <c r="W56" s="37">
        <v>1000000</v>
      </c>
      <c r="X56" s="37">
        <v>1000000</v>
      </c>
      <c r="Y56" s="37">
        <v>1000000</v>
      </c>
      <c r="Z56" s="37">
        <v>1000000</v>
      </c>
      <c r="AA56" s="37">
        <v>1000000</v>
      </c>
      <c r="AB56" s="37">
        <v>1000000</v>
      </c>
      <c r="AC56" s="37">
        <v>1000000</v>
      </c>
      <c r="AD56" s="37">
        <v>1000000</v>
      </c>
      <c r="AE56" s="37">
        <v>1000000</v>
      </c>
      <c r="AF56" s="37">
        <v>1000000</v>
      </c>
      <c r="AG56" s="37">
        <v>1000000</v>
      </c>
      <c r="AH56" s="37">
        <v>1000000</v>
      </c>
      <c r="AI56" s="37">
        <v>1000000</v>
      </c>
      <c r="AJ56" s="37">
        <v>1000000</v>
      </c>
      <c r="AK56" s="37">
        <v>1000000</v>
      </c>
      <c r="AL56" s="37">
        <v>1000000</v>
      </c>
      <c r="AM56" s="37">
        <v>1000000</v>
      </c>
      <c r="AN56" s="37">
        <v>1000000</v>
      </c>
      <c r="AO56" s="37">
        <v>1000000</v>
      </c>
      <c r="AP56" s="37">
        <v>1000000</v>
      </c>
      <c r="AQ56" s="37">
        <v>1000000</v>
      </c>
      <c r="AR56" s="37">
        <v>1000000</v>
      </c>
      <c r="AS56" s="37">
        <v>1000000</v>
      </c>
      <c r="AT56" s="37">
        <v>1000000</v>
      </c>
      <c r="AU56" s="37">
        <v>1000000</v>
      </c>
      <c r="AV56" s="37">
        <v>1000000</v>
      </c>
      <c r="AW56" s="37">
        <v>1000000</v>
      </c>
      <c r="AX56" s="37">
        <v>1000000</v>
      </c>
      <c r="AY56" s="37">
        <v>1000000</v>
      </c>
      <c r="AZ56" s="37">
        <v>1000000</v>
      </c>
      <c r="BA56" s="37">
        <v>1000000</v>
      </c>
      <c r="BB56" s="37">
        <v>1000000</v>
      </c>
      <c r="BC56" s="37">
        <v>1000000</v>
      </c>
      <c r="BD56" s="37">
        <v>1000000</v>
      </c>
      <c r="BE56" s="37">
        <v>1000000</v>
      </c>
      <c r="BF56" s="37">
        <v>1000000</v>
      </c>
    </row>
    <row r="57" spans="1:58" x14ac:dyDescent="0.3">
      <c r="A57" s="37" t="s">
        <v>446</v>
      </c>
      <c r="B57" s="39" t="s">
        <v>152</v>
      </c>
      <c r="C57" s="40" t="s">
        <v>434</v>
      </c>
      <c r="D57" s="36">
        <v>0</v>
      </c>
      <c r="E57" s="37">
        <v>0</v>
      </c>
      <c r="F57" s="37">
        <v>0</v>
      </c>
      <c r="G57" s="37">
        <v>0</v>
      </c>
      <c r="H57" s="37">
        <v>0</v>
      </c>
      <c r="I57" s="38">
        <v>0</v>
      </c>
      <c r="J57" s="36">
        <v>0</v>
      </c>
      <c r="K57" s="37">
        <v>0</v>
      </c>
      <c r="L57" s="37">
        <v>0</v>
      </c>
      <c r="M57" s="37">
        <v>0</v>
      </c>
      <c r="N57" s="37">
        <v>0</v>
      </c>
      <c r="O57" s="37">
        <v>0</v>
      </c>
      <c r="P57" s="37">
        <v>0</v>
      </c>
      <c r="Q57" s="37">
        <v>0</v>
      </c>
      <c r="R57" s="37">
        <v>0</v>
      </c>
      <c r="S57" s="37">
        <v>0</v>
      </c>
      <c r="T57" s="37">
        <v>0</v>
      </c>
      <c r="U57" s="37">
        <v>0</v>
      </c>
      <c r="V57" s="37">
        <v>0</v>
      </c>
      <c r="W57" s="37">
        <v>0</v>
      </c>
      <c r="X57" s="37">
        <v>0</v>
      </c>
      <c r="Y57" s="37">
        <v>0</v>
      </c>
      <c r="Z57" s="37">
        <v>0</v>
      </c>
      <c r="AA57" s="37">
        <v>0</v>
      </c>
      <c r="AB57" s="37">
        <v>0</v>
      </c>
      <c r="AC57" s="37">
        <v>0</v>
      </c>
      <c r="AD57" s="37">
        <v>0</v>
      </c>
      <c r="AE57" s="37">
        <v>0</v>
      </c>
      <c r="AF57" s="37">
        <v>0</v>
      </c>
      <c r="AG57" s="37">
        <v>0</v>
      </c>
      <c r="AH57" s="37">
        <v>0</v>
      </c>
      <c r="AI57" s="37">
        <v>0</v>
      </c>
      <c r="AJ57" s="37">
        <v>0</v>
      </c>
      <c r="AK57" s="37">
        <v>0</v>
      </c>
      <c r="AL57" s="37">
        <v>0</v>
      </c>
      <c r="AM57" s="37">
        <v>0</v>
      </c>
      <c r="AN57" s="37">
        <v>0</v>
      </c>
      <c r="AO57" s="37">
        <v>0</v>
      </c>
      <c r="AP57" s="37">
        <v>0</v>
      </c>
      <c r="AQ57" s="37">
        <v>0</v>
      </c>
      <c r="AR57" s="37">
        <v>0</v>
      </c>
      <c r="AS57" s="37">
        <v>0</v>
      </c>
      <c r="AT57" s="37">
        <v>0</v>
      </c>
      <c r="AU57" s="37">
        <v>0</v>
      </c>
      <c r="AV57" s="37">
        <v>0</v>
      </c>
      <c r="AW57" s="37">
        <v>0</v>
      </c>
      <c r="AX57" s="37">
        <v>0</v>
      </c>
      <c r="AY57" s="37">
        <v>0</v>
      </c>
      <c r="AZ57" s="37">
        <v>0</v>
      </c>
      <c r="BA57" s="37">
        <v>0</v>
      </c>
      <c r="BB57" s="37">
        <v>0</v>
      </c>
      <c r="BC57" s="37">
        <v>0</v>
      </c>
      <c r="BD57" s="37">
        <v>0</v>
      </c>
      <c r="BE57" s="37">
        <v>0</v>
      </c>
      <c r="BF57" s="37">
        <v>0</v>
      </c>
    </row>
    <row r="58" spans="1:58" x14ac:dyDescent="0.3">
      <c r="A58" s="37" t="s">
        <v>446</v>
      </c>
      <c r="B58" s="39" t="s">
        <v>9</v>
      </c>
      <c r="C58" s="40" t="s">
        <v>434</v>
      </c>
      <c r="D58" s="36">
        <v>0</v>
      </c>
      <c r="E58" s="37">
        <v>0</v>
      </c>
      <c r="F58" s="37">
        <v>0</v>
      </c>
      <c r="G58" s="37">
        <v>0</v>
      </c>
      <c r="H58" s="37">
        <v>0</v>
      </c>
      <c r="I58" s="38">
        <v>0</v>
      </c>
      <c r="J58" s="36">
        <v>0</v>
      </c>
      <c r="K58" s="37">
        <v>0</v>
      </c>
      <c r="L58" s="37">
        <v>0</v>
      </c>
      <c r="M58" s="37">
        <v>0</v>
      </c>
      <c r="N58" s="37">
        <v>0</v>
      </c>
      <c r="O58" s="37">
        <v>0</v>
      </c>
      <c r="P58" s="37">
        <v>0</v>
      </c>
      <c r="Q58" s="37">
        <v>0</v>
      </c>
      <c r="R58" s="37">
        <v>0</v>
      </c>
      <c r="S58" s="37">
        <v>0</v>
      </c>
      <c r="T58" s="37">
        <v>0</v>
      </c>
      <c r="U58" s="37">
        <v>0</v>
      </c>
      <c r="V58" s="37">
        <v>0</v>
      </c>
      <c r="W58" s="37">
        <v>0</v>
      </c>
      <c r="X58" s="37">
        <v>0</v>
      </c>
      <c r="Y58" s="37">
        <v>0</v>
      </c>
      <c r="Z58" s="37">
        <v>0</v>
      </c>
      <c r="AA58" s="37">
        <v>0</v>
      </c>
      <c r="AB58" s="37">
        <v>0</v>
      </c>
      <c r="AC58" s="37">
        <v>0</v>
      </c>
      <c r="AD58" s="37">
        <v>0</v>
      </c>
      <c r="AE58" s="37">
        <v>0</v>
      </c>
      <c r="AF58" s="37">
        <v>0</v>
      </c>
      <c r="AG58" s="37">
        <v>0</v>
      </c>
      <c r="AH58" s="37">
        <v>0</v>
      </c>
      <c r="AI58" s="37">
        <v>0</v>
      </c>
      <c r="AJ58" s="37">
        <v>0</v>
      </c>
      <c r="AK58" s="37">
        <v>0</v>
      </c>
      <c r="AL58" s="37">
        <v>0</v>
      </c>
      <c r="AM58" s="37">
        <v>0</v>
      </c>
      <c r="AN58" s="37">
        <v>0</v>
      </c>
      <c r="AO58" s="37">
        <v>0</v>
      </c>
      <c r="AP58" s="37">
        <v>0</v>
      </c>
      <c r="AQ58" s="37">
        <v>0</v>
      </c>
      <c r="AR58" s="37">
        <v>0</v>
      </c>
      <c r="AS58" s="37">
        <v>0</v>
      </c>
      <c r="AT58" s="37">
        <v>0</v>
      </c>
      <c r="AU58" s="37">
        <v>0</v>
      </c>
      <c r="AV58" s="37">
        <v>0</v>
      </c>
      <c r="AW58" s="37">
        <v>0</v>
      </c>
      <c r="AX58" s="37">
        <v>0</v>
      </c>
      <c r="AY58" s="37">
        <v>0</v>
      </c>
      <c r="AZ58" s="37">
        <v>0</v>
      </c>
      <c r="BA58" s="37">
        <v>0</v>
      </c>
      <c r="BB58" s="37">
        <v>0</v>
      </c>
      <c r="BC58" s="37">
        <v>0</v>
      </c>
      <c r="BD58" s="37">
        <v>0</v>
      </c>
      <c r="BE58" s="37">
        <v>0</v>
      </c>
      <c r="BF58" s="37">
        <v>0</v>
      </c>
    </row>
    <row r="59" spans="1:58" x14ac:dyDescent="0.3">
      <c r="A59" s="37" t="s">
        <v>446</v>
      </c>
      <c r="B59" s="39" t="s">
        <v>108</v>
      </c>
      <c r="C59" s="40" t="s">
        <v>434</v>
      </c>
      <c r="D59" s="36">
        <v>0</v>
      </c>
      <c r="E59" s="37">
        <v>0</v>
      </c>
      <c r="F59" s="37">
        <v>0</v>
      </c>
      <c r="G59" s="37">
        <v>0</v>
      </c>
      <c r="H59" s="37">
        <v>0</v>
      </c>
      <c r="I59" s="38">
        <v>0</v>
      </c>
      <c r="J59" s="36">
        <v>0</v>
      </c>
      <c r="K59" s="37">
        <v>0</v>
      </c>
      <c r="L59" s="37">
        <v>0</v>
      </c>
      <c r="M59" s="37">
        <v>0</v>
      </c>
      <c r="N59" s="37">
        <v>0</v>
      </c>
      <c r="O59" s="37">
        <v>0</v>
      </c>
      <c r="P59" s="37">
        <v>0</v>
      </c>
      <c r="Q59" s="37">
        <v>0</v>
      </c>
      <c r="R59" s="37">
        <v>0</v>
      </c>
      <c r="S59" s="37">
        <v>0</v>
      </c>
      <c r="T59" s="37">
        <v>0</v>
      </c>
      <c r="U59" s="37">
        <v>0</v>
      </c>
      <c r="V59" s="37">
        <v>0</v>
      </c>
      <c r="W59" s="37">
        <v>0</v>
      </c>
      <c r="X59" s="37">
        <v>0</v>
      </c>
      <c r="Y59" s="37">
        <v>0</v>
      </c>
      <c r="Z59" s="37">
        <v>0</v>
      </c>
      <c r="AA59" s="37">
        <v>0</v>
      </c>
      <c r="AB59" s="37">
        <v>0</v>
      </c>
      <c r="AC59" s="37">
        <v>0</v>
      </c>
      <c r="AD59" s="37">
        <v>0</v>
      </c>
      <c r="AE59" s="37">
        <v>0</v>
      </c>
      <c r="AF59" s="37">
        <v>0</v>
      </c>
      <c r="AG59" s="37">
        <v>0</v>
      </c>
      <c r="AH59" s="37">
        <v>0</v>
      </c>
      <c r="AI59" s="37">
        <v>0</v>
      </c>
      <c r="AJ59" s="37">
        <v>0</v>
      </c>
      <c r="AK59" s="37">
        <v>0</v>
      </c>
      <c r="AL59" s="37">
        <v>0</v>
      </c>
      <c r="AM59" s="37">
        <v>0</v>
      </c>
      <c r="AN59" s="37">
        <v>0</v>
      </c>
      <c r="AO59" s="37">
        <v>0</v>
      </c>
      <c r="AP59" s="37">
        <v>0</v>
      </c>
      <c r="AQ59" s="37">
        <v>0</v>
      </c>
      <c r="AR59" s="37">
        <v>0</v>
      </c>
      <c r="AS59" s="37">
        <v>0</v>
      </c>
      <c r="AT59" s="37">
        <v>0</v>
      </c>
      <c r="AU59" s="37">
        <v>0</v>
      </c>
      <c r="AV59" s="37">
        <v>0</v>
      </c>
      <c r="AW59" s="37">
        <v>0</v>
      </c>
      <c r="AX59" s="37">
        <v>0</v>
      </c>
      <c r="AY59" s="37">
        <v>0</v>
      </c>
      <c r="AZ59" s="37">
        <v>0</v>
      </c>
      <c r="BA59" s="37">
        <v>0</v>
      </c>
      <c r="BB59" s="37">
        <v>0</v>
      </c>
      <c r="BC59" s="37">
        <v>0</v>
      </c>
      <c r="BD59" s="37">
        <v>0</v>
      </c>
      <c r="BE59" s="37">
        <v>0</v>
      </c>
      <c r="BF59" s="37">
        <v>0</v>
      </c>
    </row>
    <row r="60" spans="1:58" x14ac:dyDescent="0.3">
      <c r="A60" s="37" t="s">
        <v>446</v>
      </c>
      <c r="B60" s="39" t="s">
        <v>74</v>
      </c>
      <c r="C60" s="40" t="s">
        <v>434</v>
      </c>
      <c r="D60" s="36">
        <v>0</v>
      </c>
      <c r="E60" s="37">
        <v>0</v>
      </c>
      <c r="F60" s="37">
        <v>0</v>
      </c>
      <c r="G60" s="37">
        <v>0</v>
      </c>
      <c r="H60" s="37">
        <v>0</v>
      </c>
      <c r="I60" s="38">
        <v>0</v>
      </c>
      <c r="J60" s="36">
        <v>0</v>
      </c>
      <c r="K60" s="37">
        <v>0</v>
      </c>
      <c r="L60" s="37">
        <v>0</v>
      </c>
      <c r="M60" s="37">
        <v>0</v>
      </c>
      <c r="N60" s="37">
        <v>0</v>
      </c>
      <c r="O60" s="37">
        <v>0</v>
      </c>
      <c r="P60" s="37">
        <v>0</v>
      </c>
      <c r="Q60" s="37">
        <v>0</v>
      </c>
      <c r="R60" s="37">
        <v>0</v>
      </c>
      <c r="S60" s="37">
        <v>0</v>
      </c>
      <c r="T60" s="37">
        <v>0</v>
      </c>
      <c r="U60" s="37">
        <v>0</v>
      </c>
      <c r="V60" s="37">
        <v>0</v>
      </c>
      <c r="W60" s="37">
        <v>0</v>
      </c>
      <c r="X60" s="37">
        <v>0</v>
      </c>
      <c r="Y60" s="37">
        <v>0</v>
      </c>
      <c r="Z60" s="37">
        <v>0</v>
      </c>
      <c r="AA60" s="37">
        <v>0</v>
      </c>
      <c r="AB60" s="37">
        <v>0</v>
      </c>
      <c r="AC60" s="37">
        <v>0</v>
      </c>
      <c r="AD60" s="37">
        <v>0</v>
      </c>
      <c r="AE60" s="37">
        <v>0</v>
      </c>
      <c r="AF60" s="37">
        <v>0</v>
      </c>
      <c r="AG60" s="37">
        <v>0</v>
      </c>
      <c r="AH60" s="37">
        <v>0</v>
      </c>
      <c r="AI60" s="37">
        <v>0</v>
      </c>
      <c r="AJ60" s="37">
        <v>0</v>
      </c>
      <c r="AK60" s="37">
        <v>0</v>
      </c>
      <c r="AL60" s="37">
        <v>0</v>
      </c>
      <c r="AM60" s="37">
        <v>0</v>
      </c>
      <c r="AN60" s="37">
        <v>0</v>
      </c>
      <c r="AO60" s="37">
        <v>0</v>
      </c>
      <c r="AP60" s="37">
        <v>0</v>
      </c>
      <c r="AQ60" s="37">
        <v>0</v>
      </c>
      <c r="AR60" s="37">
        <v>0</v>
      </c>
      <c r="AS60" s="37">
        <v>0</v>
      </c>
      <c r="AT60" s="37">
        <v>0</v>
      </c>
      <c r="AU60" s="37">
        <v>0</v>
      </c>
      <c r="AV60" s="37">
        <v>0</v>
      </c>
      <c r="AW60" s="37">
        <v>0</v>
      </c>
      <c r="AX60" s="37">
        <v>0</v>
      </c>
      <c r="AY60" s="37">
        <v>0</v>
      </c>
      <c r="AZ60" s="37">
        <v>0</v>
      </c>
      <c r="BA60" s="37">
        <v>0</v>
      </c>
      <c r="BB60" s="37">
        <v>0</v>
      </c>
      <c r="BC60" s="37">
        <v>0</v>
      </c>
      <c r="BD60" s="37">
        <v>0</v>
      </c>
      <c r="BE60" s="37">
        <v>0</v>
      </c>
      <c r="BF60" s="37">
        <v>0</v>
      </c>
    </row>
    <row r="61" spans="1:58" x14ac:dyDescent="0.3">
      <c r="A61" s="37" t="s">
        <v>446</v>
      </c>
      <c r="B61" s="39" t="s">
        <v>153</v>
      </c>
      <c r="C61" s="40" t="s">
        <v>431</v>
      </c>
      <c r="D61" s="36">
        <v>0</v>
      </c>
      <c r="E61" s="37">
        <v>0</v>
      </c>
      <c r="F61" s="37">
        <v>0</v>
      </c>
      <c r="G61" s="37">
        <v>0</v>
      </c>
      <c r="H61" s="37">
        <v>0</v>
      </c>
      <c r="I61" s="38">
        <v>0</v>
      </c>
      <c r="J61" s="36">
        <v>0</v>
      </c>
      <c r="K61" s="37">
        <v>0</v>
      </c>
      <c r="L61" s="37">
        <v>0</v>
      </c>
      <c r="M61" s="37">
        <v>0</v>
      </c>
      <c r="N61" s="37">
        <v>0</v>
      </c>
      <c r="O61" s="37">
        <v>0</v>
      </c>
      <c r="P61" s="37">
        <v>0</v>
      </c>
      <c r="Q61" s="37">
        <v>0</v>
      </c>
      <c r="R61" s="37">
        <v>0</v>
      </c>
      <c r="S61" s="37">
        <v>0</v>
      </c>
      <c r="T61" s="37">
        <v>0</v>
      </c>
      <c r="U61" s="37">
        <v>0</v>
      </c>
      <c r="V61" s="37">
        <v>0</v>
      </c>
      <c r="W61" s="37">
        <v>0</v>
      </c>
      <c r="X61" s="37">
        <v>0</v>
      </c>
      <c r="Y61" s="37">
        <v>0</v>
      </c>
      <c r="Z61" s="37">
        <v>0</v>
      </c>
      <c r="AA61" s="37">
        <v>0</v>
      </c>
      <c r="AB61" s="37">
        <v>0</v>
      </c>
      <c r="AC61" s="37">
        <v>0</v>
      </c>
      <c r="AD61" s="37">
        <v>0</v>
      </c>
      <c r="AE61" s="37">
        <v>0</v>
      </c>
      <c r="AF61" s="37">
        <v>0</v>
      </c>
      <c r="AG61" s="37">
        <v>0</v>
      </c>
      <c r="AH61" s="37">
        <v>0</v>
      </c>
      <c r="AI61" s="37">
        <v>0</v>
      </c>
      <c r="AJ61" s="37">
        <v>0</v>
      </c>
      <c r="AK61" s="37">
        <v>0</v>
      </c>
      <c r="AL61" s="37">
        <v>0</v>
      </c>
      <c r="AM61" s="37">
        <v>0</v>
      </c>
      <c r="AN61" s="37">
        <v>0</v>
      </c>
      <c r="AO61" s="37">
        <v>0</v>
      </c>
      <c r="AP61" s="37">
        <v>0</v>
      </c>
      <c r="AQ61" s="37">
        <v>0</v>
      </c>
      <c r="AR61" s="37">
        <v>0</v>
      </c>
      <c r="AS61" s="37">
        <v>0</v>
      </c>
      <c r="AT61" s="37">
        <v>0</v>
      </c>
      <c r="AU61" s="37">
        <v>0</v>
      </c>
      <c r="AV61" s="37">
        <v>0</v>
      </c>
      <c r="AW61" s="37">
        <v>0</v>
      </c>
      <c r="AX61" s="37">
        <v>0</v>
      </c>
      <c r="AY61" s="37">
        <v>0</v>
      </c>
      <c r="AZ61" s="37">
        <v>0</v>
      </c>
      <c r="BA61" s="37">
        <v>0</v>
      </c>
      <c r="BB61" s="37">
        <v>0</v>
      </c>
      <c r="BC61" s="37">
        <v>0</v>
      </c>
      <c r="BD61" s="37">
        <v>0</v>
      </c>
      <c r="BE61" s="37">
        <v>0</v>
      </c>
      <c r="BF61" s="37">
        <v>0</v>
      </c>
    </row>
    <row r="62" spans="1:58" x14ac:dyDescent="0.3">
      <c r="A62" s="37" t="s">
        <v>446</v>
      </c>
      <c r="B62" s="39" t="s">
        <v>154</v>
      </c>
      <c r="C62" s="40" t="s">
        <v>432</v>
      </c>
      <c r="D62" s="36">
        <v>7.3250970968650967E-3</v>
      </c>
      <c r="E62" s="37">
        <v>7.3250970968650967E-3</v>
      </c>
      <c r="F62" s="37">
        <v>7.3250970968650967E-3</v>
      </c>
      <c r="G62" s="37">
        <v>7.3250970968650967E-3</v>
      </c>
      <c r="H62" s="37">
        <v>7.3250970968650967E-3</v>
      </c>
      <c r="I62" s="38">
        <v>7.3250970968650967E-3</v>
      </c>
      <c r="J62" s="36">
        <v>7.3250970968650967E-3</v>
      </c>
      <c r="K62" s="37">
        <v>7.3250970968650967E-3</v>
      </c>
      <c r="L62" s="37">
        <v>7.3250970968650967E-3</v>
      </c>
      <c r="M62" s="37">
        <v>7.3250970968650967E-3</v>
      </c>
      <c r="N62" s="37">
        <v>7.3250970968650967E-3</v>
      </c>
      <c r="O62" s="37">
        <v>7.3250970968650967E-3</v>
      </c>
      <c r="P62" s="37">
        <v>7.3250970968650967E-3</v>
      </c>
      <c r="Q62" s="37">
        <v>7.3250970968650967E-3</v>
      </c>
      <c r="R62" s="37">
        <v>7.3250970968650967E-3</v>
      </c>
      <c r="S62" s="37">
        <v>7.3250970968650967E-3</v>
      </c>
      <c r="T62" s="37">
        <v>7.3250970968650967E-3</v>
      </c>
      <c r="U62" s="37">
        <v>7.3250970968650967E-3</v>
      </c>
      <c r="V62" s="37">
        <v>7.3250970968650967E-3</v>
      </c>
      <c r="W62" s="37">
        <v>7.3250970968650967E-3</v>
      </c>
      <c r="X62" s="37">
        <v>7.3250970968650967E-3</v>
      </c>
      <c r="Y62" s="37">
        <v>7.3250970968650967E-3</v>
      </c>
      <c r="Z62" s="37">
        <v>7.3250970968650967E-3</v>
      </c>
      <c r="AA62" s="37">
        <v>7.3250970968650967E-3</v>
      </c>
      <c r="AB62" s="37">
        <v>7.3250970968650967E-3</v>
      </c>
      <c r="AC62" s="37">
        <v>7.3250970968650967E-3</v>
      </c>
      <c r="AD62" s="37">
        <v>7.3250970968650967E-3</v>
      </c>
      <c r="AE62" s="37">
        <v>7.3250970968650967E-3</v>
      </c>
      <c r="AF62" s="37">
        <v>7.3250970968650967E-3</v>
      </c>
      <c r="AG62" s="37">
        <v>7.3250970968650967E-3</v>
      </c>
      <c r="AH62" s="37">
        <v>7.3250970968650967E-3</v>
      </c>
      <c r="AI62" s="37">
        <v>7.3250970968650967E-3</v>
      </c>
      <c r="AJ62" s="37">
        <v>7.3250970968650967E-3</v>
      </c>
      <c r="AK62" s="37">
        <v>7.3250970968650967E-3</v>
      </c>
      <c r="AL62" s="37">
        <v>7.3250970968650967E-3</v>
      </c>
      <c r="AM62" s="37">
        <v>7.3250970968650967E-3</v>
      </c>
      <c r="AN62" s="37">
        <v>7.3250970968650967E-3</v>
      </c>
      <c r="AO62" s="37">
        <v>7.3250970968650967E-3</v>
      </c>
      <c r="AP62" s="37">
        <v>7.3250970968650967E-3</v>
      </c>
      <c r="AQ62" s="37">
        <v>7.3250970968650967E-3</v>
      </c>
      <c r="AR62" s="37">
        <v>7.3250970968650967E-3</v>
      </c>
      <c r="AS62" s="37">
        <v>7.3250970968650967E-3</v>
      </c>
      <c r="AT62" s="37">
        <v>7.3250970968650967E-3</v>
      </c>
      <c r="AU62" s="37">
        <v>7.3250970968650967E-3</v>
      </c>
      <c r="AV62" s="37">
        <v>7.3250970968650967E-3</v>
      </c>
      <c r="AW62" s="37">
        <v>7.3250970968650967E-3</v>
      </c>
      <c r="AX62" s="37">
        <v>7.3250970968650967E-3</v>
      </c>
      <c r="AY62" s="37">
        <v>7.3250970968650967E-3</v>
      </c>
      <c r="AZ62" s="37">
        <v>7.3250970968650967E-3</v>
      </c>
      <c r="BA62" s="37">
        <v>7.3250970968650967E-3</v>
      </c>
      <c r="BB62" s="37">
        <v>7.3250970968650967E-3</v>
      </c>
      <c r="BC62" s="37">
        <v>7.3250970968650967E-3</v>
      </c>
      <c r="BD62" s="37">
        <v>7.3250970968650967E-3</v>
      </c>
      <c r="BE62" s="37">
        <v>7.3250970968650967E-3</v>
      </c>
      <c r="BF62" s="37">
        <v>7.3250970968650967E-3</v>
      </c>
    </row>
    <row r="63" spans="1:58" x14ac:dyDescent="0.3">
      <c r="A63" s="37" t="s">
        <v>446</v>
      </c>
      <c r="B63" s="39" t="s">
        <v>155</v>
      </c>
      <c r="C63" s="40" t="s">
        <v>432</v>
      </c>
      <c r="D63" s="36">
        <v>5.5494614886336689E-2</v>
      </c>
      <c r="E63" s="37">
        <v>5.5494614886336689E-2</v>
      </c>
      <c r="F63" s="37">
        <v>5.5494614886336689E-2</v>
      </c>
      <c r="G63" s="37">
        <v>5.5494614886336689E-2</v>
      </c>
      <c r="H63" s="37">
        <v>5.5494614886336689E-2</v>
      </c>
      <c r="I63" s="38">
        <v>5.5494614886336689E-2</v>
      </c>
      <c r="J63" s="36">
        <v>5.5494614886336689E-2</v>
      </c>
      <c r="K63" s="37">
        <v>5.5494614886336689E-2</v>
      </c>
      <c r="L63" s="37">
        <v>5.5494614886336689E-2</v>
      </c>
      <c r="M63" s="37">
        <v>5.5494614886336689E-2</v>
      </c>
      <c r="N63" s="37">
        <v>5.5494614886336689E-2</v>
      </c>
      <c r="O63" s="37">
        <v>5.5494614886336689E-2</v>
      </c>
      <c r="P63" s="37">
        <v>5.5494614886336689E-2</v>
      </c>
      <c r="Q63" s="37">
        <v>5.5494614886336689E-2</v>
      </c>
      <c r="R63" s="37">
        <v>5.5494614886336689E-2</v>
      </c>
      <c r="S63" s="37">
        <v>5.5494614886336689E-2</v>
      </c>
      <c r="T63" s="37">
        <v>5.5494614886336689E-2</v>
      </c>
      <c r="U63" s="37">
        <v>5.5494614886336689E-2</v>
      </c>
      <c r="V63" s="37">
        <v>5.5494614886336689E-2</v>
      </c>
      <c r="W63" s="37">
        <v>5.5494614886336689E-2</v>
      </c>
      <c r="X63" s="37">
        <v>5.5494614886336689E-2</v>
      </c>
      <c r="Y63" s="37">
        <v>5.5494614886336689E-2</v>
      </c>
      <c r="Z63" s="37">
        <v>5.5494614886336689E-2</v>
      </c>
      <c r="AA63" s="37">
        <v>5.5494614886336689E-2</v>
      </c>
      <c r="AB63" s="37">
        <v>5.5494614886336689E-2</v>
      </c>
      <c r="AC63" s="37">
        <v>5.5494614886336689E-2</v>
      </c>
      <c r="AD63" s="37">
        <v>5.5494614886336689E-2</v>
      </c>
      <c r="AE63" s="37">
        <v>5.5494614886336689E-2</v>
      </c>
      <c r="AF63" s="37">
        <v>5.5494614886336689E-2</v>
      </c>
      <c r="AG63" s="37">
        <v>5.5494614886336689E-2</v>
      </c>
      <c r="AH63" s="37">
        <v>5.5494614886336689E-2</v>
      </c>
      <c r="AI63" s="37">
        <v>5.5494614886336689E-2</v>
      </c>
      <c r="AJ63" s="37">
        <v>5.5494614886336689E-2</v>
      </c>
      <c r="AK63" s="37">
        <v>5.5494614886336689E-2</v>
      </c>
      <c r="AL63" s="37">
        <v>5.5494614886336689E-2</v>
      </c>
      <c r="AM63" s="37">
        <v>5.5494614886336689E-2</v>
      </c>
      <c r="AN63" s="37">
        <v>5.5494614886336689E-2</v>
      </c>
      <c r="AO63" s="37">
        <v>5.5494614886336689E-2</v>
      </c>
      <c r="AP63" s="37">
        <v>5.5494614886336689E-2</v>
      </c>
      <c r="AQ63" s="37">
        <v>5.5494614886336689E-2</v>
      </c>
      <c r="AR63" s="37">
        <v>5.5494614886336689E-2</v>
      </c>
      <c r="AS63" s="37">
        <v>5.5494614886336689E-2</v>
      </c>
      <c r="AT63" s="37">
        <v>5.5494614886336689E-2</v>
      </c>
      <c r="AU63" s="37">
        <v>5.5494614886336689E-2</v>
      </c>
      <c r="AV63" s="37">
        <v>5.5494614886336689E-2</v>
      </c>
      <c r="AW63" s="37">
        <v>5.5494614886336689E-2</v>
      </c>
      <c r="AX63" s="37">
        <v>5.5494614886336689E-2</v>
      </c>
      <c r="AY63" s="37">
        <v>5.5494614886336689E-2</v>
      </c>
      <c r="AZ63" s="37">
        <v>5.5494614886336689E-2</v>
      </c>
      <c r="BA63" s="37">
        <v>5.5494614886336689E-2</v>
      </c>
      <c r="BB63" s="37">
        <v>5.5494614886336689E-2</v>
      </c>
      <c r="BC63" s="37">
        <v>5.5494614886336689E-2</v>
      </c>
      <c r="BD63" s="37">
        <v>5.5494614886336689E-2</v>
      </c>
      <c r="BE63" s="37">
        <v>5.5494614886336689E-2</v>
      </c>
      <c r="BF63" s="37">
        <v>5.5494614886336689E-2</v>
      </c>
    </row>
    <row r="64" spans="1:58" x14ac:dyDescent="0.3">
      <c r="A64" s="37" t="s">
        <v>446</v>
      </c>
      <c r="B64" s="39" t="s">
        <v>156</v>
      </c>
      <c r="C64" s="40" t="s">
        <v>432</v>
      </c>
      <c r="D64" s="36">
        <v>0.20199449241215425</v>
      </c>
      <c r="E64" s="37">
        <v>0.20199449241215425</v>
      </c>
      <c r="F64" s="37">
        <v>0.20199449241215425</v>
      </c>
      <c r="G64" s="37">
        <v>0.20199449241215425</v>
      </c>
      <c r="H64" s="37">
        <v>0.20199449241215425</v>
      </c>
      <c r="I64" s="38">
        <v>0.20199449241215425</v>
      </c>
      <c r="J64" s="36">
        <v>0.20199449241215425</v>
      </c>
      <c r="K64" s="37">
        <v>0.20199449241215425</v>
      </c>
      <c r="L64" s="37">
        <v>0.20199449241215425</v>
      </c>
      <c r="M64" s="37">
        <v>0.20199449241215425</v>
      </c>
      <c r="N64" s="37">
        <v>0.20199449241215425</v>
      </c>
      <c r="O64" s="37">
        <v>0.20199449241215425</v>
      </c>
      <c r="P64" s="37">
        <v>0.20199449241215425</v>
      </c>
      <c r="Q64" s="37">
        <v>0.20199449241215425</v>
      </c>
      <c r="R64" s="37">
        <v>0.20199449241215425</v>
      </c>
      <c r="S64" s="37">
        <v>0.20199449241215425</v>
      </c>
      <c r="T64" s="37">
        <v>0.20199449241215425</v>
      </c>
      <c r="U64" s="37">
        <v>0.20199449241215425</v>
      </c>
      <c r="V64" s="37">
        <v>0.20199449241215425</v>
      </c>
      <c r="W64" s="37">
        <v>0.20199449241215425</v>
      </c>
      <c r="X64" s="37">
        <v>0.20199449241215425</v>
      </c>
      <c r="Y64" s="37">
        <v>0.20199449241215425</v>
      </c>
      <c r="Z64" s="37">
        <v>0.20199449241215425</v>
      </c>
      <c r="AA64" s="37">
        <v>0.20199449241215425</v>
      </c>
      <c r="AB64" s="37">
        <v>0.20199449241215425</v>
      </c>
      <c r="AC64" s="37">
        <v>0.20199449241215425</v>
      </c>
      <c r="AD64" s="37">
        <v>0.20199449241215425</v>
      </c>
      <c r="AE64" s="37">
        <v>0.20199449241215425</v>
      </c>
      <c r="AF64" s="37">
        <v>0.20199449241215425</v>
      </c>
      <c r="AG64" s="37">
        <v>0.20199449241215425</v>
      </c>
      <c r="AH64" s="37">
        <v>0.20199449241215425</v>
      </c>
      <c r="AI64" s="37">
        <v>0.20199449241215425</v>
      </c>
      <c r="AJ64" s="37">
        <v>0.20199449241215425</v>
      </c>
      <c r="AK64" s="37">
        <v>0.20199449241215425</v>
      </c>
      <c r="AL64" s="37">
        <v>0.20199449241215425</v>
      </c>
      <c r="AM64" s="37">
        <v>0.20199449241215425</v>
      </c>
      <c r="AN64" s="37">
        <v>0.20199449241215425</v>
      </c>
      <c r="AO64" s="37">
        <v>0.20199449241215425</v>
      </c>
      <c r="AP64" s="37">
        <v>0.20199449241215425</v>
      </c>
      <c r="AQ64" s="37">
        <v>0.20199449241215425</v>
      </c>
      <c r="AR64" s="37">
        <v>0.20199449241215425</v>
      </c>
      <c r="AS64" s="37">
        <v>0.20199449241215425</v>
      </c>
      <c r="AT64" s="37">
        <v>0.20199449241215425</v>
      </c>
      <c r="AU64" s="37">
        <v>0.20199449241215425</v>
      </c>
      <c r="AV64" s="37">
        <v>0.20199449241215425</v>
      </c>
      <c r="AW64" s="37">
        <v>0.20199449241215425</v>
      </c>
      <c r="AX64" s="37">
        <v>0.20199449241215425</v>
      </c>
      <c r="AY64" s="37">
        <v>0.20199449241215425</v>
      </c>
      <c r="AZ64" s="37">
        <v>0.20199449241215425</v>
      </c>
      <c r="BA64" s="37">
        <v>0.20199449241215425</v>
      </c>
      <c r="BB64" s="37">
        <v>0.20199449241215425</v>
      </c>
      <c r="BC64" s="37">
        <v>0.20199449241215425</v>
      </c>
      <c r="BD64" s="37">
        <v>0.20199449241215425</v>
      </c>
      <c r="BE64" s="37">
        <v>0.20199449241215425</v>
      </c>
      <c r="BF64" s="37">
        <v>0.20199449241215425</v>
      </c>
    </row>
    <row r="65" spans="1:58" x14ac:dyDescent="0.3">
      <c r="A65" s="37" t="s">
        <v>446</v>
      </c>
      <c r="B65" s="39" t="s">
        <v>157</v>
      </c>
      <c r="C65" s="40" t="s">
        <v>432</v>
      </c>
      <c r="D65" s="36">
        <v>2.0651558637287606E-4</v>
      </c>
      <c r="E65" s="37">
        <v>2.0651558637287606E-4</v>
      </c>
      <c r="F65" s="37">
        <v>2.0651558637287606E-4</v>
      </c>
      <c r="G65" s="37">
        <v>2.0651558637287606E-4</v>
      </c>
      <c r="H65" s="37">
        <v>2.0651558637287606E-4</v>
      </c>
      <c r="I65" s="38">
        <v>2.0651558637287606E-4</v>
      </c>
      <c r="J65" s="36">
        <v>2.0651558637287606E-4</v>
      </c>
      <c r="K65" s="37">
        <v>2.0651558637287606E-4</v>
      </c>
      <c r="L65" s="37">
        <v>2.0651558637287606E-4</v>
      </c>
      <c r="M65" s="37">
        <v>2.0651558637287606E-4</v>
      </c>
      <c r="N65" s="37">
        <v>2.0651558637287606E-4</v>
      </c>
      <c r="O65" s="37">
        <v>2.0651558637287606E-4</v>
      </c>
      <c r="P65" s="37">
        <v>2.0651558637287606E-4</v>
      </c>
      <c r="Q65" s="37">
        <v>2.0651558637287606E-4</v>
      </c>
      <c r="R65" s="37">
        <v>2.0651558637287606E-4</v>
      </c>
      <c r="S65" s="37">
        <v>2.0651558637287606E-4</v>
      </c>
      <c r="T65" s="37">
        <v>2.0651558637287606E-4</v>
      </c>
      <c r="U65" s="37">
        <v>2.0651558637287606E-4</v>
      </c>
      <c r="V65" s="37">
        <v>2.0651558637287606E-4</v>
      </c>
      <c r="W65" s="37">
        <v>2.0651558637287606E-4</v>
      </c>
      <c r="X65" s="37">
        <v>2.0651558637287606E-4</v>
      </c>
      <c r="Y65" s="37">
        <v>2.0651558637287606E-4</v>
      </c>
      <c r="Z65" s="37">
        <v>2.0651558637287606E-4</v>
      </c>
      <c r="AA65" s="37">
        <v>2.0651558637287606E-4</v>
      </c>
      <c r="AB65" s="37">
        <v>2.0651558637287606E-4</v>
      </c>
      <c r="AC65" s="37">
        <v>2.0651558637287606E-4</v>
      </c>
      <c r="AD65" s="37">
        <v>2.0651558637287606E-4</v>
      </c>
      <c r="AE65" s="37">
        <v>2.0651558637287606E-4</v>
      </c>
      <c r="AF65" s="37">
        <v>2.0651558637287606E-4</v>
      </c>
      <c r="AG65" s="37">
        <v>2.0651558637287606E-4</v>
      </c>
      <c r="AH65" s="37">
        <v>2.0651558637287606E-4</v>
      </c>
      <c r="AI65" s="37">
        <v>2.0651558637287606E-4</v>
      </c>
      <c r="AJ65" s="37">
        <v>2.0651558637287606E-4</v>
      </c>
      <c r="AK65" s="37">
        <v>2.0651558637287606E-4</v>
      </c>
      <c r="AL65" s="37">
        <v>2.0651558637287606E-4</v>
      </c>
      <c r="AM65" s="37">
        <v>2.0651558637287606E-4</v>
      </c>
      <c r="AN65" s="37">
        <v>2.0651558637287606E-4</v>
      </c>
      <c r="AO65" s="37">
        <v>2.0651558637287606E-4</v>
      </c>
      <c r="AP65" s="37">
        <v>2.0651558637287606E-4</v>
      </c>
      <c r="AQ65" s="37">
        <v>2.0651558637287606E-4</v>
      </c>
      <c r="AR65" s="37">
        <v>2.0651558637287606E-4</v>
      </c>
      <c r="AS65" s="37">
        <v>2.0651558637287606E-4</v>
      </c>
      <c r="AT65" s="37">
        <v>2.0651558637287606E-4</v>
      </c>
      <c r="AU65" s="37">
        <v>2.0651558637287606E-4</v>
      </c>
      <c r="AV65" s="37">
        <v>2.0651558637287606E-4</v>
      </c>
      <c r="AW65" s="37">
        <v>2.0651558637287606E-4</v>
      </c>
      <c r="AX65" s="37">
        <v>2.0651558637287606E-4</v>
      </c>
      <c r="AY65" s="37">
        <v>2.0651558637287606E-4</v>
      </c>
      <c r="AZ65" s="37">
        <v>2.0651558637287606E-4</v>
      </c>
      <c r="BA65" s="37">
        <v>2.0651558637287606E-4</v>
      </c>
      <c r="BB65" s="37">
        <v>2.0651558637287606E-4</v>
      </c>
      <c r="BC65" s="37">
        <v>2.0651558637287606E-4</v>
      </c>
      <c r="BD65" s="37">
        <v>2.0651558637287606E-4</v>
      </c>
      <c r="BE65" s="37">
        <v>2.0651558637287606E-4</v>
      </c>
      <c r="BF65" s="37">
        <v>2.0651558637287606E-4</v>
      </c>
    </row>
    <row r="66" spans="1:58" x14ac:dyDescent="0.3">
      <c r="A66" s="37" t="s">
        <v>446</v>
      </c>
      <c r="B66" s="39" t="s">
        <v>158</v>
      </c>
      <c r="C66" s="40" t="s">
        <v>432</v>
      </c>
      <c r="D66" s="36">
        <v>2.0651558637287606E-4</v>
      </c>
      <c r="E66" s="37">
        <v>2.0651558637287606E-4</v>
      </c>
      <c r="F66" s="37">
        <v>2.0651558637287606E-4</v>
      </c>
      <c r="G66" s="37">
        <v>2.0651558637287606E-4</v>
      </c>
      <c r="H66" s="37">
        <v>2.0651558637287606E-4</v>
      </c>
      <c r="I66" s="38">
        <v>2.0651558637287606E-4</v>
      </c>
      <c r="J66" s="36">
        <v>2.0651558637287606E-4</v>
      </c>
      <c r="K66" s="37">
        <v>2.0651558637287606E-4</v>
      </c>
      <c r="L66" s="37">
        <v>2.0651558637287606E-4</v>
      </c>
      <c r="M66" s="37">
        <v>2.0651558637287606E-4</v>
      </c>
      <c r="N66" s="37">
        <v>2.0651558637287606E-4</v>
      </c>
      <c r="O66" s="37">
        <v>2.0651558637287606E-4</v>
      </c>
      <c r="P66" s="37">
        <v>2.0651558637287606E-4</v>
      </c>
      <c r="Q66" s="37">
        <v>2.0651558637287606E-4</v>
      </c>
      <c r="R66" s="37">
        <v>2.0651558637287606E-4</v>
      </c>
      <c r="S66" s="37">
        <v>2.0651558637287606E-4</v>
      </c>
      <c r="T66" s="37">
        <v>2.0651558637287606E-4</v>
      </c>
      <c r="U66" s="37">
        <v>2.0651558637287606E-4</v>
      </c>
      <c r="V66" s="37">
        <v>2.0651558637287606E-4</v>
      </c>
      <c r="W66" s="37">
        <v>2.0651558637287606E-4</v>
      </c>
      <c r="X66" s="37">
        <v>2.0651558637287606E-4</v>
      </c>
      <c r="Y66" s="37">
        <v>2.0651558637287606E-4</v>
      </c>
      <c r="Z66" s="37">
        <v>2.0651558637287606E-4</v>
      </c>
      <c r="AA66" s="37">
        <v>2.0651558637287606E-4</v>
      </c>
      <c r="AB66" s="37">
        <v>2.0651558637287606E-4</v>
      </c>
      <c r="AC66" s="37">
        <v>2.0651558637287606E-4</v>
      </c>
      <c r="AD66" s="37">
        <v>2.0651558637287606E-4</v>
      </c>
      <c r="AE66" s="37">
        <v>2.0651558637287606E-4</v>
      </c>
      <c r="AF66" s="37">
        <v>2.0651558637287606E-4</v>
      </c>
      <c r="AG66" s="37">
        <v>2.0651558637287606E-4</v>
      </c>
      <c r="AH66" s="37">
        <v>2.0651558637287606E-4</v>
      </c>
      <c r="AI66" s="37">
        <v>2.0651558637287606E-4</v>
      </c>
      <c r="AJ66" s="37">
        <v>2.0651558637287606E-4</v>
      </c>
      <c r="AK66" s="37">
        <v>2.0651558637287606E-4</v>
      </c>
      <c r="AL66" s="37">
        <v>2.0651558637287606E-4</v>
      </c>
      <c r="AM66" s="37">
        <v>2.0651558637287606E-4</v>
      </c>
      <c r="AN66" s="37">
        <v>2.0651558637287606E-4</v>
      </c>
      <c r="AO66" s="37">
        <v>2.0651558637287606E-4</v>
      </c>
      <c r="AP66" s="37">
        <v>2.0651558637287606E-4</v>
      </c>
      <c r="AQ66" s="37">
        <v>2.0651558637287606E-4</v>
      </c>
      <c r="AR66" s="37">
        <v>2.0651558637287606E-4</v>
      </c>
      <c r="AS66" s="37">
        <v>2.0651558637287606E-4</v>
      </c>
      <c r="AT66" s="37">
        <v>2.0651558637287606E-4</v>
      </c>
      <c r="AU66" s="37">
        <v>2.0651558637287606E-4</v>
      </c>
      <c r="AV66" s="37">
        <v>2.0651558637287606E-4</v>
      </c>
      <c r="AW66" s="37">
        <v>2.0651558637287606E-4</v>
      </c>
      <c r="AX66" s="37">
        <v>2.0651558637287606E-4</v>
      </c>
      <c r="AY66" s="37">
        <v>2.0651558637287606E-4</v>
      </c>
      <c r="AZ66" s="37">
        <v>2.0651558637287606E-4</v>
      </c>
      <c r="BA66" s="37">
        <v>2.0651558637287606E-4</v>
      </c>
      <c r="BB66" s="37">
        <v>2.0651558637287606E-4</v>
      </c>
      <c r="BC66" s="37">
        <v>2.0651558637287606E-4</v>
      </c>
      <c r="BD66" s="37">
        <v>2.0651558637287606E-4</v>
      </c>
      <c r="BE66" s="37">
        <v>2.0651558637287606E-4</v>
      </c>
      <c r="BF66" s="37">
        <v>2.0651558637287606E-4</v>
      </c>
    </row>
    <row r="67" spans="1:58" x14ac:dyDescent="0.3">
      <c r="A67" s="37" t="s">
        <v>446</v>
      </c>
      <c r="B67" s="39" t="s">
        <v>159</v>
      </c>
      <c r="C67" s="40" t="s">
        <v>432</v>
      </c>
      <c r="D67" s="36">
        <v>0</v>
      </c>
      <c r="E67" s="37">
        <v>0</v>
      </c>
      <c r="F67" s="37">
        <v>0</v>
      </c>
      <c r="G67" s="37">
        <v>0</v>
      </c>
      <c r="H67" s="37">
        <v>0</v>
      </c>
      <c r="I67" s="38">
        <v>0</v>
      </c>
      <c r="J67" s="36">
        <v>0</v>
      </c>
      <c r="K67" s="37">
        <v>0</v>
      </c>
      <c r="L67" s="37">
        <v>0</v>
      </c>
      <c r="M67" s="37">
        <v>0</v>
      </c>
      <c r="N67" s="37">
        <v>0</v>
      </c>
      <c r="O67" s="37">
        <v>0</v>
      </c>
      <c r="P67" s="37">
        <v>0</v>
      </c>
      <c r="Q67" s="37">
        <v>0</v>
      </c>
      <c r="R67" s="37">
        <v>0</v>
      </c>
      <c r="S67" s="37">
        <v>0</v>
      </c>
      <c r="T67" s="37">
        <v>0</v>
      </c>
      <c r="U67" s="37">
        <v>0</v>
      </c>
      <c r="V67" s="37">
        <v>0</v>
      </c>
      <c r="W67" s="37">
        <v>0</v>
      </c>
      <c r="X67" s="37">
        <v>0</v>
      </c>
      <c r="Y67" s="37">
        <v>0</v>
      </c>
      <c r="Z67" s="37">
        <v>0</v>
      </c>
      <c r="AA67" s="37">
        <v>0</v>
      </c>
      <c r="AB67" s="37">
        <v>0</v>
      </c>
      <c r="AC67" s="37">
        <v>0</v>
      </c>
      <c r="AD67" s="37">
        <v>0</v>
      </c>
      <c r="AE67" s="37">
        <v>0</v>
      </c>
      <c r="AF67" s="37">
        <v>0</v>
      </c>
      <c r="AG67" s="37">
        <v>0</v>
      </c>
      <c r="AH67" s="37">
        <v>0</v>
      </c>
      <c r="AI67" s="37">
        <v>0</v>
      </c>
      <c r="AJ67" s="37">
        <v>0</v>
      </c>
      <c r="AK67" s="37">
        <v>0</v>
      </c>
      <c r="AL67" s="37">
        <v>0</v>
      </c>
      <c r="AM67" s="37">
        <v>0</v>
      </c>
      <c r="AN67" s="37">
        <v>0</v>
      </c>
      <c r="AO67" s="37">
        <v>0</v>
      </c>
      <c r="AP67" s="37">
        <v>0</v>
      </c>
      <c r="AQ67" s="37">
        <v>0</v>
      </c>
      <c r="AR67" s="37">
        <v>0</v>
      </c>
      <c r="AS67" s="37">
        <v>0</v>
      </c>
      <c r="AT67" s="37">
        <v>0</v>
      </c>
      <c r="AU67" s="37">
        <v>0</v>
      </c>
      <c r="AV67" s="37">
        <v>0</v>
      </c>
      <c r="AW67" s="37">
        <v>0</v>
      </c>
      <c r="AX67" s="37">
        <v>0</v>
      </c>
      <c r="AY67" s="37">
        <v>0</v>
      </c>
      <c r="AZ67" s="37">
        <v>0</v>
      </c>
      <c r="BA67" s="37">
        <v>0</v>
      </c>
      <c r="BB67" s="37">
        <v>0</v>
      </c>
      <c r="BC67" s="37">
        <v>0</v>
      </c>
      <c r="BD67" s="37">
        <v>0</v>
      </c>
      <c r="BE67" s="37">
        <v>0</v>
      </c>
      <c r="BF67" s="37">
        <v>0</v>
      </c>
    </row>
    <row r="68" spans="1:58" x14ac:dyDescent="0.3">
      <c r="A68" s="37" t="s">
        <v>446</v>
      </c>
      <c r="B68" s="39" t="s">
        <v>160</v>
      </c>
      <c r="C68" s="40" t="s">
        <v>432</v>
      </c>
      <c r="D68" s="36">
        <v>6.5211548113262036E-5</v>
      </c>
      <c r="E68" s="37">
        <v>6.5211548113262036E-5</v>
      </c>
      <c r="F68" s="37">
        <v>6.5211548113262036E-5</v>
      </c>
      <c r="G68" s="37">
        <v>6.5211548113262036E-5</v>
      </c>
      <c r="H68" s="37">
        <v>6.5211548113262036E-5</v>
      </c>
      <c r="I68" s="38">
        <v>6.5211548113262036E-5</v>
      </c>
      <c r="J68" s="36">
        <v>6.5211548113262036E-5</v>
      </c>
      <c r="K68" s="37">
        <v>6.5211548113262036E-5</v>
      </c>
      <c r="L68" s="37">
        <v>6.5211548113262036E-5</v>
      </c>
      <c r="M68" s="37">
        <v>6.5211548113262036E-5</v>
      </c>
      <c r="N68" s="37">
        <v>6.5211548113262036E-5</v>
      </c>
      <c r="O68" s="37">
        <v>6.5211548113262036E-5</v>
      </c>
      <c r="P68" s="37">
        <v>6.5211548113262036E-5</v>
      </c>
      <c r="Q68" s="37">
        <v>6.5211548113262036E-5</v>
      </c>
      <c r="R68" s="37">
        <v>6.5211548113262036E-5</v>
      </c>
      <c r="S68" s="37">
        <v>6.5211548113262036E-5</v>
      </c>
      <c r="T68" s="37">
        <v>6.5211548113262036E-5</v>
      </c>
      <c r="U68" s="37">
        <v>6.5211548113262036E-5</v>
      </c>
      <c r="V68" s="37">
        <v>6.5211548113262036E-5</v>
      </c>
      <c r="W68" s="37">
        <v>6.5211548113262036E-5</v>
      </c>
      <c r="X68" s="37">
        <v>6.5211548113262036E-5</v>
      </c>
      <c r="Y68" s="37">
        <v>6.5211548113262036E-5</v>
      </c>
      <c r="Z68" s="37">
        <v>6.5211548113262036E-5</v>
      </c>
      <c r="AA68" s="37">
        <v>6.5211548113262036E-5</v>
      </c>
      <c r="AB68" s="37">
        <v>6.5211548113262036E-5</v>
      </c>
      <c r="AC68" s="37">
        <v>6.5211548113262036E-5</v>
      </c>
      <c r="AD68" s="37">
        <v>6.5211548113262036E-5</v>
      </c>
      <c r="AE68" s="37">
        <v>6.5211548113262036E-5</v>
      </c>
      <c r="AF68" s="37">
        <v>6.5211548113262036E-5</v>
      </c>
      <c r="AG68" s="37">
        <v>6.5211548113262036E-5</v>
      </c>
      <c r="AH68" s="37">
        <v>6.5211548113262036E-5</v>
      </c>
      <c r="AI68" s="37">
        <v>6.5211548113262036E-5</v>
      </c>
      <c r="AJ68" s="37">
        <v>6.5211548113262036E-5</v>
      </c>
      <c r="AK68" s="37">
        <v>6.5211548113262036E-5</v>
      </c>
      <c r="AL68" s="37">
        <v>6.5211548113262036E-5</v>
      </c>
      <c r="AM68" s="37">
        <v>6.5211548113262036E-5</v>
      </c>
      <c r="AN68" s="37">
        <v>6.5211548113262036E-5</v>
      </c>
      <c r="AO68" s="37">
        <v>6.5211548113262036E-5</v>
      </c>
      <c r="AP68" s="37">
        <v>6.5211548113262036E-5</v>
      </c>
      <c r="AQ68" s="37">
        <v>6.5211548113262036E-5</v>
      </c>
      <c r="AR68" s="37">
        <v>6.5211548113262036E-5</v>
      </c>
      <c r="AS68" s="37">
        <v>6.5211548113262036E-5</v>
      </c>
      <c r="AT68" s="37">
        <v>6.5211548113262036E-5</v>
      </c>
      <c r="AU68" s="37">
        <v>6.5211548113262036E-5</v>
      </c>
      <c r="AV68" s="37">
        <v>6.5211548113262036E-5</v>
      </c>
      <c r="AW68" s="37">
        <v>6.5211548113262036E-5</v>
      </c>
      <c r="AX68" s="37">
        <v>6.5211548113262036E-5</v>
      </c>
      <c r="AY68" s="37">
        <v>6.5211548113262036E-5</v>
      </c>
      <c r="AZ68" s="37">
        <v>6.5211548113262036E-5</v>
      </c>
      <c r="BA68" s="37">
        <v>6.5211548113262036E-5</v>
      </c>
      <c r="BB68" s="37">
        <v>6.5211548113262036E-5</v>
      </c>
      <c r="BC68" s="37">
        <v>6.5211548113262036E-5</v>
      </c>
      <c r="BD68" s="37">
        <v>6.5211548113262036E-5</v>
      </c>
      <c r="BE68" s="37">
        <v>6.5211548113262036E-5</v>
      </c>
      <c r="BF68" s="37">
        <v>6.5211548113262036E-5</v>
      </c>
    </row>
    <row r="69" spans="1:58" x14ac:dyDescent="0.3">
      <c r="A69" s="37" t="s">
        <v>446</v>
      </c>
      <c r="B69" s="39" t="s">
        <v>161</v>
      </c>
      <c r="C69" s="40" t="s">
        <v>432</v>
      </c>
      <c r="D69" s="36">
        <v>6.2027482851476366E-5</v>
      </c>
      <c r="E69" s="37">
        <v>6.2027482851476366E-5</v>
      </c>
      <c r="F69" s="37">
        <v>6.2027482851476366E-5</v>
      </c>
      <c r="G69" s="37">
        <v>6.2027482851476366E-5</v>
      </c>
      <c r="H69" s="37">
        <v>6.2027482851476366E-5</v>
      </c>
      <c r="I69" s="38">
        <v>6.2027482851476366E-5</v>
      </c>
      <c r="J69" s="36">
        <v>6.2027482851476366E-5</v>
      </c>
      <c r="K69" s="37">
        <v>6.2027482851476366E-5</v>
      </c>
      <c r="L69" s="37">
        <v>6.2027482851476366E-5</v>
      </c>
      <c r="M69" s="37">
        <v>6.2027482851476366E-5</v>
      </c>
      <c r="N69" s="37">
        <v>6.2027482851476366E-5</v>
      </c>
      <c r="O69" s="37">
        <v>6.2027482851476366E-5</v>
      </c>
      <c r="P69" s="37">
        <v>6.2027482851476366E-5</v>
      </c>
      <c r="Q69" s="37">
        <v>6.2027482851476366E-5</v>
      </c>
      <c r="R69" s="37">
        <v>6.2027482851476366E-5</v>
      </c>
      <c r="S69" s="37">
        <v>6.2027482851476366E-5</v>
      </c>
      <c r="T69" s="37">
        <v>6.2027482851476366E-5</v>
      </c>
      <c r="U69" s="37">
        <v>6.2027482851476366E-5</v>
      </c>
      <c r="V69" s="37">
        <v>6.2027482851476366E-5</v>
      </c>
      <c r="W69" s="37">
        <v>6.2027482851476366E-5</v>
      </c>
      <c r="X69" s="37">
        <v>6.2027482851476366E-5</v>
      </c>
      <c r="Y69" s="37">
        <v>6.2027482851476366E-5</v>
      </c>
      <c r="Z69" s="37">
        <v>6.2027482851476366E-5</v>
      </c>
      <c r="AA69" s="37">
        <v>6.2027482851476366E-5</v>
      </c>
      <c r="AB69" s="37">
        <v>6.2027482851476366E-5</v>
      </c>
      <c r="AC69" s="37">
        <v>6.2027482851476366E-5</v>
      </c>
      <c r="AD69" s="37">
        <v>6.2027482851476366E-5</v>
      </c>
      <c r="AE69" s="37">
        <v>6.2027482851476366E-5</v>
      </c>
      <c r="AF69" s="37">
        <v>6.2027482851476366E-5</v>
      </c>
      <c r="AG69" s="37">
        <v>6.2027482851476366E-5</v>
      </c>
      <c r="AH69" s="37">
        <v>6.2027482851476366E-5</v>
      </c>
      <c r="AI69" s="37">
        <v>6.2027482851476366E-5</v>
      </c>
      <c r="AJ69" s="37">
        <v>6.2027482851476366E-5</v>
      </c>
      <c r="AK69" s="37">
        <v>6.2027482851476366E-5</v>
      </c>
      <c r="AL69" s="37">
        <v>6.2027482851476366E-5</v>
      </c>
      <c r="AM69" s="37">
        <v>6.2027482851476366E-5</v>
      </c>
      <c r="AN69" s="37">
        <v>6.2027482851476366E-5</v>
      </c>
      <c r="AO69" s="37">
        <v>6.2027482851476366E-5</v>
      </c>
      <c r="AP69" s="37">
        <v>6.2027482851476366E-5</v>
      </c>
      <c r="AQ69" s="37">
        <v>6.2027482851476366E-5</v>
      </c>
      <c r="AR69" s="37">
        <v>6.2027482851476366E-5</v>
      </c>
      <c r="AS69" s="37">
        <v>6.2027482851476366E-5</v>
      </c>
      <c r="AT69" s="37">
        <v>6.2027482851476366E-5</v>
      </c>
      <c r="AU69" s="37">
        <v>6.2027482851476366E-5</v>
      </c>
      <c r="AV69" s="37">
        <v>6.2027482851476366E-5</v>
      </c>
      <c r="AW69" s="37">
        <v>6.2027482851476366E-5</v>
      </c>
      <c r="AX69" s="37">
        <v>6.2027482851476366E-5</v>
      </c>
      <c r="AY69" s="37">
        <v>6.2027482851476366E-5</v>
      </c>
      <c r="AZ69" s="37">
        <v>6.2027482851476366E-5</v>
      </c>
      <c r="BA69" s="37">
        <v>6.2027482851476366E-5</v>
      </c>
      <c r="BB69" s="37">
        <v>6.2027482851476366E-5</v>
      </c>
      <c r="BC69" s="37">
        <v>6.2027482851476366E-5</v>
      </c>
      <c r="BD69" s="37">
        <v>6.2027482851476366E-5</v>
      </c>
      <c r="BE69" s="37">
        <v>6.2027482851476366E-5</v>
      </c>
      <c r="BF69" s="37">
        <v>6.2027482851476366E-5</v>
      </c>
    </row>
    <row r="70" spans="1:58" x14ac:dyDescent="0.3">
      <c r="A70" s="37" t="s">
        <v>446</v>
      </c>
      <c r="B70" s="39" t="s">
        <v>35</v>
      </c>
      <c r="C70" s="40" t="s">
        <v>432</v>
      </c>
      <c r="D70" s="36">
        <v>7.4198676496643761E-5</v>
      </c>
      <c r="E70" s="37">
        <v>7.4198676496643761E-5</v>
      </c>
      <c r="F70" s="37">
        <v>7.4198676496643761E-5</v>
      </c>
      <c r="G70" s="37">
        <v>7.4198676496643761E-5</v>
      </c>
      <c r="H70" s="37">
        <v>7.4198676496643761E-5</v>
      </c>
      <c r="I70" s="38">
        <v>7.4198676496643761E-5</v>
      </c>
      <c r="J70" s="36">
        <v>7.4198676496643761E-5</v>
      </c>
      <c r="K70" s="37">
        <v>7.4198676496643761E-5</v>
      </c>
      <c r="L70" s="37">
        <v>7.4198676496643761E-5</v>
      </c>
      <c r="M70" s="37">
        <v>7.4198676496643761E-5</v>
      </c>
      <c r="N70" s="37">
        <v>7.4198676496643761E-5</v>
      </c>
      <c r="O70" s="37">
        <v>7.4198676496643761E-5</v>
      </c>
      <c r="P70" s="37">
        <v>7.4198676496643761E-5</v>
      </c>
      <c r="Q70" s="37">
        <v>7.4198676496643761E-5</v>
      </c>
      <c r="R70" s="37">
        <v>7.4198676496643761E-5</v>
      </c>
      <c r="S70" s="37">
        <v>7.4198676496643761E-5</v>
      </c>
      <c r="T70" s="37">
        <v>7.4198676496643761E-5</v>
      </c>
      <c r="U70" s="37">
        <v>7.4198676496643761E-5</v>
      </c>
      <c r="V70" s="37">
        <v>7.4198676496643761E-5</v>
      </c>
      <c r="W70" s="37">
        <v>7.4198676496643761E-5</v>
      </c>
      <c r="X70" s="37">
        <v>7.4198676496643761E-5</v>
      </c>
      <c r="Y70" s="37">
        <v>7.4198676496643761E-5</v>
      </c>
      <c r="Z70" s="37">
        <v>7.4198676496643761E-5</v>
      </c>
      <c r="AA70" s="37">
        <v>7.4198676496643761E-5</v>
      </c>
      <c r="AB70" s="37">
        <v>7.4198676496643761E-5</v>
      </c>
      <c r="AC70" s="37">
        <v>7.4198676496643761E-5</v>
      </c>
      <c r="AD70" s="37">
        <v>7.4198676496643761E-5</v>
      </c>
      <c r="AE70" s="37">
        <v>7.4198676496643761E-5</v>
      </c>
      <c r="AF70" s="37">
        <v>7.4198676496643761E-5</v>
      </c>
      <c r="AG70" s="37">
        <v>7.4198676496643761E-5</v>
      </c>
      <c r="AH70" s="37">
        <v>7.4198676496643761E-5</v>
      </c>
      <c r="AI70" s="37">
        <v>7.4198676496643761E-5</v>
      </c>
      <c r="AJ70" s="37">
        <v>7.4198676496643761E-5</v>
      </c>
      <c r="AK70" s="37">
        <v>7.4198676496643761E-5</v>
      </c>
      <c r="AL70" s="37">
        <v>7.4198676496643761E-5</v>
      </c>
      <c r="AM70" s="37">
        <v>7.4198676496643761E-5</v>
      </c>
      <c r="AN70" s="37">
        <v>7.4198676496643761E-5</v>
      </c>
      <c r="AO70" s="37">
        <v>7.4198676496643761E-5</v>
      </c>
      <c r="AP70" s="37">
        <v>7.4198676496643761E-5</v>
      </c>
      <c r="AQ70" s="37">
        <v>7.4198676496643761E-5</v>
      </c>
      <c r="AR70" s="37">
        <v>7.4198676496643761E-5</v>
      </c>
      <c r="AS70" s="37">
        <v>7.4198676496643761E-5</v>
      </c>
      <c r="AT70" s="37">
        <v>7.4198676496643761E-5</v>
      </c>
      <c r="AU70" s="37">
        <v>7.4198676496643761E-5</v>
      </c>
      <c r="AV70" s="37">
        <v>7.4198676496643761E-5</v>
      </c>
      <c r="AW70" s="37">
        <v>7.4198676496643761E-5</v>
      </c>
      <c r="AX70" s="37">
        <v>7.4198676496643761E-5</v>
      </c>
      <c r="AY70" s="37">
        <v>7.4198676496643761E-5</v>
      </c>
      <c r="AZ70" s="37">
        <v>7.4198676496643761E-5</v>
      </c>
      <c r="BA70" s="37">
        <v>7.4198676496643761E-5</v>
      </c>
      <c r="BB70" s="37">
        <v>7.4198676496643761E-5</v>
      </c>
      <c r="BC70" s="37">
        <v>7.4198676496643761E-5</v>
      </c>
      <c r="BD70" s="37">
        <v>7.4198676496643761E-5</v>
      </c>
      <c r="BE70" s="37">
        <v>7.4198676496643761E-5</v>
      </c>
      <c r="BF70" s="37">
        <v>7.4198676496643761E-5</v>
      </c>
    </row>
    <row r="71" spans="1:58" x14ac:dyDescent="0.3">
      <c r="A71" s="37" t="s">
        <v>446</v>
      </c>
      <c r="B71" s="39" t="s">
        <v>7</v>
      </c>
      <c r="C71" s="40" t="s">
        <v>432</v>
      </c>
      <c r="D71" s="36">
        <v>1.4557037680052281E-4</v>
      </c>
      <c r="E71" s="37">
        <v>1.4557037680052281E-4</v>
      </c>
      <c r="F71" s="37">
        <v>1.4557037680052281E-4</v>
      </c>
      <c r="G71" s="37">
        <v>1.4557037680052281E-4</v>
      </c>
      <c r="H71" s="37">
        <v>1.4557037680052281E-4</v>
      </c>
      <c r="I71" s="38">
        <v>1.4557037680052281E-4</v>
      </c>
      <c r="J71" s="36">
        <v>1.4557037680052281E-4</v>
      </c>
      <c r="K71" s="37">
        <v>1.4557037680052281E-4</v>
      </c>
      <c r="L71" s="37">
        <v>1.4557037680052281E-4</v>
      </c>
      <c r="M71" s="37">
        <v>1.4557037680052281E-4</v>
      </c>
      <c r="N71" s="37">
        <v>1.4557037680052281E-4</v>
      </c>
      <c r="O71" s="37">
        <v>1.4557037680052281E-4</v>
      </c>
      <c r="P71" s="37">
        <v>1.4557037680052281E-4</v>
      </c>
      <c r="Q71" s="37">
        <v>1.4557037680052281E-4</v>
      </c>
      <c r="R71" s="37">
        <v>1.4557037680052281E-4</v>
      </c>
      <c r="S71" s="37">
        <v>1.4557037680052281E-4</v>
      </c>
      <c r="T71" s="37">
        <v>1.4557037680052281E-4</v>
      </c>
      <c r="U71" s="37">
        <v>1.4557037680052281E-4</v>
      </c>
      <c r="V71" s="37">
        <v>1.4557037680052281E-4</v>
      </c>
      <c r="W71" s="37">
        <v>1.4557037680052281E-4</v>
      </c>
      <c r="X71" s="37">
        <v>1.4557037680052281E-4</v>
      </c>
      <c r="Y71" s="37">
        <v>1.4557037680052281E-4</v>
      </c>
      <c r="Z71" s="37">
        <v>1.4557037680052281E-4</v>
      </c>
      <c r="AA71" s="37">
        <v>1.4557037680052281E-4</v>
      </c>
      <c r="AB71" s="37">
        <v>1.4557037680052281E-4</v>
      </c>
      <c r="AC71" s="37">
        <v>1.4557037680052281E-4</v>
      </c>
      <c r="AD71" s="37">
        <v>1.4557037680052281E-4</v>
      </c>
      <c r="AE71" s="37">
        <v>1.4557037680052281E-4</v>
      </c>
      <c r="AF71" s="37">
        <v>1.4557037680052281E-4</v>
      </c>
      <c r="AG71" s="37">
        <v>1.4557037680052281E-4</v>
      </c>
      <c r="AH71" s="37">
        <v>1.4557037680052281E-4</v>
      </c>
      <c r="AI71" s="37">
        <v>1.4557037680052281E-4</v>
      </c>
      <c r="AJ71" s="37">
        <v>1.4557037680052281E-4</v>
      </c>
      <c r="AK71" s="37">
        <v>1.4557037680052281E-4</v>
      </c>
      <c r="AL71" s="37">
        <v>1.4557037680052281E-4</v>
      </c>
      <c r="AM71" s="37">
        <v>1.4557037680052281E-4</v>
      </c>
      <c r="AN71" s="37">
        <v>1.4557037680052281E-4</v>
      </c>
      <c r="AO71" s="37">
        <v>1.4557037680052281E-4</v>
      </c>
      <c r="AP71" s="37">
        <v>1.4557037680052281E-4</v>
      </c>
      <c r="AQ71" s="37">
        <v>1.4557037680052281E-4</v>
      </c>
      <c r="AR71" s="37">
        <v>1.4557037680052281E-4</v>
      </c>
      <c r="AS71" s="37">
        <v>1.4557037680052281E-4</v>
      </c>
      <c r="AT71" s="37">
        <v>1.4557037680052281E-4</v>
      </c>
      <c r="AU71" s="37">
        <v>1.4557037680052281E-4</v>
      </c>
      <c r="AV71" s="37">
        <v>1.4557037680052281E-4</v>
      </c>
      <c r="AW71" s="37">
        <v>1.4557037680052281E-4</v>
      </c>
      <c r="AX71" s="37">
        <v>1.4557037680052281E-4</v>
      </c>
      <c r="AY71" s="37">
        <v>1.4557037680052281E-4</v>
      </c>
      <c r="AZ71" s="37">
        <v>1.4557037680052281E-4</v>
      </c>
      <c r="BA71" s="37">
        <v>1.4557037680052281E-4</v>
      </c>
      <c r="BB71" s="37">
        <v>1.4557037680052281E-4</v>
      </c>
      <c r="BC71" s="37">
        <v>1.4557037680052281E-4</v>
      </c>
      <c r="BD71" s="37">
        <v>1.4557037680052281E-4</v>
      </c>
      <c r="BE71" s="37">
        <v>1.4557037680052281E-4</v>
      </c>
      <c r="BF71" s="37">
        <v>1.4557037680052281E-4</v>
      </c>
    </row>
    <row r="72" spans="1:58" x14ac:dyDescent="0.3">
      <c r="A72" s="37" t="s">
        <v>446</v>
      </c>
      <c r="B72" s="39" t="s">
        <v>8</v>
      </c>
      <c r="C72" s="40" t="s">
        <v>432</v>
      </c>
      <c r="D72" s="36">
        <v>-0.1102397557050665</v>
      </c>
      <c r="E72" s="37">
        <v>-0.1102397557050665</v>
      </c>
      <c r="F72" s="37">
        <v>-0.1102397557050665</v>
      </c>
      <c r="G72" s="37">
        <v>-0.1102397557050665</v>
      </c>
      <c r="H72" s="37">
        <v>-0.1102397557050665</v>
      </c>
      <c r="I72" s="38">
        <v>-0.1102397557050665</v>
      </c>
      <c r="J72" s="36">
        <v>-0.1102397557050665</v>
      </c>
      <c r="K72" s="37">
        <v>14.078820674043186</v>
      </c>
      <c r="L72" s="37">
        <v>-0.1102397557050665</v>
      </c>
      <c r="M72" s="37">
        <v>-0.1102397557050665</v>
      </c>
      <c r="N72" s="37">
        <v>-0.1102397557050665</v>
      </c>
      <c r="O72" s="37">
        <v>-0.1102397557050665</v>
      </c>
      <c r="P72" s="37">
        <v>-0.1102397557050665</v>
      </c>
      <c r="Q72" s="37">
        <v>-0.1102397557050665</v>
      </c>
      <c r="R72" s="37">
        <v>-0.1102397557050665</v>
      </c>
      <c r="S72" s="37">
        <v>-0.1102397557050665</v>
      </c>
      <c r="T72" s="37">
        <v>-0.1102397557050665</v>
      </c>
      <c r="U72" s="37">
        <v>-0.1102397557050665</v>
      </c>
      <c r="V72" s="37">
        <v>-0.1102397557050665</v>
      </c>
      <c r="W72" s="37">
        <v>-0.1102397557050665</v>
      </c>
      <c r="X72" s="37">
        <v>-0.1102397557050665</v>
      </c>
      <c r="Y72" s="37">
        <v>-0.1102397557050665</v>
      </c>
      <c r="Z72" s="37">
        <v>-0.1102397557050665</v>
      </c>
      <c r="AA72" s="37">
        <v>-0.1102397557050665</v>
      </c>
      <c r="AB72" s="37">
        <v>-0.1102397557050665</v>
      </c>
      <c r="AC72" s="37">
        <v>-0.1102397557050665</v>
      </c>
      <c r="AD72" s="37">
        <v>-0.1102397557050665</v>
      </c>
      <c r="AE72" s="37">
        <v>-0.1102397557050665</v>
      </c>
      <c r="AF72" s="37">
        <v>-0.1102397557050665</v>
      </c>
      <c r="AG72" s="37">
        <v>-0.1102397557050665</v>
      </c>
      <c r="AH72" s="37">
        <v>-0.1102397557050665</v>
      </c>
      <c r="AI72" s="37">
        <v>-0.1102397557050665</v>
      </c>
      <c r="AJ72" s="37">
        <v>-0.1102397557050665</v>
      </c>
      <c r="AK72" s="37">
        <v>-0.1102397557050665</v>
      </c>
      <c r="AL72" s="37">
        <v>-0.1102397557050665</v>
      </c>
      <c r="AM72" s="37">
        <v>-0.1102397557050665</v>
      </c>
      <c r="AN72" s="37">
        <v>-0.1102397557050665</v>
      </c>
      <c r="AO72" s="37">
        <v>-0.1102397557050665</v>
      </c>
      <c r="AP72" s="37">
        <v>-0.1102397557050665</v>
      </c>
      <c r="AQ72" s="37">
        <v>-0.1102397557050665</v>
      </c>
      <c r="AR72" s="37">
        <v>-0.1102397557050665</v>
      </c>
      <c r="AS72" s="37">
        <v>-0.1102397557050665</v>
      </c>
      <c r="AT72" s="37">
        <v>-0.1102397557050665</v>
      </c>
      <c r="AU72" s="37">
        <v>-0.1102397557050665</v>
      </c>
      <c r="AV72" s="37">
        <v>-0.1102397557050665</v>
      </c>
      <c r="AW72" s="37">
        <v>-0.1102397557050665</v>
      </c>
      <c r="AX72" s="37">
        <v>-0.1102397557050665</v>
      </c>
      <c r="AY72" s="37">
        <v>-0.1102397557050665</v>
      </c>
      <c r="AZ72" s="37">
        <v>-0.1102397557050665</v>
      </c>
      <c r="BA72" s="37">
        <v>-0.1102397557050665</v>
      </c>
      <c r="BB72" s="37">
        <v>-0.1102397557050665</v>
      </c>
      <c r="BC72" s="37">
        <v>-0.1102397557050665</v>
      </c>
      <c r="BD72" s="37">
        <v>-0.1102397557050665</v>
      </c>
      <c r="BE72" s="37">
        <v>-0.1102397557050665</v>
      </c>
      <c r="BF72" s="37">
        <v>-0.1102397557050665</v>
      </c>
    </row>
    <row r="73" spans="1:58" x14ac:dyDescent="0.3">
      <c r="A73" s="37" t="s">
        <v>446</v>
      </c>
      <c r="B73" s="39" t="s">
        <v>162</v>
      </c>
      <c r="C73" s="40" t="s">
        <v>432</v>
      </c>
      <c r="D73" s="36">
        <v>-2.0404636035548096E-4</v>
      </c>
      <c r="E73" s="37">
        <v>-2.0404636035548096E-4</v>
      </c>
      <c r="F73" s="37">
        <v>-2.0404636035548096E-4</v>
      </c>
      <c r="G73" s="37">
        <v>-2.0404636035548096E-4</v>
      </c>
      <c r="H73" s="37">
        <v>-2.0404636035548096E-4</v>
      </c>
      <c r="I73" s="38">
        <v>-2.0404636035548096E-4</v>
      </c>
      <c r="J73" s="36">
        <v>-2.0404636035548096E-4</v>
      </c>
      <c r="K73" s="37">
        <v>14.188856383387897</v>
      </c>
      <c r="L73" s="37">
        <v>-2.0404636035548096E-4</v>
      </c>
      <c r="M73" s="37">
        <v>-2.0404636035548096E-4</v>
      </c>
      <c r="N73" s="37">
        <v>-2.0404636035548096E-4</v>
      </c>
      <c r="O73" s="37">
        <v>-2.0404636035548096E-4</v>
      </c>
      <c r="P73" s="37">
        <v>-2.0404636035548096E-4</v>
      </c>
      <c r="Q73" s="37">
        <v>-2.0404636035548096E-4</v>
      </c>
      <c r="R73" s="37">
        <v>-2.0404636035548096E-4</v>
      </c>
      <c r="S73" s="37">
        <v>-2.0404636035548096E-4</v>
      </c>
      <c r="T73" s="37">
        <v>-2.0404636035548096E-4</v>
      </c>
      <c r="U73" s="37">
        <v>-2.0404636035548096E-4</v>
      </c>
      <c r="V73" s="37">
        <v>-2.0404636035548096E-4</v>
      </c>
      <c r="W73" s="37">
        <v>-2.0404636035548096E-4</v>
      </c>
      <c r="X73" s="37">
        <v>-2.0404636035548096E-4</v>
      </c>
      <c r="Y73" s="37">
        <v>-2.0404636035548096E-4</v>
      </c>
      <c r="Z73" s="37">
        <v>-2.0404636035548096E-4</v>
      </c>
      <c r="AA73" s="37">
        <v>-2.0404636035548096E-4</v>
      </c>
      <c r="AB73" s="37">
        <v>-2.0404636035548096E-4</v>
      </c>
      <c r="AC73" s="37">
        <v>-2.0404636035548096E-4</v>
      </c>
      <c r="AD73" s="37">
        <v>-2.0404636035548096E-4</v>
      </c>
      <c r="AE73" s="37">
        <v>-2.0404636035548096E-4</v>
      </c>
      <c r="AF73" s="37">
        <v>-2.0404636035548096E-4</v>
      </c>
      <c r="AG73" s="37">
        <v>-2.0404636035548096E-4</v>
      </c>
      <c r="AH73" s="37">
        <v>-2.0404636035548096E-4</v>
      </c>
      <c r="AI73" s="37">
        <v>-2.0404636035548096E-4</v>
      </c>
      <c r="AJ73" s="37">
        <v>-2.0404636035548096E-4</v>
      </c>
      <c r="AK73" s="37">
        <v>-2.0404636035548096E-4</v>
      </c>
      <c r="AL73" s="37">
        <v>-2.0404636035548096E-4</v>
      </c>
      <c r="AM73" s="37">
        <v>-2.0404636035548096E-4</v>
      </c>
      <c r="AN73" s="37">
        <v>-2.0404636035548096E-4</v>
      </c>
      <c r="AO73" s="37">
        <v>-2.0404636035548096E-4</v>
      </c>
      <c r="AP73" s="37">
        <v>-2.0404636035548096E-4</v>
      </c>
      <c r="AQ73" s="37">
        <v>-2.0404636035548096E-4</v>
      </c>
      <c r="AR73" s="37">
        <v>-2.0404636035548096E-4</v>
      </c>
      <c r="AS73" s="37">
        <v>-2.0404636035548096E-4</v>
      </c>
      <c r="AT73" s="37">
        <v>-2.0404636035548096E-4</v>
      </c>
      <c r="AU73" s="37">
        <v>-2.0404636035548096E-4</v>
      </c>
      <c r="AV73" s="37">
        <v>-2.0404636035548096E-4</v>
      </c>
      <c r="AW73" s="37">
        <v>-2.0404636035548096E-4</v>
      </c>
      <c r="AX73" s="37">
        <v>-2.0404636035548096E-4</v>
      </c>
      <c r="AY73" s="37">
        <v>-2.0404636035548096E-4</v>
      </c>
      <c r="AZ73" s="37">
        <v>-2.0404636035548096E-4</v>
      </c>
      <c r="BA73" s="37">
        <v>-2.0404636035548096E-4</v>
      </c>
      <c r="BB73" s="37">
        <v>-2.0404636035548096E-4</v>
      </c>
      <c r="BC73" s="37">
        <v>-2.0404636035548096E-4</v>
      </c>
      <c r="BD73" s="37">
        <v>-2.0404636035548096E-4</v>
      </c>
      <c r="BE73" s="37">
        <v>-2.0404636035548096E-4</v>
      </c>
      <c r="BF73" s="37">
        <v>-2.0404636035548096E-4</v>
      </c>
    </row>
    <row r="74" spans="1:58" x14ac:dyDescent="0.3">
      <c r="A74" s="37" t="s">
        <v>446</v>
      </c>
      <c r="B74" s="39" t="s">
        <v>163</v>
      </c>
      <c r="C74" s="40" t="s">
        <v>433</v>
      </c>
      <c r="D74" s="36">
        <v>4.0598063786682376E-2</v>
      </c>
      <c r="E74" s="37">
        <v>4.0598063786682376E-2</v>
      </c>
      <c r="F74" s="37">
        <v>4.0598063786682376E-2</v>
      </c>
      <c r="G74" s="37">
        <v>4.0598063786682376E-2</v>
      </c>
      <c r="H74" s="37">
        <v>4.0598063786682376E-2</v>
      </c>
      <c r="I74" s="38">
        <v>4.0598063786682376E-2</v>
      </c>
      <c r="J74" s="36">
        <v>4.0598063786682376E-2</v>
      </c>
      <c r="K74" s="37">
        <v>14.229658493534934</v>
      </c>
      <c r="L74" s="37">
        <v>4.0598063786682376E-2</v>
      </c>
      <c r="M74" s="37">
        <v>4.0598063786682376E-2</v>
      </c>
      <c r="N74" s="37">
        <v>4.0598063786682376E-2</v>
      </c>
      <c r="O74" s="37">
        <v>4.0598063786682376E-2</v>
      </c>
      <c r="P74" s="37">
        <v>4.0598063786682376E-2</v>
      </c>
      <c r="Q74" s="37">
        <v>4.0598063786682376E-2</v>
      </c>
      <c r="R74" s="37">
        <v>4.0598063786682376E-2</v>
      </c>
      <c r="S74" s="37">
        <v>4.0598063786682376E-2</v>
      </c>
      <c r="T74" s="37">
        <v>4.0598063786682376E-2</v>
      </c>
      <c r="U74" s="37">
        <v>4.0598063786682376E-2</v>
      </c>
      <c r="V74" s="37">
        <v>4.0598063786682376E-2</v>
      </c>
      <c r="W74" s="37">
        <v>4.0598063786682376E-2</v>
      </c>
      <c r="X74" s="37">
        <v>4.0598063786682376E-2</v>
      </c>
      <c r="Y74" s="37">
        <v>4.0598063786682376E-2</v>
      </c>
      <c r="Z74" s="37">
        <v>4.0598063786682376E-2</v>
      </c>
      <c r="AA74" s="37">
        <v>4.0598063786682376E-2</v>
      </c>
      <c r="AB74" s="37">
        <v>4.0598063786682376E-2</v>
      </c>
      <c r="AC74" s="37">
        <v>4.0598063786682376E-2</v>
      </c>
      <c r="AD74" s="37">
        <v>4.0598063786682376E-2</v>
      </c>
      <c r="AE74" s="37">
        <v>4.0598063786682376E-2</v>
      </c>
      <c r="AF74" s="37">
        <v>4.0598063786682376E-2</v>
      </c>
      <c r="AG74" s="37">
        <v>4.0598063786682376E-2</v>
      </c>
      <c r="AH74" s="37">
        <v>4.0598063786682376E-2</v>
      </c>
      <c r="AI74" s="37">
        <v>4.0598063786682376E-2</v>
      </c>
      <c r="AJ74" s="37">
        <v>4.0598063786682376E-2</v>
      </c>
      <c r="AK74" s="37">
        <v>4.0598063786682376E-2</v>
      </c>
      <c r="AL74" s="37">
        <v>4.0598063786682376E-2</v>
      </c>
      <c r="AM74" s="37">
        <v>4.0598063786682376E-2</v>
      </c>
      <c r="AN74" s="37">
        <v>4.0598063786682376E-2</v>
      </c>
      <c r="AO74" s="37">
        <v>4.0598063786682376E-2</v>
      </c>
      <c r="AP74" s="37">
        <v>4.0598063786682376E-2</v>
      </c>
      <c r="AQ74" s="37">
        <v>4.0598063786682376E-2</v>
      </c>
      <c r="AR74" s="37">
        <v>4.0598063786682376E-2</v>
      </c>
      <c r="AS74" s="37">
        <v>4.0598063786682376E-2</v>
      </c>
      <c r="AT74" s="37">
        <v>4.0598063786682376E-2</v>
      </c>
      <c r="AU74" s="37">
        <v>4.0598063786682376E-2</v>
      </c>
      <c r="AV74" s="37">
        <v>4.0598063786682376E-2</v>
      </c>
      <c r="AW74" s="37">
        <v>4.0598063786682376E-2</v>
      </c>
      <c r="AX74" s="37">
        <v>4.0598063786682376E-2</v>
      </c>
      <c r="AY74" s="37">
        <v>4.0598063786682376E-2</v>
      </c>
      <c r="AZ74" s="37">
        <v>4.0598063786682376E-2</v>
      </c>
      <c r="BA74" s="37">
        <v>4.0598063786682376E-2</v>
      </c>
      <c r="BB74" s="37">
        <v>4.0598063786682376E-2</v>
      </c>
      <c r="BC74" s="37">
        <v>4.0598063786682376E-2</v>
      </c>
      <c r="BD74" s="37">
        <v>4.0598063786682376E-2</v>
      </c>
      <c r="BE74" s="37">
        <v>4.0598063786682376E-2</v>
      </c>
      <c r="BF74" s="37">
        <v>4.0598063786682376E-2</v>
      </c>
    </row>
    <row r="75" spans="1:58" x14ac:dyDescent="0.3">
      <c r="A75" s="37" t="s">
        <v>446</v>
      </c>
      <c r="B75" s="39" t="s">
        <v>164</v>
      </c>
      <c r="C75" s="40" t="s">
        <v>432</v>
      </c>
      <c r="D75" s="36">
        <v>2.228151920137417E-3</v>
      </c>
      <c r="E75" s="37">
        <v>2.228151920137417E-3</v>
      </c>
      <c r="F75" s="37">
        <v>2.228151920137417E-3</v>
      </c>
      <c r="G75" s="37">
        <v>2.228151920137417E-3</v>
      </c>
      <c r="H75" s="37">
        <v>2.228151920137417E-3</v>
      </c>
      <c r="I75" s="38">
        <v>2.228151920137417E-3</v>
      </c>
      <c r="J75" s="36">
        <v>2.228151920137417E-3</v>
      </c>
      <c r="K75" s="37">
        <v>2.228151920137417E-3</v>
      </c>
      <c r="L75" s="37">
        <v>2.228151920137417E-3</v>
      </c>
      <c r="M75" s="37">
        <v>2.228151920137417E-3</v>
      </c>
      <c r="N75" s="37">
        <v>2.228151920137417E-3</v>
      </c>
      <c r="O75" s="37">
        <v>2.228151920137417E-3</v>
      </c>
      <c r="P75" s="37">
        <v>2.228151920137417E-3</v>
      </c>
      <c r="Q75" s="37">
        <v>2.228151920137417E-3</v>
      </c>
      <c r="R75" s="37">
        <v>2.228151920137417E-3</v>
      </c>
      <c r="S75" s="37">
        <v>2.228151920137417E-3</v>
      </c>
      <c r="T75" s="37">
        <v>2.228151920137417E-3</v>
      </c>
      <c r="U75" s="37">
        <v>2.228151920137417E-3</v>
      </c>
      <c r="V75" s="37">
        <v>2.228151920137417E-3</v>
      </c>
      <c r="W75" s="37">
        <v>2.228151920137417E-3</v>
      </c>
      <c r="X75" s="37">
        <v>2.228151920137417E-3</v>
      </c>
      <c r="Y75" s="37">
        <v>2.228151920137417E-3</v>
      </c>
      <c r="Z75" s="37">
        <v>2.228151920137417E-3</v>
      </c>
      <c r="AA75" s="37">
        <v>2.228151920137417E-3</v>
      </c>
      <c r="AB75" s="37">
        <v>2.228151920137417E-3</v>
      </c>
      <c r="AC75" s="37">
        <v>2.228151920137417E-3</v>
      </c>
      <c r="AD75" s="37">
        <v>2.228151920137417E-3</v>
      </c>
      <c r="AE75" s="37">
        <v>2.228151920137417E-3</v>
      </c>
      <c r="AF75" s="37">
        <v>2.228151920137417E-3</v>
      </c>
      <c r="AG75" s="37">
        <v>2.228151920137417E-3</v>
      </c>
      <c r="AH75" s="37">
        <v>2.228151920137417E-3</v>
      </c>
      <c r="AI75" s="37">
        <v>2.228151920137417E-3</v>
      </c>
      <c r="AJ75" s="37">
        <v>2.228151920137417E-3</v>
      </c>
      <c r="AK75" s="37">
        <v>2.228151920137417E-3</v>
      </c>
      <c r="AL75" s="37">
        <v>2.228151920137417E-3</v>
      </c>
      <c r="AM75" s="37">
        <v>2.228151920137417E-3</v>
      </c>
      <c r="AN75" s="37">
        <v>2.228151920137417E-3</v>
      </c>
      <c r="AO75" s="37">
        <v>2.228151920137417E-3</v>
      </c>
      <c r="AP75" s="37">
        <v>2.228151920137417E-3</v>
      </c>
      <c r="AQ75" s="37">
        <v>2.228151920137417E-3</v>
      </c>
      <c r="AR75" s="37">
        <v>2.228151920137417E-3</v>
      </c>
      <c r="AS75" s="37">
        <v>2.228151920137417E-3</v>
      </c>
      <c r="AT75" s="37">
        <v>2.228151920137417E-3</v>
      </c>
      <c r="AU75" s="37">
        <v>2.228151920137417E-3</v>
      </c>
      <c r="AV75" s="37">
        <v>2.228151920137417E-3</v>
      </c>
      <c r="AW75" s="37">
        <v>2.228151920137417E-3</v>
      </c>
      <c r="AX75" s="37">
        <v>2.228151920137417E-3</v>
      </c>
      <c r="AY75" s="37">
        <v>2.228151920137417E-3</v>
      </c>
      <c r="AZ75" s="37">
        <v>2.228151920137417E-3</v>
      </c>
      <c r="BA75" s="37">
        <v>2.228151920137417E-3</v>
      </c>
      <c r="BB75" s="37">
        <v>2.228151920137417E-3</v>
      </c>
      <c r="BC75" s="37">
        <v>2.228151920137417E-3</v>
      </c>
      <c r="BD75" s="37">
        <v>2.228151920137417E-3</v>
      </c>
      <c r="BE75" s="37">
        <v>2.228151920137417E-3</v>
      </c>
      <c r="BF75" s="37">
        <v>2.228151920137417E-3</v>
      </c>
    </row>
    <row r="76" spans="1:58" x14ac:dyDescent="0.3">
      <c r="A76" s="37" t="s">
        <v>446</v>
      </c>
      <c r="B76" s="39" t="s">
        <v>165</v>
      </c>
      <c r="C76" s="40" t="s">
        <v>432</v>
      </c>
      <c r="D76" s="36">
        <v>1.5675760154118784E-2</v>
      </c>
      <c r="E76" s="37">
        <v>1.5675760154118784E-2</v>
      </c>
      <c r="F76" s="37">
        <v>1.5675760154118784E-2</v>
      </c>
      <c r="G76" s="37">
        <v>1.5675760154118784E-2</v>
      </c>
      <c r="H76" s="37">
        <v>1.5675760154118784E-2</v>
      </c>
      <c r="I76" s="38">
        <v>1.5675760154118784E-2</v>
      </c>
      <c r="J76" s="36">
        <v>1.5675760154118784E-2</v>
      </c>
      <c r="K76" s="37">
        <v>1.5675760154118784E-2</v>
      </c>
      <c r="L76" s="37">
        <v>1.5675760154118784E-2</v>
      </c>
      <c r="M76" s="37">
        <v>1.5675760154118784E-2</v>
      </c>
      <c r="N76" s="37">
        <v>1.5675760154118784E-2</v>
      </c>
      <c r="O76" s="37">
        <v>1.5675760154118784E-2</v>
      </c>
      <c r="P76" s="37">
        <v>1.5675760154118784E-2</v>
      </c>
      <c r="Q76" s="37">
        <v>1.5675760154118784E-2</v>
      </c>
      <c r="R76" s="37">
        <v>1.5675760154118784E-2</v>
      </c>
      <c r="S76" s="37">
        <v>1.5675760154118784E-2</v>
      </c>
      <c r="T76" s="37">
        <v>1.5675760154118784E-2</v>
      </c>
      <c r="U76" s="37">
        <v>1.5675760154118784E-2</v>
      </c>
      <c r="V76" s="37">
        <v>1.5675760154118784E-2</v>
      </c>
      <c r="W76" s="37">
        <v>1.5675760154118784E-2</v>
      </c>
      <c r="X76" s="37">
        <v>1.5675760154118784E-2</v>
      </c>
      <c r="Y76" s="37">
        <v>1.5675760154118784E-2</v>
      </c>
      <c r="Z76" s="37">
        <v>1.5675760154118784E-2</v>
      </c>
      <c r="AA76" s="37">
        <v>1.5675760154118784E-2</v>
      </c>
      <c r="AB76" s="37">
        <v>1.5675760154118784E-2</v>
      </c>
      <c r="AC76" s="37">
        <v>1.5675760154118784E-2</v>
      </c>
      <c r="AD76" s="37">
        <v>1.5675760154118784E-2</v>
      </c>
      <c r="AE76" s="37">
        <v>1.5675760154118784E-2</v>
      </c>
      <c r="AF76" s="37">
        <v>1.5675760154118784E-2</v>
      </c>
      <c r="AG76" s="37">
        <v>1.5675760154118784E-2</v>
      </c>
      <c r="AH76" s="37">
        <v>1.5675760154118784E-2</v>
      </c>
      <c r="AI76" s="37">
        <v>1.5675760154118784E-2</v>
      </c>
      <c r="AJ76" s="37">
        <v>1.5675760154118784E-2</v>
      </c>
      <c r="AK76" s="37">
        <v>1.5675760154118784E-2</v>
      </c>
      <c r="AL76" s="37">
        <v>1.5675760154118784E-2</v>
      </c>
      <c r="AM76" s="37">
        <v>1.5675760154118784E-2</v>
      </c>
      <c r="AN76" s="37">
        <v>1.5675760154118784E-2</v>
      </c>
      <c r="AO76" s="37">
        <v>1.5675760154118784E-2</v>
      </c>
      <c r="AP76" s="37">
        <v>1.5675760154118784E-2</v>
      </c>
      <c r="AQ76" s="37">
        <v>1.5675760154118784E-2</v>
      </c>
      <c r="AR76" s="37">
        <v>1.5675760154118784E-2</v>
      </c>
      <c r="AS76" s="37">
        <v>1.5675760154118784E-2</v>
      </c>
      <c r="AT76" s="37">
        <v>1.5675760154118784E-2</v>
      </c>
      <c r="AU76" s="37">
        <v>1.5675760154118784E-2</v>
      </c>
      <c r="AV76" s="37">
        <v>1.5675760154118784E-2</v>
      </c>
      <c r="AW76" s="37">
        <v>1.5675760154118784E-2</v>
      </c>
      <c r="AX76" s="37">
        <v>1.5675760154118784E-2</v>
      </c>
      <c r="AY76" s="37">
        <v>1.5675760154118784E-2</v>
      </c>
      <c r="AZ76" s="37">
        <v>1.5675760154118784E-2</v>
      </c>
      <c r="BA76" s="37">
        <v>1.5675760154118784E-2</v>
      </c>
      <c r="BB76" s="37">
        <v>1.5675760154118784E-2</v>
      </c>
      <c r="BC76" s="37">
        <v>1.5675760154118784E-2</v>
      </c>
      <c r="BD76" s="37">
        <v>1.5675760154118784E-2</v>
      </c>
      <c r="BE76" s="37">
        <v>1.5675760154118784E-2</v>
      </c>
      <c r="BF76" s="37">
        <v>1.5675760154118784E-2</v>
      </c>
    </row>
    <row r="77" spans="1:58" x14ac:dyDescent="0.3">
      <c r="A77" s="37" t="s">
        <v>446</v>
      </c>
      <c r="B77" s="39" t="s">
        <v>166</v>
      </c>
      <c r="C77" s="40" t="s">
        <v>432</v>
      </c>
      <c r="D77" s="36">
        <v>2.4317827788787518E-2</v>
      </c>
      <c r="E77" s="37">
        <v>2.4317827788787518E-2</v>
      </c>
      <c r="F77" s="37">
        <v>2.4317827788787518E-2</v>
      </c>
      <c r="G77" s="37">
        <v>2.4317827788787518E-2</v>
      </c>
      <c r="H77" s="37">
        <v>2.4317827788787518E-2</v>
      </c>
      <c r="I77" s="38">
        <v>2.4317827788787518E-2</v>
      </c>
      <c r="J77" s="36">
        <v>2.4317827788787518E-2</v>
      </c>
      <c r="K77" s="37">
        <v>2.4317827788787518E-2</v>
      </c>
      <c r="L77" s="37">
        <v>2.4317827788787518E-2</v>
      </c>
      <c r="M77" s="37">
        <v>2.4317827788787518E-2</v>
      </c>
      <c r="N77" s="37">
        <v>2.4317827788787518E-2</v>
      </c>
      <c r="O77" s="37">
        <v>2.4317827788787518E-2</v>
      </c>
      <c r="P77" s="37">
        <v>2.4317827788787518E-2</v>
      </c>
      <c r="Q77" s="37">
        <v>2.4317827788787518E-2</v>
      </c>
      <c r="R77" s="37">
        <v>2.4317827788787518E-2</v>
      </c>
      <c r="S77" s="37">
        <v>2.4317827788787518E-2</v>
      </c>
      <c r="T77" s="37">
        <v>2.4317827788787518E-2</v>
      </c>
      <c r="U77" s="37">
        <v>2.4317827788787518E-2</v>
      </c>
      <c r="V77" s="37">
        <v>2.4317827788787518E-2</v>
      </c>
      <c r="W77" s="37">
        <v>2.4317827788787518E-2</v>
      </c>
      <c r="X77" s="37">
        <v>2.4317827788787518E-2</v>
      </c>
      <c r="Y77" s="37">
        <v>2.4317827788787518E-2</v>
      </c>
      <c r="Z77" s="37">
        <v>2.4317827788787518E-2</v>
      </c>
      <c r="AA77" s="37">
        <v>2.4317827788787518E-2</v>
      </c>
      <c r="AB77" s="37">
        <v>2.4317827788787518E-2</v>
      </c>
      <c r="AC77" s="37">
        <v>2.4317827788787518E-2</v>
      </c>
      <c r="AD77" s="37">
        <v>2.4317827788787518E-2</v>
      </c>
      <c r="AE77" s="37">
        <v>2.4317827788787518E-2</v>
      </c>
      <c r="AF77" s="37">
        <v>2.4317827788787518E-2</v>
      </c>
      <c r="AG77" s="37">
        <v>2.4317827788787518E-2</v>
      </c>
      <c r="AH77" s="37">
        <v>2.4317827788787518E-2</v>
      </c>
      <c r="AI77" s="37">
        <v>2.4317827788787518E-2</v>
      </c>
      <c r="AJ77" s="37">
        <v>2.4317827788787518E-2</v>
      </c>
      <c r="AK77" s="37">
        <v>2.4317827788787518E-2</v>
      </c>
      <c r="AL77" s="37">
        <v>2.4317827788787518E-2</v>
      </c>
      <c r="AM77" s="37">
        <v>2.4317827788787518E-2</v>
      </c>
      <c r="AN77" s="37">
        <v>2.4317827788787518E-2</v>
      </c>
      <c r="AO77" s="37">
        <v>2.4317827788787518E-2</v>
      </c>
      <c r="AP77" s="37">
        <v>2.4317827788787518E-2</v>
      </c>
      <c r="AQ77" s="37">
        <v>2.4317827788787518E-2</v>
      </c>
      <c r="AR77" s="37">
        <v>2.4317827788787518E-2</v>
      </c>
      <c r="AS77" s="37">
        <v>2.4317827788787518E-2</v>
      </c>
      <c r="AT77" s="37">
        <v>2.4317827788787518E-2</v>
      </c>
      <c r="AU77" s="37">
        <v>2.4317827788787518E-2</v>
      </c>
      <c r="AV77" s="37">
        <v>2.4317827788787518E-2</v>
      </c>
      <c r="AW77" s="37">
        <v>2.4317827788787518E-2</v>
      </c>
      <c r="AX77" s="37">
        <v>2.4317827788787518E-2</v>
      </c>
      <c r="AY77" s="37">
        <v>2.4317827788787518E-2</v>
      </c>
      <c r="AZ77" s="37">
        <v>2.4317827788787518E-2</v>
      </c>
      <c r="BA77" s="37">
        <v>2.4317827788787518E-2</v>
      </c>
      <c r="BB77" s="37">
        <v>2.4317827788787518E-2</v>
      </c>
      <c r="BC77" s="37">
        <v>2.4317827788787518E-2</v>
      </c>
      <c r="BD77" s="37">
        <v>2.4317827788787518E-2</v>
      </c>
      <c r="BE77" s="37">
        <v>2.4317827788787518E-2</v>
      </c>
      <c r="BF77" s="37">
        <v>2.4317827788787518E-2</v>
      </c>
    </row>
    <row r="78" spans="1:58" x14ac:dyDescent="0.3">
      <c r="A78" s="37" t="s">
        <v>446</v>
      </c>
      <c r="B78" s="39" t="s">
        <v>167</v>
      </c>
      <c r="C78" s="40" t="s">
        <v>432</v>
      </c>
      <c r="D78" s="36">
        <v>1.2714879523373842E-5</v>
      </c>
      <c r="E78" s="37">
        <v>1.2714879523373842E-5</v>
      </c>
      <c r="F78" s="37">
        <v>1.2714879523373842E-5</v>
      </c>
      <c r="G78" s="37">
        <v>1.2714879523373842E-5</v>
      </c>
      <c r="H78" s="37">
        <v>1.2714879523373842E-5</v>
      </c>
      <c r="I78" s="38">
        <v>1.2714879523373842E-5</v>
      </c>
      <c r="J78" s="36">
        <v>1.2714879523373842E-5</v>
      </c>
      <c r="K78" s="37">
        <v>1.2714879523373842E-5</v>
      </c>
      <c r="L78" s="37">
        <v>1.2714879523373842E-5</v>
      </c>
      <c r="M78" s="37">
        <v>1.2714879523373842E-5</v>
      </c>
      <c r="N78" s="37">
        <v>1.2714879523373842E-5</v>
      </c>
      <c r="O78" s="37">
        <v>1.2714879523373842E-5</v>
      </c>
      <c r="P78" s="37">
        <v>1.2714879523373842E-5</v>
      </c>
      <c r="Q78" s="37">
        <v>1.2714879523373842E-5</v>
      </c>
      <c r="R78" s="37">
        <v>1.2714879523373842E-5</v>
      </c>
      <c r="S78" s="37">
        <v>1.2714879523373842E-5</v>
      </c>
      <c r="T78" s="37">
        <v>1.2714879523373842E-5</v>
      </c>
      <c r="U78" s="37">
        <v>1.2714879523373842E-5</v>
      </c>
      <c r="V78" s="37">
        <v>1.2714879523373842E-5</v>
      </c>
      <c r="W78" s="37">
        <v>1.2714879523373842E-5</v>
      </c>
      <c r="X78" s="37">
        <v>1.2714879523373842E-5</v>
      </c>
      <c r="Y78" s="37">
        <v>1.2714879523373842E-5</v>
      </c>
      <c r="Z78" s="37">
        <v>1.2714879523373842E-5</v>
      </c>
      <c r="AA78" s="37">
        <v>1.2714879523373842E-5</v>
      </c>
      <c r="AB78" s="37">
        <v>1.2714879523373842E-5</v>
      </c>
      <c r="AC78" s="37">
        <v>1.2714879523373842E-5</v>
      </c>
      <c r="AD78" s="37">
        <v>1.2714879523373842E-5</v>
      </c>
      <c r="AE78" s="37">
        <v>1.2714879523373842E-5</v>
      </c>
      <c r="AF78" s="37">
        <v>1.2714879523373842E-5</v>
      </c>
      <c r="AG78" s="37">
        <v>1.2714879523373842E-5</v>
      </c>
      <c r="AH78" s="37">
        <v>1.2714879523373842E-5</v>
      </c>
      <c r="AI78" s="37">
        <v>1.2714879523373842E-5</v>
      </c>
      <c r="AJ78" s="37">
        <v>1.2714879523373842E-5</v>
      </c>
      <c r="AK78" s="37">
        <v>1.2714879523373842E-5</v>
      </c>
      <c r="AL78" s="37">
        <v>1.2714879523373842E-5</v>
      </c>
      <c r="AM78" s="37">
        <v>1.2714879523373842E-5</v>
      </c>
      <c r="AN78" s="37">
        <v>1.2714879523373842E-5</v>
      </c>
      <c r="AO78" s="37">
        <v>1.2714879523373842E-5</v>
      </c>
      <c r="AP78" s="37">
        <v>1.2714879523373842E-5</v>
      </c>
      <c r="AQ78" s="37">
        <v>1.2714879523373842E-5</v>
      </c>
      <c r="AR78" s="37">
        <v>1.2714879523373842E-5</v>
      </c>
      <c r="AS78" s="37">
        <v>1.2714879523373842E-5</v>
      </c>
      <c r="AT78" s="37">
        <v>1.2714879523373842E-5</v>
      </c>
      <c r="AU78" s="37">
        <v>1.2714879523373842E-5</v>
      </c>
      <c r="AV78" s="37">
        <v>1.2714879523373842E-5</v>
      </c>
      <c r="AW78" s="37">
        <v>1.2714879523373842E-5</v>
      </c>
      <c r="AX78" s="37">
        <v>1.2714879523373842E-5</v>
      </c>
      <c r="AY78" s="37">
        <v>1.2714879523373842E-5</v>
      </c>
      <c r="AZ78" s="37">
        <v>1.2714879523373842E-5</v>
      </c>
      <c r="BA78" s="37">
        <v>1.2714879523373842E-5</v>
      </c>
      <c r="BB78" s="37">
        <v>1.2714879523373842E-5</v>
      </c>
      <c r="BC78" s="37">
        <v>1.2714879523373842E-5</v>
      </c>
      <c r="BD78" s="37">
        <v>1.2714879523373842E-5</v>
      </c>
      <c r="BE78" s="37">
        <v>1.2714879523373842E-5</v>
      </c>
      <c r="BF78" s="37">
        <v>1.2714879523373842E-5</v>
      </c>
    </row>
    <row r="79" spans="1:58" x14ac:dyDescent="0.3">
      <c r="A79" s="37" t="s">
        <v>446</v>
      </c>
      <c r="B79" s="39" t="s">
        <v>168</v>
      </c>
      <c r="C79" s="40" t="s">
        <v>432</v>
      </c>
      <c r="D79" s="36">
        <v>1.2714879523373842E-5</v>
      </c>
      <c r="E79" s="37">
        <v>1.2714879523373842E-5</v>
      </c>
      <c r="F79" s="37">
        <v>1.2714879523373842E-5</v>
      </c>
      <c r="G79" s="37">
        <v>1.2714879523373842E-5</v>
      </c>
      <c r="H79" s="37">
        <v>1.2714879523373842E-5</v>
      </c>
      <c r="I79" s="38">
        <v>1.2714879523373842E-5</v>
      </c>
      <c r="J79" s="36">
        <v>1.2714879523373842E-5</v>
      </c>
      <c r="K79" s="37">
        <v>1.2714879523373842E-5</v>
      </c>
      <c r="L79" s="37">
        <v>1.2714879523373842E-5</v>
      </c>
      <c r="M79" s="37">
        <v>1.2714879523373842E-5</v>
      </c>
      <c r="N79" s="37">
        <v>1.2714879523373842E-5</v>
      </c>
      <c r="O79" s="37">
        <v>1.2714879523373842E-5</v>
      </c>
      <c r="P79" s="37">
        <v>1.2714879523373842E-5</v>
      </c>
      <c r="Q79" s="37">
        <v>1.2714879523373842E-5</v>
      </c>
      <c r="R79" s="37">
        <v>1.2714879523373842E-5</v>
      </c>
      <c r="S79" s="37">
        <v>1.2714879523373842E-5</v>
      </c>
      <c r="T79" s="37">
        <v>1.2714879523373842E-5</v>
      </c>
      <c r="U79" s="37">
        <v>1.2714879523373842E-5</v>
      </c>
      <c r="V79" s="37">
        <v>1.2714879523373842E-5</v>
      </c>
      <c r="W79" s="37">
        <v>1.2714879523373842E-5</v>
      </c>
      <c r="X79" s="37">
        <v>1.2714879523373842E-5</v>
      </c>
      <c r="Y79" s="37">
        <v>1.2714879523373842E-5</v>
      </c>
      <c r="Z79" s="37">
        <v>1.2714879523373842E-5</v>
      </c>
      <c r="AA79" s="37">
        <v>1.2714879523373842E-5</v>
      </c>
      <c r="AB79" s="37">
        <v>1.2714879523373842E-5</v>
      </c>
      <c r="AC79" s="37">
        <v>1.2714879523373842E-5</v>
      </c>
      <c r="AD79" s="37">
        <v>1.2714879523373842E-5</v>
      </c>
      <c r="AE79" s="37">
        <v>1.2714879523373842E-5</v>
      </c>
      <c r="AF79" s="37">
        <v>1.2714879523373842E-5</v>
      </c>
      <c r="AG79" s="37">
        <v>1.2714879523373842E-5</v>
      </c>
      <c r="AH79" s="37">
        <v>1.2714879523373842E-5</v>
      </c>
      <c r="AI79" s="37">
        <v>1.2714879523373842E-5</v>
      </c>
      <c r="AJ79" s="37">
        <v>1.2714879523373842E-5</v>
      </c>
      <c r="AK79" s="37">
        <v>1.2714879523373842E-5</v>
      </c>
      <c r="AL79" s="37">
        <v>1.2714879523373842E-5</v>
      </c>
      <c r="AM79" s="37">
        <v>1.2714879523373842E-5</v>
      </c>
      <c r="AN79" s="37">
        <v>1.2714879523373842E-5</v>
      </c>
      <c r="AO79" s="37">
        <v>1.2714879523373842E-5</v>
      </c>
      <c r="AP79" s="37">
        <v>1.2714879523373842E-5</v>
      </c>
      <c r="AQ79" s="37">
        <v>1.2714879523373842E-5</v>
      </c>
      <c r="AR79" s="37">
        <v>1.2714879523373842E-5</v>
      </c>
      <c r="AS79" s="37">
        <v>1.2714879523373842E-5</v>
      </c>
      <c r="AT79" s="37">
        <v>1.2714879523373842E-5</v>
      </c>
      <c r="AU79" s="37">
        <v>1.2714879523373842E-5</v>
      </c>
      <c r="AV79" s="37">
        <v>1.2714879523373842E-5</v>
      </c>
      <c r="AW79" s="37">
        <v>1.2714879523373842E-5</v>
      </c>
      <c r="AX79" s="37">
        <v>1.2714879523373842E-5</v>
      </c>
      <c r="AY79" s="37">
        <v>1.2714879523373842E-5</v>
      </c>
      <c r="AZ79" s="37">
        <v>1.2714879523373842E-5</v>
      </c>
      <c r="BA79" s="37">
        <v>1.2714879523373842E-5</v>
      </c>
      <c r="BB79" s="37">
        <v>1.2714879523373842E-5</v>
      </c>
      <c r="BC79" s="37">
        <v>1.2714879523373842E-5</v>
      </c>
      <c r="BD79" s="37">
        <v>1.2714879523373842E-5</v>
      </c>
      <c r="BE79" s="37">
        <v>1.2714879523373842E-5</v>
      </c>
      <c r="BF79" s="37">
        <v>1.2714879523373842E-5</v>
      </c>
    </row>
    <row r="80" spans="1:58" x14ac:dyDescent="0.3">
      <c r="A80" s="37" t="s">
        <v>446</v>
      </c>
      <c r="B80" s="39" t="s">
        <v>169</v>
      </c>
      <c r="C80" s="40" t="s">
        <v>432</v>
      </c>
      <c r="D80" s="36">
        <v>0</v>
      </c>
      <c r="E80" s="37">
        <v>0</v>
      </c>
      <c r="F80" s="37">
        <v>0</v>
      </c>
      <c r="G80" s="37">
        <v>0</v>
      </c>
      <c r="H80" s="37">
        <v>0</v>
      </c>
      <c r="I80" s="38">
        <v>0</v>
      </c>
      <c r="J80" s="36">
        <v>0</v>
      </c>
      <c r="K80" s="37">
        <v>0</v>
      </c>
      <c r="L80" s="37">
        <v>0</v>
      </c>
      <c r="M80" s="37">
        <v>0</v>
      </c>
      <c r="N80" s="37">
        <v>0</v>
      </c>
      <c r="O80" s="37">
        <v>0</v>
      </c>
      <c r="P80" s="37">
        <v>0</v>
      </c>
      <c r="Q80" s="37">
        <v>0</v>
      </c>
      <c r="R80" s="37">
        <v>0</v>
      </c>
      <c r="S80" s="37">
        <v>0</v>
      </c>
      <c r="T80" s="37">
        <v>0</v>
      </c>
      <c r="U80" s="37">
        <v>0</v>
      </c>
      <c r="V80" s="37">
        <v>0</v>
      </c>
      <c r="W80" s="37">
        <v>0</v>
      </c>
      <c r="X80" s="37">
        <v>0</v>
      </c>
      <c r="Y80" s="37">
        <v>0</v>
      </c>
      <c r="Z80" s="37">
        <v>0</v>
      </c>
      <c r="AA80" s="37">
        <v>0</v>
      </c>
      <c r="AB80" s="37">
        <v>0</v>
      </c>
      <c r="AC80" s="37">
        <v>0</v>
      </c>
      <c r="AD80" s="37">
        <v>0</v>
      </c>
      <c r="AE80" s="37">
        <v>0</v>
      </c>
      <c r="AF80" s="37">
        <v>0</v>
      </c>
      <c r="AG80" s="37">
        <v>0</v>
      </c>
      <c r="AH80" s="37">
        <v>0</v>
      </c>
      <c r="AI80" s="37">
        <v>0</v>
      </c>
      <c r="AJ80" s="37">
        <v>0</v>
      </c>
      <c r="AK80" s="37">
        <v>0</v>
      </c>
      <c r="AL80" s="37">
        <v>0</v>
      </c>
      <c r="AM80" s="37">
        <v>0</v>
      </c>
      <c r="AN80" s="37">
        <v>0</v>
      </c>
      <c r="AO80" s="37">
        <v>0</v>
      </c>
      <c r="AP80" s="37">
        <v>0</v>
      </c>
      <c r="AQ80" s="37">
        <v>0</v>
      </c>
      <c r="AR80" s="37">
        <v>0</v>
      </c>
      <c r="AS80" s="37">
        <v>0</v>
      </c>
      <c r="AT80" s="37">
        <v>0</v>
      </c>
      <c r="AU80" s="37">
        <v>0</v>
      </c>
      <c r="AV80" s="37">
        <v>0</v>
      </c>
      <c r="AW80" s="37">
        <v>0</v>
      </c>
      <c r="AX80" s="37">
        <v>0</v>
      </c>
      <c r="AY80" s="37">
        <v>0</v>
      </c>
      <c r="AZ80" s="37">
        <v>0</v>
      </c>
      <c r="BA80" s="37">
        <v>0</v>
      </c>
      <c r="BB80" s="37">
        <v>0</v>
      </c>
      <c r="BC80" s="37">
        <v>0</v>
      </c>
      <c r="BD80" s="37">
        <v>0</v>
      </c>
      <c r="BE80" s="37">
        <v>0</v>
      </c>
      <c r="BF80" s="37">
        <v>0</v>
      </c>
    </row>
    <row r="81" spans="1:58" x14ac:dyDescent="0.3">
      <c r="A81" s="37" t="s">
        <v>446</v>
      </c>
      <c r="B81" s="39" t="s">
        <v>170</v>
      </c>
      <c r="C81" s="40" t="s">
        <v>432</v>
      </c>
      <c r="D81" s="36">
        <v>4.551926869367838E-6</v>
      </c>
      <c r="E81" s="37">
        <v>4.551926869367838E-6</v>
      </c>
      <c r="F81" s="37">
        <v>4.551926869367838E-6</v>
      </c>
      <c r="G81" s="37">
        <v>4.551926869367838E-6</v>
      </c>
      <c r="H81" s="37">
        <v>4.551926869367838E-6</v>
      </c>
      <c r="I81" s="38">
        <v>4.551926869367838E-6</v>
      </c>
      <c r="J81" s="36">
        <v>4.551926869367838E-6</v>
      </c>
      <c r="K81" s="37">
        <v>4.551926869367838E-6</v>
      </c>
      <c r="L81" s="37">
        <v>4.551926869367838E-6</v>
      </c>
      <c r="M81" s="37">
        <v>4.551926869367838E-6</v>
      </c>
      <c r="N81" s="37">
        <v>4.551926869367838E-6</v>
      </c>
      <c r="O81" s="37">
        <v>4.551926869367838E-6</v>
      </c>
      <c r="P81" s="37">
        <v>4.551926869367838E-6</v>
      </c>
      <c r="Q81" s="37">
        <v>4.551926869367838E-6</v>
      </c>
      <c r="R81" s="37">
        <v>4.551926869367838E-6</v>
      </c>
      <c r="S81" s="37">
        <v>4.551926869367838E-6</v>
      </c>
      <c r="T81" s="37">
        <v>4.551926869367838E-6</v>
      </c>
      <c r="U81" s="37">
        <v>4.551926869367838E-6</v>
      </c>
      <c r="V81" s="37">
        <v>4.551926869367838E-6</v>
      </c>
      <c r="W81" s="37">
        <v>4.551926869367838E-6</v>
      </c>
      <c r="X81" s="37">
        <v>4.551926869367838E-6</v>
      </c>
      <c r="Y81" s="37">
        <v>4.551926869367838E-6</v>
      </c>
      <c r="Z81" s="37">
        <v>4.551926869367838E-6</v>
      </c>
      <c r="AA81" s="37">
        <v>4.551926869367838E-6</v>
      </c>
      <c r="AB81" s="37">
        <v>4.551926869367838E-6</v>
      </c>
      <c r="AC81" s="37">
        <v>4.551926869367838E-6</v>
      </c>
      <c r="AD81" s="37">
        <v>4.551926869367838E-6</v>
      </c>
      <c r="AE81" s="37">
        <v>4.551926869367838E-6</v>
      </c>
      <c r="AF81" s="37">
        <v>4.551926869367838E-6</v>
      </c>
      <c r="AG81" s="37">
        <v>4.551926869367838E-6</v>
      </c>
      <c r="AH81" s="37">
        <v>4.551926869367838E-6</v>
      </c>
      <c r="AI81" s="37">
        <v>4.551926869367838E-6</v>
      </c>
      <c r="AJ81" s="37">
        <v>4.551926869367838E-6</v>
      </c>
      <c r="AK81" s="37">
        <v>4.551926869367838E-6</v>
      </c>
      <c r="AL81" s="37">
        <v>4.551926869367838E-6</v>
      </c>
      <c r="AM81" s="37">
        <v>4.551926869367838E-6</v>
      </c>
      <c r="AN81" s="37">
        <v>4.551926869367838E-6</v>
      </c>
      <c r="AO81" s="37">
        <v>4.551926869367838E-6</v>
      </c>
      <c r="AP81" s="37">
        <v>4.551926869367838E-6</v>
      </c>
      <c r="AQ81" s="37">
        <v>4.551926869367838E-6</v>
      </c>
      <c r="AR81" s="37">
        <v>4.551926869367838E-6</v>
      </c>
      <c r="AS81" s="37">
        <v>4.551926869367838E-6</v>
      </c>
      <c r="AT81" s="37">
        <v>4.551926869367838E-6</v>
      </c>
      <c r="AU81" s="37">
        <v>4.551926869367838E-6</v>
      </c>
      <c r="AV81" s="37">
        <v>4.551926869367838E-6</v>
      </c>
      <c r="AW81" s="37">
        <v>4.551926869367838E-6</v>
      </c>
      <c r="AX81" s="37">
        <v>4.551926869367838E-6</v>
      </c>
      <c r="AY81" s="37">
        <v>4.551926869367838E-6</v>
      </c>
      <c r="AZ81" s="37">
        <v>4.551926869367838E-6</v>
      </c>
      <c r="BA81" s="37">
        <v>4.551926869367838E-6</v>
      </c>
      <c r="BB81" s="37">
        <v>4.551926869367838E-6</v>
      </c>
      <c r="BC81" s="37">
        <v>4.551926869367838E-6</v>
      </c>
      <c r="BD81" s="37">
        <v>4.551926869367838E-6</v>
      </c>
      <c r="BE81" s="37">
        <v>4.551926869367838E-6</v>
      </c>
      <c r="BF81" s="37">
        <v>4.551926869367838E-6</v>
      </c>
    </row>
    <row r="82" spans="1:58" x14ac:dyDescent="0.3">
      <c r="A82" s="37" t="s">
        <v>446</v>
      </c>
      <c r="B82" s="39" t="s">
        <v>171</v>
      </c>
      <c r="C82" s="40" t="s">
        <v>432</v>
      </c>
      <c r="D82" s="36">
        <v>3.3058686760771993E-6</v>
      </c>
      <c r="E82" s="37">
        <v>3.3058686760771993E-6</v>
      </c>
      <c r="F82" s="37">
        <v>3.3058686760771993E-6</v>
      </c>
      <c r="G82" s="37">
        <v>3.3058686760771993E-6</v>
      </c>
      <c r="H82" s="37">
        <v>3.3058686760771993E-6</v>
      </c>
      <c r="I82" s="38">
        <v>3.3058686760771993E-6</v>
      </c>
      <c r="J82" s="36">
        <v>3.3058686760771993E-6</v>
      </c>
      <c r="K82" s="37">
        <v>3.3058686760771993E-6</v>
      </c>
      <c r="L82" s="37">
        <v>3.3058686760771993E-6</v>
      </c>
      <c r="M82" s="37">
        <v>3.3058686760771993E-6</v>
      </c>
      <c r="N82" s="37">
        <v>3.3058686760771993E-6</v>
      </c>
      <c r="O82" s="37">
        <v>3.3058686760771993E-6</v>
      </c>
      <c r="P82" s="37">
        <v>3.3058686760771993E-6</v>
      </c>
      <c r="Q82" s="37">
        <v>3.3058686760771993E-6</v>
      </c>
      <c r="R82" s="37">
        <v>3.3058686760771993E-6</v>
      </c>
      <c r="S82" s="37">
        <v>3.3058686760771993E-6</v>
      </c>
      <c r="T82" s="37">
        <v>3.3058686760771993E-6</v>
      </c>
      <c r="U82" s="37">
        <v>3.3058686760771993E-6</v>
      </c>
      <c r="V82" s="37">
        <v>3.3058686760771993E-6</v>
      </c>
      <c r="W82" s="37">
        <v>3.3058686760771993E-6</v>
      </c>
      <c r="X82" s="37">
        <v>3.3058686760771993E-6</v>
      </c>
      <c r="Y82" s="37">
        <v>3.3058686760771993E-6</v>
      </c>
      <c r="Z82" s="37">
        <v>3.3058686760771993E-6</v>
      </c>
      <c r="AA82" s="37">
        <v>3.3058686760771993E-6</v>
      </c>
      <c r="AB82" s="37">
        <v>3.3058686760771993E-6</v>
      </c>
      <c r="AC82" s="37">
        <v>3.3058686760771993E-6</v>
      </c>
      <c r="AD82" s="37">
        <v>3.3058686760771993E-6</v>
      </c>
      <c r="AE82" s="37">
        <v>3.3058686760771993E-6</v>
      </c>
      <c r="AF82" s="37">
        <v>3.3058686760771993E-6</v>
      </c>
      <c r="AG82" s="37">
        <v>3.3058686760771993E-6</v>
      </c>
      <c r="AH82" s="37">
        <v>3.3058686760771993E-6</v>
      </c>
      <c r="AI82" s="37">
        <v>3.3058686760771993E-6</v>
      </c>
      <c r="AJ82" s="37">
        <v>3.3058686760771993E-6</v>
      </c>
      <c r="AK82" s="37">
        <v>3.3058686760771993E-6</v>
      </c>
      <c r="AL82" s="37">
        <v>3.3058686760771993E-6</v>
      </c>
      <c r="AM82" s="37">
        <v>3.3058686760771993E-6</v>
      </c>
      <c r="AN82" s="37">
        <v>3.3058686760771993E-6</v>
      </c>
      <c r="AO82" s="37">
        <v>3.3058686760771993E-6</v>
      </c>
      <c r="AP82" s="37">
        <v>3.3058686760771993E-6</v>
      </c>
      <c r="AQ82" s="37">
        <v>3.3058686760771993E-6</v>
      </c>
      <c r="AR82" s="37">
        <v>3.3058686760771993E-6</v>
      </c>
      <c r="AS82" s="37">
        <v>3.3058686760771993E-6</v>
      </c>
      <c r="AT82" s="37">
        <v>3.3058686760771993E-6</v>
      </c>
      <c r="AU82" s="37">
        <v>3.3058686760771993E-6</v>
      </c>
      <c r="AV82" s="37">
        <v>3.3058686760771993E-6</v>
      </c>
      <c r="AW82" s="37">
        <v>3.3058686760771993E-6</v>
      </c>
      <c r="AX82" s="37">
        <v>3.3058686760771993E-6</v>
      </c>
      <c r="AY82" s="37">
        <v>3.3058686760771993E-6</v>
      </c>
      <c r="AZ82" s="37">
        <v>3.3058686760771993E-6</v>
      </c>
      <c r="BA82" s="37">
        <v>3.3058686760771993E-6</v>
      </c>
      <c r="BB82" s="37">
        <v>3.3058686760771993E-6</v>
      </c>
      <c r="BC82" s="37">
        <v>3.3058686760771993E-6</v>
      </c>
      <c r="BD82" s="37">
        <v>3.3058686760771993E-6</v>
      </c>
      <c r="BE82" s="37">
        <v>3.3058686760771993E-6</v>
      </c>
      <c r="BF82" s="37">
        <v>3.3058686760771993E-6</v>
      </c>
    </row>
    <row r="83" spans="1:58" x14ac:dyDescent="0.3">
      <c r="A83" s="37" t="s">
        <v>1628</v>
      </c>
      <c r="B83" s="39" t="s">
        <v>151</v>
      </c>
      <c r="C83" s="40" t="s">
        <v>434</v>
      </c>
      <c r="D83" s="36">
        <v>2070329.4766586311</v>
      </c>
      <c r="E83" s="37">
        <v>2085927.0201283931</v>
      </c>
      <c r="F83" s="37">
        <v>2605210.7678685701</v>
      </c>
      <c r="G83" s="37">
        <v>2586940.9588255296</v>
      </c>
      <c r="H83" s="37">
        <v>2383257.4190190053</v>
      </c>
      <c r="I83" s="38">
        <v>2058100.8988502123</v>
      </c>
      <c r="J83" s="36">
        <v>2088864.261022019</v>
      </c>
      <c r="K83" s="37">
        <v>1979956.7055730885</v>
      </c>
      <c r="L83" s="37">
        <v>1423520.7365362912</v>
      </c>
      <c r="M83" s="37">
        <v>1339361.7489581543</v>
      </c>
      <c r="N83" s="37">
        <v>1414555.8331264218</v>
      </c>
      <c r="O83" s="37">
        <v>1483569.3481513932</v>
      </c>
      <c r="P83" s="37">
        <v>1713236.4201558065</v>
      </c>
      <c r="Q83" s="37">
        <v>2048256.103509069</v>
      </c>
      <c r="R83" s="37">
        <v>1792583.0521053504</v>
      </c>
      <c r="S83" s="37">
        <v>1145734.7794706153</v>
      </c>
      <c r="T83" s="37">
        <v>1056679.7054490156</v>
      </c>
      <c r="U83" s="37">
        <v>1121864.9162027726</v>
      </c>
      <c r="V83" s="37">
        <v>1758940.530275974</v>
      </c>
      <c r="W83" s="37">
        <v>3227403.6710344101</v>
      </c>
      <c r="X83" s="37">
        <v>3352571.9419625076</v>
      </c>
      <c r="Y83" s="37">
        <v>3763687.9110391391</v>
      </c>
      <c r="Z83" s="37">
        <v>3953538.6939032767</v>
      </c>
      <c r="AA83" s="37">
        <v>3525073.0852088844</v>
      </c>
      <c r="AB83" s="37">
        <v>3570311.4437774774</v>
      </c>
      <c r="AC83" s="37">
        <v>2170904.5559042124</v>
      </c>
      <c r="AD83" s="37">
        <v>2146058.7389833275</v>
      </c>
      <c r="AE83" s="37">
        <v>2207712.112841785</v>
      </c>
      <c r="AF83" s="37">
        <v>1867869.923274582</v>
      </c>
      <c r="AG83" s="37">
        <v>3001123.5826840652</v>
      </c>
      <c r="AH83" s="37">
        <v>3112580.2658211859</v>
      </c>
      <c r="AI83" s="37">
        <v>3581886.4646040201</v>
      </c>
      <c r="AJ83" s="37">
        <v>3750939.9986356436</v>
      </c>
      <c r="AK83" s="37">
        <v>3369410.7562061651</v>
      </c>
      <c r="AL83" s="37">
        <v>3409693.4681046121</v>
      </c>
      <c r="AM83" s="37">
        <v>1970855.1275733777</v>
      </c>
      <c r="AN83" s="37">
        <v>1021076.2096943095</v>
      </c>
      <c r="AO83" s="37">
        <v>4488128.3282077825</v>
      </c>
      <c r="AP83" s="37">
        <v>4665207.6825167686</v>
      </c>
      <c r="AQ83" s="37">
        <v>5246825.9297802653</v>
      </c>
      <c r="AR83" s="37">
        <v>5515413.5981674781</v>
      </c>
      <c r="AS83" s="37">
        <v>4909250.2888189461</v>
      </c>
      <c r="AT83" s="37">
        <v>4973250.3685989622</v>
      </c>
      <c r="AU83" s="37">
        <v>1280349.2032770496</v>
      </c>
      <c r="AV83" s="37">
        <v>1308561.0132153651</v>
      </c>
      <c r="AW83" s="37">
        <v>1211462.9084832892</v>
      </c>
      <c r="AX83" s="37">
        <v>1987780.6475080857</v>
      </c>
      <c r="AY83" s="37">
        <v>1556689.7348784646</v>
      </c>
      <c r="AZ83" s="37">
        <v>1660966.0155295227</v>
      </c>
      <c r="BA83" s="37">
        <v>2284456.0841689985</v>
      </c>
      <c r="BB83" s="37">
        <v>2279841.1429817039</v>
      </c>
      <c r="BC83" s="37">
        <v>1238357.6537699746</v>
      </c>
      <c r="BD83" s="37">
        <v>1500978.183753795</v>
      </c>
      <c r="BE83" s="37">
        <v>1837052.1485340779</v>
      </c>
      <c r="BF83" s="37">
        <v>4184057.7451124317</v>
      </c>
    </row>
    <row r="84" spans="1:58" x14ac:dyDescent="0.3">
      <c r="A84" s="37" t="s">
        <v>1628</v>
      </c>
      <c r="B84" s="39" t="s">
        <v>152</v>
      </c>
      <c r="C84" s="40" t="s">
        <v>434</v>
      </c>
      <c r="D84" s="36">
        <v>68443.152350090983</v>
      </c>
      <c r="E84" s="37">
        <v>83835.304358806316</v>
      </c>
      <c r="F84" s="37">
        <v>84554.194556132556</v>
      </c>
      <c r="G84" s="37">
        <v>66824.173425255591</v>
      </c>
      <c r="H84" s="37">
        <v>106049.01840210153</v>
      </c>
      <c r="I84" s="38">
        <v>56622.990211884055</v>
      </c>
      <c r="J84" s="36">
        <v>86718.058470820601</v>
      </c>
      <c r="K84" s="37">
        <v>126199.20255418212</v>
      </c>
      <c r="L84" s="37">
        <v>166999.16674488503</v>
      </c>
      <c r="M84" s="37">
        <v>209061.82775072532</v>
      </c>
      <c r="N84" s="37">
        <v>240978.95562638203</v>
      </c>
      <c r="O84" s="37">
        <v>372302.12866581237</v>
      </c>
      <c r="P84" s="37">
        <v>215495.11662967771</v>
      </c>
      <c r="Q84" s="37">
        <v>91643.349443975952</v>
      </c>
      <c r="R84" s="37">
        <v>246338.82193012111</v>
      </c>
      <c r="S84" s="37">
        <v>174951.82195080892</v>
      </c>
      <c r="T84" s="37">
        <v>114740.59462104501</v>
      </c>
      <c r="U84" s="37">
        <v>165464.81640275475</v>
      </c>
      <c r="V84" s="37">
        <v>681622.24871739198</v>
      </c>
      <c r="W84" s="37">
        <v>32559.363199379586</v>
      </c>
      <c r="X84" s="37">
        <v>58333.111539745136</v>
      </c>
      <c r="Y84" s="37">
        <v>48861.375704230348</v>
      </c>
      <c r="Z84" s="37">
        <v>29948.305154776652</v>
      </c>
      <c r="AA84" s="37">
        <v>80166.273547338016</v>
      </c>
      <c r="AB84" s="37">
        <v>24193.906372883634</v>
      </c>
      <c r="AC84" s="37">
        <v>822443.69745842554</v>
      </c>
      <c r="AD84" s="37">
        <v>799901.12452257588</v>
      </c>
      <c r="AE84" s="37">
        <v>795199.44035193254</v>
      </c>
      <c r="AF84" s="37">
        <v>1065693.112666093</v>
      </c>
      <c r="AG84" s="37">
        <v>319072.92317247804</v>
      </c>
      <c r="AH84" s="37">
        <v>342023.28016573086</v>
      </c>
      <c r="AI84" s="37">
        <v>355396.47668914037</v>
      </c>
      <c r="AJ84" s="37">
        <v>338555.24291839183</v>
      </c>
      <c r="AK84" s="37">
        <v>383272.07210695616</v>
      </c>
      <c r="AL84" s="37">
        <v>333431.21110967163</v>
      </c>
      <c r="AM84" s="37">
        <v>397994.26770446193</v>
      </c>
      <c r="AN84" s="37">
        <v>19771.708614689189</v>
      </c>
      <c r="AO84" s="37">
        <v>86861.199458668474</v>
      </c>
      <c r="AP84" s="37">
        <v>123324.10399823808</v>
      </c>
      <c r="AQ84" s="37">
        <v>109924.15165007694</v>
      </c>
      <c r="AR84" s="37">
        <v>83167.256343746223</v>
      </c>
      <c r="AS84" s="37">
        <v>154212.14137512998</v>
      </c>
      <c r="AT84" s="37">
        <v>75026.333622848557</v>
      </c>
      <c r="AU84" s="37">
        <v>251117.82747226726</v>
      </c>
      <c r="AV84" s="37">
        <v>289112.12633596</v>
      </c>
      <c r="AW84" s="37">
        <v>190910.37565233588</v>
      </c>
      <c r="AX84" s="37">
        <v>399660.23857580504</v>
      </c>
      <c r="AY84" s="37">
        <v>292693.69332136749</v>
      </c>
      <c r="AZ84" s="37">
        <v>643947.46019181737</v>
      </c>
      <c r="BA84" s="37">
        <v>452543.70356521488</v>
      </c>
      <c r="BB84" s="37">
        <v>442631.19971063331</v>
      </c>
      <c r="BC84" s="37">
        <v>210850.74248417563</v>
      </c>
      <c r="BD84" s="37">
        <v>476229.38643271197</v>
      </c>
      <c r="BE84" s="37">
        <v>803065.79659154022</v>
      </c>
      <c r="BF84" s="37">
        <v>523275.07514340332</v>
      </c>
    </row>
    <row r="85" spans="1:58" x14ac:dyDescent="0.3">
      <c r="A85" s="37" t="s">
        <v>1628</v>
      </c>
      <c r="B85" s="39" t="s">
        <v>9</v>
      </c>
      <c r="C85" s="40" t="s">
        <v>434</v>
      </c>
      <c r="D85" s="36">
        <v>2561.3610288082195</v>
      </c>
      <c r="E85" s="37">
        <v>2864.2392869678306</v>
      </c>
      <c r="F85" s="37">
        <v>4426.3251293950289</v>
      </c>
      <c r="G85" s="37">
        <v>3654.3862136625485</v>
      </c>
      <c r="H85" s="37">
        <v>5246.8085551882614</v>
      </c>
      <c r="I85" s="38">
        <v>1976.0477194841133</v>
      </c>
      <c r="J85" s="36">
        <v>2934.0300527235072</v>
      </c>
      <c r="K85" s="37">
        <v>2582.0602850643718</v>
      </c>
      <c r="L85" s="37">
        <v>23007.03802952544</v>
      </c>
      <c r="M85" s="37">
        <v>13465.865706679357</v>
      </c>
      <c r="N85" s="37">
        <v>11715.516493652558</v>
      </c>
      <c r="O85" s="37">
        <v>12984.942202144768</v>
      </c>
      <c r="P85" s="37">
        <v>9336.6476087465198</v>
      </c>
      <c r="Q85" s="37">
        <v>13058.891769586393</v>
      </c>
      <c r="R85" s="37">
        <v>17092.398910125674</v>
      </c>
      <c r="S85" s="37">
        <v>17871.615865629468</v>
      </c>
      <c r="T85" s="37">
        <v>3097.2951028609928</v>
      </c>
      <c r="U85" s="37">
        <v>10321.88615716909</v>
      </c>
      <c r="V85" s="37">
        <v>40537.333110328014</v>
      </c>
      <c r="W85" s="37">
        <v>-26114.786645397478</v>
      </c>
      <c r="X85" s="37">
        <v>-25620.66352158042</v>
      </c>
      <c r="Y85" s="37">
        <v>-23692.792048234973</v>
      </c>
      <c r="Z85" s="37">
        <v>-24561.220906123075</v>
      </c>
      <c r="AA85" s="37">
        <v>-22501.101605703254</v>
      </c>
      <c r="AB85" s="37">
        <v>-26892.356975482482</v>
      </c>
      <c r="AC85" s="37">
        <v>63120.852666581544</v>
      </c>
      <c r="AD85" s="37">
        <v>47099.766635936685</v>
      </c>
      <c r="AE85" s="37">
        <v>47192.278784761576</v>
      </c>
      <c r="AF85" s="37">
        <v>206526.81871677033</v>
      </c>
      <c r="AG85" s="37">
        <v>-8278.506772326451</v>
      </c>
      <c r="AH85" s="37">
        <v>-7838.512482770122</v>
      </c>
      <c r="AI85" s="37">
        <v>-5076.3800462519648</v>
      </c>
      <c r="AJ85" s="37">
        <v>-5849.6766598671529</v>
      </c>
      <c r="AK85" s="37">
        <v>-4015.2336146048256</v>
      </c>
      <c r="AL85" s="37">
        <v>-7925.4478781286743</v>
      </c>
      <c r="AM85" s="37">
        <v>11061.577384771539</v>
      </c>
      <c r="AN85" s="37">
        <v>3969.7544960400764</v>
      </c>
      <c r="AO85" s="37">
        <v>-28686.667514737986</v>
      </c>
      <c r="AP85" s="37">
        <v>-27987.616524691741</v>
      </c>
      <c r="AQ85" s="37">
        <v>-25260.198200867235</v>
      </c>
      <c r="AR85" s="37">
        <v>-26488.790880768145</v>
      </c>
      <c r="AS85" s="37">
        <v>-23574.277539544626</v>
      </c>
      <c r="AT85" s="37">
        <v>-29786.71987593401</v>
      </c>
      <c r="AU85" s="37">
        <v>5308.3150802240434</v>
      </c>
      <c r="AV85" s="37">
        <v>19868.87162310219</v>
      </c>
      <c r="AW85" s="37">
        <v>1564.7816491282495</v>
      </c>
      <c r="AX85" s="37">
        <v>11298.377404831879</v>
      </c>
      <c r="AY85" s="37">
        <v>7290.6641293887833</v>
      </c>
      <c r="AZ85" s="37">
        <v>33737.781481407095</v>
      </c>
      <c r="BA85" s="37">
        <v>12549.76273376989</v>
      </c>
      <c r="BB85" s="37">
        <v>13337.592579115713</v>
      </c>
      <c r="BC85" s="37">
        <v>2331.5086596132387</v>
      </c>
      <c r="BD85" s="37">
        <v>61723.127235665495</v>
      </c>
      <c r="BE85" s="37">
        <v>85296.694210272588</v>
      </c>
      <c r="BF85" s="37">
        <v>31108.963701731056</v>
      </c>
    </row>
    <row r="86" spans="1:58" x14ac:dyDescent="0.3">
      <c r="A86" s="37" t="s">
        <v>1628</v>
      </c>
      <c r="B86" s="39" t="s">
        <v>108</v>
      </c>
      <c r="C86" s="40" t="s">
        <v>434</v>
      </c>
      <c r="D86" s="36">
        <v>18670.013790899073</v>
      </c>
      <c r="E86" s="37">
        <v>23282.177558667718</v>
      </c>
      <c r="F86" s="37">
        <v>48116.315955450336</v>
      </c>
      <c r="G86" s="37">
        <v>40043.535227105327</v>
      </c>
      <c r="H86" s="37">
        <v>42028.309629340161</v>
      </c>
      <c r="I86" s="38">
        <v>7806.8195369708983</v>
      </c>
      <c r="J86" s="36">
        <v>29760.073975513249</v>
      </c>
      <c r="K86" s="37">
        <v>11870.430968742507</v>
      </c>
      <c r="L86" s="37">
        <v>107317.11259699524</v>
      </c>
      <c r="M86" s="37">
        <v>111550.28350838766</v>
      </c>
      <c r="N86" s="37">
        <v>184972.29946153797</v>
      </c>
      <c r="O86" s="37">
        <v>230325.0100259817</v>
      </c>
      <c r="P86" s="37">
        <v>144511.14441999982</v>
      </c>
      <c r="Q86" s="37">
        <v>69520.095016074178</v>
      </c>
      <c r="R86" s="37">
        <v>158429.73239112407</v>
      </c>
      <c r="S86" s="37">
        <v>148279.59728642853</v>
      </c>
      <c r="T86" s="37">
        <v>70903.854453971158</v>
      </c>
      <c r="U86" s="37">
        <v>129079.40535961173</v>
      </c>
      <c r="V86" s="37">
        <v>575790.93980065582</v>
      </c>
      <c r="W86" s="37">
        <v>6935.258635401864</v>
      </c>
      <c r="X86" s="37">
        <v>14547.232585685182</v>
      </c>
      <c r="Y86" s="37">
        <v>45066.50735527034</v>
      </c>
      <c r="Z86" s="37">
        <v>37325.6172001058</v>
      </c>
      <c r="AA86" s="37">
        <v>37874.009005620363</v>
      </c>
      <c r="AB86" s="37">
        <v>-7727.3482528251789</v>
      </c>
      <c r="AC86" s="37">
        <v>681788.93652573368</v>
      </c>
      <c r="AD86" s="37">
        <v>674396.14052438841</v>
      </c>
      <c r="AE86" s="37">
        <v>669244.4783857119</v>
      </c>
      <c r="AF86" s="37">
        <v>792522.71858020371</v>
      </c>
      <c r="AG86" s="37">
        <v>226467.70782366191</v>
      </c>
      <c r="AH86" s="37">
        <v>233245.8262903787</v>
      </c>
      <c r="AI86" s="37">
        <v>280317.85246992786</v>
      </c>
      <c r="AJ86" s="37">
        <v>273424.93995443062</v>
      </c>
      <c r="AK86" s="37">
        <v>273913.25805013505</v>
      </c>
      <c r="AL86" s="37">
        <v>233307.3122390206</v>
      </c>
      <c r="AM86" s="37">
        <v>384770.0109118995</v>
      </c>
      <c r="AN86" s="37">
        <v>11904.853416235035</v>
      </c>
      <c r="AO86" s="37">
        <v>35904.562842392348</v>
      </c>
      <c r="AP86" s="37">
        <v>46673.453569558318</v>
      </c>
      <c r="AQ86" s="37">
        <v>89849.998472708277</v>
      </c>
      <c r="AR86" s="37">
        <v>78898.726075243059</v>
      </c>
      <c r="AS86" s="37">
        <v>79674.552617455483</v>
      </c>
      <c r="AT86" s="37">
        <v>15160.9275664426</v>
      </c>
      <c r="AU86" s="37">
        <v>101262.62004121386</v>
      </c>
      <c r="AV86" s="37">
        <v>130136.72195535869</v>
      </c>
      <c r="AW86" s="37">
        <v>85934.272363225187</v>
      </c>
      <c r="AX86" s="37">
        <v>308235.81349739304</v>
      </c>
      <c r="AY86" s="37">
        <v>213423.67706177745</v>
      </c>
      <c r="AZ86" s="37">
        <v>550146.62181244325</v>
      </c>
      <c r="BA86" s="37">
        <v>388640.29505761235</v>
      </c>
      <c r="BB86" s="37">
        <v>388652.55275136075</v>
      </c>
      <c r="BC86" s="37">
        <v>71745.172174214211</v>
      </c>
      <c r="BD86" s="37">
        <v>366570.60715693812</v>
      </c>
      <c r="BE86" s="37">
        <v>652569.64042772364</v>
      </c>
      <c r="BF86" s="37">
        <v>276150.14018496079</v>
      </c>
    </row>
    <row r="87" spans="1:58" x14ac:dyDescent="0.3">
      <c r="A87" s="37" t="s">
        <v>1628</v>
      </c>
      <c r="B87" s="39" t="s">
        <v>74</v>
      </c>
      <c r="C87" s="40" t="s">
        <v>434</v>
      </c>
      <c r="D87" s="36">
        <v>47211.777530383697</v>
      </c>
      <c r="E87" s="37">
        <v>57688.887513170761</v>
      </c>
      <c r="F87" s="37">
        <v>32011.553471287189</v>
      </c>
      <c r="G87" s="37">
        <v>23126.251984487728</v>
      </c>
      <c r="H87" s="37">
        <v>58773.900217573115</v>
      </c>
      <c r="I87" s="38">
        <v>46840.122955429033</v>
      </c>
      <c r="J87" s="36">
        <v>54023.954442583854</v>
      </c>
      <c r="K87" s="37">
        <v>111746.71130037523</v>
      </c>
      <c r="L87" s="37">
        <v>36675.016118364343</v>
      </c>
      <c r="M87" s="37">
        <v>84045.678535658284</v>
      </c>
      <c r="N87" s="37">
        <v>44291.139671191399</v>
      </c>
      <c r="O87" s="37">
        <v>128992.17643768578</v>
      </c>
      <c r="P87" s="37">
        <v>61647.324600931344</v>
      </c>
      <c r="Q87" s="37">
        <v>8622.8345046574468</v>
      </c>
      <c r="R87" s="37">
        <v>70816.69062887138</v>
      </c>
      <c r="S87" s="37">
        <v>8800.6087987509327</v>
      </c>
      <c r="T87" s="37">
        <v>40739.445064212865</v>
      </c>
      <c r="U87" s="37">
        <v>26063.524885973879</v>
      </c>
      <c r="V87" s="37">
        <v>65293.975806408263</v>
      </c>
      <c r="W87" s="37">
        <v>51738.891209375201</v>
      </c>
      <c r="X87" s="37">
        <v>69406.542475640366</v>
      </c>
      <c r="Y87" s="37">
        <v>27487.660397194988</v>
      </c>
      <c r="Z87" s="37">
        <v>17183.90886079393</v>
      </c>
      <c r="AA87" s="37">
        <v>64793.366147420915</v>
      </c>
      <c r="AB87" s="37">
        <v>58813.611601191289</v>
      </c>
      <c r="AC87" s="37">
        <v>77533.908266110302</v>
      </c>
      <c r="AD87" s="37">
        <v>78405.217362250842</v>
      </c>
      <c r="AE87" s="37">
        <v>78762.683181459113</v>
      </c>
      <c r="AF87" s="37">
        <v>66643.575369119164</v>
      </c>
      <c r="AG87" s="37">
        <v>100883.72212114259</v>
      </c>
      <c r="AH87" s="37">
        <v>116615.96635812227</v>
      </c>
      <c r="AI87" s="37">
        <v>80155.004265464522</v>
      </c>
      <c r="AJ87" s="37">
        <v>70979.979623828418</v>
      </c>
      <c r="AK87" s="37">
        <v>113374.04767142593</v>
      </c>
      <c r="AL87" s="37">
        <v>108049.3467487797</v>
      </c>
      <c r="AM87" s="37">
        <v>2162.6794077909908</v>
      </c>
      <c r="AN87" s="37">
        <v>3897.100702414079</v>
      </c>
      <c r="AO87" s="37">
        <v>79643.304131014112</v>
      </c>
      <c r="AP87" s="37">
        <v>104638.26695337149</v>
      </c>
      <c r="AQ87" s="37">
        <v>45334.351378235937</v>
      </c>
      <c r="AR87" s="37">
        <v>30757.321149271305</v>
      </c>
      <c r="AS87" s="37">
        <v>98111.866297219123</v>
      </c>
      <c r="AT87" s="37">
        <v>89652.125932339957</v>
      </c>
      <c r="AU87" s="37">
        <v>144546.89235082935</v>
      </c>
      <c r="AV87" s="37">
        <v>139106.53275749911</v>
      </c>
      <c r="AW87" s="37">
        <v>103411.32163998242</v>
      </c>
      <c r="AX87" s="37">
        <v>80126.047673580091</v>
      </c>
      <c r="AY87" s="37">
        <v>71979.352130201209</v>
      </c>
      <c r="AZ87" s="37">
        <v>60063.056897966999</v>
      </c>
      <c r="BA87" s="37">
        <v>51353.645773832541</v>
      </c>
      <c r="BB87" s="37">
        <v>40641.054380156915</v>
      </c>
      <c r="BC87" s="37">
        <v>136774.06165034816</v>
      </c>
      <c r="BD87" s="37">
        <v>47935.65204010834</v>
      </c>
      <c r="BE87" s="37">
        <v>65199.461953543949</v>
      </c>
      <c r="BF87" s="37">
        <v>216015.9712567114</v>
      </c>
    </row>
    <row r="88" spans="1:58" x14ac:dyDescent="0.3">
      <c r="A88" s="37" t="s">
        <v>1628</v>
      </c>
      <c r="B88" s="39" t="s">
        <v>153</v>
      </c>
      <c r="C88" s="40" t="s">
        <v>431</v>
      </c>
      <c r="D88" s="36">
        <v>2.966395200874741E-3</v>
      </c>
      <c r="E88" s="37">
        <v>3.4027185689549755E-3</v>
      </c>
      <c r="F88" s="37">
        <v>6.9625840514217522E-3</v>
      </c>
      <c r="G88" s="37">
        <v>4.8717297744362738E-3</v>
      </c>
      <c r="H88" s="37">
        <v>7.6126358532105547E-3</v>
      </c>
      <c r="I88" s="38">
        <v>1.4024706041951543E-3</v>
      </c>
      <c r="J88" s="36">
        <v>5.3338879570676359E-3</v>
      </c>
      <c r="K88" s="37">
        <v>2.6791818194222112E-3</v>
      </c>
      <c r="L88" s="37">
        <v>0.60176969034945127</v>
      </c>
      <c r="M88" s="37">
        <v>1.5789180635192961E-2</v>
      </c>
      <c r="N88" s="37">
        <v>1.8104495629522675E-2</v>
      </c>
      <c r="O88" s="37">
        <v>2.550166035438646E-2</v>
      </c>
      <c r="P88" s="37">
        <v>1.6233586886268411E-2</v>
      </c>
      <c r="Q88" s="37">
        <v>4.0554633627216216E-2</v>
      </c>
      <c r="R88" s="37">
        <v>1.3617465225706268E-2</v>
      </c>
      <c r="S88" s="37">
        <v>9.3025456389679798E-3</v>
      </c>
      <c r="T88" s="37">
        <v>5.6475391893150758E-3</v>
      </c>
      <c r="U88" s="37">
        <v>7.6671478854268378E-3</v>
      </c>
      <c r="V88" s="37">
        <v>0.3375170086868321</v>
      </c>
      <c r="W88" s="37">
        <v>0.19644400825504943</v>
      </c>
      <c r="X88" s="37">
        <v>0.19721253000593386</v>
      </c>
      <c r="Y88" s="37">
        <v>0.2015901317289378</v>
      </c>
      <c r="Z88" s="37">
        <v>0.19914780673843654</v>
      </c>
      <c r="AA88" s="37">
        <v>0.20264084284509915</v>
      </c>
      <c r="AB88" s="37">
        <v>0.19436734236718037</v>
      </c>
      <c r="AC88" s="37">
        <v>0.4201798656328164</v>
      </c>
      <c r="AD88" s="37">
        <v>0.41242458158545592</v>
      </c>
      <c r="AE88" s="37">
        <v>0.42291493673274949</v>
      </c>
      <c r="AF88" s="37">
        <v>0.40030175344716235</v>
      </c>
      <c r="AG88" s="37">
        <v>0.15004209089242854</v>
      </c>
      <c r="AH88" s="37">
        <v>0.15072642474666481</v>
      </c>
      <c r="AI88" s="37">
        <v>0.18476793759369042</v>
      </c>
      <c r="AJ88" s="37">
        <v>0.18259315767090523</v>
      </c>
      <c r="AK88" s="37">
        <v>0.18570354831255959</v>
      </c>
      <c r="AL88" s="37">
        <v>0.17833637039786326</v>
      </c>
      <c r="AM88" s="37">
        <v>0.15949036410719913</v>
      </c>
      <c r="AN88" s="37">
        <v>2.1467075838417428E-2</v>
      </c>
      <c r="AO88" s="37">
        <v>0.25358410961778122</v>
      </c>
      <c r="AP88" s="37">
        <v>0.25467136067917207</v>
      </c>
      <c r="AQ88" s="37">
        <v>0.26086448678679991</v>
      </c>
      <c r="AR88" s="37">
        <v>0.25740925544802795</v>
      </c>
      <c r="AS88" s="37">
        <v>0.26235095971348915</v>
      </c>
      <c r="AT88" s="37">
        <v>0.25064618731676463</v>
      </c>
      <c r="AU88" s="37">
        <v>3.1416558041481579E-2</v>
      </c>
      <c r="AV88" s="37">
        <v>3.1193963324165696E-2</v>
      </c>
      <c r="AW88" s="37">
        <v>2.0278122427814984E-2</v>
      </c>
      <c r="AX88" s="37">
        <v>0.11674325139406014</v>
      </c>
      <c r="AY88" s="37">
        <v>0.10487269162216843</v>
      </c>
      <c r="AZ88" s="37">
        <v>0.45987171899673485</v>
      </c>
      <c r="BA88" s="37">
        <v>5.578475692443477E-2</v>
      </c>
      <c r="BB88" s="37">
        <v>5.1915263333972707E-2</v>
      </c>
      <c r="BC88" s="37">
        <v>2.5178664692395443E-2</v>
      </c>
      <c r="BD88" s="37">
        <v>3.0364385082719179E-2</v>
      </c>
      <c r="BE88" s="37">
        <v>4.1528221802861018E-2</v>
      </c>
      <c r="BF88" s="37">
        <v>5.4187830337268879E-2</v>
      </c>
    </row>
    <row r="89" spans="1:58" x14ac:dyDescent="0.3">
      <c r="A89" s="37" t="s">
        <v>1628</v>
      </c>
      <c r="B89" s="39" t="s">
        <v>154</v>
      </c>
      <c r="C89" s="40" t="s">
        <v>432</v>
      </c>
      <c r="D89" s="36">
        <v>1.0885084525212873E-2</v>
      </c>
      <c r="E89" s="37">
        <v>1.1774224810532263E-2</v>
      </c>
      <c r="F89" s="37">
        <v>1.3699743427810177E-2</v>
      </c>
      <c r="G89" s="37">
        <v>1.2776561936811892E-2</v>
      </c>
      <c r="H89" s="37">
        <v>1.3135490052378393E-2</v>
      </c>
      <c r="I89" s="38">
        <v>9.4884126827244029E-3</v>
      </c>
      <c r="J89" s="36">
        <v>1.2312509170944654E-2</v>
      </c>
      <c r="K89" s="37">
        <v>9.0767130369534526E-3</v>
      </c>
      <c r="L89" s="37">
        <v>2.7467749734399416E-2</v>
      </c>
      <c r="M89" s="37">
        <v>1.819746688798296E-2</v>
      </c>
      <c r="N89" s="37">
        <v>8.3371956192284435E-2</v>
      </c>
      <c r="O89" s="37">
        <v>0.10820098059969445</v>
      </c>
      <c r="P89" s="37">
        <v>4.3881437066259445E-2</v>
      </c>
      <c r="Q89" s="37">
        <v>1.0382208025798645E-2</v>
      </c>
      <c r="R89" s="37">
        <v>4.3151999385330021E-2</v>
      </c>
      <c r="S89" s="37">
        <v>1.1316501931142781E-2</v>
      </c>
      <c r="T89" s="37">
        <v>1.1934779594601846E-2</v>
      </c>
      <c r="U89" s="37">
        <v>1.1251162671733858E-2</v>
      </c>
      <c r="V89" s="37">
        <v>1.7255005895207273E-2</v>
      </c>
      <c r="W89" s="37">
        <v>1.9076830193872164E-2</v>
      </c>
      <c r="X89" s="37">
        <v>2.0512901845978419E-2</v>
      </c>
      <c r="Y89" s="37">
        <v>2.2641608389767968E-2</v>
      </c>
      <c r="Z89" s="37">
        <v>2.1761145640491961E-2</v>
      </c>
      <c r="AA89" s="37">
        <v>2.2000963589977884E-2</v>
      </c>
      <c r="AB89" s="37">
        <v>1.7259335433049049E-2</v>
      </c>
      <c r="AC89" s="37">
        <v>6.97046205891583E-2</v>
      </c>
      <c r="AD89" s="37">
        <v>6.9184541822291001E-2</v>
      </c>
      <c r="AE89" s="37">
        <v>6.9486073424694289E-2</v>
      </c>
      <c r="AF89" s="37">
        <v>7.1827848594170698E-2</v>
      </c>
      <c r="AG89" s="37">
        <v>4.7363178499468216E-2</v>
      </c>
      <c r="AH89" s="37">
        <v>4.8663695097212786E-2</v>
      </c>
      <c r="AI89" s="37">
        <v>5.1260332326038591E-2</v>
      </c>
      <c r="AJ89" s="37">
        <v>5.0504865626987201E-2</v>
      </c>
      <c r="AK89" s="37">
        <v>5.0696733841922179E-2</v>
      </c>
      <c r="AL89" s="37">
        <v>4.6551177254026938E-2</v>
      </c>
      <c r="AM89" s="37">
        <v>4.7863638390428911E-2</v>
      </c>
      <c r="AN89" s="37">
        <v>0.16058482046375891</v>
      </c>
      <c r="AO89" s="37">
        <v>2.2715331901112953E-2</v>
      </c>
      <c r="AP89" s="37">
        <v>2.4746986081608052E-2</v>
      </c>
      <c r="AQ89" s="37">
        <v>2.7758531879057809E-2</v>
      </c>
      <c r="AR89" s="37">
        <v>2.6512914487534747E-2</v>
      </c>
      <c r="AS89" s="37">
        <v>2.6852192224071245E-2</v>
      </c>
      <c r="AT89" s="37">
        <v>2.0144066864693288E-2</v>
      </c>
      <c r="AU89" s="37">
        <v>0.21841378223592042</v>
      </c>
      <c r="AV89" s="37">
        <v>2.3629330516529767E-2</v>
      </c>
      <c r="AW89" s="37">
        <v>0.15639562179356095</v>
      </c>
      <c r="AX89" s="37">
        <v>3.1250127241898143E-2</v>
      </c>
      <c r="AY89" s="37">
        <v>2.5921117811027128E-2</v>
      </c>
      <c r="AZ89" s="37">
        <v>2.41669012639164E-2</v>
      </c>
      <c r="BA89" s="37">
        <v>3.2732024464315064E-2</v>
      </c>
      <c r="BB89" s="37">
        <v>3.1058356130267195E-2</v>
      </c>
      <c r="BC89" s="37">
        <v>0.20564143284017405</v>
      </c>
      <c r="BD89" s="37">
        <v>1.9568040636684318E-2</v>
      </c>
      <c r="BE89" s="37">
        <v>2.2188153183833586E-2</v>
      </c>
      <c r="BF89" s="37">
        <v>0.23256183288689491</v>
      </c>
    </row>
    <row r="90" spans="1:58" x14ac:dyDescent="0.3">
      <c r="A90" s="37" t="s">
        <v>1628</v>
      </c>
      <c r="B90" s="39" t="s">
        <v>155</v>
      </c>
      <c r="C90" s="40" t="s">
        <v>432</v>
      </c>
      <c r="D90" s="36">
        <v>6.9177560514500247E-2</v>
      </c>
      <c r="E90" s="37">
        <v>7.2484109423895882E-2</v>
      </c>
      <c r="F90" s="37">
        <v>6.8825083045588126E-2</v>
      </c>
      <c r="G90" s="37">
        <v>6.577543311779166E-2</v>
      </c>
      <c r="H90" s="37">
        <v>7.1391651960245966E-2</v>
      </c>
      <c r="I90" s="38">
        <v>6.6193930387190181E-2</v>
      </c>
      <c r="J90" s="36">
        <v>7.193008543882895E-2</v>
      </c>
      <c r="K90" s="37">
        <v>6.1780634597579868E-2</v>
      </c>
      <c r="L90" s="37">
        <v>7.3366170020855104E-2</v>
      </c>
      <c r="M90" s="37">
        <v>8.0101746967648046E-2</v>
      </c>
      <c r="N90" s="37">
        <v>8.0722334931620815E-2</v>
      </c>
      <c r="O90" s="37">
        <v>0.18402822795323129</v>
      </c>
      <c r="P90" s="37">
        <v>8.1471586261517126E-2</v>
      </c>
      <c r="Q90" s="37">
        <v>6.2260778790184143E-2</v>
      </c>
      <c r="R90" s="37">
        <v>8.6777966006686746E-2</v>
      </c>
      <c r="S90" s="37">
        <v>6.619527806939407E-2</v>
      </c>
      <c r="T90" s="37">
        <v>6.5176011878797346E-2</v>
      </c>
      <c r="U90" s="37">
        <v>6.8363295006679703E-2</v>
      </c>
      <c r="V90" s="37">
        <v>0.10204321518564841</v>
      </c>
      <c r="W90" s="37">
        <v>8.1028845783233272E-2</v>
      </c>
      <c r="X90" s="37">
        <v>8.6468278410842564E-2</v>
      </c>
      <c r="Y90" s="37">
        <v>7.9584791078677913E-2</v>
      </c>
      <c r="Z90" s="37">
        <v>7.6123554755640588E-2</v>
      </c>
      <c r="AA90" s="37">
        <v>8.3360769492563533E-2</v>
      </c>
      <c r="AB90" s="37">
        <v>7.8172259789056217E-2</v>
      </c>
      <c r="AC90" s="37">
        <v>0.10938689912417615</v>
      </c>
      <c r="AD90" s="37">
        <v>0.10863987663502395</v>
      </c>
      <c r="AE90" s="37">
        <v>0.10861695178346301</v>
      </c>
      <c r="AF90" s="37">
        <v>0.11631440786752144</v>
      </c>
      <c r="AG90" s="37">
        <v>0.23063316395318192</v>
      </c>
      <c r="AH90" s="37">
        <v>0.23582175945401571</v>
      </c>
      <c r="AI90" s="37">
        <v>0.22946980214762072</v>
      </c>
      <c r="AJ90" s="37">
        <v>0.22684035146476811</v>
      </c>
      <c r="AK90" s="37">
        <v>0.23294102029174724</v>
      </c>
      <c r="AL90" s="37">
        <v>0.22953624498334957</v>
      </c>
      <c r="AM90" s="37">
        <v>0.2196350712338678</v>
      </c>
      <c r="AN90" s="37">
        <v>1.9509426653858082</v>
      </c>
      <c r="AO90" s="37">
        <v>0.23580454225912345</v>
      </c>
      <c r="AP90" s="37">
        <v>0.24349987279586621</v>
      </c>
      <c r="AQ90" s="37">
        <v>0.23376159421187906</v>
      </c>
      <c r="AR90" s="37">
        <v>0.22886487806608888</v>
      </c>
      <c r="AS90" s="37">
        <v>0.23910358555247713</v>
      </c>
      <c r="AT90" s="37">
        <v>0.23176324329712419</v>
      </c>
      <c r="AU90" s="37">
        <v>2.6762873863431782</v>
      </c>
      <c r="AV90" s="37">
        <v>9.8167594150061557E-2</v>
      </c>
      <c r="AW90" s="37">
        <v>1.9089351327859183</v>
      </c>
      <c r="AX90" s="37">
        <v>9.8551387379885946E-2</v>
      </c>
      <c r="AY90" s="37">
        <v>9.0316299863397828E-2</v>
      </c>
      <c r="AZ90" s="37">
        <v>0.10196750663774162</v>
      </c>
      <c r="BA90" s="37">
        <v>9.9517877204253202E-2</v>
      </c>
      <c r="BB90" s="37">
        <v>9.5454455058965201E-2</v>
      </c>
      <c r="BC90" s="37">
        <v>2.5306507065563801</v>
      </c>
      <c r="BD90" s="37">
        <v>7.9052433325546984E-2</v>
      </c>
      <c r="BE90" s="37">
        <v>9.083279146696735E-2</v>
      </c>
      <c r="BF90" s="37">
        <v>2.2054725640364388</v>
      </c>
    </row>
    <row r="91" spans="1:58" x14ac:dyDescent="0.3">
      <c r="A91" s="37" t="s">
        <v>1628</v>
      </c>
      <c r="B91" s="39" t="s">
        <v>156</v>
      </c>
      <c r="C91" s="40" t="s">
        <v>432</v>
      </c>
      <c r="D91" s="36">
        <v>0.22713923398547017</v>
      </c>
      <c r="E91" s="37">
        <v>0.23207638733810648</v>
      </c>
      <c r="F91" s="37">
        <v>0.23289150653748308</v>
      </c>
      <c r="G91" s="37">
        <v>0.22894910164888971</v>
      </c>
      <c r="H91" s="37">
        <v>0.22348482929539193</v>
      </c>
      <c r="I91" s="38">
        <v>0.22114227340048667</v>
      </c>
      <c r="J91" s="36">
        <v>0.23371040572885496</v>
      </c>
      <c r="K91" s="37">
        <v>0.21405571061309056</v>
      </c>
      <c r="L91" s="37">
        <v>0.22587898087313854</v>
      </c>
      <c r="M91" s="37">
        <v>0.28656038970438891</v>
      </c>
      <c r="N91" s="37">
        <v>0.25498100663469192</v>
      </c>
      <c r="O91" s="37">
        <v>0.34295616138145701</v>
      </c>
      <c r="P91" s="37">
        <v>0.2532565935908983</v>
      </c>
      <c r="Q91" s="37">
        <v>0.21207920091892077</v>
      </c>
      <c r="R91" s="37">
        <v>0.24959598176603393</v>
      </c>
      <c r="S91" s="37">
        <v>0.21759649861794703</v>
      </c>
      <c r="T91" s="37">
        <v>0.25200317286477125</v>
      </c>
      <c r="U91" s="37">
        <v>0.21791533541334593</v>
      </c>
      <c r="V91" s="37">
        <v>0.30077954639251125</v>
      </c>
      <c r="W91" s="37">
        <v>0.23219352547297761</v>
      </c>
      <c r="X91" s="37">
        <v>0.24028938205707834</v>
      </c>
      <c r="Y91" s="37">
        <v>0.23851216577598364</v>
      </c>
      <c r="Z91" s="37">
        <v>0.23469380395390621</v>
      </c>
      <c r="AA91" s="37">
        <v>0.22619082922464384</v>
      </c>
      <c r="AB91" s="37">
        <v>0.22535870212080111</v>
      </c>
      <c r="AC91" s="37">
        <v>0.31165472553606288</v>
      </c>
      <c r="AD91" s="37">
        <v>0.30992098838765869</v>
      </c>
      <c r="AE91" s="37">
        <v>0.30978315114163096</v>
      </c>
      <c r="AF91" s="37">
        <v>0.32844998883783161</v>
      </c>
      <c r="AG91" s="37">
        <v>0.46284598778737862</v>
      </c>
      <c r="AH91" s="37">
        <v>0.47232701260511323</v>
      </c>
      <c r="AI91" s="37">
        <v>0.46102841357020219</v>
      </c>
      <c r="AJ91" s="37">
        <v>0.46060890046017289</v>
      </c>
      <c r="AK91" s="37">
        <v>0.45077380593574135</v>
      </c>
      <c r="AL91" s="37">
        <v>0.45803606901505078</v>
      </c>
      <c r="AM91" s="37">
        <v>0.48095444583958247</v>
      </c>
      <c r="AN91" s="37">
        <v>0.33037459678263548</v>
      </c>
      <c r="AO91" s="37">
        <v>0.81576877026994354</v>
      </c>
      <c r="AP91" s="37">
        <v>0.82722222445494409</v>
      </c>
      <c r="AQ91" s="37">
        <v>0.82470794260707514</v>
      </c>
      <c r="AR91" s="37">
        <v>0.81930599017170147</v>
      </c>
      <c r="AS91" s="37">
        <v>0.80727657358234595</v>
      </c>
      <c r="AT91" s="37">
        <v>0.80609933809639667</v>
      </c>
      <c r="AU91" s="37">
        <v>0.38056549381434124</v>
      </c>
      <c r="AV91" s="37">
        <v>0.25073125870374208</v>
      </c>
      <c r="AW91" s="37">
        <v>0.32865793260140974</v>
      </c>
      <c r="AX91" s="37">
        <v>0.24568430654954057</v>
      </c>
      <c r="AY91" s="37">
        <v>0.24007552152627756</v>
      </c>
      <c r="AZ91" s="37">
        <v>0.28882433360771387</v>
      </c>
      <c r="BA91" s="37">
        <v>0.25971287577221719</v>
      </c>
      <c r="BB91" s="37">
        <v>0.2556262339553394</v>
      </c>
      <c r="BC91" s="37">
        <v>0.36683110588854195</v>
      </c>
      <c r="BD91" s="37">
        <v>0.23995074676237432</v>
      </c>
      <c r="BE91" s="37">
        <v>0.26151638202836391</v>
      </c>
      <c r="BF91" s="37">
        <v>0.54724811207146196</v>
      </c>
    </row>
    <row r="92" spans="1:58" x14ac:dyDescent="0.3">
      <c r="A92" s="37" t="s">
        <v>1628</v>
      </c>
      <c r="B92" s="39" t="s">
        <v>157</v>
      </c>
      <c r="C92" s="40" t="s">
        <v>432</v>
      </c>
      <c r="D92" s="36">
        <v>2.6043156171587228E-3</v>
      </c>
      <c r="E92" s="37">
        <v>2.9655970796529682E-3</v>
      </c>
      <c r="F92" s="37">
        <v>3.0133398930686094E-3</v>
      </c>
      <c r="G92" s="37">
        <v>2.6118414432538882E-3</v>
      </c>
      <c r="H92" s="37">
        <v>3.4511027705977156E-3</v>
      </c>
      <c r="I92" s="38">
        <v>2.1209000387972013E-3</v>
      </c>
      <c r="J92" s="36">
        <v>3.1666150044579538E-3</v>
      </c>
      <c r="K92" s="37">
        <v>1.7637101758357686E-3</v>
      </c>
      <c r="L92" s="37">
        <v>1.9018533911994437E-3</v>
      </c>
      <c r="M92" s="37">
        <v>7.115671476146633E-3</v>
      </c>
      <c r="N92" s="37">
        <v>3.7894836436501403E-3</v>
      </c>
      <c r="O92" s="37">
        <v>1.1811852594677123E-2</v>
      </c>
      <c r="P92" s="37">
        <v>3.7692340575311524E-3</v>
      </c>
      <c r="Q92" s="37">
        <v>8.4080860608847429E-4</v>
      </c>
      <c r="R92" s="37">
        <v>3.5467785563276081E-3</v>
      </c>
      <c r="S92" s="37">
        <v>1.1739471154959529E-3</v>
      </c>
      <c r="T92" s="37">
        <v>4.3177228330841689E-3</v>
      </c>
      <c r="U92" s="37">
        <v>1.108837805221203E-3</v>
      </c>
      <c r="V92" s="37">
        <v>5.8548577233879144E-3</v>
      </c>
      <c r="W92" s="37">
        <v>1.9694718631337303E-3</v>
      </c>
      <c r="X92" s="37">
        <v>2.5604082414295874E-3</v>
      </c>
      <c r="Y92" s="37">
        <v>2.4185111087351198E-3</v>
      </c>
      <c r="Z92" s="37">
        <v>1.9745077826408743E-3</v>
      </c>
      <c r="AA92" s="37">
        <v>3.0557010542630572E-3</v>
      </c>
      <c r="AB92" s="37">
        <v>1.3924259763278973E-3</v>
      </c>
      <c r="AC92" s="37">
        <v>1.7212680370650782E-2</v>
      </c>
      <c r="AD92" s="37">
        <v>1.7064980327772518E-2</v>
      </c>
      <c r="AE92" s="37">
        <v>1.7067630433490584E-2</v>
      </c>
      <c r="AF92" s="37">
        <v>1.8524216985886733E-2</v>
      </c>
      <c r="AG92" s="37">
        <v>1.5699909180396127E-2</v>
      </c>
      <c r="AH92" s="37">
        <v>1.6276874515240194E-2</v>
      </c>
      <c r="AI92" s="37">
        <v>1.6047085060742452E-2</v>
      </c>
      <c r="AJ92" s="37">
        <v>1.5718313956776621E-2</v>
      </c>
      <c r="AK92" s="37">
        <v>1.6630493243152675E-2</v>
      </c>
      <c r="AL92" s="37">
        <v>1.5328235615052603E-2</v>
      </c>
      <c r="AM92" s="37">
        <v>1.6049992901859798E-2</v>
      </c>
      <c r="AN92" s="37">
        <v>0.16294196027648017</v>
      </c>
      <c r="AO92" s="37">
        <v>2.6452236941734257E-3</v>
      </c>
      <c r="AP92" s="37">
        <v>3.4812393356008931E-3</v>
      </c>
      <c r="AQ92" s="37">
        <v>3.2804931524865895E-3</v>
      </c>
      <c r="AR92" s="37">
        <v>2.6523481624437383E-3</v>
      </c>
      <c r="AS92" s="37">
        <v>4.1819451202227357E-3</v>
      </c>
      <c r="AT92" s="37">
        <v>1.8288593529185149E-3</v>
      </c>
      <c r="AU92" s="37">
        <v>0.22511268045233898</v>
      </c>
      <c r="AV92" s="37">
        <v>4.0567668104926876E-3</v>
      </c>
      <c r="AW92" s="37">
        <v>0.15922051711031662</v>
      </c>
      <c r="AX92" s="37">
        <v>4.1800006193360925E-3</v>
      </c>
      <c r="AY92" s="37">
        <v>2.5406742390670384E-3</v>
      </c>
      <c r="AZ92" s="37">
        <v>5.2542518640386164E-3</v>
      </c>
      <c r="BA92" s="37">
        <v>3.807708017405357E-3</v>
      </c>
      <c r="BB92" s="37">
        <v>3.3578986197832371E-3</v>
      </c>
      <c r="BC92" s="37">
        <v>0.21265540677844053</v>
      </c>
      <c r="BD92" s="37">
        <v>3.2256170335011121E-3</v>
      </c>
      <c r="BE92" s="37">
        <v>4.8744764927377768E-3</v>
      </c>
      <c r="BF92" s="37">
        <v>0.30154243683856163</v>
      </c>
    </row>
    <row r="93" spans="1:58" x14ac:dyDescent="0.3">
      <c r="A93" s="37" t="s">
        <v>1628</v>
      </c>
      <c r="B93" s="39" t="s">
        <v>158</v>
      </c>
      <c r="C93" s="40" t="s">
        <v>432</v>
      </c>
      <c r="D93" s="36">
        <v>1.8301253082498926E-3</v>
      </c>
      <c r="E93" s="37">
        <v>2.1660354887092317E-3</v>
      </c>
      <c r="F93" s="37">
        <v>2.1100637259298272E-3</v>
      </c>
      <c r="G93" s="37">
        <v>1.7892092259899283E-3</v>
      </c>
      <c r="H93" s="37">
        <v>2.549091051590179E-3</v>
      </c>
      <c r="I93" s="38">
        <v>1.3604592449794255E-3</v>
      </c>
      <c r="J93" s="36">
        <v>2.3133056334636751E-3</v>
      </c>
      <c r="K93" s="37">
        <v>9.4929472985471014E-4</v>
      </c>
      <c r="L93" s="37">
        <v>1.5853421875427509E-3</v>
      </c>
      <c r="M93" s="37">
        <v>6.2875264628573634E-3</v>
      </c>
      <c r="N93" s="37">
        <v>3.2155363620838709E-3</v>
      </c>
      <c r="O93" s="37">
        <v>1.0638968527680788E-2</v>
      </c>
      <c r="P93" s="37">
        <v>3.2409301791177657E-3</v>
      </c>
      <c r="Q93" s="37">
        <v>6.995378044675198E-4</v>
      </c>
      <c r="R93" s="37">
        <v>3.1464102642817693E-3</v>
      </c>
      <c r="S93" s="37">
        <v>9.8990399787426226E-4</v>
      </c>
      <c r="T93" s="37">
        <v>3.9820889548767974E-3</v>
      </c>
      <c r="U93" s="37">
        <v>9.0282727987606236E-4</v>
      </c>
      <c r="V93" s="37">
        <v>4.9804815478849728E-3</v>
      </c>
      <c r="W93" s="37">
        <v>1.8619967643055415E-3</v>
      </c>
      <c r="X93" s="37">
        <v>2.4071988438418147E-3</v>
      </c>
      <c r="Y93" s="37">
        <v>2.1523143101523558E-3</v>
      </c>
      <c r="Z93" s="37">
        <v>1.7988031582432673E-3</v>
      </c>
      <c r="AA93" s="37">
        <v>2.7838776578200421E-3</v>
      </c>
      <c r="AB93" s="37">
        <v>1.2779828181555401E-3</v>
      </c>
      <c r="AC93" s="37">
        <v>7.2622520006797552E-3</v>
      </c>
      <c r="AD93" s="37">
        <v>7.2191731272470781E-3</v>
      </c>
      <c r="AE93" s="37">
        <v>7.217878919407365E-3</v>
      </c>
      <c r="AF93" s="37">
        <v>7.6623819549303876E-3</v>
      </c>
      <c r="AG93" s="37">
        <v>6.2751470376876143E-3</v>
      </c>
      <c r="AH93" s="37">
        <v>6.8054581689236194E-3</v>
      </c>
      <c r="AI93" s="37">
        <v>6.4862460175055163E-3</v>
      </c>
      <c r="AJ93" s="37">
        <v>6.2302749840940901E-3</v>
      </c>
      <c r="AK93" s="37">
        <v>7.0627726758283283E-3</v>
      </c>
      <c r="AL93" s="37">
        <v>5.8797670140228672E-3</v>
      </c>
      <c r="AM93" s="37">
        <v>6.5499249050274908E-3</v>
      </c>
      <c r="AN93" s="37">
        <v>5.7086469686215821E-2</v>
      </c>
      <c r="AO93" s="37">
        <v>2.4599645596886516E-3</v>
      </c>
      <c r="AP93" s="37">
        <v>3.2312784996859421E-3</v>
      </c>
      <c r="AQ93" s="37">
        <v>2.8706856088965204E-3</v>
      </c>
      <c r="AR93" s="37">
        <v>2.3705626459689035E-3</v>
      </c>
      <c r="AS93" s="37">
        <v>3.7641774577569977E-3</v>
      </c>
      <c r="AT93" s="37">
        <v>1.6337422932558745E-3</v>
      </c>
      <c r="AU93" s="37">
        <v>7.8851904924707117E-2</v>
      </c>
      <c r="AV93" s="37">
        <v>3.149661139296908E-3</v>
      </c>
      <c r="AW93" s="37">
        <v>5.5792381565387919E-2</v>
      </c>
      <c r="AX93" s="37">
        <v>3.6065106679761738E-3</v>
      </c>
      <c r="AY93" s="37">
        <v>2.1174890725051102E-3</v>
      </c>
      <c r="AZ93" s="37">
        <v>4.5029019498826327E-3</v>
      </c>
      <c r="BA93" s="37">
        <v>3.2280623177195294E-3</v>
      </c>
      <c r="BB93" s="37">
        <v>2.8700829261233698E-3</v>
      </c>
      <c r="BC93" s="37">
        <v>7.434543710230837E-2</v>
      </c>
      <c r="BD93" s="37">
        <v>2.5686158551161218E-3</v>
      </c>
      <c r="BE93" s="37">
        <v>3.9689675676138096E-3</v>
      </c>
      <c r="BF93" s="37">
        <v>0.12351731741591671</v>
      </c>
    </row>
    <row r="94" spans="1:58" x14ac:dyDescent="0.3">
      <c r="A94" s="37" t="s">
        <v>1628</v>
      </c>
      <c r="B94" s="39" t="s">
        <v>159</v>
      </c>
      <c r="C94" s="40" t="s">
        <v>432</v>
      </c>
      <c r="D94" s="36">
        <v>7.3044529884966885E-3</v>
      </c>
      <c r="E94" s="37">
        <v>7.5235899910493587E-3</v>
      </c>
      <c r="F94" s="37">
        <v>1.2131028769229136E-2</v>
      </c>
      <c r="G94" s="37">
        <v>9.6875059689146403E-3</v>
      </c>
      <c r="H94" s="37">
        <v>1.1300903315095982E-2</v>
      </c>
      <c r="I94" s="38">
        <v>5.5019035879050309E-3</v>
      </c>
      <c r="J94" s="36">
        <v>1.0297328357669276E-2</v>
      </c>
      <c r="K94" s="37">
        <v>5.5145559866509207E-3</v>
      </c>
      <c r="L94" s="37">
        <v>9.29549759000875E-3</v>
      </c>
      <c r="M94" s="37">
        <v>4.4934748267219271E-2</v>
      </c>
      <c r="N94" s="37">
        <v>1.5907035379162521E-2</v>
      </c>
      <c r="O94" s="37">
        <v>6.7462172492343944E-2</v>
      </c>
      <c r="P94" s="37">
        <v>1.374559895095397E-2</v>
      </c>
      <c r="Q94" s="37">
        <v>3.3963534239472917E-3</v>
      </c>
      <c r="R94" s="37">
        <v>8.7976605789971442E-3</v>
      </c>
      <c r="S94" s="37">
        <v>4.6450158324701698E-3</v>
      </c>
      <c r="T94" s="37">
        <v>3.1503718380002863E-2</v>
      </c>
      <c r="U94" s="37">
        <v>3.7441599791625908E-3</v>
      </c>
      <c r="V94" s="37">
        <v>2.5341434822956335E-2</v>
      </c>
      <c r="W94" s="37">
        <v>7.8844466625651154E-3</v>
      </c>
      <c r="X94" s="37">
        <v>8.3083086011151528E-3</v>
      </c>
      <c r="Y94" s="37">
        <v>1.4186601934596359E-2</v>
      </c>
      <c r="Z94" s="37">
        <v>1.1271626642000317E-2</v>
      </c>
      <c r="AA94" s="37">
        <v>1.3222333815187457E-2</v>
      </c>
      <c r="AB94" s="37">
        <v>5.3420510915727871E-3</v>
      </c>
      <c r="AC94" s="37">
        <v>3.0392026258546409E-2</v>
      </c>
      <c r="AD94" s="37">
        <v>2.7047050843150556E-2</v>
      </c>
      <c r="AE94" s="37">
        <v>2.7083289008186361E-2</v>
      </c>
      <c r="AF94" s="37">
        <v>6.0190016365778948E-2</v>
      </c>
      <c r="AG94" s="37">
        <v>0.13909730765439104</v>
      </c>
      <c r="AH94" s="37">
        <v>0.10105459671512228</v>
      </c>
      <c r="AI94" s="37">
        <v>0.20682364730158331</v>
      </c>
      <c r="AJ94" s="37">
        <v>0.17007675737969491</v>
      </c>
      <c r="AK94" s="37">
        <v>0.19458126473233034</v>
      </c>
      <c r="AL94" s="37">
        <v>0.11926175686831664</v>
      </c>
      <c r="AM94" s="37">
        <v>0.16137948768408117</v>
      </c>
      <c r="AN94" s="37">
        <v>1.5399241380056826E-2</v>
      </c>
      <c r="AO94" s="37">
        <v>1.2440186629399164E-2</v>
      </c>
      <c r="AP94" s="37">
        <v>1.3039836986778564E-2</v>
      </c>
      <c r="AQ94" s="37">
        <v>2.1356037092551527E-2</v>
      </c>
      <c r="AR94" s="37">
        <v>1.7232133016764854E-2</v>
      </c>
      <c r="AS94" s="37">
        <v>1.9991857698687762E-2</v>
      </c>
      <c r="AT94" s="37">
        <v>8.8433824012097064E-3</v>
      </c>
      <c r="AU94" s="37">
        <v>2.1754180930952095E-2</v>
      </c>
      <c r="AV94" s="37">
        <v>1.409536704047594E-2</v>
      </c>
      <c r="AW94" s="37">
        <v>1.5107771464790018E-2</v>
      </c>
      <c r="AX94" s="37">
        <v>2.3771241871982547E-2</v>
      </c>
      <c r="AY94" s="37">
        <v>1.6050423242402856E-2</v>
      </c>
      <c r="AZ94" s="37">
        <v>2.2015187408281102E-2</v>
      </c>
      <c r="BA94" s="37">
        <v>2.4988928739724421E-2</v>
      </c>
      <c r="BB94" s="37">
        <v>2.1769040473776761E-2</v>
      </c>
      <c r="BC94" s="37">
        <v>1.9317702472968389E-2</v>
      </c>
      <c r="BD94" s="37">
        <v>1.8166588994148827E-2</v>
      </c>
      <c r="BE94" s="37">
        <v>2.5674535014610787E-2</v>
      </c>
      <c r="BF94" s="37">
        <v>8.9820606923812746E-2</v>
      </c>
    </row>
    <row r="95" spans="1:58" x14ac:dyDescent="0.3">
      <c r="A95" s="37" t="s">
        <v>1628</v>
      </c>
      <c r="B95" s="39" t="s">
        <v>160</v>
      </c>
      <c r="C95" s="40" t="s">
        <v>432</v>
      </c>
      <c r="D95" s="36">
        <v>5.96422025263435E-4</v>
      </c>
      <c r="E95" s="37">
        <v>8.0410847553385567E-4</v>
      </c>
      <c r="F95" s="37">
        <v>3.1897769569198689E-4</v>
      </c>
      <c r="G95" s="37">
        <v>2.5430116738152131E-4</v>
      </c>
      <c r="H95" s="37">
        <v>7.9678638002384351E-4</v>
      </c>
      <c r="I95" s="38">
        <v>4.1218621739485769E-4</v>
      </c>
      <c r="J95" s="36">
        <v>7.2828954587944941E-4</v>
      </c>
      <c r="K95" s="37">
        <v>8.1501769644612938E-5</v>
      </c>
      <c r="L95" s="37">
        <v>3.9934140649445853E-4</v>
      </c>
      <c r="M95" s="37">
        <v>1.2071936969882621E-3</v>
      </c>
      <c r="N95" s="37">
        <v>5.7518381601076715E-4</v>
      </c>
      <c r="O95" s="37">
        <v>2.6890607430846637E-3</v>
      </c>
      <c r="P95" s="37">
        <v>9.1219057169532802E-4</v>
      </c>
      <c r="Q95" s="37">
        <v>1.1088334818632812E-4</v>
      </c>
      <c r="R95" s="37">
        <v>1.1678671553537309E-3</v>
      </c>
      <c r="S95" s="37">
        <v>1.5362872254097312E-4</v>
      </c>
      <c r="T95" s="37">
        <v>6.1530034786997192E-4</v>
      </c>
      <c r="U95" s="37">
        <v>1.4654787128740251E-4</v>
      </c>
      <c r="V95" s="37">
        <v>8.0861671420364659E-4</v>
      </c>
      <c r="W95" s="37">
        <v>9.4005983362243945E-4</v>
      </c>
      <c r="X95" s="37">
        <v>1.2733829788330324E-3</v>
      </c>
      <c r="Y95" s="37">
        <v>5.2146268691181431E-4</v>
      </c>
      <c r="Z95" s="37">
        <v>4.4970910832588208E-4</v>
      </c>
      <c r="AA95" s="37">
        <v>1.1809756448156112E-3</v>
      </c>
      <c r="AB95" s="37">
        <v>7.36136441848376E-4</v>
      </c>
      <c r="AC95" s="37">
        <v>8.9081298626963459E-4</v>
      </c>
      <c r="AD95" s="37">
        <v>8.8606494443296705E-4</v>
      </c>
      <c r="AE95" s="37">
        <v>8.8815032395168729E-4</v>
      </c>
      <c r="AF95" s="37">
        <v>9.1580610410870345E-4</v>
      </c>
      <c r="AG95" s="37">
        <v>1.1763614862934199E-3</v>
      </c>
      <c r="AH95" s="37">
        <v>1.4793576700914842E-3</v>
      </c>
      <c r="AI95" s="37">
        <v>7.9862240423623089E-4</v>
      </c>
      <c r="AJ95" s="37">
        <v>7.428455108713976E-4</v>
      </c>
      <c r="AK95" s="37">
        <v>1.3878412926586442E-3</v>
      </c>
      <c r="AL95" s="37">
        <v>1.0135258341575153E-3</v>
      </c>
      <c r="AM95" s="37">
        <v>-3.357670224239119E-4</v>
      </c>
      <c r="AN95" s="37">
        <v>8.6497490761770959E-3</v>
      </c>
      <c r="AO95" s="37">
        <v>1.2546108771152589E-3</v>
      </c>
      <c r="AP95" s="37">
        <v>1.7261732538460068E-3</v>
      </c>
      <c r="AQ95" s="37">
        <v>6.6240878064560487E-4</v>
      </c>
      <c r="AR95" s="37">
        <v>5.6089681382571609E-4</v>
      </c>
      <c r="AS95" s="37">
        <v>1.5954417919516457E-3</v>
      </c>
      <c r="AT95" s="37">
        <v>9.6611426151055053E-4</v>
      </c>
      <c r="AU95" s="37">
        <v>1.1929918823198696E-2</v>
      </c>
      <c r="AV95" s="37">
        <v>2.9875506328198701E-4</v>
      </c>
      <c r="AW95" s="37">
        <v>8.4600355825388482E-3</v>
      </c>
      <c r="AX95" s="37">
        <v>1.1212103959612162E-3</v>
      </c>
      <c r="AY95" s="37">
        <v>6.9748368930559073E-4</v>
      </c>
      <c r="AZ95" s="37">
        <v>7.9770180352692452E-4</v>
      </c>
      <c r="BA95" s="37">
        <v>6.1015746317446618E-4</v>
      </c>
      <c r="BB95" s="37">
        <v>5.298374948804204E-4</v>
      </c>
      <c r="BC95" s="37">
        <v>1.1264974742427065E-2</v>
      </c>
      <c r="BD95" s="37">
        <v>2.9134170192483355E-4</v>
      </c>
      <c r="BE95" s="37">
        <v>4.6239179285511537E-4</v>
      </c>
      <c r="BF95" s="37">
        <v>1.7703881169381642E-2</v>
      </c>
    </row>
    <row r="96" spans="1:58" x14ac:dyDescent="0.3">
      <c r="A96" s="37" t="s">
        <v>1628</v>
      </c>
      <c r="B96" s="39" t="s">
        <v>161</v>
      </c>
      <c r="C96" s="40" t="s">
        <v>432</v>
      </c>
      <c r="D96" s="36">
        <v>2.7261485622353762E-4</v>
      </c>
      <c r="E96" s="37">
        <v>3.4075068682346108E-4</v>
      </c>
      <c r="F96" s="37">
        <v>2.9511383099514331E-4</v>
      </c>
      <c r="G96" s="37">
        <v>2.358423228229348E-4</v>
      </c>
      <c r="H96" s="37">
        <v>4.1164289445608996E-4</v>
      </c>
      <c r="I96" s="38">
        <v>1.9017324264481052E-4</v>
      </c>
      <c r="J96" s="36">
        <v>3.5632720963214512E-4</v>
      </c>
      <c r="K96" s="37">
        <v>1.0183549891117969E-4</v>
      </c>
      <c r="L96" s="37">
        <v>4.2885308589543029E-4</v>
      </c>
      <c r="M96" s="37">
        <v>2.0091361243849324E-3</v>
      </c>
      <c r="N96" s="37">
        <v>6.3485385000754005E-4</v>
      </c>
      <c r="O96" s="37">
        <v>2.6996778002923725E-3</v>
      </c>
      <c r="P96" s="37">
        <v>6.4795202598853124E-4</v>
      </c>
      <c r="Q96" s="37">
        <v>2.0678624590470774E-4</v>
      </c>
      <c r="R96" s="37">
        <v>7.1725372133438746E-4</v>
      </c>
      <c r="S96" s="37">
        <v>3.2290186885518041E-4</v>
      </c>
      <c r="T96" s="37">
        <v>1.511976828569517E-3</v>
      </c>
      <c r="U96" s="37">
        <v>2.8808632475285471E-4</v>
      </c>
      <c r="V96" s="37">
        <v>1.3185082070629971E-3</v>
      </c>
      <c r="W96" s="37">
        <v>3.1496246400673485E-4</v>
      </c>
      <c r="X96" s="37">
        <v>4.250404702821367E-4</v>
      </c>
      <c r="Y96" s="37">
        <v>3.2873597454150005E-4</v>
      </c>
      <c r="Z96" s="37">
        <v>2.6160494434809541E-4</v>
      </c>
      <c r="AA96" s="37">
        <v>4.9330006502082283E-4</v>
      </c>
      <c r="AB96" s="37">
        <v>2.1529218307853758E-4</v>
      </c>
      <c r="AC96" s="37">
        <v>1.5256156671079005E-3</v>
      </c>
      <c r="AD96" s="37">
        <v>1.5175376961007968E-3</v>
      </c>
      <c r="AE96" s="37">
        <v>1.5125555880074683E-3</v>
      </c>
      <c r="AF96" s="37">
        <v>1.6411711550224485E-3</v>
      </c>
      <c r="AG96" s="37">
        <v>1.2636246918700093E-3</v>
      </c>
      <c r="AH96" s="37">
        <v>1.3762598465237833E-3</v>
      </c>
      <c r="AI96" s="37">
        <v>1.2451327588111388E-3</v>
      </c>
      <c r="AJ96" s="37">
        <v>1.2045291909926169E-3</v>
      </c>
      <c r="AK96" s="37">
        <v>1.3962819068854214E-3</v>
      </c>
      <c r="AL96" s="37">
        <v>1.2002122005149132E-3</v>
      </c>
      <c r="AM96" s="37">
        <v>-6.679524420113343E-4</v>
      </c>
      <c r="AN96" s="37">
        <v>1.8785744893936546E-2</v>
      </c>
      <c r="AO96" s="37">
        <v>4.442608047526942E-4</v>
      </c>
      <c r="AP96" s="37">
        <v>5.9999150335814176E-4</v>
      </c>
      <c r="AQ96" s="37">
        <v>4.6374660841507214E-4</v>
      </c>
      <c r="AR96" s="37">
        <v>3.6877430119534687E-4</v>
      </c>
      <c r="AS96" s="37">
        <v>6.9656042511518257E-4</v>
      </c>
      <c r="AT96" s="37">
        <v>3.0325423128409505E-4</v>
      </c>
      <c r="AU96" s="37">
        <v>2.5940185652050803E-2</v>
      </c>
      <c r="AV96" s="37">
        <v>6.4285655471486998E-4</v>
      </c>
      <c r="AW96" s="37">
        <v>1.837880782524182E-2</v>
      </c>
      <c r="AX96" s="37">
        <v>8.7147082788591461E-4</v>
      </c>
      <c r="AY96" s="37">
        <v>5.5241635416210049E-4</v>
      </c>
      <c r="AZ96" s="37">
        <v>1.2224363685303748E-3</v>
      </c>
      <c r="BA96" s="37">
        <v>8.188902200436199E-4</v>
      </c>
      <c r="BB96" s="37">
        <v>7.6342956879473498E-4</v>
      </c>
      <c r="BC96" s="37">
        <v>2.4488922730446276E-2</v>
      </c>
      <c r="BD96" s="37">
        <v>8.0018229868019752E-4</v>
      </c>
      <c r="BE96" s="37">
        <v>1.3001939057620906E-3</v>
      </c>
      <c r="BF96" s="37">
        <v>4.0337043603916038E-2</v>
      </c>
    </row>
    <row r="97" spans="1:58" x14ac:dyDescent="0.3">
      <c r="A97" s="37" t="s">
        <v>1628</v>
      </c>
      <c r="B97" s="39" t="s">
        <v>35</v>
      </c>
      <c r="C97" s="40" t="s">
        <v>432</v>
      </c>
      <c r="D97" s="36">
        <v>7.376176250589647E-3</v>
      </c>
      <c r="E97" s="37">
        <v>9.0538054120901761E-3</v>
      </c>
      <c r="F97" s="37">
        <v>1.13208316117199E-2</v>
      </c>
      <c r="G97" s="37">
        <v>9.1246900673659093E-3</v>
      </c>
      <c r="H97" s="37">
        <v>1.2528388009807295E-2</v>
      </c>
      <c r="I97" s="38">
        <v>5.3863518290531128E-3</v>
      </c>
      <c r="J97" s="36">
        <v>9.8777361051684311E-3</v>
      </c>
      <c r="K97" s="37">
        <v>4.4356154213857262E-3</v>
      </c>
      <c r="L97" s="37">
        <v>4.3056807184139824E-2</v>
      </c>
      <c r="M97" s="37">
        <v>0.15071446399354083</v>
      </c>
      <c r="N97" s="37">
        <v>5.5458084138368759E-2</v>
      </c>
      <c r="O97" s="37">
        <v>7.7677265021806524E-2</v>
      </c>
      <c r="P97" s="37">
        <v>4.9140407577699226E-2</v>
      </c>
      <c r="Q97" s="37">
        <v>3.2395981839395759E-2</v>
      </c>
      <c r="R97" s="37">
        <v>5.3460779484083343E-2</v>
      </c>
      <c r="S97" s="37">
        <v>4.7092577032709228E-2</v>
      </c>
      <c r="T97" s="37">
        <v>3.2012048440163678E-2</v>
      </c>
      <c r="U97" s="37">
        <v>4.4148465544061426E-2</v>
      </c>
      <c r="V97" s="37">
        <v>0.12285923444760281</v>
      </c>
      <c r="W97" s="37">
        <v>1.5114577884932055E-2</v>
      </c>
      <c r="X97" s="37">
        <v>1.7911256133014402E-2</v>
      </c>
      <c r="Y97" s="37">
        <v>1.9851707705414209E-2</v>
      </c>
      <c r="Z97" s="37">
        <v>1.7575477853233334E-2</v>
      </c>
      <c r="AA97" s="37">
        <v>2.1759797995282763E-2</v>
      </c>
      <c r="AB97" s="37">
        <v>1.3031536993733262E-2</v>
      </c>
      <c r="AC97" s="37">
        <v>0.14213437603499965</v>
      </c>
      <c r="AD97" s="37">
        <v>0.13852629231054556</v>
      </c>
      <c r="AE97" s="37">
        <v>0.13764076522131788</v>
      </c>
      <c r="AF97" s="37">
        <v>0.18220700455355035</v>
      </c>
      <c r="AG97" s="37">
        <v>6.4605374735071872E-2</v>
      </c>
      <c r="AH97" s="37">
        <v>6.7466828923112884E-2</v>
      </c>
      <c r="AI97" s="37">
        <v>7.081136269369763E-2</v>
      </c>
      <c r="AJ97" s="37">
        <v>6.9338444459767209E-2</v>
      </c>
      <c r="AK97" s="37">
        <v>7.267692870245461E-2</v>
      </c>
      <c r="AL97" s="37">
        <v>6.6497369003955878E-2</v>
      </c>
      <c r="AM97" s="37">
        <v>-1.4296554396919976</v>
      </c>
      <c r="AN97" s="37">
        <v>9.8711728568275661E-2</v>
      </c>
      <c r="AO97" s="37">
        <v>3.3000280877110238E-2</v>
      </c>
      <c r="AP97" s="37">
        <v>3.6956826531279185E-2</v>
      </c>
      <c r="AQ97" s="37">
        <v>3.9702042303300197E-2</v>
      </c>
      <c r="AR97" s="37">
        <v>3.648179080110784E-2</v>
      </c>
      <c r="AS97" s="37">
        <v>4.2401475586094875E-2</v>
      </c>
      <c r="AT97" s="37">
        <v>3.0053339665270802E-2</v>
      </c>
      <c r="AU97" s="37">
        <v>0.14908784022902385</v>
      </c>
      <c r="AV97" s="37">
        <v>5.5769095541541851E-2</v>
      </c>
      <c r="AW97" s="37">
        <v>0.10129984085652476</v>
      </c>
      <c r="AX97" s="37">
        <v>6.5888714514984473E-2</v>
      </c>
      <c r="AY97" s="37">
        <v>4.8105999477469054E-2</v>
      </c>
      <c r="AZ97" s="37">
        <v>0.11385140178864041</v>
      </c>
      <c r="BA97" s="37">
        <v>8.1256103775757996E-2</v>
      </c>
      <c r="BB97" s="37">
        <v>8.0502338313240149E-2</v>
      </c>
      <c r="BC97" s="37">
        <v>0.1183923734573165</v>
      </c>
      <c r="BD97" s="37">
        <v>7.1001325010116578E-2</v>
      </c>
      <c r="BE97" s="37">
        <v>0.10754088322061331</v>
      </c>
      <c r="BF97" s="37">
        <v>0.19254941276005744</v>
      </c>
    </row>
    <row r="98" spans="1:58" x14ac:dyDescent="0.3">
      <c r="A98" s="37" t="s">
        <v>1628</v>
      </c>
      <c r="B98" s="39" t="s">
        <v>7</v>
      </c>
      <c r="C98" s="40" t="s">
        <v>432</v>
      </c>
      <c r="D98" s="36">
        <v>4.5892449938669966E-3</v>
      </c>
      <c r="E98" s="37">
        <v>5.8923944552121618E-3</v>
      </c>
      <c r="F98" s="37">
        <v>1.7742991417651798E-2</v>
      </c>
      <c r="G98" s="37">
        <v>1.6460287131374516E-2</v>
      </c>
      <c r="H98" s="37">
        <v>-8.9769708312237573E-3</v>
      </c>
      <c r="I98" s="38">
        <v>3.3019314317457875E-4</v>
      </c>
      <c r="J98" s="36">
        <v>8.3748029900633392E-3</v>
      </c>
      <c r="K98" s="37">
        <v>3.0698715921093826E-4</v>
      </c>
      <c r="L98" s="37">
        <v>2.2302371563641184E-2</v>
      </c>
      <c r="M98" s="37">
        <v>4.1396862731255597E-2</v>
      </c>
      <c r="N98" s="37">
        <v>3.8634422229820581E-2</v>
      </c>
      <c r="O98" s="37">
        <v>9.3460237066374269E-2</v>
      </c>
      <c r="P98" s="37">
        <v>6.7671856519734508E-2</v>
      </c>
      <c r="Q98" s="37">
        <v>3.9886866036800315E-4</v>
      </c>
      <c r="R98" s="37">
        <v>2.9084222796785818E-2</v>
      </c>
      <c r="S98" s="37">
        <v>5.3569507482122266E-4</v>
      </c>
      <c r="T98" s="37">
        <v>4.1711124693263055E-4</v>
      </c>
      <c r="U98" s="37">
        <v>4.9633119038287312E-4</v>
      </c>
      <c r="V98" s="37">
        <v>3.6271720219732149E-2</v>
      </c>
      <c r="W98" s="37">
        <v>1.6698079421068546E-2</v>
      </c>
      <c r="X98" s="37">
        <v>1.8839913200738172E-2</v>
      </c>
      <c r="Y98" s="37">
        <v>3.3976802238989572E-2</v>
      </c>
      <c r="Z98" s="37">
        <v>3.3599764566014087E-2</v>
      </c>
      <c r="AA98" s="37">
        <v>-2.1244229042738073E-3</v>
      </c>
      <c r="AB98" s="37">
        <v>1.0612343868271803E-2</v>
      </c>
      <c r="AC98" s="37">
        <v>3.7606779123513324E-2</v>
      </c>
      <c r="AD98" s="37">
        <v>3.7683361737104695E-2</v>
      </c>
      <c r="AE98" s="37">
        <v>3.810867031692676E-2</v>
      </c>
      <c r="AF98" s="37">
        <v>3.3281433692132698E-2</v>
      </c>
      <c r="AG98" s="37">
        <v>1.7189197772494075E-2</v>
      </c>
      <c r="AH98" s="37">
        <v>1.9326159988404926E-2</v>
      </c>
      <c r="AI98" s="37">
        <v>3.3941344714919199E-2</v>
      </c>
      <c r="AJ98" s="37">
        <v>3.3948543607146199E-2</v>
      </c>
      <c r="AK98" s="37">
        <v>1.8979085519184246E-3</v>
      </c>
      <c r="AL98" s="37">
        <v>1.422531022278495E-2</v>
      </c>
      <c r="AM98" s="37">
        <v>-4.3457904274395781E-3</v>
      </c>
      <c r="AN98" s="37">
        <v>3.4630675916203141E-2</v>
      </c>
      <c r="AO98" s="37">
        <v>1.9600996680496745E-2</v>
      </c>
      <c r="AP98" s="37">
        <v>2.2631113977227186E-2</v>
      </c>
      <c r="AQ98" s="37">
        <v>4.4045730615017722E-2</v>
      </c>
      <c r="AR98" s="37">
        <v>4.3512323968224513E-2</v>
      </c>
      <c r="AS98" s="37">
        <v>-7.0277690085784727E-3</v>
      </c>
      <c r="AT98" s="37">
        <v>1.0991321766927487E-2</v>
      </c>
      <c r="AU98" s="37">
        <v>4.7886288882979064E-2</v>
      </c>
      <c r="AV98" s="37">
        <v>2.5556923360777709E-2</v>
      </c>
      <c r="AW98" s="37">
        <v>3.3891429622846088E-2</v>
      </c>
      <c r="AX98" s="37">
        <v>-1.6640083873791594E-3</v>
      </c>
      <c r="AY98" s="37">
        <v>8.4001820571807106E-3</v>
      </c>
      <c r="AZ98" s="37">
        <v>3.7262562081332724E-2</v>
      </c>
      <c r="BA98" s="37">
        <v>2.8188913509188847E-2</v>
      </c>
      <c r="BB98" s="37">
        <v>2.6593618730920275E-2</v>
      </c>
      <c r="BC98" s="37">
        <v>4.5137747681648958E-2</v>
      </c>
      <c r="BD98" s="37">
        <v>7.7280630469660715E-4</v>
      </c>
      <c r="BE98" s="37">
        <v>1.1548010407354693E-3</v>
      </c>
      <c r="BF98" s="37">
        <v>4.3884724476986763E-2</v>
      </c>
    </row>
    <row r="99" spans="1:58" x14ac:dyDescent="0.3">
      <c r="A99" s="37" t="s">
        <v>1628</v>
      </c>
      <c r="B99" s="39" t="s">
        <v>8</v>
      </c>
      <c r="C99" s="40" t="s">
        <v>432</v>
      </c>
      <c r="D99" s="36">
        <v>4.7340156623768488</v>
      </c>
      <c r="E99" s="37">
        <v>6.4083236176736529</v>
      </c>
      <c r="F99" s="37">
        <v>5.5339325490134579</v>
      </c>
      <c r="G99" s="37">
        <v>4.3087983382580228</v>
      </c>
      <c r="H99" s="37">
        <v>7.0853178493474758</v>
      </c>
      <c r="I99" s="38">
        <v>4.0203447676484627</v>
      </c>
      <c r="J99" s="36">
        <v>6.0297753798234233</v>
      </c>
      <c r="K99" s="37">
        <v>36.425325670620339</v>
      </c>
      <c r="L99" s="37">
        <v>16.54192234769727</v>
      </c>
      <c r="M99" s="37">
        <v>19.698076197403751</v>
      </c>
      <c r="N99" s="37">
        <v>20.420453055988389</v>
      </c>
      <c r="O99" s="37">
        <v>29.2800466739589</v>
      </c>
      <c r="P99" s="37">
        <v>19.298881017451723</v>
      </c>
      <c r="Q99" s="37">
        <v>11.433047933512295</v>
      </c>
      <c r="R99" s="37">
        <v>21.431764776895214</v>
      </c>
      <c r="S99" s="37">
        <v>16.30869235998793</v>
      </c>
      <c r="T99" s="37">
        <v>11.708019520955531</v>
      </c>
      <c r="U99" s="37">
        <v>15.80337719146881</v>
      </c>
      <c r="V99" s="37">
        <v>46.684723755472561</v>
      </c>
      <c r="W99" s="37">
        <v>6.5729477536480028</v>
      </c>
      <c r="X99" s="37">
        <v>9.262334632139325</v>
      </c>
      <c r="Y99" s="37">
        <v>7.2707711375337443</v>
      </c>
      <c r="Z99" s="37">
        <v>5.9453657062602669</v>
      </c>
      <c r="AA99" s="37">
        <v>9.5187482627870175</v>
      </c>
      <c r="AB99" s="37">
        <v>6.1764627061019537</v>
      </c>
      <c r="AC99" s="37">
        <v>52.321470958148169</v>
      </c>
      <c r="AD99" s="37">
        <v>50.282545701689642</v>
      </c>
      <c r="AE99" s="37">
        <v>50.007344109545166</v>
      </c>
      <c r="AF99" s="37">
        <v>73.034654730985608</v>
      </c>
      <c r="AG99" s="37">
        <v>22.570180835561921</v>
      </c>
      <c r="AH99" s="37">
        <v>24.963327559130907</v>
      </c>
      <c r="AI99" s="37">
        <v>24.556451701757236</v>
      </c>
      <c r="AJ99" s="37">
        <v>23.373914494541275</v>
      </c>
      <c r="AK99" s="37">
        <v>26.557523274068878</v>
      </c>
      <c r="AL99" s="37">
        <v>23.574840895775438</v>
      </c>
      <c r="AM99" s="37">
        <v>50.339811129183332</v>
      </c>
      <c r="AN99" s="37">
        <v>12.214562145856739</v>
      </c>
      <c r="AO99" s="37">
        <v>12.794120205584534</v>
      </c>
      <c r="AP99" s="37">
        <v>16.598877500697061</v>
      </c>
      <c r="AQ99" s="37">
        <v>13.781352140035258</v>
      </c>
      <c r="AR99" s="37">
        <v>11.906260823144311</v>
      </c>
      <c r="AS99" s="37">
        <v>16.961633651392781</v>
      </c>
      <c r="AT99" s="37">
        <v>12.233200767359227</v>
      </c>
      <c r="AU99" s="37">
        <v>20.767554984384574</v>
      </c>
      <c r="AV99" s="37">
        <v>26.158351544873195</v>
      </c>
      <c r="AW99" s="37">
        <v>12.839230283316358</v>
      </c>
      <c r="AX99" s="37">
        <v>25.990264049422748</v>
      </c>
      <c r="AY99" s="37">
        <v>19.718213941118741</v>
      </c>
      <c r="AZ99" s="37">
        <v>42.128216672373043</v>
      </c>
      <c r="BA99" s="37">
        <v>29.560914826149517</v>
      </c>
      <c r="BB99" s="37">
        <v>28.787583214641295</v>
      </c>
      <c r="BC99" s="37">
        <v>11.817939964868376</v>
      </c>
      <c r="BD99" s="37">
        <v>32.64405612505751</v>
      </c>
      <c r="BE99" s="37">
        <v>52.375342857507441</v>
      </c>
      <c r="BF99" s="37">
        <v>35.016978368582734</v>
      </c>
    </row>
    <row r="100" spans="1:58" x14ac:dyDescent="0.3">
      <c r="A100" s="37" t="s">
        <v>1628</v>
      </c>
      <c r="B100" s="39" t="s">
        <v>162</v>
      </c>
      <c r="C100" s="40" t="s">
        <v>432</v>
      </c>
      <c r="D100" s="36">
        <v>4.8766484375746435</v>
      </c>
      <c r="E100" s="37">
        <v>6.5589235521897429</v>
      </c>
      <c r="F100" s="37">
        <v>5.6847837846255809</v>
      </c>
      <c r="G100" s="37">
        <v>4.4519800178604729</v>
      </c>
      <c r="H100" s="37">
        <v>7.2384436749958692</v>
      </c>
      <c r="I100" s="38">
        <v>4.1539360206418721</v>
      </c>
      <c r="J100" s="36">
        <v>6.181182358143408</v>
      </c>
      <c r="K100" s="37">
        <v>36.550698613953131</v>
      </c>
      <c r="L100" s="37">
        <v>16.742819863449874</v>
      </c>
      <c r="M100" s="37">
        <v>19.880665809677605</v>
      </c>
      <c r="N100" s="37">
        <v>20.807145036251651</v>
      </c>
      <c r="O100" s="37">
        <v>29.906460278849693</v>
      </c>
      <c r="P100" s="37">
        <v>19.56367160805252</v>
      </c>
      <c r="Q100" s="37">
        <v>11.56324418186299</v>
      </c>
      <c r="R100" s="37">
        <v>21.70262055013286</v>
      </c>
      <c r="S100" s="37">
        <v>16.447983275591895</v>
      </c>
      <c r="T100" s="37">
        <v>11.847635697930151</v>
      </c>
      <c r="U100" s="37">
        <v>15.945871350139544</v>
      </c>
      <c r="V100" s="37">
        <v>46.898855481042453</v>
      </c>
      <c r="W100" s="37">
        <v>6.7597349177925565</v>
      </c>
      <c r="X100" s="37">
        <v>9.4621452327763276</v>
      </c>
      <c r="Y100" s="37">
        <v>7.4663992982340632</v>
      </c>
      <c r="Z100" s="37">
        <v>6.1328106724081879</v>
      </c>
      <c r="AA100" s="37">
        <v>9.7183134275593321</v>
      </c>
      <c r="AB100" s="37">
        <v>6.3530964240606167</v>
      </c>
      <c r="AC100" s="37">
        <v>52.710610724274751</v>
      </c>
      <c r="AD100" s="37">
        <v>50.668890663176541</v>
      </c>
      <c r="AE100" s="37">
        <v>50.394592819759474</v>
      </c>
      <c r="AF100" s="37">
        <v>73.441297976229265</v>
      </c>
      <c r="AG100" s="37">
        <v>23.080219618573597</v>
      </c>
      <c r="AH100" s="37">
        <v>25.485573126087818</v>
      </c>
      <c r="AI100" s="37">
        <v>25.076808474214889</v>
      </c>
      <c r="AJ100" s="37">
        <v>23.887784735190021</v>
      </c>
      <c r="AK100" s="37">
        <v>27.081578269287046</v>
      </c>
      <c r="AL100" s="37">
        <v>24.08062521176242</v>
      </c>
      <c r="AM100" s="37">
        <v>50.83412696172482</v>
      </c>
      <c r="AN100" s="37">
        <v>15.780818548575059</v>
      </c>
      <c r="AO100" s="37">
        <v>13.235466318321624</v>
      </c>
      <c r="AP100" s="37">
        <v>17.058648264568721</v>
      </c>
      <c r="AQ100" s="37">
        <v>14.235205879105559</v>
      </c>
      <c r="AR100" s="37">
        <v>12.348537548353363</v>
      </c>
      <c r="AS100" s="37">
        <v>17.42105718969265</v>
      </c>
      <c r="AT100" s="37">
        <v>12.660182491411572</v>
      </c>
      <c r="AU100" s="37">
        <v>25.653872403273425</v>
      </c>
      <c r="AV100" s="37">
        <v>26.386259653885524</v>
      </c>
      <c r="AW100" s="37">
        <v>16.32641851323654</v>
      </c>
      <c r="AX100" s="37">
        <v>26.242526745209343</v>
      </c>
      <c r="AY100" s="37">
        <v>19.940927039034165</v>
      </c>
      <c r="AZ100" s="37">
        <v>42.363771501266804</v>
      </c>
      <c r="BA100" s="37">
        <v>29.819314871336651</v>
      </c>
      <c r="BB100" s="37">
        <v>29.034381615863762</v>
      </c>
      <c r="BC100" s="37">
        <v>16.435592588475515</v>
      </c>
      <c r="BD100" s="37">
        <v>32.829268437410562</v>
      </c>
      <c r="BE100" s="37">
        <v>52.587233178664199</v>
      </c>
      <c r="BF100" s="37">
        <v>39.207538681708918</v>
      </c>
    </row>
    <row r="101" spans="1:58" x14ac:dyDescent="0.3">
      <c r="A101" s="37" t="s">
        <v>1628</v>
      </c>
      <c r="B101" s="39" t="s">
        <v>163</v>
      </c>
      <c r="C101" s="40" t="s">
        <v>433</v>
      </c>
      <c r="D101" s="36">
        <v>6.3140836484670873</v>
      </c>
      <c r="E101" s="37">
        <v>8.3920222451836715</v>
      </c>
      <c r="F101" s="37">
        <v>10.726301458654904</v>
      </c>
      <c r="G101" s="37">
        <v>9.0876968096956965</v>
      </c>
      <c r="H101" s="37">
        <v>5.2353980450157938</v>
      </c>
      <c r="I101" s="38">
        <v>4.403027758454729</v>
      </c>
      <c r="J101" s="36">
        <v>8.6968372336652457</v>
      </c>
      <c r="K101" s="37">
        <v>36.765118673785608</v>
      </c>
      <c r="L101" s="37">
        <v>23.944652543338982</v>
      </c>
      <c r="M101" s="37">
        <v>35.372268353266563</v>
      </c>
      <c r="N101" s="37">
        <v>32.709009451305164</v>
      </c>
      <c r="O101" s="37">
        <v>57.003741052093069</v>
      </c>
      <c r="P101" s="37">
        <v>38.970925813113141</v>
      </c>
      <c r="Q101" s="37">
        <v>12.640823832042383</v>
      </c>
      <c r="R101" s="37">
        <v>31.013762975803601</v>
      </c>
      <c r="S101" s="37">
        <v>18.002719781400796</v>
      </c>
      <c r="T101" s="37">
        <v>12.918531631572208</v>
      </c>
      <c r="U101" s="37">
        <v>17.401853081912847</v>
      </c>
      <c r="V101" s="37">
        <v>60.196638372699546</v>
      </c>
      <c r="W101" s="37">
        <v>11.638163300923683</v>
      </c>
      <c r="X101" s="37">
        <v>14.992059914962375</v>
      </c>
      <c r="Y101" s="37">
        <v>17.065803122728724</v>
      </c>
      <c r="Z101" s="37">
        <v>15.56401261799892</v>
      </c>
      <c r="AA101" s="37">
        <v>9.8081352977852561</v>
      </c>
      <c r="AB101" s="37">
        <v>9.5563136589646422</v>
      </c>
      <c r="AC101" s="37">
        <v>66.940438473055764</v>
      </c>
      <c r="AD101" s="37">
        <v>64.810770292825651</v>
      </c>
      <c r="AE101" s="37">
        <v>64.622613410384616</v>
      </c>
      <c r="AF101" s="37">
        <v>87.727088041250937</v>
      </c>
      <c r="AG101" s="37">
        <v>29.573518270336685</v>
      </c>
      <c r="AH101" s="37">
        <v>32.631010390708511</v>
      </c>
      <c r="AI101" s="37">
        <v>36.195605704479405</v>
      </c>
      <c r="AJ101" s="37">
        <v>34.964302124876774</v>
      </c>
      <c r="AK101" s="37">
        <v>29.764831896619064</v>
      </c>
      <c r="AL101" s="37">
        <v>29.845253490919109</v>
      </c>
      <c r="AM101" s="37">
        <v>6.7928293076934034</v>
      </c>
      <c r="AN101" s="37">
        <v>27.919299523417159</v>
      </c>
      <c r="AO101" s="37">
        <v>19.419738864966568</v>
      </c>
      <c r="AP101" s="37">
        <v>24.164598264472296</v>
      </c>
      <c r="AQ101" s="37">
        <v>27.098385761184261</v>
      </c>
      <c r="AR101" s="37">
        <v>24.973757123966095</v>
      </c>
      <c r="AS101" s="37">
        <v>16.830742670002198</v>
      </c>
      <c r="AT101" s="37">
        <v>16.474482949605481</v>
      </c>
      <c r="AU101" s="37">
        <v>42.816374164133585</v>
      </c>
      <c r="AV101" s="37">
        <v>34.831917210737878</v>
      </c>
      <c r="AW101" s="37">
        <v>28.346642588986498</v>
      </c>
      <c r="AX101" s="37">
        <v>27.7782259580034</v>
      </c>
      <c r="AY101" s="37">
        <v>23.610155268511125</v>
      </c>
      <c r="AZ101" s="37">
        <v>55.653892506479174</v>
      </c>
      <c r="BA101" s="37">
        <v>39.727060064544432</v>
      </c>
      <c r="BB101" s="37">
        <v>38.49676072895484</v>
      </c>
      <c r="BC101" s="37">
        <v>31.948866927831983</v>
      </c>
      <c r="BD101" s="37">
        <v>35.164101858458658</v>
      </c>
      <c r="BE101" s="37">
        <v>56.119481951077496</v>
      </c>
      <c r="BF101" s="37">
        <v>56.613473050912134</v>
      </c>
    </row>
    <row r="102" spans="1:58" x14ac:dyDescent="0.3">
      <c r="A102" s="37" t="s">
        <v>1628</v>
      </c>
      <c r="B102" s="39" t="s">
        <v>164</v>
      </c>
      <c r="C102" s="40" t="s">
        <v>432</v>
      </c>
      <c r="D102" s="36">
        <v>3.0621100636902309E-3</v>
      </c>
      <c r="E102" s="37">
        <v>3.0943525287357243E-3</v>
      </c>
      <c r="F102" s="37">
        <v>3.0573658306634749E-3</v>
      </c>
      <c r="G102" s="37">
        <v>3.0245639722219038E-3</v>
      </c>
      <c r="H102" s="37">
        <v>3.1156020781562947E-3</v>
      </c>
      <c r="I102" s="38">
        <v>3.0556338649737396E-3</v>
      </c>
      <c r="J102" s="36">
        <v>2.228151920137417E-3</v>
      </c>
      <c r="K102" s="37">
        <v>2.228151920137417E-3</v>
      </c>
      <c r="L102" s="37">
        <v>2.7536170924541497E-3</v>
      </c>
      <c r="M102" s="37">
        <v>2.9110792716315289E-3</v>
      </c>
      <c r="N102" s="37">
        <v>2.7798282477525765E-3</v>
      </c>
      <c r="O102" s="37">
        <v>3.0204405717850985E-3</v>
      </c>
      <c r="P102" s="37">
        <v>2.798375674349725E-3</v>
      </c>
      <c r="Q102" s="37">
        <v>2.6213527619815967E-3</v>
      </c>
      <c r="R102" s="37">
        <v>2.8729130724845673E-3</v>
      </c>
      <c r="S102" s="37">
        <v>2.228151920137417E-3</v>
      </c>
      <c r="T102" s="37">
        <v>2.228151920137417E-3</v>
      </c>
      <c r="U102" s="37">
        <v>2.228151920137417E-3</v>
      </c>
      <c r="V102" s="37">
        <v>3.5036030085849922E-3</v>
      </c>
      <c r="W102" s="37">
        <v>3.1303414618660016E-3</v>
      </c>
      <c r="X102" s="37">
        <v>3.1841780693723869E-3</v>
      </c>
      <c r="Y102" s="37">
        <v>3.113087922289922E-3</v>
      </c>
      <c r="Z102" s="37">
        <v>3.0761966851383608E-3</v>
      </c>
      <c r="AA102" s="37">
        <v>3.1956883100227925E-3</v>
      </c>
      <c r="AB102" s="37">
        <v>3.1416495383790092E-3</v>
      </c>
      <c r="AC102" s="37">
        <v>1.6267174487753604E-2</v>
      </c>
      <c r="AD102" s="37">
        <v>1.6265656478609426E-2</v>
      </c>
      <c r="AE102" s="37">
        <v>1.6264788347405267E-2</v>
      </c>
      <c r="AF102" s="37">
        <v>1.6288259091846786E-2</v>
      </c>
      <c r="AG102" s="37">
        <v>1.6029754027081088E-2</v>
      </c>
      <c r="AH102" s="37">
        <v>1.6077693090707397E-2</v>
      </c>
      <c r="AI102" s="37">
        <v>1.6031161945347011E-2</v>
      </c>
      <c r="AJ102" s="37">
        <v>1.5998311967479216E-2</v>
      </c>
      <c r="AK102" s="37">
        <v>1.610471385410378E-2</v>
      </c>
      <c r="AL102" s="37">
        <v>1.6056594772458237E-2</v>
      </c>
      <c r="AM102" s="37">
        <v>1.5023367520548381E-2</v>
      </c>
      <c r="AN102" s="37">
        <v>2.228151920137417E-3</v>
      </c>
      <c r="AO102" s="37">
        <v>3.2639206617939382E-3</v>
      </c>
      <c r="AP102" s="37">
        <v>3.3400849454796443E-3</v>
      </c>
      <c r="AQ102" s="37">
        <v>3.2395115553564792E-3</v>
      </c>
      <c r="AR102" s="37">
        <v>3.1873204017516584E-3</v>
      </c>
      <c r="AS102" s="37">
        <v>3.3563688324999078E-3</v>
      </c>
      <c r="AT102" s="37">
        <v>3.2799185410691926E-3</v>
      </c>
      <c r="AU102" s="37">
        <v>2.228151920137417E-3</v>
      </c>
      <c r="AV102" s="37">
        <v>2.228151920137417E-3</v>
      </c>
      <c r="AW102" s="37">
        <v>2.228151920137417E-3</v>
      </c>
      <c r="AX102" s="37">
        <v>2.228151920137417E-3</v>
      </c>
      <c r="AY102" s="37">
        <v>2.228151920137417E-3</v>
      </c>
      <c r="AZ102" s="37">
        <v>2.228151920137417E-3</v>
      </c>
      <c r="BA102" s="37">
        <v>2.228151920137417E-3</v>
      </c>
      <c r="BB102" s="37">
        <v>2.228151920137417E-3</v>
      </c>
      <c r="BC102" s="37">
        <v>2.228151920137417E-3</v>
      </c>
      <c r="BD102" s="37">
        <v>3.2575393300896581E-3</v>
      </c>
      <c r="BE102" s="37">
        <v>3.4034912037579756E-3</v>
      </c>
      <c r="BF102" s="37">
        <v>3.929928756248118E-3</v>
      </c>
    </row>
    <row r="103" spans="1:58" x14ac:dyDescent="0.3">
      <c r="A103" s="37" t="s">
        <v>1628</v>
      </c>
      <c r="B103" s="39" t="s">
        <v>165</v>
      </c>
      <c r="C103" s="40" t="s">
        <v>432</v>
      </c>
      <c r="D103" s="36">
        <v>1.6131147059058683E-2</v>
      </c>
      <c r="E103" s="37">
        <v>1.6155559161741613E-2</v>
      </c>
      <c r="F103" s="37">
        <v>1.6192595019774998E-2</v>
      </c>
      <c r="G103" s="37">
        <v>1.6105768105948336E-2</v>
      </c>
      <c r="H103" s="37">
        <v>1.624985990388338E-2</v>
      </c>
      <c r="I103" s="38">
        <v>1.6181037586956531E-2</v>
      </c>
      <c r="J103" s="36">
        <v>1.5675760154118784E-2</v>
      </c>
      <c r="K103" s="37">
        <v>1.5675760154118784E-2</v>
      </c>
      <c r="L103" s="37">
        <v>1.6596041615546984E-2</v>
      </c>
      <c r="M103" s="37">
        <v>1.6875271061923051E-2</v>
      </c>
      <c r="N103" s="37">
        <v>1.6767604459732802E-2</v>
      </c>
      <c r="O103" s="37">
        <v>1.7114568183365583E-2</v>
      </c>
      <c r="P103" s="37">
        <v>1.6639583457556784E-2</v>
      </c>
      <c r="Q103" s="37">
        <v>1.6395071120575196E-2</v>
      </c>
      <c r="R103" s="37">
        <v>1.6778480913360705E-2</v>
      </c>
      <c r="S103" s="37">
        <v>1.0157211953791829</v>
      </c>
      <c r="T103" s="37">
        <v>1.0157211953791829</v>
      </c>
      <c r="U103" s="37">
        <v>1.0157211953791829</v>
      </c>
      <c r="V103" s="37">
        <v>1.8200264337648511E-2</v>
      </c>
      <c r="W103" s="37">
        <v>1.571745741599034E-2</v>
      </c>
      <c r="X103" s="37">
        <v>1.5766359434478325E-2</v>
      </c>
      <c r="Y103" s="37">
        <v>1.5777212237364245E-2</v>
      </c>
      <c r="Z103" s="37">
        <v>1.5679983733564117E-2</v>
      </c>
      <c r="AA103" s="37">
        <v>1.5863497806731661E-2</v>
      </c>
      <c r="AB103" s="37">
        <v>1.5842956497416984E-2</v>
      </c>
      <c r="AC103" s="37">
        <v>1.8533541299100953E-2</v>
      </c>
      <c r="AD103" s="37">
        <v>1.8537948889643212E-2</v>
      </c>
      <c r="AE103" s="37">
        <v>1.8525130086539048E-2</v>
      </c>
      <c r="AF103" s="37">
        <v>1.8603473750761209E-2</v>
      </c>
      <c r="AG103" s="37">
        <v>1.6955326622233303E-2</v>
      </c>
      <c r="AH103" s="37">
        <v>1.6998871657560283E-2</v>
      </c>
      <c r="AI103" s="37">
        <v>1.7077117473795436E-2</v>
      </c>
      <c r="AJ103" s="37">
        <v>1.6990539889399692E-2</v>
      </c>
      <c r="AK103" s="37">
        <v>1.7153950870094525E-2</v>
      </c>
      <c r="AL103" s="37">
        <v>1.713565976335852E-2</v>
      </c>
      <c r="AM103" s="37">
        <v>1.337371634050636E-2</v>
      </c>
      <c r="AN103" s="37">
        <v>1.5675760154118784E-2</v>
      </c>
      <c r="AO103" s="37">
        <v>1.6057179212662566E-2</v>
      </c>
      <c r="AP103" s="37">
        <v>1.6126362383397846E-2</v>
      </c>
      <c r="AQ103" s="37">
        <v>1.6141716173245956E-2</v>
      </c>
      <c r="AR103" s="37">
        <v>1.6004164056038512E-2</v>
      </c>
      <c r="AS103" s="37">
        <v>1.6263786988768705E-2</v>
      </c>
      <c r="AT103" s="37">
        <v>1.6234726574630733E-2</v>
      </c>
      <c r="AU103" s="37">
        <v>1.5675760154118784E-2</v>
      </c>
      <c r="AV103" s="37">
        <v>1.5675760154118784E-2</v>
      </c>
      <c r="AW103" s="37">
        <v>1.5675760154118784E-2</v>
      </c>
      <c r="AX103" s="37">
        <v>1.5675760154118784E-2</v>
      </c>
      <c r="AY103" s="37">
        <v>1.5675760154118784E-2</v>
      </c>
      <c r="AZ103" s="37">
        <v>1.5675760154118784E-2</v>
      </c>
      <c r="BA103" s="37">
        <v>1.5675760154118784E-2</v>
      </c>
      <c r="BB103" s="37">
        <v>1.5675760154118784E-2</v>
      </c>
      <c r="BC103" s="37">
        <v>1.5675760154118784E-2</v>
      </c>
      <c r="BD103" s="37">
        <v>1.7689117087109959E-2</v>
      </c>
      <c r="BE103" s="37">
        <v>1.8541509437194639E-2</v>
      </c>
      <c r="BF103" s="37">
        <v>2.0616936480830204E-2</v>
      </c>
    </row>
    <row r="104" spans="1:58" x14ac:dyDescent="0.3">
      <c r="A104" s="37" t="s">
        <v>1628</v>
      </c>
      <c r="B104" s="39" t="s">
        <v>166</v>
      </c>
      <c r="C104" s="40" t="s">
        <v>432</v>
      </c>
      <c r="D104" s="36">
        <v>2.4932236821406033E-2</v>
      </c>
      <c r="E104" s="37">
        <v>2.4977811522590265E-2</v>
      </c>
      <c r="F104" s="37">
        <v>2.5164896446760059E-2</v>
      </c>
      <c r="G104" s="37">
        <v>2.5016539858395876E-2</v>
      </c>
      <c r="H104" s="37">
        <v>2.522046807098291E-2</v>
      </c>
      <c r="I104" s="38">
        <v>2.4888893579364864E-2</v>
      </c>
      <c r="J104" s="36">
        <v>2.5175775132766282E-2</v>
      </c>
      <c r="K104" s="37">
        <v>2.5129097618847806E-2</v>
      </c>
      <c r="L104" s="37">
        <v>2.586776564859641E-2</v>
      </c>
      <c r="M104" s="37">
        <v>2.8293876567087817E-2</v>
      </c>
      <c r="N104" s="37">
        <v>2.6186424403033939E-2</v>
      </c>
      <c r="O104" s="37">
        <v>2.6882715256118954E-2</v>
      </c>
      <c r="P104" s="37">
        <v>2.5939419002998964E-2</v>
      </c>
      <c r="Q104" s="37">
        <v>2.537956491177348E-2</v>
      </c>
      <c r="R104" s="37">
        <v>2.6076986042790712E-2</v>
      </c>
      <c r="S104" s="37">
        <v>2.4754198002460794E-2</v>
      </c>
      <c r="T104" s="37">
        <v>2.4807722080409076E-2</v>
      </c>
      <c r="U104" s="37">
        <v>2.4784850917732543E-2</v>
      </c>
      <c r="V104" s="37">
        <v>2.8461271756131574E-2</v>
      </c>
      <c r="W104" s="37">
        <v>2.3917193124941324E-2</v>
      </c>
      <c r="X104" s="37">
        <v>2.399964890879188E-2</v>
      </c>
      <c r="Y104" s="37">
        <v>2.4202816378458229E-2</v>
      </c>
      <c r="Z104" s="37">
        <v>2.4035855273399031E-2</v>
      </c>
      <c r="AA104" s="37">
        <v>2.4292191676571949E-2</v>
      </c>
      <c r="AB104" s="37">
        <v>2.3900832169389596E-2</v>
      </c>
      <c r="AC104" s="37">
        <v>2.9200207536562984E-2</v>
      </c>
      <c r="AD104" s="37">
        <v>2.9230538122231777E-2</v>
      </c>
      <c r="AE104" s="37">
        <v>2.9216292344738874E-2</v>
      </c>
      <c r="AF104" s="37">
        <v>2.9049033663108174E-2</v>
      </c>
      <c r="AG104" s="37">
        <v>2.6115985730038063E-2</v>
      </c>
      <c r="AH104" s="37">
        <v>2.6189408875578944E-2</v>
      </c>
      <c r="AI104" s="37">
        <v>2.6482944434039774E-2</v>
      </c>
      <c r="AJ104" s="37">
        <v>2.6334273122653708E-2</v>
      </c>
      <c r="AK104" s="37">
        <v>2.6562529094020168E-2</v>
      </c>
      <c r="AL104" s="37">
        <v>2.6214041156451869E-2</v>
      </c>
      <c r="AM104" s="37">
        <v>2.2667011469931452E-2</v>
      </c>
      <c r="AN104" s="37">
        <v>2.5368796409860825E-2</v>
      </c>
      <c r="AO104" s="37">
        <v>2.4384155226511762E-2</v>
      </c>
      <c r="AP104" s="37">
        <v>2.4500807928151184E-2</v>
      </c>
      <c r="AQ104" s="37">
        <v>2.4788235117792351E-2</v>
      </c>
      <c r="AR104" s="37">
        <v>2.4552030171767481E-2</v>
      </c>
      <c r="AS104" s="37">
        <v>2.4914677066409201E-2</v>
      </c>
      <c r="AT104" s="37">
        <v>2.4361008885801807E-2</v>
      </c>
      <c r="AU104" s="37">
        <v>2.5095667114642652E-2</v>
      </c>
      <c r="AV104" s="37">
        <v>2.5211477064525749E-2</v>
      </c>
      <c r="AW104" s="37">
        <v>2.4919121404283165E-2</v>
      </c>
      <c r="AX104" s="37">
        <v>2.4813332345379656E-2</v>
      </c>
      <c r="AY104" s="37">
        <v>2.4771562370997001E-2</v>
      </c>
      <c r="AZ104" s="37">
        <v>2.4889288610918364E-2</v>
      </c>
      <c r="BA104" s="37">
        <v>2.4862115823497573E-2</v>
      </c>
      <c r="BB104" s="37">
        <v>2.4831415979764463E-2</v>
      </c>
      <c r="BC104" s="37">
        <v>2.4974095804170642E-2</v>
      </c>
      <c r="BD104" s="37">
        <v>2.7949692161343281E-2</v>
      </c>
      <c r="BE104" s="37">
        <v>2.941308640602891E-2</v>
      </c>
      <c r="BF104" s="37">
        <v>3.3527419493201177E-2</v>
      </c>
    </row>
    <row r="105" spans="1:58" x14ac:dyDescent="0.3">
      <c r="A105" s="37" t="s">
        <v>1628</v>
      </c>
      <c r="B105" s="39" t="s">
        <v>167</v>
      </c>
      <c r="C105" s="40" t="s">
        <v>432</v>
      </c>
      <c r="D105" s="36">
        <v>6.1156558358768952E-5</v>
      </c>
      <c r="E105" s="37">
        <v>6.7139938291229336E-5</v>
      </c>
      <c r="F105" s="37">
        <v>7.4327429684810297E-5</v>
      </c>
      <c r="G105" s="37">
        <v>6.1202592480261387E-5</v>
      </c>
      <c r="H105" s="37">
        <v>8.7057645987030364E-5</v>
      </c>
      <c r="I105" s="38">
        <v>5.736761455730415E-5</v>
      </c>
      <c r="J105" s="36">
        <v>5.1247779066449233E-4</v>
      </c>
      <c r="K105" s="37">
        <v>4.2702290867747527E-4</v>
      </c>
      <c r="L105" s="37">
        <v>1.4375217840315697E-4</v>
      </c>
      <c r="M105" s="37">
        <v>3.7792876317848062E-4</v>
      </c>
      <c r="N105" s="37">
        <v>1.6437411038965595E-4</v>
      </c>
      <c r="O105" s="37">
        <v>2.2420680954206336E-4</v>
      </c>
      <c r="P105" s="37">
        <v>1.5219815171470819E-4</v>
      </c>
      <c r="Q105" s="37">
        <v>1.1710960918396524E-4</v>
      </c>
      <c r="R105" s="37">
        <v>1.7422156319411123E-4</v>
      </c>
      <c r="S105" s="37">
        <v>9.8907549889767714E-4</v>
      </c>
      <c r="T105" s="37">
        <v>7.4939867445554314E-4</v>
      </c>
      <c r="U105" s="37">
        <v>9.9024726123113664E-4</v>
      </c>
      <c r="V105" s="37">
        <v>3.3486883685681507E-4</v>
      </c>
      <c r="W105" s="37">
        <v>-9.0870261242910241E-5</v>
      </c>
      <c r="X105" s="37">
        <v>-8.0473402984838235E-5</v>
      </c>
      <c r="Y105" s="37">
        <v>-7.593240276724076E-5</v>
      </c>
      <c r="Z105" s="37">
        <v>-9.0960722520829648E-5</v>
      </c>
      <c r="AA105" s="37">
        <v>-5.7418043066470588E-5</v>
      </c>
      <c r="AB105" s="37">
        <v>-9.1485511805556509E-5</v>
      </c>
      <c r="AC105" s="37">
        <v>3.4734745939996785E-4</v>
      </c>
      <c r="AD105" s="37">
        <v>3.553040965457868E-4</v>
      </c>
      <c r="AE105" s="37">
        <v>3.5523376132222124E-4</v>
      </c>
      <c r="AF105" s="37">
        <v>2.7633909124908285E-4</v>
      </c>
      <c r="AG105" s="37">
        <v>1.0041559539485993E-4</v>
      </c>
      <c r="AH105" s="37">
        <v>1.0967352736035911E-4</v>
      </c>
      <c r="AI105" s="37">
        <v>1.2026151660723542E-4</v>
      </c>
      <c r="AJ105" s="37">
        <v>1.0687947768923122E-4</v>
      </c>
      <c r="AK105" s="37">
        <v>1.3674771640335488E-4</v>
      </c>
      <c r="AL105" s="37">
        <v>1.0641217657060221E-4</v>
      </c>
      <c r="AM105" s="37">
        <v>-4.9116900284305861E-5</v>
      </c>
      <c r="AN105" s="37">
        <v>5.9442736044905571E-4</v>
      </c>
      <c r="AO105" s="37">
        <v>-3.3788161357079054E-5</v>
      </c>
      <c r="AP105" s="37">
        <v>-1.9079410221265842E-5</v>
      </c>
      <c r="AQ105" s="37">
        <v>-1.2655119300837291E-5</v>
      </c>
      <c r="AR105" s="37">
        <v>-3.3916139674308806E-5</v>
      </c>
      <c r="AS105" s="37">
        <v>1.3537707658800151E-5</v>
      </c>
      <c r="AT105" s="37">
        <v>-3.4658575013541772E-5</v>
      </c>
      <c r="AU105" s="37">
        <v>8.4297852572960523E-4</v>
      </c>
      <c r="AV105" s="37">
        <v>1.63700083496704E-3</v>
      </c>
      <c r="AW105" s="37">
        <v>6.220851505373612E-4</v>
      </c>
      <c r="AX105" s="37">
        <v>4.5470915126219811E-4</v>
      </c>
      <c r="AY105" s="37">
        <v>7.6066866747711952E-4</v>
      </c>
      <c r="AZ105" s="37">
        <v>1.7783947427176627E-3</v>
      </c>
      <c r="BA105" s="37">
        <v>1.1312391357440794E-3</v>
      </c>
      <c r="BB105" s="37">
        <v>1.0939490440341738E-3</v>
      </c>
      <c r="BC105" s="37">
        <v>5.7997318194091753E-4</v>
      </c>
      <c r="BD105" s="37">
        <v>3.8799328274049898E-4</v>
      </c>
      <c r="BE105" s="37">
        <v>5.2271052744097925E-4</v>
      </c>
      <c r="BF105" s="37">
        <v>7.9245277807063865E-4</v>
      </c>
    </row>
    <row r="106" spans="1:58" x14ac:dyDescent="0.3">
      <c r="A106" s="37" t="s">
        <v>1628</v>
      </c>
      <c r="B106" s="39" t="s">
        <v>168</v>
      </c>
      <c r="C106" s="40" t="s">
        <v>432</v>
      </c>
      <c r="D106" s="36">
        <v>4.8829583422885276E-5</v>
      </c>
      <c r="E106" s="37">
        <v>5.4093901143886357E-5</v>
      </c>
      <c r="F106" s="37">
        <v>6.1346608092669716E-5</v>
      </c>
      <c r="G106" s="37">
        <v>5.0770432733488132E-5</v>
      </c>
      <c r="H106" s="37">
        <v>7.1478633806661474E-5</v>
      </c>
      <c r="I106" s="38">
        <v>4.3365207038329334E-5</v>
      </c>
      <c r="J106" s="36">
        <v>7.5718692588183764E-4</v>
      </c>
      <c r="K106" s="37">
        <v>5.1860480486698131E-4</v>
      </c>
      <c r="L106" s="37">
        <v>1.261481140106656E-4</v>
      </c>
      <c r="M106" s="37">
        <v>3.3707742052831906E-4</v>
      </c>
      <c r="N106" s="37">
        <v>1.4416413769958457E-4</v>
      </c>
      <c r="O106" s="37">
        <v>1.95502704278159E-4</v>
      </c>
      <c r="P106" s="37">
        <v>1.3372696439901274E-4</v>
      </c>
      <c r="Q106" s="37">
        <v>1.0226266146039671E-4</v>
      </c>
      <c r="R106" s="37">
        <v>1.512886986584167E-4</v>
      </c>
      <c r="S106" s="37">
        <v>1.4508234688624616E-3</v>
      </c>
      <c r="T106" s="37">
        <v>2.8227096870655452E-3</v>
      </c>
      <c r="U106" s="37">
        <v>1.2562450936654096E-3</v>
      </c>
      <c r="V106" s="37">
        <v>2.9169527330106013E-4</v>
      </c>
      <c r="W106" s="37">
        <v>-8.3317769501872882E-5</v>
      </c>
      <c r="X106" s="37">
        <v>-7.436027866922043E-5</v>
      </c>
      <c r="Y106" s="37">
        <v>-6.8589868526809232E-5</v>
      </c>
      <c r="Z106" s="37">
        <v>-8.0668998870215932E-5</v>
      </c>
      <c r="AA106" s="37">
        <v>-5.3833967200078902E-5</v>
      </c>
      <c r="AB106" s="37">
        <v>-8.7956668428288234E-5</v>
      </c>
      <c r="AC106" s="37">
        <v>3.0227724529063323E-4</v>
      </c>
      <c r="AD106" s="37">
        <v>3.0921328467616103E-4</v>
      </c>
      <c r="AE106" s="37">
        <v>3.091188327778419E-4</v>
      </c>
      <c r="AF106" s="37">
        <v>2.406604545515116E-4</v>
      </c>
      <c r="AG106" s="37">
        <v>8.5493374589957417E-5</v>
      </c>
      <c r="AH106" s="37">
        <v>9.3469614974488457E-5</v>
      </c>
      <c r="AI106" s="37">
        <v>1.0412310505683051E-4</v>
      </c>
      <c r="AJ106" s="37">
        <v>9.3367185898768115E-5</v>
      </c>
      <c r="AK106" s="37">
        <v>1.172625676888642E-4</v>
      </c>
      <c r="AL106" s="37">
        <v>8.6877845823049514E-5</v>
      </c>
      <c r="AM106" s="37">
        <v>-5.5452743390275095E-5</v>
      </c>
      <c r="AN106" s="37">
        <v>1.0458828225789699E-3</v>
      </c>
      <c r="AO106" s="37">
        <v>-3.325775757893275E-5</v>
      </c>
      <c r="AP106" s="37">
        <v>-2.0585323254215354E-5</v>
      </c>
      <c r="AQ106" s="37">
        <v>-1.2421748775319055E-5</v>
      </c>
      <c r="AR106" s="37">
        <v>-2.9510461321753842E-5</v>
      </c>
      <c r="AS106" s="37">
        <v>8.4538729761830412E-6</v>
      </c>
      <c r="AT106" s="37">
        <v>-3.9820548775961869E-5</v>
      </c>
      <c r="AU106" s="37">
        <v>1.3843282170592172E-3</v>
      </c>
      <c r="AV106" s="37">
        <v>2.0054784403276803E-3</v>
      </c>
      <c r="AW106" s="37">
        <v>1.0024327961072562E-3</v>
      </c>
      <c r="AX106" s="37">
        <v>6.8783352361904103E-4</v>
      </c>
      <c r="AY106" s="37">
        <v>8.3159520906614121E-4</v>
      </c>
      <c r="AZ106" s="37">
        <v>2.5931954107417578E-3</v>
      </c>
      <c r="BA106" s="37">
        <v>1.6376494595240802E-3</v>
      </c>
      <c r="BB106" s="37">
        <v>1.5719224573653512E-3</v>
      </c>
      <c r="BC106" s="37">
        <v>1.0303226347005453E-3</v>
      </c>
      <c r="BD106" s="37">
        <v>3.3885478381474404E-4</v>
      </c>
      <c r="BE106" s="37">
        <v>4.5637491059216607E-4</v>
      </c>
      <c r="BF106" s="37">
        <v>6.4261086426747134E-4</v>
      </c>
    </row>
    <row r="107" spans="1:58" x14ac:dyDescent="0.3">
      <c r="A107" s="37" t="s">
        <v>1628</v>
      </c>
      <c r="B107" s="39" t="s">
        <v>169</v>
      </c>
      <c r="C107" s="40" t="s">
        <v>432</v>
      </c>
      <c r="D107" s="36">
        <v>1.5465250094021633E-4</v>
      </c>
      <c r="E107" s="37">
        <v>1.757245236477923E-4</v>
      </c>
      <c r="F107" s="37">
        <v>2.9905245210547844E-4</v>
      </c>
      <c r="G107" s="37">
        <v>2.2814326027947911E-4</v>
      </c>
      <c r="H107" s="37">
        <v>3.2511265283613673E-4</v>
      </c>
      <c r="I107" s="38">
        <v>1.010095190047985E-4</v>
      </c>
      <c r="J107" s="36">
        <v>5.9039223251327555E-5</v>
      </c>
      <c r="K107" s="37">
        <v>4.4215502045064263E-5</v>
      </c>
      <c r="L107" s="37">
        <v>5.1408269676643027E-4</v>
      </c>
      <c r="M107" s="37">
        <v>2.3428830625356134E-3</v>
      </c>
      <c r="N107" s="37">
        <v>7.0594873343087601E-4</v>
      </c>
      <c r="O107" s="37">
        <v>8.7349955422827354E-4</v>
      </c>
      <c r="P107" s="37">
        <v>5.4529176961201349E-4</v>
      </c>
      <c r="Q107" s="37">
        <v>4.3635738355458502E-4</v>
      </c>
      <c r="R107" s="37">
        <v>7.1554744099566704E-4</v>
      </c>
      <c r="S107" s="37">
        <v>1.2410037061339141E-4</v>
      </c>
      <c r="T107" s="37">
        <v>2.5641228578602492E-4</v>
      </c>
      <c r="U107" s="37">
        <v>1.0516508220871225E-4</v>
      </c>
      <c r="V107" s="37">
        <v>1.9404932647301793E-3</v>
      </c>
      <c r="W107" s="37">
        <v>-1.0190311488994285E-3</v>
      </c>
      <c r="X107" s="37">
        <v>-9.8315316147363683E-4</v>
      </c>
      <c r="Y107" s="37">
        <v>-8.3353245962483917E-4</v>
      </c>
      <c r="Z107" s="37">
        <v>-9.1473830916816883E-4</v>
      </c>
      <c r="AA107" s="37">
        <v>-7.919214962903143E-4</v>
      </c>
      <c r="AB107" s="37">
        <v>-1.0885573872697293E-3</v>
      </c>
      <c r="AC107" s="37">
        <v>2.0053579195715302E-3</v>
      </c>
      <c r="AD107" s="37">
        <v>2.0573252505468715E-3</v>
      </c>
      <c r="AE107" s="37">
        <v>2.0566152823927827E-3</v>
      </c>
      <c r="AF107" s="37">
        <v>1.5437221685109144E-3</v>
      </c>
      <c r="AG107" s="37">
        <v>-1.9749841855521842E-4</v>
      </c>
      <c r="AH107" s="37">
        <v>-1.6555069373275742E-4</v>
      </c>
      <c r="AI107" s="37">
        <v>1.9264778573129643E-5</v>
      </c>
      <c r="AJ107" s="37">
        <v>-5.3045357009320806E-5</v>
      </c>
      <c r="AK107" s="37">
        <v>5.6317459104848928E-5</v>
      </c>
      <c r="AL107" s="37">
        <v>-2.0782338316165994E-4</v>
      </c>
      <c r="AM107" s="37">
        <v>-1.2416774681209991E-4</v>
      </c>
      <c r="AN107" s="37">
        <v>9.8745274339294653E-5</v>
      </c>
      <c r="AO107" s="37">
        <v>-8.5760932069079332E-4</v>
      </c>
      <c r="AP107" s="37">
        <v>-8.0685164224595274E-4</v>
      </c>
      <c r="AQ107" s="37">
        <v>-5.9517869128011196E-4</v>
      </c>
      <c r="AR107" s="37">
        <v>-7.1006307289393073E-4</v>
      </c>
      <c r="AS107" s="37">
        <v>-5.3631039770365681E-4</v>
      </c>
      <c r="AT107" s="37">
        <v>-9.5597020166212059E-4</v>
      </c>
      <c r="AU107" s="37">
        <v>1.4532691015339036E-4</v>
      </c>
      <c r="AV107" s="37">
        <v>1.8371809190400684E-4</v>
      </c>
      <c r="AW107" s="37">
        <v>9.0837307916662096E-5</v>
      </c>
      <c r="AX107" s="37">
        <v>9.325804359627452E-5</v>
      </c>
      <c r="AY107" s="37">
        <v>5.8097950604724707E-5</v>
      </c>
      <c r="AZ107" s="37">
        <v>1.6703604220407128E-4</v>
      </c>
      <c r="BA107" s="37">
        <v>9.4352573946955725E-5</v>
      </c>
      <c r="BB107" s="37">
        <v>8.9042692158372615E-5</v>
      </c>
      <c r="BC107" s="37">
        <v>9.8025130118310086E-5</v>
      </c>
      <c r="BD107" s="37">
        <v>2.3234247467463711E-3</v>
      </c>
      <c r="BE107" s="37">
        <v>3.2144084223766117E-3</v>
      </c>
      <c r="BF107" s="37">
        <v>4.565438703940561E-3</v>
      </c>
    </row>
    <row r="108" spans="1:58" x14ac:dyDescent="0.3">
      <c r="A108" s="37" t="s">
        <v>1628</v>
      </c>
      <c r="B108" s="39" t="s">
        <v>170</v>
      </c>
      <c r="C108" s="40" t="s">
        <v>432</v>
      </c>
      <c r="D108" s="36">
        <v>8.5837115091135784E-6</v>
      </c>
      <c r="E108" s="37">
        <v>9.2035965852111366E-6</v>
      </c>
      <c r="F108" s="37">
        <v>9.7754054930244496E-6</v>
      </c>
      <c r="G108" s="37">
        <v>8.5576667807593629E-6</v>
      </c>
      <c r="H108" s="37">
        <v>1.0830295076131264E-5</v>
      </c>
      <c r="I108" s="38">
        <v>7.9180081005342537E-6</v>
      </c>
      <c r="J108" s="36">
        <v>5.0153604041561716E-5</v>
      </c>
      <c r="K108" s="37">
        <v>3.2104373521421166E-5</v>
      </c>
      <c r="L108" s="37">
        <v>1.2794997504763549E-5</v>
      </c>
      <c r="M108" s="37">
        <v>4.4229879733883885E-5</v>
      </c>
      <c r="N108" s="37">
        <v>1.5729554431852979E-5</v>
      </c>
      <c r="O108" s="37">
        <v>2.2864167772429114E-5</v>
      </c>
      <c r="P108" s="37">
        <v>1.5429472252140704E-5</v>
      </c>
      <c r="Q108" s="37">
        <v>9.9010181019176315E-6</v>
      </c>
      <c r="R108" s="37">
        <v>1.5290478014111632E-5</v>
      </c>
      <c r="S108" s="37">
        <v>1.1066164093318374E-4</v>
      </c>
      <c r="T108" s="37">
        <v>2.390721386141493E-4</v>
      </c>
      <c r="U108" s="37">
        <v>9.2085921090888522E-5</v>
      </c>
      <c r="V108" s="37">
        <v>2.3669093947485265E-5</v>
      </c>
      <c r="W108" s="37">
        <v>4.617005646423261E-6</v>
      </c>
      <c r="X108" s="37">
        <v>5.6746597610290491E-6</v>
      </c>
      <c r="Y108" s="37">
        <v>5.9672523426314425E-6</v>
      </c>
      <c r="Z108" s="37">
        <v>4.5656784915801483E-6</v>
      </c>
      <c r="AA108" s="37">
        <v>7.5102476169325727E-6</v>
      </c>
      <c r="AB108" s="37">
        <v>4.0452656694219612E-6</v>
      </c>
      <c r="AC108" s="37">
        <v>2.4896679884284963E-5</v>
      </c>
      <c r="AD108" s="37">
        <v>2.5263654380397697E-5</v>
      </c>
      <c r="AE108" s="37">
        <v>2.5280840085753659E-5</v>
      </c>
      <c r="AF108" s="37">
        <v>2.1446971638476875E-5</v>
      </c>
      <c r="AG108" s="37">
        <v>1.4105610616332399E-5</v>
      </c>
      <c r="AH108" s="37">
        <v>1.5047403761242158E-5</v>
      </c>
      <c r="AI108" s="37">
        <v>1.5762450011944954E-5</v>
      </c>
      <c r="AJ108" s="37">
        <v>1.451441189931787E-5</v>
      </c>
      <c r="AK108" s="37">
        <v>1.7136417504622457E-5</v>
      </c>
      <c r="AL108" s="37">
        <v>1.4051007822632173E-5</v>
      </c>
      <c r="AM108" s="37">
        <v>-5.0355554778101145E-4</v>
      </c>
      <c r="AN108" s="37">
        <v>8.9579432053489357E-5</v>
      </c>
      <c r="AO108" s="37">
        <v>8.4941073886913744E-6</v>
      </c>
      <c r="AP108" s="37">
        <v>9.9904027861425478E-6</v>
      </c>
      <c r="AQ108" s="37">
        <v>1.0404342397527881E-5</v>
      </c>
      <c r="AR108" s="37">
        <v>8.4214933039018094E-6</v>
      </c>
      <c r="AS108" s="37">
        <v>1.258726467366939E-5</v>
      </c>
      <c r="AT108" s="37">
        <v>7.6852494791802394E-6</v>
      </c>
      <c r="AU108" s="37">
        <v>1.3254034344118142E-4</v>
      </c>
      <c r="AV108" s="37">
        <v>1.4946527718831182E-4</v>
      </c>
      <c r="AW108" s="37">
        <v>8.2414128437222894E-5</v>
      </c>
      <c r="AX108" s="37">
        <v>5.7608510570027847E-5</v>
      </c>
      <c r="AY108" s="37">
        <v>4.5932313164227115E-5</v>
      </c>
      <c r="AZ108" s="37">
        <v>1.488580298343767E-4</v>
      </c>
      <c r="BA108" s="37">
        <v>8.2052211797795793E-5</v>
      </c>
      <c r="BB108" s="37">
        <v>7.8594333021796202E-5</v>
      </c>
      <c r="BC108" s="37">
        <v>8.7305360679577329E-5</v>
      </c>
      <c r="BD108" s="37">
        <v>2.2327232947057506E-5</v>
      </c>
      <c r="BE108" s="37">
        <v>2.8523618783654766E-5</v>
      </c>
      <c r="BF108" s="37">
        <v>8.0956172788205038E-5</v>
      </c>
    </row>
    <row r="109" spans="1:58" x14ac:dyDescent="0.3">
      <c r="A109" s="37" t="s">
        <v>1628</v>
      </c>
      <c r="B109" s="39" t="s">
        <v>171</v>
      </c>
      <c r="C109" s="40" t="s">
        <v>432</v>
      </c>
      <c r="D109" s="36">
        <v>1.2338411483912974E-5</v>
      </c>
      <c r="E109" s="37">
        <v>1.3432905969356516E-5</v>
      </c>
      <c r="F109" s="37">
        <v>1.7731628528175036E-5</v>
      </c>
      <c r="G109" s="37">
        <v>1.4660176081441412E-5</v>
      </c>
      <c r="H109" s="37">
        <v>1.9255520605565105E-5</v>
      </c>
      <c r="I109" s="38">
        <v>1.026649031953871E-5</v>
      </c>
      <c r="J109" s="36">
        <v>2.2548862369584202E-4</v>
      </c>
      <c r="K109" s="37">
        <v>9.4330457712155693E-5</v>
      </c>
      <c r="L109" s="37">
        <v>3.3333510353269784E-5</v>
      </c>
      <c r="M109" s="37">
        <v>1.1034843252760227E-4</v>
      </c>
      <c r="N109" s="37">
        <v>4.0049458842167307E-5</v>
      </c>
      <c r="O109" s="37">
        <v>5.2953436834074413E-5</v>
      </c>
      <c r="P109" s="37">
        <v>3.6039505512766607E-5</v>
      </c>
      <c r="Q109" s="37">
        <v>2.6111045528799014E-5</v>
      </c>
      <c r="R109" s="37">
        <v>3.8773077677230821E-5</v>
      </c>
      <c r="S109" s="37">
        <v>6.1462842860741669E-4</v>
      </c>
      <c r="T109" s="37">
        <v>1.5454658645768493E-3</v>
      </c>
      <c r="U109" s="37">
        <v>3.6179821518716467E-4</v>
      </c>
      <c r="V109" s="37">
        <v>9.460659813408307E-5</v>
      </c>
      <c r="W109" s="37">
        <v>-4.3212125334373433E-5</v>
      </c>
      <c r="X109" s="37">
        <v>-4.1338032644399685E-5</v>
      </c>
      <c r="Y109" s="37">
        <v>-3.6424526398018452E-5</v>
      </c>
      <c r="Z109" s="37">
        <v>-3.9927978809602312E-5</v>
      </c>
      <c r="AA109" s="37">
        <v>-3.4077675564025584E-5</v>
      </c>
      <c r="AB109" s="37">
        <v>-4.5638256395323625E-5</v>
      </c>
      <c r="AC109" s="37">
        <v>1.0146125528170889E-4</v>
      </c>
      <c r="AD109" s="37">
        <v>1.0397091828458603E-4</v>
      </c>
      <c r="AE109" s="37">
        <v>1.0387103692667284E-4</v>
      </c>
      <c r="AF109" s="37">
        <v>7.9728273865972292E-5</v>
      </c>
      <c r="AG109" s="37">
        <v>3.3927200716891488E-5</v>
      </c>
      <c r="AH109" s="37">
        <v>3.5595995480669834E-5</v>
      </c>
      <c r="AI109" s="37">
        <v>4.1638538533418065E-5</v>
      </c>
      <c r="AJ109" s="37">
        <v>3.851887264342429E-5</v>
      </c>
      <c r="AK109" s="37">
        <v>4.3728303038711026E-5</v>
      </c>
      <c r="AL109" s="37">
        <v>3.3434128764024127E-5</v>
      </c>
      <c r="AM109" s="37">
        <v>-1.0606992906515549E-3</v>
      </c>
      <c r="AN109" s="37">
        <v>3.3269245552414948E-4</v>
      </c>
      <c r="AO109" s="37">
        <v>-3.1389399985900582E-5</v>
      </c>
      <c r="AP109" s="37">
        <v>-2.8738064140202293E-5</v>
      </c>
      <c r="AQ109" s="37">
        <v>-2.1786777627646982E-5</v>
      </c>
      <c r="AR109" s="37">
        <v>-2.674321815602902E-5</v>
      </c>
      <c r="AS109" s="37">
        <v>-1.8466616477688395E-5</v>
      </c>
      <c r="AT109" s="37">
        <v>-3.4821721280718384E-5</v>
      </c>
      <c r="AU109" s="37">
        <v>3.9460743759807485E-4</v>
      </c>
      <c r="AV109" s="37">
        <v>5.341958625617525E-4</v>
      </c>
      <c r="AW109" s="37">
        <v>2.7277105609345312E-4</v>
      </c>
      <c r="AX109" s="37">
        <v>3.0448653466995271E-4</v>
      </c>
      <c r="AY109" s="37">
        <v>1.0686456131431976E-4</v>
      </c>
      <c r="AZ109" s="37">
        <v>9.7193206076544769E-4</v>
      </c>
      <c r="BA109" s="37">
        <v>4.1323561120313896E-4</v>
      </c>
      <c r="BB109" s="37">
        <v>3.9943667017787812E-4</v>
      </c>
      <c r="BC109" s="37">
        <v>3.4617413302920379E-4</v>
      </c>
      <c r="BD109" s="37">
        <v>1.1751698628137107E-4</v>
      </c>
      <c r="BE109" s="37">
        <v>1.6001972586387634E-4</v>
      </c>
      <c r="BF109" s="37">
        <v>2.1957977904202232E-4</v>
      </c>
    </row>
    <row r="110" spans="1:58" x14ac:dyDescent="0.3">
      <c r="A110" s="37" t="s">
        <v>1608</v>
      </c>
      <c r="B110" s="39"/>
      <c r="C110" s="40"/>
      <c r="D110" s="36"/>
      <c r="E110" s="37"/>
      <c r="F110" s="37"/>
      <c r="G110" s="37"/>
      <c r="H110" s="37"/>
      <c r="I110" s="38"/>
      <c r="J110" s="36"/>
      <c r="K110" s="37"/>
      <c r="L110" s="37">
        <v>-0.22462912073164257</v>
      </c>
      <c r="M110" s="37"/>
      <c r="N110" s="37"/>
      <c r="O110" s="37"/>
      <c r="P110" s="37"/>
      <c r="Q110" s="37"/>
      <c r="R110" s="37"/>
      <c r="S110" s="37"/>
      <c r="T110" s="37"/>
      <c r="U110" s="37"/>
      <c r="V110" s="37"/>
      <c r="W110" s="37"/>
      <c r="X110" s="37"/>
      <c r="Y110" s="37"/>
      <c r="Z110" s="37"/>
      <c r="AA110" s="37"/>
      <c r="AB110" s="37"/>
      <c r="AC110" s="37">
        <v>-9.4509852255337423E-2</v>
      </c>
      <c r="AD110" s="37"/>
      <c r="AE110" s="37">
        <v>-9.4066295457773633E-2</v>
      </c>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row>
  </sheetData>
  <phoneticPr fontId="13" type="noConversion"/>
  <pageMargins left="0.7" right="0.7" top="0.75" bottom="0.75" header="0.3" footer="0.3"/>
  <pageSetup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892D0-49EA-42E2-ACA9-19598113B83D}">
  <sheetPr codeName="Options"/>
  <dimension ref="A1:X27"/>
  <sheetViews>
    <sheetView workbookViewId="0">
      <selection activeCell="H23" sqref="H23"/>
    </sheetView>
  </sheetViews>
  <sheetFormatPr defaultRowHeight="14.4" x14ac:dyDescent="0.3"/>
  <cols>
    <col min="1" max="1" width="11.44140625" bestFit="1" customWidth="1"/>
    <col min="2" max="2" width="19" bestFit="1" customWidth="1"/>
    <col min="3" max="4" width="11.44140625" bestFit="1" customWidth="1"/>
    <col min="5" max="5" width="19" bestFit="1" customWidth="1"/>
    <col min="6" max="6" width="14.6640625" bestFit="1" customWidth="1"/>
    <col min="7" max="7" width="17.88671875" customWidth="1"/>
    <col min="9" max="9" width="21.6640625" customWidth="1"/>
    <col min="14" max="14" width="12.6640625" bestFit="1" customWidth="1"/>
    <col min="15" max="15" width="6.88671875" bestFit="1" customWidth="1"/>
    <col min="16" max="16" width="51.6640625" customWidth="1"/>
    <col min="17" max="25" width="21.44140625" customWidth="1"/>
  </cols>
  <sheetData>
    <row r="1" spans="1:24" x14ac:dyDescent="0.3">
      <c r="A1" s="229" t="s">
        <v>17</v>
      </c>
      <c r="B1" t="s">
        <v>1347</v>
      </c>
      <c r="D1" s="229" t="s">
        <v>17</v>
      </c>
      <c r="E1" t="s">
        <v>1347</v>
      </c>
      <c r="H1" t="s">
        <v>126</v>
      </c>
      <c r="J1" s="12" t="s">
        <v>193</v>
      </c>
      <c r="L1" t="str" cm="1">
        <f t="array" ref="L1">_xlfn.XLOOKUP(SelectedFeedstock&amp;SelectedConversion&amp;SelectedDataSource&amp;SelectedDataSet&amp;SelectedTechnology,Pathways_Table[Feedstock]&amp;Pathways_Table[Conversion]&amp;Pathways_Table[Data Source]&amp;Pathways_Table[Data Set]&amp;Pathways_Table[Technology],Pathways_Table[Pathway Name],"")</f>
        <v>Canola Oil HEFA</v>
      </c>
      <c r="P1" t="s">
        <v>1465</v>
      </c>
      <c r="Q1" t="s">
        <v>1466</v>
      </c>
      <c r="R1" t="s">
        <v>1459</v>
      </c>
      <c r="S1" t="s">
        <v>1460</v>
      </c>
      <c r="T1" t="s">
        <v>1461</v>
      </c>
      <c r="U1" t="s">
        <v>1462</v>
      </c>
      <c r="V1" t="s">
        <v>1463</v>
      </c>
      <c r="W1" t="s">
        <v>1464</v>
      </c>
      <c r="X1" t="s">
        <v>1467</v>
      </c>
    </row>
    <row r="2" spans="1:24" x14ac:dyDescent="0.3">
      <c r="A2" s="229" t="s">
        <v>18</v>
      </c>
      <c r="B2" t="s">
        <v>30</v>
      </c>
      <c r="D2" s="229" t="s">
        <v>18</v>
      </c>
      <c r="E2" t="s">
        <v>30</v>
      </c>
      <c r="G2" t="s">
        <v>1442</v>
      </c>
      <c r="H2" t="b">
        <v>1</v>
      </c>
      <c r="J2" t="s">
        <v>450</v>
      </c>
      <c r="L2" t="b">
        <v>1</v>
      </c>
      <c r="P2" t="s">
        <v>2161</v>
      </c>
      <c r="Q2">
        <v>1</v>
      </c>
      <c r="T2" t="s">
        <v>1714</v>
      </c>
      <c r="U2">
        <v>30</v>
      </c>
      <c r="V2">
        <v>0.08</v>
      </c>
      <c r="W2">
        <v>520</v>
      </c>
      <c r="X2" t="s">
        <v>2002</v>
      </c>
    </row>
    <row r="3" spans="1:24" x14ac:dyDescent="0.3">
      <c r="A3" s="229" t="s">
        <v>22</v>
      </c>
      <c r="B3" t="s">
        <v>29</v>
      </c>
      <c r="D3" s="229" t="s">
        <v>22</v>
      </c>
      <c r="E3" t="s">
        <v>29</v>
      </c>
      <c r="G3" t="s">
        <v>1445</v>
      </c>
      <c r="H3" t="b">
        <v>0</v>
      </c>
      <c r="J3" t="s">
        <v>1321</v>
      </c>
      <c r="L3" t="b">
        <v>0</v>
      </c>
      <c r="P3" t="s">
        <v>1753</v>
      </c>
      <c r="Q3">
        <v>2.5828858158630898E-3</v>
      </c>
      <c r="T3" t="s">
        <v>1716</v>
      </c>
      <c r="U3">
        <v>30</v>
      </c>
      <c r="V3">
        <v>0</v>
      </c>
      <c r="W3">
        <v>0</v>
      </c>
      <c r="X3" t="s">
        <v>2003</v>
      </c>
    </row>
    <row r="4" spans="1:24" x14ac:dyDescent="0.3">
      <c r="D4" s="229" t="s">
        <v>442</v>
      </c>
      <c r="E4" t="s">
        <v>29</v>
      </c>
      <c r="J4" s="12" t="s">
        <v>204</v>
      </c>
      <c r="L4" t="b">
        <v>1</v>
      </c>
      <c r="P4" t="s">
        <v>1754</v>
      </c>
      <c r="Q4">
        <v>0.38508401518155799</v>
      </c>
      <c r="T4" t="s">
        <v>1864</v>
      </c>
      <c r="U4">
        <v>0</v>
      </c>
      <c r="V4">
        <v>0.28999999999999998</v>
      </c>
      <c r="W4">
        <v>800</v>
      </c>
      <c r="X4" t="s">
        <v>2004</v>
      </c>
    </row>
    <row r="5" spans="1:24" x14ac:dyDescent="0.3">
      <c r="D5" s="229" t="s">
        <v>441</v>
      </c>
      <c r="E5" t="s">
        <v>31</v>
      </c>
      <c r="J5" t="s">
        <v>1622</v>
      </c>
      <c r="L5" t="b">
        <f>D27&lt;&gt;0</f>
        <v>0</v>
      </c>
      <c r="P5" t="s">
        <v>1755</v>
      </c>
      <c r="Q5">
        <v>0.205972657090676</v>
      </c>
      <c r="T5" t="s">
        <v>1866</v>
      </c>
      <c r="U5">
        <v>0</v>
      </c>
      <c r="V5">
        <v>0.63</v>
      </c>
      <c r="W5">
        <v>50</v>
      </c>
      <c r="X5" t="s">
        <v>2005</v>
      </c>
    </row>
    <row r="6" spans="1:24" x14ac:dyDescent="0.3">
      <c r="H6" t="s">
        <v>103</v>
      </c>
      <c r="P6" t="s">
        <v>1756</v>
      </c>
      <c r="Q6">
        <v>2.7040234782859701E-3</v>
      </c>
      <c r="T6" t="s">
        <v>1872</v>
      </c>
      <c r="U6">
        <v>443.75048093802201</v>
      </c>
      <c r="V6">
        <v>1</v>
      </c>
      <c r="W6">
        <v>150</v>
      </c>
      <c r="X6" t="s">
        <v>2014</v>
      </c>
    </row>
    <row r="7" spans="1:24" x14ac:dyDescent="0.3">
      <c r="H7" t="s">
        <v>104</v>
      </c>
      <c r="I7" t="s">
        <v>26</v>
      </c>
      <c r="J7" t="s">
        <v>1721</v>
      </c>
      <c r="K7" t="s">
        <v>1960</v>
      </c>
      <c r="L7" t="s">
        <v>1962</v>
      </c>
      <c r="M7" t="s">
        <v>3</v>
      </c>
      <c r="N7" t="s">
        <v>91</v>
      </c>
      <c r="P7" t="s">
        <v>1757</v>
      </c>
      <c r="Q7">
        <v>0.18881098710554001</v>
      </c>
      <c r="T7" t="s">
        <v>1708</v>
      </c>
      <c r="U7">
        <v>19.049267048549801</v>
      </c>
      <c r="V7">
        <v>0</v>
      </c>
      <c r="W7">
        <v>0</v>
      </c>
      <c r="X7" t="s">
        <v>2015</v>
      </c>
    </row>
    <row r="8" spans="1:24" x14ac:dyDescent="0.3">
      <c r="H8" t="s">
        <v>105</v>
      </c>
      <c r="I8" t="s">
        <v>97</v>
      </c>
      <c r="J8" t="s">
        <v>94</v>
      </c>
      <c r="K8" t="s">
        <v>1443</v>
      </c>
      <c r="L8" t="s">
        <v>1444</v>
      </c>
      <c r="M8" t="s">
        <v>1443</v>
      </c>
      <c r="N8" t="s">
        <v>1444</v>
      </c>
      <c r="O8" t="s">
        <v>91</v>
      </c>
      <c r="P8" t="s">
        <v>1758</v>
      </c>
      <c r="Q8">
        <v>6.7523807322926704E-2</v>
      </c>
      <c r="T8" t="s">
        <v>1709</v>
      </c>
      <c r="U8">
        <v>0</v>
      </c>
      <c r="V8">
        <v>0</v>
      </c>
      <c r="W8">
        <v>0</v>
      </c>
      <c r="X8" t="s">
        <v>2016</v>
      </c>
    </row>
    <row r="9" spans="1:24" x14ac:dyDescent="0.3">
      <c r="H9" t="s">
        <v>1450</v>
      </c>
      <c r="I9" t="s">
        <v>1447</v>
      </c>
      <c r="J9" t="s">
        <v>1721</v>
      </c>
      <c r="K9" t="s">
        <v>1961</v>
      </c>
      <c r="L9" t="s">
        <v>1446</v>
      </c>
      <c r="P9" t="s">
        <v>1759</v>
      </c>
      <c r="Q9">
        <v>3.8162816219673599E-3</v>
      </c>
      <c r="T9" t="s">
        <v>1710</v>
      </c>
      <c r="U9">
        <v>0</v>
      </c>
      <c r="V9">
        <v>1</v>
      </c>
      <c r="W9">
        <v>150</v>
      </c>
      <c r="X9" t="s">
        <v>2271</v>
      </c>
    </row>
    <row r="10" spans="1:24" x14ac:dyDescent="0.3">
      <c r="P10" t="s">
        <v>1760</v>
      </c>
      <c r="Q10">
        <v>0.106977587076147</v>
      </c>
      <c r="T10" t="s">
        <v>1954</v>
      </c>
      <c r="U10">
        <v>123.58926254473</v>
      </c>
      <c r="V10">
        <v>0</v>
      </c>
      <c r="W10">
        <v>0</v>
      </c>
      <c r="X10" t="s">
        <v>2272</v>
      </c>
    </row>
    <row r="11" spans="1:24" x14ac:dyDescent="0.3">
      <c r="A11" s="229" t="s">
        <v>172</v>
      </c>
      <c r="B11" t="s">
        <v>163</v>
      </c>
      <c r="J11" s="159" t="s">
        <v>1483</v>
      </c>
      <c r="P11" t="s">
        <v>1761</v>
      </c>
      <c r="Q11">
        <v>3.2796656801169499E-2</v>
      </c>
      <c r="T11" t="s">
        <v>1936</v>
      </c>
      <c r="U11">
        <v>0</v>
      </c>
      <c r="V11">
        <v>0</v>
      </c>
      <c r="W11">
        <v>0</v>
      </c>
      <c r="X11" t="s">
        <v>2273</v>
      </c>
    </row>
    <row r="12" spans="1:24" x14ac:dyDescent="0.3">
      <c r="J12" s="108">
        <v>2.0856263157871102</v>
      </c>
      <c r="P12" t="s">
        <v>1762</v>
      </c>
      <c r="Q12">
        <v>3.7310985058660599E-3</v>
      </c>
      <c r="T12" t="s">
        <v>1937</v>
      </c>
      <c r="U12">
        <v>6391.601018501</v>
      </c>
      <c r="W12">
        <v>400</v>
      </c>
    </row>
    <row r="13" spans="1:24" x14ac:dyDescent="0.3">
      <c r="T13" t="s">
        <v>2282</v>
      </c>
      <c r="U13">
        <v>0</v>
      </c>
      <c r="W13">
        <v>800</v>
      </c>
    </row>
    <row r="14" spans="1:24" x14ac:dyDescent="0.3">
      <c r="G14" t="s">
        <v>1588</v>
      </c>
      <c r="J14" s="12" t="s">
        <v>1970</v>
      </c>
      <c r="T14" t="s">
        <v>2283</v>
      </c>
      <c r="U14">
        <v>3</v>
      </c>
      <c r="W14">
        <v>0</v>
      </c>
    </row>
    <row r="15" spans="1:24" x14ac:dyDescent="0.3">
      <c r="G15" t="str">
        <f>SelectedFeedstock</f>
        <v>Canola/Rapeseed</v>
      </c>
      <c r="J15">
        <v>89</v>
      </c>
      <c r="W15">
        <v>150</v>
      </c>
    </row>
    <row r="16" spans="1:24" x14ac:dyDescent="0.3">
      <c r="G16" t="str">
        <f>SelectedConversion</f>
        <v>HEFA</v>
      </c>
      <c r="W16">
        <v>0</v>
      </c>
    </row>
    <row r="17" spans="1:23" x14ac:dyDescent="0.3">
      <c r="G17" t="str">
        <f>SelectedDataSource</f>
        <v>GREET</v>
      </c>
      <c r="W17">
        <v>0</v>
      </c>
    </row>
    <row r="18" spans="1:23" x14ac:dyDescent="0.3">
      <c r="G18" t="str">
        <f>SelectedDataSet</f>
        <v>GREET</v>
      </c>
      <c r="J18" t="s">
        <v>199</v>
      </c>
      <c r="W18">
        <v>150</v>
      </c>
    </row>
    <row r="19" spans="1:23" x14ac:dyDescent="0.3">
      <c r="G19" t="str">
        <f>SelectedTechnology</f>
        <v>(blank)</v>
      </c>
      <c r="W19">
        <v>0</v>
      </c>
    </row>
    <row r="20" spans="1:23" x14ac:dyDescent="0.3">
      <c r="A20" t="s">
        <v>445</v>
      </c>
      <c r="B20" t="s">
        <v>173</v>
      </c>
      <c r="C20" t="s">
        <v>172</v>
      </c>
      <c r="D20" t="s">
        <v>174</v>
      </c>
      <c r="E20" t="s">
        <v>856</v>
      </c>
      <c r="G20" t="str">
        <f>SelectedPathway</f>
        <v>Canola Oil HEFA</v>
      </c>
      <c r="W20">
        <v>0</v>
      </c>
    </row>
    <row r="21" spans="1:23" x14ac:dyDescent="0.3">
      <c r="A21" t="s">
        <v>17</v>
      </c>
      <c r="B21" t="str">
        <f t="shared" ref="B21:B24" si="0">SelectedPathway</f>
        <v>Canola Oil HEFA</v>
      </c>
      <c r="C21" s="53" t="s">
        <v>163</v>
      </c>
      <c r="D21" cm="1">
        <f t="array" ref="D21">IFERROR(INDEX(Results[],MATCH(ResultsPivotTable[[#This Row],[LC Stage]]&amp;ResultsPivotTable[[#This Row],[Metric]],Results[LC Stage]&amp;Results[Units],0),MATCH(ResultsPivotTable[[#This Row],[Pathway]],Results[#Headers],0)),"N/A")</f>
        <v>21.757091296602987</v>
      </c>
      <c r="E21" s="53" t="s">
        <v>163</v>
      </c>
    </row>
    <row r="22" spans="1:23" x14ac:dyDescent="0.3">
      <c r="A22" t="s">
        <v>209</v>
      </c>
      <c r="B22" t="str">
        <f t="shared" si="0"/>
        <v>Canola Oil HEFA</v>
      </c>
      <c r="C22" s="90" t="s">
        <v>163</v>
      </c>
      <c r="D22" cm="1">
        <f t="array" ref="D22">IFERROR(INDEX(Results[],MATCH(ResultsPivotTable[[#This Row],[LC Stage]]&amp;ResultsPivotTable[[#This Row],[Metric]],Results[LC Stage]&amp;Results[Units],0),MATCH(ResultsPivotTable[[#This Row],[Pathway]],Results[#Headers],0)),"N/A")</f>
        <v>10.911320090915497</v>
      </c>
      <c r="E22" s="90" t="s">
        <v>163</v>
      </c>
      <c r="G22" t="s">
        <v>1629</v>
      </c>
    </row>
    <row r="23" spans="1:23" x14ac:dyDescent="0.3">
      <c r="A23" t="s">
        <v>446</v>
      </c>
      <c r="B23" t="str">
        <f t="shared" si="0"/>
        <v>Canola Oil HEFA</v>
      </c>
      <c r="C23" s="52" t="s">
        <v>163</v>
      </c>
      <c r="D23" cm="1">
        <f t="array" ref="D23">IFERROR(INDEX(Results[],MATCH(ResultsPivotTable[[#This Row],[LC Stage]]&amp;ResultsPivotTable[[#This Row],[Metric]],Results[LC Stage]&amp;Results[Units],0),MATCH(ResultsPivotTable[[#This Row],[Pathway]],Results[#Headers],0)),"N/A")</f>
        <v>4.0598063786682376E-2</v>
      </c>
      <c r="E23" s="52" t="s">
        <v>163</v>
      </c>
      <c r="G23" s="33" t="s">
        <v>1626</v>
      </c>
      <c r="H23" cm="1">
        <f t="array" aca="1" ref="H23" ca="1">IFERROR(INDEX(Table46[],MATCH(SelectedPathway&amp;G23,Table46[Pathway]&amp;Table46[Indirect Effect],0),3),"")</f>
        <v>18.058215830673696</v>
      </c>
    </row>
    <row r="24" spans="1:23" x14ac:dyDescent="0.3">
      <c r="A24" s="52" t="s">
        <v>1628</v>
      </c>
      <c r="B24" t="str">
        <f t="shared" si="0"/>
        <v>Canola Oil HEFA</v>
      </c>
      <c r="C24" s="90" t="s">
        <v>163</v>
      </c>
      <c r="D24" cm="1">
        <f t="array" ref="D24">IFERROR(INDEX(Results[],MATCH(ResultsPivotTable[[#This Row],[LC Stage]]&amp;ResultsPivotTable[[#This Row],[Metric]],Results[LC Stage]&amp;Results[Units],0),MATCH(ResultsPivotTable[[#This Row],[Pathway]],Results[#Headers],0)),"N/A")</f>
        <v>32.709009451305164</v>
      </c>
      <c r="E24" s="90" t="s">
        <v>163</v>
      </c>
      <c r="G24" s="30" t="s">
        <v>1627</v>
      </c>
      <c r="H24" cm="1">
        <f t="array" aca="1" ref="H24" ca="1">IFERROR(INDEX(Table46[],MATCH(SelectedPathway&amp;G24,Table46[Pathway]&amp;Table46[Indirect Effect],0),3),"")</f>
        <v>5.9308426230762015</v>
      </c>
    </row>
    <row r="25" spans="1:23" x14ac:dyDescent="0.3">
      <c r="A25" t="s">
        <v>1632</v>
      </c>
      <c r="B25" t="str">
        <f>SelectedPathway</f>
        <v>Canola Oil HEFA</v>
      </c>
      <c r="C25" s="90" t="s">
        <v>163</v>
      </c>
      <c r="D25">
        <f ca="1">IFERROR(IEffectTotal,"")</f>
        <v>23.738198918430733</v>
      </c>
      <c r="E25" s="90" t="s">
        <v>163</v>
      </c>
      <c r="G25" s="30" t="s">
        <v>1625</v>
      </c>
      <c r="H25" cm="1">
        <f t="array" aca="1" ref="H25" ca="1">IFERROR(INDEX(Table46[],MATCH(SelectedPathway&amp;G25,Table46[Pathway]&amp;Table46[Indirect Effect],0),3),"")</f>
        <v>7.3358256797885685E-2</v>
      </c>
    </row>
    <row r="26" spans="1:23" x14ac:dyDescent="0.3">
      <c r="A26" t="s">
        <v>1633</v>
      </c>
      <c r="B26" t="str">
        <f>SelectedPathway</f>
        <v>Canola Oil HEFA</v>
      </c>
      <c r="C26" s="90" t="s">
        <v>872</v>
      </c>
      <c r="D26">
        <f ca="1">D24+IF(ISNUMBER(D25),D25,0)</f>
        <v>56.447208369735897</v>
      </c>
      <c r="E26" s="90" t="s">
        <v>872</v>
      </c>
      <c r="G26" s="30" t="s">
        <v>1623</v>
      </c>
      <c r="H26" cm="1">
        <f t="array" aca="1" ref="H26" ca="1">IFERROR(INDEX(Table46[],MATCH(SelectedPathway&amp;G26,Table46[Pathway]&amp;Table46[Indirect Effect],0),3),"")</f>
        <v>-0.32421779211704449</v>
      </c>
    </row>
    <row r="27" spans="1:23" x14ac:dyDescent="0.3">
      <c r="C27" s="90"/>
      <c r="E27" s="90"/>
      <c r="G27" s="176" t="s">
        <v>1624</v>
      </c>
      <c r="H27" cm="1">
        <f t="array" aca="1" ref="H27" ca="1">IFERROR(INDEX(Table46[],MATCH(SelectedPathway&amp;G27,Table46[Pathway]&amp;Table46[Indirect Effect],0),3),"")</f>
        <v>23.738198918430733</v>
      </c>
    </row>
  </sheetData>
  <conditionalFormatting sqref="A24">
    <cfRule type="cellIs" dxfId="13" priority="1" operator="equal">
      <formula>"(blank)"</formula>
    </cfRule>
  </conditionalFormatting>
  <pageMargins left="0.7" right="0.7" top="0.75" bottom="0.75" header="0.3" footer="0.3"/>
  <pageSetup orientation="portrait" r:id="rId4"/>
  <legacyDrawing r:id="rId5"/>
  <tableParts count="1">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D4266-7339-4B7D-A997-8B7BC55DF5A0}">
  <sheetPr codeName="Sheet1"/>
  <dimension ref="A1:W132"/>
  <sheetViews>
    <sheetView topLeftCell="A32" workbookViewId="0">
      <selection activeCell="A48" sqref="A48"/>
    </sheetView>
  </sheetViews>
  <sheetFormatPr defaultRowHeight="14.4" x14ac:dyDescent="0.3"/>
  <cols>
    <col min="1" max="1" width="33.33203125" customWidth="1"/>
    <col min="2" max="2" width="15.5546875" bestFit="1" customWidth="1"/>
    <col min="3" max="3" width="16.109375" bestFit="1" customWidth="1"/>
    <col min="4" max="4" width="14.33203125" bestFit="1" customWidth="1"/>
    <col min="5" max="7" width="12" bestFit="1" customWidth="1"/>
    <col min="8" max="8" width="16.5546875" bestFit="1" customWidth="1"/>
    <col min="9" max="9" width="12" bestFit="1" customWidth="1"/>
    <col min="11" max="11" width="20.88671875" bestFit="1" customWidth="1"/>
    <col min="12" max="13" width="10.109375" bestFit="1" customWidth="1"/>
  </cols>
  <sheetData>
    <row r="1" spans="1:12" s="12" customFormat="1" x14ac:dyDescent="0.3">
      <c r="A1" s="12" t="s">
        <v>207</v>
      </c>
      <c r="K1" s="12" t="s">
        <v>208</v>
      </c>
    </row>
    <row r="2" spans="1:12" s="12" customFormat="1" x14ac:dyDescent="0.3">
      <c r="A2" s="12" t="s">
        <v>209</v>
      </c>
      <c r="B2" s="12" t="s">
        <v>210</v>
      </c>
      <c r="E2" s="12" t="s">
        <v>211</v>
      </c>
      <c r="F2" s="12" t="s">
        <v>212</v>
      </c>
      <c r="G2" s="12" t="s">
        <v>213</v>
      </c>
      <c r="H2" s="12" t="s">
        <v>213</v>
      </c>
      <c r="K2">
        <v>0.99704999999999999</v>
      </c>
      <c r="L2" t="s">
        <v>214</v>
      </c>
    </row>
    <row r="3" spans="1:12" s="12" customFormat="1" x14ac:dyDescent="0.3">
      <c r="B3" s="12" t="s">
        <v>215</v>
      </c>
      <c r="C3" s="12" t="s">
        <v>216</v>
      </c>
      <c r="D3" s="12" t="s">
        <v>217</v>
      </c>
      <c r="F3" s="12" t="s">
        <v>218</v>
      </c>
      <c r="G3" s="12" t="s">
        <v>219</v>
      </c>
      <c r="H3" s="12" t="s">
        <v>220</v>
      </c>
      <c r="I3" s="12" t="s">
        <v>221</v>
      </c>
      <c r="K3">
        <v>62.2438</v>
      </c>
      <c r="L3" t="s">
        <v>222</v>
      </c>
    </row>
    <row r="4" spans="1:12" s="12" customFormat="1" x14ac:dyDescent="0.3">
      <c r="A4" s="12" t="s">
        <v>223</v>
      </c>
      <c r="B4" s="12">
        <v>1</v>
      </c>
      <c r="C4" s="12" t="s">
        <v>224</v>
      </c>
      <c r="K4">
        <v>8.3208000000000002</v>
      </c>
      <c r="L4" t="s">
        <v>225</v>
      </c>
    </row>
    <row r="5" spans="1:12" s="12" customFormat="1" x14ac:dyDescent="0.3">
      <c r="A5" s="12" t="s">
        <v>226</v>
      </c>
      <c r="B5" s="12" t="s">
        <v>227</v>
      </c>
      <c r="C5" s="12" t="s">
        <v>227</v>
      </c>
      <c r="D5" s="12" t="s">
        <v>227</v>
      </c>
      <c r="E5" s="12" t="s">
        <v>228</v>
      </c>
    </row>
    <row r="6" spans="1:12" x14ac:dyDescent="0.3">
      <c r="A6" s="43" t="s">
        <v>28</v>
      </c>
      <c r="B6" s="44">
        <v>129670</v>
      </c>
      <c r="C6" s="44">
        <v>129670</v>
      </c>
      <c r="D6" s="44">
        <v>138350</v>
      </c>
      <c r="E6" s="44">
        <v>3205</v>
      </c>
      <c r="F6" s="45">
        <v>0.85299999999999998</v>
      </c>
      <c r="G6" s="46">
        <v>16000</v>
      </c>
      <c r="H6" s="43">
        <v>1.6E-2</v>
      </c>
      <c r="I6" s="47">
        <v>0.93726057101554028</v>
      </c>
    </row>
    <row r="7" spans="1:12" x14ac:dyDescent="0.3">
      <c r="A7" t="s">
        <v>229</v>
      </c>
      <c r="B7" s="150">
        <v>135084.91292306196</v>
      </c>
      <c r="C7" s="150">
        <v>135084.91292306196</v>
      </c>
      <c r="D7" s="150">
        <v>144475.84269846199</v>
      </c>
      <c r="E7" s="150">
        <v>3266</v>
      </c>
      <c r="F7" s="151">
        <v>0.85562068501529054</v>
      </c>
      <c r="G7" s="152">
        <v>1800</v>
      </c>
      <c r="H7">
        <v>1.8E-3</v>
      </c>
      <c r="I7" s="153">
        <v>0.93500000000000005</v>
      </c>
    </row>
    <row r="8" spans="1:12" x14ac:dyDescent="0.3">
      <c r="A8" t="s">
        <v>230</v>
      </c>
      <c r="B8" s="150">
        <v>152370.90134048002</v>
      </c>
      <c r="C8" s="150">
        <v>152370.90134048002</v>
      </c>
      <c r="D8" s="150">
        <v>162963.53084543315</v>
      </c>
      <c r="E8" s="150">
        <v>3839.6821254480283</v>
      </c>
      <c r="F8" s="151">
        <v>0.83</v>
      </c>
      <c r="G8" s="152">
        <v>48000</v>
      </c>
      <c r="H8">
        <v>4.8000000000000001E-2</v>
      </c>
      <c r="I8" s="153">
        <v>0.93500000000000016</v>
      </c>
    </row>
    <row r="9" spans="1:12" x14ac:dyDescent="0.3">
      <c r="A9" t="s">
        <v>231</v>
      </c>
      <c r="B9" s="150">
        <v>152370.90134048002</v>
      </c>
      <c r="C9" s="150">
        <v>152370.90134048002</v>
      </c>
      <c r="D9" s="150">
        <v>162963.53084543315</v>
      </c>
      <c r="E9" s="150">
        <v>3839.6821254480283</v>
      </c>
      <c r="F9" s="151">
        <v>0.83</v>
      </c>
      <c r="G9" s="152">
        <v>48000</v>
      </c>
      <c r="H9">
        <v>4.8000000000000001E-2</v>
      </c>
      <c r="I9" s="153">
        <v>0.93500000000000016</v>
      </c>
    </row>
    <row r="10" spans="1:12" x14ac:dyDescent="0.3">
      <c r="A10" t="s">
        <v>232</v>
      </c>
      <c r="B10" s="150">
        <v>145194.18901496602</v>
      </c>
      <c r="C10" s="150">
        <v>145194.18901496602</v>
      </c>
      <c r="D10" s="150">
        <v>155287.90268980322</v>
      </c>
      <c r="E10" s="150">
        <v>3500.47748781362</v>
      </c>
      <c r="F10" s="151">
        <v>0.83245885654014951</v>
      </c>
      <c r="G10" s="152">
        <v>37227.389654331695</v>
      </c>
      <c r="H10">
        <v>3.7227389654331693E-2</v>
      </c>
      <c r="I10" s="153">
        <v>0.93500000000000005</v>
      </c>
    </row>
    <row r="11" spans="1:12" x14ac:dyDescent="0.3">
      <c r="A11" t="s">
        <v>233</v>
      </c>
      <c r="B11" s="150">
        <v>128448.52692210001</v>
      </c>
      <c r="C11" s="150">
        <v>128448.52692210001</v>
      </c>
      <c r="D11" s="150">
        <v>137378.10365999999</v>
      </c>
      <c r="E11" s="150">
        <v>2709</v>
      </c>
      <c r="F11" s="151">
        <v>0.84059083544303792</v>
      </c>
      <c r="G11" s="152">
        <v>1600</v>
      </c>
      <c r="H11">
        <v>1.6000000000000001E-3</v>
      </c>
      <c r="I11" s="153">
        <v>0.93500000000000005</v>
      </c>
    </row>
    <row r="12" spans="1:12" x14ac:dyDescent="0.3">
      <c r="A12" t="s">
        <v>234</v>
      </c>
      <c r="B12" s="150">
        <v>125600.90733399388</v>
      </c>
      <c r="C12" s="150">
        <v>125600.90733399388</v>
      </c>
      <c r="D12" s="150">
        <v>134008.52571649614</v>
      </c>
      <c r="E12" s="150">
        <v>3087.2372132564833</v>
      </c>
      <c r="F12" s="151">
        <v>0.85299999999999998</v>
      </c>
      <c r="G12" s="152">
        <v>16000</v>
      </c>
      <c r="H12">
        <v>1.6E-2</v>
      </c>
      <c r="I12" s="153">
        <v>0.93726057101554028</v>
      </c>
    </row>
    <row r="13" spans="1:12" x14ac:dyDescent="0.3">
      <c r="A13" t="s">
        <v>235</v>
      </c>
      <c r="B13" s="150">
        <v>122492.60888766299</v>
      </c>
      <c r="C13" s="150">
        <v>122492.60888766299</v>
      </c>
      <c r="D13" s="150">
        <v>130692.16040416578</v>
      </c>
      <c r="E13" s="150">
        <v>2984.0426545960995</v>
      </c>
      <c r="F13" s="151">
        <v>0.85299999999999998</v>
      </c>
      <c r="G13" s="152">
        <v>16000</v>
      </c>
      <c r="H13">
        <v>1.6E-2</v>
      </c>
      <c r="I13" s="153">
        <v>0.93726057101554017</v>
      </c>
    </row>
    <row r="14" spans="1:12" x14ac:dyDescent="0.3">
      <c r="A14" t="s">
        <v>236</v>
      </c>
      <c r="B14" s="150">
        <v>116090</v>
      </c>
      <c r="C14" s="150">
        <v>116090</v>
      </c>
      <c r="D14" s="150">
        <v>124340</v>
      </c>
      <c r="E14" s="150">
        <v>2819</v>
      </c>
      <c r="F14" s="151">
        <v>0.86299999999999999</v>
      </c>
      <c r="G14" s="152">
        <v>10</v>
      </c>
      <c r="H14">
        <v>1.0000000000000001E-5</v>
      </c>
      <c r="I14" s="153">
        <v>0.93364967025896739</v>
      </c>
    </row>
    <row r="15" spans="1:12" x14ac:dyDescent="0.3">
      <c r="A15" s="43" t="s">
        <v>107</v>
      </c>
      <c r="B15" s="44">
        <v>112193.52</v>
      </c>
      <c r="C15" s="44">
        <v>112193.52</v>
      </c>
      <c r="D15" s="44">
        <v>120438.62000000001</v>
      </c>
      <c r="E15" s="44">
        <v>2835.5620000000004</v>
      </c>
      <c r="F15" s="45">
        <v>0.82778546968819577</v>
      </c>
      <c r="G15" s="46">
        <v>9.0189500353016445</v>
      </c>
      <c r="H15" s="43">
        <v>9.0189500353016442E-6</v>
      </c>
      <c r="I15" s="47">
        <v>0.931541062160958</v>
      </c>
    </row>
    <row r="16" spans="1:12" x14ac:dyDescent="0.3">
      <c r="A16" t="s">
        <v>237</v>
      </c>
      <c r="B16" s="150">
        <v>112193.52</v>
      </c>
      <c r="C16" s="150">
        <v>112193.52</v>
      </c>
      <c r="D16" s="150">
        <v>120438.62000000001</v>
      </c>
      <c r="E16" s="150">
        <v>2835.5620000000004</v>
      </c>
      <c r="F16" s="151">
        <v>0.82778546968819577</v>
      </c>
      <c r="G16" s="152">
        <v>9.0189500353016445</v>
      </c>
      <c r="H16">
        <v>9.0189500353016442E-6</v>
      </c>
      <c r="I16" s="153">
        <v>0.931541062160958</v>
      </c>
    </row>
    <row r="17" spans="1:9" x14ac:dyDescent="0.3">
      <c r="A17" t="s">
        <v>238</v>
      </c>
      <c r="B17" s="150">
        <v>106150</v>
      </c>
      <c r="C17" s="150">
        <v>106150</v>
      </c>
      <c r="D17" s="150">
        <v>114387.5</v>
      </c>
      <c r="E17" s="150">
        <v>2861.25</v>
      </c>
      <c r="F17" s="151">
        <v>0.77774999999999994</v>
      </c>
      <c r="G17" s="152">
        <v>7.625</v>
      </c>
      <c r="H17">
        <v>7.6249999999999998E-6</v>
      </c>
      <c r="I17" s="153">
        <v>0.92798601245765489</v>
      </c>
    </row>
    <row r="18" spans="1:9" x14ac:dyDescent="0.3">
      <c r="A18" t="s">
        <v>239</v>
      </c>
      <c r="B18" s="150">
        <v>100186</v>
      </c>
      <c r="C18" s="150">
        <v>100186</v>
      </c>
      <c r="D18" s="150">
        <v>108416</v>
      </c>
      <c r="E18" s="150">
        <v>2886.6</v>
      </c>
      <c r="F18" s="151">
        <v>0.72659999999999991</v>
      </c>
      <c r="G18" s="152">
        <v>6.2</v>
      </c>
      <c r="H18">
        <v>6.1999999999999999E-6</v>
      </c>
      <c r="I18" s="153">
        <v>0.92408869539551353</v>
      </c>
    </row>
    <row r="19" spans="1:9" x14ac:dyDescent="0.3">
      <c r="A19" s="43" t="s">
        <v>240</v>
      </c>
      <c r="B19" s="44">
        <v>128450</v>
      </c>
      <c r="C19" s="44">
        <v>128450</v>
      </c>
      <c r="D19" s="44">
        <v>137380</v>
      </c>
      <c r="E19" s="44">
        <v>3167</v>
      </c>
      <c r="F19" s="45">
        <v>0.86499999999999999</v>
      </c>
      <c r="G19" s="46">
        <v>200</v>
      </c>
      <c r="H19" s="43">
        <v>2.0000000000000001E-4</v>
      </c>
      <c r="I19" s="47">
        <v>0.93499781627602274</v>
      </c>
    </row>
    <row r="20" spans="1:9" x14ac:dyDescent="0.3">
      <c r="A20" t="s">
        <v>241</v>
      </c>
      <c r="B20" s="150">
        <v>129487.84757606639</v>
      </c>
      <c r="C20" s="150">
        <v>129487.84757606639</v>
      </c>
      <c r="D20" s="150">
        <v>138490</v>
      </c>
      <c r="E20" s="150">
        <v>3206</v>
      </c>
      <c r="F20" s="151">
        <v>0.871</v>
      </c>
      <c r="G20" s="152">
        <v>11</v>
      </c>
      <c r="H20">
        <v>1.1E-5</v>
      </c>
      <c r="I20" s="153"/>
    </row>
    <row r="21" spans="1:9" x14ac:dyDescent="0.3">
      <c r="A21" t="s">
        <v>242</v>
      </c>
      <c r="B21" s="150">
        <v>128450</v>
      </c>
      <c r="C21" s="150">
        <v>128450</v>
      </c>
      <c r="D21" s="150">
        <v>137380</v>
      </c>
      <c r="E21" s="150">
        <v>3167</v>
      </c>
      <c r="F21" s="151">
        <v>0.86499999999999999</v>
      </c>
      <c r="G21" s="152">
        <v>11</v>
      </c>
      <c r="H21">
        <v>1.1E-5</v>
      </c>
      <c r="I21" s="153">
        <v>0.93499781627602274</v>
      </c>
    </row>
    <row r="22" spans="1:9" x14ac:dyDescent="0.3">
      <c r="A22" t="s">
        <v>243</v>
      </c>
      <c r="B22" s="150">
        <v>129487.84757606639</v>
      </c>
      <c r="C22" s="150">
        <v>129487.84757606639</v>
      </c>
      <c r="D22" s="150">
        <v>138490</v>
      </c>
      <c r="E22" s="150">
        <v>3206</v>
      </c>
      <c r="F22" s="151">
        <v>0.871</v>
      </c>
      <c r="G22" s="152">
        <v>11</v>
      </c>
      <c r="H22">
        <v>1.1E-5</v>
      </c>
      <c r="I22" s="153">
        <v>0.93499781627602274</v>
      </c>
    </row>
    <row r="23" spans="1:9" x14ac:dyDescent="0.3">
      <c r="A23" t="s">
        <v>244</v>
      </c>
      <c r="B23" s="150">
        <v>116920</v>
      </c>
      <c r="C23" s="150">
        <v>116920</v>
      </c>
      <c r="D23" s="150">
        <v>125080</v>
      </c>
      <c r="E23" s="150">
        <v>2745</v>
      </c>
      <c r="F23" s="151">
        <v>0.85</v>
      </c>
      <c r="G23" s="152">
        <v>1</v>
      </c>
      <c r="H23">
        <v>9.9999999999999995E-7</v>
      </c>
      <c r="I23" s="153">
        <v>0.93476175247841387</v>
      </c>
    </row>
    <row r="24" spans="1:9" x14ac:dyDescent="0.3">
      <c r="A24" t="s">
        <v>245</v>
      </c>
      <c r="B24" s="150">
        <v>118237.434842673</v>
      </c>
      <c r="C24" s="150">
        <v>118237.434842673</v>
      </c>
      <c r="D24" s="150">
        <v>126586.157141156</v>
      </c>
      <c r="E24" s="150">
        <v>2833.8569764657</v>
      </c>
      <c r="F24" s="151">
        <v>0.85315638757897505</v>
      </c>
      <c r="G24" s="152">
        <v>10</v>
      </c>
      <c r="H24">
        <v>1.0000000000000001E-5</v>
      </c>
      <c r="I24" s="153">
        <v>0.93404711473172097</v>
      </c>
    </row>
    <row r="25" spans="1:9" x14ac:dyDescent="0.3">
      <c r="A25" t="s">
        <v>246</v>
      </c>
      <c r="B25" s="150">
        <v>124307.03423937227</v>
      </c>
      <c r="C25" s="150">
        <v>124307.03423937227</v>
      </c>
      <c r="D25" s="150">
        <v>132948.69438683367</v>
      </c>
      <c r="E25" s="150">
        <v>3035.8996219999995</v>
      </c>
      <c r="F25" s="151">
        <v>0.86199999999999999</v>
      </c>
      <c r="G25" s="152">
        <v>700</v>
      </c>
      <c r="H25">
        <v>6.9999999999999999E-4</v>
      </c>
      <c r="I25" s="153">
        <v>0.93500003751584637</v>
      </c>
    </row>
    <row r="26" spans="1:9" x14ac:dyDescent="0.3">
      <c r="A26" t="s">
        <v>247</v>
      </c>
      <c r="B26" s="150">
        <v>123041.23110601204</v>
      </c>
      <c r="C26" s="150">
        <v>123041.23110601204</v>
      </c>
      <c r="D26" s="150">
        <v>131594.89429852215</v>
      </c>
      <c r="E26" s="150">
        <v>2998.0455119999997</v>
      </c>
      <c r="F26" s="151">
        <v>0.86</v>
      </c>
      <c r="G26" s="152">
        <v>11</v>
      </c>
      <c r="H26">
        <v>1.1E-5</v>
      </c>
      <c r="I26" s="153">
        <v>0.93500003751584626</v>
      </c>
    </row>
    <row r="27" spans="1:9" x14ac:dyDescent="0.3">
      <c r="A27" s="43" t="s">
        <v>248</v>
      </c>
      <c r="B27" s="44">
        <v>111520</v>
      </c>
      <c r="C27" s="44">
        <v>111520</v>
      </c>
      <c r="D27" s="44">
        <v>119740</v>
      </c>
      <c r="E27" s="44">
        <v>2651</v>
      </c>
      <c r="F27" s="45">
        <v>0.84199999999999997</v>
      </c>
      <c r="G27" s="46">
        <v>0</v>
      </c>
      <c r="H27" s="43">
        <v>0</v>
      </c>
      <c r="I27" s="47">
        <v>0.93135126106564226</v>
      </c>
    </row>
    <row r="28" spans="1:9" x14ac:dyDescent="0.3">
      <c r="A28" s="43" t="s">
        <v>115</v>
      </c>
      <c r="B28" s="44">
        <v>140352.52220119376</v>
      </c>
      <c r="C28" s="44">
        <v>140352.52220119376</v>
      </c>
      <c r="D28" s="44">
        <v>150110</v>
      </c>
      <c r="E28" s="44">
        <v>3752</v>
      </c>
      <c r="F28" s="45">
        <v>0.86799999999999999</v>
      </c>
      <c r="G28" s="46">
        <v>5000</v>
      </c>
      <c r="H28" s="43">
        <v>5.0000000000000001E-3</v>
      </c>
      <c r="I28" s="47">
        <v>0.93499781627602263</v>
      </c>
    </row>
    <row r="29" spans="1:9" x14ac:dyDescent="0.3">
      <c r="A29" t="s">
        <v>249</v>
      </c>
      <c r="B29" s="150">
        <v>140352.52220119376</v>
      </c>
      <c r="C29" s="150">
        <v>140352.52220119376</v>
      </c>
      <c r="D29" s="150">
        <v>150110</v>
      </c>
      <c r="E29" s="150">
        <v>3752</v>
      </c>
      <c r="F29" s="151">
        <v>0.86799999999999999</v>
      </c>
      <c r="G29" s="152">
        <v>27000</v>
      </c>
      <c r="H29">
        <v>2.7E-2</v>
      </c>
      <c r="I29" s="153">
        <v>0.93499781627602263</v>
      </c>
    </row>
    <row r="30" spans="1:9" x14ac:dyDescent="0.3">
      <c r="A30" s="43" t="s">
        <v>250</v>
      </c>
      <c r="B30" s="44">
        <v>57250</v>
      </c>
      <c r="C30" s="44">
        <v>57250</v>
      </c>
      <c r="D30" s="44">
        <v>65200</v>
      </c>
      <c r="E30" s="44">
        <v>3006</v>
      </c>
      <c r="F30" s="45">
        <v>0.375</v>
      </c>
      <c r="G30" s="46">
        <v>0</v>
      </c>
      <c r="H30" s="43">
        <v>0</v>
      </c>
      <c r="I30" s="47">
        <v>0.87806748466257667</v>
      </c>
    </row>
    <row r="31" spans="1:9" x14ac:dyDescent="0.3">
      <c r="A31" s="43" t="s">
        <v>138</v>
      </c>
      <c r="B31" s="44">
        <v>76330</v>
      </c>
      <c r="C31" s="44">
        <v>76330</v>
      </c>
      <c r="D31" s="44">
        <v>84530</v>
      </c>
      <c r="E31" s="44">
        <v>2988</v>
      </c>
      <c r="F31" s="45">
        <v>0.52200000000000002</v>
      </c>
      <c r="G31" s="46">
        <v>0.5</v>
      </c>
      <c r="H31" s="43">
        <v>4.9999999999999998E-7</v>
      </c>
      <c r="I31" s="47">
        <v>0.90299302022950434</v>
      </c>
    </row>
    <row r="32" spans="1:9" x14ac:dyDescent="0.3">
      <c r="A32" t="s">
        <v>251</v>
      </c>
      <c r="B32" s="150">
        <v>99837</v>
      </c>
      <c r="C32" s="150">
        <v>99837</v>
      </c>
      <c r="D32" s="150">
        <v>108458</v>
      </c>
      <c r="E32" s="150">
        <v>3065</v>
      </c>
      <c r="F32" s="151">
        <v>0.64859999999999995</v>
      </c>
      <c r="G32" s="152">
        <v>0</v>
      </c>
      <c r="H32">
        <v>0</v>
      </c>
      <c r="I32" s="153">
        <v>0.92051300964428628</v>
      </c>
    </row>
    <row r="33" spans="1:12" x14ac:dyDescent="0.3">
      <c r="A33" t="s">
        <v>252</v>
      </c>
      <c r="B33" s="150">
        <v>83127</v>
      </c>
      <c r="C33" s="150">
        <v>83127</v>
      </c>
      <c r="D33" s="150">
        <v>89511</v>
      </c>
      <c r="E33" s="150">
        <v>2964</v>
      </c>
      <c r="F33" s="151">
        <v>0.61980000000000002</v>
      </c>
      <c r="G33" s="152">
        <v>0</v>
      </c>
      <c r="H33">
        <v>0</v>
      </c>
      <c r="I33" s="153">
        <v>0.92867915675168411</v>
      </c>
      <c r="K33" s="165" t="s">
        <v>1873</v>
      </c>
      <c r="L33" s="165"/>
    </row>
    <row r="34" spans="1:12" x14ac:dyDescent="0.3">
      <c r="A34" t="s">
        <v>253</v>
      </c>
      <c r="B34" s="150">
        <v>116090</v>
      </c>
      <c r="C34" s="150">
        <v>116090</v>
      </c>
      <c r="D34" s="150">
        <v>124340</v>
      </c>
      <c r="E34" s="150">
        <v>2819</v>
      </c>
      <c r="F34" s="151">
        <v>0.86299999999999999</v>
      </c>
      <c r="G34" s="152">
        <v>10</v>
      </c>
      <c r="H34">
        <v>1.0000000000000001E-5</v>
      </c>
      <c r="I34" s="153">
        <v>0.93364967025896739</v>
      </c>
      <c r="K34" s="165" t="s">
        <v>1874</v>
      </c>
      <c r="L34" s="256">
        <f>B48</f>
        <v>119776.62149420771</v>
      </c>
    </row>
    <row r="35" spans="1:12" x14ac:dyDescent="0.3">
      <c r="A35" s="43" t="s">
        <v>254</v>
      </c>
      <c r="B35" s="44">
        <v>84950</v>
      </c>
      <c r="C35" s="44">
        <v>84950</v>
      </c>
      <c r="D35" s="44">
        <v>91410</v>
      </c>
      <c r="E35" s="44">
        <v>1923</v>
      </c>
      <c r="F35" s="45">
        <v>0.82</v>
      </c>
      <c r="G35" s="46">
        <v>0</v>
      </c>
      <c r="H35" s="43">
        <v>0</v>
      </c>
      <c r="I35" s="47">
        <v>0.9293293950333662</v>
      </c>
      <c r="K35" s="165" t="s">
        <v>1875</v>
      </c>
      <c r="L35" s="256">
        <f>B42</f>
        <v>122887</v>
      </c>
    </row>
    <row r="36" spans="1:12" x14ac:dyDescent="0.3">
      <c r="A36" t="s">
        <v>255</v>
      </c>
      <c r="B36" s="150">
        <v>74720</v>
      </c>
      <c r="C36" s="150">
        <v>74720</v>
      </c>
      <c r="D36" s="150">
        <v>84820</v>
      </c>
      <c r="E36" s="150">
        <v>1621</v>
      </c>
      <c r="F36" s="151">
        <v>0.75</v>
      </c>
      <c r="G36" s="152">
        <v>0</v>
      </c>
      <c r="H36">
        <v>0</v>
      </c>
      <c r="I36" s="153">
        <v>0.88092431030417351</v>
      </c>
      <c r="K36" s="165" t="s">
        <v>107</v>
      </c>
      <c r="L36" s="256">
        <f>B46</f>
        <v>113309</v>
      </c>
    </row>
    <row r="37" spans="1:12" x14ac:dyDescent="0.3">
      <c r="A37" t="s">
        <v>256</v>
      </c>
      <c r="B37" s="150">
        <v>68930</v>
      </c>
      <c r="C37" s="150">
        <v>68930</v>
      </c>
      <c r="D37" s="150">
        <v>75610</v>
      </c>
      <c r="E37" s="150">
        <v>2518</v>
      </c>
      <c r="F37" s="151">
        <v>0.52200000000000002</v>
      </c>
      <c r="G37" s="152">
        <v>0</v>
      </c>
      <c r="H37">
        <v>0</v>
      </c>
      <c r="I37" s="153">
        <v>0.91165189789710355</v>
      </c>
      <c r="K37" s="165" t="s">
        <v>1876</v>
      </c>
      <c r="L37" s="256">
        <f>B46</f>
        <v>113309</v>
      </c>
    </row>
    <row r="38" spans="1:12" x14ac:dyDescent="0.3">
      <c r="A38" t="s">
        <v>257</v>
      </c>
      <c r="B38" s="150">
        <v>72200</v>
      </c>
      <c r="C38" s="150">
        <v>72200</v>
      </c>
      <c r="D38" s="150">
        <v>79196.89540113158</v>
      </c>
      <c r="E38" s="150">
        <v>3255</v>
      </c>
      <c r="F38" s="151">
        <v>0.47399999999999998</v>
      </c>
      <c r="G38" s="152">
        <v>0</v>
      </c>
      <c r="H38">
        <v>0</v>
      </c>
      <c r="I38" s="153">
        <v>0.91165189789710355</v>
      </c>
    </row>
    <row r="39" spans="1:12" x14ac:dyDescent="0.3">
      <c r="A39" t="s">
        <v>258</v>
      </c>
      <c r="B39" s="150">
        <v>119624</v>
      </c>
      <c r="C39" s="150">
        <v>119624</v>
      </c>
      <c r="D39" s="150">
        <v>127960</v>
      </c>
      <c r="E39" s="150">
        <v>3335.2646966100001</v>
      </c>
      <c r="F39" s="151">
        <v>0.77600000000000002</v>
      </c>
      <c r="G39" s="154">
        <v>0</v>
      </c>
      <c r="H39" s="149">
        <v>0</v>
      </c>
      <c r="I39" s="153">
        <v>0.93485464207564861</v>
      </c>
    </row>
    <row r="40" spans="1:12" x14ac:dyDescent="0.3">
      <c r="A40" t="s">
        <v>259</v>
      </c>
      <c r="B40" s="150">
        <v>123670</v>
      </c>
      <c r="C40" s="150">
        <v>123670</v>
      </c>
      <c r="D40" s="150">
        <v>130030</v>
      </c>
      <c r="E40" s="150">
        <v>3017</v>
      </c>
      <c r="F40" s="151">
        <v>0.85299999999999998</v>
      </c>
      <c r="G40" s="152">
        <v>0</v>
      </c>
      <c r="H40">
        <v>0</v>
      </c>
      <c r="I40" s="153">
        <v>0.95108821041298164</v>
      </c>
    </row>
    <row r="41" spans="1:12" x14ac:dyDescent="0.3">
      <c r="A41" t="s">
        <v>260</v>
      </c>
      <c r="B41" s="150">
        <v>117059</v>
      </c>
      <c r="C41" s="150">
        <v>117059</v>
      </c>
      <c r="D41" s="150">
        <v>125216.25794155018</v>
      </c>
      <c r="E41" s="150">
        <v>2835</v>
      </c>
      <c r="F41" s="151">
        <v>0.871</v>
      </c>
      <c r="G41" s="152">
        <v>0</v>
      </c>
      <c r="H41">
        <v>0</v>
      </c>
      <c r="I41" s="153">
        <v>0.93485464207564872</v>
      </c>
    </row>
    <row r="42" spans="1:12" x14ac:dyDescent="0.3">
      <c r="A42" t="s">
        <v>261</v>
      </c>
      <c r="B42" s="150">
        <v>122887</v>
      </c>
      <c r="C42" s="150">
        <v>122887</v>
      </c>
      <c r="D42" s="150">
        <v>130817</v>
      </c>
      <c r="E42" s="150">
        <v>2948</v>
      </c>
      <c r="F42" s="151">
        <v>0.871</v>
      </c>
      <c r="G42" s="154">
        <v>0</v>
      </c>
      <c r="H42" s="149">
        <v>0</v>
      </c>
      <c r="I42" s="153">
        <v>0.93938096730547249</v>
      </c>
    </row>
    <row r="43" spans="1:12" x14ac:dyDescent="0.3">
      <c r="A43" t="s">
        <v>262</v>
      </c>
      <c r="B43" s="150">
        <v>123542.426446789</v>
      </c>
      <c r="C43" s="150">
        <v>123542.426446789</v>
      </c>
      <c r="D43" s="150">
        <v>133070.13702382601</v>
      </c>
      <c r="E43" s="150">
        <v>3003.2639480974099</v>
      </c>
      <c r="F43" s="151">
        <v>0.871</v>
      </c>
      <c r="G43" s="152">
        <v>0</v>
      </c>
      <c r="H43">
        <v>0</v>
      </c>
      <c r="I43" s="153">
        <v>0.92840083590406852</v>
      </c>
    </row>
    <row r="44" spans="1:12" x14ac:dyDescent="0.3">
      <c r="A44" t="s">
        <v>263</v>
      </c>
      <c r="B44" s="150">
        <v>124410</v>
      </c>
      <c r="C44" s="150">
        <v>124410</v>
      </c>
      <c r="D44" s="150">
        <v>124410</v>
      </c>
      <c r="E44" s="150">
        <v>3020.9251842000003</v>
      </c>
      <c r="F44" s="151">
        <v>0.85799999999999998</v>
      </c>
      <c r="G44" s="152">
        <v>8.5</v>
      </c>
      <c r="H44">
        <v>8.4999999999999999E-6</v>
      </c>
      <c r="I44" s="153">
        <v>1</v>
      </c>
    </row>
    <row r="45" spans="1:12" x14ac:dyDescent="0.3">
      <c r="A45" t="s">
        <v>264</v>
      </c>
      <c r="B45" s="150">
        <v>115983</v>
      </c>
      <c r="C45" s="150">
        <v>115983</v>
      </c>
      <c r="D45" s="150">
        <v>124230</v>
      </c>
      <c r="E45" s="150">
        <v>2830</v>
      </c>
      <c r="F45" s="151">
        <v>0.84</v>
      </c>
      <c r="G45" s="152">
        <v>0</v>
      </c>
      <c r="H45">
        <v>0</v>
      </c>
      <c r="I45" s="153">
        <v>0.93361506882395562</v>
      </c>
    </row>
    <row r="46" spans="1:12" x14ac:dyDescent="0.3">
      <c r="A46" t="s">
        <v>265</v>
      </c>
      <c r="B46" s="150">
        <v>113309</v>
      </c>
      <c r="C46" s="150">
        <v>113309</v>
      </c>
      <c r="D46" s="150">
        <v>121365.86456635887</v>
      </c>
      <c r="E46" s="150">
        <v>2713</v>
      </c>
      <c r="F46" s="151">
        <v>0.83109999999999995</v>
      </c>
      <c r="G46" s="152">
        <v>10</v>
      </c>
      <c r="H46">
        <v>1.0000000000000001E-5</v>
      </c>
      <c r="I46" s="153">
        <v>0.93361506882395551</v>
      </c>
    </row>
    <row r="47" spans="1:12" x14ac:dyDescent="0.3">
      <c r="A47" t="s">
        <v>266</v>
      </c>
      <c r="B47" s="150">
        <v>112060.7</v>
      </c>
      <c r="C47" s="150">
        <v>112060.7</v>
      </c>
      <c r="D47" s="150">
        <v>120028.80388505213</v>
      </c>
      <c r="E47" s="150">
        <v>2819</v>
      </c>
      <c r="F47" s="151">
        <v>0.86430000000000007</v>
      </c>
      <c r="G47" s="152">
        <v>10</v>
      </c>
      <c r="H47">
        <v>1.0000000000000001E-5</v>
      </c>
      <c r="I47" s="153">
        <v>0.93361506882395551</v>
      </c>
    </row>
    <row r="48" spans="1:12" x14ac:dyDescent="0.3">
      <c r="A48" s="43" t="s">
        <v>267</v>
      </c>
      <c r="B48" s="44">
        <v>119776.62149420771</v>
      </c>
      <c r="C48" s="44">
        <v>119776.62149420771</v>
      </c>
      <c r="D48" s="44">
        <v>128103.33335647351</v>
      </c>
      <c r="E48" s="44">
        <v>2865.5561269999898</v>
      </c>
      <c r="F48" s="45">
        <v>0.84699999999999998</v>
      </c>
      <c r="G48" s="46">
        <v>0</v>
      </c>
      <c r="H48" s="43">
        <v>0</v>
      </c>
      <c r="I48" s="47">
        <v>0.93500003751584637</v>
      </c>
    </row>
    <row r="49" spans="1:9" x14ac:dyDescent="0.3">
      <c r="A49" t="s">
        <v>268</v>
      </c>
      <c r="B49" s="150">
        <v>30500</v>
      </c>
      <c r="C49" s="150">
        <v>30500</v>
      </c>
      <c r="D49" s="150">
        <v>36020</v>
      </c>
      <c r="E49" s="150">
        <v>268</v>
      </c>
      <c r="F49" s="151">
        <v>0</v>
      </c>
      <c r="G49" s="152">
        <v>0</v>
      </c>
      <c r="H49">
        <v>0</v>
      </c>
      <c r="I49" s="153">
        <v>0.84675180455302612</v>
      </c>
    </row>
    <row r="50" spans="1:9" x14ac:dyDescent="0.3">
      <c r="A50" t="s">
        <v>269</v>
      </c>
      <c r="B50" s="150">
        <v>93540</v>
      </c>
      <c r="C50" s="150">
        <v>93540</v>
      </c>
      <c r="D50" s="150">
        <v>101130</v>
      </c>
      <c r="E50" s="150">
        <v>2811</v>
      </c>
      <c r="F50" s="151">
        <v>0.68100000000000005</v>
      </c>
      <c r="G50" s="152">
        <v>0</v>
      </c>
      <c r="H50">
        <v>0</v>
      </c>
      <c r="I50" s="153">
        <v>0.92494808662118067</v>
      </c>
    </row>
    <row r="51" spans="1:9" x14ac:dyDescent="0.3">
      <c r="A51" t="s">
        <v>270</v>
      </c>
      <c r="B51" s="150">
        <v>96720</v>
      </c>
      <c r="C51" s="150">
        <v>96720</v>
      </c>
      <c r="D51" s="150">
        <v>104530</v>
      </c>
      <c r="E51" s="150">
        <v>2810</v>
      </c>
      <c r="F51" s="151">
        <v>0.70599999999999996</v>
      </c>
      <c r="G51" s="152">
        <v>0</v>
      </c>
      <c r="H51">
        <v>0</v>
      </c>
      <c r="I51" s="153">
        <v>0.92528460728977324</v>
      </c>
    </row>
    <row r="52" spans="1:9" x14ac:dyDescent="0.3">
      <c r="A52" t="s">
        <v>271</v>
      </c>
      <c r="B52" s="150">
        <v>100480</v>
      </c>
      <c r="C52" s="150">
        <v>100480</v>
      </c>
      <c r="D52" s="150">
        <v>108570</v>
      </c>
      <c r="E52" s="150">
        <v>2913</v>
      </c>
      <c r="F52" s="151">
        <v>0.70599999999999996</v>
      </c>
      <c r="G52" s="152">
        <v>0</v>
      </c>
      <c r="H52">
        <v>0</v>
      </c>
      <c r="I52" s="153">
        <v>0.92548586165607438</v>
      </c>
    </row>
    <row r="53" spans="1:9" x14ac:dyDescent="0.3">
      <c r="A53" s="43" t="s">
        <v>272</v>
      </c>
      <c r="B53" s="44">
        <v>94970</v>
      </c>
      <c r="C53" s="44">
        <v>94970</v>
      </c>
      <c r="D53" s="44">
        <v>103220</v>
      </c>
      <c r="E53" s="44">
        <v>2213</v>
      </c>
      <c r="F53" s="45">
        <v>0.82799999999999996</v>
      </c>
      <c r="G53" s="46">
        <v>0</v>
      </c>
      <c r="H53" s="43">
        <v>0</v>
      </c>
      <c r="I53" s="47">
        <v>0.92007362914163926</v>
      </c>
    </row>
    <row r="54" spans="1:9" x14ac:dyDescent="0.3">
      <c r="A54" t="s">
        <v>273</v>
      </c>
      <c r="B54" s="150">
        <v>90060</v>
      </c>
      <c r="C54" s="150">
        <v>90060</v>
      </c>
      <c r="D54" s="150">
        <v>98560</v>
      </c>
      <c r="E54" s="150">
        <v>2118</v>
      </c>
      <c r="F54" s="151">
        <v>0.82799999999999996</v>
      </c>
      <c r="G54" s="152">
        <v>0</v>
      </c>
      <c r="H54">
        <v>0</v>
      </c>
      <c r="I54" s="153">
        <v>0.91375811688311692</v>
      </c>
    </row>
    <row r="55" spans="1:9" x14ac:dyDescent="0.3">
      <c r="A55" t="s">
        <v>274</v>
      </c>
      <c r="B55" s="150">
        <v>95720</v>
      </c>
      <c r="C55" s="150">
        <v>95720</v>
      </c>
      <c r="D55" s="150">
        <v>103010</v>
      </c>
      <c r="E55" s="150">
        <v>2253</v>
      </c>
      <c r="F55" s="151">
        <v>0.85699999999999998</v>
      </c>
      <c r="G55" s="152">
        <v>0</v>
      </c>
      <c r="H55">
        <v>0</v>
      </c>
      <c r="I55" s="153">
        <v>0.92923017182797785</v>
      </c>
    </row>
    <row r="56" spans="1:9" x14ac:dyDescent="0.3">
      <c r="A56" t="s">
        <v>275</v>
      </c>
      <c r="B56" s="150">
        <v>84250</v>
      </c>
      <c r="C56" s="150">
        <v>84250</v>
      </c>
      <c r="D56" s="150">
        <v>91420</v>
      </c>
      <c r="E56" s="150">
        <v>1920</v>
      </c>
      <c r="F56" s="151">
        <v>0.81799999999999995</v>
      </c>
      <c r="G56" s="152">
        <v>0</v>
      </c>
      <c r="H56">
        <v>0</v>
      </c>
      <c r="I56" s="153">
        <v>0.92157077225989936</v>
      </c>
    </row>
    <row r="57" spans="1:9" x14ac:dyDescent="0.3">
      <c r="A57" t="s">
        <v>276</v>
      </c>
      <c r="B57" s="150">
        <v>83686.11202275462</v>
      </c>
      <c r="C57" s="150">
        <v>83686.11202275462</v>
      </c>
      <c r="D57" s="150">
        <v>90050</v>
      </c>
      <c r="E57" s="150">
        <v>2532</v>
      </c>
      <c r="F57" s="151"/>
      <c r="G57" s="152">
        <v>0</v>
      </c>
      <c r="H57">
        <v>0</v>
      </c>
      <c r="I57" s="153">
        <v>0.92932939503336609</v>
      </c>
    </row>
    <row r="58" spans="1:9" x14ac:dyDescent="0.3">
      <c r="A58" s="43" t="s">
        <v>277</v>
      </c>
      <c r="B58" s="44">
        <v>105124.8</v>
      </c>
      <c r="C58" s="44">
        <v>105124.8</v>
      </c>
      <c r="D58" s="44">
        <v>112166.3</v>
      </c>
      <c r="E58" s="44">
        <v>2478.6999999999998</v>
      </c>
      <c r="F58" s="45">
        <v>0.83625099999999997</v>
      </c>
      <c r="G58" s="46">
        <v>0</v>
      </c>
      <c r="H58" s="43">
        <v>0</v>
      </c>
      <c r="I58" s="47">
        <v>0.93722267739953979</v>
      </c>
    </row>
    <row r="59" spans="1:9" x14ac:dyDescent="0.3">
      <c r="A59" t="s">
        <v>278</v>
      </c>
      <c r="B59" s="150">
        <v>110742.76976945347</v>
      </c>
      <c r="C59" s="150">
        <v>110742.76976945347</v>
      </c>
      <c r="D59" s="150">
        <v>117211.35510798359</v>
      </c>
      <c r="E59" s="150">
        <v>2607.5839999999998</v>
      </c>
      <c r="F59" s="151">
        <v>0.84021816798046989</v>
      </c>
      <c r="G59" s="152">
        <v>0</v>
      </c>
      <c r="H59">
        <v>0</v>
      </c>
      <c r="I59" s="153">
        <v>0.94481263924838355</v>
      </c>
    </row>
    <row r="60" spans="1:9" x14ac:dyDescent="0.3">
      <c r="A60" t="s">
        <v>279</v>
      </c>
      <c r="B60" s="150">
        <v>116971.36459225853</v>
      </c>
      <c r="C60" s="150">
        <v>116971.36459225853</v>
      </c>
      <c r="D60" s="150">
        <v>124276.8816365008</v>
      </c>
      <c r="E60" s="150">
        <v>2792.0839999999998</v>
      </c>
      <c r="F60" s="151">
        <v>0.84604875243517474</v>
      </c>
      <c r="G60" s="152">
        <v>0</v>
      </c>
      <c r="H60">
        <v>0</v>
      </c>
      <c r="I60" s="153">
        <v>0.94121580017102235</v>
      </c>
    </row>
    <row r="61" spans="1:9" x14ac:dyDescent="0.3">
      <c r="A61" t="s">
        <v>280</v>
      </c>
      <c r="B61" s="150">
        <v>120821.08709157057</v>
      </c>
      <c r="C61" s="150">
        <v>120821.08709157057</v>
      </c>
      <c r="D61" s="150">
        <v>128217.81949485274</v>
      </c>
      <c r="E61" s="150">
        <v>2897.6329999999998</v>
      </c>
      <c r="F61" s="151">
        <v>0.84934397549466933</v>
      </c>
      <c r="G61" s="152">
        <v>0</v>
      </c>
      <c r="H61">
        <v>0</v>
      </c>
      <c r="I61" s="153">
        <v>0.94231119798774066</v>
      </c>
    </row>
    <row r="62" spans="1:9" x14ac:dyDescent="0.3">
      <c r="A62" t="s">
        <v>281</v>
      </c>
      <c r="B62" s="150">
        <v>116291.00439718955</v>
      </c>
      <c r="C62" s="150">
        <v>116291.00439718955</v>
      </c>
      <c r="D62" s="150">
        <v>123392.78899954072</v>
      </c>
      <c r="E62" s="150">
        <v>2769.6939828148488</v>
      </c>
      <c r="F62" s="151">
        <v>0.84538047025734175</v>
      </c>
      <c r="G62" s="152">
        <v>0</v>
      </c>
      <c r="H62">
        <v>0</v>
      </c>
      <c r="I62" s="153">
        <v>0.94244570805205152</v>
      </c>
    </row>
    <row r="63" spans="1:9" x14ac:dyDescent="0.3">
      <c r="A63" t="s">
        <v>282</v>
      </c>
      <c r="B63" s="150">
        <v>95294.135045914154</v>
      </c>
      <c r="C63" s="150">
        <v>95294.135045914154</v>
      </c>
      <c r="D63" s="150">
        <v>105700</v>
      </c>
      <c r="E63" s="150">
        <v>3028.3300274063863</v>
      </c>
      <c r="F63" s="151">
        <v>0.64864864864864868</v>
      </c>
      <c r="G63" s="152">
        <v>0</v>
      </c>
      <c r="H63">
        <v>0</v>
      </c>
      <c r="I63" s="153">
        <v>0.90155283865576308</v>
      </c>
    </row>
    <row r="64" spans="1:9" x14ac:dyDescent="0.3">
      <c r="A64" t="s">
        <v>283</v>
      </c>
      <c r="B64" s="150">
        <v>115983</v>
      </c>
      <c r="C64" s="150">
        <v>115983</v>
      </c>
      <c r="D64" s="150">
        <v>124230</v>
      </c>
      <c r="E64" s="150">
        <v>2830</v>
      </c>
      <c r="F64" s="151">
        <v>0.84</v>
      </c>
      <c r="G64" s="152">
        <v>0</v>
      </c>
      <c r="H64">
        <v>0</v>
      </c>
      <c r="I64" s="153">
        <v>0.93361506882395562</v>
      </c>
    </row>
    <row r="65" spans="1:9" x14ac:dyDescent="0.3">
      <c r="A65" t="s">
        <v>284</v>
      </c>
      <c r="B65" s="150">
        <v>133460.42696564356</v>
      </c>
      <c r="C65" s="150">
        <v>124140.55672976932</v>
      </c>
      <c r="D65" s="150">
        <v>133460.42696564356</v>
      </c>
      <c r="E65" s="150">
        <v>2949.8950840799994</v>
      </c>
      <c r="F65" s="151">
        <v>0.84848484848484851</v>
      </c>
      <c r="G65" s="152">
        <v>0</v>
      </c>
      <c r="H65">
        <v>0</v>
      </c>
      <c r="I65" s="153">
        <v>0.93016753769060367</v>
      </c>
    </row>
    <row r="66" spans="1:9" x14ac:dyDescent="0.3">
      <c r="A66" t="s">
        <v>285</v>
      </c>
      <c r="B66" s="150">
        <v>134482.21159805206</v>
      </c>
      <c r="C66" s="150">
        <v>125575.70767462216</v>
      </c>
      <c r="D66" s="150">
        <v>134482.21159805206</v>
      </c>
      <c r="E66" s="150">
        <v>3179.7452399999997</v>
      </c>
      <c r="F66" s="151">
        <v>0.80597014925373134</v>
      </c>
      <c r="G66" s="152">
        <v>0</v>
      </c>
      <c r="H66">
        <v>0</v>
      </c>
      <c r="I66" s="153">
        <v>0.93377188092317998</v>
      </c>
    </row>
    <row r="67" spans="1:9" x14ac:dyDescent="0.3">
      <c r="A67" t="s">
        <v>286</v>
      </c>
      <c r="B67" s="150">
        <v>130005.67943331707</v>
      </c>
      <c r="C67" s="150">
        <v>121987.83031249008</v>
      </c>
      <c r="D67" s="150">
        <v>130005.67943331707</v>
      </c>
      <c r="E67" s="150">
        <v>3175.9598289999994</v>
      </c>
      <c r="F67" s="151">
        <v>0.78269999999999995</v>
      </c>
      <c r="G67" s="152">
        <v>0</v>
      </c>
      <c r="H67">
        <v>0</v>
      </c>
      <c r="I67" s="153">
        <v>0.93832693190192873</v>
      </c>
    </row>
    <row r="68" spans="1:9" x14ac:dyDescent="0.3">
      <c r="A68" t="s">
        <v>287</v>
      </c>
      <c r="B68" s="150">
        <v>148406.64196277832</v>
      </c>
      <c r="C68" s="150">
        <v>148406.64196277832</v>
      </c>
      <c r="D68" s="150"/>
      <c r="E68" s="150">
        <v>3637.8108073999997</v>
      </c>
      <c r="F68" s="151">
        <v>0.85340000000000005</v>
      </c>
      <c r="G68" s="152">
        <v>3.8950571609284407E-3</v>
      </c>
      <c r="I68" s="153"/>
    </row>
    <row r="69" spans="1:9" x14ac:dyDescent="0.3">
      <c r="A69" t="s">
        <v>288</v>
      </c>
      <c r="B69" s="150">
        <v>146417.22535944573</v>
      </c>
      <c r="C69" s="150">
        <v>146417.22535944573</v>
      </c>
      <c r="D69" s="150"/>
      <c r="E69" s="150">
        <v>3646.8826547999993</v>
      </c>
      <c r="F69" s="151">
        <v>0.84150000000000003</v>
      </c>
      <c r="G69" s="152">
        <v>2.369302991110574E-3</v>
      </c>
      <c r="I69" s="153"/>
    </row>
    <row r="70" spans="1:9" x14ac:dyDescent="0.3">
      <c r="A70" t="s">
        <v>289</v>
      </c>
      <c r="B70" s="150">
        <v>71570.12012428086</v>
      </c>
      <c r="C70" s="150">
        <v>71570.12012428086</v>
      </c>
      <c r="D70" s="150"/>
      <c r="E70" s="150">
        <v>4533.9436333116819</v>
      </c>
      <c r="F70" s="151">
        <v>0.437</v>
      </c>
      <c r="G70" s="152">
        <v>0</v>
      </c>
      <c r="I70" s="153"/>
    </row>
    <row r="71" spans="1:9" x14ac:dyDescent="0.3">
      <c r="A71" t="s">
        <v>290</v>
      </c>
      <c r="B71" s="150">
        <v>110454.08316347588</v>
      </c>
      <c r="C71" s="150">
        <v>110454.08316347588</v>
      </c>
      <c r="D71" s="150"/>
      <c r="E71" s="150">
        <v>3689.2580177520322</v>
      </c>
      <c r="F71" s="151">
        <v>0.437</v>
      </c>
      <c r="G71" s="152">
        <v>0</v>
      </c>
      <c r="I71" s="153"/>
    </row>
    <row r="72" spans="1:9" x14ac:dyDescent="0.3">
      <c r="A72" t="s">
        <v>291</v>
      </c>
      <c r="B72" s="150">
        <v>112734.54742766677</v>
      </c>
      <c r="C72" s="150">
        <v>112734.54742766677</v>
      </c>
      <c r="D72" s="150"/>
      <c r="E72" s="150">
        <v>3676.6399252923989</v>
      </c>
      <c r="F72" s="151">
        <v>0.437</v>
      </c>
      <c r="G72" s="152">
        <v>0</v>
      </c>
      <c r="I72" s="153"/>
    </row>
    <row r="73" spans="1:9" x14ac:dyDescent="0.3">
      <c r="A73" t="s">
        <v>292</v>
      </c>
      <c r="B73" s="150">
        <v>123328.94</v>
      </c>
      <c r="C73" s="150">
        <v>123328.94</v>
      </c>
      <c r="D73" s="150"/>
      <c r="E73" s="150">
        <v>3151</v>
      </c>
      <c r="F73" s="151">
        <v>0.437</v>
      </c>
      <c r="G73" s="152">
        <v>0</v>
      </c>
      <c r="I73" s="153"/>
    </row>
    <row r="74" spans="1:9" x14ac:dyDescent="0.3">
      <c r="A74" t="s">
        <v>293</v>
      </c>
      <c r="B74" s="150">
        <v>108326.85176452799</v>
      </c>
      <c r="C74" s="150">
        <v>108326.85176452799</v>
      </c>
      <c r="D74" s="150">
        <v>116963.76491445</v>
      </c>
      <c r="E74" s="150">
        <v>2599.4406415121098</v>
      </c>
      <c r="F74" s="151">
        <v>0.437</v>
      </c>
      <c r="G74" s="152"/>
      <c r="I74" s="153"/>
    </row>
    <row r="75" spans="1:9" x14ac:dyDescent="0.3">
      <c r="A75" t="s">
        <v>294</v>
      </c>
      <c r="B75" s="150">
        <v>117299.922267221</v>
      </c>
      <c r="C75" s="150">
        <v>117299.922267221</v>
      </c>
      <c r="D75" s="150">
        <v>126124.78706897001</v>
      </c>
      <c r="E75" s="150">
        <v>2805.4421680103501</v>
      </c>
      <c r="F75" s="151">
        <v>0.437</v>
      </c>
      <c r="G75" s="152"/>
      <c r="I75" s="153"/>
    </row>
    <row r="76" spans="1:9" x14ac:dyDescent="0.3">
      <c r="A76" t="s">
        <v>295</v>
      </c>
      <c r="B76" s="150">
        <v>121165.95331760601</v>
      </c>
      <c r="C76" s="150">
        <v>121165.95331760601</v>
      </c>
      <c r="D76" s="150">
        <v>130269.091480068</v>
      </c>
      <c r="E76" s="150">
        <v>2909.12062219889</v>
      </c>
      <c r="F76" s="151">
        <v>0.437</v>
      </c>
      <c r="G76" s="152"/>
      <c r="I76" s="153"/>
    </row>
    <row r="77" spans="1:9" x14ac:dyDescent="0.3">
      <c r="A77" t="s">
        <v>296</v>
      </c>
      <c r="B77" s="150">
        <v>111313.47057962</v>
      </c>
      <c r="C77" s="150">
        <v>111313.47057962</v>
      </c>
      <c r="D77" s="150">
        <v>119858.923303142</v>
      </c>
      <c r="E77" s="150">
        <v>2667.7232819999999</v>
      </c>
      <c r="F77" s="151">
        <v>0.437</v>
      </c>
      <c r="G77" s="152"/>
      <c r="I77" s="153"/>
    </row>
    <row r="78" spans="1:9" s="12" customFormat="1" x14ac:dyDescent="0.3">
      <c r="A78" s="12" t="s">
        <v>297</v>
      </c>
      <c r="B78" s="155" t="s">
        <v>298</v>
      </c>
      <c r="C78" s="155" t="s">
        <v>298</v>
      </c>
      <c r="D78" s="155" t="s">
        <v>298</v>
      </c>
      <c r="E78" s="155" t="s">
        <v>299</v>
      </c>
      <c r="F78" s="156"/>
      <c r="G78" s="157"/>
      <c r="I78" s="158" t="s">
        <v>221</v>
      </c>
    </row>
    <row r="79" spans="1:9" x14ac:dyDescent="0.3">
      <c r="A79" s="43" t="s">
        <v>108</v>
      </c>
      <c r="B79" s="44">
        <v>983</v>
      </c>
      <c r="C79" s="44">
        <v>983</v>
      </c>
      <c r="D79" s="44">
        <v>1089</v>
      </c>
      <c r="E79" s="44">
        <v>22</v>
      </c>
      <c r="F79" s="45">
        <v>0.72399999999999998</v>
      </c>
      <c r="G79" s="46">
        <v>6</v>
      </c>
      <c r="H79" s="43">
        <v>6.0000000000000002E-6</v>
      </c>
      <c r="I79" s="47">
        <v>0.90266299357208446</v>
      </c>
    </row>
    <row r="80" spans="1:9" x14ac:dyDescent="0.3">
      <c r="A80" t="s">
        <v>300</v>
      </c>
      <c r="B80" s="150">
        <v>962.18504920853229</v>
      </c>
      <c r="C80" s="150">
        <v>962.18504920853229</v>
      </c>
      <c r="D80" s="150">
        <v>1068.0254046214709</v>
      </c>
      <c r="E80" s="150">
        <v>20.303179298999996</v>
      </c>
      <c r="F80" s="151">
        <v>0.75</v>
      </c>
      <c r="G80" s="152">
        <v>0</v>
      </c>
      <c r="H80">
        <v>0</v>
      </c>
      <c r="I80" s="153">
        <v>0.9009009009009008</v>
      </c>
    </row>
    <row r="81" spans="1:23" x14ac:dyDescent="0.3">
      <c r="A81" s="43" t="s">
        <v>301</v>
      </c>
      <c r="B81" s="44">
        <v>290</v>
      </c>
      <c r="C81" s="44">
        <v>290</v>
      </c>
      <c r="D81" s="44">
        <v>343</v>
      </c>
      <c r="E81" s="44">
        <v>2.5499999999999998</v>
      </c>
      <c r="F81" s="45">
        <v>0</v>
      </c>
      <c r="G81" s="46">
        <v>0</v>
      </c>
      <c r="H81" s="43">
        <v>0</v>
      </c>
      <c r="I81" s="47">
        <v>0.84548104956268222</v>
      </c>
    </row>
    <row r="82" spans="1:23" x14ac:dyDescent="0.3">
      <c r="A82" t="s">
        <v>302</v>
      </c>
      <c r="B82" s="150"/>
      <c r="C82" s="150"/>
      <c r="D82" s="150"/>
      <c r="E82" s="150">
        <v>55.977829999999997</v>
      </c>
      <c r="F82" s="151">
        <v>0.27272727272727271</v>
      </c>
      <c r="G82" s="152">
        <v>0</v>
      </c>
      <c r="H82">
        <v>0</v>
      </c>
      <c r="I82" s="153"/>
    </row>
    <row r="83" spans="1:23" x14ac:dyDescent="0.3">
      <c r="A83" s="43" t="s">
        <v>303</v>
      </c>
      <c r="B83" s="44">
        <v>1159.2737122826286</v>
      </c>
      <c r="C83" s="44">
        <v>1159.2737122826286</v>
      </c>
      <c r="D83" s="44">
        <v>1279.7381453012381</v>
      </c>
      <c r="E83" s="44">
        <v>25.019852271678111</v>
      </c>
      <c r="F83" s="45">
        <v>0.76981385823883608</v>
      </c>
      <c r="G83" s="46">
        <v>6</v>
      </c>
      <c r="H83" s="43">
        <v>6.0000000000000002E-6</v>
      </c>
      <c r="I83" s="47">
        <v>0.90586790472651468</v>
      </c>
    </row>
    <row r="84" spans="1:23" s="12" customFormat="1" x14ac:dyDescent="0.3">
      <c r="A84" s="12" t="s">
        <v>304</v>
      </c>
      <c r="B84" s="155" t="s">
        <v>305</v>
      </c>
      <c r="C84" s="155" t="s">
        <v>305</v>
      </c>
      <c r="D84" s="155" t="s">
        <v>305</v>
      </c>
      <c r="E84" s="155"/>
      <c r="F84" s="156"/>
      <c r="G84" s="157"/>
      <c r="I84" s="158" t="s">
        <v>221</v>
      </c>
      <c r="K84" s="99" t="s">
        <v>897</v>
      </c>
      <c r="L84" s="100">
        <v>287.5730751377688</v>
      </c>
      <c r="M84" s="101">
        <v>287.5730751377688</v>
      </c>
      <c r="N84" s="101">
        <v>335.9048673467791</v>
      </c>
      <c r="O84" s="102">
        <v>16.990107955199999</v>
      </c>
      <c r="P84" s="103">
        <v>5.9776009229868185E-2</v>
      </c>
      <c r="Q84" s="104">
        <v>0</v>
      </c>
      <c r="R84" s="105">
        <v>0</v>
      </c>
      <c r="S84" s="106">
        <v>0.85611464165205486</v>
      </c>
      <c r="T84" t="s">
        <v>898</v>
      </c>
      <c r="U84"/>
      <c r="V84"/>
      <c r="W84"/>
    </row>
    <row r="85" spans="1:23" x14ac:dyDescent="0.3">
      <c r="A85" t="s">
        <v>306</v>
      </c>
      <c r="B85" s="150">
        <v>19474169.219601419</v>
      </c>
      <c r="C85" s="150">
        <v>19474169.219601419</v>
      </c>
      <c r="D85" s="150">
        <v>20673610.116392747</v>
      </c>
      <c r="E85" s="150"/>
      <c r="F85" s="151">
        <v>0.58571109877499994</v>
      </c>
      <c r="G85" s="152">
        <v>10455.988337376644</v>
      </c>
      <c r="H85">
        <v>1.0455988337376645E-2</v>
      </c>
      <c r="I85" s="153"/>
    </row>
    <row r="86" spans="1:23" x14ac:dyDescent="0.3">
      <c r="A86" s="43" t="s">
        <v>307</v>
      </c>
      <c r="B86" s="44">
        <v>22639319.979813498</v>
      </c>
      <c r="C86" s="44">
        <v>22639319.979813498</v>
      </c>
      <c r="D86" s="44">
        <v>23633492.9618803</v>
      </c>
      <c r="E86" s="44"/>
      <c r="F86" s="45">
        <v>0.61199999999999999</v>
      </c>
      <c r="G86" s="46">
        <v>15352.092718927001</v>
      </c>
      <c r="H86" s="43">
        <v>1.5352092718927001E-2</v>
      </c>
      <c r="I86" s="47">
        <v>0.95793372635732021</v>
      </c>
    </row>
    <row r="87" spans="1:23" x14ac:dyDescent="0.3">
      <c r="A87" t="s">
        <v>308</v>
      </c>
      <c r="B87" s="150">
        <v>16085444.010446707</v>
      </c>
      <c r="C87" s="150">
        <v>16085444.010446707</v>
      </c>
      <c r="D87" s="150">
        <v>17449319.671483699</v>
      </c>
      <c r="E87" s="150"/>
      <c r="F87" s="151">
        <v>0.53700000000000003</v>
      </c>
      <c r="G87" s="152">
        <v>3568.253687975</v>
      </c>
      <c r="H87">
        <v>3.5682536879749998E-3</v>
      </c>
      <c r="I87" s="153">
        <v>0.92183788899999997</v>
      </c>
    </row>
    <row r="88" spans="1:23" x14ac:dyDescent="0.3">
      <c r="A88" t="s">
        <v>309</v>
      </c>
      <c r="B88" s="150">
        <v>10805182.822031699</v>
      </c>
      <c r="C88" s="150">
        <v>10805182.822031699</v>
      </c>
      <c r="D88" s="150">
        <v>12992301.9717196</v>
      </c>
      <c r="E88" s="150"/>
      <c r="F88" s="151">
        <v>0.49099999999999999</v>
      </c>
      <c r="G88" s="152">
        <v>9064.2347162629994</v>
      </c>
      <c r="H88">
        <v>9.0642347162629994E-3</v>
      </c>
      <c r="I88" s="153">
        <v>0.83166038209020898</v>
      </c>
    </row>
    <row r="89" spans="1:23" x14ac:dyDescent="0.3">
      <c r="A89" t="s">
        <v>310</v>
      </c>
      <c r="B89" s="150">
        <v>22639319.979813498</v>
      </c>
      <c r="C89" s="150">
        <v>22639319.979813498</v>
      </c>
      <c r="D89" s="150">
        <v>23633492.9618803</v>
      </c>
      <c r="E89" s="150"/>
      <c r="F89" s="151">
        <v>0.80642049800000004</v>
      </c>
      <c r="G89" s="152">
        <v>16142.739251388</v>
      </c>
      <c r="H89">
        <v>1.6142739251388E-2</v>
      </c>
      <c r="I89" s="153">
        <v>0.95793372635732021</v>
      </c>
    </row>
    <row r="90" spans="1:23" x14ac:dyDescent="0.3">
      <c r="A90" t="s">
        <v>311</v>
      </c>
      <c r="B90" s="150">
        <v>9945646.340310514</v>
      </c>
      <c r="C90" s="150">
        <v>9945646.340310514</v>
      </c>
      <c r="D90" s="150">
        <v>11958783.362163</v>
      </c>
      <c r="E90" s="150"/>
      <c r="F90" s="151">
        <v>0.32642858499999999</v>
      </c>
      <c r="G90" s="152">
        <v>9064.2347162629994</v>
      </c>
      <c r="H90">
        <v>9.0642347162629994E-3</v>
      </c>
      <c r="I90" s="153">
        <v>0.83166038209020898</v>
      </c>
    </row>
    <row r="91" spans="1:23" x14ac:dyDescent="0.3">
      <c r="A91" s="43" t="s">
        <v>312</v>
      </c>
      <c r="B91" s="44">
        <v>26949428.734871496</v>
      </c>
      <c r="C91" s="44">
        <v>26949428.734871496</v>
      </c>
      <c r="D91" s="44">
        <v>28595925.1717753</v>
      </c>
      <c r="E91" s="44"/>
      <c r="F91" s="45">
        <v>0.86670000000000003</v>
      </c>
      <c r="G91" s="46">
        <v>45137.714412408997</v>
      </c>
      <c r="H91" s="43">
        <v>4.5137714412408998E-2</v>
      </c>
      <c r="I91" s="47">
        <v>0.94242199100000001</v>
      </c>
    </row>
    <row r="92" spans="1:23" x14ac:dyDescent="0.3">
      <c r="A92" t="s">
        <v>313</v>
      </c>
      <c r="B92" s="150">
        <v>26664354.295994278</v>
      </c>
      <c r="C92" s="150">
        <v>26664354.295994278</v>
      </c>
      <c r="D92" s="150">
        <v>28293433.886979699</v>
      </c>
      <c r="E92" s="150"/>
      <c r="F92" s="151">
        <v>0.48798697000000002</v>
      </c>
      <c r="G92" s="152">
        <v>45137.714412408997</v>
      </c>
      <c r="H92">
        <v>4.5137714412408998E-2</v>
      </c>
      <c r="I92" s="153">
        <v>0.94242199100000001</v>
      </c>
    </row>
    <row r="93" spans="1:23" x14ac:dyDescent="0.3">
      <c r="A93" t="s">
        <v>314</v>
      </c>
      <c r="B93" s="150">
        <v>24599421.97472629</v>
      </c>
      <c r="C93" s="150">
        <v>24599421.97472629</v>
      </c>
      <c r="D93" s="150">
        <v>25679670</v>
      </c>
      <c r="E93" s="150"/>
      <c r="F93" s="151">
        <v>0.747</v>
      </c>
      <c r="G93" s="152">
        <v>11800</v>
      </c>
      <c r="H93">
        <v>1.18E-2</v>
      </c>
      <c r="I93" s="153">
        <v>0.95793372635732044</v>
      </c>
    </row>
    <row r="94" spans="1:23" x14ac:dyDescent="0.3">
      <c r="A94" t="s">
        <v>315</v>
      </c>
      <c r="B94" s="150">
        <v>28385750.368920002</v>
      </c>
      <c r="C94" s="150">
        <v>28385750.368920002</v>
      </c>
      <c r="D94" s="150">
        <v>30120000</v>
      </c>
      <c r="E94" s="150"/>
      <c r="F94" s="151">
        <v>0.8641323406231759</v>
      </c>
      <c r="G94" s="152">
        <v>45137.714412408997</v>
      </c>
      <c r="H94">
        <v>4.5137714412408998E-2</v>
      </c>
      <c r="I94" s="153">
        <v>0.94242199100000001</v>
      </c>
    </row>
    <row r="95" spans="1:23" x14ac:dyDescent="0.3">
      <c r="A95" s="43" t="s">
        <v>131</v>
      </c>
      <c r="B95" s="44">
        <v>15396000</v>
      </c>
      <c r="C95" s="44">
        <v>15396000</v>
      </c>
      <c r="D95" s="44">
        <v>16524000</v>
      </c>
      <c r="E95" s="44"/>
      <c r="F95" s="45">
        <v>0.48699999999999999</v>
      </c>
      <c r="G95" s="46">
        <v>500</v>
      </c>
      <c r="H95" s="43">
        <v>5.0000000000000001E-4</v>
      </c>
      <c r="I95" s="47">
        <v>0.93173565722585328</v>
      </c>
    </row>
    <row r="96" spans="1:23" x14ac:dyDescent="0.3">
      <c r="A96" s="43" t="s">
        <v>132</v>
      </c>
      <c r="B96" s="44">
        <v>15929000</v>
      </c>
      <c r="C96" s="44">
        <v>15929000</v>
      </c>
      <c r="D96" s="44">
        <v>17062000</v>
      </c>
      <c r="E96" s="44"/>
      <c r="F96" s="45">
        <v>0.501</v>
      </c>
      <c r="G96" s="46">
        <v>200</v>
      </c>
      <c r="H96" s="43">
        <v>2.0000000000000001E-4</v>
      </c>
      <c r="I96" s="47">
        <v>0.93359512366662756</v>
      </c>
    </row>
    <row r="97" spans="1:23" x14ac:dyDescent="0.3">
      <c r="A97" s="43" t="s">
        <v>133</v>
      </c>
      <c r="B97" s="44">
        <v>14447000</v>
      </c>
      <c r="C97" s="44">
        <v>14447000</v>
      </c>
      <c r="D97" s="44">
        <v>15583000</v>
      </c>
      <c r="E97" s="44"/>
      <c r="F97" s="45">
        <v>0.46600000000000003</v>
      </c>
      <c r="G97" s="46">
        <v>1100</v>
      </c>
      <c r="H97" s="43">
        <v>1.1000000000000001E-3</v>
      </c>
      <c r="I97" s="47">
        <v>0.92710004492074694</v>
      </c>
    </row>
    <row r="98" spans="1:23" x14ac:dyDescent="0.3">
      <c r="A98" s="43" t="s">
        <v>134</v>
      </c>
      <c r="B98" s="44">
        <v>15342000</v>
      </c>
      <c r="C98" s="44">
        <v>15342000</v>
      </c>
      <c r="D98" s="44">
        <v>16377000</v>
      </c>
      <c r="E98" s="44"/>
      <c r="F98" s="45">
        <v>0.47599999999999998</v>
      </c>
      <c r="G98" s="46">
        <v>800</v>
      </c>
      <c r="H98" s="43">
        <v>8.0000000000000004E-4</v>
      </c>
      <c r="I98" s="47">
        <v>0.93680161201685286</v>
      </c>
    </row>
    <row r="99" spans="1:23" x14ac:dyDescent="0.3">
      <c r="A99" s="43" t="s">
        <v>135</v>
      </c>
      <c r="B99" s="44">
        <v>14716000</v>
      </c>
      <c r="C99" s="44">
        <v>14716000</v>
      </c>
      <c r="D99" s="44">
        <v>15774000</v>
      </c>
      <c r="E99" s="44"/>
      <c r="F99" s="45">
        <v>0.46700000000000003</v>
      </c>
      <c r="G99" s="46">
        <v>1000</v>
      </c>
      <c r="H99" s="43">
        <v>1E-3</v>
      </c>
      <c r="I99" s="47">
        <v>0.93292760238366934</v>
      </c>
    </row>
    <row r="100" spans="1:23" x14ac:dyDescent="0.3">
      <c r="A100" s="43" t="s">
        <v>316</v>
      </c>
      <c r="B100" s="44">
        <v>17289000</v>
      </c>
      <c r="C100" s="44">
        <v>17289000</v>
      </c>
      <c r="D100" s="44">
        <v>17906000</v>
      </c>
      <c r="E100" s="44"/>
      <c r="F100" s="45">
        <v>0.503</v>
      </c>
      <c r="G100" s="46">
        <v>400</v>
      </c>
      <c r="H100" s="43">
        <v>4.0000000000000002E-4</v>
      </c>
      <c r="I100" s="47">
        <v>0.96554227633195577</v>
      </c>
    </row>
    <row r="101" spans="1:23" x14ac:dyDescent="0.3">
      <c r="A101" t="s">
        <v>317</v>
      </c>
      <c r="B101" s="150">
        <v>15929000</v>
      </c>
      <c r="C101" s="150">
        <v>15929000</v>
      </c>
      <c r="D101" s="150">
        <v>17062000</v>
      </c>
      <c r="E101" s="150"/>
      <c r="F101" s="151">
        <v>0.501</v>
      </c>
      <c r="G101" s="152">
        <v>200</v>
      </c>
      <c r="H101">
        <v>2.0000000000000001E-4</v>
      </c>
      <c r="I101" s="153">
        <v>0.93359512366662756</v>
      </c>
    </row>
    <row r="102" spans="1:23" x14ac:dyDescent="0.3">
      <c r="A102" t="s">
        <v>318</v>
      </c>
      <c r="B102" s="150">
        <v>14999999.999999998</v>
      </c>
      <c r="C102" s="150">
        <v>14999999.999999998</v>
      </c>
      <c r="D102" s="150"/>
      <c r="E102" s="150"/>
      <c r="F102" s="151">
        <v>0.47799999999999998</v>
      </c>
      <c r="G102" s="152">
        <v>400</v>
      </c>
      <c r="H102">
        <v>4.0000000000000002E-4</v>
      </c>
      <c r="I102" s="153"/>
    </row>
    <row r="103" spans="1:23" x14ac:dyDescent="0.3">
      <c r="A103" t="s">
        <v>319</v>
      </c>
      <c r="B103" s="150">
        <v>13454048.892850777</v>
      </c>
      <c r="C103" s="150">
        <v>13454048.892850777</v>
      </c>
      <c r="D103" s="150">
        <v>15774000</v>
      </c>
      <c r="E103" s="150"/>
      <c r="F103" s="151">
        <v>0.5</v>
      </c>
      <c r="G103" s="152"/>
      <c r="I103" s="153">
        <v>0.85292563033160751</v>
      </c>
    </row>
    <row r="104" spans="1:23" x14ac:dyDescent="0.3">
      <c r="A104" t="s">
        <v>320</v>
      </c>
      <c r="B104" s="150">
        <v>12381771.311916806</v>
      </c>
      <c r="C104" s="150">
        <v>12381771.311916806</v>
      </c>
      <c r="D104" s="150">
        <v>14062678</v>
      </c>
      <c r="E104" s="150"/>
      <c r="F104" s="151">
        <v>0.46300000000000002</v>
      </c>
      <c r="G104" s="152"/>
      <c r="I104" s="153">
        <v>0.88047037071579148</v>
      </c>
    </row>
    <row r="105" spans="1:23" x14ac:dyDescent="0.3">
      <c r="A105" t="s">
        <v>321</v>
      </c>
      <c r="B105" s="150">
        <v>18916910.5715716</v>
      </c>
      <c r="C105" s="150">
        <v>18916910.5715716</v>
      </c>
      <c r="D105" s="150">
        <v>18916910.5715716</v>
      </c>
      <c r="E105" s="150"/>
      <c r="F105" s="151">
        <v>0.51200000000000001</v>
      </c>
      <c r="G105" s="152">
        <v>0</v>
      </c>
      <c r="H105">
        <v>0</v>
      </c>
      <c r="I105" s="153">
        <v>1</v>
      </c>
    </row>
    <row r="106" spans="1:23" x14ac:dyDescent="0.3">
      <c r="A106" t="s">
        <v>322</v>
      </c>
      <c r="B106" s="150">
        <v>12781599.343864119</v>
      </c>
      <c r="C106" s="150">
        <v>12781599.343864119</v>
      </c>
      <c r="D106" s="150">
        <v>14131556.354955051</v>
      </c>
      <c r="E106" s="150"/>
      <c r="F106" s="151">
        <v>0.39339999999999997</v>
      </c>
      <c r="G106" s="152">
        <v>0</v>
      </c>
      <c r="H106">
        <v>0</v>
      </c>
      <c r="I106" s="153">
        <v>0.90447216306662592</v>
      </c>
    </row>
    <row r="107" spans="1:23" x14ac:dyDescent="0.3">
      <c r="A107" t="s">
        <v>323</v>
      </c>
      <c r="B107" s="150">
        <v>14409931.248165678</v>
      </c>
      <c r="C107" s="150">
        <v>14409931.248165678</v>
      </c>
      <c r="D107" s="150">
        <v>15305245.093897162</v>
      </c>
      <c r="E107" s="150"/>
      <c r="F107" s="151">
        <v>0.41985</v>
      </c>
      <c r="G107" s="152">
        <v>0</v>
      </c>
      <c r="H107">
        <v>0</v>
      </c>
      <c r="I107" s="153">
        <v>0.94150280898876404</v>
      </c>
    </row>
    <row r="108" spans="1:23" x14ac:dyDescent="0.3">
      <c r="A108" t="s">
        <v>324</v>
      </c>
      <c r="B108" s="150">
        <v>14409931.248165678</v>
      </c>
      <c r="C108" s="150">
        <v>14409931.248165678</v>
      </c>
      <c r="D108" s="150">
        <v>15305245.093897162</v>
      </c>
      <c r="E108" s="150"/>
      <c r="F108" s="151">
        <v>0.41985</v>
      </c>
      <c r="G108" s="152">
        <v>0</v>
      </c>
      <c r="H108">
        <v>0</v>
      </c>
      <c r="I108" s="153">
        <v>0.94150280898876404</v>
      </c>
    </row>
    <row r="109" spans="1:23" x14ac:dyDescent="0.3">
      <c r="A109" t="s">
        <v>325</v>
      </c>
      <c r="B109" s="150">
        <v>11209638.734587256</v>
      </c>
      <c r="C109" s="150">
        <v>11209638.734587256</v>
      </c>
      <c r="D109" s="150">
        <v>13583444.58426456</v>
      </c>
      <c r="E109" s="150"/>
      <c r="F109" s="151">
        <v>0.49161518093556933</v>
      </c>
      <c r="G109" s="152">
        <v>1765.2250661959399</v>
      </c>
      <c r="H109">
        <v>1.7652250661959398E-3</v>
      </c>
      <c r="I109" s="153">
        <v>0.8252427184466018</v>
      </c>
    </row>
    <row r="110" spans="1:23" x14ac:dyDescent="0.3">
      <c r="A110" t="s">
        <v>326</v>
      </c>
      <c r="B110" s="150">
        <v>14155275.214870876</v>
      </c>
      <c r="C110" s="150">
        <v>14155275.214870876</v>
      </c>
      <c r="D110" s="150">
        <v>16144032.889687445</v>
      </c>
      <c r="E110" s="150"/>
      <c r="F110" s="151">
        <v>0.50491510277033058</v>
      </c>
      <c r="G110" s="152">
        <v>1787.3100983020554</v>
      </c>
      <c r="H110">
        <v>1.7873100983020554E-3</v>
      </c>
      <c r="I110" s="153">
        <v>0.87681159420289856</v>
      </c>
    </row>
    <row r="111" spans="1:23" s="12" customFormat="1" x14ac:dyDescent="0.3">
      <c r="A111" s="12" t="s">
        <v>327</v>
      </c>
      <c r="B111" s="155" t="s">
        <v>328</v>
      </c>
      <c r="C111" s="155" t="s">
        <v>328</v>
      </c>
      <c r="D111" s="155" t="s">
        <v>328</v>
      </c>
      <c r="E111" s="155" t="s">
        <v>228</v>
      </c>
      <c r="F111" s="156"/>
      <c r="G111" s="157"/>
      <c r="I111" s="158" t="s">
        <v>221</v>
      </c>
      <c r="K111" t="s">
        <v>899</v>
      </c>
      <c r="L111" s="107">
        <f>20.9*MJ2BTU/kg2ton</f>
        <v>17970765.306879215</v>
      </c>
      <c r="M111"/>
      <c r="N111"/>
      <c r="O111"/>
      <c r="P111" s="51">
        <v>0.51</v>
      </c>
      <c r="Q111" s="108">
        <f>2.5/1000</f>
        <v>2.5000000000000001E-3</v>
      </c>
      <c r="R111" s="109">
        <f>Q111/1000000</f>
        <v>2.5000000000000001E-9</v>
      </c>
      <c r="S111" s="110"/>
      <c r="T111"/>
      <c r="U111"/>
      <c r="V111"/>
      <c r="W111"/>
    </row>
    <row r="112" spans="1:23" s="12" customFormat="1" x14ac:dyDescent="0.3">
      <c r="A112" s="12" t="s">
        <v>329</v>
      </c>
      <c r="B112" s="155"/>
      <c r="C112" s="155"/>
      <c r="D112" s="155"/>
      <c r="E112" s="155"/>
      <c r="F112" s="156"/>
      <c r="G112" s="157"/>
      <c r="I112" s="158"/>
      <c r="K112" s="111" t="s">
        <v>881</v>
      </c>
      <c r="L112" s="112">
        <v>15597606.442</v>
      </c>
      <c r="M112" s="113">
        <v>15597606.442</v>
      </c>
      <c r="N112" s="113"/>
      <c r="O112" s="114"/>
      <c r="P112" s="115">
        <v>0.49149999999999999</v>
      </c>
      <c r="Q112" s="116">
        <v>0</v>
      </c>
      <c r="R112" s="109">
        <f>Q112/1000000</f>
        <v>0</v>
      </c>
      <c r="S112" s="110"/>
      <c r="T112" t="s">
        <v>898</v>
      </c>
      <c r="U112"/>
      <c r="V112"/>
      <c r="W112"/>
    </row>
    <row r="113" spans="1:9" x14ac:dyDescent="0.3">
      <c r="A113" t="s">
        <v>330</v>
      </c>
      <c r="B113" s="150">
        <v>45937.852370225541</v>
      </c>
      <c r="C113" s="150">
        <v>45937.852370225541</v>
      </c>
      <c r="D113" s="150"/>
      <c r="E113" s="150">
        <v>1760.9735619167998</v>
      </c>
      <c r="F113" s="151">
        <v>0.92307692307692313</v>
      </c>
      <c r="G113" s="152"/>
      <c r="I113" s="153"/>
    </row>
    <row r="114" spans="1:9" x14ac:dyDescent="0.3">
      <c r="A114" t="s">
        <v>331</v>
      </c>
      <c r="B114" s="150">
        <v>43399.59812202648</v>
      </c>
      <c r="C114" s="150">
        <v>43399.59812202648</v>
      </c>
      <c r="D114" s="150"/>
      <c r="E114" s="150">
        <v>2418.5752970332796</v>
      </c>
      <c r="F114" s="151">
        <v>0.9</v>
      </c>
      <c r="G114" s="152"/>
      <c r="I114" s="153"/>
    </row>
    <row r="115" spans="1:9" x14ac:dyDescent="0.3">
      <c r="A115" t="s">
        <v>332</v>
      </c>
      <c r="B115" s="150">
        <v>42284.965188538023</v>
      </c>
      <c r="C115" s="150">
        <v>42284.965188538023</v>
      </c>
      <c r="D115" s="150"/>
      <c r="E115" s="150">
        <v>2445.3760124639998</v>
      </c>
      <c r="F115" s="151">
        <v>0.88798521256931606</v>
      </c>
      <c r="G115" s="152"/>
      <c r="I115" s="153"/>
    </row>
    <row r="116" spans="1:9" x14ac:dyDescent="0.3">
      <c r="A116" t="s">
        <v>333</v>
      </c>
      <c r="B116" s="150">
        <v>38470.001279276919</v>
      </c>
      <c r="C116" s="150">
        <v>38470.001279276919</v>
      </c>
      <c r="D116" s="150"/>
      <c r="E116" s="150">
        <v>3327.4148122538395</v>
      </c>
      <c r="F116" s="151">
        <v>0.92242703533026116</v>
      </c>
      <c r="G116" s="152"/>
      <c r="I116" s="153"/>
    </row>
    <row r="117" spans="1:9" x14ac:dyDescent="0.3">
      <c r="A117" t="s">
        <v>334</v>
      </c>
      <c r="B117" s="150">
        <v>38957.179279117954</v>
      </c>
      <c r="C117" s="150">
        <v>38957.179279117954</v>
      </c>
      <c r="D117" s="150"/>
      <c r="E117" s="150">
        <v>3281.7248920209599</v>
      </c>
      <c r="F117" s="151">
        <v>0.91231687466087896</v>
      </c>
      <c r="G117" s="152"/>
      <c r="I117" s="153"/>
    </row>
    <row r="118" spans="1:9" x14ac:dyDescent="0.3">
      <c r="A118" t="s">
        <v>335</v>
      </c>
      <c r="B118" s="150">
        <v>37912.68481253268</v>
      </c>
      <c r="C118" s="150">
        <v>37912.68481253268</v>
      </c>
      <c r="D118" s="150"/>
      <c r="E118" s="150">
        <v>3491.2852883831997</v>
      </c>
      <c r="F118" s="151">
        <v>0.92242703533026116</v>
      </c>
      <c r="G118" s="152"/>
      <c r="I118" s="153"/>
    </row>
    <row r="119" spans="1:9" x14ac:dyDescent="0.3">
      <c r="A119" t="s">
        <v>336</v>
      </c>
      <c r="B119" s="150">
        <v>39151.481788782192</v>
      </c>
      <c r="C119" s="150">
        <v>39151.481788782192</v>
      </c>
      <c r="D119" s="150"/>
      <c r="E119" s="150">
        <v>3281.0132346055675</v>
      </c>
      <c r="F119" s="151">
        <v>0.90487850819363302</v>
      </c>
      <c r="G119" s="152"/>
      <c r="I119" s="153"/>
    </row>
    <row r="120" spans="1:9" x14ac:dyDescent="0.3">
      <c r="A120" t="s">
        <v>337</v>
      </c>
      <c r="B120" s="150">
        <v>39151.481788782192</v>
      </c>
      <c r="C120" s="150">
        <v>39151.481788782192</v>
      </c>
      <c r="D120" s="150"/>
      <c r="E120" s="150">
        <v>3331.9194522767998</v>
      </c>
      <c r="F120" s="151">
        <v>0.90487850819363302</v>
      </c>
      <c r="G120" s="152"/>
      <c r="I120" s="153"/>
    </row>
    <row r="121" spans="1:9" x14ac:dyDescent="0.3">
      <c r="A121" t="s">
        <v>338</v>
      </c>
      <c r="B121" s="150">
        <v>39151.481788782192</v>
      </c>
      <c r="C121" s="150">
        <v>39151.481788782192</v>
      </c>
      <c r="D121" s="150"/>
      <c r="E121" s="150">
        <v>3271.2393013792798</v>
      </c>
      <c r="F121" s="151">
        <v>0.90487850819363302</v>
      </c>
      <c r="G121" s="152"/>
      <c r="I121" s="153"/>
    </row>
    <row r="122" spans="1:9" x14ac:dyDescent="0.3">
      <c r="A122" t="s">
        <v>339</v>
      </c>
      <c r="B122" s="150">
        <v>39151.481788782192</v>
      </c>
      <c r="C122" s="150">
        <v>39151.481788782192</v>
      </c>
      <c r="D122" s="150"/>
      <c r="E122" s="150">
        <v>3259.4288166131996</v>
      </c>
      <c r="F122" s="151">
        <v>0.90487850819363302</v>
      </c>
      <c r="G122" s="152"/>
      <c r="I122" s="153"/>
    </row>
    <row r="123" spans="1:9" x14ac:dyDescent="0.3">
      <c r="A123" t="s">
        <v>340</v>
      </c>
      <c r="B123" s="150">
        <v>39151.481788782192</v>
      </c>
      <c r="C123" s="150">
        <v>39151.481788782192</v>
      </c>
      <c r="D123" s="150"/>
      <c r="E123" s="150">
        <v>3281.5734755495996</v>
      </c>
      <c r="F123" s="151">
        <v>0.90487850819363302</v>
      </c>
      <c r="G123" s="152"/>
      <c r="I123" s="153"/>
    </row>
    <row r="124" spans="1:9" s="12" customFormat="1" x14ac:dyDescent="0.3">
      <c r="A124" s="12" t="s">
        <v>341</v>
      </c>
      <c r="B124" s="155"/>
      <c r="C124" s="155"/>
      <c r="D124" s="155"/>
      <c r="E124" s="155" t="s">
        <v>342</v>
      </c>
      <c r="F124" s="156"/>
      <c r="G124" s="157"/>
      <c r="I124" s="158"/>
    </row>
    <row r="125" spans="1:9" x14ac:dyDescent="0.3">
      <c r="A125" t="s">
        <v>343</v>
      </c>
      <c r="B125" s="150">
        <v>45010.88722655912</v>
      </c>
      <c r="C125" s="150">
        <v>45010.88722655912</v>
      </c>
      <c r="D125" s="150"/>
      <c r="E125" s="150">
        <v>38.403307348070406</v>
      </c>
      <c r="F125" s="151">
        <v>0.79853723404255317</v>
      </c>
      <c r="G125" s="152"/>
      <c r="I125" s="153"/>
    </row>
    <row r="126" spans="1:9" x14ac:dyDescent="0.3">
      <c r="A126" t="s">
        <v>344</v>
      </c>
      <c r="B126" s="150">
        <v>44695.264125494781</v>
      </c>
      <c r="C126" s="150">
        <v>44695.264125494781</v>
      </c>
      <c r="D126" s="150"/>
      <c r="E126" s="150">
        <v>35.687721759897606</v>
      </c>
      <c r="F126" s="151">
        <v>0.85602280826799715</v>
      </c>
      <c r="G126" s="152"/>
      <c r="I126" s="153"/>
    </row>
    <row r="127" spans="1:9" x14ac:dyDescent="0.3">
      <c r="A127" t="s">
        <v>345</v>
      </c>
      <c r="B127" s="150">
        <v>43399.59812202648</v>
      </c>
      <c r="C127" s="150">
        <v>43399.59812202648</v>
      </c>
      <c r="D127" s="150"/>
      <c r="E127" s="150">
        <v>54.223929539020808</v>
      </c>
      <c r="F127" s="151">
        <v>0.85602280826799715</v>
      </c>
      <c r="G127" s="152"/>
      <c r="I127" s="153"/>
    </row>
    <row r="128" spans="1:9" x14ac:dyDescent="0.3">
      <c r="A128" t="s">
        <v>346</v>
      </c>
      <c r="B128" s="150">
        <v>42628.548894651591</v>
      </c>
      <c r="C128" s="150">
        <v>42628.548894651591</v>
      </c>
      <c r="D128" s="150"/>
      <c r="E128" s="150"/>
      <c r="F128" s="151">
        <v>0.92307692307692313</v>
      </c>
      <c r="G128" s="152"/>
      <c r="I128" s="153"/>
    </row>
    <row r="129" spans="1:9" x14ac:dyDescent="0.3">
      <c r="A129" t="s">
        <v>347</v>
      </c>
      <c r="B129" s="150">
        <v>42972.132600765173</v>
      </c>
      <c r="C129" s="150">
        <v>42972.132600765173</v>
      </c>
      <c r="D129" s="150"/>
      <c r="E129" s="150"/>
      <c r="F129" s="151">
        <v>0.85602280826799715</v>
      </c>
      <c r="G129" s="152"/>
      <c r="I129" s="153"/>
    </row>
    <row r="130" spans="1:9" s="12" customFormat="1" x14ac:dyDescent="0.3">
      <c r="A130" s="12" t="s">
        <v>348</v>
      </c>
      <c r="B130" s="155" t="s">
        <v>328</v>
      </c>
      <c r="C130" s="155" t="s">
        <v>328</v>
      </c>
      <c r="D130" s="155"/>
      <c r="E130" s="155"/>
      <c r="F130" s="156"/>
      <c r="G130" s="157"/>
      <c r="I130" s="158"/>
    </row>
    <row r="131" spans="1:9" x14ac:dyDescent="0.3">
      <c r="A131" t="s">
        <v>349</v>
      </c>
      <c r="B131" s="150">
        <v>152370.90134048002</v>
      </c>
      <c r="C131" s="150">
        <v>152370.90134048002</v>
      </c>
      <c r="D131" s="150">
        <v>162963.53084543315</v>
      </c>
      <c r="E131" s="150">
        <v>3839.6821254480283</v>
      </c>
      <c r="F131" s="151">
        <v>0.83</v>
      </c>
      <c r="G131" s="152">
        <v>48000</v>
      </c>
      <c r="H131">
        <v>4.8000000000000001E-2</v>
      </c>
      <c r="I131" s="153">
        <v>0.93500000000000016</v>
      </c>
    </row>
    <row r="132" spans="1:9" x14ac:dyDescent="0.3">
      <c r="A132" t="s">
        <v>350</v>
      </c>
      <c r="B132" s="150">
        <v>144230</v>
      </c>
      <c r="C132" s="150"/>
      <c r="D132" s="150"/>
      <c r="E132" s="150">
        <v>3785.4109999999991</v>
      </c>
      <c r="F132" s="151">
        <v>0.80800504236780391</v>
      </c>
      <c r="G132" s="152">
        <v>3510</v>
      </c>
      <c r="I132" s="153"/>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3287F-ACD0-4EFD-88AB-FA78D66779C9}">
  <sheetPr codeName="Sheet4"/>
  <dimension ref="A1:S21"/>
  <sheetViews>
    <sheetView topLeftCell="C1" workbookViewId="0">
      <selection activeCell="U1023" sqref="U1023"/>
    </sheetView>
  </sheetViews>
  <sheetFormatPr defaultRowHeight="14.4" x14ac:dyDescent="0.3"/>
  <cols>
    <col min="1" max="1" width="18.33203125" customWidth="1"/>
    <col min="2" max="2" width="10.44140625" customWidth="1"/>
    <col min="3" max="3" width="38" customWidth="1"/>
    <col min="5" max="5" width="18.5546875" customWidth="1"/>
    <col min="6" max="6" width="10.6640625" customWidth="1"/>
    <col min="7" max="8" width="18.5546875" customWidth="1"/>
    <col min="9" max="9" width="6.109375" customWidth="1"/>
    <col min="10" max="10" width="21.5546875" customWidth="1"/>
    <col min="11" max="11" width="20.88671875" customWidth="1"/>
    <col min="12" max="14" width="18.5546875" customWidth="1"/>
    <col min="15" max="15" width="18.44140625" customWidth="1"/>
    <col min="16" max="16" width="16.109375" customWidth="1"/>
  </cols>
  <sheetData>
    <row r="1" spans="1:19" ht="60.45" customHeight="1" x14ac:dyDescent="0.3">
      <c r="A1" t="s">
        <v>173</v>
      </c>
      <c r="B1" t="s">
        <v>1631</v>
      </c>
      <c r="C1" s="221" t="s">
        <v>1630</v>
      </c>
      <c r="E1" s="257" t="s">
        <v>1877</v>
      </c>
      <c r="G1" s="257" t="s">
        <v>2266</v>
      </c>
      <c r="H1" s="257" t="s">
        <v>2267</v>
      </c>
      <c r="I1" s="232"/>
      <c r="J1" s="450" t="s">
        <v>2268</v>
      </c>
      <c r="K1" s="450" t="s">
        <v>2269</v>
      </c>
      <c r="L1" s="232"/>
      <c r="M1" s="257" t="s">
        <v>2270</v>
      </c>
      <c r="N1" s="450"/>
      <c r="O1" s="17"/>
    </row>
    <row r="2" spans="1:19" ht="18.600000000000001" customHeight="1" x14ac:dyDescent="0.3">
      <c r="A2" t="s">
        <v>2232</v>
      </c>
      <c r="B2" s="33" t="s">
        <v>1626</v>
      </c>
      <c r="C2" s="258">
        <f ca="1">E2*$G$2*$H$2/$M$2</f>
        <v>9.0097422748211198</v>
      </c>
      <c r="D2" s="95"/>
      <c r="E2" s="243">
        <v>12.439015489452327</v>
      </c>
      <c r="F2" s="225"/>
      <c r="G2" s="243">
        <v>0.76017021830444065</v>
      </c>
      <c r="H2" s="243">
        <f ca="1">$K2/$J2</f>
        <v>0.95283018867924529</v>
      </c>
      <c r="I2" s="225"/>
      <c r="J2" s="225">
        <v>1.0600000000000003</v>
      </c>
      <c r="K2" s="225">
        <f ca="1">LCI!$U$2692</f>
        <v>1.0100000000000002</v>
      </c>
      <c r="L2" s="225"/>
      <c r="M2" s="225">
        <f ca="1">(LCI!U2676/LCI!U2677)/2.86368843069874</f>
        <v>1</v>
      </c>
      <c r="O2" s="225"/>
      <c r="P2" s="225"/>
    </row>
    <row r="3" spans="1:19" x14ac:dyDescent="0.3">
      <c r="A3" t="s">
        <v>2232</v>
      </c>
      <c r="B3" s="30" t="s">
        <v>1627</v>
      </c>
      <c r="C3" s="258">
        <f ca="1">E3*$G$2*$H$2/$M$2</f>
        <v>3.7646719755045757</v>
      </c>
      <c r="E3" s="243">
        <v>5.1975752011106504</v>
      </c>
      <c r="F3" s="225"/>
      <c r="G3" s="243"/>
      <c r="H3" s="243"/>
      <c r="I3" s="225"/>
      <c r="J3" s="225"/>
      <c r="K3" s="225"/>
      <c r="L3" s="225"/>
      <c r="M3" s="225"/>
      <c r="P3" s="225"/>
    </row>
    <row r="4" spans="1:19" x14ac:dyDescent="0.3">
      <c r="A4" t="s">
        <v>2232</v>
      </c>
      <c r="B4" s="30" t="s">
        <v>1625</v>
      </c>
      <c r="C4" s="258">
        <f ca="1">E4*$G$2*$H$2/$M$2</f>
        <v>-1.4138237660730051</v>
      </c>
      <c r="E4" s="243">
        <v>-1.9519510313503501</v>
      </c>
      <c r="F4" s="225"/>
      <c r="G4" s="243"/>
      <c r="H4" s="243"/>
      <c r="I4" s="225"/>
      <c r="J4" s="225"/>
      <c r="K4" s="225"/>
      <c r="L4" s="225"/>
      <c r="M4" s="225"/>
      <c r="P4" s="225"/>
    </row>
    <row r="5" spans="1:19" x14ac:dyDescent="0.3">
      <c r="A5" t="s">
        <v>2232</v>
      </c>
      <c r="B5" s="30" t="s">
        <v>1623</v>
      </c>
      <c r="C5" s="258">
        <f ca="1">E5*$G$2*$H$2/$M$2</f>
        <v>-0.2971296940916287</v>
      </c>
      <c r="E5" s="243">
        <v>-0.41022270720339571</v>
      </c>
      <c r="F5" s="225"/>
      <c r="G5" s="243"/>
      <c r="H5" s="243"/>
      <c r="I5" s="225"/>
      <c r="J5" s="225"/>
      <c r="K5" s="225"/>
      <c r="L5" s="225"/>
      <c r="M5" s="225"/>
      <c r="P5" s="225"/>
    </row>
    <row r="6" spans="1:19" x14ac:dyDescent="0.3">
      <c r="A6" t="s">
        <v>2232</v>
      </c>
      <c r="B6" s="176" t="s">
        <v>1624</v>
      </c>
      <c r="C6" s="258">
        <f ca="1">E6*$G$2*$H$2/$M$2</f>
        <v>11.063460790161059</v>
      </c>
      <c r="E6" s="243">
        <v>15.274416952009229</v>
      </c>
      <c r="F6" s="225"/>
      <c r="G6" s="165"/>
      <c r="H6" s="165"/>
      <c r="J6" s="225"/>
      <c r="K6" s="225"/>
      <c r="L6" s="225"/>
      <c r="M6" s="225"/>
      <c r="P6" s="225"/>
    </row>
    <row r="7" spans="1:19" x14ac:dyDescent="0.3">
      <c r="A7" s="222" t="s">
        <v>192</v>
      </c>
      <c r="B7" s="33" t="s">
        <v>1626</v>
      </c>
      <c r="C7" s="258">
        <f ca="1">E7*$G$7*$H$7</f>
        <v>12.168617573210515</v>
      </c>
      <c r="E7" s="243">
        <v>9.8879983196324712</v>
      </c>
      <c r="F7" s="225"/>
      <c r="G7" s="243">
        <v>1.2306451902454214</v>
      </c>
      <c r="H7" s="243">
        <f ca="1">$K7/$J7</f>
        <v>1.0000000000000004</v>
      </c>
      <c r="I7" s="225"/>
      <c r="J7" s="225">
        <v>60.955501310224804</v>
      </c>
      <c r="K7" s="225">
        <f ca="1">LCI!$U$2707/lb2g*Fuel_Specs!$E$48/Fuel_Specs!$B$48/BTU2mmBTU*0.911711975329766</f>
        <v>60.955501310224832</v>
      </c>
      <c r="L7" s="225"/>
      <c r="M7" s="225"/>
      <c r="N7" s="225"/>
      <c r="O7" s="225"/>
      <c r="P7" s="225"/>
      <c r="S7" s="225"/>
    </row>
    <row r="8" spans="1:19" x14ac:dyDescent="0.3">
      <c r="A8" s="222" t="s">
        <v>192</v>
      </c>
      <c r="B8" s="30" t="s">
        <v>1627</v>
      </c>
      <c r="C8" s="258">
        <f t="shared" ref="C8:C11" ca="1" si="0">E8*$G$7*$H$7</f>
        <v>3.5092363459654905</v>
      </c>
      <c r="E8" s="243">
        <v>2.8515419178338961</v>
      </c>
      <c r="F8" s="95"/>
      <c r="G8" s="259"/>
      <c r="H8" s="259"/>
      <c r="I8" s="95"/>
      <c r="J8" s="225"/>
      <c r="K8" s="225"/>
      <c r="L8" s="95"/>
      <c r="M8" s="95"/>
      <c r="P8" s="225"/>
    </row>
    <row r="9" spans="1:19" x14ac:dyDescent="0.3">
      <c r="A9" s="222" t="s">
        <v>192</v>
      </c>
      <c r="B9" s="30" t="s">
        <v>1625</v>
      </c>
      <c r="C9" s="258">
        <f t="shared" ca="1" si="0"/>
        <v>1.3569877241384591</v>
      </c>
      <c r="E9" s="243">
        <v>1.1026636555316494</v>
      </c>
      <c r="F9" s="95"/>
      <c r="G9" s="259"/>
      <c r="H9" s="259"/>
      <c r="I9" s="95"/>
      <c r="J9" s="225"/>
      <c r="K9" s="225"/>
      <c r="L9" s="95"/>
      <c r="M9" s="95"/>
      <c r="P9" s="225"/>
    </row>
    <row r="10" spans="1:19" x14ac:dyDescent="0.3">
      <c r="A10" s="222" t="s">
        <v>192</v>
      </c>
      <c r="B10" s="30" t="s">
        <v>1623</v>
      </c>
      <c r="C10" s="258">
        <f t="shared" ca="1" si="0"/>
        <v>-0.80177344012275709</v>
      </c>
      <c r="E10" s="243">
        <v>-0.65150658083900126</v>
      </c>
      <c r="F10" s="95"/>
      <c r="G10" s="259"/>
      <c r="H10" s="259"/>
      <c r="I10" s="95"/>
      <c r="J10" s="225"/>
      <c r="K10" s="225"/>
      <c r="L10" s="95"/>
      <c r="M10" s="95"/>
      <c r="P10" s="225"/>
    </row>
    <row r="11" spans="1:19" x14ac:dyDescent="0.3">
      <c r="A11" s="222" t="s">
        <v>192</v>
      </c>
      <c r="B11" s="176" t="s">
        <v>1624</v>
      </c>
      <c r="C11" s="258">
        <f t="shared" ca="1" si="0"/>
        <v>16.23306820319171</v>
      </c>
      <c r="E11" s="243">
        <v>13.190697312159017</v>
      </c>
      <c r="F11" s="95"/>
      <c r="G11" s="165"/>
      <c r="H11" s="165"/>
      <c r="J11" s="225"/>
      <c r="K11" s="225"/>
      <c r="L11" s="95"/>
      <c r="M11" s="95"/>
      <c r="P11" s="225"/>
    </row>
    <row r="12" spans="1:19" x14ac:dyDescent="0.3">
      <c r="A12" s="223" t="s">
        <v>176</v>
      </c>
      <c r="B12" s="33" t="s">
        <v>1626</v>
      </c>
      <c r="C12" s="258">
        <f ca="1">E12*$G$12*$H$12</f>
        <v>18.058215830673696</v>
      </c>
      <c r="E12" s="243">
        <v>16.60551512219191</v>
      </c>
      <c r="G12" s="259">
        <v>1.0874830258376236</v>
      </c>
      <c r="H12" s="243">
        <f ca="1">$K12/$J12</f>
        <v>1.0000000000000011</v>
      </c>
      <c r="I12" s="95"/>
      <c r="J12" s="225">
        <v>60.955501310224768</v>
      </c>
      <c r="K12" s="225">
        <f ca="1">LCI!$U$2737/lb2g*Fuel_Specs!$E$48/Fuel_Specs!$B$48/BTU2mmBTU*0.911711975329766</f>
        <v>60.955501310224832</v>
      </c>
      <c r="N12" s="225"/>
      <c r="O12" s="225"/>
      <c r="P12" s="225"/>
    </row>
    <row r="13" spans="1:19" x14ac:dyDescent="0.3">
      <c r="A13" s="223" t="s">
        <v>176</v>
      </c>
      <c r="B13" s="30" t="s">
        <v>1627</v>
      </c>
      <c r="C13" s="258">
        <f t="shared" ref="C13:C16" ca="1" si="1">E13*$G$12*$H$12</f>
        <v>5.9308426230762015</v>
      </c>
      <c r="E13" s="243">
        <v>5.4537335132270401</v>
      </c>
      <c r="F13" s="225"/>
      <c r="G13" s="243"/>
      <c r="H13" s="243"/>
      <c r="I13" s="225"/>
      <c r="J13" s="225"/>
      <c r="K13" s="225"/>
      <c r="L13" s="225"/>
      <c r="M13" s="225"/>
      <c r="P13" s="225"/>
    </row>
    <row r="14" spans="1:19" x14ac:dyDescent="0.3">
      <c r="A14" s="223" t="s">
        <v>176</v>
      </c>
      <c r="B14" s="30" t="s">
        <v>1625</v>
      </c>
      <c r="C14" s="258">
        <f t="shared" ca="1" si="1"/>
        <v>7.3358256797885685E-2</v>
      </c>
      <c r="E14" s="243">
        <v>6.7456921216202059E-2</v>
      </c>
      <c r="F14" s="225"/>
      <c r="G14" s="243"/>
      <c r="H14" s="243"/>
      <c r="I14" s="225"/>
      <c r="J14" s="225"/>
      <c r="K14" s="225"/>
      <c r="L14" s="225"/>
      <c r="M14" s="225"/>
      <c r="P14" s="225"/>
    </row>
    <row r="15" spans="1:19" x14ac:dyDescent="0.3">
      <c r="A15" s="223" t="s">
        <v>176</v>
      </c>
      <c r="B15" s="30" t="s">
        <v>1623</v>
      </c>
      <c r="C15" s="258">
        <f t="shared" ca="1" si="1"/>
        <v>-0.32421779211704449</v>
      </c>
      <c r="E15" s="243">
        <v>-0.29813595652890162</v>
      </c>
      <c r="F15" s="225"/>
      <c r="G15" s="243"/>
      <c r="H15" s="243"/>
      <c r="I15" s="225"/>
      <c r="J15" s="225"/>
      <c r="K15" s="225"/>
      <c r="L15" s="225"/>
      <c r="M15" s="225"/>
      <c r="P15" s="225"/>
    </row>
    <row r="16" spans="1:19" x14ac:dyDescent="0.3">
      <c r="A16" s="223" t="s">
        <v>176</v>
      </c>
      <c r="B16" s="176" t="s">
        <v>1624</v>
      </c>
      <c r="C16" s="258">
        <f t="shared" ca="1" si="1"/>
        <v>23.738198918430733</v>
      </c>
      <c r="E16" s="243">
        <v>21.828569600106249</v>
      </c>
      <c r="F16" s="225"/>
      <c r="G16" s="165"/>
      <c r="H16" s="165"/>
      <c r="J16" s="225"/>
      <c r="K16" s="225"/>
      <c r="L16" s="225"/>
      <c r="M16" s="225"/>
      <c r="P16" s="225"/>
    </row>
    <row r="17" spans="1:16" x14ac:dyDescent="0.3">
      <c r="A17" s="224" t="s">
        <v>2245</v>
      </c>
      <c r="B17" s="33" t="s">
        <v>1626</v>
      </c>
      <c r="C17" s="258">
        <f ca="1">E17*$G$17*$H$17/$M$17</f>
        <v>10.599719034018655</v>
      </c>
      <c r="E17" s="243">
        <v>13.3888199392976</v>
      </c>
      <c r="F17" s="225"/>
      <c r="G17" s="243">
        <v>0.83087663068854367</v>
      </c>
      <c r="H17" s="243">
        <f ca="1">$K17/$J17</f>
        <v>0.95283018867924529</v>
      </c>
      <c r="I17" s="225"/>
      <c r="J17" s="225">
        <v>1.0600000000000003</v>
      </c>
      <c r="K17" s="225">
        <f ca="1">LCI!$U$2722</f>
        <v>1.0100000000000002</v>
      </c>
      <c r="L17" s="225"/>
      <c r="M17" s="225">
        <f ca="1">LCI!U2827/20.8467781960321</f>
        <v>0.99999999999999978</v>
      </c>
      <c r="N17" s="225"/>
      <c r="O17" s="225"/>
      <c r="P17" s="225"/>
    </row>
    <row r="18" spans="1:16" x14ac:dyDescent="0.3">
      <c r="A18" s="224" t="s">
        <v>2245</v>
      </c>
      <c r="B18" s="30" t="s">
        <v>1627</v>
      </c>
      <c r="C18" s="258">
        <f ca="1">E18*$G$17*$H$17/$M$17</f>
        <v>-3.0110498256413556</v>
      </c>
      <c r="E18" s="243">
        <v>-3.8033464674281277</v>
      </c>
      <c r="F18" s="225"/>
      <c r="G18" s="243"/>
      <c r="H18" s="243"/>
      <c r="I18" s="225"/>
      <c r="J18" s="225"/>
      <c r="K18" s="225"/>
      <c r="L18" s="225"/>
      <c r="M18" s="225"/>
    </row>
    <row r="19" spans="1:16" x14ac:dyDescent="0.3">
      <c r="A19" s="224" t="s">
        <v>2245</v>
      </c>
      <c r="B19" s="30" t="s">
        <v>1625</v>
      </c>
      <c r="C19" s="258">
        <f ca="1">E19*$G$17*$H$17/$M$17</f>
        <v>-1.5624940651945958</v>
      </c>
      <c r="E19" s="243">
        <v>-1.97363266214616</v>
      </c>
      <c r="F19" s="225"/>
      <c r="G19" s="243"/>
      <c r="H19" s="243"/>
      <c r="I19" s="225"/>
      <c r="J19" s="225"/>
      <c r="K19" s="225"/>
      <c r="L19" s="225"/>
      <c r="M19" s="225"/>
    </row>
    <row r="20" spans="1:16" x14ac:dyDescent="0.3">
      <c r="A20" s="224" t="s">
        <v>2245</v>
      </c>
      <c r="B20" s="30" t="s">
        <v>1623</v>
      </c>
      <c r="C20" s="258">
        <f ca="1">E20*$G$17*$H$17/$M$17</f>
        <v>-0.14452682241957318</v>
      </c>
      <c r="E20" s="243">
        <v>-0.1825561220598575</v>
      </c>
      <c r="F20" s="225"/>
      <c r="G20" s="243"/>
      <c r="H20" s="243"/>
      <c r="I20" s="225"/>
      <c r="J20" s="225"/>
      <c r="K20" s="225"/>
      <c r="L20" s="225"/>
      <c r="M20" s="225"/>
    </row>
    <row r="21" spans="1:16" x14ac:dyDescent="0.3">
      <c r="A21" s="224" t="s">
        <v>2245</v>
      </c>
      <c r="B21" s="176" t="s">
        <v>1624</v>
      </c>
      <c r="C21" s="258">
        <f ca="1">E21*$G$17*$H$17/$M$17</f>
        <v>5.8816483207631318</v>
      </c>
      <c r="E21" s="243">
        <v>7.4292846876634542</v>
      </c>
      <c r="F21" s="225"/>
      <c r="G21" s="243"/>
      <c r="H21" s="243"/>
      <c r="I21" s="225"/>
      <c r="J21" s="225"/>
      <c r="K21" s="225"/>
      <c r="L21" s="225"/>
      <c r="M21" s="225"/>
    </row>
  </sheetData>
  <pageMargins left="0.7" right="0.7" top="0.75" bottom="0.75" header="0.3" footer="0.3"/>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DB088-DC92-4FA1-B118-503EDA89AE30}">
  <sheetPr codeName="DashboardData"/>
  <dimension ref="A1:DS15"/>
  <sheetViews>
    <sheetView zoomScaleNormal="100" workbookViewId="0">
      <selection activeCell="N27" sqref="N27:AX28"/>
    </sheetView>
  </sheetViews>
  <sheetFormatPr defaultRowHeight="14.4" x14ac:dyDescent="0.3"/>
  <cols>
    <col min="18" max="18" width="31.6640625" customWidth="1"/>
    <col min="31" max="31" width="21.44140625" customWidth="1"/>
    <col min="34" max="34" width="17" customWidth="1"/>
    <col min="35" max="35" width="17.88671875" customWidth="1"/>
    <col min="36" max="36" width="12.5546875" customWidth="1"/>
    <col min="47" max="47" width="11.44140625" customWidth="1"/>
    <col min="49" max="51" width="11.5546875" customWidth="1"/>
    <col min="70" max="70" width="17" customWidth="1"/>
    <col min="71" max="71" width="17.88671875" customWidth="1"/>
    <col min="72" max="72" width="12.5546875" customWidth="1"/>
    <col min="75" max="75" width="26" customWidth="1"/>
    <col min="83" max="84" width="11.5546875" customWidth="1"/>
    <col min="110" max="110" width="41.88671875" customWidth="1"/>
    <col min="111" max="113" width="31" customWidth="1"/>
    <col min="115" max="115" width="25.33203125" customWidth="1"/>
    <col min="116" max="116" width="27.6640625" customWidth="1"/>
    <col min="117" max="137" width="19" customWidth="1"/>
  </cols>
  <sheetData>
    <row r="1" spans="1:123" x14ac:dyDescent="0.3">
      <c r="B1" t="s">
        <v>206</v>
      </c>
      <c r="D1" t="s">
        <v>63</v>
      </c>
      <c r="F1">
        <f ca="1">IF(COUNTA(Dash_LCIJetFuel)&lt;&gt;1,COUNTA(Dash_LCIJetFuel),0)/COUNTA(LCIJetFuel_h)</f>
        <v>13</v>
      </c>
      <c r="AJ1" t="s">
        <v>205</v>
      </c>
      <c r="AL1" t="s">
        <v>63</v>
      </c>
      <c r="AO1">
        <f ca="1">IF(COUNTA(Dash_LCIFarm)&lt;&gt;1,COUNTA(Dash_LCIFarm),0)/COUNTA(LCIFarm_h)</f>
        <v>0</v>
      </c>
      <c r="BQ1" t="s">
        <v>95</v>
      </c>
      <c r="BT1" t="s">
        <v>63</v>
      </c>
      <c r="BU1">
        <f>IF(COUNTA(Dash_Transport)&lt;&gt;1,COUNTA(Dash_Transport),0)/COUNTA(Transport_H)</f>
        <v>10</v>
      </c>
      <c r="CV1" t="s">
        <v>903</v>
      </c>
      <c r="CZ1">
        <f ca="1">IF(COUNTA(Dash_Selection)&lt;&gt;1,COUNTA(Dash_Selection),0)/COUNTA(Selection_H)</f>
        <v>1</v>
      </c>
    </row>
    <row r="2" spans="1:123" x14ac:dyDescent="0.3">
      <c r="B2" s="7" t="str" cm="1">
        <f t="array" ref="B2:AD2">LCI_Table[#Headers]</f>
        <v>LCI ID</v>
      </c>
      <c r="C2" s="8" t="str">
        <v>Feedstock</v>
      </c>
      <c r="D2" s="8" t="str">
        <v>Conversion</v>
      </c>
      <c r="E2" s="8" t="str">
        <v>Data Source</v>
      </c>
      <c r="F2" s="8" t="str">
        <v>Data Set</v>
      </c>
      <c r="G2" s="8" t="str">
        <v>Technology</v>
      </c>
      <c r="H2" s="8" t="str">
        <v>Show Feedstock</v>
      </c>
      <c r="I2" s="8" t="str">
        <v>Show Conversion</v>
      </c>
      <c r="J2" s="8" t="str">
        <v>Show Data Set</v>
      </c>
      <c r="K2" s="8" t="str">
        <v>Show Technology</v>
      </c>
      <c r="L2" s="8" t="str">
        <v>Show Data Source</v>
      </c>
      <c r="M2" s="8" t="str">
        <v>Conditional</v>
      </c>
      <c r="N2" s="8" t="str">
        <v>Hide Row</v>
      </c>
      <c r="O2" s="8" t="str">
        <v>IsVisible</v>
      </c>
      <c r="P2" s="8" t="str">
        <v>Do Not Send</v>
      </c>
      <c r="Q2" s="8" t="str">
        <v>Process Name</v>
      </c>
      <c r="R2" s="8" t="str">
        <v>GREET1 Name Range</v>
      </c>
      <c r="S2" s="9" t="str">
        <v>Input</v>
      </c>
      <c r="T2" s="11" t="str">
        <v>Dashboard Value</v>
      </c>
      <c r="U2" s="11" t="str">
        <v>Display Unit</v>
      </c>
      <c r="V2" s="11" t="str">
        <v>Calculated Value</v>
      </c>
      <c r="W2" s="11" t="str">
        <v>Default Displayed Value</v>
      </c>
      <c r="X2" s="11" t="str">
        <v>Default Calculated Value</v>
      </c>
      <c r="Y2" s="11" t="str">
        <v>Unit</v>
      </c>
      <c r="Z2" s="11" t="str">
        <v>Functional Unit</v>
      </c>
      <c r="AA2" s="11" t="str">
        <v>Notes</v>
      </c>
      <c r="AB2" s="11" t="str">
        <v>Notes for user</v>
      </c>
      <c r="AC2" s="11" t="str">
        <v>Dev Notes</v>
      </c>
      <c r="AD2" s="11" t="str">
        <v>QA Check</v>
      </c>
      <c r="AE2" s="11"/>
      <c r="AF2" s="11"/>
      <c r="AG2" s="11"/>
      <c r="AH2" s="11"/>
      <c r="AI2" s="11"/>
      <c r="AJ2" s="7" t="str" cm="1">
        <f t="array" ref="AJ2:BL2">LCI_Table[#Headers]</f>
        <v>LCI ID</v>
      </c>
      <c r="AK2" s="8" t="str">
        <v>Feedstock</v>
      </c>
      <c r="AL2" s="8" t="str">
        <v>Conversion</v>
      </c>
      <c r="AM2" s="8" t="str">
        <v>Data Source</v>
      </c>
      <c r="AN2" s="8" t="str">
        <v>Data Set</v>
      </c>
      <c r="AO2" s="8" t="str">
        <v>Technology</v>
      </c>
      <c r="AP2" s="8" t="str">
        <v>Show Feedstock</v>
      </c>
      <c r="AQ2" s="8" t="str">
        <v>Show Conversion</v>
      </c>
      <c r="AR2" s="8" t="str">
        <v>Show Data Set</v>
      </c>
      <c r="AS2" s="8" t="str">
        <v>Show Technology</v>
      </c>
      <c r="AT2" s="8" t="str">
        <v>Show Data Source</v>
      </c>
      <c r="AU2" s="8" t="str">
        <v>Conditional</v>
      </c>
      <c r="AV2" s="8" t="str">
        <v>Hide Row</v>
      </c>
      <c r="AW2" s="8" t="str">
        <v>IsVisible</v>
      </c>
      <c r="AX2" s="8" t="str">
        <v>Do Not Send</v>
      </c>
      <c r="AY2" s="8" t="str">
        <v>Process Name</v>
      </c>
      <c r="AZ2" s="8" t="str">
        <v>GREET1 Name Range</v>
      </c>
      <c r="BA2" s="8" t="str">
        <v>Input</v>
      </c>
      <c r="BB2" s="8" t="str">
        <v>Dashboard Value</v>
      </c>
      <c r="BC2" s="9" t="str">
        <v>Display Unit</v>
      </c>
      <c r="BD2" s="11" t="str">
        <v>Calculated Value</v>
      </c>
      <c r="BE2" s="11" t="str">
        <v>Default Displayed Value</v>
      </c>
      <c r="BF2" s="11" t="str">
        <v>Default Calculated Value</v>
      </c>
      <c r="BG2" s="11" t="str">
        <v>Unit</v>
      </c>
      <c r="BH2" s="11" t="str">
        <v>Functional Unit</v>
      </c>
      <c r="BI2" s="11" t="str">
        <v>Notes</v>
      </c>
      <c r="BJ2" s="11" t="str">
        <v>Notes for user</v>
      </c>
      <c r="BK2" s="11" t="str">
        <v>Dev Notes</v>
      </c>
      <c r="BL2" s="11" t="str">
        <v>QA Check</v>
      </c>
      <c r="BM2" s="11"/>
      <c r="BN2" s="11"/>
      <c r="BQ2" s="7" t="str" cm="1">
        <f t="array" ref="BQ2:CK2">Transport_Table[#Headers]</f>
        <v>Feedstock</v>
      </c>
      <c r="BR2" s="8" t="str">
        <v>Conversion</v>
      </c>
      <c r="BS2" s="8" t="str">
        <v>Data Source</v>
      </c>
      <c r="BT2" s="8" t="str">
        <v>Data Set</v>
      </c>
      <c r="BU2" s="8" t="str">
        <v>Technology</v>
      </c>
      <c r="BV2" s="8" t="str">
        <v>Show Feedstock</v>
      </c>
      <c r="BW2" s="8" t="str">
        <v>Show Conversion</v>
      </c>
      <c r="BX2" s="8" t="str">
        <v>Show Option</v>
      </c>
      <c r="BY2" s="8" t="str">
        <v>Show Technology</v>
      </c>
      <c r="BZ2" s="8" t="str">
        <v>Show Data Source</v>
      </c>
      <c r="CA2" s="8" t="str">
        <v>Hide Column</v>
      </c>
      <c r="CB2" s="8" t="str">
        <v>IsVisible</v>
      </c>
      <c r="CC2" s="8" t="str">
        <v>Process Name</v>
      </c>
      <c r="CD2" s="8" t="str">
        <v>GREET1 Name Range, Share</v>
      </c>
      <c r="CE2" s="8" t="str">
        <v>GREET1 Name Range, Distance</v>
      </c>
      <c r="CF2" s="8" t="str">
        <v>Item</v>
      </c>
      <c r="CG2" s="8" t="str">
        <v>Transportation Type</v>
      </c>
      <c r="CH2" s="8" t="str">
        <v>Default Share</v>
      </c>
      <c r="CI2" s="8" t="str">
        <v>Default Distance</v>
      </c>
      <c r="CJ2" s="8" t="str">
        <v>Notes</v>
      </c>
      <c r="CK2" s="8" t="str">
        <v>Notes for user</v>
      </c>
      <c r="CL2" s="8"/>
      <c r="CM2" s="8"/>
      <c r="CN2" s="8"/>
      <c r="CO2" s="8"/>
      <c r="CP2" s="8"/>
      <c r="CQ2" s="9"/>
      <c r="CR2" s="9"/>
      <c r="CV2" s="7" t="str" cm="1">
        <f t="array" ref="CV2:DS2">SelectionsTable[#Headers]</f>
        <v>ID</v>
      </c>
      <c r="CW2" s="7" t="str">
        <v>Feedstock</v>
      </c>
      <c r="CX2" s="7" t="str">
        <v>Conversion</v>
      </c>
      <c r="CY2" s="7" t="str">
        <v>Data Set</v>
      </c>
      <c r="CZ2" s="7" t="str">
        <v>Data Source</v>
      </c>
      <c r="DA2" s="7" t="str">
        <v>Technology</v>
      </c>
      <c r="DB2" s="7" t="str">
        <v>Show Feedstock</v>
      </c>
      <c r="DC2" s="7" t="str">
        <v>Show Conversion</v>
      </c>
      <c r="DD2" s="7" t="str">
        <v>Show Data Set</v>
      </c>
      <c r="DE2" s="7" t="str">
        <v>Show Technology</v>
      </c>
      <c r="DF2" s="7" t="str">
        <v>Show Data Source</v>
      </c>
      <c r="DG2" s="7" t="str">
        <v>Conditional to Show</v>
      </c>
      <c r="DH2" s="7" t="str">
        <v>Send to GREET1</v>
      </c>
      <c r="DI2" s="7" t="str">
        <v>Display on Dashboard</v>
      </c>
      <c r="DJ2" s="7" t="str">
        <v>GREET1 Location</v>
      </c>
      <c r="DK2" s="7" t="str">
        <v>Input Category</v>
      </c>
      <c r="DL2" s="7" t="str">
        <v>Input Name</v>
      </c>
      <c r="DM2" s="7" t="str">
        <v>Input Value</v>
      </c>
      <c r="DN2" s="7" t="str">
        <v>Default Value</v>
      </c>
      <c r="DO2" s="7" t="str">
        <v>Calculated Value</v>
      </c>
      <c r="DP2" s="7" t="str">
        <v>Input Type</v>
      </c>
      <c r="DQ2" s="7" t="str">
        <v>Lower Bound</v>
      </c>
      <c r="DR2" t="str">
        <v>Upper Bound</v>
      </c>
      <c r="DS2" t="str">
        <v>Notes</v>
      </c>
    </row>
    <row r="3" spans="1:123" x14ac:dyDescent="0.3">
      <c r="B3" t="str" cm="1">
        <f t="array" aca="1" ref="B3:AD15" ca="1">_xlfn._xlws.FILTER(LCI_Table[],(LCI_Table[IsVisible]=TRUE)*(LOWER(LCI_Table[Process Name])="saf production"),"")</f>
        <v>dash_Canola/RapeseedHEFAGREETGREET(blank)_SAF production_SAF Production</v>
      </c>
      <c r="C3" t="str">
        <f ca="1"/>
        <v>Canola/Rapeseed</v>
      </c>
      <c r="D3" t="str">
        <f ca="1"/>
        <v>HEFA</v>
      </c>
      <c r="E3" t="str">
        <f ca="1"/>
        <v>GREET</v>
      </c>
      <c r="F3" t="str">
        <f ca="1"/>
        <v>GREET</v>
      </c>
      <c r="G3" t="str">
        <f ca="1"/>
        <v>(blank)</v>
      </c>
      <c r="H3" t="b">
        <f ca="1"/>
        <v>1</v>
      </c>
      <c r="I3" t="b">
        <f ca="1"/>
        <v>1</v>
      </c>
      <c r="J3" t="b">
        <f ca="1"/>
        <v>1</v>
      </c>
      <c r="K3" t="b">
        <f ca="1"/>
        <v>1</v>
      </c>
      <c r="L3" t="b">
        <f ca="1"/>
        <v>1</v>
      </c>
      <c r="M3" t="b">
        <f ca="1"/>
        <v>1</v>
      </c>
      <c r="N3" t="b">
        <f ca="1"/>
        <v>0</v>
      </c>
      <c r="O3" t="b">
        <f ca="1"/>
        <v>1</v>
      </c>
      <c r="P3" t="b">
        <f ca="1"/>
        <v>1</v>
      </c>
      <c r="Q3" t="str">
        <f ca="1"/>
        <v>SAF Production</v>
      </c>
      <c r="R3">
        <f ca="1"/>
        <v>0</v>
      </c>
      <c r="S3" t="str">
        <f ca="1"/>
        <v>SAF production</v>
      </c>
      <c r="T3">
        <f ca="1"/>
        <v>0</v>
      </c>
      <c r="U3" t="str">
        <f ca="1"/>
        <v>million gallons</v>
      </c>
      <c r="V3">
        <f ca="1"/>
        <v>0</v>
      </c>
      <c r="W3">
        <f ca="1"/>
        <v>30</v>
      </c>
      <c r="X3" t="str">
        <f ca="1"/>
        <v>30</v>
      </c>
      <c r="Y3">
        <f ca="1"/>
        <v>0</v>
      </c>
      <c r="Z3">
        <f ca="1"/>
        <v>0</v>
      </c>
      <c r="AA3" t="str">
        <f ca="1"/>
        <v xml:space="preserve"> </v>
      </c>
      <c r="AB3">
        <f ca="1"/>
        <v>0</v>
      </c>
      <c r="AC3">
        <f ca="1"/>
        <v>0</v>
      </c>
      <c r="AD3">
        <f ca="1"/>
        <v>30</v>
      </c>
      <c r="AJ3" t="str" cm="1">
        <f t="array" aca="1" ref="AJ3" ca="1">_xlfn._xlws.FILTER(LCI_Table[],(LCI_Table[IsVisible]=TRUE)*(LCI_Table[Process Name]&lt;&gt;"saf production"),"")</f>
        <v/>
      </c>
      <c r="BQ3" t="str" cm="1">
        <f t="array" ref="BQ3:CK12">_xlfn._xlws.FILTER(Transport_Table[],Transport_Table[IsVisible]=TRUE,"")</f>
        <v>Canola/Rapeseed</v>
      </c>
      <c r="BR3" t="str">
        <v>HEFA</v>
      </c>
      <c r="BS3" t="str">
        <v>GREET</v>
      </c>
      <c r="BT3" t="str">
        <v>GREET</v>
      </c>
      <c r="BU3" t="str">
        <v>(blank)</v>
      </c>
      <c r="BV3" t="b">
        <v>1</v>
      </c>
      <c r="BW3" t="b">
        <v>1</v>
      </c>
      <c r="BX3" t="b">
        <v>1</v>
      </c>
      <c r="BY3" t="b">
        <v>1</v>
      </c>
      <c r="BZ3" t="b">
        <v>1</v>
      </c>
      <c r="CA3">
        <v>0</v>
      </c>
      <c r="CB3" t="b">
        <v>1</v>
      </c>
      <c r="CC3" t="str">
        <v>Farming</v>
      </c>
      <c r="CD3" t="str">
        <v>T_D_HEFA_SAF_Barge_Share</v>
      </c>
      <c r="CE3" t="str">
        <v>T_D_HEFA_SAF_Barge_Distance</v>
      </c>
      <c r="CF3" t="str">
        <v>SAF (from SAF facility to Terminal)</v>
      </c>
      <c r="CG3" t="str">
        <v>SAF - From SAF facility to Terminal: Barge</v>
      </c>
      <c r="CH3">
        <v>0.08</v>
      </c>
      <c r="CI3">
        <v>520</v>
      </c>
      <c r="CJ3">
        <v>0</v>
      </c>
      <c r="CK3">
        <v>0</v>
      </c>
      <c r="CV3" s="92" t="str" cm="1">
        <f t="array" aca="1" ref="CV3:DS3" ca="1">_xlfn._xlws.FILTER(SelectionsTable[],(SelectionsTable[Display on Dashboard]=TRUE),"")</f>
        <v>AllAllAllAllAll_SAF_Electricity_Source_Option</v>
      </c>
      <c r="CW3" t="str">
        <f ca="1"/>
        <v>All</v>
      </c>
      <c r="CX3" t="str">
        <f ca="1"/>
        <v>All</v>
      </c>
      <c r="CY3" t="str">
        <f ca="1"/>
        <v>All</v>
      </c>
      <c r="CZ3" t="str">
        <f ca="1"/>
        <v>All</v>
      </c>
      <c r="DA3" t="str">
        <f ca="1"/>
        <v>All</v>
      </c>
      <c r="DB3" t="b">
        <f ca="1"/>
        <v>1</v>
      </c>
      <c r="DC3" t="b">
        <f ca="1"/>
        <v>1</v>
      </c>
      <c r="DD3" t="b">
        <f ca="1"/>
        <v>1</v>
      </c>
      <c r="DE3" t="b">
        <f ca="1"/>
        <v>1</v>
      </c>
      <c r="DF3" t="b">
        <f ca="1"/>
        <v>1</v>
      </c>
      <c r="DG3" t="b">
        <f ca="1"/>
        <v>1</v>
      </c>
      <c r="DH3" t="b">
        <f ca="1"/>
        <v>1</v>
      </c>
      <c r="DI3" t="b">
        <f ca="1"/>
        <v>1</v>
      </c>
      <c r="DJ3" t="str">
        <f ca="1"/>
        <v>SAF_Electricity_Source_Option</v>
      </c>
      <c r="DK3" t="str">
        <f ca="1"/>
        <v>SAF Production</v>
      </c>
      <c r="DL3" t="str">
        <f ca="1"/>
        <v>SAF Production, Grid Electricity Source (eGRID by default)</v>
      </c>
      <c r="DM3">
        <f ca="1"/>
        <v>1</v>
      </c>
      <c r="DN3">
        <f ca="1"/>
        <v>1</v>
      </c>
      <c r="DO3">
        <f ca="1"/>
        <v>1</v>
      </c>
      <c r="DP3" t="str">
        <f ca="1"/>
        <v>Selection</v>
      </c>
      <c r="DQ3">
        <f ca="1"/>
        <v>1</v>
      </c>
      <c r="DR3">
        <f ca="1"/>
        <v>27</v>
      </c>
      <c r="DS3" t="str">
        <f ca="1"/>
        <v>1--AKGD, 2--AKMS, 3--AZNM, 4--CAMX, 5--ERCT, 6--FRCC, 7--HIMS, 8--HIOA, 9--MROE, 10--MROW, 11--NEWE, 12--NWPP, 13--NYCW, 14--NYLI, 15--NYUP, 16--PRMS, 17--RFCE, 18--RFCM, 19--RFCW, 20--RMPA, 21--SPNO, 22--SPSO, 23--SRMV, 24--SRMW, 25--SRSO, 26--SRTV, 27--SRVC</v>
      </c>
    </row>
    <row r="4" spans="1:123" x14ac:dyDescent="0.3">
      <c r="B4" t="str">
        <f ca="1"/>
        <v>dash_Canola/RapeseedHEFAGREETGREET(blank)_Renewable diesel production_SAF Production</v>
      </c>
      <c r="C4" t="str">
        <f ca="1"/>
        <v>Canola/Rapeseed</v>
      </c>
      <c r="D4" t="str">
        <f ca="1"/>
        <v>HEFA</v>
      </c>
      <c r="E4" t="str">
        <f ca="1"/>
        <v>GREET</v>
      </c>
      <c r="F4" t="str">
        <f ca="1"/>
        <v>GREET</v>
      </c>
      <c r="G4" t="str">
        <f ca="1"/>
        <v>(blank)</v>
      </c>
      <c r="H4" t="b">
        <f ca="1"/>
        <v>1</v>
      </c>
      <c r="I4" t="b">
        <f ca="1"/>
        <v>1</v>
      </c>
      <c r="J4" t="b">
        <f ca="1"/>
        <v>1</v>
      </c>
      <c r="K4" t="b">
        <f ca="1"/>
        <v>1</v>
      </c>
      <c r="L4" t="b">
        <f ca="1"/>
        <v>1</v>
      </c>
      <c r="M4" t="b">
        <f ca="1"/>
        <v>1</v>
      </c>
      <c r="N4" t="b">
        <f ca="1"/>
        <v>0</v>
      </c>
      <c r="O4" t="b">
        <f ca="1"/>
        <v>1</v>
      </c>
      <c r="P4" t="b">
        <f ca="1"/>
        <v>1</v>
      </c>
      <c r="Q4" t="str">
        <f ca="1"/>
        <v>SAF Production</v>
      </c>
      <c r="R4">
        <f ca="1"/>
        <v>0</v>
      </c>
      <c r="S4" t="str">
        <f ca="1"/>
        <v>Renewable diesel production</v>
      </c>
      <c r="T4">
        <f ca="1"/>
        <v>0</v>
      </c>
      <c r="U4" t="str">
        <f ca="1"/>
        <v>million gallons</v>
      </c>
      <c r="V4">
        <f ca="1"/>
        <v>0</v>
      </c>
      <c r="W4">
        <f ca="1"/>
        <v>30</v>
      </c>
      <c r="X4" t="str">
        <f ca="1"/>
        <v>30</v>
      </c>
      <c r="Y4">
        <f ca="1"/>
        <v>0</v>
      </c>
      <c r="Z4">
        <f ca="1"/>
        <v>0</v>
      </c>
      <c r="AA4" t="str">
        <f ca="1"/>
        <v xml:space="preserve"> </v>
      </c>
      <c r="AB4">
        <f ca="1"/>
        <v>0</v>
      </c>
      <c r="AC4">
        <f ca="1"/>
        <v>0</v>
      </c>
      <c r="AD4">
        <f ca="1"/>
        <v>30</v>
      </c>
      <c r="BQ4" t="str">
        <v>Canola/Rapeseed</v>
      </c>
      <c r="BR4" t="str">
        <v>HEFA</v>
      </c>
      <c r="BS4" t="str">
        <v>GREET</v>
      </c>
      <c r="BT4" t="str">
        <v>GREET</v>
      </c>
      <c r="BU4" t="str">
        <v>(blank)</v>
      </c>
      <c r="BV4" t="b">
        <v>1</v>
      </c>
      <c r="BW4" t="b">
        <v>1</v>
      </c>
      <c r="BX4" t="b">
        <v>1</v>
      </c>
      <c r="BY4" t="b">
        <v>1</v>
      </c>
      <c r="BZ4" t="b">
        <v>1</v>
      </c>
      <c r="CA4">
        <v>0</v>
      </c>
      <c r="CB4" t="b">
        <v>1</v>
      </c>
      <c r="CC4" t="str">
        <v>Farming</v>
      </c>
      <c r="CD4" t="str">
        <v>T_D_HEFA_SAF_Pipeline_Share</v>
      </c>
      <c r="CE4" t="str">
        <v>T_D_HEFA_SAF_Pipeline_Distance</v>
      </c>
      <c r="CF4" t="str">
        <v>SAF (from SAF facility to Terminal)</v>
      </c>
      <c r="CG4" t="str">
        <v>SAF - From SAF facility to Terminal: Pipeline</v>
      </c>
      <c r="CH4">
        <v>0</v>
      </c>
      <c r="CI4">
        <v>0</v>
      </c>
      <c r="CJ4">
        <v>0</v>
      </c>
      <c r="CK4">
        <v>0</v>
      </c>
    </row>
    <row r="5" spans="1:123" x14ac:dyDescent="0.3">
      <c r="B5" t="str">
        <f ca="1"/>
        <v>dash_Canola/RapeseedHEFAGREETGREET(blank)_Renewable gasoline production_SAF Production</v>
      </c>
      <c r="C5" t="str">
        <f ca="1"/>
        <v>Canola/Rapeseed</v>
      </c>
      <c r="D5" t="str">
        <f ca="1"/>
        <v>HEFA</v>
      </c>
      <c r="E5" t="str">
        <f ca="1"/>
        <v>GREET</v>
      </c>
      <c r="F5" t="str">
        <f ca="1"/>
        <v>GREET</v>
      </c>
      <c r="G5" t="str">
        <f ca="1"/>
        <v>(blank)</v>
      </c>
      <c r="H5" t="b">
        <f ca="1"/>
        <v>1</v>
      </c>
      <c r="I5" t="b">
        <f ca="1"/>
        <v>1</v>
      </c>
      <c r="J5" t="b">
        <f ca="1"/>
        <v>1</v>
      </c>
      <c r="K5" t="b">
        <f ca="1"/>
        <v>1</v>
      </c>
      <c r="L5" t="b">
        <f ca="1"/>
        <v>1</v>
      </c>
      <c r="M5" t="b">
        <f ca="1"/>
        <v>1</v>
      </c>
      <c r="N5" t="b">
        <f ca="1"/>
        <v>0</v>
      </c>
      <c r="O5" t="b">
        <f ca="1"/>
        <v>1</v>
      </c>
      <c r="P5" t="b">
        <f ca="1"/>
        <v>1</v>
      </c>
      <c r="Q5" t="str">
        <f ca="1"/>
        <v>SAF Production</v>
      </c>
      <c r="R5">
        <f ca="1"/>
        <v>0</v>
      </c>
      <c r="S5" t="str">
        <f ca="1"/>
        <v>Renewable gasoline production</v>
      </c>
      <c r="T5">
        <f ca="1"/>
        <v>0</v>
      </c>
      <c r="U5" t="str">
        <f ca="1"/>
        <v>million gallons</v>
      </c>
      <c r="V5">
        <f ca="1"/>
        <v>0</v>
      </c>
      <c r="W5">
        <f ca="1"/>
        <v>0</v>
      </c>
      <c r="X5" t="str">
        <f ca="1"/>
        <v>0</v>
      </c>
      <c r="Y5">
        <f ca="1"/>
        <v>0</v>
      </c>
      <c r="Z5">
        <f ca="1"/>
        <v>0</v>
      </c>
      <c r="AA5" t="str">
        <f ca="1"/>
        <v xml:space="preserve"> </v>
      </c>
      <c r="AB5">
        <f ca="1"/>
        <v>0</v>
      </c>
      <c r="AC5">
        <f ca="1"/>
        <v>0</v>
      </c>
      <c r="AD5">
        <f ca="1"/>
        <v>0</v>
      </c>
      <c r="BQ5" t="str">
        <v>Canola/Rapeseed</v>
      </c>
      <c r="BR5" t="str">
        <v>HEFA</v>
      </c>
      <c r="BS5" t="str">
        <v>GREET</v>
      </c>
      <c r="BT5" t="str">
        <v>GREET</v>
      </c>
      <c r="BU5" t="str">
        <v>(blank)</v>
      </c>
      <c r="BV5" t="b">
        <v>1</v>
      </c>
      <c r="BW5" t="b">
        <v>1</v>
      </c>
      <c r="BX5" t="b">
        <v>1</v>
      </c>
      <c r="BY5" t="b">
        <v>1</v>
      </c>
      <c r="BZ5" t="b">
        <v>1</v>
      </c>
      <c r="CA5">
        <v>0</v>
      </c>
      <c r="CB5" t="b">
        <v>1</v>
      </c>
      <c r="CC5" t="str">
        <v>Farming</v>
      </c>
      <c r="CD5" t="str">
        <v>T_D_HEFA_SAF_Rail_Share</v>
      </c>
      <c r="CE5" t="str">
        <v>T_D_HEFA_SAF_Rail_Distance</v>
      </c>
      <c r="CF5" t="str">
        <v>SAF (from SAF facility to Terminal)</v>
      </c>
      <c r="CG5" t="str">
        <v>SAF - From SAF facility to Terminal: Rail</v>
      </c>
      <c r="CH5">
        <v>0.28999999999999998</v>
      </c>
      <c r="CI5">
        <v>800</v>
      </c>
      <c r="CJ5">
        <v>0</v>
      </c>
      <c r="CK5">
        <v>0</v>
      </c>
    </row>
    <row r="6" spans="1:123" x14ac:dyDescent="0.3">
      <c r="B6" t="str">
        <f ca="1"/>
        <v>dash_Canola/RapeseedHEFAGREETGREET(blank)_Renewable naphtha production_SAF Production</v>
      </c>
      <c r="C6" t="str">
        <f ca="1"/>
        <v>Canola/Rapeseed</v>
      </c>
      <c r="D6" t="str">
        <f ca="1"/>
        <v>HEFA</v>
      </c>
      <c r="E6" t="str">
        <f ca="1"/>
        <v>GREET</v>
      </c>
      <c r="F6" t="str">
        <f ca="1"/>
        <v>GREET</v>
      </c>
      <c r="G6" t="str">
        <f ca="1"/>
        <v>(blank)</v>
      </c>
      <c r="H6" t="b">
        <f ca="1"/>
        <v>1</v>
      </c>
      <c r="I6" t="b">
        <f ca="1"/>
        <v>1</v>
      </c>
      <c r="J6" t="b">
        <f ca="1"/>
        <v>1</v>
      </c>
      <c r="K6" t="b">
        <f ca="1"/>
        <v>1</v>
      </c>
      <c r="L6" t="b">
        <f ca="1"/>
        <v>1</v>
      </c>
      <c r="M6" t="b">
        <f ca="1"/>
        <v>1</v>
      </c>
      <c r="N6" t="b">
        <f ca="1"/>
        <v>0</v>
      </c>
      <c r="O6" t="b">
        <f ca="1"/>
        <v>1</v>
      </c>
      <c r="P6" t="b">
        <f ca="1"/>
        <v>1</v>
      </c>
      <c r="Q6" t="str">
        <f ca="1"/>
        <v>SAF Production</v>
      </c>
      <c r="R6">
        <f ca="1"/>
        <v>0</v>
      </c>
      <c r="S6" t="str">
        <f ca="1"/>
        <v>Renewable naphtha production</v>
      </c>
      <c r="T6">
        <f ca="1"/>
        <v>0</v>
      </c>
      <c r="U6" t="str">
        <f ca="1"/>
        <v>million gallons</v>
      </c>
      <c r="V6">
        <f ca="1"/>
        <v>0</v>
      </c>
      <c r="W6">
        <f ca="1"/>
        <v>0</v>
      </c>
      <c r="X6" t="str">
        <f ca="1"/>
        <v>0</v>
      </c>
      <c r="Y6">
        <f ca="1"/>
        <v>0</v>
      </c>
      <c r="Z6">
        <f ca="1"/>
        <v>0</v>
      </c>
      <c r="AA6" t="str">
        <f ca="1"/>
        <v xml:space="preserve"> </v>
      </c>
      <c r="AB6">
        <f ca="1"/>
        <v>0</v>
      </c>
      <c r="AC6">
        <f ca="1"/>
        <v>0</v>
      </c>
      <c r="AD6">
        <f ca="1"/>
        <v>0</v>
      </c>
      <c r="BQ6" t="str">
        <v>Canola/Rapeseed</v>
      </c>
      <c r="BR6" t="str">
        <v>HEFA</v>
      </c>
      <c r="BS6" t="str">
        <v>GREET</v>
      </c>
      <c r="BT6" t="str">
        <v>GREET</v>
      </c>
      <c r="BU6" t="str">
        <v>(blank)</v>
      </c>
      <c r="BV6" t="b">
        <v>1</v>
      </c>
      <c r="BW6" t="b">
        <v>1</v>
      </c>
      <c r="BX6" t="b">
        <v>1</v>
      </c>
      <c r="BY6" t="b">
        <v>1</v>
      </c>
      <c r="BZ6" t="b">
        <v>1</v>
      </c>
      <c r="CA6">
        <v>0</v>
      </c>
      <c r="CB6" t="b">
        <v>1</v>
      </c>
      <c r="CC6" t="str">
        <v>Farming</v>
      </c>
      <c r="CD6" t="str">
        <v>T_D_HEFA_SAF_Truck_Distance</v>
      </c>
      <c r="CE6" t="str">
        <v>T_D_HEFA_SAF_Truck_Distance</v>
      </c>
      <c r="CF6" t="str">
        <v>SAF (from SAF facility to Terminal)</v>
      </c>
      <c r="CG6" t="str">
        <v xml:space="preserve">SAF - From SAF facility to Terminal: Heavy-Duty Truck (Tanker) </v>
      </c>
      <c r="CH6">
        <v>0.63</v>
      </c>
      <c r="CI6">
        <v>50</v>
      </c>
      <c r="CJ6">
        <v>0</v>
      </c>
      <c r="CK6">
        <v>0</v>
      </c>
    </row>
    <row r="7" spans="1:123" x14ac:dyDescent="0.3">
      <c r="B7" t="str">
        <f ca="1"/>
        <v>Canola/RapeseedHEFAGREETGREET(blank)_HEFA_feed_usageFeedstock: canola oil consumption</v>
      </c>
      <c r="C7" t="str">
        <f ca="1"/>
        <v>Canola/Rapeseed</v>
      </c>
      <c r="D7" t="str">
        <f ca="1"/>
        <v>HEFA</v>
      </c>
      <c r="E7" t="str">
        <f ca="1"/>
        <v>GREET</v>
      </c>
      <c r="F7" t="str">
        <f ca="1"/>
        <v>GREET</v>
      </c>
      <c r="G7" t="str">
        <f ca="1"/>
        <v>(blank)</v>
      </c>
      <c r="H7" t="b">
        <f ca="1"/>
        <v>1</v>
      </c>
      <c r="I7" t="b">
        <f ca="1"/>
        <v>1</v>
      </c>
      <c r="J7" t="b">
        <f ca="1"/>
        <v>1</v>
      </c>
      <c r="K7" t="b">
        <f ca="1"/>
        <v>1</v>
      </c>
      <c r="L7" t="b">
        <f ca="1"/>
        <v>1</v>
      </c>
      <c r="M7" t="b">
        <f ca="1"/>
        <v>1</v>
      </c>
      <c r="N7" t="b">
        <f ca="1"/>
        <v>0</v>
      </c>
      <c r="O7" t="b">
        <f ca="1"/>
        <v>1</v>
      </c>
      <c r="P7" t="b">
        <f ca="1"/>
        <v>0</v>
      </c>
      <c r="Q7" t="str">
        <f ca="1"/>
        <v>SAF Production</v>
      </c>
      <c r="R7" t="str">
        <f ca="1"/>
        <v>HEFA_feed_usage</v>
      </c>
      <c r="S7" t="str">
        <f ca="1"/>
        <v>Feedstock: canola oil consumption</v>
      </c>
      <c r="T7">
        <f ca="1"/>
        <v>0</v>
      </c>
      <c r="U7" t="str">
        <f ca="1"/>
        <v>million lbs</v>
      </c>
      <c r="V7" t="e">
        <f ca="1"/>
        <v>#DIV/0!</v>
      </c>
      <c r="W7">
        <f ca="1"/>
        <v>443.75048093802241</v>
      </c>
      <c r="X7">
        <f ca="1"/>
        <v>1.2676055388997547</v>
      </c>
      <c r="Y7">
        <f ca="1"/>
        <v>0</v>
      </c>
      <c r="Z7">
        <f ca="1"/>
        <v>0</v>
      </c>
      <c r="AA7" t="str">
        <f ca="1"/>
        <v xml:space="preserve"> </v>
      </c>
      <c r="AB7">
        <f ca="1"/>
        <v>0</v>
      </c>
      <c r="AC7">
        <f ca="1"/>
        <v>0</v>
      </c>
      <c r="AD7" t="e">
        <f ca="1"/>
        <v>#DIV/0!</v>
      </c>
      <c r="BQ7" t="str">
        <v>All</v>
      </c>
      <c r="BR7" t="str">
        <v>All</v>
      </c>
      <c r="BS7" t="str">
        <v>All</v>
      </c>
      <c r="BT7" t="str">
        <v>All</v>
      </c>
      <c r="BU7" t="str">
        <v>All</v>
      </c>
      <c r="BV7" t="b">
        <v>1</v>
      </c>
      <c r="BW7" t="b">
        <v>1</v>
      </c>
      <c r="BX7" t="b">
        <v>1</v>
      </c>
      <c r="BY7" t="b">
        <v>1</v>
      </c>
      <c r="BZ7" t="b">
        <v>1</v>
      </c>
      <c r="CA7" t="b">
        <v>0</v>
      </c>
      <c r="CB7" t="b">
        <v>1</v>
      </c>
      <c r="CC7" t="str">
        <v>Farming</v>
      </c>
      <c r="CD7" t="str">
        <v>SAF_H2_Transportation_NG_SMR_Pipeline_Share</v>
      </c>
      <c r="CE7" t="str">
        <v>SAF_H2_Transportation_NG_SMR_Pipeline_Distance</v>
      </c>
      <c r="CF7" t="str">
        <v>H2 (to SAF facility)</v>
      </c>
      <c r="CG7" t="str">
        <v>Fossil NG SMR H2 - From H2 facility to SAF facility: Pipeline</v>
      </c>
      <c r="CH7">
        <v>1</v>
      </c>
      <c r="CI7">
        <v>150</v>
      </c>
      <c r="CJ7">
        <v>0</v>
      </c>
      <c r="CK7">
        <v>0</v>
      </c>
    </row>
    <row r="8" spans="1:123" x14ac:dyDescent="0.3">
      <c r="B8" t="str">
        <f ca="1"/>
        <v>Canola/RapeseedHEFAGREETGREET(blank)_Canola_HEFA_ElectricityGrid electricity (selected eGRID region)</v>
      </c>
      <c r="C8" t="str">
        <f ca="1"/>
        <v>Canola/Rapeseed</v>
      </c>
      <c r="D8" t="str">
        <f ca="1"/>
        <v>HEFA</v>
      </c>
      <c r="E8" t="str">
        <f ca="1"/>
        <v>GREET</v>
      </c>
      <c r="F8" t="str">
        <f ca="1"/>
        <v>GREET</v>
      </c>
      <c r="G8" t="str">
        <f ca="1"/>
        <v>(blank)</v>
      </c>
      <c r="H8" t="b">
        <f ca="1"/>
        <v>1</v>
      </c>
      <c r="I8" t="b">
        <f ca="1"/>
        <v>1</v>
      </c>
      <c r="J8" t="b">
        <f ca="1"/>
        <v>1</v>
      </c>
      <c r="K8" t="b">
        <f ca="1"/>
        <v>1</v>
      </c>
      <c r="L8" t="b">
        <f ca="1"/>
        <v>1</v>
      </c>
      <c r="M8" t="b">
        <f ca="1"/>
        <v>1</v>
      </c>
      <c r="N8" t="b">
        <f ca="1"/>
        <v>0</v>
      </c>
      <c r="O8" t="b">
        <f ca="1"/>
        <v>1</v>
      </c>
      <c r="P8" t="b">
        <f ca="1"/>
        <v>0</v>
      </c>
      <c r="Q8" t="str">
        <f ca="1"/>
        <v>SAF Production</v>
      </c>
      <c r="R8" t="str">
        <f ca="1"/>
        <v>Canola_HEFA_Electricity</v>
      </c>
      <c r="S8" t="str">
        <f ca="1"/>
        <v>Grid electricity (selected eGRID region)</v>
      </c>
      <c r="T8">
        <f ca="1"/>
        <v>0</v>
      </c>
      <c r="U8" t="str">
        <f ca="1"/>
        <v>million kWh</v>
      </c>
      <c r="V8" t="e">
        <f ca="1"/>
        <v>#DIV/0!</v>
      </c>
      <c r="W8">
        <f ca="1"/>
        <v>19.049267048549822</v>
      </c>
      <c r="X8">
        <f ca="1"/>
        <v>185.67379432183432</v>
      </c>
      <c r="Y8">
        <f ca="1"/>
        <v>0</v>
      </c>
      <c r="Z8">
        <f ca="1"/>
        <v>0</v>
      </c>
      <c r="AA8" t="str">
        <f ca="1"/>
        <v xml:space="preserve"> </v>
      </c>
      <c r="AB8">
        <f ca="1"/>
        <v>0</v>
      </c>
      <c r="AC8">
        <f ca="1"/>
        <v>0</v>
      </c>
      <c r="AD8" t="e">
        <f ca="1"/>
        <v>#DIV/0!</v>
      </c>
      <c r="BQ8" t="str">
        <v>All</v>
      </c>
      <c r="BR8" t="str">
        <v>All</v>
      </c>
      <c r="BS8" t="str">
        <v>All</v>
      </c>
      <c r="BT8" t="str">
        <v>All</v>
      </c>
      <c r="BU8" t="str">
        <v>All</v>
      </c>
      <c r="BV8" t="b">
        <v>1</v>
      </c>
      <c r="BW8" t="b">
        <v>1</v>
      </c>
      <c r="BX8" t="b">
        <v>1</v>
      </c>
      <c r="BY8" t="b">
        <v>1</v>
      </c>
      <c r="BZ8" t="b">
        <v>1</v>
      </c>
      <c r="CA8" t="b">
        <v>0</v>
      </c>
      <c r="CB8" t="b">
        <v>1</v>
      </c>
      <c r="CC8" t="str">
        <v>Farming</v>
      </c>
      <c r="CD8" t="str">
        <v>SAF_H2_Transportation_NG_SMR_TubeTrailer_Share</v>
      </c>
      <c r="CE8" t="str">
        <v>SAF_H2_Transportation_NG_SMR_TubeTrailer_Distance</v>
      </c>
      <c r="CF8" t="str">
        <v>H2 (to SAF facility)</v>
      </c>
      <c r="CG8" t="str">
        <v>Fossil NG SMR H2 - From H2 facility to SAF facility: Tube Trailer</v>
      </c>
      <c r="CH8">
        <v>0</v>
      </c>
      <c r="CI8">
        <v>0</v>
      </c>
      <c r="CJ8">
        <v>0</v>
      </c>
      <c r="CK8">
        <v>0</v>
      </c>
    </row>
    <row r="9" spans="1:123" x14ac:dyDescent="0.3">
      <c r="B9" t="str">
        <f ca="1"/>
        <v>dash_Canola/RapeseedHEFAGREETGREET(blank)_Renewable Electricity Credit (REC)_SAF Production</v>
      </c>
      <c r="C9" t="str">
        <f ca="1"/>
        <v>Canola/Rapeseed</v>
      </c>
      <c r="D9" t="str">
        <f ca="1"/>
        <v>HEFA</v>
      </c>
      <c r="E9" t="str">
        <f ca="1"/>
        <v>GREET</v>
      </c>
      <c r="F9" t="str">
        <f ca="1"/>
        <v>GREET</v>
      </c>
      <c r="G9" t="str">
        <f ca="1"/>
        <v>(blank)</v>
      </c>
      <c r="H9" t="b">
        <f ca="1"/>
        <v>1</v>
      </c>
      <c r="I9" t="b">
        <f ca="1"/>
        <v>1</v>
      </c>
      <c r="J9" t="b">
        <f ca="1"/>
        <v>1</v>
      </c>
      <c r="K9" t="b">
        <f ca="1"/>
        <v>1</v>
      </c>
      <c r="L9" t="b">
        <f ca="1"/>
        <v>1</v>
      </c>
      <c r="M9" t="b">
        <f ca="1"/>
        <v>1</v>
      </c>
      <c r="N9" t="b">
        <f ca="1"/>
        <v>0</v>
      </c>
      <c r="O9" t="b">
        <f ca="1"/>
        <v>1</v>
      </c>
      <c r="P9" t="b">
        <f ca="1"/>
        <v>1</v>
      </c>
      <c r="Q9" t="str">
        <f ca="1"/>
        <v>SAF Production</v>
      </c>
      <c r="R9">
        <f ca="1"/>
        <v>0</v>
      </c>
      <c r="S9" t="str">
        <f ca="1"/>
        <v>Renewable Electricity Credit (REC)</v>
      </c>
      <c r="T9">
        <f ca="1"/>
        <v>0</v>
      </c>
      <c r="U9" t="str">
        <f ca="1"/>
        <v>million kWh</v>
      </c>
      <c r="V9">
        <f ca="1"/>
        <v>0</v>
      </c>
      <c r="W9">
        <f ca="1"/>
        <v>0</v>
      </c>
      <c r="X9" t="str">
        <f ca="1"/>
        <v>0</v>
      </c>
      <c r="Y9">
        <f ca="1"/>
        <v>0</v>
      </c>
      <c r="Z9">
        <f ca="1"/>
        <v>0</v>
      </c>
      <c r="AA9" t="str">
        <f ca="1"/>
        <v xml:space="preserve"> </v>
      </c>
      <c r="AB9">
        <f ca="1"/>
        <v>0</v>
      </c>
      <c r="AC9">
        <f ca="1"/>
        <v>0</v>
      </c>
      <c r="AD9">
        <f ca="1"/>
        <v>0</v>
      </c>
      <c r="BQ9" t="str">
        <v>All</v>
      </c>
      <c r="BR9" t="str">
        <v>All</v>
      </c>
      <c r="BS9" t="str">
        <v>All</v>
      </c>
      <c r="BT9" t="str">
        <v>All</v>
      </c>
      <c r="BU9" t="str">
        <v>All</v>
      </c>
      <c r="BV9" t="b">
        <v>1</v>
      </c>
      <c r="BW9" t="b">
        <v>1</v>
      </c>
      <c r="BX9" t="b">
        <v>1</v>
      </c>
      <c r="BY9" t="b">
        <v>1</v>
      </c>
      <c r="BZ9" t="b">
        <v>1</v>
      </c>
      <c r="CA9" t="b">
        <v>0</v>
      </c>
      <c r="CB9" t="b">
        <v>1</v>
      </c>
      <c r="CC9" t="str">
        <v>Farming</v>
      </c>
      <c r="CD9" t="str">
        <v>SAF_H2_Transportation_NG_SMR_LiquidTruck_Share</v>
      </c>
      <c r="CE9" t="str">
        <v>SAF_H2_Transportation_NG_SMR_LiquidTruck_Distance</v>
      </c>
      <c r="CF9" t="str">
        <v>H2 (to SAF facility)</v>
      </c>
      <c r="CG9" t="str">
        <v>Fossil NG SMR H2 - From H2 facility to SAF facility: Liquid Truck</v>
      </c>
      <c r="CH9">
        <v>0</v>
      </c>
      <c r="CI9">
        <v>0</v>
      </c>
      <c r="CJ9">
        <v>0</v>
      </c>
      <c r="CK9">
        <v>0</v>
      </c>
    </row>
    <row r="10" spans="1:123" x14ac:dyDescent="0.3">
      <c r="B10" t="str">
        <f ca="1"/>
        <v>dash_Canola/RapeseedHEFAGREETGREET(blank)_Onsite behind-the-meter electricity_SAF Production</v>
      </c>
      <c r="C10" t="str">
        <f ca="1"/>
        <v>Canola/Rapeseed</v>
      </c>
      <c r="D10" t="str">
        <f ca="1"/>
        <v>HEFA</v>
      </c>
      <c r="E10" t="str">
        <f ca="1"/>
        <v>GREET</v>
      </c>
      <c r="F10" t="str">
        <f ca="1"/>
        <v>GREET</v>
      </c>
      <c r="G10" t="str">
        <f ca="1"/>
        <v>(blank)</v>
      </c>
      <c r="H10" t="b">
        <f ca="1"/>
        <v>1</v>
      </c>
      <c r="I10" t="b">
        <f ca="1"/>
        <v>1</v>
      </c>
      <c r="J10" t="b">
        <f ca="1"/>
        <v>1</v>
      </c>
      <c r="K10" t="b">
        <f ca="1"/>
        <v>1</v>
      </c>
      <c r="L10" t="b">
        <f ca="1"/>
        <v>1</v>
      </c>
      <c r="M10" t="b">
        <f ca="1"/>
        <v>1</v>
      </c>
      <c r="N10" t="b">
        <f ca="1"/>
        <v>0</v>
      </c>
      <c r="O10" t="b">
        <f ca="1"/>
        <v>1</v>
      </c>
      <c r="P10" t="b">
        <f ca="1"/>
        <v>1</v>
      </c>
      <c r="Q10" t="str">
        <f ca="1"/>
        <v>SAF Production</v>
      </c>
      <c r="R10">
        <f ca="1"/>
        <v>0</v>
      </c>
      <c r="S10" t="str">
        <f ca="1"/>
        <v>Onsite behind-the-meter electricity</v>
      </c>
      <c r="T10">
        <f ca="1"/>
        <v>0</v>
      </c>
      <c r="U10" t="str">
        <f ca="1"/>
        <v>million kWh</v>
      </c>
      <c r="V10">
        <f ca="1"/>
        <v>0</v>
      </c>
      <c r="W10">
        <f ca="1"/>
        <v>0</v>
      </c>
      <c r="X10" t="str">
        <f ca="1"/>
        <v>0</v>
      </c>
      <c r="Y10">
        <f ca="1"/>
        <v>0</v>
      </c>
      <c r="Z10">
        <f ca="1"/>
        <v>0</v>
      </c>
      <c r="AA10" t="str">
        <f ca="1"/>
        <v xml:space="preserve"> </v>
      </c>
      <c r="AB10">
        <f ca="1"/>
        <v>0</v>
      </c>
      <c r="AC10">
        <f ca="1"/>
        <v>0</v>
      </c>
      <c r="AD10">
        <f ca="1"/>
        <v>0</v>
      </c>
      <c r="BQ10" t="str">
        <v>All</v>
      </c>
      <c r="BR10" t="str">
        <v>All</v>
      </c>
      <c r="BS10" t="str">
        <v>All</v>
      </c>
      <c r="BT10" t="str">
        <v>All</v>
      </c>
      <c r="BU10" t="str">
        <v>All</v>
      </c>
      <c r="BV10" t="b">
        <v>1</v>
      </c>
      <c r="BW10" t="b">
        <v>1</v>
      </c>
      <c r="BX10" t="b">
        <v>1</v>
      </c>
      <c r="BY10" t="b">
        <v>1</v>
      </c>
      <c r="BZ10" t="b">
        <v>1</v>
      </c>
      <c r="CA10" t="b">
        <v>0</v>
      </c>
      <c r="CB10" t="b">
        <v>1</v>
      </c>
      <c r="CC10" t="str">
        <v>Farming</v>
      </c>
      <c r="CD10" t="str">
        <v>SAF_H2_Transportation_45VModeled_Pipeline_Share</v>
      </c>
      <c r="CE10" t="str">
        <v>SAF_H2_Transportation_45VModeled_Pipeline_Distance</v>
      </c>
      <c r="CF10" t="str">
        <v>H2 (to SAF facility)</v>
      </c>
      <c r="CG10" t="str">
        <v>45V Modeled H2 - From H2 facility to SAF facility: Pipeline</v>
      </c>
      <c r="CH10">
        <v>1</v>
      </c>
      <c r="CI10">
        <v>150</v>
      </c>
      <c r="CJ10">
        <v>0</v>
      </c>
      <c r="CK10">
        <v>0</v>
      </c>
    </row>
    <row r="11" spans="1:123" x14ac:dyDescent="0.3">
      <c r="B11" t="str">
        <f ca="1"/>
        <v>dash_Canola/RapeseedHEFAGREETGREET(blank)_Total fossil NG consumption_SAF Production</v>
      </c>
      <c r="C11" t="str">
        <f ca="1"/>
        <v>Canola/Rapeseed</v>
      </c>
      <c r="D11" t="str">
        <f ca="1"/>
        <v>HEFA</v>
      </c>
      <c r="E11" t="str">
        <f ca="1"/>
        <v>GREET</v>
      </c>
      <c r="F11" t="str">
        <f ca="1"/>
        <v>GREET</v>
      </c>
      <c r="G11" t="str">
        <f ca="1"/>
        <v>(blank)</v>
      </c>
      <c r="H11" t="b">
        <f ca="1"/>
        <v>1</v>
      </c>
      <c r="I11" t="b">
        <f ca="1"/>
        <v>1</v>
      </c>
      <c r="J11" t="b">
        <f ca="1"/>
        <v>1</v>
      </c>
      <c r="K11" t="b">
        <f ca="1"/>
        <v>1</v>
      </c>
      <c r="L11" t="b">
        <f ca="1"/>
        <v>1</v>
      </c>
      <c r="M11" t="b">
        <f ca="1"/>
        <v>1</v>
      </c>
      <c r="N11" t="b">
        <f ca="1"/>
        <v>0</v>
      </c>
      <c r="O11" t="b">
        <f ca="1"/>
        <v>1</v>
      </c>
      <c r="P11" t="b">
        <f ca="1"/>
        <v>1</v>
      </c>
      <c r="Q11" t="str">
        <f ca="1"/>
        <v>SAF Production</v>
      </c>
      <c r="R11">
        <f ca="1"/>
        <v>0</v>
      </c>
      <c r="S11" t="str">
        <f ca="1"/>
        <v>Total fossil NG consumption</v>
      </c>
      <c r="T11">
        <f ca="1"/>
        <v>0</v>
      </c>
      <c r="U11" t="str">
        <f ca="1"/>
        <v>thousand mmBtu</v>
      </c>
      <c r="V11" t="e">
        <f ca="1"/>
        <v>#DIV/0!</v>
      </c>
      <c r="W11">
        <f ca="1"/>
        <v>123.58926254472973</v>
      </c>
      <c r="X11">
        <f ca="1"/>
        <v>353.04172159785469</v>
      </c>
      <c r="Y11">
        <f ca="1"/>
        <v>0</v>
      </c>
      <c r="Z11">
        <f ca="1"/>
        <v>0</v>
      </c>
      <c r="AA11">
        <f ca="1"/>
        <v>0</v>
      </c>
      <c r="AB11">
        <f ca="1"/>
        <v>0</v>
      </c>
      <c r="AC11">
        <f ca="1"/>
        <v>0</v>
      </c>
      <c r="AD11">
        <f ca="1"/>
        <v>0</v>
      </c>
      <c r="BQ11" t="str">
        <v>All</v>
      </c>
      <c r="BR11" t="str">
        <v>All</v>
      </c>
      <c r="BS11" t="str">
        <v>All</v>
      </c>
      <c r="BT11" t="str">
        <v>All</v>
      </c>
      <c r="BU11" t="str">
        <v>All</v>
      </c>
      <c r="BV11" t="b">
        <v>1</v>
      </c>
      <c r="BW11" t="b">
        <v>1</v>
      </c>
      <c r="BX11" t="b">
        <v>1</v>
      </c>
      <c r="BY11" t="b">
        <v>1</v>
      </c>
      <c r="BZ11" t="b">
        <v>1</v>
      </c>
      <c r="CA11" t="b">
        <v>0</v>
      </c>
      <c r="CB11" t="b">
        <v>1</v>
      </c>
      <c r="CC11" t="str">
        <v>Farming</v>
      </c>
      <c r="CD11" t="str">
        <v>SAF_H2_Transportation_45VModeled_TubeTrailer_Share</v>
      </c>
      <c r="CE11" t="str">
        <v>SAF_H2_Transportation_45VModeled_TubeTrailer_Distance</v>
      </c>
      <c r="CF11" t="str">
        <v>H2 (to SAF facility)</v>
      </c>
      <c r="CG11" t="str">
        <v>45V Modeled H2 - From H2 facility to SAF facility: Tube Trailer</v>
      </c>
      <c r="CH11">
        <v>0</v>
      </c>
      <c r="CI11">
        <v>0</v>
      </c>
      <c r="CJ11">
        <v>0</v>
      </c>
      <c r="CK11">
        <v>0</v>
      </c>
    </row>
    <row r="12" spans="1:123" x14ac:dyDescent="0.3">
      <c r="B12" t="str">
        <f ca="1"/>
        <v>dash_Canola/RapeseedHEFAGREETGREET(blank)_Total LFG-derived RNG consumption_SAF Production</v>
      </c>
      <c r="C12" t="str">
        <f ca="1"/>
        <v>Canola/Rapeseed</v>
      </c>
      <c r="D12" t="str">
        <f ca="1"/>
        <v>HEFA</v>
      </c>
      <c r="E12" t="str">
        <f ca="1"/>
        <v>GREET</v>
      </c>
      <c r="F12" t="str">
        <f ca="1"/>
        <v>GREET</v>
      </c>
      <c r="G12" t="str">
        <f ca="1"/>
        <v>(blank)</v>
      </c>
      <c r="H12" t="b">
        <f ca="1"/>
        <v>1</v>
      </c>
      <c r="I12" t="b">
        <f ca="1"/>
        <v>1</v>
      </c>
      <c r="J12" t="b">
        <f ca="1"/>
        <v>1</v>
      </c>
      <c r="K12" t="b">
        <f ca="1"/>
        <v>1</v>
      </c>
      <c r="L12" t="b">
        <f ca="1"/>
        <v>1</v>
      </c>
      <c r="M12" t="b">
        <f ca="1"/>
        <v>1</v>
      </c>
      <c r="N12" t="b">
        <f ca="1"/>
        <v>0</v>
      </c>
      <c r="O12" t="b">
        <f ca="1"/>
        <v>1</v>
      </c>
      <c r="P12" t="b">
        <f ca="1"/>
        <v>1</v>
      </c>
      <c r="Q12" t="str">
        <f ca="1"/>
        <v>SAF Production</v>
      </c>
      <c r="R12">
        <f ca="1"/>
        <v>0</v>
      </c>
      <c r="S12" t="str">
        <f ca="1"/>
        <v>Total LFG-derived RNG consumption</v>
      </c>
      <c r="T12">
        <f ca="1"/>
        <v>0</v>
      </c>
      <c r="U12" t="str">
        <f ca="1"/>
        <v>thousand mmBtu</v>
      </c>
      <c r="V12" t="e">
        <f ca="1"/>
        <v>#DIV/0!</v>
      </c>
      <c r="W12">
        <f ca="1"/>
        <v>0</v>
      </c>
      <c r="X12">
        <f ca="1"/>
        <v>0</v>
      </c>
      <c r="Y12">
        <f ca="1"/>
        <v>0</v>
      </c>
      <c r="Z12">
        <f ca="1"/>
        <v>0</v>
      </c>
      <c r="AA12">
        <f ca="1"/>
        <v>0</v>
      </c>
      <c r="AB12">
        <f ca="1"/>
        <v>0</v>
      </c>
      <c r="AC12">
        <f ca="1"/>
        <v>0</v>
      </c>
      <c r="AD12">
        <f ca="1"/>
        <v>0</v>
      </c>
      <c r="BQ12" t="str">
        <v>All</v>
      </c>
      <c r="BR12" t="str">
        <v>All</v>
      </c>
      <c r="BS12" t="str">
        <v>All</v>
      </c>
      <c r="BT12" t="str">
        <v>All</v>
      </c>
      <c r="BU12" t="str">
        <v>All</v>
      </c>
      <c r="BV12" t="b">
        <v>1</v>
      </c>
      <c r="BW12" t="b">
        <v>1</v>
      </c>
      <c r="BX12" t="b">
        <v>1</v>
      </c>
      <c r="BY12" t="b">
        <v>1</v>
      </c>
      <c r="BZ12" t="b">
        <v>1</v>
      </c>
      <c r="CA12" t="b">
        <v>0</v>
      </c>
      <c r="CB12" t="b">
        <v>1</v>
      </c>
      <c r="CC12" t="str">
        <v>Farming</v>
      </c>
      <c r="CD12" t="str">
        <v>SAF_H2_Transportation_45VModeled_LiquidTruck_Share</v>
      </c>
      <c r="CE12" t="str">
        <v>SAF_H2_Transportation_45VModeled_LiquidTruck_Distance</v>
      </c>
      <c r="CF12" t="str">
        <v>H2 (to SAF facility)</v>
      </c>
      <c r="CG12" t="str">
        <v>45V Modeled H2 - From H2 facility to SAF facility: Liquid Truck</v>
      </c>
      <c r="CH12">
        <v>0</v>
      </c>
      <c r="CI12">
        <v>0</v>
      </c>
      <c r="CJ12">
        <v>0</v>
      </c>
      <c r="CK12">
        <v>0</v>
      </c>
    </row>
    <row r="13" spans="1:123" x14ac:dyDescent="0.3">
      <c r="B13" t="str">
        <f ca="1"/>
        <v>dash_Canola/RapeseedHEFAGREETGREET(blank)_Offsite, Fossil NG-derived H2 consumption_SAF Production</v>
      </c>
      <c r="C13" t="str">
        <f ca="1"/>
        <v>Canola/Rapeseed</v>
      </c>
      <c r="D13" t="str">
        <f ca="1"/>
        <v>HEFA</v>
      </c>
      <c r="E13" t="str">
        <f ca="1"/>
        <v>GREET</v>
      </c>
      <c r="F13" t="str">
        <f ca="1"/>
        <v>GREET</v>
      </c>
      <c r="G13" t="str">
        <f ca="1"/>
        <v>(blank)</v>
      </c>
      <c r="H13" t="b">
        <f ca="1"/>
        <v>1</v>
      </c>
      <c r="I13" t="b">
        <f ca="1"/>
        <v>1</v>
      </c>
      <c r="J13" t="b">
        <f ca="1"/>
        <v>1</v>
      </c>
      <c r="K13" t="b">
        <f ca="1"/>
        <v>1</v>
      </c>
      <c r="L13" t="b">
        <f ca="1"/>
        <v>1</v>
      </c>
      <c r="M13" t="b">
        <f ca="1"/>
        <v>1</v>
      </c>
      <c r="N13" t="b">
        <f ca="1"/>
        <v>0</v>
      </c>
      <c r="O13" t="b">
        <f ca="1"/>
        <v>1</v>
      </c>
      <c r="P13" t="b">
        <f ca="1"/>
        <v>1</v>
      </c>
      <c r="Q13" t="str">
        <f ca="1"/>
        <v>SAF Production</v>
      </c>
      <c r="R13">
        <f ca="1"/>
        <v>0</v>
      </c>
      <c r="S13" t="str">
        <f ca="1"/>
        <v>Offsite, Fossil NG-derived H2 consumption</v>
      </c>
      <c r="T13">
        <f ca="1"/>
        <v>0</v>
      </c>
      <c r="U13" t="str">
        <f ca="1"/>
        <v>metric tons</v>
      </c>
      <c r="V13" t="e">
        <f ca="1"/>
        <v>#DIV/0!</v>
      </c>
      <c r="W13">
        <f ca="1"/>
        <v>6391.6010185010036</v>
      </c>
      <c r="X13">
        <f ca="1"/>
        <v>2076.4083477681229</v>
      </c>
      <c r="Y13">
        <f ca="1"/>
        <v>0</v>
      </c>
      <c r="Z13">
        <f ca="1"/>
        <v>0</v>
      </c>
      <c r="AA13">
        <f ca="1"/>
        <v>0</v>
      </c>
      <c r="AB13">
        <f ca="1"/>
        <v>0</v>
      </c>
      <c r="AC13">
        <f ca="1"/>
        <v>0</v>
      </c>
      <c r="AD13">
        <f ca="1"/>
        <v>0</v>
      </c>
    </row>
    <row r="14" spans="1:123" x14ac:dyDescent="0.3">
      <c r="B14" t="str">
        <f ca="1"/>
        <v>dash_Canola/RapeseedHEFAGREETGREET(blank)_Offsite, 45V Modeled H2 consumption_SAF Production</v>
      </c>
      <c r="C14" t="str">
        <f ca="1"/>
        <v>Canola/Rapeseed</v>
      </c>
      <c r="D14" t="str">
        <f ca="1"/>
        <v>HEFA</v>
      </c>
      <c r="E14" t="str">
        <f ca="1"/>
        <v>GREET</v>
      </c>
      <c r="F14" t="str">
        <f ca="1"/>
        <v>GREET</v>
      </c>
      <c r="G14" t="str">
        <f ca="1"/>
        <v>(blank)</v>
      </c>
      <c r="H14" t="b">
        <f ca="1"/>
        <v>1</v>
      </c>
      <c r="I14" t="b">
        <f ca="1"/>
        <v>1</v>
      </c>
      <c r="J14" t="b">
        <f ca="1"/>
        <v>1</v>
      </c>
      <c r="K14" t="b">
        <f ca="1"/>
        <v>1</v>
      </c>
      <c r="L14" t="b">
        <f ca="1"/>
        <v>1</v>
      </c>
      <c r="M14" t="b">
        <f ca="1"/>
        <v>1</v>
      </c>
      <c r="N14" t="b">
        <f ca="1"/>
        <v>0</v>
      </c>
      <c r="O14" t="b">
        <f ca="1"/>
        <v>1</v>
      </c>
      <c r="P14" t="b">
        <f ca="1"/>
        <v>1</v>
      </c>
      <c r="Q14" t="str">
        <f ca="1"/>
        <v>SAF Production</v>
      </c>
      <c r="R14">
        <f ca="1"/>
        <v>0</v>
      </c>
      <c r="S14" t="str">
        <f ca="1"/>
        <v>Offsite, 45V Modeled H2 consumption</v>
      </c>
      <c r="T14">
        <f ca="1"/>
        <v>0</v>
      </c>
      <c r="U14" t="str">
        <f ca="1"/>
        <v>metric tons</v>
      </c>
      <c r="V14" t="e">
        <f ca="1"/>
        <v>#DIV/0!</v>
      </c>
      <c r="W14">
        <f ca="1"/>
        <v>0</v>
      </c>
      <c r="X14">
        <f ca="1"/>
        <v>0</v>
      </c>
      <c r="Y14">
        <f ca="1"/>
        <v>0</v>
      </c>
      <c r="Z14">
        <f ca="1"/>
        <v>0</v>
      </c>
      <c r="AA14">
        <f ca="1"/>
        <v>0</v>
      </c>
      <c r="AB14">
        <f ca="1"/>
        <v>0</v>
      </c>
      <c r="AC14">
        <f ca="1"/>
        <v>0</v>
      </c>
      <c r="AD14">
        <f ca="1"/>
        <v>0</v>
      </c>
    </row>
    <row r="15" spans="1:123" x14ac:dyDescent="0.3">
      <c r="B15" t="str">
        <f ca="1"/>
        <v>Canola/RapeseedHEFAGREETGREET(blank)_SAF_45VModeled_H2_CIOffsite, 45V Modeled H2 CI</v>
      </c>
      <c r="C15" t="str">
        <f ca="1"/>
        <v>Canola/Rapeseed</v>
      </c>
      <c r="D15" t="str">
        <f ca="1"/>
        <v>HEFA</v>
      </c>
      <c r="E15" t="str">
        <f ca="1"/>
        <v>GREET</v>
      </c>
      <c r="F15" t="str">
        <f ca="1"/>
        <v>GREET</v>
      </c>
      <c r="G15" t="str">
        <f ca="1"/>
        <v>(blank)</v>
      </c>
      <c r="H15" t="b">
        <f ca="1"/>
        <v>1</v>
      </c>
      <c r="I15" t="b">
        <f ca="1"/>
        <v>1</v>
      </c>
      <c r="J15" t="b">
        <f ca="1"/>
        <v>1</v>
      </c>
      <c r="K15" t="b">
        <f ca="1"/>
        <v>1</v>
      </c>
      <c r="L15" t="b">
        <f ca="1"/>
        <v>1</v>
      </c>
      <c r="M15" t="b">
        <f ca="1"/>
        <v>1</v>
      </c>
      <c r="N15" t="b">
        <f ca="1"/>
        <v>0</v>
      </c>
      <c r="O15" t="b">
        <f ca="1"/>
        <v>1</v>
      </c>
      <c r="P15" t="b">
        <f ca="1"/>
        <v>0</v>
      </c>
      <c r="Q15" t="str">
        <f ca="1"/>
        <v>SAF Production</v>
      </c>
      <c r="R15" t="str">
        <f ca="1"/>
        <v>SAF_45VModeled_H2_CI</v>
      </c>
      <c r="S15" t="str">
        <f ca="1"/>
        <v>Offsite, 45V Modeled H2 CI</v>
      </c>
      <c r="T15">
        <f ca="1"/>
        <v>0</v>
      </c>
      <c r="U15" t="str">
        <f ca="1"/>
        <v>kg CO2e/kg H2</v>
      </c>
      <c r="V15">
        <f ca="1"/>
        <v>0</v>
      </c>
      <c r="W15">
        <f ca="1"/>
        <v>3</v>
      </c>
      <c r="X15">
        <f ca="1"/>
        <v>26379.310344827583</v>
      </c>
      <c r="Y15">
        <f ca="1"/>
        <v>0</v>
      </c>
      <c r="Z15">
        <f ca="1"/>
        <v>0</v>
      </c>
      <c r="AA15">
        <f ca="1"/>
        <v>0</v>
      </c>
      <c r="AB15">
        <f ca="1"/>
        <v>0</v>
      </c>
      <c r="AC15">
        <f ca="1"/>
        <v>0</v>
      </c>
      <c r="AD15">
        <f ca="1"/>
        <v>0</v>
      </c>
    </row>
  </sheetData>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CFF714-9F3E-44D3-B4AF-065747468762}">
  <sheetPr codeName="Unit"/>
  <dimension ref="A1:H197"/>
  <sheetViews>
    <sheetView zoomScaleNormal="100" workbookViewId="0">
      <selection activeCell="E197" sqref="E197"/>
    </sheetView>
  </sheetViews>
  <sheetFormatPr defaultRowHeight="14.4" x14ac:dyDescent="0.3"/>
  <cols>
    <col min="1" max="1" width="25.5546875" customWidth="1"/>
    <col min="2" max="2" width="15.109375" customWidth="1"/>
    <col min="3" max="3" width="10.88671875" bestFit="1" customWidth="1"/>
    <col min="4" max="4" width="17.5546875" bestFit="1" customWidth="1"/>
    <col min="5" max="5" width="15.6640625" customWidth="1"/>
    <col min="6" max="6" width="11.44140625" customWidth="1"/>
    <col min="8" max="8" width="16.5546875" customWidth="1"/>
    <col min="9" max="9" width="11" customWidth="1"/>
    <col min="10" max="10" width="14.88671875" customWidth="1"/>
    <col min="11" max="11" width="16" customWidth="1"/>
    <col min="12" max="12" width="13.109375" customWidth="1"/>
  </cols>
  <sheetData>
    <row r="1" spans="1:7" ht="15" thickBot="1" x14ac:dyDescent="0.35">
      <c r="A1" s="12" t="s">
        <v>32</v>
      </c>
    </row>
    <row r="2" spans="1:7" x14ac:dyDescent="0.3">
      <c r="A2" s="4" t="s">
        <v>33</v>
      </c>
      <c r="B2" s="5" t="s">
        <v>437</v>
      </c>
    </row>
    <row r="3" spans="1:7" x14ac:dyDescent="0.3">
      <c r="A3" s="1" t="s">
        <v>34</v>
      </c>
      <c r="B3" s="2">
        <v>100</v>
      </c>
      <c r="D3" s="12"/>
      <c r="E3" s="12"/>
      <c r="F3" s="12"/>
      <c r="G3" s="12"/>
    </row>
    <row r="4" spans="1:7" x14ac:dyDescent="0.3">
      <c r="A4" s="1" t="s">
        <v>8</v>
      </c>
      <c r="B4" s="249">
        <v>1</v>
      </c>
      <c r="D4" s="31"/>
      <c r="E4" s="31"/>
      <c r="F4" s="32"/>
      <c r="G4" s="31"/>
    </row>
    <row r="5" spans="1:7" x14ac:dyDescent="0.3">
      <c r="A5" s="1" t="s">
        <v>35</v>
      </c>
      <c r="B5" s="250">
        <v>30</v>
      </c>
      <c r="D5" s="31"/>
      <c r="E5" s="31"/>
      <c r="F5" s="32"/>
      <c r="G5" s="31"/>
    </row>
    <row r="6" spans="1:7" ht="15" thickBot="1" x14ac:dyDescent="0.35">
      <c r="A6" s="6" t="s">
        <v>7</v>
      </c>
      <c r="B6" s="251">
        <v>265</v>
      </c>
      <c r="D6" s="31"/>
      <c r="E6" s="31"/>
      <c r="F6" s="32"/>
      <c r="G6" s="31"/>
    </row>
    <row r="7" spans="1:7" x14ac:dyDescent="0.3">
      <c r="D7" s="31"/>
      <c r="E7" s="31"/>
      <c r="F7" s="32"/>
      <c r="G7" s="31"/>
    </row>
    <row r="8" spans="1:7" ht="15" thickBot="1" x14ac:dyDescent="0.35">
      <c r="A8" s="12" t="s">
        <v>36</v>
      </c>
      <c r="D8" s="31"/>
      <c r="E8" s="31"/>
      <c r="F8" s="32"/>
      <c r="G8" s="31"/>
    </row>
    <row r="9" spans="1:7" x14ac:dyDescent="0.3">
      <c r="A9" s="4" t="s">
        <v>37</v>
      </c>
      <c r="B9" s="5">
        <v>0.85</v>
      </c>
      <c r="D9" s="31"/>
      <c r="E9" s="12"/>
      <c r="F9" s="32"/>
      <c r="G9" s="31"/>
    </row>
    <row r="10" spans="1:7" x14ac:dyDescent="0.3">
      <c r="A10" s="1" t="s">
        <v>38</v>
      </c>
      <c r="B10" s="2">
        <v>0.42857142857142855</v>
      </c>
      <c r="D10" s="31"/>
      <c r="E10" s="12"/>
      <c r="F10" s="12"/>
      <c r="G10" s="31"/>
    </row>
    <row r="11" spans="1:7" x14ac:dyDescent="0.3">
      <c r="A11" s="1" t="s">
        <v>39</v>
      </c>
      <c r="B11" s="2">
        <v>0.75</v>
      </c>
    </row>
    <row r="12" spans="1:7" ht="15" thickBot="1" x14ac:dyDescent="0.35">
      <c r="A12" s="6" t="s">
        <v>40</v>
      </c>
      <c r="B12" s="3">
        <v>0.27272727272727271</v>
      </c>
    </row>
    <row r="14" spans="1:7" x14ac:dyDescent="0.3">
      <c r="A14" t="s">
        <v>41</v>
      </c>
      <c r="B14" s="13">
        <v>1</v>
      </c>
    </row>
    <row r="16" spans="1:7" x14ac:dyDescent="0.3">
      <c r="A16" s="12" t="s">
        <v>42</v>
      </c>
    </row>
    <row r="17" spans="1:8" x14ac:dyDescent="0.3">
      <c r="A17" t="s">
        <v>43</v>
      </c>
      <c r="B17" t="s">
        <v>44</v>
      </c>
      <c r="C17" t="s">
        <v>45</v>
      </c>
      <c r="D17" t="s">
        <v>46</v>
      </c>
      <c r="E17" t="s">
        <v>148</v>
      </c>
    </row>
    <row r="18" spans="1:8" x14ac:dyDescent="0.3">
      <c r="A18" t="s">
        <v>2</v>
      </c>
      <c r="B18" t="s">
        <v>47</v>
      </c>
      <c r="C18" t="s">
        <v>48</v>
      </c>
      <c r="D18">
        <v>1055.05585</v>
      </c>
      <c r="E18" t="str">
        <f t="shared" ref="E18:E81" si="0">B18 &amp; "2" &amp; C18</f>
        <v>BTU2J</v>
      </c>
    </row>
    <row r="19" spans="1:8" x14ac:dyDescent="0.3">
      <c r="A19" t="s">
        <v>2</v>
      </c>
      <c r="B19" t="s">
        <v>47</v>
      </c>
      <c r="C19" t="s">
        <v>49</v>
      </c>
      <c r="D19">
        <v>1.05505585</v>
      </c>
      <c r="E19" t="str">
        <f t="shared" si="0"/>
        <v>BTU2kJ</v>
      </c>
    </row>
    <row r="20" spans="1:8" x14ac:dyDescent="0.3">
      <c r="A20" t="s">
        <v>2</v>
      </c>
      <c r="B20" t="s">
        <v>47</v>
      </c>
      <c r="C20" t="s">
        <v>4</v>
      </c>
      <c r="D20">
        <v>1.0550558499999999E-3</v>
      </c>
      <c r="E20" t="str">
        <f t="shared" si="0"/>
        <v>BTU2MJ</v>
      </c>
    </row>
    <row r="21" spans="1:8" x14ac:dyDescent="0.3">
      <c r="A21" t="s">
        <v>2</v>
      </c>
      <c r="B21" t="s">
        <v>47</v>
      </c>
      <c r="C21" t="s">
        <v>50</v>
      </c>
      <c r="D21">
        <v>0.29307106944444444</v>
      </c>
      <c r="E21" t="str">
        <f t="shared" si="0"/>
        <v>BTU2Wh</v>
      </c>
    </row>
    <row r="22" spans="1:8" x14ac:dyDescent="0.3">
      <c r="A22" t="s">
        <v>2</v>
      </c>
      <c r="B22" t="s">
        <v>47</v>
      </c>
      <c r="C22" t="s">
        <v>51</v>
      </c>
      <c r="D22">
        <v>2.9307106944444444E-4</v>
      </c>
      <c r="E22" t="str">
        <f t="shared" si="0"/>
        <v>BTU2kWh</v>
      </c>
    </row>
    <row r="23" spans="1:8" x14ac:dyDescent="0.3">
      <c r="A23" t="s">
        <v>2</v>
      </c>
      <c r="B23" t="s">
        <v>47</v>
      </c>
      <c r="C23" t="s">
        <v>47</v>
      </c>
      <c r="D23">
        <v>1</v>
      </c>
      <c r="E23" t="str">
        <f t="shared" si="0"/>
        <v>BTU2BTU</v>
      </c>
    </row>
    <row r="24" spans="1:8" x14ac:dyDescent="0.3">
      <c r="A24" t="s">
        <v>2</v>
      </c>
      <c r="B24" t="s">
        <v>47</v>
      </c>
      <c r="C24" t="s">
        <v>52</v>
      </c>
      <c r="D24">
        <v>9.9999999999999995E-7</v>
      </c>
      <c r="E24" s="50" t="str">
        <f t="shared" si="0"/>
        <v>BTU2mmBTU</v>
      </c>
    </row>
    <row r="25" spans="1:8" x14ac:dyDescent="0.3">
      <c r="A25" t="s">
        <v>2</v>
      </c>
      <c r="B25" t="s">
        <v>47</v>
      </c>
      <c r="C25" t="s">
        <v>53</v>
      </c>
      <c r="D25">
        <v>3.9301477794769559E-4</v>
      </c>
      <c r="E25" t="str">
        <f t="shared" si="0"/>
        <v>BTU2hph</v>
      </c>
    </row>
    <row r="26" spans="1:8" x14ac:dyDescent="0.3">
      <c r="A26" t="s">
        <v>2</v>
      </c>
      <c r="B26" t="s">
        <v>53</v>
      </c>
      <c r="C26" t="s">
        <v>48</v>
      </c>
      <c r="D26">
        <v>2684519.5376862194</v>
      </c>
      <c r="E26" t="str">
        <f t="shared" si="0"/>
        <v>hph2J</v>
      </c>
    </row>
    <row r="27" spans="1:8" x14ac:dyDescent="0.3">
      <c r="A27" t="s">
        <v>2</v>
      </c>
      <c r="B27" t="s">
        <v>53</v>
      </c>
      <c r="C27" t="s">
        <v>49</v>
      </c>
      <c r="D27">
        <v>2684.5195376862198</v>
      </c>
      <c r="E27" t="str">
        <f t="shared" si="0"/>
        <v>hph2kJ</v>
      </c>
    </row>
    <row r="28" spans="1:8" x14ac:dyDescent="0.3">
      <c r="A28" t="s">
        <v>2</v>
      </c>
      <c r="B28" t="s">
        <v>53</v>
      </c>
      <c r="C28" t="s">
        <v>4</v>
      </c>
      <c r="D28">
        <v>2.6845195376862194</v>
      </c>
      <c r="E28" t="str">
        <f t="shared" si="0"/>
        <v>hph2MJ</v>
      </c>
    </row>
    <row r="29" spans="1:8" x14ac:dyDescent="0.3">
      <c r="A29" t="s">
        <v>2</v>
      </c>
      <c r="B29" t="s">
        <v>53</v>
      </c>
      <c r="C29" t="s">
        <v>50</v>
      </c>
      <c r="D29">
        <v>745.69987157950538</v>
      </c>
      <c r="E29" t="str">
        <f t="shared" si="0"/>
        <v>hph2Wh</v>
      </c>
    </row>
    <row r="30" spans="1:8" x14ac:dyDescent="0.3">
      <c r="A30" t="s">
        <v>2</v>
      </c>
      <c r="B30" t="s">
        <v>53</v>
      </c>
      <c r="C30" t="s">
        <v>51</v>
      </c>
      <c r="D30">
        <v>0.74569987157950535</v>
      </c>
      <c r="E30" t="str">
        <f t="shared" si="0"/>
        <v>hph2kWh</v>
      </c>
    </row>
    <row r="31" spans="1:8" x14ac:dyDescent="0.3">
      <c r="A31" t="s">
        <v>2</v>
      </c>
      <c r="B31" t="s">
        <v>53</v>
      </c>
      <c r="C31" t="s">
        <v>47</v>
      </c>
      <c r="D31">
        <v>2544.4335839531336</v>
      </c>
      <c r="E31" s="50" t="str">
        <f t="shared" si="0"/>
        <v>hph2BTU</v>
      </c>
      <c r="F31" s="10"/>
      <c r="G31" s="10"/>
      <c r="H31" s="10"/>
    </row>
    <row r="32" spans="1:8" x14ac:dyDescent="0.3">
      <c r="A32" t="s">
        <v>2</v>
      </c>
      <c r="B32" t="s">
        <v>53</v>
      </c>
      <c r="C32" t="s">
        <v>52</v>
      </c>
      <c r="D32">
        <v>2.5444335839531337E-3</v>
      </c>
      <c r="E32" t="str">
        <f t="shared" si="0"/>
        <v>hph2mmBTU</v>
      </c>
    </row>
    <row r="33" spans="1:5" x14ac:dyDescent="0.3">
      <c r="A33" t="s">
        <v>2</v>
      </c>
      <c r="B33" t="s">
        <v>53</v>
      </c>
      <c r="C33" t="s">
        <v>53</v>
      </c>
      <c r="D33">
        <v>1</v>
      </c>
      <c r="E33" t="str">
        <f t="shared" si="0"/>
        <v>hph2hph</v>
      </c>
    </row>
    <row r="34" spans="1:5" x14ac:dyDescent="0.3">
      <c r="A34" t="s">
        <v>2</v>
      </c>
      <c r="B34" t="s">
        <v>48</v>
      </c>
      <c r="C34" t="s">
        <v>48</v>
      </c>
      <c r="D34">
        <v>1</v>
      </c>
      <c r="E34" t="str">
        <f t="shared" si="0"/>
        <v>J2J</v>
      </c>
    </row>
    <row r="35" spans="1:5" x14ac:dyDescent="0.3">
      <c r="A35" t="s">
        <v>2</v>
      </c>
      <c r="B35" t="s">
        <v>48</v>
      </c>
      <c r="C35" t="s">
        <v>49</v>
      </c>
      <c r="D35">
        <v>1E-3</v>
      </c>
      <c r="E35" t="str">
        <f t="shared" si="0"/>
        <v>J2kJ</v>
      </c>
    </row>
    <row r="36" spans="1:5" x14ac:dyDescent="0.3">
      <c r="A36" t="s">
        <v>2</v>
      </c>
      <c r="B36" t="s">
        <v>48</v>
      </c>
      <c r="C36" t="s">
        <v>4</v>
      </c>
      <c r="D36">
        <v>9.9999999999999995E-7</v>
      </c>
      <c r="E36" t="str">
        <f t="shared" si="0"/>
        <v>J2MJ</v>
      </c>
    </row>
    <row r="37" spans="1:5" x14ac:dyDescent="0.3">
      <c r="A37" t="s">
        <v>2</v>
      </c>
      <c r="B37" t="s">
        <v>48</v>
      </c>
      <c r="C37" t="s">
        <v>50</v>
      </c>
      <c r="D37">
        <v>2.7777777777777778E-4</v>
      </c>
      <c r="E37" t="str">
        <f t="shared" si="0"/>
        <v>J2Wh</v>
      </c>
    </row>
    <row r="38" spans="1:5" x14ac:dyDescent="0.3">
      <c r="A38" t="s">
        <v>2</v>
      </c>
      <c r="B38" t="s">
        <v>48</v>
      </c>
      <c r="C38" t="s">
        <v>51</v>
      </c>
      <c r="D38">
        <v>2.7777777777777776E-7</v>
      </c>
      <c r="E38" t="str">
        <f t="shared" si="0"/>
        <v>J2kWh</v>
      </c>
    </row>
    <row r="39" spans="1:5" x14ac:dyDescent="0.3">
      <c r="A39" t="s">
        <v>2</v>
      </c>
      <c r="B39" t="s">
        <v>48</v>
      </c>
      <c r="C39" t="s">
        <v>47</v>
      </c>
      <c r="D39">
        <v>9.4781712266701337E-4</v>
      </c>
      <c r="E39" t="str">
        <f t="shared" si="0"/>
        <v>J2BTU</v>
      </c>
    </row>
    <row r="40" spans="1:5" x14ac:dyDescent="0.3">
      <c r="A40" t="s">
        <v>2</v>
      </c>
      <c r="B40" t="s">
        <v>48</v>
      </c>
      <c r="C40" t="s">
        <v>52</v>
      </c>
      <c r="D40">
        <v>9.4781712266701324E-10</v>
      </c>
      <c r="E40" t="str">
        <f t="shared" si="0"/>
        <v>J2mmBTU</v>
      </c>
    </row>
    <row r="41" spans="1:5" x14ac:dyDescent="0.3">
      <c r="A41" t="s">
        <v>2</v>
      </c>
      <c r="B41" t="s">
        <v>48</v>
      </c>
      <c r="C41" t="s">
        <v>53</v>
      </c>
      <c r="D41">
        <v>3.72506136E-7</v>
      </c>
      <c r="E41" t="str">
        <f t="shared" si="0"/>
        <v>J2hph</v>
      </c>
    </row>
    <row r="42" spans="1:5" x14ac:dyDescent="0.3">
      <c r="A42" t="s">
        <v>2</v>
      </c>
      <c r="B42" t="s">
        <v>49</v>
      </c>
      <c r="C42" t="s">
        <v>48</v>
      </c>
      <c r="D42">
        <v>1000</v>
      </c>
      <c r="E42" t="str">
        <f t="shared" si="0"/>
        <v>kJ2J</v>
      </c>
    </row>
    <row r="43" spans="1:5" x14ac:dyDescent="0.3">
      <c r="A43" t="s">
        <v>2</v>
      </c>
      <c r="B43" t="s">
        <v>49</v>
      </c>
      <c r="C43" t="s">
        <v>49</v>
      </c>
      <c r="D43">
        <v>1</v>
      </c>
      <c r="E43" t="str">
        <f t="shared" si="0"/>
        <v>kJ2kJ</v>
      </c>
    </row>
    <row r="44" spans="1:5" x14ac:dyDescent="0.3">
      <c r="A44" t="s">
        <v>2</v>
      </c>
      <c r="B44" t="s">
        <v>49</v>
      </c>
      <c r="C44" t="s">
        <v>4</v>
      </c>
      <c r="D44">
        <v>1E-3</v>
      </c>
      <c r="E44" t="str">
        <f t="shared" si="0"/>
        <v>kJ2MJ</v>
      </c>
    </row>
    <row r="45" spans="1:5" x14ac:dyDescent="0.3">
      <c r="A45" t="s">
        <v>2</v>
      </c>
      <c r="B45" t="s">
        <v>49</v>
      </c>
      <c r="C45" t="s">
        <v>50</v>
      </c>
      <c r="D45">
        <v>0.27777777777777779</v>
      </c>
      <c r="E45" t="str">
        <f t="shared" si="0"/>
        <v>kJ2Wh</v>
      </c>
    </row>
    <row r="46" spans="1:5" x14ac:dyDescent="0.3">
      <c r="A46" t="s">
        <v>2</v>
      </c>
      <c r="B46" t="s">
        <v>49</v>
      </c>
      <c r="C46" t="s">
        <v>51</v>
      </c>
      <c r="D46">
        <v>2.7777777777777778E-4</v>
      </c>
      <c r="E46" t="str">
        <f t="shared" si="0"/>
        <v>kJ2kWh</v>
      </c>
    </row>
    <row r="47" spans="1:5" x14ac:dyDescent="0.3">
      <c r="A47" t="s">
        <v>2</v>
      </c>
      <c r="B47" t="s">
        <v>49</v>
      </c>
      <c r="C47" t="s">
        <v>47</v>
      </c>
      <c r="D47">
        <v>0.94781712266701335</v>
      </c>
      <c r="E47" t="str">
        <f t="shared" si="0"/>
        <v>kJ2BTU</v>
      </c>
    </row>
    <row r="48" spans="1:5" x14ac:dyDescent="0.3">
      <c r="A48" t="s">
        <v>2</v>
      </c>
      <c r="B48" t="s">
        <v>49</v>
      </c>
      <c r="C48" t="s">
        <v>52</v>
      </c>
      <c r="D48">
        <v>9.4781712266701337E-7</v>
      </c>
      <c r="E48" t="str">
        <f t="shared" si="0"/>
        <v>kJ2mmBTU</v>
      </c>
    </row>
    <row r="49" spans="1:5" x14ac:dyDescent="0.3">
      <c r="A49" t="s">
        <v>2</v>
      </c>
      <c r="B49" t="s">
        <v>49</v>
      </c>
      <c r="C49" t="s">
        <v>53</v>
      </c>
      <c r="D49">
        <v>3.7250613599999999E-4</v>
      </c>
      <c r="E49" t="str">
        <f t="shared" si="0"/>
        <v>kJ2hph</v>
      </c>
    </row>
    <row r="50" spans="1:5" x14ac:dyDescent="0.3">
      <c r="A50" t="s">
        <v>2</v>
      </c>
      <c r="B50" t="s">
        <v>51</v>
      </c>
      <c r="C50" t="s">
        <v>48</v>
      </c>
      <c r="D50">
        <v>3600000</v>
      </c>
      <c r="E50" t="str">
        <f t="shared" si="0"/>
        <v>kWh2J</v>
      </c>
    </row>
    <row r="51" spans="1:5" x14ac:dyDescent="0.3">
      <c r="A51" t="s">
        <v>2</v>
      </c>
      <c r="B51" t="s">
        <v>51</v>
      </c>
      <c r="C51" t="s">
        <v>49</v>
      </c>
      <c r="D51">
        <v>3600</v>
      </c>
      <c r="E51" t="str">
        <f t="shared" si="0"/>
        <v>kWh2kJ</v>
      </c>
    </row>
    <row r="52" spans="1:5" x14ac:dyDescent="0.3">
      <c r="A52" t="s">
        <v>2</v>
      </c>
      <c r="B52" t="s">
        <v>51</v>
      </c>
      <c r="C52" t="s">
        <v>4</v>
      </c>
      <c r="D52">
        <v>3.6</v>
      </c>
      <c r="E52" t="str">
        <f t="shared" si="0"/>
        <v>kWh2MJ</v>
      </c>
    </row>
    <row r="53" spans="1:5" x14ac:dyDescent="0.3">
      <c r="A53" t="s">
        <v>2</v>
      </c>
      <c r="B53" t="s">
        <v>51</v>
      </c>
      <c r="C53" t="s">
        <v>50</v>
      </c>
      <c r="D53">
        <v>1000</v>
      </c>
      <c r="E53" t="str">
        <f t="shared" si="0"/>
        <v>kWh2Wh</v>
      </c>
    </row>
    <row r="54" spans="1:5" x14ac:dyDescent="0.3">
      <c r="A54" t="s">
        <v>2</v>
      </c>
      <c r="B54" t="s">
        <v>51</v>
      </c>
      <c r="C54" t="s">
        <v>51</v>
      </c>
      <c r="D54">
        <v>1</v>
      </c>
      <c r="E54" t="str">
        <f t="shared" si="0"/>
        <v>kWh2kWh</v>
      </c>
    </row>
    <row r="55" spans="1:5" x14ac:dyDescent="0.3">
      <c r="A55" t="s">
        <v>2</v>
      </c>
      <c r="B55" t="s">
        <v>51</v>
      </c>
      <c r="C55" t="s">
        <v>47</v>
      </c>
      <c r="D55">
        <v>3412.141641601248</v>
      </c>
      <c r="E55" t="str">
        <f t="shared" si="0"/>
        <v>kWh2BTU</v>
      </c>
    </row>
    <row r="56" spans="1:5" x14ac:dyDescent="0.3">
      <c r="A56" t="s">
        <v>2</v>
      </c>
      <c r="B56" t="s">
        <v>51</v>
      </c>
      <c r="C56" t="s">
        <v>52</v>
      </c>
      <c r="D56">
        <v>3.4121416416012479E-3</v>
      </c>
      <c r="E56" t="str">
        <f t="shared" si="0"/>
        <v>kWh2mmBTU</v>
      </c>
    </row>
    <row r="57" spans="1:5" x14ac:dyDescent="0.3">
      <c r="A57" t="s">
        <v>2</v>
      </c>
      <c r="B57" t="s">
        <v>51</v>
      </c>
      <c r="C57" t="s">
        <v>53</v>
      </c>
      <c r="D57">
        <v>1.3410220896</v>
      </c>
      <c r="E57" t="str">
        <f t="shared" si="0"/>
        <v>kWh2hph</v>
      </c>
    </row>
    <row r="58" spans="1:5" x14ac:dyDescent="0.3">
      <c r="A58" t="s">
        <v>2</v>
      </c>
      <c r="B58" t="s">
        <v>4</v>
      </c>
      <c r="C58" t="s">
        <v>48</v>
      </c>
      <c r="D58">
        <v>1000000</v>
      </c>
      <c r="E58" t="str">
        <f t="shared" si="0"/>
        <v>MJ2J</v>
      </c>
    </row>
    <row r="59" spans="1:5" x14ac:dyDescent="0.3">
      <c r="A59" t="s">
        <v>2</v>
      </c>
      <c r="B59" t="s">
        <v>4</v>
      </c>
      <c r="C59" t="s">
        <v>49</v>
      </c>
      <c r="D59">
        <v>1000</v>
      </c>
      <c r="E59" t="str">
        <f t="shared" si="0"/>
        <v>MJ2kJ</v>
      </c>
    </row>
    <row r="60" spans="1:5" x14ac:dyDescent="0.3">
      <c r="A60" t="s">
        <v>2</v>
      </c>
      <c r="B60" t="s">
        <v>4</v>
      </c>
      <c r="C60" t="s">
        <v>4</v>
      </c>
      <c r="D60">
        <v>1</v>
      </c>
      <c r="E60" t="str">
        <f t="shared" si="0"/>
        <v>MJ2MJ</v>
      </c>
    </row>
    <row r="61" spans="1:5" x14ac:dyDescent="0.3">
      <c r="A61" t="s">
        <v>2</v>
      </c>
      <c r="B61" t="s">
        <v>4</v>
      </c>
      <c r="C61" t="s">
        <v>50</v>
      </c>
      <c r="D61">
        <v>277.77777777777777</v>
      </c>
      <c r="E61" t="str">
        <f t="shared" si="0"/>
        <v>MJ2Wh</v>
      </c>
    </row>
    <row r="62" spans="1:5" x14ac:dyDescent="0.3">
      <c r="A62" t="s">
        <v>2</v>
      </c>
      <c r="B62" t="s">
        <v>4</v>
      </c>
      <c r="C62" t="s">
        <v>51</v>
      </c>
      <c r="D62">
        <v>0.27777777777777779</v>
      </c>
      <c r="E62" t="str">
        <f t="shared" si="0"/>
        <v>MJ2kWh</v>
      </c>
    </row>
    <row r="63" spans="1:5" x14ac:dyDescent="0.3">
      <c r="A63" t="s">
        <v>2</v>
      </c>
      <c r="B63" t="s">
        <v>4</v>
      </c>
      <c r="C63" t="s">
        <v>47</v>
      </c>
      <c r="D63">
        <v>947.81712266701334</v>
      </c>
      <c r="E63" t="str">
        <f t="shared" si="0"/>
        <v>MJ2BTU</v>
      </c>
    </row>
    <row r="64" spans="1:5" x14ac:dyDescent="0.3">
      <c r="A64" t="s">
        <v>2</v>
      </c>
      <c r="B64" t="s">
        <v>4</v>
      </c>
      <c r="C64" t="s">
        <v>52</v>
      </c>
      <c r="D64">
        <v>9.4781712266701326E-4</v>
      </c>
      <c r="E64" t="str">
        <f t="shared" si="0"/>
        <v>MJ2mmBTU</v>
      </c>
    </row>
    <row r="65" spans="1:5" x14ac:dyDescent="0.3">
      <c r="A65" t="s">
        <v>2</v>
      </c>
      <c r="B65" t="s">
        <v>4</v>
      </c>
      <c r="C65" t="s">
        <v>53</v>
      </c>
      <c r="D65">
        <v>0.37250613599999999</v>
      </c>
      <c r="E65" t="str">
        <f t="shared" si="0"/>
        <v>MJ2hph</v>
      </c>
    </row>
    <row r="66" spans="1:5" x14ac:dyDescent="0.3">
      <c r="A66" t="s">
        <v>2</v>
      </c>
      <c r="B66" t="s">
        <v>52</v>
      </c>
      <c r="C66" t="s">
        <v>48</v>
      </c>
      <c r="D66">
        <v>1055055850</v>
      </c>
      <c r="E66" t="str">
        <f t="shared" si="0"/>
        <v>mmBTU2J</v>
      </c>
    </row>
    <row r="67" spans="1:5" x14ac:dyDescent="0.3">
      <c r="A67" t="s">
        <v>2</v>
      </c>
      <c r="B67" t="s">
        <v>52</v>
      </c>
      <c r="C67" t="s">
        <v>49</v>
      </c>
      <c r="D67">
        <v>1055055.8500000001</v>
      </c>
      <c r="E67" t="str">
        <f t="shared" si="0"/>
        <v>mmBTU2kJ</v>
      </c>
    </row>
    <row r="68" spans="1:5" x14ac:dyDescent="0.3">
      <c r="A68" t="s">
        <v>2</v>
      </c>
      <c r="B68" t="s">
        <v>52</v>
      </c>
      <c r="C68" t="s">
        <v>4</v>
      </c>
      <c r="D68">
        <v>1055.05585</v>
      </c>
      <c r="E68" t="str">
        <f t="shared" si="0"/>
        <v>mmBTU2MJ</v>
      </c>
    </row>
    <row r="69" spans="1:5" x14ac:dyDescent="0.3">
      <c r="A69" t="s">
        <v>2</v>
      </c>
      <c r="B69" t="s">
        <v>52</v>
      </c>
      <c r="C69" t="s">
        <v>50</v>
      </c>
      <c r="D69">
        <v>293071.06944444444</v>
      </c>
      <c r="E69" t="str">
        <f t="shared" si="0"/>
        <v>mmBTU2Wh</v>
      </c>
    </row>
    <row r="70" spans="1:5" x14ac:dyDescent="0.3">
      <c r="A70" t="s">
        <v>2</v>
      </c>
      <c r="B70" t="s">
        <v>52</v>
      </c>
      <c r="C70" t="s">
        <v>51</v>
      </c>
      <c r="D70">
        <v>293.07106944444445</v>
      </c>
      <c r="E70" t="str">
        <f t="shared" si="0"/>
        <v>mmBTU2kWh</v>
      </c>
    </row>
    <row r="71" spans="1:5" x14ac:dyDescent="0.3">
      <c r="A71" t="s">
        <v>2</v>
      </c>
      <c r="B71" t="s">
        <v>52</v>
      </c>
      <c r="C71" t="s">
        <v>47</v>
      </c>
      <c r="D71">
        <v>1000000</v>
      </c>
      <c r="E71" t="str">
        <f t="shared" si="0"/>
        <v>mmBTU2BTU</v>
      </c>
    </row>
    <row r="72" spans="1:5" x14ac:dyDescent="0.3">
      <c r="A72" t="s">
        <v>2</v>
      </c>
      <c r="B72" t="s">
        <v>52</v>
      </c>
      <c r="C72" t="s">
        <v>52</v>
      </c>
      <c r="D72">
        <v>1</v>
      </c>
      <c r="E72" t="str">
        <f t="shared" si="0"/>
        <v>mmBTU2mmBTU</v>
      </c>
    </row>
    <row r="73" spans="1:5" x14ac:dyDescent="0.3">
      <c r="A73" t="s">
        <v>2</v>
      </c>
      <c r="B73" t="s">
        <v>52</v>
      </c>
      <c r="C73" t="s">
        <v>53</v>
      </c>
      <c r="D73">
        <v>393.01477794769556</v>
      </c>
      <c r="E73" t="str">
        <f t="shared" si="0"/>
        <v>mmBTU2hph</v>
      </c>
    </row>
    <row r="74" spans="1:5" x14ac:dyDescent="0.3">
      <c r="A74" t="s">
        <v>54</v>
      </c>
      <c r="B74" t="s">
        <v>52</v>
      </c>
      <c r="C74" t="s">
        <v>55</v>
      </c>
      <c r="D74">
        <v>2.6371882020678999E-2</v>
      </c>
      <c r="E74" t="str">
        <f t="shared" si="0"/>
        <v>mmBTU2ton</v>
      </c>
    </row>
    <row r="75" spans="1:5" x14ac:dyDescent="0.3">
      <c r="A75" t="s">
        <v>54</v>
      </c>
      <c r="B75" t="s">
        <v>55</v>
      </c>
      <c r="C75" t="s">
        <v>52</v>
      </c>
      <c r="D75">
        <f>1/D74</f>
        <v>37.919174642745233</v>
      </c>
      <c r="E75" t="str">
        <f t="shared" si="0"/>
        <v>ton2mmBTU</v>
      </c>
    </row>
    <row r="76" spans="1:5" x14ac:dyDescent="0.3">
      <c r="A76" t="s">
        <v>54</v>
      </c>
      <c r="B76" t="s">
        <v>12</v>
      </c>
      <c r="C76" t="s">
        <v>4</v>
      </c>
      <c r="D76">
        <v>20.003423517000009</v>
      </c>
      <c r="E76" t="str">
        <f t="shared" si="0"/>
        <v>lb2MJ</v>
      </c>
    </row>
    <row r="77" spans="1:5" x14ac:dyDescent="0.3">
      <c r="A77" t="s">
        <v>54</v>
      </c>
      <c r="B77" t="s">
        <v>12</v>
      </c>
      <c r="C77" t="s">
        <v>49</v>
      </c>
      <c r="D77">
        <v>20003.42351700001</v>
      </c>
      <c r="E77" t="str">
        <f t="shared" si="0"/>
        <v>lb2kJ</v>
      </c>
    </row>
    <row r="78" spans="1:5" x14ac:dyDescent="0.3">
      <c r="A78" t="s">
        <v>54</v>
      </c>
      <c r="B78" t="s">
        <v>12</v>
      </c>
      <c r="C78" t="s">
        <v>48</v>
      </c>
      <c r="D78">
        <v>20003423.517000008</v>
      </c>
      <c r="E78" t="str">
        <f t="shared" si="0"/>
        <v>lb2J</v>
      </c>
    </row>
    <row r="79" spans="1:5" x14ac:dyDescent="0.3">
      <c r="A79" t="s">
        <v>54</v>
      </c>
      <c r="B79" t="s">
        <v>12</v>
      </c>
      <c r="C79" t="s">
        <v>56</v>
      </c>
      <c r="D79">
        <v>18959.587321372615</v>
      </c>
      <c r="E79" t="str">
        <f t="shared" si="0"/>
        <v>lb2Btu</v>
      </c>
    </row>
    <row r="80" spans="1:5" x14ac:dyDescent="0.3">
      <c r="A80" t="s">
        <v>54</v>
      </c>
      <c r="B80" t="s">
        <v>12</v>
      </c>
      <c r="C80" t="s">
        <v>52</v>
      </c>
      <c r="D80">
        <v>1.8959587321372616E-2</v>
      </c>
      <c r="E80" t="str">
        <f t="shared" si="0"/>
        <v>lb2mmBTU</v>
      </c>
    </row>
    <row r="81" spans="1:5" x14ac:dyDescent="0.3">
      <c r="A81" t="s">
        <v>54</v>
      </c>
      <c r="B81" t="s">
        <v>12</v>
      </c>
      <c r="C81" t="s">
        <v>51</v>
      </c>
      <c r="D81">
        <v>5.556506532500002</v>
      </c>
      <c r="E81" t="str">
        <f t="shared" si="0"/>
        <v>lb2kWh</v>
      </c>
    </row>
    <row r="82" spans="1:5" x14ac:dyDescent="0.3">
      <c r="A82" t="s">
        <v>54</v>
      </c>
      <c r="B82" t="s">
        <v>12</v>
      </c>
      <c r="C82" t="s">
        <v>5</v>
      </c>
      <c r="D82">
        <v>0.158291218143012</v>
      </c>
      <c r="E82" t="str">
        <f t="shared" ref="E82:E145" si="1">B82 &amp; "2" &amp; C82</f>
        <v>lb2gal</v>
      </c>
    </row>
    <row r="83" spans="1:5" x14ac:dyDescent="0.3">
      <c r="A83" t="s">
        <v>54</v>
      </c>
      <c r="B83" t="s">
        <v>12</v>
      </c>
      <c r="C83" t="s">
        <v>57</v>
      </c>
      <c r="D83">
        <v>2.1160453293474279E-2</v>
      </c>
      <c r="E83" t="str">
        <f t="shared" si="1"/>
        <v>lb2ft3</v>
      </c>
    </row>
    <row r="84" spans="1:5" x14ac:dyDescent="0.3">
      <c r="A84" t="s">
        <v>54</v>
      </c>
      <c r="B84" t="s">
        <v>12</v>
      </c>
      <c r="C84" t="s">
        <v>58</v>
      </c>
      <c r="D84">
        <v>0.59919731836195722</v>
      </c>
      <c r="E84" t="str">
        <f t="shared" si="1"/>
        <v>lb2L</v>
      </c>
    </row>
    <row r="85" spans="1:5" x14ac:dyDescent="0.3">
      <c r="A85" t="s">
        <v>54</v>
      </c>
      <c r="B85" t="s">
        <v>12</v>
      </c>
      <c r="C85" t="s">
        <v>59</v>
      </c>
      <c r="D85">
        <v>599.19731836195729</v>
      </c>
      <c r="E85" t="str">
        <f t="shared" si="1"/>
        <v>lb2mL</v>
      </c>
    </row>
    <row r="86" spans="1:5" x14ac:dyDescent="0.3">
      <c r="A86" t="s">
        <v>54</v>
      </c>
      <c r="B86" t="s">
        <v>12</v>
      </c>
      <c r="C86" t="s">
        <v>60</v>
      </c>
      <c r="D86">
        <v>5.9919731836195723E-4</v>
      </c>
      <c r="E86" t="str">
        <f t="shared" si="1"/>
        <v>lb2m3</v>
      </c>
    </row>
    <row r="87" spans="1:5" x14ac:dyDescent="0.3">
      <c r="A87" t="s">
        <v>54</v>
      </c>
      <c r="B87" t="s">
        <v>4</v>
      </c>
      <c r="C87" t="s">
        <v>6</v>
      </c>
      <c r="D87">
        <v>22.675736961451239</v>
      </c>
      <c r="E87" t="str">
        <f t="shared" si="1"/>
        <v>MJ2g</v>
      </c>
    </row>
    <row r="88" spans="1:5" x14ac:dyDescent="0.3">
      <c r="A88" t="s">
        <v>54</v>
      </c>
      <c r="B88" t="s">
        <v>4</v>
      </c>
      <c r="C88" t="s">
        <v>61</v>
      </c>
      <c r="D88">
        <v>2.267573696145124E-2</v>
      </c>
      <c r="E88" t="str">
        <f t="shared" si="1"/>
        <v>MJ2kg</v>
      </c>
    </row>
    <row r="89" spans="1:5" x14ac:dyDescent="0.3">
      <c r="A89" t="s">
        <v>54</v>
      </c>
      <c r="B89" t="s">
        <v>4</v>
      </c>
      <c r="C89" t="s">
        <v>12</v>
      </c>
      <c r="D89">
        <v>4.9991442672307825E-2</v>
      </c>
      <c r="E89" t="str">
        <f t="shared" si="1"/>
        <v>MJ2lb</v>
      </c>
    </row>
    <row r="90" spans="1:5" x14ac:dyDescent="0.3">
      <c r="A90" t="s">
        <v>54</v>
      </c>
      <c r="B90" t="s">
        <v>4</v>
      </c>
      <c r="C90" t="s">
        <v>55</v>
      </c>
      <c r="D90">
        <v>2.4995721336153915E-5</v>
      </c>
      <c r="E90" t="str">
        <f t="shared" si="1"/>
        <v>MJ2ton</v>
      </c>
    </row>
    <row r="91" spans="1:5" x14ac:dyDescent="0.3">
      <c r="A91" t="s">
        <v>54</v>
      </c>
      <c r="B91" t="s">
        <v>4</v>
      </c>
      <c r="C91" t="s">
        <v>62</v>
      </c>
      <c r="D91">
        <v>2.2675736961451237E-5</v>
      </c>
      <c r="E91" t="str">
        <f t="shared" si="1"/>
        <v>MJ2metric tonne</v>
      </c>
    </row>
    <row r="92" spans="1:5" x14ac:dyDescent="0.3">
      <c r="A92" t="s">
        <v>54</v>
      </c>
      <c r="B92" t="s">
        <v>4</v>
      </c>
      <c r="C92" t="s">
        <v>5</v>
      </c>
      <c r="D92">
        <v>7.9132063573261573E-3</v>
      </c>
      <c r="E92" t="str">
        <f t="shared" si="1"/>
        <v>MJ2gal</v>
      </c>
    </row>
    <row r="93" spans="1:5" x14ac:dyDescent="0.3">
      <c r="A93" t="s">
        <v>54</v>
      </c>
      <c r="B93" t="s">
        <v>4</v>
      </c>
      <c r="C93" t="s">
        <v>57</v>
      </c>
      <c r="D93">
        <v>1.0578415877407668E-3</v>
      </c>
      <c r="E93" t="str">
        <f t="shared" si="1"/>
        <v>MJ2ft3</v>
      </c>
    </row>
    <row r="94" spans="1:5" x14ac:dyDescent="0.3">
      <c r="A94" t="s">
        <v>54</v>
      </c>
      <c r="B94" t="s">
        <v>4</v>
      </c>
      <c r="C94" t="s">
        <v>58</v>
      </c>
      <c r="D94">
        <v>2.9954738390292366E-2</v>
      </c>
      <c r="E94" t="str">
        <f t="shared" si="1"/>
        <v>MJ2L</v>
      </c>
    </row>
    <row r="95" spans="1:5" x14ac:dyDescent="0.3">
      <c r="A95" t="s">
        <v>54</v>
      </c>
      <c r="B95" t="s">
        <v>4</v>
      </c>
      <c r="C95" t="s">
        <v>59</v>
      </c>
      <c r="D95">
        <v>29.954738390292366</v>
      </c>
      <c r="E95" t="str">
        <f t="shared" si="1"/>
        <v>MJ2mL</v>
      </c>
    </row>
    <row r="96" spans="1:5" x14ac:dyDescent="0.3">
      <c r="A96" t="s">
        <v>54</v>
      </c>
      <c r="B96" t="s">
        <v>4</v>
      </c>
      <c r="C96" t="s">
        <v>60</v>
      </c>
      <c r="D96">
        <v>2.9954738390292366E-5</v>
      </c>
      <c r="E96" t="str">
        <f t="shared" si="1"/>
        <v>MJ2m3</v>
      </c>
    </row>
    <row r="97" spans="1:5" x14ac:dyDescent="0.3">
      <c r="A97" t="s">
        <v>54</v>
      </c>
      <c r="B97" t="s">
        <v>61</v>
      </c>
      <c r="C97" t="s">
        <v>4</v>
      </c>
      <c r="D97">
        <v>44.100000000000108</v>
      </c>
      <c r="E97" t="str">
        <f t="shared" si="1"/>
        <v>kg2MJ</v>
      </c>
    </row>
    <row r="98" spans="1:5" x14ac:dyDescent="0.3">
      <c r="A98" t="s">
        <v>54</v>
      </c>
      <c r="B98" t="s">
        <v>61</v>
      </c>
      <c r="C98" t="s">
        <v>49</v>
      </c>
      <c r="D98">
        <v>44100.000000000109</v>
      </c>
      <c r="E98" t="str">
        <f t="shared" si="1"/>
        <v>kg2kJ</v>
      </c>
    </row>
    <row r="99" spans="1:5" x14ac:dyDescent="0.3">
      <c r="A99" t="s">
        <v>54</v>
      </c>
      <c r="B99" t="s">
        <v>61</v>
      </c>
      <c r="C99" t="s">
        <v>48</v>
      </c>
      <c r="D99">
        <v>44100000.000000104</v>
      </c>
      <c r="E99" t="str">
        <f t="shared" si="1"/>
        <v>kg2J</v>
      </c>
    </row>
    <row r="100" spans="1:5" x14ac:dyDescent="0.3">
      <c r="A100" t="s">
        <v>54</v>
      </c>
      <c r="B100" t="s">
        <v>61</v>
      </c>
      <c r="C100" t="s">
        <v>56</v>
      </c>
      <c r="D100">
        <v>41798.735109615387</v>
      </c>
      <c r="E100" t="str">
        <f t="shared" si="1"/>
        <v>kg2Btu</v>
      </c>
    </row>
    <row r="101" spans="1:5" x14ac:dyDescent="0.3">
      <c r="A101" t="s">
        <v>54</v>
      </c>
      <c r="B101" t="s">
        <v>61</v>
      </c>
      <c r="C101" t="s">
        <v>52</v>
      </c>
      <c r="D101">
        <v>4.179873510961539E-2</v>
      </c>
      <c r="E101" t="str">
        <f t="shared" si="1"/>
        <v>kg2mmBTU</v>
      </c>
    </row>
    <row r="102" spans="1:5" x14ac:dyDescent="0.3">
      <c r="A102" t="s">
        <v>54</v>
      </c>
      <c r="B102" t="s">
        <v>61</v>
      </c>
      <c r="C102" t="s">
        <v>51</v>
      </c>
      <c r="D102">
        <v>12.250000000000028</v>
      </c>
      <c r="E102" t="str">
        <f t="shared" si="1"/>
        <v>kg2kWh</v>
      </c>
    </row>
    <row r="103" spans="1:5" x14ac:dyDescent="0.3">
      <c r="A103" t="s">
        <v>54</v>
      </c>
      <c r="B103" t="s">
        <v>61</v>
      </c>
      <c r="C103" t="s">
        <v>5</v>
      </c>
      <c r="D103">
        <v>0.3489724003580843</v>
      </c>
      <c r="E103" t="str">
        <f t="shared" si="1"/>
        <v>kg2gal</v>
      </c>
    </row>
    <row r="104" spans="1:5" x14ac:dyDescent="0.3">
      <c r="A104" t="s">
        <v>54</v>
      </c>
      <c r="B104" t="s">
        <v>61</v>
      </c>
      <c r="C104" t="s">
        <v>57</v>
      </c>
      <c r="D104">
        <v>4.6650814019367916E-2</v>
      </c>
      <c r="E104" t="str">
        <f t="shared" si="1"/>
        <v>kg2ft3</v>
      </c>
    </row>
    <row r="105" spans="1:5" x14ac:dyDescent="0.3">
      <c r="A105" t="s">
        <v>54</v>
      </c>
      <c r="B105" t="s">
        <v>61</v>
      </c>
      <c r="C105" t="s">
        <v>58</v>
      </c>
      <c r="D105">
        <v>1.3210039630118964</v>
      </c>
      <c r="E105" t="str">
        <f t="shared" si="1"/>
        <v>kg2L</v>
      </c>
    </row>
    <row r="106" spans="1:5" x14ac:dyDescent="0.3">
      <c r="A106" t="s">
        <v>54</v>
      </c>
      <c r="B106" t="s">
        <v>61</v>
      </c>
      <c r="C106" t="s">
        <v>59</v>
      </c>
      <c r="D106">
        <v>1321.0039630118965</v>
      </c>
      <c r="E106" t="str">
        <f t="shared" si="1"/>
        <v>kg2mL</v>
      </c>
    </row>
    <row r="107" spans="1:5" x14ac:dyDescent="0.3">
      <c r="A107" t="s">
        <v>54</v>
      </c>
      <c r="B107" t="s">
        <v>61</v>
      </c>
      <c r="C107" t="s">
        <v>60</v>
      </c>
      <c r="D107">
        <v>1.3210039630118964E-3</v>
      </c>
      <c r="E107" t="str">
        <f t="shared" si="1"/>
        <v>kg2m3</v>
      </c>
    </row>
    <row r="108" spans="1:5" x14ac:dyDescent="0.3">
      <c r="A108" t="s">
        <v>2</v>
      </c>
      <c r="B108" t="s">
        <v>50</v>
      </c>
      <c r="C108" t="s">
        <v>48</v>
      </c>
      <c r="D108">
        <v>3600</v>
      </c>
      <c r="E108" t="str">
        <f t="shared" si="1"/>
        <v>Wh2J</v>
      </c>
    </row>
    <row r="109" spans="1:5" x14ac:dyDescent="0.3">
      <c r="A109" t="s">
        <v>2</v>
      </c>
      <c r="B109" t="s">
        <v>50</v>
      </c>
      <c r="C109" t="s">
        <v>49</v>
      </c>
      <c r="D109">
        <v>3.6</v>
      </c>
      <c r="E109" t="str">
        <f t="shared" si="1"/>
        <v>Wh2kJ</v>
      </c>
    </row>
    <row r="110" spans="1:5" x14ac:dyDescent="0.3">
      <c r="A110" t="s">
        <v>2</v>
      </c>
      <c r="B110" t="s">
        <v>50</v>
      </c>
      <c r="C110" t="s">
        <v>4</v>
      </c>
      <c r="D110">
        <v>3.5999999999999999E-3</v>
      </c>
      <c r="E110" t="str">
        <f t="shared" si="1"/>
        <v>Wh2MJ</v>
      </c>
    </row>
    <row r="111" spans="1:5" x14ac:dyDescent="0.3">
      <c r="A111" t="s">
        <v>2</v>
      </c>
      <c r="B111" t="s">
        <v>50</v>
      </c>
      <c r="C111" t="s">
        <v>50</v>
      </c>
      <c r="D111">
        <v>1</v>
      </c>
      <c r="E111" t="str">
        <f t="shared" si="1"/>
        <v>Wh2Wh</v>
      </c>
    </row>
    <row r="112" spans="1:5" x14ac:dyDescent="0.3">
      <c r="A112" t="s">
        <v>2</v>
      </c>
      <c r="B112" t="s">
        <v>50</v>
      </c>
      <c r="C112" t="s">
        <v>51</v>
      </c>
      <c r="D112">
        <v>1E-3</v>
      </c>
      <c r="E112" t="str">
        <f t="shared" si="1"/>
        <v>Wh2kWh</v>
      </c>
    </row>
    <row r="113" spans="1:5" x14ac:dyDescent="0.3">
      <c r="A113" t="s">
        <v>2</v>
      </c>
      <c r="B113" t="s">
        <v>50</v>
      </c>
      <c r="C113" t="s">
        <v>47</v>
      </c>
      <c r="D113">
        <v>3.4121416416012482</v>
      </c>
      <c r="E113" t="str">
        <f t="shared" si="1"/>
        <v>Wh2BTU</v>
      </c>
    </row>
    <row r="114" spans="1:5" x14ac:dyDescent="0.3">
      <c r="A114" t="s">
        <v>2</v>
      </c>
      <c r="B114" t="s">
        <v>50</v>
      </c>
      <c r="C114" t="s">
        <v>52</v>
      </c>
      <c r="D114">
        <v>3.4121416416012478E-6</v>
      </c>
      <c r="E114" t="str">
        <f t="shared" si="1"/>
        <v>Wh2mmBTU</v>
      </c>
    </row>
    <row r="115" spans="1:5" x14ac:dyDescent="0.3">
      <c r="A115" t="s">
        <v>2</v>
      </c>
      <c r="B115" t="s">
        <v>50</v>
      </c>
      <c r="C115" t="s">
        <v>53</v>
      </c>
      <c r="D115">
        <v>1.3410220896E-3</v>
      </c>
      <c r="E115" t="str">
        <f t="shared" si="1"/>
        <v>Wh2hph</v>
      </c>
    </row>
    <row r="116" spans="1:5" x14ac:dyDescent="0.3">
      <c r="A116" t="s">
        <v>63</v>
      </c>
      <c r="B116" t="s">
        <v>64</v>
      </c>
      <c r="C116" t="s">
        <v>65</v>
      </c>
      <c r="D116">
        <v>304.8</v>
      </c>
      <c r="E116" t="str">
        <f t="shared" si="1"/>
        <v>ft2mm</v>
      </c>
    </row>
    <row r="117" spans="1:5" x14ac:dyDescent="0.3">
      <c r="A117" t="s">
        <v>63</v>
      </c>
      <c r="B117" t="s">
        <v>64</v>
      </c>
      <c r="C117" t="s">
        <v>66</v>
      </c>
      <c r="D117">
        <v>0.30480000000000002</v>
      </c>
      <c r="E117" t="str">
        <f t="shared" si="1"/>
        <v>ft2m</v>
      </c>
    </row>
    <row r="118" spans="1:5" x14ac:dyDescent="0.3">
      <c r="A118" t="s">
        <v>63</v>
      </c>
      <c r="B118" t="s">
        <v>64</v>
      </c>
      <c r="C118" t="s">
        <v>67</v>
      </c>
      <c r="D118">
        <v>3.0480000000000004E-4</v>
      </c>
      <c r="E118" t="str">
        <f t="shared" si="1"/>
        <v>ft2km</v>
      </c>
    </row>
    <row r="119" spans="1:5" x14ac:dyDescent="0.3">
      <c r="A119" t="s">
        <v>63</v>
      </c>
      <c r="B119" t="s">
        <v>64</v>
      </c>
      <c r="C119" t="s">
        <v>64</v>
      </c>
      <c r="D119">
        <v>1</v>
      </c>
      <c r="E119" t="str">
        <f t="shared" si="1"/>
        <v>ft2ft</v>
      </c>
    </row>
    <row r="120" spans="1:5" x14ac:dyDescent="0.3">
      <c r="A120" t="s">
        <v>63</v>
      </c>
      <c r="B120" t="s">
        <v>64</v>
      </c>
      <c r="C120" t="s">
        <v>68</v>
      </c>
      <c r="D120">
        <v>1.8939393939393939E-4</v>
      </c>
      <c r="E120" t="str">
        <f t="shared" si="1"/>
        <v>ft2mi</v>
      </c>
    </row>
    <row r="121" spans="1:5" x14ac:dyDescent="0.3">
      <c r="A121" t="s">
        <v>63</v>
      </c>
      <c r="B121" t="s">
        <v>67</v>
      </c>
      <c r="C121" t="s">
        <v>65</v>
      </c>
      <c r="D121">
        <v>1000000</v>
      </c>
      <c r="E121" t="str">
        <f t="shared" si="1"/>
        <v>km2mm</v>
      </c>
    </row>
    <row r="122" spans="1:5" x14ac:dyDescent="0.3">
      <c r="A122" t="s">
        <v>63</v>
      </c>
      <c r="B122" t="s">
        <v>67</v>
      </c>
      <c r="C122" t="s">
        <v>66</v>
      </c>
      <c r="D122">
        <v>1000</v>
      </c>
      <c r="E122" t="str">
        <f t="shared" si="1"/>
        <v>km2m</v>
      </c>
    </row>
    <row r="123" spans="1:5" x14ac:dyDescent="0.3">
      <c r="A123" t="s">
        <v>63</v>
      </c>
      <c r="B123" t="s">
        <v>67</v>
      </c>
      <c r="C123" t="s">
        <v>67</v>
      </c>
      <c r="D123">
        <v>1</v>
      </c>
      <c r="E123" t="str">
        <f t="shared" si="1"/>
        <v>km2km</v>
      </c>
    </row>
    <row r="124" spans="1:5" x14ac:dyDescent="0.3">
      <c r="A124" t="s">
        <v>63</v>
      </c>
      <c r="B124" t="s">
        <v>67</v>
      </c>
      <c r="C124" t="s">
        <v>64</v>
      </c>
      <c r="D124">
        <v>3280.8398950131236</v>
      </c>
      <c r="E124" t="str">
        <f t="shared" si="1"/>
        <v>km2ft</v>
      </c>
    </row>
    <row r="125" spans="1:5" x14ac:dyDescent="0.3">
      <c r="A125" t="s">
        <v>63</v>
      </c>
      <c r="B125" t="s">
        <v>67</v>
      </c>
      <c r="C125" t="s">
        <v>68</v>
      </c>
      <c r="D125">
        <v>0.62137273664980675</v>
      </c>
      <c r="E125" t="str">
        <f t="shared" si="1"/>
        <v>km2mi</v>
      </c>
    </row>
    <row r="126" spans="1:5" x14ac:dyDescent="0.3">
      <c r="A126" t="s">
        <v>63</v>
      </c>
      <c r="B126" t="s">
        <v>66</v>
      </c>
      <c r="C126" t="s">
        <v>65</v>
      </c>
      <c r="D126">
        <v>1000</v>
      </c>
      <c r="E126" t="str">
        <f t="shared" si="1"/>
        <v>m2mm</v>
      </c>
    </row>
    <row r="127" spans="1:5" x14ac:dyDescent="0.3">
      <c r="A127" t="s">
        <v>63</v>
      </c>
      <c r="B127" t="s">
        <v>66</v>
      </c>
      <c r="C127" t="s">
        <v>66</v>
      </c>
      <c r="D127">
        <v>1</v>
      </c>
      <c r="E127" t="str">
        <f t="shared" si="1"/>
        <v>m2m</v>
      </c>
    </row>
    <row r="128" spans="1:5" x14ac:dyDescent="0.3">
      <c r="A128" t="s">
        <v>63</v>
      </c>
      <c r="B128" t="s">
        <v>66</v>
      </c>
      <c r="C128" t="s">
        <v>67</v>
      </c>
      <c r="D128">
        <v>1E-3</v>
      </c>
      <c r="E128" t="str">
        <f t="shared" si="1"/>
        <v>m2km</v>
      </c>
    </row>
    <row r="129" spans="1:5" x14ac:dyDescent="0.3">
      <c r="A129" t="s">
        <v>63</v>
      </c>
      <c r="B129" t="s">
        <v>66</v>
      </c>
      <c r="C129" t="s">
        <v>64</v>
      </c>
      <c r="D129">
        <v>3.2808398950131235</v>
      </c>
      <c r="E129" t="str">
        <f t="shared" si="1"/>
        <v>m2ft</v>
      </c>
    </row>
    <row r="130" spans="1:5" x14ac:dyDescent="0.3">
      <c r="A130" t="s">
        <v>63</v>
      </c>
      <c r="B130" t="s">
        <v>66</v>
      </c>
      <c r="C130" t="s">
        <v>68</v>
      </c>
      <c r="D130">
        <v>6.2137273664980672E-4</v>
      </c>
      <c r="E130" t="str">
        <f t="shared" si="1"/>
        <v>m2mi</v>
      </c>
    </row>
    <row r="131" spans="1:5" x14ac:dyDescent="0.3">
      <c r="A131" t="s">
        <v>63</v>
      </c>
      <c r="B131" t="s">
        <v>68</v>
      </c>
      <c r="C131" t="s">
        <v>65</v>
      </c>
      <c r="D131">
        <v>1609340</v>
      </c>
      <c r="E131" t="str">
        <f t="shared" si="1"/>
        <v>mi2mm</v>
      </c>
    </row>
    <row r="132" spans="1:5" x14ac:dyDescent="0.3">
      <c r="A132" t="s">
        <v>63</v>
      </c>
      <c r="B132" t="s">
        <v>68</v>
      </c>
      <c r="C132" t="s">
        <v>66</v>
      </c>
      <c r="D132">
        <v>1609.34</v>
      </c>
      <c r="E132" t="str">
        <f t="shared" si="1"/>
        <v>mi2m</v>
      </c>
    </row>
    <row r="133" spans="1:5" x14ac:dyDescent="0.3">
      <c r="A133" t="s">
        <v>63</v>
      </c>
      <c r="B133" t="s">
        <v>68</v>
      </c>
      <c r="C133" t="s">
        <v>67</v>
      </c>
      <c r="D133">
        <v>1.60934</v>
      </c>
      <c r="E133" t="str">
        <f t="shared" si="1"/>
        <v>mi2km</v>
      </c>
    </row>
    <row r="134" spans="1:5" x14ac:dyDescent="0.3">
      <c r="A134" t="s">
        <v>63</v>
      </c>
      <c r="B134" t="s">
        <v>68</v>
      </c>
      <c r="C134" t="s">
        <v>64</v>
      </c>
      <c r="D134">
        <v>5280</v>
      </c>
      <c r="E134" t="str">
        <f t="shared" si="1"/>
        <v>mi2ft</v>
      </c>
    </row>
    <row r="135" spans="1:5" x14ac:dyDescent="0.3">
      <c r="A135" t="s">
        <v>63</v>
      </c>
      <c r="B135" t="s">
        <v>68</v>
      </c>
      <c r="C135" t="s">
        <v>68</v>
      </c>
      <c r="D135">
        <v>1</v>
      </c>
      <c r="E135" t="str">
        <f t="shared" si="1"/>
        <v>mi2mi</v>
      </c>
    </row>
    <row r="136" spans="1:5" x14ac:dyDescent="0.3">
      <c r="A136" t="s">
        <v>63</v>
      </c>
      <c r="B136" t="s">
        <v>65</v>
      </c>
      <c r="C136" t="s">
        <v>65</v>
      </c>
      <c r="D136">
        <v>1</v>
      </c>
      <c r="E136" t="str">
        <f t="shared" si="1"/>
        <v>mm2mm</v>
      </c>
    </row>
    <row r="137" spans="1:5" x14ac:dyDescent="0.3">
      <c r="A137" t="s">
        <v>63</v>
      </c>
      <c r="B137" t="s">
        <v>65</v>
      </c>
      <c r="C137" t="s">
        <v>66</v>
      </c>
      <c r="D137">
        <v>1E-3</v>
      </c>
      <c r="E137" t="str">
        <f t="shared" si="1"/>
        <v>mm2m</v>
      </c>
    </row>
    <row r="138" spans="1:5" x14ac:dyDescent="0.3">
      <c r="A138" t="s">
        <v>63</v>
      </c>
      <c r="B138" t="s">
        <v>65</v>
      </c>
      <c r="C138" t="s">
        <v>67</v>
      </c>
      <c r="D138">
        <v>9.9999999999999995E-7</v>
      </c>
      <c r="E138" t="str">
        <f t="shared" si="1"/>
        <v>mm2km</v>
      </c>
    </row>
    <row r="139" spans="1:5" x14ac:dyDescent="0.3">
      <c r="A139" t="s">
        <v>63</v>
      </c>
      <c r="B139" t="s">
        <v>65</v>
      </c>
      <c r="C139" t="s">
        <v>64</v>
      </c>
      <c r="D139">
        <v>3.2808398950131233E-3</v>
      </c>
      <c r="E139" t="str">
        <f t="shared" si="1"/>
        <v>mm2ft</v>
      </c>
    </row>
    <row r="140" spans="1:5" x14ac:dyDescent="0.3">
      <c r="A140" t="s">
        <v>63</v>
      </c>
      <c r="B140" t="s">
        <v>65</v>
      </c>
      <c r="C140" t="s">
        <v>68</v>
      </c>
      <c r="D140">
        <v>6.2137273664980671E-7</v>
      </c>
      <c r="E140" t="str">
        <f t="shared" si="1"/>
        <v>mm2mi</v>
      </c>
    </row>
    <row r="141" spans="1:5" x14ac:dyDescent="0.3">
      <c r="A141" s="14" t="s">
        <v>16</v>
      </c>
      <c r="B141" s="14" t="s">
        <v>6</v>
      </c>
      <c r="C141" s="14" t="s">
        <v>6</v>
      </c>
      <c r="D141" s="14">
        <v>1</v>
      </c>
      <c r="E141" t="str">
        <f t="shared" si="1"/>
        <v>g2g</v>
      </c>
    </row>
    <row r="142" spans="1:5" x14ac:dyDescent="0.3">
      <c r="A142" s="14" t="s">
        <v>16</v>
      </c>
      <c r="B142" s="14" t="s">
        <v>6</v>
      </c>
      <c r="C142" s="14" t="s">
        <v>69</v>
      </c>
      <c r="D142" s="14">
        <v>1000</v>
      </c>
      <c r="E142" t="str">
        <f t="shared" si="1"/>
        <v>g2mg</v>
      </c>
    </row>
    <row r="143" spans="1:5" x14ac:dyDescent="0.3">
      <c r="A143" s="14" t="s">
        <v>16</v>
      </c>
      <c r="B143" s="14" t="s">
        <v>6</v>
      </c>
      <c r="C143" s="14" t="s">
        <v>61</v>
      </c>
      <c r="D143" s="14">
        <v>1E-3</v>
      </c>
      <c r="E143" t="str">
        <f t="shared" si="1"/>
        <v>g2kg</v>
      </c>
    </row>
    <row r="144" spans="1:5" x14ac:dyDescent="0.3">
      <c r="A144" s="14" t="s">
        <v>16</v>
      </c>
      <c r="B144" s="14" t="s">
        <v>6</v>
      </c>
      <c r="C144" s="14" t="s">
        <v>62</v>
      </c>
      <c r="D144" s="14">
        <v>9.9999999999999995E-7</v>
      </c>
      <c r="E144" t="str">
        <f t="shared" si="1"/>
        <v>g2metric tonne</v>
      </c>
    </row>
    <row r="145" spans="1:5" x14ac:dyDescent="0.3">
      <c r="A145" s="14" t="s">
        <v>16</v>
      </c>
      <c r="B145" s="14" t="s">
        <v>6</v>
      </c>
      <c r="C145" s="14" t="s">
        <v>12</v>
      </c>
      <c r="D145" s="14">
        <v>2.2046226218487802E-3</v>
      </c>
      <c r="E145" t="str">
        <f t="shared" si="1"/>
        <v>g2lb</v>
      </c>
    </row>
    <row r="146" spans="1:5" x14ac:dyDescent="0.3">
      <c r="A146" s="14" t="s">
        <v>16</v>
      </c>
      <c r="B146" s="14" t="s">
        <v>6</v>
      </c>
      <c r="C146" s="14" t="s">
        <v>55</v>
      </c>
      <c r="D146" s="15">
        <v>1.1023113109243901E-6</v>
      </c>
      <c r="E146" t="str">
        <f t="shared" ref="E146:E196" si="2">B146 &amp; "2" &amp; C146</f>
        <v>g2ton</v>
      </c>
    </row>
    <row r="147" spans="1:5" x14ac:dyDescent="0.3">
      <c r="A147" s="14" t="s">
        <v>16</v>
      </c>
      <c r="B147" s="14" t="s">
        <v>69</v>
      </c>
      <c r="C147" s="14" t="s">
        <v>6</v>
      </c>
      <c r="D147" s="15">
        <f>10^-3</f>
        <v>1E-3</v>
      </c>
      <c r="E147" t="str">
        <f t="shared" si="2"/>
        <v>mg2g</v>
      </c>
    </row>
    <row r="148" spans="1:5" x14ac:dyDescent="0.3">
      <c r="A148" s="14" t="s">
        <v>16</v>
      </c>
      <c r="B148" s="14" t="s">
        <v>61</v>
      </c>
      <c r="C148" s="14" t="s">
        <v>6</v>
      </c>
      <c r="D148" s="14">
        <v>1000</v>
      </c>
      <c r="E148" t="str">
        <f t="shared" si="2"/>
        <v>kg2g</v>
      </c>
    </row>
    <row r="149" spans="1:5" x14ac:dyDescent="0.3">
      <c r="A149" s="14" t="s">
        <v>16</v>
      </c>
      <c r="B149" s="14" t="s">
        <v>61</v>
      </c>
      <c r="C149" s="14" t="s">
        <v>61</v>
      </c>
      <c r="D149" s="14">
        <v>1</v>
      </c>
      <c r="E149" t="str">
        <f t="shared" si="2"/>
        <v>kg2kg</v>
      </c>
    </row>
    <row r="150" spans="1:5" x14ac:dyDescent="0.3">
      <c r="A150" s="14" t="s">
        <v>16</v>
      </c>
      <c r="B150" s="14" t="s">
        <v>61</v>
      </c>
      <c r="C150" s="14" t="s">
        <v>62</v>
      </c>
      <c r="D150" s="14">
        <v>1E-3</v>
      </c>
      <c r="E150" t="str">
        <f t="shared" si="2"/>
        <v>kg2metric tonne</v>
      </c>
    </row>
    <row r="151" spans="1:5" x14ac:dyDescent="0.3">
      <c r="A151" s="14" t="s">
        <v>16</v>
      </c>
      <c r="B151" s="14" t="s">
        <v>61</v>
      </c>
      <c r="C151" s="14" t="s">
        <v>12</v>
      </c>
      <c r="D151" s="14">
        <v>2.2046226218487801</v>
      </c>
      <c r="E151" t="str">
        <f t="shared" si="2"/>
        <v>kg2lb</v>
      </c>
    </row>
    <row r="152" spans="1:5" x14ac:dyDescent="0.3">
      <c r="A152" s="14" t="s">
        <v>16</v>
      </c>
      <c r="B152" s="14" t="s">
        <v>61</v>
      </c>
      <c r="C152" s="14" t="s">
        <v>55</v>
      </c>
      <c r="D152" s="14">
        <v>1.1023113109243901E-3</v>
      </c>
      <c r="E152" t="str">
        <f t="shared" si="2"/>
        <v>kg2ton</v>
      </c>
    </row>
    <row r="153" spans="1:5" x14ac:dyDescent="0.3">
      <c r="A153" s="14" t="s">
        <v>16</v>
      </c>
      <c r="B153" s="14" t="s">
        <v>12</v>
      </c>
      <c r="C153" s="14" t="s">
        <v>6</v>
      </c>
      <c r="D153" s="14">
        <v>453.59237000000002</v>
      </c>
      <c r="E153" t="str">
        <f t="shared" si="2"/>
        <v>lb2g</v>
      </c>
    </row>
    <row r="154" spans="1:5" x14ac:dyDescent="0.3">
      <c r="A154" s="14" t="s">
        <v>16</v>
      </c>
      <c r="B154" s="14" t="s">
        <v>12</v>
      </c>
      <c r="C154" s="14" t="s">
        <v>61</v>
      </c>
      <c r="D154" s="14">
        <v>0.45359237000000002</v>
      </c>
      <c r="E154" t="str">
        <f t="shared" si="2"/>
        <v>lb2kg</v>
      </c>
    </row>
    <row r="155" spans="1:5" x14ac:dyDescent="0.3">
      <c r="A155" s="14" t="s">
        <v>16</v>
      </c>
      <c r="B155" s="14" t="s">
        <v>12</v>
      </c>
      <c r="C155" s="14" t="s">
        <v>62</v>
      </c>
      <c r="D155" s="14">
        <v>4.5359237000000004E-4</v>
      </c>
      <c r="E155" t="str">
        <f t="shared" si="2"/>
        <v>lb2metric tonne</v>
      </c>
    </row>
    <row r="156" spans="1:5" x14ac:dyDescent="0.3">
      <c r="A156" s="14" t="s">
        <v>16</v>
      </c>
      <c r="B156" s="14" t="s">
        <v>12</v>
      </c>
      <c r="C156" s="14" t="s">
        <v>12</v>
      </c>
      <c r="D156" s="14">
        <v>1</v>
      </c>
      <c r="E156" t="str">
        <f t="shared" si="2"/>
        <v>lb2lb</v>
      </c>
    </row>
    <row r="157" spans="1:5" x14ac:dyDescent="0.3">
      <c r="A157" s="14" t="s">
        <v>16</v>
      </c>
      <c r="B157" s="14" t="s">
        <v>12</v>
      </c>
      <c r="C157" s="14" t="s">
        <v>55</v>
      </c>
      <c r="D157" s="14">
        <v>5.0000000000000001E-4</v>
      </c>
      <c r="E157" t="str">
        <f t="shared" si="2"/>
        <v>lb2ton</v>
      </c>
    </row>
    <row r="158" spans="1:5" x14ac:dyDescent="0.3">
      <c r="A158" s="14" t="s">
        <v>16</v>
      </c>
      <c r="B158" s="14" t="s">
        <v>62</v>
      </c>
      <c r="C158" s="14" t="s">
        <v>6</v>
      </c>
      <c r="D158" s="14">
        <v>1000000</v>
      </c>
      <c r="E158" t="str">
        <f t="shared" si="2"/>
        <v>metric tonne2g</v>
      </c>
    </row>
    <row r="159" spans="1:5" x14ac:dyDescent="0.3">
      <c r="A159" s="14" t="s">
        <v>16</v>
      </c>
      <c r="B159" s="14" t="s">
        <v>62</v>
      </c>
      <c r="C159" s="14" t="s">
        <v>61</v>
      </c>
      <c r="D159" s="14">
        <v>1000</v>
      </c>
      <c r="E159" t="str">
        <f t="shared" si="2"/>
        <v>metric tonne2kg</v>
      </c>
    </row>
    <row r="160" spans="1:5" x14ac:dyDescent="0.3">
      <c r="A160" s="14" t="s">
        <v>16</v>
      </c>
      <c r="B160" s="14" t="s">
        <v>62</v>
      </c>
      <c r="C160" s="14" t="s">
        <v>62</v>
      </c>
      <c r="D160" s="14">
        <v>1</v>
      </c>
      <c r="E160" t="str">
        <f t="shared" si="2"/>
        <v>metric tonne2metric tonne</v>
      </c>
    </row>
    <row r="161" spans="1:5" x14ac:dyDescent="0.3">
      <c r="A161" s="14" t="s">
        <v>16</v>
      </c>
      <c r="B161" s="14" t="s">
        <v>62</v>
      </c>
      <c r="C161" s="14" t="s">
        <v>12</v>
      </c>
      <c r="D161" s="14">
        <v>2204.6226218487759</v>
      </c>
      <c r="E161" t="str">
        <f t="shared" si="2"/>
        <v>metric tonne2lb</v>
      </c>
    </row>
    <row r="162" spans="1:5" x14ac:dyDescent="0.3">
      <c r="A162" s="14" t="s">
        <v>16</v>
      </c>
      <c r="B162" s="14" t="s">
        <v>62</v>
      </c>
      <c r="C162" s="14" t="s">
        <v>55</v>
      </c>
      <c r="D162" s="14">
        <v>1.1023113109243878</v>
      </c>
      <c r="E162" t="str">
        <f t="shared" si="2"/>
        <v>metric tonne2ton</v>
      </c>
    </row>
    <row r="163" spans="1:5" x14ac:dyDescent="0.3">
      <c r="A163" s="14" t="s">
        <v>16</v>
      </c>
      <c r="B163" s="14" t="s">
        <v>55</v>
      </c>
      <c r="C163" s="14" t="s">
        <v>6</v>
      </c>
      <c r="D163" s="14">
        <v>907184.74</v>
      </c>
      <c r="E163" t="str">
        <f t="shared" si="2"/>
        <v>ton2g</v>
      </c>
    </row>
    <row r="164" spans="1:5" x14ac:dyDescent="0.3">
      <c r="A164" s="14" t="s">
        <v>16</v>
      </c>
      <c r="B164" s="14" t="s">
        <v>55</v>
      </c>
      <c r="C164" s="14" t="s">
        <v>61</v>
      </c>
      <c r="D164" s="14">
        <v>907.18474000000003</v>
      </c>
      <c r="E164" t="str">
        <f t="shared" si="2"/>
        <v>ton2kg</v>
      </c>
    </row>
    <row r="165" spans="1:5" x14ac:dyDescent="0.3">
      <c r="A165" s="14" t="s">
        <v>16</v>
      </c>
      <c r="B165" s="14" t="s">
        <v>55</v>
      </c>
      <c r="C165" s="14" t="s">
        <v>62</v>
      </c>
      <c r="D165" s="14">
        <v>0.90718474000000004</v>
      </c>
      <c r="E165" t="str">
        <f t="shared" si="2"/>
        <v>ton2metric tonne</v>
      </c>
    </row>
    <row r="166" spans="1:5" x14ac:dyDescent="0.3">
      <c r="A166" s="14" t="s">
        <v>16</v>
      </c>
      <c r="B166" s="14" t="s">
        <v>55</v>
      </c>
      <c r="C166" s="14" t="s">
        <v>12</v>
      </c>
      <c r="D166" s="14">
        <v>2000</v>
      </c>
      <c r="E166" t="str">
        <f t="shared" si="2"/>
        <v>ton2lb</v>
      </c>
    </row>
    <row r="167" spans="1:5" x14ac:dyDescent="0.3">
      <c r="A167" s="14" t="s">
        <v>16</v>
      </c>
      <c r="B167" s="14" t="s">
        <v>55</v>
      </c>
      <c r="C167" s="14" t="s">
        <v>55</v>
      </c>
      <c r="D167" s="14">
        <v>1</v>
      </c>
      <c r="E167" t="str">
        <f t="shared" si="2"/>
        <v>ton2ton</v>
      </c>
    </row>
    <row r="168" spans="1:5" x14ac:dyDescent="0.3">
      <c r="A168" s="14" t="s">
        <v>16</v>
      </c>
      <c r="B168" s="14" t="s">
        <v>70</v>
      </c>
      <c r="C168" s="14" t="s">
        <v>12</v>
      </c>
      <c r="D168" s="14">
        <v>56</v>
      </c>
      <c r="E168" t="str">
        <f t="shared" si="2"/>
        <v>bu corn2lb</v>
      </c>
    </row>
    <row r="169" spans="1:5" x14ac:dyDescent="0.3">
      <c r="A169" s="14" t="s">
        <v>16</v>
      </c>
      <c r="B169" s="14" t="s">
        <v>70</v>
      </c>
      <c r="C169" s="14" t="s">
        <v>55</v>
      </c>
      <c r="D169" s="14">
        <v>2.8000000000000001E-2</v>
      </c>
      <c r="E169" t="str">
        <f t="shared" si="2"/>
        <v>bu corn2ton</v>
      </c>
    </row>
    <row r="170" spans="1:5" x14ac:dyDescent="0.3">
      <c r="A170" s="14" t="s">
        <v>16</v>
      </c>
      <c r="B170" s="14" t="s">
        <v>11</v>
      </c>
      <c r="C170" s="14" t="s">
        <v>12</v>
      </c>
      <c r="D170" s="14">
        <v>60</v>
      </c>
      <c r="E170" t="str">
        <f t="shared" si="2"/>
        <v>bu soybean2lb</v>
      </c>
    </row>
    <row r="171" spans="1:5" x14ac:dyDescent="0.3">
      <c r="A171" s="14" t="s">
        <v>16</v>
      </c>
      <c r="B171" s="14" t="s">
        <v>11</v>
      </c>
      <c r="C171" s="14" t="s">
        <v>55</v>
      </c>
      <c r="D171" s="16">
        <v>0.03</v>
      </c>
      <c r="E171" t="str">
        <f t="shared" si="2"/>
        <v>bu soybean2ton</v>
      </c>
    </row>
    <row r="172" spans="1:5" x14ac:dyDescent="0.3">
      <c r="A172" t="s">
        <v>71</v>
      </c>
      <c r="B172" t="s">
        <v>57</v>
      </c>
      <c r="C172" t="s">
        <v>60</v>
      </c>
      <c r="D172">
        <v>2.8316846999999999E-2</v>
      </c>
      <c r="E172" t="str">
        <f t="shared" si="2"/>
        <v>ft32m3</v>
      </c>
    </row>
    <row r="173" spans="1:5" x14ac:dyDescent="0.3">
      <c r="A173" t="s">
        <v>71</v>
      </c>
      <c r="B173" t="s">
        <v>57</v>
      </c>
      <c r="C173" t="s">
        <v>59</v>
      </c>
      <c r="D173">
        <v>28316.847000000002</v>
      </c>
      <c r="E173" t="str">
        <f t="shared" si="2"/>
        <v>ft32mL</v>
      </c>
    </row>
    <row r="174" spans="1:5" x14ac:dyDescent="0.3">
      <c r="A174" t="s">
        <v>71</v>
      </c>
      <c r="B174" t="s">
        <v>57</v>
      </c>
      <c r="C174" t="s">
        <v>58</v>
      </c>
      <c r="D174">
        <v>28.316846999999999</v>
      </c>
      <c r="E174" t="str">
        <f t="shared" si="2"/>
        <v>ft32L</v>
      </c>
    </row>
    <row r="175" spans="1:5" x14ac:dyDescent="0.3">
      <c r="A175" t="s">
        <v>71</v>
      </c>
      <c r="B175" t="s">
        <v>57</v>
      </c>
      <c r="C175" t="s">
        <v>5</v>
      </c>
      <c r="D175">
        <v>7.4805211375990615</v>
      </c>
      <c r="E175" t="str">
        <f t="shared" si="2"/>
        <v>ft32gal</v>
      </c>
    </row>
    <row r="176" spans="1:5" x14ac:dyDescent="0.3">
      <c r="A176" t="s">
        <v>71</v>
      </c>
      <c r="B176" t="s">
        <v>57</v>
      </c>
      <c r="C176" t="s">
        <v>57</v>
      </c>
      <c r="D176">
        <v>1</v>
      </c>
      <c r="E176" t="str">
        <f t="shared" si="2"/>
        <v>ft32ft3</v>
      </c>
    </row>
    <row r="177" spans="1:5" x14ac:dyDescent="0.3">
      <c r="A177" t="s">
        <v>71</v>
      </c>
      <c r="B177" t="s">
        <v>5</v>
      </c>
      <c r="C177" t="s">
        <v>60</v>
      </c>
      <c r="D177">
        <v>3.7854109999999998E-3</v>
      </c>
      <c r="E177" t="str">
        <f t="shared" si="2"/>
        <v>gal2m3</v>
      </c>
    </row>
    <row r="178" spans="1:5" x14ac:dyDescent="0.3">
      <c r="A178" t="s">
        <v>71</v>
      </c>
      <c r="B178" t="s">
        <v>5</v>
      </c>
      <c r="C178" t="s">
        <v>59</v>
      </c>
      <c r="D178">
        <v>3785.4110000000001</v>
      </c>
      <c r="E178" t="str">
        <f t="shared" si="2"/>
        <v>gal2mL</v>
      </c>
    </row>
    <row r="179" spans="1:5" x14ac:dyDescent="0.3">
      <c r="A179" t="s">
        <v>71</v>
      </c>
      <c r="B179" t="s">
        <v>5</v>
      </c>
      <c r="C179" t="s">
        <v>58</v>
      </c>
      <c r="D179">
        <v>3.7854109999999999</v>
      </c>
      <c r="E179" t="str">
        <f t="shared" si="2"/>
        <v>gal2L</v>
      </c>
    </row>
    <row r="180" spans="1:5" x14ac:dyDescent="0.3">
      <c r="A180" t="s">
        <v>71</v>
      </c>
      <c r="B180" t="s">
        <v>5</v>
      </c>
      <c r="C180" t="s">
        <v>5</v>
      </c>
      <c r="D180">
        <v>1</v>
      </c>
      <c r="E180" t="str">
        <f t="shared" si="2"/>
        <v>gal2gal</v>
      </c>
    </row>
    <row r="181" spans="1:5" x14ac:dyDescent="0.3">
      <c r="A181" t="s">
        <v>71</v>
      </c>
      <c r="B181" t="s">
        <v>5</v>
      </c>
      <c r="C181" t="s">
        <v>57</v>
      </c>
      <c r="D181">
        <v>0.13368052594273649</v>
      </c>
      <c r="E181" t="str">
        <f t="shared" si="2"/>
        <v>gal2ft3</v>
      </c>
    </row>
    <row r="182" spans="1:5" x14ac:dyDescent="0.3">
      <c r="A182" t="s">
        <v>71</v>
      </c>
      <c r="B182" t="s">
        <v>58</v>
      </c>
      <c r="C182" t="s">
        <v>60</v>
      </c>
      <c r="D182">
        <v>1E-3</v>
      </c>
      <c r="E182" t="str">
        <f t="shared" si="2"/>
        <v>L2m3</v>
      </c>
    </row>
    <row r="183" spans="1:5" x14ac:dyDescent="0.3">
      <c r="A183" t="s">
        <v>71</v>
      </c>
      <c r="B183" t="s">
        <v>58</v>
      </c>
      <c r="C183" t="s">
        <v>59</v>
      </c>
      <c r="D183">
        <v>1000.0000000000001</v>
      </c>
      <c r="E183" t="str">
        <f t="shared" si="2"/>
        <v>L2mL</v>
      </c>
    </row>
    <row r="184" spans="1:5" x14ac:dyDescent="0.3">
      <c r="A184" t="s">
        <v>71</v>
      </c>
      <c r="B184" t="s">
        <v>58</v>
      </c>
      <c r="C184" t="s">
        <v>58</v>
      </c>
      <c r="D184">
        <v>1</v>
      </c>
      <c r="E184" t="str">
        <f t="shared" si="2"/>
        <v>L2L</v>
      </c>
    </row>
    <row r="185" spans="1:5" x14ac:dyDescent="0.3">
      <c r="A185" t="s">
        <v>71</v>
      </c>
      <c r="B185" t="s">
        <v>58</v>
      </c>
      <c r="C185" t="s">
        <v>5</v>
      </c>
      <c r="D185">
        <v>0.26417210707106842</v>
      </c>
      <c r="E185" t="str">
        <f t="shared" si="2"/>
        <v>L2gal</v>
      </c>
    </row>
    <row r="186" spans="1:5" x14ac:dyDescent="0.3">
      <c r="A186" t="s">
        <v>71</v>
      </c>
      <c r="B186" t="s">
        <v>58</v>
      </c>
      <c r="C186" t="s">
        <v>57</v>
      </c>
      <c r="D186">
        <v>3.5314666212661321E-2</v>
      </c>
      <c r="E186" t="str">
        <f t="shared" si="2"/>
        <v>L2ft3</v>
      </c>
    </row>
    <row r="187" spans="1:5" x14ac:dyDescent="0.3">
      <c r="A187" t="s">
        <v>71</v>
      </c>
      <c r="B187" t="s">
        <v>60</v>
      </c>
      <c r="C187" t="s">
        <v>60</v>
      </c>
      <c r="D187">
        <v>1</v>
      </c>
      <c r="E187" t="str">
        <f t="shared" si="2"/>
        <v>m32m3</v>
      </c>
    </row>
    <row r="188" spans="1:5" x14ac:dyDescent="0.3">
      <c r="A188" t="s">
        <v>71</v>
      </c>
      <c r="B188" t="s">
        <v>60</v>
      </c>
      <c r="C188" t="s">
        <v>59</v>
      </c>
      <c r="D188">
        <v>1000000</v>
      </c>
      <c r="E188" t="str">
        <f t="shared" si="2"/>
        <v>m32mL</v>
      </c>
    </row>
    <row r="189" spans="1:5" x14ac:dyDescent="0.3">
      <c r="A189" t="s">
        <v>71</v>
      </c>
      <c r="B189" t="s">
        <v>60</v>
      </c>
      <c r="C189" t="s">
        <v>58</v>
      </c>
      <c r="D189">
        <v>1000</v>
      </c>
      <c r="E189" t="str">
        <f t="shared" si="2"/>
        <v>m32L</v>
      </c>
    </row>
    <row r="190" spans="1:5" x14ac:dyDescent="0.3">
      <c r="A190" t="s">
        <v>71</v>
      </c>
      <c r="B190" t="s">
        <v>60</v>
      </c>
      <c r="C190" t="s">
        <v>5</v>
      </c>
      <c r="D190">
        <v>264.17210707106841</v>
      </c>
      <c r="E190" t="str">
        <f t="shared" si="2"/>
        <v>m32gal</v>
      </c>
    </row>
    <row r="191" spans="1:5" x14ac:dyDescent="0.3">
      <c r="A191" t="s">
        <v>71</v>
      </c>
      <c r="B191" t="s">
        <v>60</v>
      </c>
      <c r="C191" t="s">
        <v>57</v>
      </c>
      <c r="D191">
        <v>35.314666212661322</v>
      </c>
      <c r="E191" t="str">
        <f t="shared" si="2"/>
        <v>m32ft3</v>
      </c>
    </row>
    <row r="192" spans="1:5" x14ac:dyDescent="0.3">
      <c r="A192" t="s">
        <v>71</v>
      </c>
      <c r="B192" t="s">
        <v>59</v>
      </c>
      <c r="C192" t="s">
        <v>60</v>
      </c>
      <c r="D192">
        <v>9.9999999999999995E-7</v>
      </c>
      <c r="E192" t="str">
        <f t="shared" si="2"/>
        <v>mL2m3</v>
      </c>
    </row>
    <row r="193" spans="1:5" x14ac:dyDescent="0.3">
      <c r="A193" t="s">
        <v>71</v>
      </c>
      <c r="B193" t="s">
        <v>59</v>
      </c>
      <c r="C193" t="s">
        <v>59</v>
      </c>
      <c r="D193">
        <v>1</v>
      </c>
      <c r="E193" t="str">
        <f t="shared" si="2"/>
        <v>mL2mL</v>
      </c>
    </row>
    <row r="194" spans="1:5" x14ac:dyDescent="0.3">
      <c r="A194" t="s">
        <v>71</v>
      </c>
      <c r="B194" t="s">
        <v>59</v>
      </c>
      <c r="C194" t="s">
        <v>58</v>
      </c>
      <c r="D194">
        <v>1E-3</v>
      </c>
      <c r="E194" t="str">
        <f t="shared" si="2"/>
        <v>mL2L</v>
      </c>
    </row>
    <row r="195" spans="1:5" x14ac:dyDescent="0.3">
      <c r="A195" t="s">
        <v>71</v>
      </c>
      <c r="B195" t="s">
        <v>59</v>
      </c>
      <c r="C195" t="s">
        <v>5</v>
      </c>
      <c r="D195">
        <v>2.6417210707106839E-4</v>
      </c>
      <c r="E195" t="str">
        <f t="shared" si="2"/>
        <v>mL2gal</v>
      </c>
    </row>
    <row r="196" spans="1:5" x14ac:dyDescent="0.3">
      <c r="A196" t="s">
        <v>71</v>
      </c>
      <c r="B196" t="s">
        <v>59</v>
      </c>
      <c r="C196" t="s">
        <v>57</v>
      </c>
      <c r="D196">
        <v>3.5314666212661319E-5</v>
      </c>
      <c r="E196" t="str">
        <f t="shared" si="2"/>
        <v>mL2ft3</v>
      </c>
    </row>
    <row r="197" spans="1:5" x14ac:dyDescent="0.3">
      <c r="A197" t="s">
        <v>163</v>
      </c>
      <c r="B197" t="s">
        <v>1647</v>
      </c>
      <c r="C197" t="s">
        <v>1647</v>
      </c>
      <c r="D197">
        <v>1</v>
      </c>
      <c r="E197" t="str">
        <f>B197 &amp; "2" &amp; C197</f>
        <v>g CO2e2g CO2e</v>
      </c>
    </row>
  </sheetData>
  <pageMargins left="0.7" right="0.7" top="0.75" bottom="0.75" header="0.3" footer="0.3"/>
  <legacy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892453C-934D-45F1-8E46-42E7259F01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233</vt:i4>
      </vt:variant>
    </vt:vector>
  </HeadingPairs>
  <TitlesOfParts>
    <vt:vector size="235" baseType="lpstr">
      <vt:lpstr>Copyright</vt:lpstr>
      <vt:lpstr>Dashboard</vt:lpstr>
      <vt:lpstr>Allocation_UD_startCell</vt:lpstr>
      <vt:lpstr>AllocationNotes</vt:lpstr>
      <vt:lpstr>BaselineCI</vt:lpstr>
      <vt:lpstr>BTU2BTU</vt:lpstr>
      <vt:lpstr>BTU2hph</vt:lpstr>
      <vt:lpstr>BTU2J</vt:lpstr>
      <vt:lpstr>BTU2kJ</vt:lpstr>
      <vt:lpstr>BTU2kWh</vt:lpstr>
      <vt:lpstr>BTU2MJ</vt:lpstr>
      <vt:lpstr>BTU2mmBTU</vt:lpstr>
      <vt:lpstr>BTU2Wh</vt:lpstr>
      <vt:lpstr>bucorn2lb</vt:lpstr>
      <vt:lpstr>bucorn2ton</vt:lpstr>
      <vt:lpstr>busoybean2lb</vt:lpstr>
      <vt:lpstr>busoybean2ton</vt:lpstr>
      <vt:lpstr>Dash_LCIFarm_h</vt:lpstr>
      <vt:lpstr>Dash_LCIJetFuel_h</vt:lpstr>
      <vt:lpstr>Dash_Selection_h</vt:lpstr>
      <vt:lpstr>Dash_Transport_h</vt:lpstr>
      <vt:lpstr>DashboardUnit</vt:lpstr>
      <vt:lpstr>DieselEfficiency</vt:lpstr>
      <vt:lpstr>DisplayResults</vt:lpstr>
      <vt:lpstr>EnableFarmingInputs</vt:lpstr>
      <vt:lpstr>ft2ft</vt:lpstr>
      <vt:lpstr>ft2km</vt:lpstr>
      <vt:lpstr>ft2m</vt:lpstr>
      <vt:lpstr>ft2mi</vt:lpstr>
      <vt:lpstr>ft2mm</vt:lpstr>
      <vt:lpstr>ft32ft3</vt:lpstr>
      <vt:lpstr>ft32gal</vt:lpstr>
      <vt:lpstr>ft32L</vt:lpstr>
      <vt:lpstr>ft32m3</vt:lpstr>
      <vt:lpstr>ft32mL</vt:lpstr>
      <vt:lpstr>functional_unit</vt:lpstr>
      <vt:lpstr>g2g</vt:lpstr>
      <vt:lpstr>g2kg</vt:lpstr>
      <vt:lpstr>g2lb</vt:lpstr>
      <vt:lpstr>g2mg</vt:lpstr>
      <vt:lpstr>g2MT</vt:lpstr>
      <vt:lpstr>g2ton</vt:lpstr>
      <vt:lpstr>gal2ft3</vt:lpstr>
      <vt:lpstr>gal2gal</vt:lpstr>
      <vt:lpstr>gal2L</vt:lpstr>
      <vt:lpstr>gal2m3</vt:lpstr>
      <vt:lpstr>gal2mL</vt:lpstr>
      <vt:lpstr>hph2BTU</vt:lpstr>
      <vt:lpstr>hph2hph</vt:lpstr>
      <vt:lpstr>hph2J</vt:lpstr>
      <vt:lpstr>hph2kJ</vt:lpstr>
      <vt:lpstr>hph2kWh</vt:lpstr>
      <vt:lpstr>hph2MJ</vt:lpstr>
      <vt:lpstr>hph2mmBTU</vt:lpstr>
      <vt:lpstr>hph2Wh</vt:lpstr>
      <vt:lpstr>IEffectRatio</vt:lpstr>
      <vt:lpstr>IEffectTotal</vt:lpstr>
      <vt:lpstr>J2BTU</vt:lpstr>
      <vt:lpstr>J2hph</vt:lpstr>
      <vt:lpstr>J2J</vt:lpstr>
      <vt:lpstr>J2kJ</vt:lpstr>
      <vt:lpstr>J2kWh</vt:lpstr>
      <vt:lpstr>J2MJ</vt:lpstr>
      <vt:lpstr>J2mmBTU</vt:lpstr>
      <vt:lpstr>J2Wh</vt:lpstr>
      <vt:lpstr>kg2Btu</vt:lpstr>
      <vt:lpstr>kg2ft3</vt:lpstr>
      <vt:lpstr>kg2g</vt:lpstr>
      <vt:lpstr>kg2gal</vt:lpstr>
      <vt:lpstr>kg2J</vt:lpstr>
      <vt:lpstr>kg2kg</vt:lpstr>
      <vt:lpstr>kg2kJ</vt:lpstr>
      <vt:lpstr>kg2kWh</vt:lpstr>
      <vt:lpstr>kg2L</vt:lpstr>
      <vt:lpstr>kg2lb</vt:lpstr>
      <vt:lpstr>kg2m3</vt:lpstr>
      <vt:lpstr>kg2MJ</vt:lpstr>
      <vt:lpstr>kg2mL</vt:lpstr>
      <vt:lpstr>kg2mmBTU</vt:lpstr>
      <vt:lpstr>kg2MT</vt:lpstr>
      <vt:lpstr>kg2ton</vt:lpstr>
      <vt:lpstr>kJ2BTU</vt:lpstr>
      <vt:lpstr>kJ2hph</vt:lpstr>
      <vt:lpstr>kJ2J</vt:lpstr>
      <vt:lpstr>kJ2kJ</vt:lpstr>
      <vt:lpstr>kJ2kWh</vt:lpstr>
      <vt:lpstr>kJ2MJ</vt:lpstr>
      <vt:lpstr>kJ2mmBTU</vt:lpstr>
      <vt:lpstr>kJ2Wh</vt:lpstr>
      <vt:lpstr>km2ft</vt:lpstr>
      <vt:lpstr>km2km</vt:lpstr>
      <vt:lpstr>km2m</vt:lpstr>
      <vt:lpstr>km2mi</vt:lpstr>
      <vt:lpstr>km2mm</vt:lpstr>
      <vt:lpstr>kWh2BTU</vt:lpstr>
      <vt:lpstr>kWh2hph</vt:lpstr>
      <vt:lpstr>kWh2J</vt:lpstr>
      <vt:lpstr>kWh2kJ</vt:lpstr>
      <vt:lpstr>kWh2kWh</vt:lpstr>
      <vt:lpstr>kWh2MJ</vt:lpstr>
      <vt:lpstr>kWh2mmBTU</vt:lpstr>
      <vt:lpstr>kWh2Wh</vt:lpstr>
      <vt:lpstr>L2ft3</vt:lpstr>
      <vt:lpstr>L2gal</vt:lpstr>
      <vt:lpstr>L2L</vt:lpstr>
      <vt:lpstr>L2m3</vt:lpstr>
      <vt:lpstr>L2mL</vt:lpstr>
      <vt:lpstr>lb2Btu</vt:lpstr>
      <vt:lpstr>lb2ft3</vt:lpstr>
      <vt:lpstr>lb2g</vt:lpstr>
      <vt:lpstr>lb2gal</vt:lpstr>
      <vt:lpstr>lb2J</vt:lpstr>
      <vt:lpstr>lb2kg</vt:lpstr>
      <vt:lpstr>lb2kJ</vt:lpstr>
      <vt:lpstr>lb2kWh</vt:lpstr>
      <vt:lpstr>lb2L</vt:lpstr>
      <vt:lpstr>lb2lb</vt:lpstr>
      <vt:lpstr>lb2m3</vt:lpstr>
      <vt:lpstr>lb2MJ</vt:lpstr>
      <vt:lpstr>lb2mL</vt:lpstr>
      <vt:lpstr>lb2mmBTU</vt:lpstr>
      <vt:lpstr>lb2MT</vt:lpstr>
      <vt:lpstr>lb2ton</vt:lpstr>
      <vt:lpstr>LCIFarm_len</vt:lpstr>
      <vt:lpstr>LCIFarm_UD_Startcell</vt:lpstr>
      <vt:lpstr>LCIJetFuel_Len</vt:lpstr>
      <vt:lpstr>LCIJetFuel_UD_startCell</vt:lpstr>
      <vt:lpstr>LCINotes</vt:lpstr>
      <vt:lpstr>m2ft</vt:lpstr>
      <vt:lpstr>m2km</vt:lpstr>
      <vt:lpstr>m2m</vt:lpstr>
      <vt:lpstr>m2mi</vt:lpstr>
      <vt:lpstr>m2mm</vt:lpstr>
      <vt:lpstr>m32ft3</vt:lpstr>
      <vt:lpstr>m32gal</vt:lpstr>
      <vt:lpstr>m32L</vt:lpstr>
      <vt:lpstr>m32m3</vt:lpstr>
      <vt:lpstr>m32mL</vt:lpstr>
      <vt:lpstr>mg2g</vt:lpstr>
      <vt:lpstr>mi2ft</vt:lpstr>
      <vt:lpstr>mi2km</vt:lpstr>
      <vt:lpstr>mi2m</vt:lpstr>
      <vt:lpstr>mi2mi</vt:lpstr>
      <vt:lpstr>mi2mm</vt:lpstr>
      <vt:lpstr>MJ2BTU</vt:lpstr>
      <vt:lpstr>MJ2ft3</vt:lpstr>
      <vt:lpstr>MJ2g</vt:lpstr>
      <vt:lpstr>MJ2gal</vt:lpstr>
      <vt:lpstr>MJ2hph</vt:lpstr>
      <vt:lpstr>MJ2J</vt:lpstr>
      <vt:lpstr>MJ2kg</vt:lpstr>
      <vt:lpstr>MJ2kJ</vt:lpstr>
      <vt:lpstr>MJ2kWh</vt:lpstr>
      <vt:lpstr>MJ2L</vt:lpstr>
      <vt:lpstr>MJ2lb</vt:lpstr>
      <vt:lpstr>MJ2m3</vt:lpstr>
      <vt:lpstr>MJ2MJ</vt:lpstr>
      <vt:lpstr>MJ2mL</vt:lpstr>
      <vt:lpstr>MJ2mmBTU</vt:lpstr>
      <vt:lpstr>MJ2MT</vt:lpstr>
      <vt:lpstr>MJ2ton</vt:lpstr>
      <vt:lpstr>MJ2Wh</vt:lpstr>
      <vt:lpstr>mL2ft3</vt:lpstr>
      <vt:lpstr>mL2gal</vt:lpstr>
      <vt:lpstr>mL2L</vt:lpstr>
      <vt:lpstr>mL2m3</vt:lpstr>
      <vt:lpstr>mL2mL</vt:lpstr>
      <vt:lpstr>mm2ft</vt:lpstr>
      <vt:lpstr>mm2km</vt:lpstr>
      <vt:lpstr>mm2m</vt:lpstr>
      <vt:lpstr>mm2mi</vt:lpstr>
      <vt:lpstr>mm2mm</vt:lpstr>
      <vt:lpstr>mmBTU2BTU</vt:lpstr>
      <vt:lpstr>mmBTU2hph</vt:lpstr>
      <vt:lpstr>mmBTU2J</vt:lpstr>
      <vt:lpstr>mmBTU2kJ</vt:lpstr>
      <vt:lpstr>mmBTU2kWh</vt:lpstr>
      <vt:lpstr>mmBTU2MJ</vt:lpstr>
      <vt:lpstr>mmBTU2mmBTU</vt:lpstr>
      <vt:lpstr>mmBTU2ton</vt:lpstr>
      <vt:lpstr>mmBTU2Wh</vt:lpstr>
      <vt:lpstr>MT2g</vt:lpstr>
      <vt:lpstr>MT2kg</vt:lpstr>
      <vt:lpstr>MT2lb</vt:lpstr>
      <vt:lpstr>MT2MT</vt:lpstr>
      <vt:lpstr>MT2ton</vt:lpstr>
      <vt:lpstr>OldFeedstock</vt:lpstr>
      <vt:lpstr>PathSelected</vt:lpstr>
      <vt:lpstr>PathwayValues</vt:lpstr>
      <vt:lpstr>PreviousPathway</vt:lpstr>
      <vt:lpstr>RefreshDefaults</vt:lpstr>
      <vt:lpstr>ResetFeedstock</vt:lpstr>
      <vt:lpstr>Selected40B</vt:lpstr>
      <vt:lpstr>SelectedConversion</vt:lpstr>
      <vt:lpstr>SelectedDataSet</vt:lpstr>
      <vt:lpstr>SelectedDataSource</vt:lpstr>
      <vt:lpstr>SelectedEmissions</vt:lpstr>
      <vt:lpstr>SelectedFeedstock</vt:lpstr>
      <vt:lpstr>SelectedFU</vt:lpstr>
      <vt:lpstr>SelectedMetric</vt:lpstr>
      <vt:lpstr>SelectedPathway</vt:lpstr>
      <vt:lpstr>SelectedTechnology</vt:lpstr>
      <vt:lpstr>Selection_Len</vt:lpstr>
      <vt:lpstr>Selection_UD_Startcell</vt:lpstr>
      <vt:lpstr>SelectionsResetting</vt:lpstr>
      <vt:lpstr>SendToGreetNR</vt:lpstr>
      <vt:lpstr>SendToGreetValues</vt:lpstr>
      <vt:lpstr>ShouldShowSOC</vt:lpstr>
      <vt:lpstr>StoredLCIFarmInput</vt:lpstr>
      <vt:lpstr>StoredLCIFarmValue</vt:lpstr>
      <vt:lpstr>StoredLCIJetInput</vt:lpstr>
      <vt:lpstr>StoredLCIJetValue</vt:lpstr>
      <vt:lpstr>StoredSelectionInput</vt:lpstr>
      <vt:lpstr>StoredSelectionValue</vt:lpstr>
      <vt:lpstr>StoredTransportDValue</vt:lpstr>
      <vt:lpstr>StoredTransportInput</vt:lpstr>
      <vt:lpstr>StoredTransportSValue</vt:lpstr>
      <vt:lpstr>ton2g</vt:lpstr>
      <vt:lpstr>ton2kg</vt:lpstr>
      <vt:lpstr>ton2lb</vt:lpstr>
      <vt:lpstr>ton2mmBTU</vt:lpstr>
      <vt:lpstr>ton2MT</vt:lpstr>
      <vt:lpstr>ton2ton</vt:lpstr>
      <vt:lpstr>Transport_Len</vt:lpstr>
      <vt:lpstr>Transport_UD_startCell_D</vt:lpstr>
      <vt:lpstr>Transport_UD_startCell_S</vt:lpstr>
      <vt:lpstr>TransportNotes</vt:lpstr>
      <vt:lpstr>Wh2BTU</vt:lpstr>
      <vt:lpstr>Wh2hph</vt:lpstr>
      <vt:lpstr>Wh2J</vt:lpstr>
      <vt:lpstr>Wh2kJ</vt:lpstr>
      <vt:lpstr>Wh2kWh</vt:lpstr>
      <vt:lpstr>Wh2MJ</vt:lpstr>
      <vt:lpstr>Wh2mmBTU</vt:lpstr>
      <vt:lpstr>Wh2Wh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Systems Assessment Center - Energy Systems and Infrastructure Analysis - Argonne National Laboratory</dc:creator>
  <cp:lastModifiedBy>Marin PELLAN</cp:lastModifiedBy>
  <dcterms:created xsi:type="dcterms:W3CDTF">2023-01-04T20:11:02Z</dcterms:created>
  <dcterms:modified xsi:type="dcterms:W3CDTF">2024-11-14T14:58:37Z</dcterms:modified>
</cp:coreProperties>
</file>